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9.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ThisWorkbook" autoCompressPictures="0"/>
  <mc:AlternateContent xmlns:mc="http://schemas.openxmlformats.org/markup-compatibility/2006">
    <mc:Choice Requires="x15">
      <x15ac:absPath xmlns:x15ac="http://schemas.microsoft.com/office/spreadsheetml/2010/11/ac" url="C:\Users\a0799957\Desktop\"/>
    </mc:Choice>
  </mc:AlternateContent>
  <xr:revisionPtr revIDLastSave="0" documentId="13_ncr:1_{9A2E76F9-9B19-4DA9-8C92-C2F0C24040FD}" xr6:coauthVersionLast="36" xr6:coauthVersionMax="36" xr10:uidLastSave="{00000000-0000-0000-0000-000000000000}"/>
  <workbookProtection workbookAlgorithmName="SHA-512" workbookHashValue="b+MirVK01DCTvsCU9y7fP25bI7uUqi+KdI3ZGE8YxGgNy4EqaaT226YeSnnSUJb6UfvQh2b0yT+mXy8rMeG2jg==" workbookSaltValue="DY8B3Op4I7nQpnoYqGopwg==" workbookSpinCount="100000" lockStructure="1"/>
  <bookViews>
    <workbookView xWindow="0" yWindow="0" windowWidth="0" windowHeight="0" tabRatio="468" xr2:uid="{00000000-000D-0000-FFFF-FFFF00000000}"/>
  </bookViews>
  <sheets>
    <sheet name="Design Converter" sheetId="1" r:id="rId1"/>
    <sheet name="Stability Calculations" sheetId="29" state="hidden" r:id="rId2"/>
    <sheet name="Variable Mgmt" sheetId="2" state="hidden" r:id="rId3"/>
    <sheet name="Parameters" sheetId="19" state="hidden" r:id="rId4"/>
    <sheet name="Calculations - Single" sheetId="24" state="hidden" r:id="rId5"/>
    <sheet name="Calculations - Dual" sheetId="25" state="hidden" r:id="rId6"/>
    <sheet name="Fsw vs VIN" sheetId="23" state="hidden" r:id="rId7"/>
    <sheet name="BOM &amp; Schematic" sheetId="16" r:id="rId8"/>
    <sheet name="EVMs" sheetId="14"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Mgmt'!$B$82</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BDserR">Parameters!$D$50</definedName>
    <definedName name="BODE_TYPE">'Variable Mgmt'!$Q$20</definedName>
    <definedName name="Cb">'Variable Mgmt'!$B$186</definedName>
    <definedName name="Ccomp">'Stability Calculations'!$D$38</definedName>
    <definedName name="Chf">'Stability Calculations'!$D$39</definedName>
    <definedName name="Cin" localSheetId="3">Parameters!$D$30</definedName>
    <definedName name="Cin">'Variable Mgmt'!$B$152</definedName>
    <definedName name="CinEsrMax">'Variable Mgmt'!$B$154</definedName>
    <definedName name="Cinmin">'Variable Mgmt'!$B$150</definedName>
    <definedName name="CONFIG">'Variable Mgmt'!$C$74</definedName>
    <definedName name="Coss">Parameters!$D$45</definedName>
    <definedName name="Cout" localSheetId="3">Parameters!$D$32</definedName>
    <definedName name="Cout">'Variable Mgmt'!$B$127</definedName>
    <definedName name="Cout_pri">'Stability Calculations'!$B$27</definedName>
    <definedName name="Cout_sec">'Stability Calculations'!$B$25</definedName>
    <definedName name="Cout_Voltage_Rating">'Variable Mgmt'!$S$76</definedName>
    <definedName name="Cout2">'Variable Mgmt'!$B$137</definedName>
    <definedName name="CoutEsr">'Variable Mgmt'!$B$129</definedName>
    <definedName name="CoutEsr2">'Variable Mgmt'!$B$139</definedName>
    <definedName name="Css">'Variable Mgmt'!$B$166</definedName>
    <definedName name="Css_u">'Variable Mgmt'!$B$167</definedName>
    <definedName name="Csw">Parameters!$D$46</definedName>
    <definedName name="Diode_TC">'Variable Mgmt'!$B$197</definedName>
    <definedName name="Don_Vinmax">'Variable Mgmt'!$B$86</definedName>
    <definedName name="Don_Vinmin">'Variable Mgmt'!$B$83</definedName>
    <definedName name="Don_Vinnom">'Variable Mgmt'!$B$85</definedName>
    <definedName name="EFF_DUAL">'Efficiency Plots'!$B$7</definedName>
    <definedName name="EFF_SINGLE">'Efficiency Plots'!$B$5</definedName>
    <definedName name="Efficiency">'Variable Mgmt'!$B$39</definedName>
    <definedName name="Fco_desire">'Design Converter'!$E$58</definedName>
    <definedName name="Fsw" localSheetId="3">Parameters!$D$20</definedName>
    <definedName name="Fsw_DCM">'Variable Mgmt'!$B$61</definedName>
    <definedName name="Fsw_DUAL">'Fsw Plots'!$B$7</definedName>
    <definedName name="Fsw_max">Parameters!$D$21</definedName>
    <definedName name="Fsw_SINGLE">'Fsw Plots'!$B$5</definedName>
    <definedName name="gmEA">'Stability Calculations'!$D$31</definedName>
    <definedName name="Icinrms">'Variable Mgmt'!$B$149</definedName>
    <definedName name="Icoutrms">'Variable Mgmt'!$B$121</definedName>
    <definedName name="Iin_Vinmax">'Variable Mgmt'!$B$47</definedName>
    <definedName name="Iin_Vinmin">'Variable Mgmt'!$B$43</definedName>
    <definedName name="Iin_Vinnom">'Variable Mgmt'!$B$45</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5">'Calculations - Dual'!$Q$216</definedName>
    <definedName name="Ioutmax_Vinmax">'Calculations - Single'!$P$216</definedName>
    <definedName name="Ioutmax_Vinmin" localSheetId="5">'Calculations - Dual'!$Q$110</definedName>
    <definedName name="Ioutmax_Vinmin">'Calculations - Single'!$P$110</definedName>
    <definedName name="Ioutmax_Vinnom" localSheetId="5">'Calculations - Dual'!$Q$5</definedName>
    <definedName name="Ioutmax_Vinnom">'Calculations - Single'!$P$5</definedName>
    <definedName name="IpkCAL">'Variable Mgmt'!$B$117</definedName>
    <definedName name="IQ">Parameters!$D$39</definedName>
    <definedName name="Iripple">Parameters!$D$19</definedName>
    <definedName name="Iripple_Vinmax" localSheetId="5">'Variable Mgmt'!#REF!</definedName>
    <definedName name="Iripple_Vinmax" localSheetId="10">'Variable Mgmt'!#REF!</definedName>
    <definedName name="Iripple_Vinmin" localSheetId="5">'Variable Mgmt'!#REF!</definedName>
    <definedName name="Iripple_Vinmin" localSheetId="10">'Variable Mgmt'!#REF!</definedName>
    <definedName name="Iripple_Vinnom" localSheetId="5">'Variable Mgmt'!#REF!</definedName>
    <definedName name="Iripple_Vinnom" localSheetId="10">'Variable Mgmt'!#REF!</definedName>
    <definedName name="Iripple1" localSheetId="5">'Variable Mgmt'!#REF!</definedName>
    <definedName name="Iripple1" localSheetId="10">'Variable Mgmt'!#REF!</definedName>
    <definedName name="Iss">'Variable Mgmt'!$B$165</definedName>
    <definedName name="Isw_max">Parameters!$D$35</definedName>
    <definedName name="Isw_min">Parameters!$D$36</definedName>
    <definedName name="Iuvlo_hys">'Variable Mgmt'!$B$176</definedName>
    <definedName name="Iuvlo1">'Variable Mgmt'!$B$174</definedName>
    <definedName name="Iuvlo2">'Variable Mgmt'!$B$175</definedName>
    <definedName name="k_core">Parameters!$D$29</definedName>
    <definedName name="ktr_rcmd">'Variable Mgmt'!$B$88</definedName>
    <definedName name="L">Parameters!$D$26</definedName>
    <definedName name="Lleak">'Variable Mgmt'!$B$97</definedName>
    <definedName name="Lmag">'Variable Mgmt'!$B$96</definedName>
    <definedName name="Lmin">'Variable Mgmt'!$B$110</definedName>
    <definedName name="Lmin_abs">'Variable Mgmt'!$B$111</definedName>
    <definedName name="Ls1_">'Variable Mgmt'!$B$98</definedName>
    <definedName name="Ls2_">'Variable Mgmt'!$B$99</definedName>
    <definedName name="Ltc">'Variable Mgmt'!$B$208</definedName>
    <definedName name="M">'Stability Calculations'!$B$18</definedName>
    <definedName name="max_I">Parameters!$H$109</definedName>
    <definedName name="min_I">Parameters!$H$108</definedName>
    <definedName name="MODE">'Variable Mgmt'!$C$73</definedName>
    <definedName name="MODE_SS">'Variable Mgmt'!$J$78</definedName>
    <definedName name="MODE_TC">'Variable Mgmt'!$G$72</definedName>
    <definedName name="MODE_TOP">'Variable Mgmt'!$B$73</definedName>
    <definedName name="MODE_UVLO">'Variable Mgmt'!$G$78</definedName>
    <definedName name="Npri_sec">'Stability Calculations'!$B$13</definedName>
    <definedName name="Npri_sec1">'Variable Mgmt'!$R$64</definedName>
    <definedName name="Npri_sec2">'Variable Mgmt'!$R$66</definedName>
    <definedName name="Nps">'Variable Mgmt'!$R$63</definedName>
    <definedName name="Nsec1sec2">'Variable Mgmt'!$R$65</definedName>
    <definedName name="OffTime">Parameters!$D$18</definedName>
    <definedName name="OnTime">Parameters!$D$17</definedName>
    <definedName name="Pi">'Variable Mgmt'!$B$189</definedName>
    <definedName name="PICTURE1">INDIRECT('Schematic Mgmt'!$A$2)</definedName>
    <definedName name="PICTURE2">INDIRECT('Fsw Plots'!$A$2)</definedName>
    <definedName name="PICTURE3">INDIRECT('Efficiency Plots'!$A$2)</definedName>
    <definedName name="Pin">'Variable Mgmt'!$B$41</definedName>
    <definedName name="PLOT_TYPE">'Variable Mgmt'!$M$78</definedName>
    <definedName name="pole1">'Stability Calculations'!$Q$4</definedName>
    <definedName name="Pole2">'Stability Calculations'!$I$5</definedName>
    <definedName name="pole3">'Stability Calculations'!$T$3</definedName>
    <definedName name="pole4">'Stability Calculations'!$I$7</definedName>
    <definedName name="Pomax_allowed">'Variable Mgmt'!$B$48</definedName>
    <definedName name="Pout">'Variable Mgmt'!$B$14</definedName>
    <definedName name="Pout_total">'Variable Mgmt'!$B$22</definedName>
    <definedName name="Pout2">'Variable Mgmt'!$B$21</definedName>
    <definedName name="_xlnm.Print_Area" localSheetId="7">'BOM &amp; Schematic'!$A$1:$I$59</definedName>
    <definedName name="_xlnm.Print_Area" localSheetId="0">'Design Converter'!$A$1:$R$87</definedName>
    <definedName name="pterm1">'Stability Calculations'!$T$4</definedName>
    <definedName name="pterm2">'Stability Calculations'!$T$5</definedName>
    <definedName name="Qg">Parameters!$D$44</definedName>
    <definedName name="radconv">'Stability Calculations'!$W$6</definedName>
    <definedName name="RCinEsr" localSheetId="3">Parameters!$D$31</definedName>
    <definedName name="RCinEsr">'Variable Mgmt'!$B$155</definedName>
    <definedName name="Rcomp">'Stability Calculations'!$D$37</definedName>
    <definedName name="RCoutEsr" localSheetId="3">Parameters!$D$33</definedName>
    <definedName name="RCoutEsr">'Variable Mgmt'!$B$129</definedName>
    <definedName name="RCS">'Design Converter'!$E$17</definedName>
    <definedName name="Rcs_gain">'Stability Calculations'!$B$34</definedName>
    <definedName name="RCSmin">'Variable Mgmt'!$B$118</definedName>
    <definedName name="Rdcr_pri">'Variable Mgmt'!$B$101</definedName>
    <definedName name="Rdcr_sec">'Variable Mgmt'!$B$102</definedName>
    <definedName name="Rdcr_sec2">'Variable Mgmt'!$B$103</definedName>
    <definedName name="Rdson">Parameters!$D$41</definedName>
    <definedName name="RdsonTC">Parameters!$D$42</definedName>
    <definedName name="REAout">'Stability Calculations'!$D$32</definedName>
    <definedName name="Rfb">'Variable Mgmt'!$B$63</definedName>
    <definedName name="Rfb_recommend">'Variable Mgmt'!$B$193</definedName>
    <definedName name="Rfb2_u">'Variable Mgmt'!$B$195</definedName>
    <definedName name="Rload_pri">'Stability Calculations'!$B$22</definedName>
    <definedName name="Rload_sec">'Stability Calculations'!$B$21</definedName>
    <definedName name="RON">'Design Converter'!$L$22</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Mgmt'!$B$199</definedName>
    <definedName name="RTC_1">'Variable Mgmt'!$B$198</definedName>
    <definedName name="Ruvlo1">'Variable Mgmt'!$B$181</definedName>
    <definedName name="Ruvlo2">'Variable Mgmt'!$B$182</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3">Parameters!$D$12</definedName>
    <definedName name="Ta">'Variable Mgmt'!$B$206</definedName>
    <definedName name="TC">'Variable Mgmt'!$G$72</definedName>
    <definedName name="Tfall">Parameters!$D$23</definedName>
    <definedName name="ThetaCa">'Variable Mgmt'!$B$209</definedName>
    <definedName name="ThetaJA">Parameters!$D$54</definedName>
    <definedName name="TL">'Variable Mgmt'!$B$117</definedName>
    <definedName name="toff_max">'Variable Mgmt'!$B$109</definedName>
    <definedName name="Toff_Vinmax">'Variable Mgmt'!$B$190</definedName>
    <definedName name="Ton_Vinmin">'Variable Mgmt'!$B$191</definedName>
    <definedName name="Trise">Parameters!$D$22</definedName>
    <definedName name="TrrBot">Parameters!$D$52</definedName>
    <definedName name="Tss">'Variable Mgmt'!$B$164</definedName>
    <definedName name="Tsw">'Stability Calculations'!$B$19</definedName>
    <definedName name="Turns_Ratio">'Variable Mgmt'!$S$61</definedName>
    <definedName name="Turns_Ratio2">'Variable Mgmt'!$W$61</definedName>
    <definedName name="Vdd">Parameters!$D$13</definedName>
    <definedName name="Vds_req">'Design Converter'!$E$24</definedName>
    <definedName name="Vfwd1">Parameters!$D$48</definedName>
    <definedName name="Vfwd2">Parameters!$D$49</definedName>
    <definedName name="Vfwd22">'Variable Mgmt'!$L$106</definedName>
    <definedName name="Vin">'Design Converter'!$E$7</definedName>
    <definedName name="Vin_eff">'Stability Calculations'!$B$16</definedName>
    <definedName name="VIN_max">'Variable Mgmt'!$B$9</definedName>
    <definedName name="VIN_min">'Variable Mgmt'!$B$7</definedName>
    <definedName name="VIN_nom">'Variable Mgmt'!$B$8</definedName>
    <definedName name="Vinripple1">'Variable Mgmt'!$B$147</definedName>
    <definedName name="Vinripple2">'Variable Mgmt'!$B$160</definedName>
    <definedName name="VINuvlo_off">'Variable Mgmt'!$B$179</definedName>
    <definedName name="VINuvlo_on">'Variable Mgmt'!$B$178</definedName>
    <definedName name="Vout">'Variable Mgmt'!$B$11</definedName>
    <definedName name="Vout_eff">'Stability Calculations'!$B$14</definedName>
    <definedName name="Vout_ripple">'Variable Mgmt'!$B$35</definedName>
    <definedName name="Vout_ripple2">'Variable Mgmt'!$B$36</definedName>
    <definedName name="Vout2">'Variable Mgmt'!$B$16</definedName>
    <definedName name="Vout2_actual">'Variable Mgmt'!$B$17</definedName>
    <definedName name="Vref">'Variable Mgmt'!$B$62</definedName>
    <definedName name="Vripple1_actual">'Variable Mgmt'!$B$131</definedName>
    <definedName name="Vripple1_spec">'Variable Mgmt'!$B$125</definedName>
    <definedName name="Vripple2_actual">'Variable Mgmt'!$B$141</definedName>
    <definedName name="Vripple2_spec">'Variable Mgmt'!$B$135</definedName>
    <definedName name="VRRM_DIODE">'Variable Mgmt'!$B$28</definedName>
    <definedName name="Vuvlo_hys">'Variable Mgmt'!$B$173</definedName>
    <definedName name="Vuvlo_off">'Variable Mgmt'!$B$172</definedName>
    <definedName name="Vuvlo_on">'Variable Mgmt'!$B$171</definedName>
    <definedName name="z_RHP">'Stability Calculations'!$Q$5</definedName>
    <definedName name="Zero1">'Stability Calculations'!$Q$3</definedName>
    <definedName name="Zero2">'Stability Calculations'!$I$4</definedName>
  </definedNames>
  <calcPr calcId="191029"/>
</workbook>
</file>

<file path=xl/calcChain.xml><?xml version="1.0" encoding="utf-8"?>
<calcChain xmlns="http://schemas.openxmlformats.org/spreadsheetml/2006/main">
  <c r="W63" i="2" l="1"/>
  <c r="V61" i="2" l="1"/>
  <c r="R64" i="2"/>
  <c r="R61" i="2"/>
  <c r="R63" i="2"/>
  <c r="T58" i="2"/>
  <c r="T55" i="2"/>
  <c r="T53" i="2"/>
  <c r="T50" i="2"/>
  <c r="T47" i="2"/>
  <c r="T44" i="2"/>
  <c r="T43" i="2"/>
  <c r="T42" i="2"/>
  <c r="V49" i="2"/>
  <c r="V50" i="2"/>
  <c r="V51" i="2"/>
  <c r="V52" i="2"/>
  <c r="V53" i="2"/>
  <c r="V54" i="2"/>
  <c r="V55" i="2"/>
  <c r="V56" i="2"/>
  <c r="V57" i="2"/>
  <c r="V58" i="2"/>
  <c r="V59" i="2"/>
  <c r="V60" i="2"/>
  <c r="V32" i="2"/>
  <c r="V31" i="2"/>
  <c r="V30" i="2"/>
  <c r="V29" i="2"/>
  <c r="V28" i="2"/>
  <c r="T60" i="2"/>
  <c r="T59" i="2"/>
  <c r="T57" i="2"/>
  <c r="R60" i="2"/>
  <c r="R59" i="2"/>
  <c r="R58" i="2"/>
  <c r="R57" i="2"/>
  <c r="T56" i="2"/>
  <c r="T54" i="2"/>
  <c r="T52" i="2"/>
  <c r="T51" i="2"/>
  <c r="R29" i="2"/>
  <c r="R28" i="2"/>
  <c r="R30" i="2"/>
  <c r="R31" i="2"/>
  <c r="R55" i="2"/>
  <c r="R56" i="2"/>
  <c r="R54" i="2"/>
  <c r="R53" i="2"/>
  <c r="R52" i="2"/>
  <c r="R51" i="2"/>
  <c r="R50" i="2"/>
  <c r="R32" i="2"/>
  <c r="E45" i="1"/>
  <c r="V33" i="2" l="1"/>
  <c r="R33" i="2"/>
  <c r="R49" i="2"/>
  <c r="B29" i="19" l="1"/>
  <c r="U96" i="2" l="1"/>
  <c r="U95" i="2"/>
  <c r="K55" i="16"/>
  <c r="K54" i="16"/>
  <c r="J54" i="16"/>
  <c r="K51" i="16" l="1"/>
  <c r="J51" i="16"/>
  <c r="K53" i="16"/>
  <c r="K52" i="16"/>
  <c r="J53" i="16"/>
  <c r="J52" i="16"/>
  <c r="K38" i="16"/>
  <c r="K37" i="16"/>
  <c r="K36" i="16"/>
  <c r="K35" i="16"/>
  <c r="J38" i="16"/>
  <c r="J37" i="16"/>
  <c r="J35" i="16"/>
  <c r="J36" i="16"/>
  <c r="I38" i="16"/>
  <c r="H38" i="16"/>
  <c r="I36" i="16"/>
  <c r="H36" i="16"/>
  <c r="I35" i="16"/>
  <c r="H35" i="16"/>
  <c r="K44" i="16"/>
  <c r="J44" i="16"/>
  <c r="I44" i="16"/>
  <c r="H44" i="16"/>
  <c r="A44" i="16"/>
  <c r="K43" i="16"/>
  <c r="K46" i="16"/>
  <c r="K42" i="16"/>
  <c r="J43" i="16"/>
  <c r="J41" i="16"/>
  <c r="J42" i="16"/>
  <c r="C54" i="16" l="1"/>
  <c r="C52" i="16"/>
  <c r="D52" i="16" s="1"/>
  <c r="C36" i="16"/>
  <c r="D36" i="16" s="1"/>
  <c r="C35" i="16"/>
  <c r="D35" i="16" s="1"/>
  <c r="K31" i="1" l="1"/>
  <c r="M322" i="25" l="1"/>
  <c r="F322" i="25"/>
  <c r="M77" i="1"/>
  <c r="M74" i="1"/>
  <c r="M73" i="1"/>
  <c r="K77" i="1"/>
  <c r="K75" i="1"/>
  <c r="K74" i="1"/>
  <c r="K73" i="1"/>
  <c r="O325" i="25"/>
  <c r="H325" i="25"/>
  <c r="F322" i="24"/>
  <c r="H325" i="24"/>
  <c r="D75" i="1" l="1"/>
  <c r="D74" i="1"/>
  <c r="D73" i="1"/>
  <c r="D69" i="1"/>
  <c r="D67" i="1"/>
  <c r="N321" i="24" l="1"/>
  <c r="B44" i="19" l="1"/>
  <c r="B23" i="19" s="1"/>
  <c r="B46" i="19"/>
  <c r="L30" i="1"/>
  <c r="S30" i="1"/>
  <c r="L106" i="2"/>
  <c r="E81" i="1"/>
  <c r="K30" i="1"/>
  <c r="K29" i="1"/>
  <c r="B22" i="19" l="1"/>
  <c r="FM5" i="25"/>
  <c r="D48" i="1" l="1"/>
  <c r="D315" i="2" l="1"/>
  <c r="C53" i="16" s="1"/>
  <c r="D53" i="16" s="1"/>
  <c r="B313" i="2"/>
  <c r="D313" i="2" s="1"/>
  <c r="C51" i="16" s="1"/>
  <c r="B311" i="2"/>
  <c r="D311" i="2" s="1"/>
  <c r="B310" i="2"/>
  <c r="D310" i="2" s="1"/>
  <c r="B309" i="2"/>
  <c r="D309" i="2" s="1"/>
  <c r="B137" i="2"/>
  <c r="L23" i="1" l="1"/>
  <c r="E24" i="1"/>
  <c r="C45" i="16" s="1"/>
  <c r="T48" i="2" l="1"/>
  <c r="T46" i="2"/>
  <c r="T45" i="2"/>
  <c r="K14" i="1" l="1"/>
  <c r="CN5" i="25" l="1"/>
  <c r="DP216" i="25"/>
  <c r="DP110" i="25"/>
  <c r="CN105" i="25"/>
  <c r="CN104" i="25"/>
  <c r="CN103" i="25"/>
  <c r="CN102" i="25"/>
  <c r="CN101" i="25"/>
  <c r="CN100" i="25"/>
  <c r="CN99" i="25"/>
  <c r="CN98" i="25"/>
  <c r="CN97" i="25"/>
  <c r="CN96" i="25"/>
  <c r="CN95" i="25"/>
  <c r="CN94" i="25"/>
  <c r="CN93" i="25"/>
  <c r="CN92" i="25"/>
  <c r="CN91" i="25"/>
  <c r="CN90" i="25"/>
  <c r="CN89" i="25"/>
  <c r="CN88" i="25"/>
  <c r="CN87" i="25"/>
  <c r="CN86" i="25"/>
  <c r="CN85" i="25"/>
  <c r="CN84" i="25"/>
  <c r="CN83" i="25"/>
  <c r="CN82" i="25"/>
  <c r="CN81" i="25"/>
  <c r="CN80" i="25"/>
  <c r="CN79" i="25"/>
  <c r="CN78" i="25"/>
  <c r="CN77" i="25"/>
  <c r="CN76" i="25"/>
  <c r="CN75" i="25"/>
  <c r="CN74" i="25"/>
  <c r="CN73" i="25"/>
  <c r="CN72" i="25"/>
  <c r="CN71" i="25"/>
  <c r="CN70" i="25"/>
  <c r="CN69" i="25"/>
  <c r="CN68" i="25"/>
  <c r="CN67" i="25"/>
  <c r="CN66" i="25"/>
  <c r="CN65" i="25"/>
  <c r="CN64" i="25"/>
  <c r="CN63" i="25"/>
  <c r="CN62" i="25"/>
  <c r="CN61" i="25"/>
  <c r="CN60" i="25"/>
  <c r="CN59" i="25"/>
  <c r="CN58" i="25"/>
  <c r="CN57" i="25"/>
  <c r="CN56" i="25"/>
  <c r="CN55" i="25"/>
  <c r="CN54" i="25"/>
  <c r="CN53" i="25"/>
  <c r="CN52" i="25"/>
  <c r="CN51" i="25"/>
  <c r="CN50" i="25"/>
  <c r="CN49" i="25"/>
  <c r="CN48" i="25"/>
  <c r="CN47" i="25"/>
  <c r="CN46" i="25"/>
  <c r="CN45" i="25"/>
  <c r="CN44" i="25"/>
  <c r="CN43" i="25"/>
  <c r="CN42" i="25"/>
  <c r="CN41" i="25"/>
  <c r="CN40" i="25"/>
  <c r="CN39" i="25"/>
  <c r="CN38" i="25"/>
  <c r="CN37" i="25"/>
  <c r="CN36" i="25"/>
  <c r="CN35" i="25"/>
  <c r="CN34" i="25"/>
  <c r="CN33" i="25"/>
  <c r="CN32" i="25"/>
  <c r="CN31" i="25"/>
  <c r="CN30" i="25"/>
  <c r="CN29" i="25"/>
  <c r="CN28" i="25"/>
  <c r="CN27" i="25"/>
  <c r="CN26" i="25"/>
  <c r="CN25" i="25"/>
  <c r="CN24" i="25"/>
  <c r="CN23" i="25"/>
  <c r="CN22" i="25"/>
  <c r="CN21" i="25"/>
  <c r="CN20" i="25"/>
  <c r="CN19" i="25"/>
  <c r="CN18" i="25"/>
  <c r="CN17" i="25"/>
  <c r="CN16" i="25"/>
  <c r="CN15" i="25"/>
  <c r="CN14" i="25"/>
  <c r="CN13" i="25"/>
  <c r="CN12" i="25"/>
  <c r="CN11" i="25"/>
  <c r="CN10" i="25"/>
  <c r="CN9" i="25"/>
  <c r="CN8" i="25"/>
  <c r="CN7" i="25"/>
  <c r="CN6" i="25"/>
  <c r="DP5" i="25"/>
  <c r="DQ216" i="24" l="1"/>
  <c r="DQ110" i="24"/>
  <c r="CR108" i="24"/>
  <c r="CM105" i="24"/>
  <c r="CM104" i="24"/>
  <c r="CM103" i="24"/>
  <c r="CM102" i="24"/>
  <c r="CM101" i="24"/>
  <c r="CM100" i="24"/>
  <c r="CM99" i="24"/>
  <c r="CM98" i="24"/>
  <c r="CM97" i="24"/>
  <c r="CM96" i="24"/>
  <c r="CM95" i="24"/>
  <c r="CM94" i="24"/>
  <c r="CM93" i="24"/>
  <c r="CM92" i="24"/>
  <c r="CM91" i="24"/>
  <c r="CM90" i="24"/>
  <c r="CM89" i="24"/>
  <c r="CM88" i="24"/>
  <c r="CM87" i="24"/>
  <c r="CM86" i="24"/>
  <c r="CM85" i="24"/>
  <c r="CM84" i="24"/>
  <c r="CM83" i="24"/>
  <c r="CM82" i="24"/>
  <c r="CM81" i="24"/>
  <c r="CM80" i="24"/>
  <c r="CM79" i="24"/>
  <c r="CM78" i="24"/>
  <c r="CM77" i="24"/>
  <c r="CM76" i="24"/>
  <c r="CM75" i="24"/>
  <c r="CM74" i="24"/>
  <c r="CM73" i="24"/>
  <c r="CM72" i="24"/>
  <c r="CM71" i="24"/>
  <c r="CM70" i="24"/>
  <c r="CM69" i="24"/>
  <c r="CM68" i="24"/>
  <c r="CM67" i="24"/>
  <c r="CM66" i="24"/>
  <c r="CM65" i="24"/>
  <c r="CM64" i="24"/>
  <c r="CM63" i="24"/>
  <c r="CM62" i="24"/>
  <c r="CM61" i="24"/>
  <c r="CM60" i="24"/>
  <c r="CM59" i="24"/>
  <c r="CM58" i="24"/>
  <c r="CM57" i="24"/>
  <c r="CM56" i="24"/>
  <c r="CM55" i="24"/>
  <c r="CM54" i="24"/>
  <c r="CM53" i="24"/>
  <c r="CM52" i="24"/>
  <c r="CM51" i="24"/>
  <c r="CM50" i="24"/>
  <c r="CM49" i="24"/>
  <c r="CM48" i="24"/>
  <c r="CM47" i="24"/>
  <c r="CM46" i="24"/>
  <c r="CM45" i="24"/>
  <c r="CM44" i="24"/>
  <c r="CM43" i="24"/>
  <c r="CM42" i="24"/>
  <c r="CM41" i="24"/>
  <c r="CM40" i="24"/>
  <c r="CM39" i="24"/>
  <c r="CM38" i="24"/>
  <c r="CM37" i="24"/>
  <c r="CM36" i="24"/>
  <c r="CM35" i="24"/>
  <c r="CM34" i="24"/>
  <c r="CM33" i="24"/>
  <c r="CM32" i="24"/>
  <c r="CM31" i="24"/>
  <c r="CM30" i="24"/>
  <c r="CM29" i="24"/>
  <c r="CM28" i="24"/>
  <c r="CM27" i="24"/>
  <c r="CM26" i="24"/>
  <c r="CM25" i="24"/>
  <c r="CM24" i="24"/>
  <c r="CM23" i="24"/>
  <c r="CM22" i="24"/>
  <c r="CM21" i="24"/>
  <c r="CM20" i="24"/>
  <c r="CM19" i="24"/>
  <c r="CM18" i="24"/>
  <c r="CM17" i="24"/>
  <c r="CM16" i="24"/>
  <c r="CM15" i="24"/>
  <c r="CM14" i="24"/>
  <c r="CM13" i="24"/>
  <c r="CM12" i="24"/>
  <c r="CM11" i="24"/>
  <c r="CM10" i="24"/>
  <c r="CM9" i="24"/>
  <c r="CM8" i="24"/>
  <c r="CM7" i="24"/>
  <c r="CM6" i="24"/>
  <c r="DQ5" i="24"/>
  <c r="CM5" i="24"/>
  <c r="W63" i="1" l="1"/>
  <c r="B39" i="29"/>
  <c r="B38" i="29"/>
  <c r="B37" i="29"/>
  <c r="D49" i="29"/>
  <c r="D13" i="1" l="1"/>
  <c r="F13" i="1"/>
  <c r="B35" i="19"/>
  <c r="B33" i="29" l="1"/>
  <c r="B34" i="29" s="1"/>
  <c r="B30" i="29"/>
  <c r="R48" i="2" l="1"/>
  <c r="V48" i="2" s="1"/>
  <c r="V47" i="2"/>
  <c r="V46" i="2"/>
  <c r="V45" i="2"/>
  <c r="V44" i="2"/>
  <c r="V43" i="2"/>
  <c r="V41" i="2"/>
  <c r="V39" i="2"/>
  <c r="V38" i="2"/>
  <c r="V37" i="2"/>
  <c r="V36" i="2"/>
  <c r="V35" i="2"/>
  <c r="V34" i="2"/>
  <c r="Q105" i="2"/>
  <c r="R46" i="2"/>
  <c r="R44" i="2"/>
  <c r="R42" i="2"/>
  <c r="R40" i="2"/>
  <c r="R38" i="2"/>
  <c r="D37" i="29" l="1"/>
  <c r="C43" i="29" l="1"/>
  <c r="C42" i="29"/>
  <c r="C41" i="29"/>
  <c r="A43" i="29"/>
  <c r="A42" i="29"/>
  <c r="A41" i="29"/>
  <c r="R36" i="2" l="1"/>
  <c r="B13" i="29"/>
  <c r="R37" i="2"/>
  <c r="R39" i="2"/>
  <c r="R41" i="2"/>
  <c r="R43" i="2"/>
  <c r="R45" i="2"/>
  <c r="R47" i="2"/>
  <c r="B45" i="19"/>
  <c r="B41" i="19"/>
  <c r="D12" i="1"/>
  <c r="F12" i="1"/>
  <c r="B36" i="19"/>
  <c r="L3" i="29" l="1"/>
  <c r="D39" i="29"/>
  <c r="D38" i="29"/>
  <c r="D32" i="29"/>
  <c r="D31" i="29"/>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O3" i="29" l="1"/>
  <c r="I6" i="29"/>
  <c r="I7" i="29"/>
  <c r="S452" i="29" s="1"/>
  <c r="I4" i="29"/>
  <c r="R18" i="29" s="1"/>
  <c r="I5" i="29"/>
  <c r="O4" i="29"/>
  <c r="G626" i="29"/>
  <c r="I636" i="29"/>
  <c r="P14" i="29" l="1"/>
  <c r="P22" i="29"/>
  <c r="O297" i="29"/>
  <c r="P408" i="29"/>
  <c r="O382" i="29"/>
  <c r="O158" i="29"/>
  <c r="P21" i="29"/>
  <c r="P94" i="29"/>
  <c r="P162" i="29"/>
  <c r="O159" i="29"/>
  <c r="P235" i="29"/>
  <c r="Q90" i="29"/>
  <c r="R38" i="29"/>
  <c r="Q283" i="29"/>
  <c r="Q334" i="29"/>
  <c r="R73" i="29"/>
  <c r="R30" i="29"/>
  <c r="R26" i="29"/>
  <c r="Q525" i="29"/>
  <c r="Q59" i="29"/>
  <c r="R22" i="29"/>
  <c r="Q50" i="29"/>
  <c r="R34" i="29"/>
  <c r="Q394" i="29"/>
  <c r="Q627" i="29"/>
  <c r="R46" i="29"/>
  <c r="Q101" i="29"/>
  <c r="Q103" i="29"/>
  <c r="R42" i="29"/>
  <c r="R186" i="29"/>
  <c r="Q88" i="29"/>
  <c r="R85" i="29"/>
  <c r="R217" i="29"/>
  <c r="P150" i="29"/>
  <c r="O193" i="29"/>
  <c r="P261" i="29"/>
  <c r="O453" i="29"/>
  <c r="P107" i="29"/>
  <c r="P201" i="29"/>
  <c r="P230" i="29"/>
  <c r="P465" i="29"/>
  <c r="P76" i="29"/>
  <c r="O202" i="29"/>
  <c r="O295" i="29"/>
  <c r="P511" i="29"/>
  <c r="O162" i="29"/>
  <c r="P226" i="29"/>
  <c r="O359" i="29"/>
  <c r="O574" i="29"/>
  <c r="O125" i="29"/>
  <c r="O223" i="29"/>
  <c r="P314" i="29"/>
  <c r="P43" i="29"/>
  <c r="P97" i="29"/>
  <c r="P125" i="29"/>
  <c r="P223" i="29"/>
  <c r="O329" i="29"/>
  <c r="P19" i="29"/>
  <c r="P69" i="29"/>
  <c r="O110" i="29"/>
  <c r="P79" i="29"/>
  <c r="O140" i="29"/>
  <c r="P156" i="29"/>
  <c r="P161" i="29"/>
  <c r="O238" i="29"/>
  <c r="P27" i="29"/>
  <c r="P73" i="29"/>
  <c r="P135" i="29"/>
  <c r="O114" i="29"/>
  <c r="O156" i="29"/>
  <c r="P83" i="29"/>
  <c r="P147" i="29"/>
  <c r="P116" i="29"/>
  <c r="P160" i="29"/>
  <c r="O165" i="29"/>
  <c r="P165" i="29"/>
  <c r="O135" i="29"/>
  <c r="P196" i="29"/>
  <c r="P177" i="29"/>
  <c r="O178" i="29"/>
  <c r="P202" i="29"/>
  <c r="O199" i="29"/>
  <c r="P199" i="29"/>
  <c r="O228" i="29"/>
  <c r="P252" i="29"/>
  <c r="P233" i="29"/>
  <c r="P289" i="29"/>
  <c r="O255" i="29"/>
  <c r="P284" i="29"/>
  <c r="O298" i="29"/>
  <c r="P320" i="29"/>
  <c r="P374" i="29"/>
  <c r="P401" i="29"/>
  <c r="P435" i="29"/>
  <c r="O475" i="29"/>
  <c r="O560" i="29"/>
  <c r="P561" i="29"/>
  <c r="P41" i="29"/>
  <c r="P33" i="29"/>
  <c r="O18" i="29"/>
  <c r="O64" i="29"/>
  <c r="O66" i="29"/>
  <c r="O39" i="29"/>
  <c r="O608" i="29"/>
  <c r="O603" i="29"/>
  <c r="P586" i="29"/>
  <c r="O582" i="29"/>
  <c r="O598" i="29"/>
  <c r="P562" i="29"/>
  <c r="P581" i="29"/>
  <c r="O562" i="29"/>
  <c r="P559" i="29"/>
  <c r="O580" i="29"/>
  <c r="P567" i="29"/>
  <c r="O539" i="29"/>
  <c r="O530" i="29"/>
  <c r="P525" i="29"/>
  <c r="P555" i="29"/>
  <c r="P535" i="29"/>
  <c r="O513" i="29"/>
  <c r="P512" i="29"/>
  <c r="O512" i="29"/>
  <c r="P507" i="29"/>
  <c r="P534" i="29"/>
  <c r="P498" i="29"/>
  <c r="P497" i="29"/>
  <c r="O493" i="29"/>
  <c r="P496" i="29"/>
  <c r="O496" i="29"/>
  <c r="P474" i="29"/>
  <c r="P483" i="29"/>
  <c r="P538" i="29"/>
  <c r="O473" i="29"/>
  <c r="P491" i="29"/>
  <c r="P475" i="29"/>
  <c r="O463" i="29"/>
  <c r="O459" i="29"/>
  <c r="O427" i="29"/>
  <c r="P458" i="29"/>
  <c r="O458" i="29"/>
  <c r="O426" i="29"/>
  <c r="P441" i="29"/>
  <c r="P409" i="29"/>
  <c r="O441" i="29"/>
  <c r="O409" i="29"/>
  <c r="P428" i="29"/>
  <c r="O391" i="29"/>
  <c r="O428" i="29"/>
  <c r="P394" i="29"/>
  <c r="O420" i="29"/>
  <c r="O386" i="29"/>
  <c r="P397" i="29"/>
  <c r="P440" i="29"/>
  <c r="O414" i="29"/>
  <c r="O444" i="29"/>
  <c r="P388" i="29"/>
  <c r="P426" i="29"/>
  <c r="O376" i="29"/>
  <c r="P387" i="29"/>
  <c r="P358" i="29"/>
  <c r="O358" i="29"/>
  <c r="O326" i="29"/>
  <c r="P349" i="29"/>
  <c r="O357" i="29"/>
  <c r="O325" i="29"/>
  <c r="P356" i="29"/>
  <c r="P324" i="29"/>
  <c r="P355" i="29"/>
  <c r="P323" i="29"/>
  <c r="O331" i="29"/>
  <c r="P302" i="29"/>
  <c r="P338" i="29"/>
  <c r="O302" i="29"/>
  <c r="O373" i="29"/>
  <c r="P305" i="29"/>
  <c r="O344" i="29"/>
  <c r="O339" i="29"/>
  <c r="O288" i="29"/>
  <c r="O335" i="29"/>
  <c r="P283" i="29"/>
  <c r="P277" i="29"/>
  <c r="O252" i="29"/>
  <c r="P37" i="29"/>
  <c r="O22" i="29"/>
  <c r="O95" i="29"/>
  <c r="P30" i="29"/>
  <c r="O99" i="29"/>
  <c r="O43" i="29"/>
  <c r="O604" i="29"/>
  <c r="O599" i="29"/>
  <c r="P582" i="29"/>
  <c r="P604" i="29"/>
  <c r="O597" i="29"/>
  <c r="P558" i="29"/>
  <c r="O578" i="29"/>
  <c r="O558" i="29"/>
  <c r="P571" i="29"/>
  <c r="O571" i="29"/>
  <c r="O563" i="29"/>
  <c r="O535" i="29"/>
  <c r="O526" i="29"/>
  <c r="O591" i="29"/>
  <c r="O544" i="29"/>
  <c r="P531" i="29"/>
  <c r="O509" i="29"/>
  <c r="P508" i="29"/>
  <c r="O508" i="29"/>
  <c r="O556" i="29"/>
  <c r="O523" i="29"/>
  <c r="P494" i="29"/>
  <c r="P493" i="29"/>
  <c r="O489" i="29"/>
  <c r="P492" i="29"/>
  <c r="O492" i="29"/>
  <c r="P470" i="29"/>
  <c r="O482" i="29"/>
  <c r="P504" i="29"/>
  <c r="O469" i="29"/>
  <c r="O481" i="29"/>
  <c r="P471" i="29"/>
  <c r="O499" i="29"/>
  <c r="O455" i="29"/>
  <c r="O423" i="29"/>
  <c r="P454" i="29"/>
  <c r="O454" i="29"/>
  <c r="O422" i="29"/>
  <c r="P437" i="29"/>
  <c r="P405" i="29"/>
  <c r="P60" i="29"/>
  <c r="O26" i="29"/>
  <c r="O112" i="29"/>
  <c r="P34" i="29"/>
  <c r="O36" i="29"/>
  <c r="O600" i="29"/>
  <c r="P606" i="29"/>
  <c r="P578" i="29"/>
  <c r="P596" i="29"/>
  <c r="P592" i="29"/>
  <c r="P600" i="29"/>
  <c r="O581" i="29"/>
  <c r="P556" i="29"/>
  <c r="O570" i="29"/>
  <c r="P568" i="29"/>
  <c r="P560" i="29"/>
  <c r="O531" i="29"/>
  <c r="P552" i="29"/>
  <c r="P551" i="29"/>
  <c r="O540" i="29"/>
  <c r="P527" i="29"/>
  <c r="O505" i="29"/>
  <c r="P573" i="29"/>
  <c r="O579" i="29"/>
  <c r="P540" i="29"/>
  <c r="P522" i="29"/>
  <c r="P490" i="29"/>
  <c r="P489" i="29"/>
  <c r="O485" i="29"/>
  <c r="P488" i="29"/>
  <c r="O488" i="29"/>
  <c r="P466" i="29"/>
  <c r="P479" i="29"/>
  <c r="P499" i="29"/>
  <c r="O465" i="29"/>
  <c r="O476" i="29"/>
  <c r="P467" i="29"/>
  <c r="P459" i="29"/>
  <c r="O451" i="29"/>
  <c r="O419" i="29"/>
  <c r="P450" i="29"/>
  <c r="O450" i="29"/>
  <c r="P464" i="29"/>
  <c r="P433" i="29"/>
  <c r="P495" i="29"/>
  <c r="O433" i="29"/>
  <c r="P472" i="29"/>
  <c r="P416" i="29"/>
  <c r="O383" i="29"/>
  <c r="O416" i="29"/>
  <c r="P386" i="29"/>
  <c r="P410" i="29"/>
  <c r="O378" i="29"/>
  <c r="P389" i="29"/>
  <c r="P432" i="29"/>
  <c r="O397" i="29"/>
  <c r="O432" i="29"/>
  <c r="P380" i="29"/>
  <c r="O400" i="29"/>
  <c r="P412" i="29"/>
  <c r="P379" i="29"/>
  <c r="P350" i="29"/>
  <c r="O350" i="29"/>
  <c r="O318" i="29"/>
  <c r="P341" i="29"/>
  <c r="O349" i="29"/>
  <c r="O317" i="29"/>
  <c r="P348" i="29"/>
  <c r="P316" i="29"/>
  <c r="P347" i="29"/>
  <c r="P315" i="29"/>
  <c r="O323" i="29"/>
  <c r="P294" i="29"/>
  <c r="P333" i="29"/>
  <c r="O294" i="29"/>
  <c r="O356" i="29"/>
  <c r="P326" i="29"/>
  <c r="O327" i="29"/>
  <c r="P321" i="29"/>
  <c r="O280" i="29"/>
  <c r="P307" i="29"/>
  <c r="P275" i="29"/>
  <c r="O273" i="29"/>
  <c r="O244" i="29"/>
  <c r="O62" i="29"/>
  <c r="O30" i="29"/>
  <c r="O120" i="29"/>
  <c r="P38" i="29"/>
  <c r="P18" i="29"/>
  <c r="O59" i="29"/>
  <c r="O596" i="29"/>
  <c r="P602" i="29"/>
  <c r="O610" i="29"/>
  <c r="O589" i="29"/>
  <c r="P591" i="29"/>
  <c r="P587" i="29"/>
  <c r="P579" i="29"/>
  <c r="O552" i="29"/>
  <c r="P569" i="29"/>
  <c r="P563" i="29"/>
  <c r="O553" i="29"/>
  <c r="O527" i="29"/>
  <c r="P547" i="29"/>
  <c r="O541" i="29"/>
  <c r="O536" i="29"/>
  <c r="P523" i="29"/>
  <c r="O567" i="29"/>
  <c r="P536" i="29"/>
  <c r="P530" i="29"/>
  <c r="O519" i="29"/>
  <c r="P518" i="29"/>
  <c r="P486" i="29"/>
  <c r="P485" i="29"/>
  <c r="P546" i="29"/>
  <c r="P484" i="29"/>
  <c r="O484" i="29"/>
  <c r="O494" i="29"/>
  <c r="O478" i="29"/>
  <c r="O486" i="29"/>
  <c r="O518" i="29"/>
  <c r="O472" i="29"/>
  <c r="P463" i="29"/>
  <c r="P455" i="29"/>
  <c r="O447" i="29"/>
  <c r="O415" i="29"/>
  <c r="P446" i="29"/>
  <c r="O446" i="29"/>
  <c r="P461" i="29"/>
  <c r="P429" i="29"/>
  <c r="O461" i="29"/>
  <c r="O429" i="29"/>
  <c r="P460" i="29"/>
  <c r="O412" i="29"/>
  <c r="O379" i="29"/>
  <c r="P407" i="29"/>
  <c r="P382" i="29"/>
  <c r="O406" i="29"/>
  <c r="O460" i="29"/>
  <c r="P385" i="29"/>
  <c r="P431" i="29"/>
  <c r="O393" i="29"/>
  <c r="O424" i="29"/>
  <c r="P376" i="29"/>
  <c r="O396" i="29"/>
  <c r="O408" i="29"/>
  <c r="P375" i="29"/>
  <c r="P346" i="29"/>
  <c r="O346" i="29"/>
  <c r="P369" i="29"/>
  <c r="P337" i="29"/>
  <c r="O345" i="29"/>
  <c r="O313" i="29"/>
  <c r="P344" i="29"/>
  <c r="P312" i="29"/>
  <c r="P343" i="29"/>
  <c r="O368" i="29"/>
  <c r="O316" i="29"/>
  <c r="P290" i="29"/>
  <c r="P325" i="29"/>
  <c r="O290" i="29"/>
  <c r="O351" i="29"/>
  <c r="P318" i="29"/>
  <c r="O320" i="29"/>
  <c r="O308" i="29"/>
  <c r="O276" i="29"/>
  <c r="P303" i="29"/>
  <c r="O307" i="29"/>
  <c r="O272" i="29"/>
  <c r="O240" i="29"/>
  <c r="O69" i="29"/>
  <c r="O46" i="29"/>
  <c r="P130" i="29"/>
  <c r="P48" i="29"/>
  <c r="P26" i="29"/>
  <c r="P66" i="29"/>
  <c r="P611" i="29"/>
  <c r="P598" i="29"/>
  <c r="O594" i="29"/>
  <c r="O585" i="29"/>
  <c r="P588" i="29"/>
  <c r="P577" i="29"/>
  <c r="O576" i="29"/>
  <c r="O547" i="29"/>
  <c r="P564" i="29"/>
  <c r="P557" i="29"/>
  <c r="O549" i="29"/>
  <c r="O546" i="29"/>
  <c r="P541" i="29"/>
  <c r="O537" i="29"/>
  <c r="O532" i="29"/>
  <c r="O575" i="29"/>
  <c r="P548" i="29"/>
  <c r="P526" i="29"/>
  <c r="O524" i="29"/>
  <c r="O515" i="29"/>
  <c r="P514" i="29"/>
  <c r="P482" i="29"/>
  <c r="O522" i="29"/>
  <c r="P528" i="29"/>
  <c r="P521" i="29"/>
  <c r="P544" i="29"/>
  <c r="O474" i="29"/>
  <c r="P477" i="29"/>
  <c r="O483" i="29"/>
  <c r="P513" i="29"/>
  <c r="O468" i="29"/>
  <c r="O487" i="29"/>
  <c r="P451" i="29"/>
  <c r="O443" i="29"/>
  <c r="O411" i="29"/>
  <c r="P442" i="29"/>
  <c r="O442" i="29"/>
  <c r="P457" i="29"/>
  <c r="P425" i="29"/>
  <c r="O457" i="29"/>
  <c r="O425" i="29"/>
  <c r="P456" i="29"/>
  <c r="P404" i="29"/>
  <c r="O375" i="29"/>
  <c r="P406" i="29"/>
  <c r="P378" i="29"/>
  <c r="O402" i="29"/>
  <c r="P415" i="29"/>
  <c r="P381" i="29"/>
  <c r="P424" i="29"/>
  <c r="O389" i="29"/>
  <c r="O418" i="29"/>
  <c r="P372" i="29"/>
  <c r="O392" i="29"/>
  <c r="P403" i="29"/>
  <c r="P371" i="29"/>
  <c r="P342" i="29"/>
  <c r="O342" i="29"/>
  <c r="P365" i="29"/>
  <c r="P370" i="29"/>
  <c r="O341" i="29"/>
  <c r="O370" i="29"/>
  <c r="P340" i="29"/>
  <c r="O372" i="29"/>
  <c r="P339" i="29"/>
  <c r="O363" i="29"/>
  <c r="O315" i="29"/>
  <c r="P286" i="29"/>
  <c r="P317" i="29"/>
  <c r="O286" i="29"/>
  <c r="O340" i="29"/>
  <c r="O309" i="29"/>
  <c r="O319" i="29"/>
  <c r="O304" i="29"/>
  <c r="O364" i="29"/>
  <c r="P299" i="29"/>
  <c r="P293" i="29"/>
  <c r="O268" i="29"/>
  <c r="O236" i="29"/>
  <c r="P25" i="29"/>
  <c r="O89" i="29"/>
  <c r="O55" i="29"/>
  <c r="O57" i="29"/>
  <c r="O31" i="29"/>
  <c r="O611" i="29"/>
  <c r="G624" i="29"/>
  <c r="R624" i="29" s="1"/>
  <c r="O590" i="29"/>
  <c r="O606" i="29"/>
  <c r="P584" i="29"/>
  <c r="O557" i="29"/>
  <c r="O568" i="29"/>
  <c r="P565" i="29"/>
  <c r="O554" i="29"/>
  <c r="P549" i="29"/>
  <c r="O566" i="29"/>
  <c r="O538" i="29"/>
  <c r="P533" i="29"/>
  <c r="O529" i="29"/>
  <c r="P543" i="29"/>
  <c r="O521" i="29"/>
  <c r="P520" i="29"/>
  <c r="O520" i="29"/>
  <c r="P515" i="29"/>
  <c r="O507" i="29"/>
  <c r="P506" i="29"/>
  <c r="O502" i="29"/>
  <c r="O501" i="29"/>
  <c r="P503" i="29"/>
  <c r="O503" i="29"/>
  <c r="P502" i="29"/>
  <c r="O466" i="29"/>
  <c r="P469" i="29"/>
  <c r="O479" i="29"/>
  <c r="O514" i="29"/>
  <c r="O491" i="29"/>
  <c r="O471" i="29"/>
  <c r="P443" i="29"/>
  <c r="O435" i="29"/>
  <c r="O480" i="29"/>
  <c r="P476" i="29"/>
  <c r="O434" i="29"/>
  <c r="P449" i="29"/>
  <c r="P417" i="29"/>
  <c r="O449" i="29"/>
  <c r="O417" i="29"/>
  <c r="P436" i="29"/>
  <c r="O399" i="29"/>
  <c r="O452" i="29"/>
  <c r="P402" i="29"/>
  <c r="P430" i="29"/>
  <c r="O394" i="29"/>
  <c r="O410" i="29"/>
  <c r="P373" i="29"/>
  <c r="P419" i="29"/>
  <c r="O381" i="29"/>
  <c r="P396" i="29"/>
  <c r="P448" i="29"/>
  <c r="O384" i="29"/>
  <c r="P395" i="29"/>
  <c r="P366" i="29"/>
  <c r="O366" i="29"/>
  <c r="O334" i="29"/>
  <c r="P357" i="29"/>
  <c r="O365" i="29"/>
  <c r="O333" i="29"/>
  <c r="P364" i="29"/>
  <c r="P332" i="29"/>
  <c r="P363" i="29"/>
  <c r="P331" i="29"/>
  <c r="O347" i="29"/>
  <c r="P310" i="29"/>
  <c r="P278" i="29"/>
  <c r="O310" i="29"/>
  <c r="O278" i="29"/>
  <c r="O312" i="29"/>
  <c r="O360" i="29"/>
  <c r="P304" i="29"/>
  <c r="O296" i="29"/>
  <c r="O348" i="29"/>
  <c r="P291" i="29"/>
  <c r="P285" i="29"/>
  <c r="O260" i="29"/>
  <c r="P330" i="29"/>
  <c r="O14" i="29"/>
  <c r="O15" i="29"/>
  <c r="P594" i="29"/>
  <c r="O561" i="29"/>
  <c r="P553" i="29"/>
  <c r="O533" i="29"/>
  <c r="P524" i="29"/>
  <c r="P478" i="29"/>
  <c r="O506" i="29"/>
  <c r="P509" i="29"/>
  <c r="O439" i="29"/>
  <c r="P453" i="29"/>
  <c r="O413" i="29"/>
  <c r="O371" i="29"/>
  <c r="P411" i="29"/>
  <c r="P444" i="29"/>
  <c r="P400" i="29"/>
  <c r="O362" i="29"/>
  <c r="P352" i="29"/>
  <c r="P327" i="29"/>
  <c r="P282" i="29"/>
  <c r="O367" i="29"/>
  <c r="P300" i="29"/>
  <c r="O248" i="29"/>
  <c r="O267" i="29"/>
  <c r="P242" i="29"/>
  <c r="P297" i="29"/>
  <c r="O48" i="29"/>
  <c r="O35" i="29"/>
  <c r="P590" i="29"/>
  <c r="O587" i="29"/>
  <c r="P545" i="29"/>
  <c r="O525" i="29"/>
  <c r="O516" i="29"/>
  <c r="P501" i="29"/>
  <c r="O498" i="29"/>
  <c r="O495" i="29"/>
  <c r="O431" i="29"/>
  <c r="P445" i="29"/>
  <c r="O405" i="29"/>
  <c r="O436" i="29"/>
  <c r="O398" i="29"/>
  <c r="P439" i="29"/>
  <c r="P392" i="29"/>
  <c r="P399" i="29"/>
  <c r="O354" i="29"/>
  <c r="O361" i="29"/>
  <c r="P336" i="29"/>
  <c r="P319" i="29"/>
  <c r="P274" i="29"/>
  <c r="O314" i="29"/>
  <c r="P329" i="29"/>
  <c r="P287" i="29"/>
  <c r="O232" i="29"/>
  <c r="P255" i="29"/>
  <c r="O263" i="29"/>
  <c r="P270" i="29"/>
  <c r="P238" i="29"/>
  <c r="O270" i="29"/>
  <c r="O289" i="29"/>
  <c r="P245" i="29"/>
  <c r="O291" i="29"/>
  <c r="O249" i="29"/>
  <c r="P260" i="29"/>
  <c r="O233" i="29"/>
  <c r="P200" i="29"/>
  <c r="O212" i="29"/>
  <c r="O180" i="29"/>
  <c r="P207" i="29"/>
  <c r="P175" i="29"/>
  <c r="O207" i="29"/>
  <c r="O175" i="29"/>
  <c r="P210" i="29"/>
  <c r="O218" i="29"/>
  <c r="O186" i="29"/>
  <c r="P217" i="29"/>
  <c r="P185" i="29"/>
  <c r="O209" i="29"/>
  <c r="O177" i="29"/>
  <c r="P184" i="29"/>
  <c r="O143" i="29"/>
  <c r="P178" i="29"/>
  <c r="P171" i="29"/>
  <c r="P141" i="29"/>
  <c r="P176" i="29"/>
  <c r="O141" i="29"/>
  <c r="P168" i="29"/>
  <c r="P136" i="29"/>
  <c r="O130" i="29"/>
  <c r="P92" i="29"/>
  <c r="P155" i="29"/>
  <c r="P123" i="29"/>
  <c r="P91" i="29"/>
  <c r="P59" i="29"/>
  <c r="O115" i="29"/>
  <c r="P110" i="29"/>
  <c r="P159" i="29"/>
  <c r="O90" i="29"/>
  <c r="P143" i="29"/>
  <c r="P113" i="29"/>
  <c r="P81" i="29"/>
  <c r="P49" i="29"/>
  <c r="O70" i="29"/>
  <c r="O105" i="29"/>
  <c r="O68" i="29"/>
  <c r="O586" i="29"/>
  <c r="O543" i="29"/>
  <c r="P62" i="29"/>
  <c r="P593" i="29"/>
  <c r="O572" i="29"/>
  <c r="O545" i="29"/>
  <c r="O528" i="29"/>
  <c r="P519" i="29"/>
  <c r="P517" i="29"/>
  <c r="O470" i="29"/>
  <c r="O464" i="29"/>
  <c r="O407" i="29"/>
  <c r="P421" i="29"/>
  <c r="P452" i="29"/>
  <c r="P420" i="29"/>
  <c r="O390" i="29"/>
  <c r="P423" i="29"/>
  <c r="P384" i="29"/>
  <c r="P391" i="29"/>
  <c r="O338" i="29"/>
  <c r="O353" i="29"/>
  <c r="P328" i="29"/>
  <c r="O352" i="29"/>
  <c r="O336" i="29"/>
  <c r="P309" i="29"/>
  <c r="O300" i="29"/>
  <c r="P279" i="29"/>
  <c r="O293" i="29"/>
  <c r="P251" i="29"/>
  <c r="O259" i="29"/>
  <c r="P266" i="29"/>
  <c r="P234" i="29"/>
  <c r="O266" i="29"/>
  <c r="O281" i="29"/>
  <c r="P241" i="29"/>
  <c r="O283" i="29"/>
  <c r="O245" i="29"/>
  <c r="P256" i="29"/>
  <c r="P228" i="29"/>
  <c r="P239" i="29"/>
  <c r="O208" i="29"/>
  <c r="O176" i="29"/>
  <c r="P203" i="29"/>
  <c r="O246" i="29"/>
  <c r="O203" i="29"/>
  <c r="O171" i="29"/>
  <c r="P206" i="29"/>
  <c r="O214" i="29"/>
  <c r="O182" i="29"/>
  <c r="P213" i="29"/>
  <c r="P181" i="29"/>
  <c r="O205" i="29"/>
  <c r="O173" i="29"/>
  <c r="P172" i="29"/>
  <c r="O139" i="29"/>
  <c r="O172" i="29"/>
  <c r="P169" i="29"/>
  <c r="P137" i="29"/>
  <c r="O169" i="29"/>
  <c r="O137" i="29"/>
  <c r="P164" i="29"/>
  <c r="P132" i="29"/>
  <c r="O122" i="29"/>
  <c r="P88" i="29"/>
  <c r="O148" i="29"/>
  <c r="P119" i="29"/>
  <c r="P87" i="29"/>
  <c r="P55" i="29"/>
  <c r="O170" i="29"/>
  <c r="P106" i="29"/>
  <c r="P118" i="29"/>
  <c r="O86" i="29"/>
  <c r="O136" i="29"/>
  <c r="P109" i="29"/>
  <c r="P77" i="29"/>
  <c r="P15" i="29"/>
  <c r="P31" i="29"/>
  <c r="O107" i="29"/>
  <c r="P146" i="29"/>
  <c r="P29" i="29"/>
  <c r="O50" i="29"/>
  <c r="P595" i="29"/>
  <c r="P585" i="29"/>
  <c r="O559" i="29"/>
  <c r="P537" i="29"/>
  <c r="P542" i="29"/>
  <c r="P510" i="29"/>
  <c r="O510" i="29"/>
  <c r="P480" i="29"/>
  <c r="P447" i="29"/>
  <c r="O438" i="29"/>
  <c r="O437" i="29"/>
  <c r="O395" i="29"/>
  <c r="P438" i="29"/>
  <c r="P393" i="29"/>
  <c r="O377" i="29"/>
  <c r="O388" i="29"/>
  <c r="P354" i="29"/>
  <c r="P353" i="29"/>
  <c r="P368" i="29"/>
  <c r="P351" i="29"/>
  <c r="P306" i="29"/>
  <c r="O282" i="29"/>
  <c r="O328" i="29"/>
  <c r="O343" i="29"/>
  <c r="O264" i="29"/>
  <c r="P267" i="29"/>
  <c r="O279" i="29"/>
  <c r="O243" i="29"/>
  <c r="P250" i="29"/>
  <c r="P288" i="29"/>
  <c r="O250" i="29"/>
  <c r="P257" i="29"/>
  <c r="O301" i="29"/>
  <c r="O261" i="29"/>
  <c r="P272" i="29"/>
  <c r="P240" i="29"/>
  <c r="P212" i="29"/>
  <c r="O224" i="29"/>
  <c r="O192" i="29"/>
  <c r="P219" i="29"/>
  <c r="P187" i="29"/>
  <c r="O219" i="29"/>
  <c r="O187" i="29"/>
  <c r="P222" i="29"/>
  <c r="O230" i="29"/>
  <c r="O198" i="29"/>
  <c r="P229" i="29"/>
  <c r="P197" i="29"/>
  <c r="O221" i="29"/>
  <c r="O189" i="29"/>
  <c r="O164" i="29"/>
  <c r="O155" i="29"/>
  <c r="O123" i="29"/>
  <c r="P158" i="29"/>
  <c r="P153" i="29"/>
  <c r="P121" i="29"/>
  <c r="O153" i="29"/>
  <c r="O121" i="29"/>
  <c r="P148" i="29"/>
  <c r="O154" i="29"/>
  <c r="P104" i="29"/>
  <c r="P167" i="29"/>
  <c r="O132" i="29"/>
  <c r="P103" i="29"/>
  <c r="P71" i="29"/>
  <c r="P142" i="29"/>
  <c r="O134" i="29"/>
  <c r="P90" i="29"/>
  <c r="O102" i="29"/>
  <c r="O152" i="29"/>
  <c r="P120" i="29"/>
  <c r="P93" i="29"/>
  <c r="P61" i="29"/>
  <c r="P23" i="29"/>
  <c r="P39" i="29"/>
  <c r="O61" i="29"/>
  <c r="O369" i="29"/>
  <c r="P301" i="29"/>
  <c r="P264" i="29"/>
  <c r="P204" i="29"/>
  <c r="O184" i="29"/>
  <c r="O75" i="29"/>
  <c r="P64" i="29"/>
  <c r="O607" i="29"/>
  <c r="P583" i="29"/>
  <c r="O550" i="29"/>
  <c r="P529" i="29"/>
  <c r="P516" i="29"/>
  <c r="O504" i="29"/>
  <c r="O500" i="29"/>
  <c r="O477" i="29"/>
  <c r="P468" i="29"/>
  <c r="O430" i="29"/>
  <c r="O421" i="29"/>
  <c r="O387" i="29"/>
  <c r="P422" i="29"/>
  <c r="P377" i="29"/>
  <c r="O440" i="29"/>
  <c r="O380" i="29"/>
  <c r="O374" i="29"/>
  <c r="P345" i="29"/>
  <c r="P360" i="29"/>
  <c r="P335" i="29"/>
  <c r="P298" i="29"/>
  <c r="O274" i="29"/>
  <c r="P308" i="29"/>
  <c r="P313" i="29"/>
  <c r="O256" i="29"/>
  <c r="P263" i="29"/>
  <c r="O271" i="29"/>
  <c r="O239" i="29"/>
  <c r="P246" i="29"/>
  <c r="P281" i="29"/>
  <c r="P311" i="29"/>
  <c r="P253" i="29"/>
  <c r="O299" i="29"/>
  <c r="O257" i="29"/>
  <c r="P268" i="29"/>
  <c r="P236" i="29"/>
  <c r="P208" i="29"/>
  <c r="O220" i="29"/>
  <c r="O188" i="29"/>
  <c r="P215" i="29"/>
  <c r="P183" i="29"/>
  <c r="O215" i="29"/>
  <c r="O183" i="29"/>
  <c r="P218" i="29"/>
  <c r="O226" i="29"/>
  <c r="O194" i="29"/>
  <c r="P225" i="29"/>
  <c r="P193" i="29"/>
  <c r="O217" i="29"/>
  <c r="O185" i="29"/>
  <c r="O160" i="29"/>
  <c r="O151" i="29"/>
  <c r="O119" i="29"/>
  <c r="P188" i="29"/>
  <c r="P149" i="29"/>
  <c r="P198" i="29"/>
  <c r="O149" i="29"/>
  <c r="P186" i="29"/>
  <c r="P144" i="29"/>
  <c r="O146" i="29"/>
  <c r="P100" i="29"/>
  <c r="O116" i="29"/>
  <c r="P131" i="29"/>
  <c r="P99" i="29"/>
  <c r="P67" i="29"/>
  <c r="P134" i="29"/>
  <c r="O126" i="29"/>
  <c r="P86" i="29"/>
  <c r="O98" i="29"/>
  <c r="P151" i="29"/>
  <c r="O118" i="29"/>
  <c r="P89" i="29"/>
  <c r="P57" i="29"/>
  <c r="O92" i="29"/>
  <c r="O448" i="29"/>
  <c r="P295" i="29"/>
  <c r="P259" i="29"/>
  <c r="O303" i="29"/>
  <c r="P280" i="29"/>
  <c r="P249" i="29"/>
  <c r="O253" i="29"/>
  <c r="P232" i="29"/>
  <c r="O216" i="29"/>
  <c r="P105" i="29"/>
  <c r="P115" i="29"/>
  <c r="P52" i="29"/>
  <c r="O128" i="29"/>
  <c r="O79" i="29"/>
  <c r="P85" i="29"/>
  <c r="O144" i="29"/>
  <c r="P82" i="29"/>
  <c r="P126" i="29"/>
  <c r="P95" i="29"/>
  <c r="O166" i="29"/>
  <c r="O138" i="29"/>
  <c r="P174" i="29"/>
  <c r="P192" i="29"/>
  <c r="P182" i="29"/>
  <c r="O147" i="29"/>
  <c r="O181" i="29"/>
  <c r="P189" i="29"/>
  <c r="O190" i="29"/>
  <c r="P214" i="29"/>
  <c r="O211" i="29"/>
  <c r="P211" i="29"/>
  <c r="O234" i="29"/>
  <c r="P273" i="29"/>
  <c r="P237" i="29"/>
  <c r="P296" i="29"/>
  <c r="O287" i="29"/>
  <c r="P292" i="29"/>
  <c r="O306" i="29"/>
  <c r="O321" i="29"/>
  <c r="P383" i="29"/>
  <c r="P414" i="29"/>
  <c r="O445" i="29"/>
  <c r="P487" i="29"/>
  <c r="O511" i="29"/>
  <c r="O583" i="29"/>
  <c r="P627" i="29"/>
  <c r="P68" i="29"/>
  <c r="P101" i="29"/>
  <c r="O78" i="29"/>
  <c r="P98" i="29"/>
  <c r="P173" i="29"/>
  <c r="P111" i="29"/>
  <c r="P80" i="29"/>
  <c r="P124" i="29"/>
  <c r="O129" i="29"/>
  <c r="P129" i="29"/>
  <c r="P166" i="29"/>
  <c r="O163" i="29"/>
  <c r="O197" i="29"/>
  <c r="P205" i="29"/>
  <c r="O206" i="29"/>
  <c r="O237" i="29"/>
  <c r="O227" i="29"/>
  <c r="P227" i="29"/>
  <c r="P216" i="29"/>
  <c r="O241" i="29"/>
  <c r="P265" i="29"/>
  <c r="P254" i="29"/>
  <c r="P247" i="29"/>
  <c r="O284" i="29"/>
  <c r="O311" i="29"/>
  <c r="O337" i="29"/>
  <c r="P434" i="29"/>
  <c r="P390" i="29"/>
  <c r="P413" i="29"/>
  <c r="P473" i="29"/>
  <c r="O517" i="29"/>
  <c r="O605" i="29"/>
  <c r="P51" i="29"/>
  <c r="O133" i="29"/>
  <c r="O167" i="29"/>
  <c r="P209" i="29"/>
  <c r="O242" i="29"/>
  <c r="P243" i="29"/>
  <c r="O235" i="29"/>
  <c r="O265" i="29"/>
  <c r="P269" i="29"/>
  <c r="P258" i="29"/>
  <c r="P271" i="29"/>
  <c r="O292" i="29"/>
  <c r="O324" i="29"/>
  <c r="P361" i="29"/>
  <c r="O456" i="29"/>
  <c r="P398" i="29"/>
  <c r="O462" i="29"/>
  <c r="O490" i="29"/>
  <c r="P532" i="29"/>
  <c r="P613" i="29"/>
  <c r="O82" i="29"/>
  <c r="P84" i="29"/>
  <c r="P133" i="29"/>
  <c r="P170" i="29"/>
  <c r="O201" i="29"/>
  <c r="O210" i="29"/>
  <c r="P220" i="29"/>
  <c r="P35" i="29"/>
  <c r="P53" i="29"/>
  <c r="P117" i="29"/>
  <c r="O94" i="29"/>
  <c r="P114" i="29"/>
  <c r="P63" i="29"/>
  <c r="O124" i="29"/>
  <c r="P96" i="29"/>
  <c r="P140" i="29"/>
  <c r="O145" i="29"/>
  <c r="P145" i="29"/>
  <c r="P194" i="29"/>
  <c r="P190" i="29"/>
  <c r="O213" i="29"/>
  <c r="P221" i="29"/>
  <c r="O222" i="29"/>
  <c r="O179" i="29"/>
  <c r="P179" i="29"/>
  <c r="O196" i="29"/>
  <c r="P224" i="29"/>
  <c r="O269" i="29"/>
  <c r="O254" i="29"/>
  <c r="P262" i="29"/>
  <c r="O277" i="29"/>
  <c r="O355" i="29"/>
  <c r="O332" i="29"/>
  <c r="O322" i="29"/>
  <c r="O385" i="29"/>
  <c r="O404" i="29"/>
  <c r="P481" i="29"/>
  <c r="P500" i="29"/>
  <c r="P539" i="29"/>
  <c r="O88" i="29"/>
  <c r="P128" i="29"/>
  <c r="O54" i="29"/>
  <c r="P65" i="29"/>
  <c r="P127" i="29"/>
  <c r="O106" i="29"/>
  <c r="O142" i="29"/>
  <c r="P75" i="29"/>
  <c r="P139" i="29"/>
  <c r="P108" i="29"/>
  <c r="P152" i="29"/>
  <c r="O157" i="29"/>
  <c r="P157" i="29"/>
  <c r="O127" i="29"/>
  <c r="O168" i="29"/>
  <c r="O225" i="29"/>
  <c r="O231" i="29"/>
  <c r="P231" i="29"/>
  <c r="O191" i="29"/>
  <c r="P191" i="29"/>
  <c r="O200" i="29"/>
  <c r="P244" i="29"/>
  <c r="O275" i="29"/>
  <c r="O258" i="29"/>
  <c r="O247" i="29"/>
  <c r="O285" i="29"/>
  <c r="O305" i="29"/>
  <c r="P359" i="29"/>
  <c r="O330" i="29"/>
  <c r="O401" i="29"/>
  <c r="O403" i="29"/>
  <c r="P462" i="29"/>
  <c r="P505" i="29"/>
  <c r="O534" i="29"/>
  <c r="O627" i="29"/>
  <c r="P102" i="29"/>
  <c r="O150" i="29"/>
  <c r="P112" i="29"/>
  <c r="O161" i="29"/>
  <c r="O131" i="29"/>
  <c r="P180" i="29"/>
  <c r="O229" i="29"/>
  <c r="O174" i="29"/>
  <c r="O195" i="29"/>
  <c r="P195" i="29"/>
  <c r="O204" i="29"/>
  <c r="P248" i="29"/>
  <c r="P322" i="29"/>
  <c r="O262" i="29"/>
  <c r="O251" i="29"/>
  <c r="P276" i="29"/>
  <c r="P334" i="29"/>
  <c r="P367" i="29"/>
  <c r="P362" i="29"/>
  <c r="P418" i="29"/>
  <c r="P427" i="29"/>
  <c r="O467" i="29"/>
  <c r="O497" i="29"/>
  <c r="O542" i="29"/>
  <c r="P580" i="29"/>
  <c r="O551" i="29"/>
  <c r="P575" i="29"/>
  <c r="P572" i="29"/>
  <c r="O565" i="29"/>
  <c r="P566" i="29"/>
  <c r="P608" i="29"/>
  <c r="O613" i="29"/>
  <c r="P612" i="29"/>
  <c r="O601" i="29"/>
  <c r="P601" i="29"/>
  <c r="P610" i="29"/>
  <c r="P599" i="29"/>
  <c r="O612" i="29"/>
  <c r="O52" i="29"/>
  <c r="O27" i="29"/>
  <c r="O97" i="29"/>
  <c r="O47" i="29"/>
  <c r="O44" i="29"/>
  <c r="O93" i="29"/>
  <c r="O42" i="29"/>
  <c r="P163" i="29"/>
  <c r="O53" i="29"/>
  <c r="P17" i="29"/>
  <c r="P550" i="29"/>
  <c r="O555" i="29"/>
  <c r="O592" i="29"/>
  <c r="P576" i="29"/>
  <c r="O569" i="29"/>
  <c r="P570" i="29"/>
  <c r="O584" i="29"/>
  <c r="P597" i="29"/>
  <c r="P589" i="29"/>
  <c r="O602" i="29"/>
  <c r="P609" i="29"/>
  <c r="I634" i="29"/>
  <c r="P603" i="29"/>
  <c r="O103" i="29"/>
  <c r="P50" i="29"/>
  <c r="O23" i="29"/>
  <c r="O84" i="29"/>
  <c r="P46" i="29"/>
  <c r="O24" i="29"/>
  <c r="O80" i="29"/>
  <c r="O38" i="29"/>
  <c r="O108" i="29"/>
  <c r="P45" i="29"/>
  <c r="P13" i="29"/>
  <c r="P554" i="29"/>
  <c r="O548" i="29"/>
  <c r="O564" i="29"/>
  <c r="O577" i="29"/>
  <c r="O573" i="29"/>
  <c r="P574" i="29"/>
  <c r="O588" i="29"/>
  <c r="P605" i="29"/>
  <c r="O593" i="29"/>
  <c r="O609" i="29"/>
  <c r="AC624" i="29"/>
  <c r="O595" i="29"/>
  <c r="P607" i="29"/>
  <c r="O101" i="29"/>
  <c r="P47" i="29"/>
  <c r="O19" i="29"/>
  <c r="O73" i="29"/>
  <c r="P42" i="29"/>
  <c r="O71" i="29"/>
  <c r="O34" i="29"/>
  <c r="O91" i="29"/>
  <c r="T35" i="29"/>
  <c r="S109" i="29"/>
  <c r="Q416" i="29"/>
  <c r="Q559" i="29"/>
  <c r="R627" i="29"/>
  <c r="Q66" i="29"/>
  <c r="R57" i="29"/>
  <c r="Q47" i="29"/>
  <c r="R159" i="29"/>
  <c r="R291" i="29"/>
  <c r="Q333" i="29"/>
  <c r="Q468" i="29"/>
  <c r="R161" i="29"/>
  <c r="Q261" i="29"/>
  <c r="Q383" i="29"/>
  <c r="Q492" i="29"/>
  <c r="Q145" i="29"/>
  <c r="Q30" i="29"/>
  <c r="R67" i="29"/>
  <c r="R149" i="29"/>
  <c r="R185" i="29"/>
  <c r="R214" i="29"/>
  <c r="R296" i="29"/>
  <c r="R318" i="29"/>
  <c r="R375" i="29"/>
  <c r="R453" i="29"/>
  <c r="Q518" i="29"/>
  <c r="Q582" i="29"/>
  <c r="R609" i="29"/>
  <c r="R84" i="29"/>
  <c r="R131" i="29"/>
  <c r="Q228" i="29"/>
  <c r="R316" i="29"/>
  <c r="Q323" i="29"/>
  <c r="R346" i="29"/>
  <c r="Q381" i="29"/>
  <c r="R474" i="29"/>
  <c r="R523" i="29"/>
  <c r="I635" i="29"/>
  <c r="S96" i="29"/>
  <c r="S186" i="29"/>
  <c r="S114" i="29"/>
  <c r="S270" i="29"/>
  <c r="T147" i="29"/>
  <c r="T344" i="29"/>
  <c r="T215" i="29"/>
  <c r="T25" i="29"/>
  <c r="T145" i="29"/>
  <c r="T86" i="29"/>
  <c r="S125" i="29"/>
  <c r="S212" i="29"/>
  <c r="T270" i="29"/>
  <c r="S302" i="29"/>
  <c r="T433" i="29"/>
  <c r="T116" i="29"/>
  <c r="T138" i="29"/>
  <c r="S158" i="29"/>
  <c r="S231" i="29"/>
  <c r="S297" i="29"/>
  <c r="S284" i="29"/>
  <c r="S461" i="29"/>
  <c r="T75" i="29"/>
  <c r="T61" i="29"/>
  <c r="S139" i="29"/>
  <c r="S211" i="29"/>
  <c r="T177" i="29"/>
  <c r="S289" i="29"/>
  <c r="T345" i="29"/>
  <c r="T91" i="29"/>
  <c r="S112" i="29"/>
  <c r="S154" i="29"/>
  <c r="T144" i="29"/>
  <c r="T77" i="29"/>
  <c r="S132" i="29"/>
  <c r="T102" i="29"/>
  <c r="T154" i="29"/>
  <c r="S155" i="29"/>
  <c r="T163" i="29"/>
  <c r="S141" i="29"/>
  <c r="T172" i="29"/>
  <c r="S227" i="29"/>
  <c r="S232" i="29"/>
  <c r="S228" i="29"/>
  <c r="S185" i="29"/>
  <c r="T193" i="29"/>
  <c r="S218" i="29"/>
  <c r="S333" i="29"/>
  <c r="S268" i="29"/>
  <c r="S265" i="29"/>
  <c r="T289" i="29"/>
  <c r="T306" i="29"/>
  <c r="S326" i="29"/>
  <c r="T350" i="29"/>
  <c r="S406" i="29"/>
  <c r="T396" i="29"/>
  <c r="T520" i="29"/>
  <c r="T13" i="29"/>
  <c r="T107" i="29"/>
  <c r="S122" i="29"/>
  <c r="T84" i="29"/>
  <c r="S118" i="29"/>
  <c r="T93" i="29"/>
  <c r="T141" i="29"/>
  <c r="T124" i="29"/>
  <c r="T170" i="29"/>
  <c r="T186" i="29"/>
  <c r="T192" i="29"/>
  <c r="S157" i="29"/>
  <c r="S179" i="29"/>
  <c r="T183" i="29"/>
  <c r="S180" i="29"/>
  <c r="T204" i="29"/>
  <c r="S201" i="29"/>
  <c r="T209" i="29"/>
  <c r="T210" i="29"/>
  <c r="S267" i="29"/>
  <c r="S325" i="29"/>
  <c r="T265" i="29"/>
  <c r="T316" i="29"/>
  <c r="S321" i="29"/>
  <c r="T300" i="29"/>
  <c r="S347" i="29"/>
  <c r="S398" i="29"/>
  <c r="S423" i="29"/>
  <c r="T583" i="29"/>
  <c r="S99" i="29"/>
  <c r="S86" i="29"/>
  <c r="S71" i="29"/>
  <c r="S64" i="29"/>
  <c r="T41" i="29"/>
  <c r="T59" i="29"/>
  <c r="S80" i="29"/>
  <c r="S136" i="29"/>
  <c r="T100" i="29"/>
  <c r="T174" i="29"/>
  <c r="T109" i="29"/>
  <c r="S150" i="29"/>
  <c r="T122" i="29"/>
  <c r="S123" i="29"/>
  <c r="T131" i="29"/>
  <c r="T164" i="29"/>
  <c r="T171" i="29"/>
  <c r="S195" i="29"/>
  <c r="T199" i="29"/>
  <c r="S196" i="29"/>
  <c r="T220" i="29"/>
  <c r="S217" i="29"/>
  <c r="T225" i="29"/>
  <c r="T238" i="29"/>
  <c r="T255" i="29"/>
  <c r="T256" i="29"/>
  <c r="S238" i="29"/>
  <c r="S369" i="29"/>
  <c r="T327" i="29"/>
  <c r="S362" i="29"/>
  <c r="S370" i="29"/>
  <c r="T402" i="29"/>
  <c r="S27" i="29"/>
  <c r="S28" i="29"/>
  <c r="S87" i="29"/>
  <c r="S106" i="29"/>
  <c r="T36" i="29"/>
  <c r="S51" i="29"/>
  <c r="S91" i="29"/>
  <c r="S110" i="29"/>
  <c r="S62" i="29"/>
  <c r="S82" i="29"/>
  <c r="S598" i="29"/>
  <c r="T605" i="29"/>
  <c r="S609" i="29"/>
  <c r="S593" i="29"/>
  <c r="T600" i="29"/>
  <c r="S612" i="29"/>
  <c r="S603" i="29"/>
  <c r="T594" i="29"/>
  <c r="S588" i="29"/>
  <c r="T591" i="29"/>
  <c r="S591" i="29"/>
  <c r="T606" i="29"/>
  <c r="T590" i="29"/>
  <c r="S582" i="29"/>
  <c r="T576" i="29"/>
  <c r="T560" i="29"/>
  <c r="S575" i="29"/>
  <c r="S559" i="29"/>
  <c r="S574" i="29"/>
  <c r="S585" i="29"/>
  <c r="T565" i="29"/>
  <c r="S550" i="29"/>
  <c r="T557" i="29"/>
  <c r="S577" i="29"/>
  <c r="S557" i="29"/>
  <c r="T573" i="29"/>
  <c r="T558" i="29"/>
  <c r="S578" i="29"/>
  <c r="T555" i="29"/>
  <c r="T566" i="29"/>
  <c r="S547" i="29"/>
  <c r="S541" i="29"/>
  <c r="S525" i="29"/>
  <c r="S540" i="29"/>
  <c r="S524" i="29"/>
  <c r="T539" i="29"/>
  <c r="T575" i="29"/>
  <c r="S535" i="29"/>
  <c r="T554" i="29"/>
  <c r="S530" i="29"/>
  <c r="T545" i="29"/>
  <c r="T529" i="29"/>
  <c r="T526" i="29"/>
  <c r="S507" i="29"/>
  <c r="T524" i="29"/>
  <c r="T514" i="29"/>
  <c r="S522" i="29"/>
  <c r="T540" i="29"/>
  <c r="T509" i="29"/>
  <c r="S513" i="29"/>
  <c r="T516" i="29"/>
  <c r="S512" i="29"/>
  <c r="T488" i="29"/>
  <c r="S505" i="29"/>
  <c r="T487" i="29"/>
  <c r="S491" i="29"/>
  <c r="S520" i="29"/>
  <c r="T486" i="29"/>
  <c r="T506" i="29"/>
  <c r="S494" i="29"/>
  <c r="T507" i="29"/>
  <c r="T472" i="29"/>
  <c r="T505" i="29"/>
  <c r="T481" i="29"/>
  <c r="S464" i="29"/>
  <c r="S481" i="29"/>
  <c r="T463" i="29"/>
  <c r="S475" i="29"/>
  <c r="T532" i="29"/>
  <c r="S474" i="29"/>
  <c r="T519" i="29"/>
  <c r="T478" i="29"/>
  <c r="T465" i="29"/>
  <c r="S56" i="29"/>
  <c r="T70" i="29"/>
  <c r="S20" i="29"/>
  <c r="S74" i="29"/>
  <c r="S89" i="29"/>
  <c r="S93" i="29"/>
  <c r="S25" i="29"/>
  <c r="S610" i="29"/>
  <c r="S594" i="29"/>
  <c r="T601" i="29"/>
  <c r="S605" i="29"/>
  <c r="T612" i="29"/>
  <c r="T596" i="29"/>
  <c r="S611" i="29"/>
  <c r="T602" i="29"/>
  <c r="T588" i="29"/>
  <c r="S584" i="29"/>
  <c r="T587" i="29"/>
  <c r="S587" i="29"/>
  <c r="S600" i="29"/>
  <c r="S627" i="29"/>
  <c r="T595" i="29"/>
  <c r="T572" i="29"/>
  <c r="T556" i="29"/>
  <c r="S571" i="29"/>
  <c r="T574" i="29"/>
  <c r="S570" i="29"/>
  <c r="T581" i="29"/>
  <c r="T561" i="29"/>
  <c r="S546" i="29"/>
  <c r="S553" i="29"/>
  <c r="T571" i="29"/>
  <c r="T552" i="29"/>
  <c r="S572" i="29"/>
  <c r="S552" i="29"/>
  <c r="S573" i="29"/>
  <c r="T551" i="29"/>
  <c r="S556" i="29"/>
  <c r="T603" i="29"/>
  <c r="S537" i="29"/>
  <c r="T593" i="29"/>
  <c r="S536" i="29"/>
  <c r="S583" i="29"/>
  <c r="T535" i="29"/>
  <c r="T550" i="29"/>
  <c r="S531" i="29"/>
  <c r="S542" i="29"/>
  <c r="S565" i="29"/>
  <c r="T541" i="29"/>
  <c r="T525" i="29"/>
  <c r="S519" i="29"/>
  <c r="S503" i="29"/>
  <c r="T523" i="29"/>
  <c r="T510" i="29"/>
  <c r="S518" i="29"/>
  <c r="T521" i="29"/>
  <c r="T534" i="29"/>
  <c r="S509" i="29"/>
  <c r="T512" i="29"/>
  <c r="T500" i="29"/>
  <c r="T484" i="29"/>
  <c r="T499" i="29"/>
  <c r="T511" i="29"/>
  <c r="S487" i="29"/>
  <c r="T498" i="29"/>
  <c r="T482" i="29"/>
  <c r="S504" i="29"/>
  <c r="S490" i="29"/>
  <c r="S496" i="29"/>
  <c r="T468" i="29"/>
  <c r="T501" i="29"/>
  <c r="S476" i="29"/>
  <c r="S501" i="29"/>
  <c r="T475" i="29"/>
  <c r="S497" i="29"/>
  <c r="S471" i="29"/>
  <c r="T503" i="29"/>
  <c r="S470" i="29"/>
  <c r="S502" i="29"/>
  <c r="T43" i="29"/>
  <c r="S44" i="29"/>
  <c r="T56" i="29"/>
  <c r="S65" i="29"/>
  <c r="T76" i="29"/>
  <c r="S60" i="29"/>
  <c r="T74" i="29"/>
  <c r="S17" i="29"/>
  <c r="S37" i="29"/>
  <c r="S45" i="29"/>
  <c r="S53" i="29"/>
  <c r="S97" i="29"/>
  <c r="S606" i="29"/>
  <c r="T613" i="29"/>
  <c r="T597" i="29"/>
  <c r="S601" i="29"/>
  <c r="T608" i="29"/>
  <c r="T592" i="29"/>
  <c r="T610" i="29"/>
  <c r="S596" i="29"/>
  <c r="T584" i="29"/>
  <c r="S580" i="29"/>
  <c r="T607" i="29"/>
  <c r="S608" i="29"/>
  <c r="S599" i="29"/>
  <c r="S590" i="29"/>
  <c r="T578" i="29"/>
  <c r="T568" i="29"/>
  <c r="S589" i="29"/>
  <c r="S567" i="29"/>
  <c r="T570" i="29"/>
  <c r="S566" i="29"/>
  <c r="S579" i="29"/>
  <c r="T559" i="29"/>
  <c r="S569" i="29"/>
  <c r="S549" i="29"/>
  <c r="S568" i="29"/>
  <c r="T548" i="29"/>
  <c r="T567" i="29"/>
  <c r="S548" i="29"/>
  <c r="T562" i="29"/>
  <c r="T547" i="29"/>
  <c r="S555" i="29"/>
  <c r="T585" i="29"/>
  <c r="S533" i="29"/>
  <c r="T569" i="29"/>
  <c r="S532" i="29"/>
  <c r="S544" i="29"/>
  <c r="T531" i="29"/>
  <c r="S543" i="29"/>
  <c r="S527" i="29"/>
  <c r="S538" i="29"/>
  <c r="T549" i="29"/>
  <c r="T537" i="29"/>
  <c r="S561" i="29"/>
  <c r="S515" i="29"/>
  <c r="T536" i="29"/>
  <c r="T522" i="29"/>
  <c r="T530" i="29"/>
  <c r="S514" i="29"/>
  <c r="T517" i="29"/>
  <c r="S521" i="29"/>
  <c r="T528" i="29"/>
  <c r="T508" i="29"/>
  <c r="T496" i="29"/>
  <c r="T480" i="29"/>
  <c r="T495" i="29"/>
  <c r="S499" i="29"/>
  <c r="S483" i="29"/>
  <c r="T494" i="29"/>
  <c r="T538" i="29"/>
  <c r="T502" i="29"/>
  <c r="S486" i="29"/>
  <c r="S480" i="29"/>
  <c r="T464" i="29"/>
  <c r="S492" i="29"/>
  <c r="S472" i="29"/>
  <c r="T497" i="29"/>
  <c r="T471" i="29"/>
  <c r="T493" i="29"/>
  <c r="S467" i="29"/>
  <c r="S489" i="29"/>
  <c r="S466" i="29"/>
  <c r="S485" i="29"/>
  <c r="T473" i="29"/>
  <c r="S58" i="29"/>
  <c r="S597" i="29"/>
  <c r="S595" i="29"/>
  <c r="S607" i="29"/>
  <c r="T564" i="29"/>
  <c r="S562" i="29"/>
  <c r="S545" i="29"/>
  <c r="T582" i="29"/>
  <c r="T579" i="29"/>
  <c r="T543" i="29"/>
  <c r="S534" i="29"/>
  <c r="S511" i="29"/>
  <c r="S510" i="29"/>
  <c r="T504" i="29"/>
  <c r="S495" i="29"/>
  <c r="S498" i="29"/>
  <c r="T483" i="29"/>
  <c r="S484" i="29"/>
  <c r="T479" i="29"/>
  <c r="S500" i="29"/>
  <c r="S473" i="29"/>
  <c r="S493" i="29"/>
  <c r="T449" i="29"/>
  <c r="T461" i="29"/>
  <c r="S445" i="29"/>
  <c r="S429" i="29"/>
  <c r="S413" i="29"/>
  <c r="T456" i="29"/>
  <c r="T470" i="29"/>
  <c r="S448" i="29"/>
  <c r="S432" i="29"/>
  <c r="T459" i="29"/>
  <c r="T443" i="29"/>
  <c r="T427" i="29"/>
  <c r="T411" i="29"/>
  <c r="S451" i="29"/>
  <c r="S435" i="29"/>
  <c r="S419" i="29"/>
  <c r="T466" i="29"/>
  <c r="S458" i="29"/>
  <c r="S430" i="29"/>
  <c r="S420" i="29"/>
  <c r="S397" i="29"/>
  <c r="S381" i="29"/>
  <c r="T418" i="29"/>
  <c r="T392" i="29"/>
  <c r="T376" i="29"/>
  <c r="S396" i="29"/>
  <c r="S380" i="29"/>
  <c r="T434" i="29"/>
  <c r="T409" i="29"/>
  <c r="T391" i="29"/>
  <c r="T375" i="29"/>
  <c r="S426" i="29"/>
  <c r="S403" i="29"/>
  <c r="S387" i="29"/>
  <c r="T417" i="29"/>
  <c r="T398" i="29"/>
  <c r="T382" i="29"/>
  <c r="S450" i="29"/>
  <c r="T406" i="29"/>
  <c r="S394" i="29"/>
  <c r="S378" i="29"/>
  <c r="T436" i="29"/>
  <c r="T420" i="29"/>
  <c r="S404" i="29"/>
  <c r="T389" i="29"/>
  <c r="T373" i="29"/>
  <c r="T356" i="29"/>
  <c r="T340" i="29"/>
  <c r="S356" i="29"/>
  <c r="S340" i="29"/>
  <c r="S324" i="29"/>
  <c r="T367" i="29"/>
  <c r="T351" i="29"/>
  <c r="T335" i="29"/>
  <c r="S359" i="29"/>
  <c r="S343" i="29"/>
  <c r="S327" i="29"/>
  <c r="S311" i="29"/>
  <c r="T362" i="29"/>
  <c r="T346" i="29"/>
  <c r="T330" i="29"/>
  <c r="T314" i="29"/>
  <c r="T357" i="29"/>
  <c r="T44" i="29"/>
  <c r="S602" i="29"/>
  <c r="T604" i="29"/>
  <c r="T580" i="29"/>
  <c r="T598" i="29"/>
  <c r="S581" i="29"/>
  <c r="S576" i="29"/>
  <c r="T563" i="29"/>
  <c r="S558" i="29"/>
  <c r="S529" i="29"/>
  <c r="T527" i="29"/>
  <c r="T546" i="29"/>
  <c r="S526" i="29"/>
  <c r="T513" i="29"/>
  <c r="T492" i="29"/>
  <c r="T553" i="29"/>
  <c r="S482" i="29"/>
  <c r="S468" i="29"/>
  <c r="S463" i="29"/>
  <c r="T477" i="29"/>
  <c r="S479" i="29"/>
  <c r="S469" i="29"/>
  <c r="T474" i="29"/>
  <c r="T445" i="29"/>
  <c r="S457" i="29"/>
  <c r="S441" i="29"/>
  <c r="S425" i="29"/>
  <c r="S409" i="29"/>
  <c r="T452" i="29"/>
  <c r="S460" i="29"/>
  <c r="S444" i="29"/>
  <c r="S428" i="29"/>
  <c r="T455" i="29"/>
  <c r="T439" i="29"/>
  <c r="T423" i="29"/>
  <c r="T407" i="29"/>
  <c r="S447" i="29"/>
  <c r="S431" i="29"/>
  <c r="S415" i="29"/>
  <c r="T458" i="29"/>
  <c r="T446" i="29"/>
  <c r="T429" i="29"/>
  <c r="T414" i="29"/>
  <c r="S393" i="29"/>
  <c r="S377" i="29"/>
  <c r="S414" i="29"/>
  <c r="T388" i="29"/>
  <c r="S418" i="29"/>
  <c r="S392" i="29"/>
  <c r="S376" i="29"/>
  <c r="T432" i="29"/>
  <c r="T403" i="29"/>
  <c r="T387" i="29"/>
  <c r="T371" i="29"/>
  <c r="S36" i="29"/>
  <c r="T609" i="29"/>
  <c r="T627" i="29"/>
  <c r="S592" i="29"/>
  <c r="S586" i="29"/>
  <c r="S563" i="29"/>
  <c r="S554" i="29"/>
  <c r="T589" i="29"/>
  <c r="T586" i="29"/>
  <c r="T544" i="29"/>
  <c r="S539" i="29"/>
  <c r="T533" i="29"/>
  <c r="T518" i="29"/>
  <c r="S517" i="29"/>
  <c r="S516" i="29"/>
  <c r="T490" i="29"/>
  <c r="T476" i="29"/>
  <c r="S488" i="29"/>
  <c r="T485" i="29"/>
  <c r="T469" i="29"/>
  <c r="S478" i="29"/>
  <c r="S465" i="29"/>
  <c r="T457" i="29"/>
  <c r="T441" i="29"/>
  <c r="S453" i="29"/>
  <c r="S437" i="29"/>
  <c r="S421" i="29"/>
  <c r="S405" i="29"/>
  <c r="T448" i="29"/>
  <c r="S456" i="29"/>
  <c r="S440" i="29"/>
  <c r="S424" i="29"/>
  <c r="T451" i="29"/>
  <c r="T435" i="29"/>
  <c r="T419" i="29"/>
  <c r="S459" i="29"/>
  <c r="S443" i="29"/>
  <c r="S427" i="29"/>
  <c r="S411" i="29"/>
  <c r="T454" i="29"/>
  <c r="S438" i="29"/>
  <c r="S422" i="29"/>
  <c r="S410" i="29"/>
  <c r="S389" i="29"/>
  <c r="S373" i="29"/>
  <c r="T400" i="29"/>
  <c r="T384" i="29"/>
  <c r="T405" i="29"/>
  <c r="S388" i="29"/>
  <c r="S454" i="29"/>
  <c r="T426" i="29"/>
  <c r="T399" i="29"/>
  <c r="T383" i="29"/>
  <c r="S434" i="29"/>
  <c r="T413" i="29"/>
  <c r="S395" i="29"/>
  <c r="S379" i="29"/>
  <c r="S408" i="29"/>
  <c r="T390" i="29"/>
  <c r="T374" i="29"/>
  <c r="T416" i="29"/>
  <c r="S402" i="29"/>
  <c r="S386" i="29"/>
  <c r="S442" i="29"/>
  <c r="T428" i="29"/>
  <c r="T410" i="29"/>
  <c r="T397" i="29"/>
  <c r="T381" i="29"/>
  <c r="T364" i="29"/>
  <c r="T348" i="29"/>
  <c r="S364" i="29"/>
  <c r="S348" i="29"/>
  <c r="S332" i="29"/>
  <c r="S316" i="29"/>
  <c r="T359" i="29"/>
  <c r="T343" i="29"/>
  <c r="S367" i="29"/>
  <c r="S351" i="29"/>
  <c r="S335" i="29"/>
  <c r="S319" i="29"/>
  <c r="S371" i="29"/>
  <c r="T354" i="29"/>
  <c r="T338" i="29"/>
  <c r="T322" i="29"/>
  <c r="T365" i="29"/>
  <c r="T349" i="29"/>
  <c r="T24" i="29"/>
  <c r="T599" i="29"/>
  <c r="S560" i="29"/>
  <c r="T542" i="29"/>
  <c r="T515" i="29"/>
  <c r="S506" i="29"/>
  <c r="T462" i="29"/>
  <c r="T460" i="29"/>
  <c r="T489" i="29"/>
  <c r="S455" i="29"/>
  <c r="T450" i="29"/>
  <c r="S385" i="29"/>
  <c r="S400" i="29"/>
  <c r="T395" i="29"/>
  <c r="T408" i="29"/>
  <c r="S375" i="29"/>
  <c r="T386" i="29"/>
  <c r="S412" i="29"/>
  <c r="S382" i="29"/>
  <c r="T422" i="29"/>
  <c r="T393" i="29"/>
  <c r="T360" i="29"/>
  <c r="S360" i="29"/>
  <c r="S328" i="29"/>
  <c r="T355" i="29"/>
  <c r="S363" i="29"/>
  <c r="S331" i="29"/>
  <c r="T366" i="29"/>
  <c r="T334" i="29"/>
  <c r="T361" i="29"/>
  <c r="T337" i="29"/>
  <c r="T321" i="29"/>
  <c r="S346" i="29"/>
  <c r="T308" i="29"/>
  <c r="T292" i="29"/>
  <c r="T276" i="29"/>
  <c r="S308" i="29"/>
  <c r="S292" i="29"/>
  <c r="S276" i="29"/>
  <c r="S345" i="29"/>
  <c r="T319" i="29"/>
  <c r="S337" i="29"/>
  <c r="S307" i="29"/>
  <c r="S349" i="29"/>
  <c r="T298" i="29"/>
  <c r="S310" i="29"/>
  <c r="S294" i="29"/>
  <c r="S278" i="29"/>
  <c r="S353" i="29"/>
  <c r="T324" i="29"/>
  <c r="S314" i="29"/>
  <c r="T297" i="29"/>
  <c r="T281" i="29"/>
  <c r="S287" i="29"/>
  <c r="S262" i="29"/>
  <c r="S246" i="29"/>
  <c r="S230" i="29"/>
  <c r="T278" i="29"/>
  <c r="T257" i="29"/>
  <c r="S309" i="29"/>
  <c r="S257" i="29"/>
  <c r="S241" i="29"/>
  <c r="S281" i="29"/>
  <c r="T264" i="29"/>
  <c r="T248" i="29"/>
  <c r="T232" i="29"/>
  <c r="T299" i="29"/>
  <c r="S273" i="29"/>
  <c r="S260" i="29"/>
  <c r="S305" i="29"/>
  <c r="T282" i="29"/>
  <c r="T263" i="29"/>
  <c r="T247" i="29"/>
  <c r="T231" i="29"/>
  <c r="S259" i="29"/>
  <c r="S243" i="29"/>
  <c r="T295" i="29"/>
  <c r="T279" i="29"/>
  <c r="T262" i="29"/>
  <c r="T246" i="29"/>
  <c r="T230" i="29"/>
  <c r="T218" i="29"/>
  <c r="T202" i="29"/>
  <c r="S226" i="29"/>
  <c r="S210" i="29"/>
  <c r="S194" i="29"/>
  <c r="S178" i="29"/>
  <c r="T577" i="29"/>
  <c r="S551" i="29"/>
  <c r="S523" i="29"/>
  <c r="S508" i="29"/>
  <c r="S477" i="29"/>
  <c r="S449" i="29"/>
  <c r="T444" i="29"/>
  <c r="T447" i="29"/>
  <c r="S439" i="29"/>
  <c r="T437" i="29"/>
  <c r="S446" i="29"/>
  <c r="S384" i="29"/>
  <c r="T379" i="29"/>
  <c r="S399" i="29"/>
  <c r="T412" i="29"/>
  <c r="T378" i="29"/>
  <c r="T404" i="29"/>
  <c r="S374" i="29"/>
  <c r="S416" i="29"/>
  <c r="T385" i="29"/>
  <c r="T352" i="29"/>
  <c r="S352" i="29"/>
  <c r="S320" i="29"/>
  <c r="T347" i="29"/>
  <c r="S355" i="29"/>
  <c r="S323" i="29"/>
  <c r="T358" i="29"/>
  <c r="T326" i="29"/>
  <c r="T353" i="29"/>
  <c r="T333" i="29"/>
  <c r="T317" i="29"/>
  <c r="S341" i="29"/>
  <c r="T304" i="29"/>
  <c r="T288" i="29"/>
  <c r="S334" i="29"/>
  <c r="S304" i="29"/>
  <c r="S288" i="29"/>
  <c r="S366" i="29"/>
  <c r="T328" i="29"/>
  <c r="T313" i="29"/>
  <c r="S329" i="29"/>
  <c r="S303" i="29"/>
  <c r="T310" i="29"/>
  <c r="S330" i="29"/>
  <c r="S306" i="29"/>
  <c r="S290" i="29"/>
  <c r="S274" i="29"/>
  <c r="S342" i="29"/>
  <c r="T323" i="29"/>
  <c r="T309" i="29"/>
  <c r="T293" i="29"/>
  <c r="T277" i="29"/>
  <c r="S279" i="29"/>
  <c r="S258" i="29"/>
  <c r="S242" i="29"/>
  <c r="S317" i="29"/>
  <c r="T269" i="29"/>
  <c r="T253" i="29"/>
  <c r="S269" i="29"/>
  <c r="S253" i="29"/>
  <c r="T291" i="29"/>
  <c r="T275" i="29"/>
  <c r="T260" i="29"/>
  <c r="T244" i="29"/>
  <c r="S338" i="29"/>
  <c r="S291" i="29"/>
  <c r="S272" i="29"/>
  <c r="S256" i="29"/>
  <c r="S299" i="29"/>
  <c r="T274" i="29"/>
  <c r="T259" i="29"/>
  <c r="T243" i="29"/>
  <c r="S271" i="29"/>
  <c r="S255" i="29"/>
  <c r="S239" i="29"/>
  <c r="S293" i="29"/>
  <c r="S277" i="29"/>
  <c r="T258" i="29"/>
  <c r="T242" i="29"/>
  <c r="S235" i="29"/>
  <c r="T214" i="29"/>
  <c r="T198" i="29"/>
  <c r="S222" i="29"/>
  <c r="S206" i="29"/>
  <c r="S190" i="29"/>
  <c r="T63" i="29"/>
  <c r="T111" i="29"/>
  <c r="S100" i="29"/>
  <c r="S128" i="29"/>
  <c r="S146" i="29"/>
  <c r="S164" i="29"/>
  <c r="T88" i="29"/>
  <c r="T104" i="29"/>
  <c r="T120" i="29"/>
  <c r="S156" i="29"/>
  <c r="T49" i="29"/>
  <c r="T65" i="29"/>
  <c r="T81" i="29"/>
  <c r="T97" i="29"/>
  <c r="T113" i="29"/>
  <c r="S124" i="29"/>
  <c r="T133" i="29"/>
  <c r="S142" i="29"/>
  <c r="T161" i="29"/>
  <c r="T90" i="29"/>
  <c r="T106" i="29"/>
  <c r="T132" i="29"/>
  <c r="T126" i="29"/>
  <c r="T142" i="29"/>
  <c r="T158" i="29"/>
  <c r="T173" i="29"/>
  <c r="S127" i="29"/>
  <c r="S143" i="29"/>
  <c r="S159" i="29"/>
  <c r="T119" i="29"/>
  <c r="T135" i="29"/>
  <c r="T151" i="29"/>
  <c r="T167" i="29"/>
  <c r="T182" i="29"/>
  <c r="S145" i="29"/>
  <c r="T178" i="29"/>
  <c r="S162" i="29"/>
  <c r="T190" i="29"/>
  <c r="S215" i="29"/>
  <c r="T187" i="29"/>
  <c r="T219" i="29"/>
  <c r="T233" i="29"/>
  <c r="S173" i="29"/>
  <c r="S221" i="29"/>
  <c r="T197" i="29"/>
  <c r="S236" i="29"/>
  <c r="T237" i="29"/>
  <c r="T250" i="29"/>
  <c r="S247" i="29"/>
  <c r="T267" i="29"/>
  <c r="T236" i="29"/>
  <c r="S245" i="29"/>
  <c r="S250" i="29"/>
  <c r="T301" i="29"/>
  <c r="S282" i="29"/>
  <c r="S354" i="29"/>
  <c r="S350" i="29"/>
  <c r="T280" i="29"/>
  <c r="T325" i="29"/>
  <c r="T369" i="29"/>
  <c r="T372" i="29"/>
  <c r="S336" i="29"/>
  <c r="T368" i="29"/>
  <c r="T442" i="29"/>
  <c r="S383" i="29"/>
  <c r="T424" i="29"/>
  <c r="S401" i="29"/>
  <c r="T415" i="29"/>
  <c r="S417" i="29"/>
  <c r="S462" i="29"/>
  <c r="S604" i="29"/>
  <c r="S199" i="29"/>
  <c r="S240" i="29"/>
  <c r="S184" i="29"/>
  <c r="T430" i="29"/>
  <c r="S55" i="29"/>
  <c r="S48" i="29"/>
  <c r="T33" i="29"/>
  <c r="T17" i="29"/>
  <c r="T51" i="29"/>
  <c r="T67" i="29"/>
  <c r="T83" i="29"/>
  <c r="T99" i="29"/>
  <c r="T115" i="29"/>
  <c r="S88" i="29"/>
  <c r="S104" i="29"/>
  <c r="S120" i="29"/>
  <c r="T129" i="29"/>
  <c r="S138" i="29"/>
  <c r="S152" i="29"/>
  <c r="T169" i="29"/>
  <c r="T92" i="29"/>
  <c r="T108" i="29"/>
  <c r="T128" i="29"/>
  <c r="S113" i="29"/>
  <c r="S160" i="29"/>
  <c r="T53" i="29"/>
  <c r="T69" i="29"/>
  <c r="T85" i="29"/>
  <c r="T101" i="29"/>
  <c r="T117" i="29"/>
  <c r="T125" i="29"/>
  <c r="S134" i="29"/>
  <c r="S148" i="29"/>
  <c r="T78" i="29"/>
  <c r="T94" i="29"/>
  <c r="T110" i="29"/>
  <c r="T140" i="29"/>
  <c r="T130" i="29"/>
  <c r="T146" i="29"/>
  <c r="T162" i="29"/>
  <c r="T180" i="29"/>
  <c r="S131" i="29"/>
  <c r="S147" i="29"/>
  <c r="S163" i="29"/>
  <c r="T123" i="29"/>
  <c r="T139" i="29"/>
  <c r="T155" i="29"/>
  <c r="S174" i="29"/>
  <c r="T156" i="29"/>
  <c r="T188" i="29"/>
  <c r="S133" i="29"/>
  <c r="S149" i="29"/>
  <c r="S165" i="29"/>
  <c r="T194" i="29"/>
  <c r="S166" i="29"/>
  <c r="S171" i="29"/>
  <c r="S187" i="29"/>
  <c r="S203" i="29"/>
  <c r="S219" i="29"/>
  <c r="T175" i="29"/>
  <c r="T191" i="29"/>
  <c r="T207" i="29"/>
  <c r="T223" i="29"/>
  <c r="S172" i="29"/>
  <c r="S188" i="29"/>
  <c r="S204" i="29"/>
  <c r="S220" i="29"/>
  <c r="T241" i="29"/>
  <c r="T212" i="29"/>
  <c r="T228" i="29"/>
  <c r="S177" i="29"/>
  <c r="S193" i="29"/>
  <c r="S209" i="29"/>
  <c r="S225" i="29"/>
  <c r="T185" i="29"/>
  <c r="T201" i="29"/>
  <c r="T217" i="29"/>
  <c r="S237" i="29"/>
  <c r="S202" i="29"/>
  <c r="S244" i="29"/>
  <c r="T226" i="29"/>
  <c r="T254" i="29"/>
  <c r="T287" i="29"/>
  <c r="S251" i="29"/>
  <c r="T239" i="29"/>
  <c r="T271" i="29"/>
  <c r="S252" i="29"/>
  <c r="S283" i="29"/>
  <c r="T240" i="29"/>
  <c r="T272" i="29"/>
  <c r="S249" i="29"/>
  <c r="T249" i="29"/>
  <c r="T294" i="29"/>
  <c r="S254" i="29"/>
  <c r="T273" i="29"/>
  <c r="T305" i="29"/>
  <c r="T332" i="29"/>
  <c r="S286" i="29"/>
  <c r="S322" i="29"/>
  <c r="S365" i="29"/>
  <c r="T307" i="29"/>
  <c r="S361" i="29"/>
  <c r="S300" i="29"/>
  <c r="T284" i="29"/>
  <c r="T336" i="29"/>
  <c r="T329" i="29"/>
  <c r="T318" i="29"/>
  <c r="S315" i="29"/>
  <c r="T339" i="29"/>
  <c r="S344" i="29"/>
  <c r="T377" i="29"/>
  <c r="T438" i="29"/>
  <c r="T370" i="29"/>
  <c r="S391" i="29"/>
  <c r="T440" i="29"/>
  <c r="T421" i="29"/>
  <c r="T431" i="29"/>
  <c r="S433" i="29"/>
  <c r="T467" i="29"/>
  <c r="S528" i="29"/>
  <c r="S613" i="29"/>
  <c r="T62" i="29"/>
  <c r="T45" i="29"/>
  <c r="T29" i="29"/>
  <c r="T47" i="29"/>
  <c r="T79" i="29"/>
  <c r="T95" i="29"/>
  <c r="S84" i="29"/>
  <c r="S116" i="29"/>
  <c r="T137" i="29"/>
  <c r="T152" i="29"/>
  <c r="T168" i="29"/>
  <c r="S129" i="29"/>
  <c r="S161" i="29"/>
  <c r="S183" i="29"/>
  <c r="T203" i="29"/>
  <c r="S233" i="29"/>
  <c r="S200" i="29"/>
  <c r="S216" i="29"/>
  <c r="T208" i="29"/>
  <c r="T224" i="29"/>
  <c r="S189" i="29"/>
  <c r="S205" i="29"/>
  <c r="T181" i="29"/>
  <c r="T213" i="29"/>
  <c r="S198" i="29"/>
  <c r="T222" i="29"/>
  <c r="S285" i="29"/>
  <c r="T235" i="29"/>
  <c r="S248" i="29"/>
  <c r="S275" i="29"/>
  <c r="T268" i="29"/>
  <c r="T245" i="29"/>
  <c r="T286" i="29"/>
  <c r="S295" i="29"/>
  <c r="T331" i="29"/>
  <c r="T311" i="29"/>
  <c r="T303" i="29"/>
  <c r="S296" i="29"/>
  <c r="S312" i="29"/>
  <c r="S372" i="29"/>
  <c r="T611" i="29"/>
  <c r="S101" i="29"/>
  <c r="T37" i="29"/>
  <c r="T21" i="29"/>
  <c r="T55" i="29"/>
  <c r="T71" i="29"/>
  <c r="T87" i="29"/>
  <c r="T103" i="29"/>
  <c r="S76" i="29"/>
  <c r="S92" i="29"/>
  <c r="S108" i="29"/>
  <c r="T121" i="29"/>
  <c r="S130" i="29"/>
  <c r="S144" i="29"/>
  <c r="T153" i="29"/>
  <c r="T80" i="29"/>
  <c r="T96" i="29"/>
  <c r="T112" i="29"/>
  <c r="T136" i="29"/>
  <c r="S117" i="29"/>
  <c r="T165" i="29"/>
  <c r="T57" i="29"/>
  <c r="T73" i="29"/>
  <c r="T89" i="29"/>
  <c r="T105" i="29"/>
  <c r="T118" i="29"/>
  <c r="S126" i="29"/>
  <c r="S140" i="29"/>
  <c r="T149" i="29"/>
  <c r="T82" i="29"/>
  <c r="T98" i="29"/>
  <c r="T114" i="29"/>
  <c r="T148" i="29"/>
  <c r="T134" i="29"/>
  <c r="T150" i="29"/>
  <c r="T166" i="29"/>
  <c r="T196" i="29"/>
  <c r="S135" i="29"/>
  <c r="S151" i="29"/>
  <c r="S167" i="29"/>
  <c r="T127" i="29"/>
  <c r="T143" i="29"/>
  <c r="T159" i="29"/>
  <c r="T176" i="29"/>
  <c r="T160" i="29"/>
  <c r="S121" i="29"/>
  <c r="S137" i="29"/>
  <c r="S153" i="29"/>
  <c r="S169" i="29"/>
  <c r="T184" i="29"/>
  <c r="S170" i="29"/>
  <c r="S175" i="29"/>
  <c r="S191" i="29"/>
  <c r="S207" i="29"/>
  <c r="S223" i="29"/>
  <c r="T179" i="29"/>
  <c r="T195" i="29"/>
  <c r="T211" i="29"/>
  <c r="T227" i="29"/>
  <c r="S176" i="29"/>
  <c r="S192" i="29"/>
  <c r="S208" i="29"/>
  <c r="S224" i="29"/>
  <c r="T200" i="29"/>
  <c r="T216" i="29"/>
  <c r="S229" i="29"/>
  <c r="S181" i="29"/>
  <c r="S197" i="29"/>
  <c r="S213" i="29"/>
  <c r="T229" i="29"/>
  <c r="T189" i="29"/>
  <c r="T205" i="29"/>
  <c r="T221" i="29"/>
  <c r="S182" i="29"/>
  <c r="S214" i="29"/>
  <c r="T206" i="29"/>
  <c r="T234" i="29"/>
  <c r="T266" i="29"/>
  <c r="T312" i="29"/>
  <c r="S263" i="29"/>
  <c r="T251" i="29"/>
  <c r="T290" i="29"/>
  <c r="S264" i="29"/>
  <c r="S301" i="29"/>
  <c r="T252" i="29"/>
  <c r="T283" i="29"/>
  <c r="S261" i="29"/>
  <c r="T261" i="29"/>
  <c r="S234" i="29"/>
  <c r="S266" i="29"/>
  <c r="T285" i="29"/>
  <c r="T315" i="29"/>
  <c r="S358" i="29"/>
  <c r="S298" i="29"/>
  <c r="T302" i="29"/>
  <c r="S313" i="29"/>
  <c r="T320" i="29"/>
  <c r="S280" i="29"/>
  <c r="S318" i="29"/>
  <c r="T296" i="29"/>
  <c r="S357" i="29"/>
  <c r="T341" i="29"/>
  <c r="T342" i="29"/>
  <c r="S339" i="29"/>
  <c r="T363" i="29"/>
  <c r="S368" i="29"/>
  <c r="T401" i="29"/>
  <c r="S390" i="29"/>
  <c r="T394" i="29"/>
  <c r="T425" i="29"/>
  <c r="T380" i="29"/>
  <c r="S407" i="29"/>
  <c r="S436" i="29"/>
  <c r="T453" i="29"/>
  <c r="T491" i="29"/>
  <c r="S564" i="29"/>
  <c r="S95" i="29"/>
  <c r="S69" i="29"/>
  <c r="T60" i="29"/>
  <c r="S29" i="29"/>
  <c r="S21" i="29"/>
  <c r="S13" i="29"/>
  <c r="S67" i="29"/>
  <c r="T58" i="29"/>
  <c r="T20" i="29"/>
  <c r="T72" i="29"/>
  <c r="S83" i="29"/>
  <c r="S63" i="29"/>
  <c r="T54" i="29"/>
  <c r="T19" i="29"/>
  <c r="T68" i="29"/>
  <c r="S119" i="29"/>
  <c r="S41" i="29"/>
  <c r="S33" i="29"/>
  <c r="T28" i="29"/>
  <c r="T16" i="29"/>
  <c r="S75" i="29"/>
  <c r="T40" i="29"/>
  <c r="T32" i="29"/>
  <c r="S168" i="29"/>
  <c r="S115" i="29"/>
  <c r="S77" i="29"/>
  <c r="S40" i="29"/>
  <c r="S32" i="29"/>
  <c r="S24" i="29"/>
  <c r="S16" i="29"/>
  <c r="S102" i="29"/>
  <c r="T27" i="29"/>
  <c r="R55" i="29"/>
  <c r="Q71" i="29"/>
  <c r="Q76" i="29"/>
  <c r="Q81" i="29"/>
  <c r="R75" i="29"/>
  <c r="R179" i="29"/>
  <c r="Q236" i="29"/>
  <c r="Q290" i="29"/>
  <c r="Q251" i="29"/>
  <c r="R289" i="29"/>
  <c r="R374" i="29"/>
  <c r="R422" i="29"/>
  <c r="Q474" i="29"/>
  <c r="R485" i="29"/>
  <c r="Q577" i="29"/>
  <c r="R21" i="29"/>
  <c r="Q114" i="29"/>
  <c r="Q140" i="29"/>
  <c r="R188" i="29"/>
  <c r="Q219" i="29"/>
  <c r="Q363" i="29"/>
  <c r="Q299" i="29"/>
  <c r="R355" i="29"/>
  <c r="R395" i="29"/>
  <c r="Q460" i="29"/>
  <c r="R512" i="29"/>
  <c r="R519" i="29"/>
  <c r="AC625" i="29"/>
  <c r="Q98" i="29"/>
  <c r="Q14" i="29"/>
  <c r="R54" i="29"/>
  <c r="R128" i="29"/>
  <c r="R224" i="29"/>
  <c r="R207" i="29"/>
  <c r="Q298" i="29"/>
  <c r="Q359" i="29"/>
  <c r="Q324" i="29"/>
  <c r="R372" i="29"/>
  <c r="R428" i="29"/>
  <c r="R465" i="29"/>
  <c r="Q531" i="29"/>
  <c r="Q604" i="29"/>
  <c r="R39" i="29"/>
  <c r="Q112" i="29"/>
  <c r="Q62" i="29"/>
  <c r="R17" i="29"/>
  <c r="R51" i="29"/>
  <c r="R28" i="29"/>
  <c r="R60" i="29"/>
  <c r="R78" i="29"/>
  <c r="R164" i="29"/>
  <c r="Q205" i="29"/>
  <c r="R247" i="29"/>
  <c r="Q258" i="29"/>
  <c r="Q350" i="29"/>
  <c r="Q356" i="29"/>
  <c r="R400" i="29"/>
  <c r="Q461" i="29"/>
  <c r="R482" i="29"/>
  <c r="R524" i="29"/>
  <c r="Q153" i="29"/>
  <c r="Q15" i="29"/>
  <c r="Q94" i="29"/>
  <c r="Q19" i="29"/>
  <c r="R35" i="29"/>
  <c r="Q24" i="29"/>
  <c r="Q56" i="29"/>
  <c r="Q83" i="29"/>
  <c r="Q607" i="29"/>
  <c r="R594" i="29"/>
  <c r="R605" i="29"/>
  <c r="R577" i="29"/>
  <c r="Q585" i="29"/>
  <c r="Q597" i="29"/>
  <c r="R599" i="29"/>
  <c r="Q580" i="29"/>
  <c r="Q578" i="29"/>
  <c r="R575" i="29"/>
  <c r="Q566" i="29"/>
  <c r="Q561" i="29"/>
  <c r="R564" i="29"/>
  <c r="Q549" i="29"/>
  <c r="R548" i="29"/>
  <c r="Q552" i="29"/>
  <c r="Q530" i="29"/>
  <c r="Q586" i="29"/>
  <c r="R556" i="29"/>
  <c r="Q543" i="29"/>
  <c r="R538" i="29"/>
  <c r="Q508" i="29"/>
  <c r="R576" i="29"/>
  <c r="R559" i="29"/>
  <c r="R529" i="29"/>
  <c r="Q39" i="29"/>
  <c r="Q61" i="29"/>
  <c r="Q92" i="29"/>
  <c r="R23" i="29"/>
  <c r="Q63" i="29"/>
  <c r="Q20" i="29"/>
  <c r="Q102" i="29"/>
  <c r="Q595" i="29"/>
  <c r="Q598" i="29"/>
  <c r="R589" i="29"/>
  <c r="R595" i="29"/>
  <c r="Q605" i="29"/>
  <c r="Q591" i="29"/>
  <c r="R569" i="29"/>
  <c r="Q568" i="29"/>
  <c r="Q571" i="29"/>
  <c r="R583" i="29"/>
  <c r="Q570" i="29"/>
  <c r="Q553" i="29"/>
  <c r="Q590" i="29"/>
  <c r="Q544" i="29"/>
  <c r="Q541" i="29"/>
  <c r="R47" i="29"/>
  <c r="Q79" i="29"/>
  <c r="R31" i="29"/>
  <c r="Q78" i="29"/>
  <c r="Q28" i="29"/>
  <c r="Q65" i="29"/>
  <c r="Q121" i="29"/>
  <c r="R606" i="29"/>
  <c r="R613" i="29"/>
  <c r="R581" i="29"/>
  <c r="Q581" i="29"/>
  <c r="Q588" i="29"/>
  <c r="Q583" i="29"/>
  <c r="R561" i="29"/>
  <c r="Q560" i="29"/>
  <c r="Q563" i="29"/>
  <c r="Q565" i="29"/>
  <c r="R553" i="29"/>
  <c r="R590" i="29"/>
  <c r="R578" i="29"/>
  <c r="R545" i="29"/>
  <c r="Q533" i="29"/>
  <c r="R528" i="29"/>
  <c r="Q584" i="29"/>
  <c r="R534" i="29"/>
  <c r="Q558" i="29"/>
  <c r="R541" i="29"/>
  <c r="R518" i="29"/>
  <c r="Q510" i="29"/>
  <c r="R533" i="29"/>
  <c r="R481" i="29"/>
  <c r="R484" i="29"/>
  <c r="Q484" i="29"/>
  <c r="R525" i="29"/>
  <c r="R490" i="29"/>
  <c r="Q490" i="29"/>
  <c r="Q469" i="29"/>
  <c r="R472" i="29"/>
  <c r="Q472" i="29"/>
  <c r="Q463" i="29"/>
  <c r="Q498" i="29"/>
  <c r="R454" i="29"/>
  <c r="Q446" i="29"/>
  <c r="Q414" i="29"/>
  <c r="R445" i="29"/>
  <c r="Q441" i="29"/>
  <c r="R456" i="29"/>
  <c r="R424" i="29"/>
  <c r="Q452" i="29"/>
  <c r="Q420" i="29"/>
  <c r="Q451" i="29"/>
  <c r="Q390" i="29"/>
  <c r="R430" i="29"/>
  <c r="R397" i="29"/>
  <c r="R439" i="29"/>
  <c r="Q393" i="29"/>
  <c r="Q419" i="29"/>
  <c r="R380" i="29"/>
  <c r="Q388" i="29"/>
  <c r="R426" i="29"/>
  <c r="R387" i="29"/>
  <c r="R417" i="29"/>
  <c r="Q379" i="29"/>
  <c r="R398" i="29"/>
  <c r="R369" i="29"/>
  <c r="Q369" i="29"/>
  <c r="Q337" i="29"/>
  <c r="R360" i="29"/>
  <c r="Q364" i="29"/>
  <c r="Q332" i="29"/>
  <c r="R359" i="29"/>
  <c r="R327" i="29"/>
  <c r="R358" i="29"/>
  <c r="R326" i="29"/>
  <c r="Q314" i="29"/>
  <c r="Q43" i="29"/>
  <c r="R13" i="29"/>
  <c r="R14" i="29"/>
  <c r="Q54" i="29"/>
  <c r="Q111" i="29"/>
  <c r="Q44" i="29"/>
  <c r="Q603" i="29"/>
  <c r="Q606" i="29"/>
  <c r="R593" i="29"/>
  <c r="R603" i="29"/>
  <c r="R588" i="29"/>
  <c r="R607" i="29"/>
  <c r="R586" i="29"/>
  <c r="Q576" i="29"/>
  <c r="Q601" i="29"/>
  <c r="Q547" i="29"/>
  <c r="Q546" i="29"/>
  <c r="R563" i="29"/>
  <c r="R560" i="29"/>
  <c r="R558" i="29"/>
  <c r="Q526" i="29"/>
  <c r="R551" i="29"/>
  <c r="Q536" i="29"/>
  <c r="Q527" i="29"/>
  <c r="Q520" i="29"/>
  <c r="R511" i="29"/>
  <c r="Q507" i="29"/>
  <c r="Q523" i="29"/>
  <c r="R517" i="29"/>
  <c r="R497" i="29"/>
  <c r="R500" i="29"/>
  <c r="Q500" i="29"/>
  <c r="R495" i="29"/>
  <c r="Q491" i="29"/>
  <c r="R477" i="29"/>
  <c r="Q479" i="29"/>
  <c r="R504" i="29"/>
  <c r="Q509" i="29"/>
  <c r="Q493" i="29"/>
  <c r="R470" i="29"/>
  <c r="Q470" i="29"/>
  <c r="R475" i="29"/>
  <c r="Q430" i="29"/>
  <c r="R461" i="29"/>
  <c r="Q457" i="29"/>
  <c r="Q425" i="29"/>
  <c r="R440" i="29"/>
  <c r="R408" i="29"/>
  <c r="Q436" i="29"/>
  <c r="Q404" i="29"/>
  <c r="R406" i="29"/>
  <c r="Q374" i="29"/>
  <c r="R415" i="29"/>
  <c r="R381" i="29"/>
  <c r="Q415" i="29"/>
  <c r="Q377" i="29"/>
  <c r="R396" i="29"/>
  <c r="Q405" i="29"/>
  <c r="Q455" i="29"/>
  <c r="R403" i="29"/>
  <c r="R371" i="29"/>
  <c r="Q395" i="29"/>
  <c r="Q427" i="29"/>
  <c r="R382" i="29"/>
  <c r="R353" i="29"/>
  <c r="Q353" i="29"/>
  <c r="Q321" i="29"/>
  <c r="R344" i="29"/>
  <c r="Q348" i="29"/>
  <c r="Q316" i="29"/>
  <c r="R343" i="29"/>
  <c r="R311" i="29"/>
  <c r="R342" i="29"/>
  <c r="Q338" i="29"/>
  <c r="R297" i="29"/>
  <c r="Q367" i="29"/>
  <c r="Q297" i="29"/>
  <c r="Q318" i="29"/>
  <c r="R320" i="29"/>
  <c r="R313" i="29"/>
  <c r="Q313" i="29"/>
  <c r="Q279" i="29"/>
  <c r="R298" i="29"/>
  <c r="Q271" i="29"/>
  <c r="Q239" i="29"/>
  <c r="R279" i="29"/>
  <c r="R324" i="29"/>
  <c r="Q278" i="29"/>
  <c r="Q242" i="29"/>
  <c r="R265" i="29"/>
  <c r="R233" i="29"/>
  <c r="Q257" i="29"/>
  <c r="R273" i="29"/>
  <c r="R244" i="29"/>
  <c r="R276" i="29"/>
  <c r="Q252" i="29"/>
  <c r="Q276" i="29"/>
  <c r="R243" i="29"/>
  <c r="R215" i="29"/>
  <c r="Q215" i="29"/>
  <c r="Q183" i="29"/>
  <c r="R206" i="29"/>
  <c r="R242" i="29"/>
  <c r="Q214" i="29"/>
  <c r="Q182" i="29"/>
  <c r="R213" i="29"/>
  <c r="Q213" i="29"/>
  <c r="Q181" i="29"/>
  <c r="R212" i="29"/>
  <c r="R180" i="29"/>
  <c r="Q216" i="29"/>
  <c r="Q184" i="29"/>
  <c r="Q163" i="29"/>
  <c r="Q158" i="29"/>
  <c r="Q126" i="29"/>
  <c r="R157" i="29"/>
  <c r="R152" i="29"/>
  <c r="R120" i="29"/>
  <c r="Q152" i="29"/>
  <c r="Q120" i="29"/>
  <c r="R143" i="29"/>
  <c r="R115" i="29"/>
  <c r="R83" i="29"/>
  <c r="Q123" i="29"/>
  <c r="R134" i="29"/>
  <c r="R98" i="29"/>
  <c r="R66" i="29"/>
  <c r="Q149" i="29"/>
  <c r="R113" i="29"/>
  <c r="R81" i="29"/>
  <c r="Q109" i="29"/>
  <c r="Q77" i="29"/>
  <c r="R137" i="29"/>
  <c r="R104" i="29"/>
  <c r="R72" i="29"/>
  <c r="R49" i="29"/>
  <c r="Q106" i="29"/>
  <c r="Q60" i="29"/>
  <c r="Q23" i="29"/>
  <c r="Q27" i="29"/>
  <c r="Q35" i="29"/>
  <c r="R19" i="29"/>
  <c r="R61" i="29"/>
  <c r="Q16" i="29"/>
  <c r="Q49" i="29"/>
  <c r="Q100" i="29"/>
  <c r="Q599" i="29"/>
  <c r="Q602" i="29"/>
  <c r="Q593" i="29"/>
  <c r="R596" i="29"/>
  <c r="Q613" i="29"/>
  <c r="R600" i="29"/>
  <c r="R573" i="29"/>
  <c r="Q572" i="29"/>
  <c r="Q575" i="29"/>
  <c r="Q609" i="29"/>
  <c r="R580" i="29"/>
  <c r="Q557" i="29"/>
  <c r="R552" i="29"/>
  <c r="Q548" i="29"/>
  <c r="R547" i="29"/>
  <c r="R540" i="29"/>
  <c r="Q532" i="29"/>
  <c r="R566" i="29"/>
  <c r="Q516" i="29"/>
  <c r="R507" i="29"/>
  <c r="R535" i="29"/>
  <c r="Q522" i="29"/>
  <c r="R513" i="29"/>
  <c r="R493" i="29"/>
  <c r="R496" i="29"/>
  <c r="Q496" i="29"/>
  <c r="R491" i="29"/>
  <c r="Q487" i="29"/>
  <c r="R473" i="29"/>
  <c r="Q478" i="29"/>
  <c r="Q486" i="29"/>
  <c r="Q501" i="29"/>
  <c r="Q475" i="29"/>
  <c r="R466" i="29"/>
  <c r="Q466" i="29"/>
  <c r="Q458" i="29"/>
  <c r="Q426" i="29"/>
  <c r="R457" i="29"/>
  <c r="Q453" i="29"/>
  <c r="Q421" i="29"/>
  <c r="R436" i="29"/>
  <c r="R404" i="29"/>
  <c r="Q432" i="29"/>
  <c r="R459" i="29"/>
  <c r="Q402" i="29"/>
  <c r="Q370" i="29"/>
  <c r="Q411" i="29"/>
  <c r="R377" i="29"/>
  <c r="R414" i="29"/>
  <c r="Q439" i="29"/>
  <c r="R392" i="29"/>
  <c r="Q400" i="29"/>
  <c r="R443" i="29"/>
  <c r="R399" i="29"/>
  <c r="Q443" i="29"/>
  <c r="Q391" i="29"/>
  <c r="Q417" i="29"/>
  <c r="R378" i="29"/>
  <c r="R349" i="29"/>
  <c r="Q349" i="29"/>
  <c r="Q317" i="29"/>
  <c r="R340" i="29"/>
  <c r="Q344" i="29"/>
  <c r="Q312" i="29"/>
  <c r="R339" i="29"/>
  <c r="Q373" i="29"/>
  <c r="R338" i="29"/>
  <c r="R333" i="29"/>
  <c r="R293" i="29"/>
  <c r="Q362" i="29"/>
  <c r="Q293" i="29"/>
  <c r="R308" i="29"/>
  <c r="Q319" i="29"/>
  <c r="R307" i="29"/>
  <c r="Q307" i="29"/>
  <c r="Q275" i="29"/>
  <c r="R294" i="29"/>
  <c r="Q267" i="29"/>
  <c r="Q235" i="29"/>
  <c r="R270" i="29"/>
  <c r="Q302" i="29"/>
  <c r="Q270" i="29"/>
  <c r="Q331" i="29"/>
  <c r="R261" i="29"/>
  <c r="R229" i="29"/>
  <c r="Q253" i="29"/>
  <c r="R272" i="29"/>
  <c r="R240" i="29"/>
  <c r="Q274" i="29"/>
  <c r="Q248" i="29"/>
  <c r="R271" i="29"/>
  <c r="R239" i="29"/>
  <c r="R211" i="29"/>
  <c r="Q211" i="29"/>
  <c r="Q179" i="29"/>
  <c r="R202" i="29"/>
  <c r="R238" i="29"/>
  <c r="Q210" i="29"/>
  <c r="Q178" i="29"/>
  <c r="R209" i="29"/>
  <c r="Q209" i="29"/>
  <c r="Q177" i="29"/>
  <c r="R208" i="29"/>
  <c r="R176" i="29"/>
  <c r="Q212" i="29"/>
  <c r="Q180" i="29"/>
  <c r="Q159" i="29"/>
  <c r="Q154" i="29"/>
  <c r="Q122" i="29"/>
  <c r="R193" i="29"/>
  <c r="R148" i="29"/>
  <c r="R197" i="29"/>
  <c r="Q148" i="29"/>
  <c r="R191" i="29"/>
  <c r="R139" i="29"/>
  <c r="R111" i="29"/>
  <c r="R79" i="29"/>
  <c r="Q119" i="29"/>
  <c r="R133" i="29"/>
  <c r="R94" i="29"/>
  <c r="R62" i="29"/>
  <c r="Q141" i="29"/>
  <c r="R109" i="29"/>
  <c r="R158" i="29"/>
  <c r="Q105" i="29"/>
  <c r="Q175" i="29"/>
  <c r="R130" i="29"/>
  <c r="R100" i="29"/>
  <c r="R68" i="29"/>
  <c r="Q51" i="29"/>
  <c r="Q87" i="29"/>
  <c r="Q17" i="29"/>
  <c r="Q25" i="29"/>
  <c r="Q33" i="29"/>
  <c r="Q41" i="29"/>
  <c r="Q108" i="29"/>
  <c r="R59" i="29"/>
  <c r="Q96" i="29"/>
  <c r="R602" i="29"/>
  <c r="R612" i="29"/>
  <c r="Q592" i="29"/>
  <c r="R557" i="29"/>
  <c r="R584" i="29"/>
  <c r="R549" i="29"/>
  <c r="R574" i="29"/>
  <c r="Q529" i="29"/>
  <c r="Q528" i="29"/>
  <c r="R526" i="29"/>
  <c r="R555" i="29"/>
  <c r="R506" i="29"/>
  <c r="Q513" i="29"/>
  <c r="R492" i="29"/>
  <c r="Q521" i="29"/>
  <c r="Q494" i="29"/>
  <c r="R480" i="29"/>
  <c r="R468" i="29"/>
  <c r="Q471" i="29"/>
  <c r="Q485" i="29"/>
  <c r="Q450" i="29"/>
  <c r="R463" i="29"/>
  <c r="Q437" i="29"/>
  <c r="R432" i="29"/>
  <c r="Q444" i="29"/>
  <c r="R451" i="29"/>
  <c r="Q378" i="29"/>
  <c r="R393" i="29"/>
  <c r="Q401" i="29"/>
  <c r="R405" i="29"/>
  <c r="Q392" i="29"/>
  <c r="Q409" i="29"/>
  <c r="Q413" i="29"/>
  <c r="R407" i="29"/>
  <c r="R361" i="29"/>
  <c r="Q341" i="29"/>
  <c r="R348" i="29"/>
  <c r="Q328" i="29"/>
  <c r="R335" i="29"/>
  <c r="R350" i="29"/>
  <c r="R317" i="29"/>
  <c r="R373" i="29"/>
  <c r="Q289" i="29"/>
  <c r="Q355" i="29"/>
  <c r="R329" i="29"/>
  <c r="Q303" i="29"/>
  <c r="Q311" i="29"/>
  <c r="R274" i="29"/>
  <c r="Q231" i="29"/>
  <c r="R258" i="29"/>
  <c r="Q286" i="29"/>
  <c r="R314" i="29"/>
  <c r="R249" i="29"/>
  <c r="Q265" i="29"/>
  <c r="R268" i="29"/>
  <c r="R292" i="29"/>
  <c r="Q260" i="29"/>
  <c r="R267" i="29"/>
  <c r="Q234" i="29"/>
  <c r="Q223" i="29"/>
  <c r="Q245" i="29"/>
  <c r="R190" i="29"/>
  <c r="Q222" i="29"/>
  <c r="Q174" i="29"/>
  <c r="Q229" i="29"/>
  <c r="Q189" i="29"/>
  <c r="R204" i="29"/>
  <c r="Q232" i="29"/>
  <c r="Q192" i="29"/>
  <c r="R195" i="29"/>
  <c r="Q142" i="29"/>
  <c r="R165" i="29"/>
  <c r="R144" i="29"/>
  <c r="Q168" i="29"/>
  <c r="Q128" i="29"/>
  <c r="R135" i="29"/>
  <c r="R99" i="29"/>
  <c r="Q139" i="29"/>
  <c r="R126" i="29"/>
  <c r="R82" i="29"/>
  <c r="Q171" i="29"/>
  <c r="R105" i="29"/>
  <c r="Q135" i="29"/>
  <c r="Q85" i="29"/>
  <c r="R129" i="29"/>
  <c r="R88" i="29"/>
  <c r="R48" i="29"/>
  <c r="R24" i="29"/>
  <c r="R44" i="29"/>
  <c r="Q37" i="29"/>
  <c r="Q68" i="29"/>
  <c r="R15" i="29"/>
  <c r="Q72" i="29"/>
  <c r="Q610" i="29"/>
  <c r="R604" i="29"/>
  <c r="R608" i="29"/>
  <c r="R579" i="29"/>
  <c r="Q551" i="29"/>
  <c r="R568" i="29"/>
  <c r="R562" i="29"/>
  <c r="Q574" i="29"/>
  <c r="Q539" i="29"/>
  <c r="Q512" i="29"/>
  <c r="Q515" i="29"/>
  <c r="Q514" i="29"/>
  <c r="R501" i="29"/>
  <c r="R516" i="29"/>
  <c r="R487" i="29"/>
  <c r="R479" i="29"/>
  <c r="Q473" i="29"/>
  <c r="Q545" i="29"/>
  <c r="R498" i="29"/>
  <c r="Q462" i="29"/>
  <c r="Q438" i="29"/>
  <c r="R449" i="29"/>
  <c r="Q429" i="29"/>
  <c r="R420" i="29"/>
  <c r="Q428" i="29"/>
  <c r="R411" i="29"/>
  <c r="R437" i="29"/>
  <c r="R385" i="29"/>
  <c r="Q389" i="29"/>
  <c r="R388" i="29"/>
  <c r="Q380" i="29"/>
  <c r="R391" i="29"/>
  <c r="Q399" i="29"/>
  <c r="R394" i="29"/>
  <c r="R345" i="29"/>
  <c r="Q329" i="29"/>
  <c r="Q368" i="29"/>
  <c r="Q320" i="29"/>
  <c r="R323" i="29"/>
  <c r="R334" i="29"/>
  <c r="R305" i="29"/>
  <c r="Q351" i="29"/>
  <c r="Q281" i="29"/>
  <c r="R328" i="29"/>
  <c r="R303" i="29"/>
  <c r="Q295" i="29"/>
  <c r="R306" i="29"/>
  <c r="Q263" i="29"/>
  <c r="Q342" i="29"/>
  <c r="R250" i="29"/>
  <c r="Q266" i="29"/>
  <c r="Q296" i="29"/>
  <c r="R241" i="29"/>
  <c r="Q249" i="29"/>
  <c r="R260" i="29"/>
  <c r="R284" i="29"/>
  <c r="Q244" i="29"/>
  <c r="R259" i="29"/>
  <c r="R223" i="29"/>
  <c r="Q207" i="29"/>
  <c r="R222" i="29"/>
  <c r="R182" i="29"/>
  <c r="Q206" i="29"/>
  <c r="Q230" i="29"/>
  <c r="Q221" i="29"/>
  <c r="Q173" i="29"/>
  <c r="R196" i="29"/>
  <c r="Q224" i="29"/>
  <c r="Q176" i="29"/>
  <c r="R189" i="29"/>
  <c r="Q134" i="29"/>
  <c r="R177" i="29"/>
  <c r="R136" i="29"/>
  <c r="Q160" i="29"/>
  <c r="R167" i="29"/>
  <c r="R127" i="29"/>
  <c r="R91" i="29"/>
  <c r="Q115" i="29"/>
  <c r="R114" i="29"/>
  <c r="R74" i="29"/>
  <c r="Q133" i="29"/>
  <c r="R97" i="29"/>
  <c r="Q117" i="29"/>
  <c r="Q169" i="29"/>
  <c r="R121" i="29"/>
  <c r="R80" i="29"/>
  <c r="R16" i="29"/>
  <c r="R36" i="29"/>
  <c r="R77" i="29"/>
  <c r="Q104" i="29"/>
  <c r="Q29" i="29"/>
  <c r="Q53" i="29"/>
  <c r="Q75" i="29"/>
  <c r="R27" i="29"/>
  <c r="Q116" i="29"/>
  <c r="Q594" i="29"/>
  <c r="Q589" i="29"/>
  <c r="Q587" i="29"/>
  <c r="Q564" i="29"/>
  <c r="R570" i="29"/>
  <c r="G625" i="29"/>
  <c r="R546" i="29"/>
  <c r="R536" i="29"/>
  <c r="Q535" i="29"/>
  <c r="Q504" i="29"/>
  <c r="Q511" i="29"/>
  <c r="Q506" i="29"/>
  <c r="R489" i="29"/>
  <c r="Q505" i="29"/>
  <c r="R483" i="29"/>
  <c r="R478" i="29"/>
  <c r="Q465" i="29"/>
  <c r="Q481" i="29"/>
  <c r="Q489" i="29"/>
  <c r="R458" i="29"/>
  <c r="Q434" i="29"/>
  <c r="R441" i="29"/>
  <c r="R471" i="29"/>
  <c r="R416" i="29"/>
  <c r="Q424" i="29"/>
  <c r="Q407" i="29"/>
  <c r="R429" i="29"/>
  <c r="R467" i="29"/>
  <c r="Q385" i="29"/>
  <c r="R384" i="29"/>
  <c r="Q376" i="29"/>
  <c r="R383" i="29"/>
  <c r="Q387" i="29"/>
  <c r="R390" i="29"/>
  <c r="R341" i="29"/>
  <c r="Q325" i="29"/>
  <c r="Q360" i="29"/>
  <c r="R367" i="29"/>
  <c r="R319" i="29"/>
  <c r="R330" i="29"/>
  <c r="R301" i="29"/>
  <c r="Q346" i="29"/>
  <c r="Q277" i="29"/>
  <c r="Q327" i="29"/>
  <c r="R299" i="29"/>
  <c r="Q291" i="29"/>
  <c r="R302" i="29"/>
  <c r="Q259" i="29"/>
  <c r="R300" i="29"/>
  <c r="R246" i="29"/>
  <c r="Q262" i="29"/>
  <c r="Q288" i="29"/>
  <c r="R237" i="29"/>
  <c r="R332" i="29"/>
  <c r="R256" i="29"/>
  <c r="Q282" i="29"/>
  <c r="Q240" i="29"/>
  <c r="R255" i="29"/>
  <c r="R219" i="29"/>
  <c r="Q203" i="29"/>
  <c r="R218" i="29"/>
  <c r="R178" i="29"/>
  <c r="Q202" i="29"/>
  <c r="R225" i="29"/>
  <c r="Q217" i="29"/>
  <c r="Q241" i="29"/>
  <c r="R192" i="29"/>
  <c r="Q220" i="29"/>
  <c r="Q172" i="29"/>
  <c r="Q170" i="29"/>
  <c r="Q130" i="29"/>
  <c r="R187" i="29"/>
  <c r="R132" i="29"/>
  <c r="Q156" i="29"/>
  <c r="R163" i="29"/>
  <c r="R123" i="29"/>
  <c r="R87" i="29"/>
  <c r="Q161" i="29"/>
  <c r="R110" i="29"/>
  <c r="R70" i="29"/>
  <c r="Q125" i="29"/>
  <c r="R93" i="29"/>
  <c r="Q113" i="29"/>
  <c r="R154" i="29"/>
  <c r="R116" i="29"/>
  <c r="R76" i="29"/>
  <c r="R65" i="29"/>
  <c r="Q13" i="29"/>
  <c r="Q40" i="29"/>
  <c r="Q611" i="29"/>
  <c r="R597" i="29"/>
  <c r="Q596" i="29"/>
  <c r="Q600" i="29"/>
  <c r="R571" i="29"/>
  <c r="Q550" i="29"/>
  <c r="R567" i="29"/>
  <c r="Q534" i="29"/>
  <c r="R544" i="29"/>
  <c r="R542" i="29"/>
  <c r="R515" i="29"/>
  <c r="R514" i="29"/>
  <c r="R509" i="29"/>
  <c r="Q517" i="29"/>
  <c r="Q488" i="29"/>
  <c r="Q495" i="29"/>
  <c r="R486" i="29"/>
  <c r="Q480" i="29"/>
  <c r="Q464" i="29"/>
  <c r="R502" i="29"/>
  <c r="R442" i="29"/>
  <c r="Q410" i="29"/>
  <c r="Q449" i="29"/>
  <c r="R448" i="29"/>
  <c r="Q456" i="29"/>
  <c r="Q408" i="29"/>
  <c r="Q386" i="29"/>
  <c r="R410" i="29"/>
  <c r="R423" i="29"/>
  <c r="Q423" i="29"/>
  <c r="R409" i="29"/>
  <c r="R425" i="29"/>
  <c r="R435" i="29"/>
  <c r="R447" i="29"/>
  <c r="R370" i="29"/>
  <c r="Q357" i="29"/>
  <c r="R356" i="29"/>
  <c r="Q340" i="29"/>
  <c r="R351" i="29"/>
  <c r="R362" i="29"/>
  <c r="Q371" i="29"/>
  <c r="R281" i="29"/>
  <c r="Q305" i="29"/>
  <c r="R304" i="29"/>
  <c r="Q339" i="29"/>
  <c r="Q343" i="29"/>
  <c r="Q330" i="29"/>
  <c r="R282" i="29"/>
  <c r="Q247" i="29"/>
  <c r="R266" i="29"/>
  <c r="Q294" i="29"/>
  <c r="Q250" i="29"/>
  <c r="R257" i="29"/>
  <c r="Q310" i="29"/>
  <c r="R283" i="29"/>
  <c r="R236" i="29"/>
  <c r="Q268" i="29"/>
  <c r="Q292" i="29"/>
  <c r="R235" i="29"/>
  <c r="R199" i="29"/>
  <c r="Q191" i="29"/>
  <c r="R198" i="29"/>
  <c r="R230" i="29"/>
  <c r="Q190" i="29"/>
  <c r="R205" i="29"/>
  <c r="Q197" i="29"/>
  <c r="R220" i="29"/>
  <c r="R234" i="29"/>
  <c r="Q200" i="29"/>
  <c r="R173" i="29"/>
  <c r="Q150" i="29"/>
  <c r="R171" i="29"/>
  <c r="R160" i="29"/>
  <c r="R181" i="29"/>
  <c r="Q136" i="29"/>
  <c r="R151" i="29"/>
  <c r="R107" i="29"/>
  <c r="Q155" i="29"/>
  <c r="R142" i="29"/>
  <c r="R90" i="29"/>
  <c r="R50" i="29"/>
  <c r="R118" i="29"/>
  <c r="Q151" i="29"/>
  <c r="Q93" i="29"/>
  <c r="R145" i="29"/>
  <c r="R96" i="29"/>
  <c r="R56" i="29"/>
  <c r="R20" i="29"/>
  <c r="R32" i="29"/>
  <c r="Q58" i="29"/>
  <c r="Q45" i="29"/>
  <c r="R25" i="29"/>
  <c r="R37" i="29"/>
  <c r="R45" i="29"/>
  <c r="R53" i="29"/>
  <c r="Q18" i="29"/>
  <c r="Q26" i="29"/>
  <c r="Q34" i="29"/>
  <c r="Q42" i="29"/>
  <c r="Q84" i="29"/>
  <c r="Q52" i="29"/>
  <c r="Q70" i="29"/>
  <c r="R63" i="29"/>
  <c r="R610" i="29"/>
  <c r="R585" i="29"/>
  <c r="R592" i="29"/>
  <c r="R565" i="29"/>
  <c r="Q567" i="29"/>
  <c r="Q569" i="29"/>
  <c r="R582" i="29"/>
  <c r="Q537" i="29"/>
  <c r="Q540" i="29"/>
  <c r="R530" i="29"/>
  <c r="Q562" i="29"/>
  <c r="R510" i="29"/>
  <c r="R505" i="29"/>
  <c r="R503" i="29"/>
  <c r="R543" i="29"/>
  <c r="Q483" i="29"/>
  <c r="Q482" i="29"/>
  <c r="R476" i="29"/>
  <c r="R550" i="29"/>
  <c r="R494" i="29"/>
  <c r="Q454" i="29"/>
  <c r="Q406" i="29"/>
  <c r="Q445" i="29"/>
  <c r="R444" i="29"/>
  <c r="Q448" i="29"/>
  <c r="R455" i="29"/>
  <c r="Q382" i="29"/>
  <c r="R401" i="29"/>
  <c r="R419" i="29"/>
  <c r="R418" i="29"/>
  <c r="Q396" i="29"/>
  <c r="R413" i="29"/>
  <c r="R427" i="29"/>
  <c r="Q435" i="29"/>
  <c r="R365" i="29"/>
  <c r="Q345" i="29"/>
  <c r="R352" i="29"/>
  <c r="Q336" i="29"/>
  <c r="R347" i="29"/>
  <c r="R354" i="29"/>
  <c r="R325" i="29"/>
  <c r="R277" i="29"/>
  <c r="Q301" i="29"/>
  <c r="Q366" i="29"/>
  <c r="R337" i="29"/>
  <c r="Q335" i="29"/>
  <c r="Q322" i="29"/>
  <c r="R278" i="29"/>
  <c r="Q243" i="29"/>
  <c r="R262" i="29"/>
  <c r="R288" i="29"/>
  <c r="Q246" i="29"/>
  <c r="R253" i="29"/>
  <c r="Q269" i="29"/>
  <c r="R275" i="29"/>
  <c r="R232" i="29"/>
  <c r="Q264" i="29"/>
  <c r="Q284" i="29"/>
  <c r="R231" i="29"/>
  <c r="Q227" i="29"/>
  <c r="Q187" i="29"/>
  <c r="R194" i="29"/>
  <c r="Q226" i="29"/>
  <c r="Q186" i="29"/>
  <c r="R201" i="29"/>
  <c r="Q193" i="29"/>
  <c r="R216" i="29"/>
  <c r="Q233" i="29"/>
  <c r="Q196" i="29"/>
  <c r="Q167" i="29"/>
  <c r="Q146" i="29"/>
  <c r="R169" i="29"/>
  <c r="R156" i="29"/>
  <c r="R174" i="29"/>
  <c r="Q132" i="29"/>
  <c r="R147" i="29"/>
  <c r="R103" i="29"/>
  <c r="Q147" i="29"/>
  <c r="R141" i="29"/>
  <c r="R86" i="29"/>
  <c r="R172" i="29"/>
  <c r="R117" i="29"/>
  <c r="Q143" i="29"/>
  <c r="Q89" i="29"/>
  <c r="R138" i="29"/>
  <c r="R92" i="29"/>
  <c r="R52" i="29"/>
  <c r="Q74" i="29"/>
  <c r="Q110" i="29"/>
  <c r="R29" i="29"/>
  <c r="Q55" i="29"/>
  <c r="Q80" i="29"/>
  <c r="Q86" i="29"/>
  <c r="Q31" i="29"/>
  <c r="R598" i="29"/>
  <c r="Q608" i="29"/>
  <c r="R587" i="29"/>
  <c r="Q524" i="29"/>
  <c r="R522" i="29"/>
  <c r="Q503" i="29"/>
  <c r="Q477" i="29"/>
  <c r="R462" i="29"/>
  <c r="Q497" i="29"/>
  <c r="Q440" i="29"/>
  <c r="R421" i="29"/>
  <c r="R376" i="29"/>
  <c r="Q403" i="29"/>
  <c r="Q361" i="29"/>
  <c r="R363" i="29"/>
  <c r="R309" i="29"/>
  <c r="Q326" i="29"/>
  <c r="Q287" i="29"/>
  <c r="Q347" i="29"/>
  <c r="Q254" i="29"/>
  <c r="Q315" i="29"/>
  <c r="Q256" i="29"/>
  <c r="R203" i="29"/>
  <c r="Q237" i="29"/>
  <c r="Q225" i="29"/>
  <c r="R184" i="29"/>
  <c r="Q166" i="29"/>
  <c r="R140" i="29"/>
  <c r="R155" i="29"/>
  <c r="R150" i="29"/>
  <c r="R170" i="29"/>
  <c r="Q97" i="29"/>
  <c r="R64" i="29"/>
  <c r="Q91" i="29"/>
  <c r="Q95" i="29"/>
  <c r="Q22" i="29"/>
  <c r="Q48" i="29"/>
  <c r="R71" i="29"/>
  <c r="Q32" i="29"/>
  <c r="R601" i="29"/>
  <c r="Q556" i="29"/>
  <c r="Q573" i="29"/>
  <c r="R554" i="29"/>
  <c r="R539" i="29"/>
  <c r="R499" i="29"/>
  <c r="R508" i="29"/>
  <c r="R450" i="29"/>
  <c r="Q433" i="29"/>
  <c r="Q412" i="29"/>
  <c r="Q459" i="29"/>
  <c r="Q384" i="29"/>
  <c r="Q375" i="29"/>
  <c r="R368" i="29"/>
  <c r="R331" i="29"/>
  <c r="R285" i="29"/>
  <c r="Q308" i="29"/>
  <c r="R310" i="29"/>
  <c r="R287" i="29"/>
  <c r="Q280" i="29"/>
  <c r="R264" i="29"/>
  <c r="Q306" i="29"/>
  <c r="Q199" i="29"/>
  <c r="Q218" i="29"/>
  <c r="Q201" i="29"/>
  <c r="Q208" i="29"/>
  <c r="Q138" i="29"/>
  <c r="R124" i="29"/>
  <c r="Q157" i="29"/>
  <c r="R125" i="29"/>
  <c r="Q165" i="29"/>
  <c r="R153" i="29"/>
  <c r="R41" i="29"/>
  <c r="Q99" i="29"/>
  <c r="R162" i="29"/>
  <c r="Q36" i="29"/>
  <c r="R611" i="29"/>
  <c r="Q579" i="29"/>
  <c r="Q542" i="29"/>
  <c r="R537" i="29"/>
  <c r="R521" i="29"/>
  <c r="R520" i="29"/>
  <c r="R464" i="29"/>
  <c r="R446" i="29"/>
  <c r="R460" i="29"/>
  <c r="Q447" i="29"/>
  <c r="R431" i="29"/>
  <c r="R434" i="29"/>
  <c r="R402" i="29"/>
  <c r="R364" i="29"/>
  <c r="R315" i="29"/>
  <c r="Q372" i="29"/>
  <c r="Q304" i="29"/>
  <c r="R290" i="29"/>
  <c r="R254" i="29"/>
  <c r="R269" i="29"/>
  <c r="R252" i="29"/>
  <c r="R263" i="29"/>
  <c r="Q195" i="29"/>
  <c r="Q198" i="29"/>
  <c r="Q185" i="29"/>
  <c r="Q204" i="29"/>
  <c r="Q118" i="29"/>
  <c r="Q164" i="29"/>
  <c r="R119" i="29"/>
  <c r="R106" i="29"/>
  <c r="R101" i="29"/>
  <c r="R146" i="29"/>
  <c r="Q67" i="29"/>
  <c r="R33" i="29"/>
  <c r="Q82" i="29"/>
  <c r="Q64" i="29"/>
  <c r="Q612" i="29"/>
  <c r="Q555" i="29"/>
  <c r="Q538" i="29"/>
  <c r="R531" i="29"/>
  <c r="Q502" i="29"/>
  <c r="Q499" i="29"/>
  <c r="Q476" i="29"/>
  <c r="Q442" i="29"/>
  <c r="R452" i="29"/>
  <c r="Q398" i="29"/>
  <c r="Q397" i="29"/>
  <c r="R433" i="29"/>
  <c r="R386" i="29"/>
  <c r="R336" i="29"/>
  <c r="R366" i="29"/>
  <c r="R312" i="29"/>
  <c r="R321" i="29"/>
  <c r="R286" i="29"/>
  <c r="Q300" i="29"/>
  <c r="R245" i="29"/>
  <c r="R248" i="29"/>
  <c r="R251" i="29"/>
  <c r="R226" i="29"/>
  <c r="Q194" i="29"/>
  <c r="R228" i="29"/>
  <c r="Q188" i="29"/>
  <c r="R183" i="29"/>
  <c r="Q144" i="29"/>
  <c r="R95" i="29"/>
  <c r="R102" i="29"/>
  <c r="R89" i="29"/>
  <c r="R122" i="29"/>
  <c r="Q21" i="29"/>
  <c r="Q107" i="29"/>
  <c r="R43" i="29"/>
  <c r="Q137" i="29"/>
  <c r="R591" i="29"/>
  <c r="Q554" i="29"/>
  <c r="R532" i="29"/>
  <c r="Q519" i="29"/>
  <c r="R527" i="29"/>
  <c r="R469" i="29"/>
  <c r="Q467" i="29"/>
  <c r="Q418" i="29"/>
  <c r="R412" i="29"/>
  <c r="R438" i="29"/>
  <c r="Q431" i="29"/>
  <c r="R379" i="29"/>
  <c r="R357" i="29"/>
  <c r="Q352" i="29"/>
  <c r="R322" i="29"/>
  <c r="Q285" i="29"/>
  <c r="Q354" i="29"/>
  <c r="Q255" i="29"/>
  <c r="R280" i="29"/>
  <c r="Q358" i="29"/>
  <c r="Q273" i="29"/>
  <c r="R227" i="29"/>
  <c r="R210" i="29"/>
  <c r="R221" i="29"/>
  <c r="R200" i="29"/>
  <c r="R175" i="29"/>
  <c r="R168" i="29"/>
  <c r="Q124" i="29"/>
  <c r="R166" i="29"/>
  <c r="R58" i="29"/>
  <c r="Q127" i="29"/>
  <c r="R108" i="29"/>
  <c r="Q69" i="29"/>
  <c r="R69" i="29"/>
  <c r="Q38" i="29"/>
  <c r="Q46" i="29"/>
  <c r="Q57" i="29"/>
  <c r="Q129" i="29"/>
  <c r="Q73" i="29"/>
  <c r="R40" i="29"/>
  <c r="R112" i="29"/>
  <c r="Q131" i="29"/>
  <c r="Q162" i="29"/>
  <c r="Q238" i="29"/>
  <c r="Q272" i="29"/>
  <c r="R295" i="29"/>
  <c r="Q309" i="29"/>
  <c r="Q365" i="29"/>
  <c r="R389" i="29"/>
  <c r="Q422" i="29"/>
  <c r="R488" i="29"/>
  <c r="R572" i="29"/>
  <c r="S49" i="29"/>
  <c r="S72" i="29"/>
  <c r="O113" i="29"/>
  <c r="O74" i="29"/>
  <c r="S85" i="29"/>
  <c r="T39" i="29"/>
  <c r="T31" i="29"/>
  <c r="T23" i="29"/>
  <c r="T15" i="29"/>
  <c r="O76" i="29"/>
  <c r="S43" i="29"/>
  <c r="T66" i="29"/>
  <c r="P54" i="29"/>
  <c r="O100" i="29"/>
  <c r="O28" i="29"/>
  <c r="P70" i="29"/>
  <c r="S19" i="29"/>
  <c r="S59" i="29"/>
  <c r="T14" i="29"/>
  <c r="S50" i="29"/>
  <c r="S46" i="29"/>
  <c r="T30" i="29"/>
  <c r="S35" i="29"/>
  <c r="T157" i="29"/>
  <c r="T26" i="29"/>
  <c r="S38" i="29"/>
  <c r="S54" i="29"/>
  <c r="T46" i="29"/>
  <c r="S34" i="29"/>
  <c r="S14" i="29"/>
  <c r="P58" i="29"/>
  <c r="O21" i="29"/>
  <c r="O33" i="29"/>
  <c r="O45" i="29"/>
  <c r="O13" i="29"/>
  <c r="O81" i="29"/>
  <c r="O41" i="29"/>
  <c r="O16" i="29"/>
  <c r="O56" i="29"/>
  <c r="O87" i="29"/>
  <c r="O117" i="29"/>
  <c r="P138" i="29"/>
  <c r="O29" i="29"/>
  <c r="O17" i="29"/>
  <c r="O58" i="29"/>
  <c r="P122" i="29"/>
  <c r="P74" i="29"/>
  <c r="O37" i="29"/>
  <c r="O25" i="29"/>
  <c r="O109" i="29"/>
  <c r="S111" i="29"/>
  <c r="S81" i="29"/>
  <c r="T34" i="29"/>
  <c r="S105" i="29"/>
  <c r="S103" i="29"/>
  <c r="S73" i="29"/>
  <c r="S78" i="29"/>
  <c r="T52" i="29"/>
  <c r="S94" i="29"/>
  <c r="S68" i="29"/>
  <c r="T22" i="29"/>
  <c r="S30" i="29"/>
  <c r="S66" i="29"/>
  <c r="T64" i="29"/>
  <c r="S61" i="29"/>
  <c r="S39" i="29"/>
  <c r="S31" i="29"/>
  <c r="S23" i="29"/>
  <c r="S15" i="29"/>
  <c r="S52" i="29"/>
  <c r="T42" i="29"/>
  <c r="S57" i="29"/>
  <c r="S90" i="29"/>
  <c r="T48" i="29"/>
  <c r="S98" i="29"/>
  <c r="S107" i="29"/>
  <c r="S79" i="29"/>
  <c r="T50" i="29"/>
  <c r="T18" i="29"/>
  <c r="AE18" i="29" s="1"/>
  <c r="S42" i="29"/>
  <c r="S26" i="29"/>
  <c r="S18" i="29"/>
  <c r="S70" i="29"/>
  <c r="S47" i="29"/>
  <c r="T38" i="29"/>
  <c r="S22"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P626" i="29"/>
  <c r="O626" i="29"/>
  <c r="V626" i="29"/>
  <c r="U626" i="29"/>
  <c r="R626" i="29"/>
  <c r="T626" i="29"/>
  <c r="S626" i="29"/>
  <c r="Q626" i="29"/>
  <c r="AD452" i="29" l="1"/>
  <c r="AD283" i="29"/>
  <c r="AE46" i="29"/>
  <c r="AE183" i="29"/>
  <c r="AE557" i="29"/>
  <c r="AE457" i="29"/>
  <c r="AD547" i="29"/>
  <c r="AE57" i="29"/>
  <c r="P624" i="29"/>
  <c r="S624" i="29"/>
  <c r="AD306" i="29"/>
  <c r="AD408" i="29"/>
  <c r="AE542" i="29"/>
  <c r="AD489" i="29"/>
  <c r="AE250" i="29"/>
  <c r="AD437" i="29"/>
  <c r="AE564" i="29"/>
  <c r="T624" i="29"/>
  <c r="O624" i="29"/>
  <c r="U624" i="29"/>
  <c r="AE297" i="29"/>
  <c r="Q624" i="29"/>
  <c r="V624" i="29"/>
  <c r="AE38" i="29"/>
  <c r="AE22" i="29"/>
  <c r="AE42" i="29"/>
  <c r="AD334" i="29"/>
  <c r="AE186" i="29"/>
  <c r="AE254" i="29"/>
  <c r="AD203" i="29"/>
  <c r="AD210" i="29"/>
  <c r="AD609" i="29"/>
  <c r="AD257" i="29"/>
  <c r="AD114" i="29"/>
  <c r="AD70" i="29"/>
  <c r="AD304" i="29"/>
  <c r="AE277" i="29"/>
  <c r="AE476" i="29"/>
  <c r="AD268" i="29"/>
  <c r="AD371" i="29"/>
  <c r="AD610" i="29"/>
  <c r="AE492" i="29"/>
  <c r="AE521" i="29"/>
  <c r="AE145" i="29"/>
  <c r="AE571" i="29"/>
  <c r="AE451" i="29"/>
  <c r="AD487" i="29"/>
  <c r="AD557" i="29"/>
  <c r="AE98" i="29"/>
  <c r="AE558" i="29"/>
  <c r="AD591" i="29"/>
  <c r="AD193" i="29"/>
  <c r="AD144" i="29"/>
  <c r="AD166" i="29"/>
  <c r="AE132" i="29"/>
  <c r="AE479" i="29"/>
  <c r="AE513" i="29"/>
  <c r="AE396" i="29"/>
  <c r="AE567" i="29"/>
  <c r="AE25" i="29"/>
  <c r="AE73" i="29"/>
  <c r="AE34" i="29"/>
  <c r="AD194" i="29"/>
  <c r="AE328" i="29"/>
  <c r="AD514" i="29"/>
  <c r="AD432" i="29"/>
  <c r="AE134" i="29"/>
  <c r="AE152" i="29"/>
  <c r="AD297" i="29"/>
  <c r="AE424" i="29"/>
  <c r="AE606" i="29"/>
  <c r="AE512" i="29"/>
  <c r="AE527" i="29"/>
  <c r="AE37" i="29"/>
  <c r="AE76" i="29"/>
  <c r="AD170" i="29"/>
  <c r="AD458" i="29"/>
  <c r="AE507" i="29"/>
  <c r="AE244" i="29"/>
  <c r="AD318" i="29"/>
  <c r="AD425" i="29"/>
  <c r="AD102" i="29"/>
  <c r="AE26" i="29"/>
  <c r="AE389" i="29"/>
  <c r="AE217" i="29"/>
  <c r="AE425" i="29"/>
  <c r="AD424" i="29"/>
  <c r="AD414" i="29"/>
  <c r="AE589" i="29"/>
  <c r="AD566" i="29"/>
  <c r="AE428" i="29"/>
  <c r="AD440" i="29"/>
  <c r="AE30" i="29"/>
  <c r="AE241" i="29"/>
  <c r="AE459" i="29"/>
  <c r="AD519" i="29"/>
  <c r="AD593" i="29"/>
  <c r="AD480" i="29"/>
  <c r="AD590" i="29"/>
  <c r="AD129" i="29"/>
  <c r="AE263" i="29"/>
  <c r="AD445" i="29"/>
  <c r="AD155" i="29"/>
  <c r="AD517" i="29"/>
  <c r="AE65" i="29"/>
  <c r="AE483" i="29"/>
  <c r="AE27" i="29"/>
  <c r="AD128" i="29"/>
  <c r="AE294" i="29"/>
  <c r="AE443" i="29"/>
  <c r="AD402" i="29"/>
  <c r="AD427" i="29"/>
  <c r="AD86" i="29"/>
  <c r="AE35" i="29"/>
  <c r="AE305" i="29"/>
  <c r="AE88" i="29"/>
  <c r="AD525" i="29"/>
  <c r="AE230" i="29"/>
  <c r="AD429" i="29"/>
  <c r="AD377" i="29"/>
  <c r="AD88" i="29"/>
  <c r="AD550" i="29"/>
  <c r="AE546" i="29"/>
  <c r="AE146" i="29"/>
  <c r="AD185" i="29"/>
  <c r="AE29" i="29"/>
  <c r="AD284" i="29"/>
  <c r="AE262" i="29"/>
  <c r="AD589" i="29"/>
  <c r="AD342" i="29"/>
  <c r="AE549" i="29"/>
  <c r="AE270" i="29"/>
  <c r="AE243" i="29"/>
  <c r="AD143" i="29"/>
  <c r="AD351" i="29"/>
  <c r="AD521" i="29"/>
  <c r="AD302" i="29"/>
  <c r="AE472" i="29"/>
  <c r="AD55" i="29"/>
  <c r="AD301" i="29"/>
  <c r="AE550" i="29"/>
  <c r="AE116" i="29"/>
  <c r="AD229" i="29"/>
  <c r="AE317" i="29"/>
  <c r="AE462" i="29"/>
  <c r="AE257" i="29"/>
  <c r="AE423" i="29"/>
  <c r="AE509" i="29"/>
  <c r="AD438" i="29"/>
  <c r="AE373" i="29"/>
  <c r="AE612" i="29"/>
  <c r="AD576" i="29"/>
  <c r="AD498" i="29"/>
  <c r="AD565" i="29"/>
  <c r="AD568" i="29"/>
  <c r="AE85" i="29"/>
  <c r="AD50" i="29"/>
  <c r="AD366" i="29"/>
  <c r="AE220" i="29"/>
  <c r="AE515" i="29"/>
  <c r="AE167" i="29"/>
  <c r="AE274" i="29"/>
  <c r="AE359" i="29"/>
  <c r="AD24" i="29"/>
  <c r="AD394" i="29"/>
  <c r="AE522" i="29"/>
  <c r="AD160" i="29"/>
  <c r="AD148" i="29"/>
  <c r="AE238" i="29"/>
  <c r="AE406" i="29"/>
  <c r="AE561" i="29"/>
  <c r="AE422" i="29"/>
  <c r="AE375" i="29"/>
  <c r="AE336" i="29"/>
  <c r="AE592" i="29"/>
  <c r="AD277" i="29"/>
  <c r="AD59" i="29"/>
  <c r="AD157" i="29"/>
  <c r="AD244" i="29"/>
  <c r="AD139" i="29"/>
  <c r="AE202" i="29"/>
  <c r="AD312" i="29"/>
  <c r="AE545" i="29"/>
  <c r="AE301" i="29"/>
  <c r="AD534" i="29"/>
  <c r="AD90" i="29"/>
  <c r="AE413" i="29"/>
  <c r="AE487" i="29"/>
  <c r="AD522" i="29"/>
  <c r="AE247" i="29"/>
  <c r="AD416" i="29"/>
  <c r="AD100" i="29"/>
  <c r="AD272" i="29"/>
  <c r="AD442" i="29"/>
  <c r="AD164" i="29"/>
  <c r="AE502" i="29"/>
  <c r="AE218" i="29"/>
  <c r="AD462" i="29"/>
  <c r="AD413" i="29"/>
  <c r="AE602" i="29"/>
  <c r="AD239" i="29"/>
  <c r="AD348" i="29"/>
  <c r="AE371" i="29"/>
  <c r="AD541" i="29"/>
  <c r="AE599" i="29"/>
  <c r="AD207" i="29"/>
  <c r="AD296" i="29"/>
  <c r="AD183" i="29"/>
  <c r="AE273" i="29"/>
  <c r="AE136" i="29"/>
  <c r="AE430" i="29"/>
  <c r="AD430" i="29"/>
  <c r="AE477" i="29"/>
  <c r="AE417" i="29"/>
  <c r="AE609" i="29"/>
  <c r="AD361" i="29"/>
  <c r="AE510" i="29"/>
  <c r="AD386" i="29"/>
  <c r="AE437" i="29"/>
  <c r="AE165" i="29"/>
  <c r="AD248" i="29"/>
  <c r="AD374" i="29"/>
  <c r="AD479" i="29"/>
  <c r="AE607" i="29"/>
  <c r="AE528" i="29"/>
  <c r="AD597" i="29"/>
  <c r="AD531" i="29"/>
  <c r="AE75" i="29"/>
  <c r="AD197" i="29"/>
  <c r="AE339" i="29"/>
  <c r="AD71" i="29"/>
  <c r="AE296" i="29"/>
  <c r="AD98" i="29"/>
  <c r="AD101" i="29"/>
  <c r="AD103" i="29"/>
  <c r="AD108" i="29"/>
  <c r="AD27" i="29"/>
  <c r="AD518" i="29"/>
  <c r="AD333" i="29"/>
  <c r="AE112" i="29"/>
  <c r="AD280" i="29"/>
  <c r="AD495" i="29"/>
  <c r="AD217" i="29"/>
  <c r="AD182" i="29"/>
  <c r="AD242" i="29"/>
  <c r="AE360" i="29"/>
  <c r="AD570" i="29"/>
  <c r="AD309" i="29"/>
  <c r="AD188" i="29"/>
  <c r="AD226" i="29"/>
  <c r="AE80" i="29"/>
  <c r="AD209" i="29"/>
  <c r="AE552" i="29"/>
  <c r="AD613" i="29"/>
  <c r="AE276" i="29"/>
  <c r="AD369" i="29"/>
  <c r="AE553" i="29"/>
  <c r="AD571" i="29"/>
  <c r="AE529" i="29"/>
  <c r="AD153" i="29"/>
  <c r="AD359" i="29"/>
  <c r="AD381" i="29"/>
  <c r="AD85" i="29"/>
  <c r="AE464" i="29"/>
  <c r="AD138" i="29"/>
  <c r="AE63" i="29"/>
  <c r="AE53" i="29"/>
  <c r="AD449" i="29"/>
  <c r="AD232" i="29"/>
  <c r="AE393" i="29"/>
  <c r="AE506" i="29"/>
  <c r="AE340" i="29"/>
  <c r="AD527" i="29"/>
  <c r="AD323" i="29"/>
  <c r="AE196" i="29"/>
  <c r="AD109" i="29"/>
  <c r="AE215" i="29"/>
  <c r="AE303" i="29"/>
  <c r="AD448" i="29"/>
  <c r="AE171" i="29"/>
  <c r="AD125" i="29"/>
  <c r="AE329" i="29"/>
  <c r="AE139" i="29"/>
  <c r="AD516" i="29"/>
  <c r="AD436" i="29"/>
  <c r="AE67" i="29"/>
  <c r="AD383" i="29"/>
  <c r="AE131" i="29"/>
  <c r="AD387" i="29"/>
  <c r="AE144" i="29"/>
  <c r="AD163" i="29"/>
  <c r="AE518" i="29"/>
  <c r="AD588" i="29"/>
  <c r="AE318" i="29"/>
  <c r="AD468" i="29"/>
  <c r="AD492" i="29"/>
  <c r="AD228" i="29"/>
  <c r="AD47" i="29"/>
  <c r="AD256" i="29"/>
  <c r="AE147" i="29"/>
  <c r="AE169" i="29"/>
  <c r="AD134" i="29"/>
  <c r="AE345" i="29"/>
  <c r="AD223" i="29"/>
  <c r="AE49" i="29"/>
  <c r="AE313" i="29"/>
  <c r="AD500" i="29"/>
  <c r="AD598" i="29"/>
  <c r="AD508" i="29"/>
  <c r="AE149" i="29"/>
  <c r="AD559" i="29"/>
  <c r="AD582" i="29"/>
  <c r="AE156" i="29"/>
  <c r="AD179" i="29"/>
  <c r="AE353" i="29"/>
  <c r="AD186" i="29"/>
  <c r="AE159" i="29"/>
  <c r="AD145" i="29"/>
  <c r="AE161" i="29"/>
  <c r="AE185" i="29"/>
  <c r="AE316" i="29"/>
  <c r="AE70" i="29"/>
  <c r="AD66" i="29"/>
  <c r="AE214" i="29"/>
  <c r="AE291" i="29"/>
  <c r="AE523" i="29"/>
  <c r="AD261" i="29"/>
  <c r="AE84" i="29"/>
  <c r="AD30" i="29"/>
  <c r="AE453" i="29"/>
  <c r="AE474" i="29"/>
  <c r="AD69" i="29"/>
  <c r="AE377" i="29"/>
  <c r="AE223" i="29"/>
  <c r="AD184" i="29"/>
  <c r="AD236" i="29"/>
  <c r="AE260" i="29"/>
  <c r="AE278" i="29"/>
  <c r="AD337" i="29"/>
  <c r="AE405" i="29"/>
  <c r="AD405" i="29"/>
  <c r="AD460" i="29"/>
  <c r="AD469" i="29"/>
  <c r="AE376" i="29"/>
  <c r="AE466" i="29"/>
  <c r="AD485" i="29"/>
  <c r="AD538" i="29"/>
  <c r="AD542" i="29"/>
  <c r="AD553" i="29"/>
  <c r="AE539" i="29"/>
  <c r="AD362" i="29"/>
  <c r="AD123" i="29"/>
  <c r="AE346" i="29"/>
  <c r="AE58" i="29"/>
  <c r="AE143" i="29"/>
  <c r="AE40" i="29"/>
  <c r="AE572" i="29"/>
  <c r="AE210" i="29"/>
  <c r="AE280" i="29"/>
  <c r="AE322" i="29"/>
  <c r="AD431" i="29"/>
  <c r="AD300" i="29"/>
  <c r="AD397" i="29"/>
  <c r="AD82" i="29"/>
  <c r="AD195" i="29"/>
  <c r="AE287" i="29"/>
  <c r="AD459" i="29"/>
  <c r="AE508" i="29"/>
  <c r="AE71" i="29"/>
  <c r="AE184" i="29"/>
  <c r="AD287" i="29"/>
  <c r="AD608" i="29"/>
  <c r="AE232" i="29"/>
  <c r="AE444" i="29"/>
  <c r="AE283" i="29"/>
  <c r="AD305" i="29"/>
  <c r="AE351" i="29"/>
  <c r="AE409" i="29"/>
  <c r="AD596" i="29"/>
  <c r="AD220" i="29"/>
  <c r="AD327" i="29"/>
  <c r="AE330" i="29"/>
  <c r="AE467" i="29"/>
  <c r="AE478" i="29"/>
  <c r="AD506" i="29"/>
  <c r="AE306" i="29"/>
  <c r="AD515" i="29"/>
  <c r="AD494" i="29"/>
  <c r="AD529" i="29"/>
  <c r="AD141" i="29"/>
  <c r="AD180" i="29"/>
  <c r="AD177" i="29"/>
  <c r="AD270" i="29"/>
  <c r="AE399" i="29"/>
  <c r="AD548" i="29"/>
  <c r="AD602" i="29"/>
  <c r="AD252" i="29"/>
  <c r="AE382" i="29"/>
  <c r="AD523" i="29"/>
  <c r="AE439" i="29"/>
  <c r="AD446" i="29"/>
  <c r="AE490" i="29"/>
  <c r="AE481" i="29"/>
  <c r="AD581" i="29"/>
  <c r="AD544" i="29"/>
  <c r="AD549" i="29"/>
  <c r="AE594" i="29"/>
  <c r="AD363" i="29"/>
  <c r="AE69" i="29"/>
  <c r="AE102" i="29"/>
  <c r="AD398" i="29"/>
  <c r="AD499" i="29"/>
  <c r="AE33" i="29"/>
  <c r="AE290" i="29"/>
  <c r="AE125" i="29"/>
  <c r="AD208" i="29"/>
  <c r="AE310" i="29"/>
  <c r="AD412" i="29"/>
  <c r="AE155" i="29"/>
  <c r="AD403" i="29"/>
  <c r="AD497" i="29"/>
  <c r="AE141" i="29"/>
  <c r="AE231" i="29"/>
  <c r="AD322" i="29"/>
  <c r="AE45" i="29"/>
  <c r="AE118" i="29"/>
  <c r="AE173" i="29"/>
  <c r="AD292" i="29"/>
  <c r="AD310" i="29"/>
  <c r="AE266" i="29"/>
  <c r="AE192" i="29"/>
  <c r="AD202" i="29"/>
  <c r="AE256" i="29"/>
  <c r="AE341" i="29"/>
  <c r="AD376" i="29"/>
  <c r="AE429" i="29"/>
  <c r="AD587" i="29"/>
  <c r="AE97" i="29"/>
  <c r="AE182" i="29"/>
  <c r="AE259" i="29"/>
  <c r="AD249" i="29"/>
  <c r="AD295" i="29"/>
  <c r="AD320" i="29"/>
  <c r="AE411" i="29"/>
  <c r="AE449" i="29"/>
  <c r="AD545" i="29"/>
  <c r="AD512" i="29"/>
  <c r="AE568" i="29"/>
  <c r="AD135" i="29"/>
  <c r="AD142" i="29"/>
  <c r="AD222" i="29"/>
  <c r="AD289" i="29"/>
  <c r="AE361" i="29"/>
  <c r="AD378" i="29"/>
  <c r="AD592" i="29"/>
  <c r="AE59" i="29"/>
  <c r="AD122" i="29"/>
  <c r="AD212" i="29"/>
  <c r="AD274" i="29"/>
  <c r="AD319" i="29"/>
  <c r="AE293" i="29"/>
  <c r="AD475" i="29"/>
  <c r="AE61" i="29"/>
  <c r="AE242" i="29"/>
  <c r="AE324" i="29"/>
  <c r="AE343" i="29"/>
  <c r="AD455" i="29"/>
  <c r="AD507" i="29"/>
  <c r="AE560" i="29"/>
  <c r="AD601" i="29"/>
  <c r="AD441" i="29"/>
  <c r="AE454" i="29"/>
  <c r="AE533" i="29"/>
  <c r="AD605" i="29"/>
  <c r="AD595" i="29"/>
  <c r="AD530" i="29"/>
  <c r="AD578" i="29"/>
  <c r="AD585" i="29"/>
  <c r="AD356" i="29"/>
  <c r="AD140" i="29"/>
  <c r="AE142" i="29"/>
  <c r="AE404" i="29"/>
  <c r="AD246" i="29"/>
  <c r="AE349" i="29"/>
  <c r="AD465" i="29"/>
  <c r="AD563" i="29"/>
  <c r="AE573" i="29"/>
  <c r="AD150" i="29"/>
  <c r="AD265" i="29"/>
  <c r="AD461" i="29"/>
  <c r="AE469" i="29"/>
  <c r="AD20" i="29"/>
  <c r="AD18" i="29"/>
  <c r="AD61" i="29"/>
  <c r="AD78" i="29"/>
  <c r="AD87" i="29"/>
  <c r="AE412" i="29"/>
  <c r="AE95" i="29"/>
  <c r="AD502" i="29"/>
  <c r="AE119" i="29"/>
  <c r="AD97" i="29"/>
  <c r="AD147" i="29"/>
  <c r="AE174" i="29"/>
  <c r="AD269" i="29"/>
  <c r="AD336" i="29"/>
  <c r="AE585" i="29"/>
  <c r="AD156" i="29"/>
  <c r="AD241" i="29"/>
  <c r="AE441" i="29"/>
  <c r="AD504" i="29"/>
  <c r="AD133" i="29"/>
  <c r="AE222" i="29"/>
  <c r="AD368" i="29"/>
  <c r="AD389" i="29"/>
  <c r="AE501" i="29"/>
  <c r="AE190" i="29"/>
  <c r="AE267" i="29"/>
  <c r="AE94" i="29"/>
  <c r="AE111" i="29"/>
  <c r="AD154" i="29"/>
  <c r="AD275" i="29"/>
  <c r="AE308" i="29"/>
  <c r="AE493" i="29"/>
  <c r="AE540" i="29"/>
  <c r="AE19" i="29"/>
  <c r="AE279" i="29"/>
  <c r="AD395" i="29"/>
  <c r="AE381" i="29"/>
  <c r="AD491" i="29"/>
  <c r="AE511" i="29"/>
  <c r="AE603" i="29"/>
  <c r="AE358" i="29"/>
  <c r="AD583" i="29"/>
  <c r="AD92" i="29"/>
  <c r="AD552" i="29"/>
  <c r="AD298" i="29"/>
  <c r="AD577" i="29"/>
  <c r="AE374" i="29"/>
  <c r="AE402" i="29"/>
  <c r="AD201" i="29"/>
  <c r="AD481" i="29"/>
  <c r="AE77" i="29"/>
  <c r="AE91" i="29"/>
  <c r="AD221" i="29"/>
  <c r="AE240" i="29"/>
  <c r="AD158" i="29"/>
  <c r="AD279" i="29"/>
  <c r="AD338" i="29"/>
  <c r="AE13" i="29"/>
  <c r="AE445" i="29"/>
  <c r="AE164" i="29"/>
  <c r="AD64" i="29"/>
  <c r="AE170" i="29"/>
  <c r="AD196" i="29"/>
  <c r="AE300" i="29"/>
  <c r="AD118" i="29"/>
  <c r="AE86" i="29"/>
  <c r="AD227" i="29"/>
  <c r="AD136" i="29"/>
  <c r="AD325" i="29"/>
  <c r="AE323" i="29"/>
  <c r="AD380" i="29"/>
  <c r="AE350" i="29"/>
  <c r="AE193" i="29"/>
  <c r="AD211" i="29"/>
  <c r="AE344" i="29"/>
  <c r="AE583" i="29"/>
  <c r="AD324" i="29"/>
  <c r="AD474" i="29"/>
  <c r="AE221" i="29"/>
  <c r="AE127" i="29"/>
  <c r="AE55" i="29"/>
  <c r="AE137" i="29"/>
  <c r="AD344" i="29"/>
  <c r="AE272" i="29"/>
  <c r="AE271" i="29"/>
  <c r="AE130" i="29"/>
  <c r="AE372" i="29"/>
  <c r="AD159" i="29"/>
  <c r="AE133" i="29"/>
  <c r="AD258" i="29"/>
  <c r="AD260" i="29"/>
  <c r="AD353" i="29"/>
  <c r="AE334" i="29"/>
  <c r="AE338" i="29"/>
  <c r="AD364" i="29"/>
  <c r="AE390" i="29"/>
  <c r="AE426" i="29"/>
  <c r="AD421" i="29"/>
  <c r="AE485" i="29"/>
  <c r="AE387" i="29"/>
  <c r="AD482" i="29"/>
  <c r="AD526" i="29"/>
  <c r="AD404" i="29"/>
  <c r="AE398" i="29"/>
  <c r="AE504" i="29"/>
  <c r="AD466" i="29"/>
  <c r="AE578" i="29"/>
  <c r="AE74" i="29"/>
  <c r="AD470" i="29"/>
  <c r="AE554" i="29"/>
  <c r="AD347" i="29"/>
  <c r="AE289" i="29"/>
  <c r="AD112" i="29"/>
  <c r="AE177" i="29"/>
  <c r="AD231" i="29"/>
  <c r="AE56" i="29"/>
  <c r="AD96" i="29"/>
  <c r="AE16" i="29"/>
  <c r="AD77" i="29"/>
  <c r="AD39" i="29"/>
  <c r="AD73" i="29"/>
  <c r="AD117" i="29"/>
  <c r="AD13" i="29"/>
  <c r="AD162" i="29"/>
  <c r="AD255" i="29"/>
  <c r="AD352" i="29"/>
  <c r="AD554" i="29"/>
  <c r="AE251" i="29"/>
  <c r="AE286" i="29"/>
  <c r="AD555" i="29"/>
  <c r="AE106" i="29"/>
  <c r="AD204" i="29"/>
  <c r="AD447" i="29"/>
  <c r="AD99" i="29"/>
  <c r="AE499" i="29"/>
  <c r="AD556" i="29"/>
  <c r="AD48" i="29"/>
  <c r="AE64" i="29"/>
  <c r="AD225" i="29"/>
  <c r="AE598" i="29"/>
  <c r="AD132" i="29"/>
  <c r="AD146" i="29"/>
  <c r="AE216" i="29"/>
  <c r="AE275" i="29"/>
  <c r="AE288" i="29"/>
  <c r="AE543" i="29"/>
  <c r="AD562" i="29"/>
  <c r="AE96" i="29"/>
  <c r="AE198" i="29"/>
  <c r="AD343" i="29"/>
  <c r="AE281" i="29"/>
  <c r="AE36" i="29"/>
  <c r="AD15" i="29"/>
  <c r="AD16" i="29"/>
  <c r="AE31" i="29"/>
  <c r="AE295" i="29"/>
  <c r="AD131" i="29"/>
  <c r="AE228" i="29"/>
  <c r="AE248" i="29"/>
  <c r="AE386" i="29"/>
  <c r="AE452" i="29"/>
  <c r="AE252" i="29"/>
  <c r="AE611" i="29"/>
  <c r="AE41" i="29"/>
  <c r="AD308" i="29"/>
  <c r="AD433" i="29"/>
  <c r="AE601" i="29"/>
  <c r="AD237" i="29"/>
  <c r="AD254" i="29"/>
  <c r="AE309" i="29"/>
  <c r="AD524" i="29"/>
  <c r="AE117" i="29"/>
  <c r="AE194" i="29"/>
  <c r="AD335" i="29"/>
  <c r="AE455" i="29"/>
  <c r="AD406" i="29"/>
  <c r="AE530" i="29"/>
  <c r="AD569" i="29"/>
  <c r="AE107" i="29"/>
  <c r="AE160" i="29"/>
  <c r="AD200" i="29"/>
  <c r="AD191" i="29"/>
  <c r="AD247" i="29"/>
  <c r="AD611" i="29"/>
  <c r="AE93" i="29"/>
  <c r="AD161" i="29"/>
  <c r="AE255" i="29"/>
  <c r="AD291" i="29"/>
  <c r="AD346" i="29"/>
  <c r="AE367" i="29"/>
  <c r="AE384" i="29"/>
  <c r="AD75" i="29"/>
  <c r="AD399" i="29"/>
  <c r="AD539" i="29"/>
  <c r="AD551" i="29"/>
  <c r="AE105" i="29"/>
  <c r="AE195" i="29"/>
  <c r="AE44" i="29"/>
  <c r="AD33" i="29"/>
  <c r="AE157" i="29"/>
  <c r="AE108" i="29"/>
  <c r="AD358" i="29"/>
  <c r="AE433" i="29"/>
  <c r="AD198" i="29"/>
  <c r="AE434" i="29"/>
  <c r="AE446" i="29"/>
  <c r="AD218" i="29"/>
  <c r="AD95" i="29"/>
  <c r="AE363" i="29"/>
  <c r="AE587" i="29"/>
  <c r="AE253" i="29"/>
  <c r="AD410" i="29"/>
  <c r="AE597" i="29"/>
  <c r="AE163" i="29"/>
  <c r="AD130" i="29"/>
  <c r="AE219" i="29"/>
  <c r="AE319" i="29"/>
  <c r="AE471" i="29"/>
  <c r="AD115" i="29"/>
  <c r="AE394" i="29"/>
  <c r="AE516" i="29"/>
  <c r="AD234" i="29"/>
  <c r="AD286" i="29"/>
  <c r="AD392" i="29"/>
  <c r="AE574" i="29"/>
  <c r="AE62" i="29"/>
  <c r="AE79" i="29"/>
  <c r="AD417" i="29"/>
  <c r="AD426" i="29"/>
  <c r="AD532" i="29"/>
  <c r="AD213" i="29"/>
  <c r="AE298" i="29"/>
  <c r="AE320" i="29"/>
  <c r="AD493" i="29"/>
  <c r="AD536" i="29"/>
  <c r="AD603" i="29"/>
  <c r="AE397" i="29"/>
  <c r="AD420" i="29"/>
  <c r="AE525" i="29"/>
  <c r="AD558" i="29"/>
  <c r="AE538" i="29"/>
  <c r="AD290" i="29"/>
  <c r="AD189" i="29"/>
  <c r="AE258" i="29"/>
  <c r="AD303" i="29"/>
  <c r="AE463" i="29"/>
  <c r="AE468" i="29"/>
  <c r="AE526" i="29"/>
  <c r="AE100" i="29"/>
  <c r="AE158" i="29"/>
  <c r="AE197" i="29"/>
  <c r="AE209" i="29"/>
  <c r="AE333" i="29"/>
  <c r="AD391" i="29"/>
  <c r="AD400" i="29"/>
  <c r="AD572" i="29"/>
  <c r="AE81" i="29"/>
  <c r="AE120" i="29"/>
  <c r="AE265" i="29"/>
  <c r="AE475" i="29"/>
  <c r="AD509" i="29"/>
  <c r="AD419" i="29"/>
  <c r="AD484" i="29"/>
  <c r="AE595" i="29"/>
  <c r="AD561" i="29"/>
  <c r="AE482" i="29"/>
  <c r="AD350" i="29"/>
  <c r="AD62" i="29"/>
  <c r="AE519" i="29"/>
  <c r="AE355" i="29"/>
  <c r="AE188" i="29"/>
  <c r="AE491" i="29"/>
  <c r="AD214" i="29"/>
  <c r="AD181" i="29"/>
  <c r="AD528" i="29"/>
  <c r="AD365" i="29"/>
  <c r="AE249" i="29"/>
  <c r="AD251" i="29"/>
  <c r="AD149" i="29"/>
  <c r="AE162" i="29"/>
  <c r="AD120" i="29"/>
  <c r="AD604" i="29"/>
  <c r="AD282" i="29"/>
  <c r="AD215" i="29"/>
  <c r="AE135" i="29"/>
  <c r="AD206" i="29"/>
  <c r="AD253" i="29"/>
  <c r="AD341" i="29"/>
  <c r="AD384" i="29"/>
  <c r="AD178" i="29"/>
  <c r="AD259" i="29"/>
  <c r="AD314" i="29"/>
  <c r="AD307" i="29"/>
  <c r="AE408" i="29"/>
  <c r="AD367" i="29"/>
  <c r="AE416" i="29"/>
  <c r="AE383" i="29"/>
  <c r="AD388" i="29"/>
  <c r="AD443" i="29"/>
  <c r="AE448" i="29"/>
  <c r="AD478" i="29"/>
  <c r="AE586" i="29"/>
  <c r="AD586" i="29"/>
  <c r="AD444" i="29"/>
  <c r="AD463" i="29"/>
  <c r="AE314" i="29"/>
  <c r="AD450" i="29"/>
  <c r="AE391" i="29"/>
  <c r="AD451" i="29"/>
  <c r="AE461" i="29"/>
  <c r="AD483" i="29"/>
  <c r="AE517" i="29"/>
  <c r="AE536" i="29"/>
  <c r="AE562" i="29"/>
  <c r="AD606" i="29"/>
  <c r="AE43" i="29"/>
  <c r="AD490" i="29"/>
  <c r="AD503" i="29"/>
  <c r="AD537" i="29"/>
  <c r="AD573" i="29"/>
  <c r="AE556" i="29"/>
  <c r="AE575" i="29"/>
  <c r="AE590" i="29"/>
  <c r="AE600" i="29"/>
  <c r="AD370" i="29"/>
  <c r="AE225" i="29"/>
  <c r="AD267" i="29"/>
  <c r="AE427" i="29"/>
  <c r="AE419" i="29"/>
  <c r="AE505" i="29"/>
  <c r="AE610" i="29"/>
  <c r="AD93" i="29"/>
  <c r="AE234" i="29"/>
  <c r="AD250" i="29"/>
  <c r="AD357" i="29"/>
  <c r="AD240" i="29"/>
  <c r="AE489" i="29"/>
  <c r="AE570" i="29"/>
  <c r="AD53" i="29"/>
  <c r="AD169" i="29"/>
  <c r="AD230" i="29"/>
  <c r="AD574" i="29"/>
  <c r="AD192" i="29"/>
  <c r="AE148" i="29"/>
  <c r="AE392" i="29"/>
  <c r="AD411" i="29"/>
  <c r="AD457" i="29"/>
  <c r="AE495" i="29"/>
  <c r="AD546" i="29"/>
  <c r="AE327" i="29"/>
  <c r="AE576" i="29"/>
  <c r="AE207" i="29"/>
  <c r="AD14" i="29"/>
  <c r="AD19" i="29"/>
  <c r="AE54" i="29"/>
  <c r="AD285" i="29"/>
  <c r="AD137" i="29"/>
  <c r="AE312" i="29"/>
  <c r="AE531" i="29"/>
  <c r="AD36" i="29"/>
  <c r="AE153" i="29"/>
  <c r="AE124" i="29"/>
  <c r="AD264" i="29"/>
  <c r="AD401" i="29"/>
  <c r="AE28" i="29"/>
  <c r="AD60" i="29"/>
  <c r="AD28" i="29"/>
  <c r="AE203" i="29"/>
  <c r="AE421" i="29"/>
  <c r="AE325" i="29"/>
  <c r="AD84" i="29"/>
  <c r="AE199" i="29"/>
  <c r="AE236" i="29"/>
  <c r="AE282" i="29"/>
  <c r="AD600" i="29"/>
  <c r="AE87" i="29"/>
  <c r="AD172" i="29"/>
  <c r="AE237" i="29"/>
  <c r="AE299" i="29"/>
  <c r="AD360" i="29"/>
  <c r="AD224" i="29"/>
  <c r="AE284" i="29"/>
  <c r="AE385" i="29"/>
  <c r="AD171" i="29"/>
  <c r="AE99" i="29"/>
  <c r="AE584" i="29"/>
  <c r="AE109" i="29"/>
  <c r="AE208" i="29"/>
  <c r="AD331" i="29"/>
  <c r="AD235" i="29"/>
  <c r="AD293" i="29"/>
  <c r="AD453" i="29"/>
  <c r="AD486" i="29"/>
  <c r="AE113" i="29"/>
  <c r="AD276" i="29"/>
  <c r="AE342" i="29"/>
  <c r="AD520" i="29"/>
  <c r="AE285" i="29"/>
  <c r="AE450" i="29"/>
  <c r="AE172" i="29"/>
  <c r="AE201" i="29"/>
  <c r="AE337" i="29"/>
  <c r="AE154" i="29"/>
  <c r="AE50" i="29"/>
  <c r="AD35" i="29"/>
  <c r="AD238" i="29"/>
  <c r="AD127" i="29"/>
  <c r="AE168" i="29"/>
  <c r="AD467" i="29"/>
  <c r="AE532" i="29"/>
  <c r="AD476" i="29"/>
  <c r="AE331" i="29"/>
  <c r="AD91" i="29"/>
  <c r="AE150" i="29"/>
  <c r="AD80" i="29"/>
  <c r="AE401" i="29"/>
  <c r="AE565" i="29"/>
  <c r="AD151" i="29"/>
  <c r="AD294" i="29"/>
  <c r="AD330" i="29"/>
  <c r="AD464" i="29"/>
  <c r="AD266" i="29"/>
  <c r="AD281" i="29"/>
  <c r="AE608" i="29"/>
  <c r="AE82" i="29"/>
  <c r="AD174" i="29"/>
  <c r="AE292" i="29"/>
  <c r="AE432" i="29"/>
  <c r="AE488" i="29"/>
  <c r="AE175" i="29"/>
  <c r="AE227" i="29"/>
  <c r="AE438" i="29"/>
  <c r="AE364" i="29"/>
  <c r="AE520" i="29"/>
  <c r="AD579" i="29"/>
  <c r="AE368" i="29"/>
  <c r="AD315" i="29"/>
  <c r="AD326" i="29"/>
  <c r="AE347" i="29"/>
  <c r="AE365" i="29"/>
  <c r="AD396" i="29"/>
  <c r="AD382" i="29"/>
  <c r="AE582" i="29"/>
  <c r="AE181" i="29"/>
  <c r="AD340" i="29"/>
  <c r="AE447" i="29"/>
  <c r="AD423" i="29"/>
  <c r="AE110" i="29"/>
  <c r="AD262" i="29"/>
  <c r="AE302" i="29"/>
  <c r="AD511" i="29"/>
  <c r="AE189" i="29"/>
  <c r="AD173" i="29"/>
  <c r="AE388" i="29"/>
  <c r="AE604" i="29"/>
  <c r="AE126" i="29"/>
  <c r="AE204" i="29"/>
  <c r="AE268" i="29"/>
  <c r="AD311" i="29"/>
  <c r="AE335" i="29"/>
  <c r="AD471" i="29"/>
  <c r="AE555" i="29"/>
  <c r="AE68" i="29"/>
  <c r="AE211" i="29"/>
  <c r="AE229" i="29"/>
  <c r="AD317" i="29"/>
  <c r="AE414" i="29"/>
  <c r="AE436" i="29"/>
  <c r="AD373" i="29"/>
  <c r="AE378" i="29"/>
  <c r="AD379" i="29"/>
  <c r="AE456" i="29"/>
  <c r="AD472" i="29"/>
  <c r="AD560" i="29"/>
  <c r="AD121" i="29"/>
  <c r="AE60" i="29"/>
  <c r="AE473" i="29"/>
  <c r="AE496" i="29"/>
  <c r="AE535" i="29"/>
  <c r="AD575" i="29"/>
  <c r="AD599" i="29"/>
  <c r="AE72" i="29"/>
  <c r="AE66" i="29"/>
  <c r="AE83" i="29"/>
  <c r="AD152" i="29"/>
  <c r="AD126" i="29"/>
  <c r="AD216" i="29"/>
  <c r="AE233" i="29"/>
  <c r="AD321" i="29"/>
  <c r="AD415" i="29"/>
  <c r="AE440" i="29"/>
  <c r="AE500" i="29"/>
  <c r="AE588" i="29"/>
  <c r="AE326" i="29"/>
  <c r="AD332" i="29"/>
  <c r="AE380" i="29"/>
  <c r="AD533" i="29"/>
  <c r="AE581" i="29"/>
  <c r="AD607" i="29"/>
  <c r="AE524" i="29"/>
  <c r="AD205" i="29"/>
  <c r="AE17" i="29"/>
  <c r="AE465" i="29"/>
  <c r="AE128" i="29"/>
  <c r="AE395" i="29"/>
  <c r="AD219" i="29"/>
  <c r="AD119" i="29"/>
  <c r="AD564" i="29"/>
  <c r="AD407" i="29"/>
  <c r="AD390" i="29"/>
  <c r="AE179" i="29"/>
  <c r="AD175" i="29"/>
  <c r="AE176" i="29"/>
  <c r="AE114" i="29"/>
  <c r="AD372" i="29"/>
  <c r="AE311" i="29"/>
  <c r="AE213" i="29"/>
  <c r="AE224" i="29"/>
  <c r="AD116" i="29"/>
  <c r="AE115" i="29"/>
  <c r="AD354" i="29"/>
  <c r="AD245" i="29"/>
  <c r="AE187" i="29"/>
  <c r="AE90" i="29"/>
  <c r="AD190" i="29"/>
  <c r="AD271" i="29"/>
  <c r="AD355" i="29"/>
  <c r="AE352" i="29"/>
  <c r="AE577" i="29"/>
  <c r="AE246" i="29"/>
  <c r="AD278" i="29"/>
  <c r="AD328" i="29"/>
  <c r="AD375" i="29"/>
  <c r="AE354" i="29"/>
  <c r="AE348" i="29"/>
  <c r="AD434" i="29"/>
  <c r="AE400" i="29"/>
  <c r="AD488" i="29"/>
  <c r="AE544" i="29"/>
  <c r="AE403" i="29"/>
  <c r="AD393" i="29"/>
  <c r="AD428" i="29"/>
  <c r="AE563" i="29"/>
  <c r="AE362" i="29"/>
  <c r="AE356" i="29"/>
  <c r="AD435" i="29"/>
  <c r="AE470" i="29"/>
  <c r="AD473" i="29"/>
  <c r="AD510" i="29"/>
  <c r="AE579" i="29"/>
  <c r="AD543" i="29"/>
  <c r="AE569" i="29"/>
  <c r="AD501" i="29"/>
  <c r="AD496" i="29"/>
  <c r="AE498" i="29"/>
  <c r="AE541" i="29"/>
  <c r="AE593" i="29"/>
  <c r="AD584" i="29"/>
  <c r="AE486" i="29"/>
  <c r="AD540" i="29"/>
  <c r="AE605" i="29"/>
  <c r="AD422" i="29"/>
  <c r="AE166" i="29"/>
  <c r="AE200" i="29"/>
  <c r="AD273" i="29"/>
  <c r="AE357" i="29"/>
  <c r="AE591" i="29"/>
  <c r="AE321" i="29"/>
  <c r="AD612" i="29"/>
  <c r="AE460" i="29"/>
  <c r="AE264" i="29"/>
  <c r="AE140" i="29"/>
  <c r="AE92" i="29"/>
  <c r="AD167" i="29"/>
  <c r="AE418" i="29"/>
  <c r="AE503" i="29"/>
  <c r="AE205" i="29"/>
  <c r="AD339" i="29"/>
  <c r="AE435" i="29"/>
  <c r="AD456" i="29"/>
  <c r="AE442" i="29"/>
  <c r="AE178" i="29"/>
  <c r="AE332" i="29"/>
  <c r="AD505" i="29"/>
  <c r="AE121" i="29"/>
  <c r="AD176" i="29"/>
  <c r="AE407" i="29"/>
  <c r="AE239" i="29"/>
  <c r="AE261" i="29"/>
  <c r="AD349" i="29"/>
  <c r="AE596" i="29"/>
  <c r="AE104" i="29"/>
  <c r="AE180" i="29"/>
  <c r="AE206" i="29"/>
  <c r="AD316" i="29"/>
  <c r="AE497" i="29"/>
  <c r="AE551" i="29"/>
  <c r="AD44" i="29"/>
  <c r="AE369" i="29"/>
  <c r="AE534" i="29"/>
  <c r="AE613" i="29"/>
  <c r="AE47" i="29"/>
  <c r="AE559" i="29"/>
  <c r="AD580" i="29"/>
  <c r="AE21" i="29"/>
  <c r="AD56" i="29"/>
  <c r="AD124" i="29"/>
  <c r="AE379" i="29"/>
  <c r="AD418" i="29"/>
  <c r="AE245" i="29"/>
  <c r="AE269" i="29"/>
  <c r="AE537" i="29"/>
  <c r="AD477" i="29"/>
  <c r="AD110" i="29"/>
  <c r="AE103" i="29"/>
  <c r="AD187" i="29"/>
  <c r="AD243" i="29"/>
  <c r="AD454" i="29"/>
  <c r="AD567" i="29"/>
  <c r="AE151" i="29"/>
  <c r="AE304" i="29"/>
  <c r="AE410" i="29"/>
  <c r="AE514" i="29"/>
  <c r="AD385" i="29"/>
  <c r="AD535" i="29"/>
  <c r="AD594" i="29"/>
  <c r="AD263" i="29"/>
  <c r="AD329" i="29"/>
  <c r="AE420" i="29"/>
  <c r="AE129" i="29"/>
  <c r="AE480" i="29"/>
  <c r="AD513" i="29"/>
  <c r="AE547" i="29"/>
  <c r="AE580" i="29"/>
  <c r="AD106" i="29"/>
  <c r="AE212" i="29"/>
  <c r="AD313" i="29"/>
  <c r="AE415" i="29"/>
  <c r="AE484" i="29"/>
  <c r="AE548" i="29"/>
  <c r="AE51" i="29"/>
  <c r="AD299" i="29"/>
  <c r="AE89" i="29"/>
  <c r="AE226" i="29"/>
  <c r="AE366" i="29"/>
  <c r="AE101" i="29"/>
  <c r="AE315" i="29"/>
  <c r="AE431" i="29"/>
  <c r="AD165" i="29"/>
  <c r="AD199" i="29"/>
  <c r="AD89" i="29"/>
  <c r="AD233" i="29"/>
  <c r="AD345" i="29"/>
  <c r="AE494" i="29"/>
  <c r="AE235" i="29"/>
  <c r="AE370" i="29"/>
  <c r="AE123" i="29"/>
  <c r="AD288" i="29"/>
  <c r="AE458" i="29"/>
  <c r="AD409" i="29"/>
  <c r="AE191" i="29"/>
  <c r="AE307" i="29"/>
  <c r="AD439" i="29"/>
  <c r="AE566" i="29"/>
  <c r="AD168" i="29"/>
  <c r="AD63" i="29"/>
  <c r="AE32" i="29"/>
  <c r="AD26" i="29"/>
  <c r="AD67" i="29"/>
  <c r="AD22" i="29"/>
  <c r="AD79" i="29"/>
  <c r="AE23" i="29"/>
  <c r="AD107" i="29"/>
  <c r="AD68" i="29"/>
  <c r="AD25" i="29"/>
  <c r="AD105" i="29"/>
  <c r="AD74" i="29"/>
  <c r="AD65" i="29"/>
  <c r="AD41" i="29"/>
  <c r="AE39" i="29"/>
  <c r="AE20" i="29"/>
  <c r="AD40" i="29"/>
  <c r="AD21" i="29"/>
  <c r="AD37" i="29"/>
  <c r="AD83" i="29"/>
  <c r="AD46" i="29"/>
  <c r="AE122" i="29"/>
  <c r="AD32" i="29"/>
  <c r="AE78" i="29"/>
  <c r="AD111" i="29"/>
  <c r="AD81" i="29"/>
  <c r="AD72" i="29"/>
  <c r="AD52" i="29"/>
  <c r="AD17" i="29"/>
  <c r="AE138" i="29"/>
  <c r="AD76" i="29"/>
  <c r="AD42" i="29"/>
  <c r="AD45" i="29"/>
  <c r="AD51" i="29"/>
  <c r="AD54" i="29"/>
  <c r="AD94" i="29"/>
  <c r="Q625" i="29"/>
  <c r="AD49" i="29"/>
  <c r="AD43" i="29"/>
  <c r="AD57" i="29"/>
  <c r="AD29" i="29"/>
  <c r="U625" i="29"/>
  <c r="AE24" i="29"/>
  <c r="AE15" i="29"/>
  <c r="AD34" i="29"/>
  <c r="AD58" i="29"/>
  <c r="AD113" i="29"/>
  <c r="AD104" i="29"/>
  <c r="AE48" i="29"/>
  <c r="AD23" i="29"/>
  <c r="AE14" i="29"/>
  <c r="T625" i="29"/>
  <c r="P625" i="29"/>
  <c r="V625" i="29"/>
  <c r="AD31" i="29"/>
  <c r="R625" i="29"/>
  <c r="O625" i="29"/>
  <c r="S625" i="29"/>
  <c r="AD38" i="29"/>
  <c r="AE52" i="29"/>
  <c r="AE626" i="29"/>
  <c r="AD626" i="29"/>
  <c r="AE624" i="29" l="1"/>
  <c r="AD624" i="29"/>
  <c r="AE625" i="29"/>
  <c r="AD625" i="29"/>
  <c r="D37" i="19" l="1"/>
  <c r="N108" i="24" l="1"/>
  <c r="B54" i="19" l="1"/>
  <c r="D54" i="19" s="1"/>
  <c r="D42" i="19"/>
  <c r="B206" i="2"/>
  <c r="EX1" i="24" s="1"/>
  <c r="BT1" i="24" l="1"/>
  <c r="B97" i="2" l="1"/>
  <c r="M10" i="1"/>
  <c r="K10" i="1"/>
  <c r="B18" i="2" l="1"/>
  <c r="CK212" i="25" s="1"/>
  <c r="B28" i="19"/>
  <c r="D28" i="19" s="1"/>
  <c r="B49" i="19"/>
  <c r="D49" i="19" s="1"/>
  <c r="EQ216" i="25" l="1"/>
  <c r="ES216" i="24"/>
  <c r="EV216" i="24" s="1"/>
  <c r="BO216" i="24"/>
  <c r="BR216" i="24" s="1"/>
  <c r="CK112" i="25"/>
  <c r="L105" i="2"/>
  <c r="G83" i="2"/>
  <c r="EQ110" i="25"/>
  <c r="ES110" i="24"/>
  <c r="EV110" i="24" s="1"/>
  <c r="CQ1" i="24"/>
  <c r="CK287" i="25"/>
  <c r="CK201" i="25"/>
  <c r="CK186" i="25"/>
  <c r="CK172" i="25"/>
  <c r="CK147" i="25"/>
  <c r="CK143" i="25"/>
  <c r="CK118" i="25"/>
  <c r="CK94" i="25"/>
  <c r="CK54" i="25"/>
  <c r="CK46" i="25"/>
  <c r="CK302" i="25"/>
  <c r="CK297" i="25"/>
  <c r="CK292" i="25"/>
  <c r="CK289" i="25"/>
  <c r="CK280" i="25"/>
  <c r="CK261" i="25"/>
  <c r="CK249" i="25"/>
  <c r="CK228" i="25"/>
  <c r="CK225" i="25"/>
  <c r="CK222" i="25"/>
  <c r="CK219" i="25"/>
  <c r="CK199" i="25"/>
  <c r="CK197" i="25"/>
  <c r="CK194" i="25"/>
  <c r="CK191" i="25"/>
  <c r="CK161" i="25"/>
  <c r="CK157" i="25"/>
  <c r="CK139" i="25"/>
  <c r="CK127" i="25"/>
  <c r="CK124" i="25"/>
  <c r="CK113" i="25"/>
  <c r="CK104" i="25"/>
  <c r="CK98" i="25"/>
  <c r="CK96" i="25"/>
  <c r="CK92" i="25"/>
  <c r="CK83" i="25"/>
  <c r="CK81" i="25"/>
  <c r="CK79" i="25"/>
  <c r="CK65" i="25"/>
  <c r="CK23" i="25"/>
  <c r="CK17" i="25"/>
  <c r="CK13" i="25"/>
  <c r="CK314" i="25"/>
  <c r="CK282" i="25"/>
  <c r="CK278" i="25"/>
  <c r="CK272" i="25"/>
  <c r="CK267" i="25"/>
  <c r="CK265" i="25"/>
  <c r="CK263" i="25"/>
  <c r="CK253" i="25"/>
  <c r="CK242" i="25"/>
  <c r="CK233" i="25"/>
  <c r="CK206" i="25"/>
  <c r="CK183" i="25"/>
  <c r="CK179" i="25"/>
  <c r="CK177" i="25"/>
  <c r="CK170" i="25"/>
  <c r="CK150" i="25"/>
  <c r="CK137" i="25"/>
  <c r="CK119" i="25"/>
  <c r="CK87" i="25"/>
  <c r="CK85" i="25"/>
  <c r="CK76" i="25"/>
  <c r="CK72" i="25"/>
  <c r="CK269" i="25"/>
  <c r="CK251" i="25"/>
  <c r="CK230" i="25"/>
  <c r="CK181" i="25"/>
  <c r="CK168" i="25"/>
  <c r="CK164" i="25"/>
  <c r="CK130" i="25"/>
  <c r="CK116" i="25"/>
  <c r="CK74" i="25"/>
  <c r="CK316" i="25"/>
  <c r="CK311" i="25"/>
  <c r="CK309" i="25"/>
  <c r="CK301" i="25"/>
  <c r="CK299" i="25"/>
  <c r="CK294" i="25"/>
  <c r="CK291" i="25"/>
  <c r="CK288" i="25"/>
  <c r="CK286" i="25"/>
  <c r="CK284" i="25"/>
  <c r="CK275" i="25"/>
  <c r="CK258" i="25"/>
  <c r="CK256" i="25"/>
  <c r="CK246" i="25"/>
  <c r="CK244" i="25"/>
  <c r="CK237" i="25"/>
  <c r="CK235" i="25"/>
  <c r="CK224" i="25"/>
  <c r="CK216" i="25"/>
  <c r="CK208" i="25"/>
  <c r="CK204" i="25"/>
  <c r="CK195" i="25"/>
  <c r="CK189" i="25"/>
  <c r="CK185" i="25"/>
  <c r="CK175" i="25"/>
  <c r="CK166" i="25"/>
  <c r="CK160" i="25"/>
  <c r="CK156" i="25"/>
  <c r="CK153" i="25"/>
  <c r="CK122" i="25"/>
  <c r="CK111" i="25"/>
  <c r="CK110" i="25"/>
  <c r="CK89" i="25"/>
  <c r="CK38" i="25"/>
  <c r="CK31" i="25"/>
  <c r="CK27" i="25"/>
  <c r="CK25" i="25"/>
  <c r="CK12" i="25"/>
  <c r="CK10" i="25"/>
  <c r="CK290" i="25"/>
  <c r="CK277" i="25"/>
  <c r="CK254" i="25"/>
  <c r="CK227" i="25"/>
  <c r="CK200" i="25"/>
  <c r="CK196" i="25"/>
  <c r="CK159" i="25"/>
  <c r="CK138" i="25"/>
  <c r="CK120" i="25"/>
  <c r="CK97" i="25"/>
  <c r="CK93" i="25"/>
  <c r="CK80" i="25"/>
  <c r="CK62" i="25"/>
  <c r="CK53" i="25"/>
  <c r="CK42" i="25"/>
  <c r="CK33" i="25"/>
  <c r="CK24" i="25"/>
  <c r="CK313" i="25"/>
  <c r="CK306" i="25"/>
  <c r="CK304" i="25"/>
  <c r="CK296" i="25"/>
  <c r="CK248" i="25"/>
  <c r="CK239" i="25"/>
  <c r="CK232" i="25"/>
  <c r="CK221" i="25"/>
  <c r="CK218" i="25"/>
  <c r="CK202" i="25"/>
  <c r="CK192" i="25"/>
  <c r="CK187" i="25"/>
  <c r="CK173" i="25"/>
  <c r="CK163" i="25"/>
  <c r="CK148" i="25"/>
  <c r="CK146" i="25"/>
  <c r="CK144" i="25"/>
  <c r="CK142" i="25"/>
  <c r="CK140" i="25"/>
  <c r="CK135" i="25"/>
  <c r="CK133" i="25"/>
  <c r="CK128" i="25"/>
  <c r="CK125" i="25"/>
  <c r="CK114" i="25"/>
  <c r="CK103" i="25"/>
  <c r="CK101" i="25"/>
  <c r="CK95" i="25"/>
  <c r="CK91" i="25"/>
  <c r="CK68" i="25"/>
  <c r="CK66" i="25"/>
  <c r="CK55" i="25"/>
  <c r="CK51" i="25"/>
  <c r="CK49" i="25"/>
  <c r="CK45" i="25"/>
  <c r="CK40" i="25"/>
  <c r="CK29" i="25"/>
  <c r="CK22" i="25"/>
  <c r="CK20" i="25"/>
  <c r="CK18" i="25"/>
  <c r="CK16" i="25"/>
  <c r="CK14" i="25"/>
  <c r="CK6" i="25"/>
  <c r="CK308" i="25"/>
  <c r="CK279" i="25"/>
  <c r="CK274" i="25"/>
  <c r="CK260" i="25"/>
  <c r="CK250" i="25"/>
  <c r="CK210" i="25"/>
  <c r="CK198" i="25"/>
  <c r="CK171" i="25"/>
  <c r="CK152" i="25"/>
  <c r="CK131" i="25"/>
  <c r="CK117" i="25"/>
  <c r="CK99" i="25"/>
  <c r="CK82" i="25"/>
  <c r="CK78" i="25"/>
  <c r="CK58" i="25"/>
  <c r="CK47" i="25"/>
  <c r="CK35" i="25"/>
  <c r="CK271" i="25"/>
  <c r="CK71" i="25"/>
  <c r="CK298" i="25"/>
  <c r="CK293" i="25"/>
  <c r="CK281" i="25"/>
  <c r="CK268" i="25"/>
  <c r="CK266" i="25"/>
  <c r="CK264" i="25"/>
  <c r="CK252" i="25"/>
  <c r="CK241" i="25"/>
  <c r="CK234" i="25"/>
  <c r="CK229" i="25"/>
  <c r="CK207" i="25"/>
  <c r="CK193" i="25"/>
  <c r="CK190" i="25"/>
  <c r="CK182" i="25"/>
  <c r="CK180" i="25"/>
  <c r="CK178" i="25"/>
  <c r="CK176" i="25"/>
  <c r="CK162" i="25"/>
  <c r="CK315" i="25"/>
  <c r="CK312" i="25"/>
  <c r="CK310" i="25"/>
  <c r="CK303" i="25"/>
  <c r="CK300" i="25"/>
  <c r="CK295" i="25"/>
  <c r="CK283" i="25"/>
  <c r="CK270" i="25"/>
  <c r="CK262" i="25"/>
  <c r="CK259" i="25"/>
  <c r="CK257" i="25"/>
  <c r="CK245" i="25"/>
  <c r="CK243" i="25"/>
  <c r="CK238" i="25"/>
  <c r="CK236" i="25"/>
  <c r="CK226" i="25"/>
  <c r="CK223" i="25"/>
  <c r="CK220" i="25"/>
  <c r="CK217" i="25"/>
  <c r="CK205" i="25"/>
  <c r="CK184" i="25"/>
  <c r="CK165" i="25"/>
  <c r="CK158" i="25"/>
  <c r="CK151" i="25"/>
  <c r="CK136" i="25"/>
  <c r="CK132" i="25"/>
  <c r="CK129" i="25"/>
  <c r="CK126" i="25"/>
  <c r="CK115" i="25"/>
  <c r="CK105" i="25"/>
  <c r="CK100" i="25"/>
  <c r="CK90" i="25"/>
  <c r="CK88" i="25"/>
  <c r="CK77" i="25"/>
  <c r="CK69" i="25"/>
  <c r="CK67" i="25"/>
  <c r="CK60" i="25"/>
  <c r="CK56" i="25"/>
  <c r="CK50" i="25"/>
  <c r="CK32" i="25"/>
  <c r="CK30" i="25"/>
  <c r="CK28" i="25"/>
  <c r="CK11" i="25"/>
  <c r="CK307" i="25"/>
  <c r="CK305" i="25"/>
  <c r="CK285" i="25"/>
  <c r="CK276" i="25"/>
  <c r="CK273" i="25"/>
  <c r="CK255" i="25"/>
  <c r="CK247" i="25"/>
  <c r="CK240" i="25"/>
  <c r="CK231" i="25"/>
  <c r="CK209" i="25"/>
  <c r="CK203" i="25"/>
  <c r="CK188" i="25"/>
  <c r="CK174" i="25"/>
  <c r="CK154" i="25"/>
  <c r="CK149" i="25"/>
  <c r="CK145" i="25"/>
  <c r="CK141" i="25"/>
  <c r="CK134" i="25"/>
  <c r="CK121" i="25"/>
  <c r="CK102" i="25"/>
  <c r="CK52" i="25"/>
  <c r="CK48" i="25"/>
  <c r="CK70" i="25"/>
  <c r="CK61" i="25"/>
  <c r="CK36" i="25"/>
  <c r="CK44" i="25"/>
  <c r="CK9" i="25"/>
  <c r="CK167" i="25"/>
  <c r="CK169" i="25"/>
  <c r="CK155" i="25"/>
  <c r="CK84" i="25"/>
  <c r="CK41" i="25"/>
  <c r="CK21" i="25"/>
  <c r="CK7" i="25"/>
  <c r="CK39" i="25"/>
  <c r="CK19" i="25"/>
  <c r="CK43" i="25"/>
  <c r="CK26" i="25"/>
  <c r="CK15" i="25"/>
  <c r="CK123" i="25"/>
  <c r="CK34" i="25"/>
  <c r="CK63" i="25"/>
  <c r="CK8" i="25"/>
  <c r="CK86" i="25"/>
  <c r="CK73" i="25"/>
  <c r="CK64" i="25"/>
  <c r="CK57" i="25"/>
  <c r="CK37" i="25"/>
  <c r="CK59" i="25"/>
  <c r="CK75" i="25"/>
  <c r="BO110" i="24"/>
  <c r="BR110" i="24" s="1"/>
  <c r="M1" i="24"/>
  <c r="K41" i="16" l="1"/>
  <c r="K40" i="16"/>
  <c r="K39" i="16"/>
  <c r="K33" i="16"/>
  <c r="J33" i="16"/>
  <c r="I33" i="16"/>
  <c r="H33" i="16"/>
  <c r="I34" i="16"/>
  <c r="H34" i="16"/>
  <c r="C41" i="16"/>
  <c r="D40" i="16"/>
  <c r="D39" i="16"/>
  <c r="J40" i="16"/>
  <c r="H40" i="16"/>
  <c r="J39" i="16"/>
  <c r="J50" i="16"/>
  <c r="I50" i="16"/>
  <c r="H50" i="16"/>
  <c r="A50" i="16"/>
  <c r="D42" i="16"/>
  <c r="D41" i="16"/>
  <c r="F245" i="2"/>
  <c r="K47" i="16"/>
  <c r="J47" i="16"/>
  <c r="I40" i="16"/>
  <c r="C40" i="16"/>
  <c r="B34" i="16"/>
  <c r="A40" i="16"/>
  <c r="B251" i="2"/>
  <c r="A33" i="16"/>
  <c r="K50" i="16"/>
  <c r="M14" i="1" l="1"/>
  <c r="A2" i="28"/>
  <c r="A2" i="22"/>
  <c r="B17" i="2"/>
  <c r="B16" i="2"/>
  <c r="C44" i="16" l="1"/>
  <c r="D44" i="16"/>
  <c r="CM212" i="25"/>
  <c r="N322" i="25"/>
  <c r="CM112" i="25"/>
  <c r="CM5" i="25"/>
  <c r="CM273" i="25"/>
  <c r="CM261" i="25"/>
  <c r="CM298" i="25"/>
  <c r="CM305" i="25"/>
  <c r="CM301" i="25"/>
  <c r="CM307" i="25"/>
  <c r="CM309" i="25"/>
  <c r="CM240" i="25"/>
  <c r="CM284" i="25"/>
  <c r="CM220" i="25"/>
  <c r="CM286" i="25"/>
  <c r="CM223" i="25"/>
  <c r="CM269" i="25"/>
  <c r="CM198" i="25"/>
  <c r="CM162" i="25"/>
  <c r="CM102" i="25"/>
  <c r="CM158" i="25"/>
  <c r="CM66" i="25"/>
  <c r="CM159" i="25"/>
  <c r="CM151" i="25"/>
  <c r="CM7" i="25"/>
  <c r="CM71" i="25"/>
  <c r="CM25" i="25"/>
  <c r="CM85" i="25"/>
  <c r="CM34" i="25"/>
  <c r="CM135" i="25"/>
  <c r="CM202" i="25"/>
  <c r="CM35" i="25"/>
  <c r="CM140" i="25"/>
  <c r="CM160" i="25"/>
  <c r="CM97" i="25"/>
  <c r="CM11" i="25"/>
  <c r="CM77" i="25"/>
  <c r="CM30" i="25"/>
  <c r="CM170" i="25"/>
  <c r="CM26" i="25"/>
  <c r="CM218" i="25"/>
  <c r="CM226" i="25"/>
  <c r="CM285" i="25"/>
  <c r="CM260" i="25"/>
  <c r="CM243" i="25"/>
  <c r="CM278" i="25"/>
  <c r="CM245" i="25"/>
  <c r="CM233" i="25"/>
  <c r="CM217" i="25"/>
  <c r="CM311" i="25"/>
  <c r="CM259" i="25"/>
  <c r="CM316" i="25"/>
  <c r="CM262" i="25"/>
  <c r="CM263" i="25"/>
  <c r="CM116" i="25"/>
  <c r="CM130" i="25"/>
  <c r="CM113" i="25"/>
  <c r="CM6" i="25"/>
  <c r="CM72" i="25"/>
  <c r="CM56" i="25"/>
  <c r="CM133" i="25"/>
  <c r="CM199" i="25"/>
  <c r="CM171" i="25"/>
  <c r="CM32" i="25"/>
  <c r="CM177" i="25"/>
  <c r="CM209" i="25"/>
  <c r="CM180" i="25"/>
  <c r="CM27" i="25"/>
  <c r="CM87" i="25"/>
  <c r="CM147" i="25"/>
  <c r="CM144" i="25"/>
  <c r="CM123" i="25"/>
  <c r="CM67" i="25"/>
  <c r="CM83" i="25"/>
  <c r="CM101" i="25"/>
  <c r="CM92" i="25"/>
  <c r="CM45" i="25"/>
  <c r="CM13" i="25"/>
  <c r="CM43" i="25"/>
  <c r="CM78" i="25"/>
  <c r="CM114" i="25"/>
  <c r="CM139" i="25"/>
  <c r="CM146" i="25"/>
  <c r="CM294" i="25"/>
  <c r="CM52" i="25"/>
  <c r="CM194" i="25"/>
  <c r="CM81" i="25"/>
  <c r="CM279" i="25"/>
  <c r="CM118" i="25"/>
  <c r="CM53" i="25"/>
  <c r="CM75" i="25"/>
  <c r="CM208" i="25"/>
  <c r="CM186" i="25"/>
  <c r="CM48" i="25"/>
  <c r="CM191" i="25"/>
  <c r="CM293" i="25"/>
  <c r="CM270" i="25"/>
  <c r="CM239" i="25"/>
  <c r="CM300" i="25"/>
  <c r="CM219" i="25"/>
  <c r="CM303" i="25"/>
  <c r="CM282" i="25"/>
  <c r="CM257" i="25"/>
  <c r="CM230" i="25"/>
  <c r="CM312" i="25"/>
  <c r="CM251" i="25"/>
  <c r="CM315" i="25"/>
  <c r="CM249" i="25"/>
  <c r="CM188" i="25"/>
  <c r="CM76" i="25"/>
  <c r="CM197" i="25"/>
  <c r="CM9" i="25"/>
  <c r="CM105" i="25"/>
  <c r="CM117" i="25"/>
  <c r="CM153" i="25"/>
  <c r="CM183" i="25"/>
  <c r="CM70" i="25"/>
  <c r="CM82" i="25"/>
  <c r="CM187" i="25"/>
  <c r="CM206" i="25"/>
  <c r="CM189" i="25"/>
  <c r="CM152" i="25"/>
  <c r="CM192" i="25"/>
  <c r="CM216" i="25"/>
  <c r="CM38" i="25"/>
  <c r="CM157" i="25"/>
  <c r="CM89" i="25"/>
  <c r="CM190" i="25"/>
  <c r="CM103" i="25"/>
  <c r="CM161" i="25"/>
  <c r="CM155" i="25"/>
  <c r="CM88" i="25"/>
  <c r="CM110" i="25"/>
  <c r="CM17" i="25"/>
  <c r="CM271" i="25"/>
  <c r="CM228" i="25"/>
  <c r="CM39" i="25"/>
  <c r="CM163" i="25"/>
  <c r="CM62" i="25"/>
  <c r="CM80" i="25"/>
  <c r="CM172" i="25"/>
  <c r="CM236" i="25"/>
  <c r="CM304" i="25"/>
  <c r="CM225" i="25"/>
  <c r="CM121" i="25"/>
  <c r="CM166" i="25"/>
  <c r="CM16" i="25"/>
  <c r="CM250" i="25"/>
  <c r="CM229" i="25"/>
  <c r="CM246" i="25"/>
  <c r="CM252" i="25"/>
  <c r="CM292" i="25"/>
  <c r="CM264" i="25"/>
  <c r="CM222" i="25"/>
  <c r="CM310" i="25"/>
  <c r="CM242" i="25"/>
  <c r="CM268" i="25"/>
  <c r="CM253" i="25"/>
  <c r="CM281" i="25"/>
  <c r="CM287" i="25"/>
  <c r="CM86" i="25"/>
  <c r="CM55" i="25"/>
  <c r="CM8" i="25"/>
  <c r="CM176" i="25"/>
  <c r="CM128" i="25"/>
  <c r="CM12" i="25"/>
  <c r="CM14" i="25"/>
  <c r="CM18" i="25"/>
  <c r="CM23" i="25"/>
  <c r="CM173" i="25"/>
  <c r="CM143" i="25"/>
  <c r="CM94" i="25"/>
  <c r="CM21" i="25"/>
  <c r="CM60" i="25"/>
  <c r="CM131" i="25"/>
  <c r="CM156" i="25"/>
  <c r="CM145" i="25"/>
  <c r="CM41" i="25"/>
  <c r="CM126" i="25"/>
  <c r="CM248" i="25"/>
  <c r="CM93" i="25"/>
  <c r="CM204" i="25"/>
  <c r="CM29" i="25"/>
  <c r="CM104" i="25"/>
  <c r="CM205" i="25"/>
  <c r="CM142" i="25"/>
  <c r="CM185" i="25"/>
  <c r="CM244" i="25"/>
  <c r="CM238" i="25"/>
  <c r="CM241" i="25"/>
  <c r="CM148" i="25"/>
  <c r="CM125" i="25"/>
  <c r="CM115" i="25"/>
  <c r="CM28" i="25"/>
  <c r="CM36" i="25"/>
  <c r="CM181" i="25"/>
  <c r="CM132" i="25"/>
  <c r="CM136" i="25"/>
  <c r="CM74" i="25"/>
  <c r="CM79" i="25"/>
  <c r="CM96" i="25"/>
  <c r="CM299" i="25"/>
  <c r="CM99" i="25"/>
  <c r="CM49" i="25"/>
  <c r="CM46" i="25"/>
  <c r="CM291" i="25"/>
  <c r="CM283" i="25"/>
  <c r="CM280" i="25"/>
  <c r="CM296" i="25"/>
  <c r="CM289" i="25"/>
  <c r="CM227" i="25"/>
  <c r="CM274" i="25"/>
  <c r="CM254" i="25"/>
  <c r="CM302" i="25"/>
  <c r="CM277" i="25"/>
  <c r="CM272" i="25"/>
  <c r="CM237" i="25"/>
  <c r="CM90" i="25"/>
  <c r="CM111" i="25"/>
  <c r="CM195" i="25"/>
  <c r="CM65" i="25"/>
  <c r="CM84" i="25"/>
  <c r="CM203" i="25"/>
  <c r="CM178" i="25"/>
  <c r="CM68" i="25"/>
  <c r="CM196" i="25"/>
  <c r="CM164" i="25"/>
  <c r="CM124" i="25"/>
  <c r="CM69" i="25"/>
  <c r="CM193" i="25"/>
  <c r="CM182" i="25"/>
  <c r="CM95" i="25"/>
  <c r="CM61" i="25"/>
  <c r="CM57" i="25"/>
  <c r="CM58" i="25"/>
  <c r="CM73" i="25"/>
  <c r="CM54" i="25"/>
  <c r="CM210" i="25"/>
  <c r="CM98" i="25"/>
  <c r="CM232" i="25"/>
  <c r="CM313" i="25"/>
  <c r="CM165" i="25"/>
  <c r="CM44" i="25"/>
  <c r="CM40" i="25"/>
  <c r="CM265" i="25"/>
  <c r="CM234" i="25"/>
  <c r="CM295" i="25"/>
  <c r="CM258" i="25"/>
  <c r="CM231" i="25"/>
  <c r="CM275" i="25"/>
  <c r="CM256" i="25"/>
  <c r="CM224" i="25"/>
  <c r="CM247" i="25"/>
  <c r="CM235" i="25"/>
  <c r="CM255" i="25"/>
  <c r="CM288" i="25"/>
  <c r="CM149" i="25"/>
  <c r="CM167" i="25"/>
  <c r="CM100" i="25"/>
  <c r="CM20" i="25"/>
  <c r="CM42" i="25"/>
  <c r="CM174" i="25"/>
  <c r="CM10" i="25"/>
  <c r="CM63" i="25"/>
  <c r="CM169" i="25"/>
  <c r="CM138" i="25"/>
  <c r="CM59" i="25"/>
  <c r="CM134" i="25"/>
  <c r="CM184" i="25"/>
  <c r="CM91" i="25"/>
  <c r="CM200" i="25"/>
  <c r="CM168" i="25"/>
  <c r="CM127" i="25"/>
  <c r="CM47" i="25"/>
  <c r="CM37" i="25"/>
  <c r="CM141" i="25"/>
  <c r="CM31" i="25"/>
  <c r="CM119" i="25"/>
  <c r="CM137" i="25"/>
  <c r="CM201" i="25"/>
  <c r="CM64" i="25"/>
  <c r="CM150" i="25"/>
  <c r="CM154" i="25"/>
  <c r="CM207" i="25"/>
  <c r="CM51" i="25"/>
  <c r="CM120" i="25"/>
  <c r="CM276" i="25"/>
  <c r="CM308" i="25"/>
  <c r="CM297" i="25"/>
  <c r="CM266" i="25"/>
  <c r="CM314" i="25"/>
  <c r="CM221" i="25"/>
  <c r="CM122" i="25"/>
  <c r="CM15" i="25"/>
  <c r="CM129" i="25"/>
  <c r="CM267" i="25"/>
  <c r="CM306" i="25"/>
  <c r="CM290" i="25"/>
  <c r="CM33" i="25"/>
  <c r="CM50" i="25"/>
  <c r="CM179" i="25"/>
  <c r="CM19" i="25"/>
  <c r="CM22" i="25"/>
  <c r="CM175" i="25"/>
  <c r="CM24" i="25"/>
  <c r="I5" i="25"/>
  <c r="B73" i="2"/>
  <c r="D245" i="2" s="1"/>
  <c r="B19" i="2"/>
  <c r="BP6" i="19"/>
  <c r="BQ6" i="19"/>
  <c r="BU6" i="19"/>
  <c r="CA6" i="19" s="1"/>
  <c r="BV6" i="19"/>
  <c r="CB6" i="19" s="1"/>
  <c r="BW6" i="19"/>
  <c r="CC6" i="19" s="1"/>
  <c r="BP7" i="19"/>
  <c r="BQ7" i="19"/>
  <c r="BU7" i="19"/>
  <c r="BV7" i="19"/>
  <c r="CB7" i="19" s="1"/>
  <c r="BW7" i="19"/>
  <c r="CA7" i="19"/>
  <c r="CC7" i="19"/>
  <c r="BP8" i="19"/>
  <c r="BQ8" i="19"/>
  <c r="BU8" i="19"/>
  <c r="BV8" i="19"/>
  <c r="CB8" i="19" s="1"/>
  <c r="BW8" i="19"/>
  <c r="CC8" i="19" s="1"/>
  <c r="CA8" i="19"/>
  <c r="BP9" i="19"/>
  <c r="BQ9" i="19"/>
  <c r="BU9" i="19"/>
  <c r="BV9" i="19"/>
  <c r="CB9" i="19" s="1"/>
  <c r="BW9" i="19"/>
  <c r="CA9" i="19"/>
  <c r="CC9" i="19"/>
  <c r="D24" i="2"/>
  <c r="A24" i="2"/>
  <c r="AL216" i="25"/>
  <c r="AL110" i="25"/>
  <c r="AL5" i="25"/>
  <c r="K13" i="1"/>
  <c r="K9" i="1"/>
  <c r="B297" i="2" l="1"/>
  <c r="R35" i="2"/>
  <c r="R34" i="2"/>
  <c r="B139" i="2" l="1"/>
  <c r="C33" i="16"/>
  <c r="B103" i="2"/>
  <c r="B108" i="2" l="1"/>
  <c r="K36" i="1"/>
  <c r="K33" i="1"/>
  <c r="D10" i="1"/>
  <c r="D11" i="1"/>
  <c r="D36" i="1"/>
  <c r="D33" i="1"/>
  <c r="D49" i="1"/>
  <c r="B197" i="2" l="1"/>
  <c r="ER212" i="25" s="1"/>
  <c r="BN5" i="25" l="1"/>
  <c r="BM110" i="25"/>
  <c r="BM216" i="25"/>
  <c r="ER237" i="25"/>
  <c r="ER270" i="25"/>
  <c r="ER261" i="25"/>
  <c r="ER246" i="25"/>
  <c r="ER274" i="25"/>
  <c r="ER300" i="25"/>
  <c r="ER219" i="25"/>
  <c r="ER304" i="25"/>
  <c r="ER297" i="25"/>
  <c r="ER224" i="25"/>
  <c r="ER247" i="25"/>
  <c r="ER235" i="25"/>
  <c r="ER238" i="25"/>
  <c r="ER303" i="25"/>
  <c r="ER255" i="25"/>
  <c r="ER288" i="25"/>
  <c r="ER229" i="25"/>
  <c r="ER276" i="25"/>
  <c r="ER294" i="25"/>
  <c r="ER248" i="25"/>
  <c r="ER252" i="25"/>
  <c r="ER292" i="25"/>
  <c r="ER227" i="25"/>
  <c r="ER240" i="25"/>
  <c r="ER284" i="25"/>
  <c r="ER220" i="25"/>
  <c r="ER286" i="25"/>
  <c r="ER298" i="25"/>
  <c r="ER233" i="25"/>
  <c r="ER223" i="25"/>
  <c r="ER269" i="25"/>
  <c r="ER293" i="25"/>
  <c r="ER236" i="25"/>
  <c r="ER267" i="25"/>
  <c r="ER256" i="25"/>
  <c r="ER271" i="25"/>
  <c r="ER231" i="25"/>
  <c r="ER216" i="25"/>
  <c r="EU216" i="25" s="1"/>
  <c r="ER217" i="25"/>
  <c r="ER311" i="25"/>
  <c r="ER259" i="25"/>
  <c r="ER316" i="25"/>
  <c r="ER262" i="25"/>
  <c r="ER263" i="25"/>
  <c r="ER250" i="25"/>
  <c r="ER283" i="25"/>
  <c r="ER280" i="25"/>
  <c r="ER299" i="25"/>
  <c r="ER279" i="25"/>
  <c r="ER307" i="25"/>
  <c r="ER275" i="25"/>
  <c r="ER257" i="25"/>
  <c r="ER230" i="25"/>
  <c r="ER312" i="25"/>
  <c r="ER251" i="25"/>
  <c r="ER281" i="25"/>
  <c r="ER314" i="25"/>
  <c r="ER315" i="25"/>
  <c r="ER249" i="25"/>
  <c r="ER232" i="25"/>
  <c r="ER234" i="25"/>
  <c r="ER285" i="25"/>
  <c r="ER272" i="25"/>
  <c r="ER296" i="25"/>
  <c r="ER245" i="25"/>
  <c r="ER309" i="25"/>
  <c r="ER310" i="25"/>
  <c r="ER242" i="25"/>
  <c r="ER268" i="25"/>
  <c r="ER253" i="25"/>
  <c r="ER287" i="25"/>
  <c r="ER266" i="25"/>
  <c r="ER221" i="25"/>
  <c r="ER273" i="25"/>
  <c r="ER291" i="25"/>
  <c r="ER260" i="25"/>
  <c r="ER295" i="25"/>
  <c r="ER305" i="25"/>
  <c r="ER301" i="25"/>
  <c r="ER264" i="25"/>
  <c r="ER282" i="25"/>
  <c r="ER306" i="25"/>
  <c r="ER225" i="25"/>
  <c r="ER313" i="25"/>
  <c r="ER244" i="25"/>
  <c r="ER218" i="25"/>
  <c r="ER290" i="25"/>
  <c r="ER226" i="25"/>
  <c r="ER265" i="25"/>
  <c r="ER239" i="25"/>
  <c r="ER241" i="25"/>
  <c r="ER243" i="25"/>
  <c r="ER278" i="25"/>
  <c r="ER308" i="25"/>
  <c r="ER222" i="25"/>
  <c r="ER254" i="25"/>
  <c r="ER302" i="25"/>
  <c r="ER277" i="25"/>
  <c r="ER289" i="25"/>
  <c r="ER258" i="25"/>
  <c r="ER228" i="25"/>
  <c r="ER5" i="25"/>
  <c r="ER73" i="25"/>
  <c r="ER162" i="25"/>
  <c r="ER10" i="25"/>
  <c r="ER194" i="25"/>
  <c r="ER100" i="25"/>
  <c r="ER42" i="25"/>
  <c r="ER65" i="25"/>
  <c r="ER203" i="25"/>
  <c r="ER68" i="25"/>
  <c r="ER164" i="25"/>
  <c r="ER63" i="25"/>
  <c r="ER180" i="25"/>
  <c r="ER27" i="25"/>
  <c r="ER147" i="25"/>
  <c r="ER205" i="25"/>
  <c r="ER80" i="25"/>
  <c r="ER37" i="25"/>
  <c r="ER190" i="25"/>
  <c r="ER93" i="25"/>
  <c r="ER15" i="25"/>
  <c r="ER58" i="25"/>
  <c r="ER175" i="25"/>
  <c r="ER26" i="25"/>
  <c r="ER78" i="25"/>
  <c r="ER110" i="25"/>
  <c r="EU110" i="25" s="1"/>
  <c r="ER16" i="25"/>
  <c r="ER43" i="25"/>
  <c r="ER82" i="25"/>
  <c r="ER111" i="25"/>
  <c r="ER94" i="25"/>
  <c r="ER158" i="25"/>
  <c r="ER159" i="25"/>
  <c r="ER113" i="25"/>
  <c r="ER56" i="25"/>
  <c r="ER133" i="25"/>
  <c r="ER85" i="25"/>
  <c r="ER7" i="25"/>
  <c r="ER131" i="25"/>
  <c r="ER156" i="25"/>
  <c r="ER59" i="25"/>
  <c r="ER182" i="25"/>
  <c r="ER31" i="25"/>
  <c r="ER123" i="25"/>
  <c r="ER47" i="25"/>
  <c r="ER38" i="25"/>
  <c r="ER84" i="25"/>
  <c r="ER198" i="25"/>
  <c r="ER150" i="25"/>
  <c r="ER155" i="25"/>
  <c r="ER210" i="25"/>
  <c r="ER185" i="25"/>
  <c r="ER169" i="25"/>
  <c r="ER18" i="25"/>
  <c r="ER189" i="25"/>
  <c r="ER86" i="25"/>
  <c r="ER176" i="25"/>
  <c r="ER12" i="25"/>
  <c r="ER197" i="25"/>
  <c r="ER105" i="25"/>
  <c r="ER173" i="25"/>
  <c r="ER183" i="25"/>
  <c r="ER44" i="25"/>
  <c r="ER29" i="25"/>
  <c r="ER208" i="25"/>
  <c r="ER34" i="25"/>
  <c r="ER35" i="25"/>
  <c r="ER160" i="25"/>
  <c r="ER41" i="25"/>
  <c r="ER171" i="25"/>
  <c r="ER166" i="25"/>
  <c r="ER70" i="25"/>
  <c r="ER14" i="25"/>
  <c r="ER13" i="25"/>
  <c r="ER52" i="25"/>
  <c r="ER55" i="25"/>
  <c r="ER116" i="25"/>
  <c r="ER19" i="25"/>
  <c r="ER99" i="25"/>
  <c r="ER122" i="25"/>
  <c r="ER118" i="25"/>
  <c r="ER165" i="25"/>
  <c r="ER53" i="25"/>
  <c r="ER79" i="25"/>
  <c r="ER134" i="25"/>
  <c r="ER91" i="25"/>
  <c r="ER168" i="25"/>
  <c r="ER21" i="25"/>
  <c r="ER152" i="25"/>
  <c r="ER181" i="25"/>
  <c r="ER61" i="25"/>
  <c r="ER6" i="25"/>
  <c r="ER137" i="25"/>
  <c r="ER149" i="25"/>
  <c r="ER49" i="25"/>
  <c r="ER96" i="25"/>
  <c r="ER154" i="25"/>
  <c r="ER174" i="25"/>
  <c r="ER125" i="25"/>
  <c r="ER72" i="25"/>
  <c r="ER167" i="25"/>
  <c r="ER20" i="25"/>
  <c r="ER195" i="25"/>
  <c r="ER8" i="25"/>
  <c r="ER178" i="25"/>
  <c r="ER196" i="25"/>
  <c r="ER124" i="25"/>
  <c r="ER209" i="25"/>
  <c r="ER135" i="25"/>
  <c r="ER87" i="25"/>
  <c r="ER36" i="25"/>
  <c r="ER40" i="25"/>
  <c r="ER119" i="25"/>
  <c r="ER145" i="25"/>
  <c r="ER45" i="25"/>
  <c r="ER92" i="25"/>
  <c r="ER28" i="25"/>
  <c r="ER103" i="25"/>
  <c r="ER161" i="25"/>
  <c r="ER30" i="25"/>
  <c r="ER114" i="25"/>
  <c r="ER17" i="25"/>
  <c r="ER51" i="25"/>
  <c r="ER32" i="25"/>
  <c r="ER148" i="25"/>
  <c r="ER177" i="25"/>
  <c r="ER102" i="25"/>
  <c r="ER66" i="25"/>
  <c r="ER130" i="25"/>
  <c r="ER39" i="25"/>
  <c r="ER71" i="25"/>
  <c r="ER25" i="25"/>
  <c r="ER199" i="25"/>
  <c r="ER60" i="25"/>
  <c r="ER187" i="25"/>
  <c r="ER206" i="25"/>
  <c r="ER141" i="25"/>
  <c r="ER95" i="25"/>
  <c r="ER83" i="25"/>
  <c r="ER11" i="25"/>
  <c r="ER101" i="25"/>
  <c r="ER157" i="25"/>
  <c r="ER77" i="25"/>
  <c r="ER144" i="25"/>
  <c r="ER46" i="25"/>
  <c r="ER88" i="25"/>
  <c r="ER146" i="25"/>
  <c r="ER98" i="25"/>
  <c r="ER74" i="25"/>
  <c r="ER170" i="25"/>
  <c r="ER90" i="25"/>
  <c r="ER33" i="25"/>
  <c r="ER23" i="25"/>
  <c r="ER188" i="25"/>
  <c r="ER128" i="25"/>
  <c r="ER76" i="25"/>
  <c r="ER9" i="25"/>
  <c r="ER117" i="25"/>
  <c r="ER153" i="25"/>
  <c r="ER143" i="25"/>
  <c r="ER115" i="25"/>
  <c r="ER62" i="25"/>
  <c r="ER81" i="25"/>
  <c r="ER67" i="25"/>
  <c r="ER140" i="25"/>
  <c r="ER139" i="25"/>
  <c r="ER69" i="25"/>
  <c r="ER142" i="25"/>
  <c r="ER186" i="25"/>
  <c r="ER132" i="25"/>
  <c r="ER97" i="25"/>
  <c r="ER201" i="25"/>
  <c r="ER136" i="25"/>
  <c r="ER24" i="25"/>
  <c r="ER191" i="25"/>
  <c r="ER112" i="25"/>
  <c r="ER151" i="25"/>
  <c r="ER138" i="25"/>
  <c r="ER104" i="25"/>
  <c r="ER50" i="25"/>
  <c r="ER163" i="25"/>
  <c r="ER179" i="25"/>
  <c r="ER121" i="25"/>
  <c r="ER22" i="25"/>
  <c r="ER204" i="25"/>
  <c r="ER75" i="25"/>
  <c r="ER184" i="25"/>
  <c r="ER200" i="25"/>
  <c r="ER127" i="25"/>
  <c r="ER126" i="25"/>
  <c r="ER192" i="25"/>
  <c r="ER172" i="25"/>
  <c r="ER129" i="25"/>
  <c r="ER202" i="25"/>
  <c r="ER57" i="25"/>
  <c r="ER193" i="25"/>
  <c r="ER89" i="25"/>
  <c r="ER64" i="25"/>
  <c r="ER207" i="25"/>
  <c r="ER120" i="25"/>
  <c r="ER54" i="25"/>
  <c r="ER48" i="25"/>
  <c r="BO5" i="24"/>
  <c r="EQ5" i="25"/>
  <c r="ES5" i="24"/>
  <c r="EV5" i="24" s="1"/>
  <c r="BM5" i="25"/>
  <c r="I78" i="2"/>
  <c r="B295" i="2"/>
  <c r="B12" i="2"/>
  <c r="CC216" i="25" l="1"/>
  <c r="FG216" i="25"/>
  <c r="EU5" i="25"/>
  <c r="FG110" i="25"/>
  <c r="CJ7" i="25"/>
  <c r="CJ6" i="25"/>
  <c r="CC110" i="25"/>
  <c r="B280" i="2"/>
  <c r="EQ6" i="25" l="1"/>
  <c r="EU6" i="25" s="1"/>
  <c r="DP6" i="25"/>
  <c r="FG6" i="25"/>
  <c r="EQ7" i="25"/>
  <c r="EU7" i="25" s="1"/>
  <c r="DP7" i="25"/>
  <c r="FG7" i="25"/>
  <c r="B244" i="2"/>
  <c r="A242" i="2"/>
  <c r="B74" i="2"/>
  <c r="D241" i="2" l="1"/>
  <c r="A241" i="2"/>
  <c r="D240" i="2" l="1"/>
  <c r="D296" i="2"/>
  <c r="C259" i="2"/>
  <c r="C268" i="2"/>
  <c r="D268" i="2"/>
  <c r="B48" i="19"/>
  <c r="B36" i="2" l="1"/>
  <c r="B20" i="2"/>
  <c r="B21" i="2"/>
  <c r="B24" i="2"/>
  <c r="C245" i="2"/>
  <c r="C74" i="2"/>
  <c r="B102" i="2"/>
  <c r="B107" i="2" l="1"/>
  <c r="B135" i="2"/>
  <c r="B80" i="2"/>
  <c r="C80" i="2"/>
  <c r="B296" i="2"/>
  <c r="C244" i="2"/>
  <c r="F244" i="2"/>
  <c r="D244" i="2"/>
  <c r="B241" i="2"/>
  <c r="B242" i="2"/>
  <c r="B156" i="2"/>
  <c r="B152" i="2"/>
  <c r="B252" i="2" s="1"/>
  <c r="B129" i="2"/>
  <c r="B127" i="2"/>
  <c r="C32" i="16" s="1"/>
  <c r="D45" i="1"/>
  <c r="AM5" i="24"/>
  <c r="AM216" i="24"/>
  <c r="AM110" i="24"/>
  <c r="B247" i="2" l="1"/>
  <c r="B248" i="2"/>
  <c r="B250" i="2"/>
  <c r="C31" i="16"/>
  <c r="D21" i="19"/>
  <c r="D36" i="19"/>
  <c r="F12" i="19"/>
  <c r="D38" i="19"/>
  <c r="D35" i="19"/>
  <c r="B63" i="2"/>
  <c r="C47" i="16" s="1"/>
  <c r="D47" i="16" s="1"/>
  <c r="B33" i="19"/>
  <c r="F78" i="2"/>
  <c r="F72" i="2"/>
  <c r="D42" i="1"/>
  <c r="G269" i="2"/>
  <c r="C264" i="2"/>
  <c r="C265" i="2"/>
  <c r="A273" i="2"/>
  <c r="G73" i="2"/>
  <c r="A231" i="2"/>
  <c r="C277" i="2"/>
  <c r="E18" i="1" l="1"/>
  <c r="CY2" i="24"/>
  <c r="D93" i="2"/>
  <c r="U2" i="24"/>
  <c r="B194" i="2"/>
  <c r="I10" i="8"/>
  <c r="B179" i="2"/>
  <c r="B176" i="2"/>
  <c r="B198" i="2" l="1"/>
  <c r="I9" i="8" s="1"/>
  <c r="B78" i="2"/>
  <c r="K66" i="2"/>
  <c r="K34" i="16" l="1"/>
  <c r="J34" i="16"/>
  <c r="K49" i="16"/>
  <c r="K48" i="16"/>
  <c r="J49" i="16"/>
  <c r="J48" i="16"/>
  <c r="I49" i="16" l="1"/>
  <c r="I48" i="16"/>
  <c r="H49" i="16"/>
  <c r="H48" i="16"/>
  <c r="J46" i="16"/>
  <c r="K32" i="16"/>
  <c r="J32" i="16"/>
  <c r="K31" i="16"/>
  <c r="J31" i="16" l="1"/>
  <c r="T83" i="2"/>
  <c r="R85" i="2"/>
  <c r="B11" i="2" l="1"/>
  <c r="B26" i="19"/>
  <c r="D26" i="19" s="1"/>
  <c r="D20" i="19"/>
  <c r="B27" i="19"/>
  <c r="D27" i="19" s="1"/>
  <c r="B8" i="2"/>
  <c r="B101" i="2"/>
  <c r="B96" i="2"/>
  <c r="B155" i="2"/>
  <c r="BP106" i="19"/>
  <c r="D46" i="19"/>
  <c r="A34" i="16"/>
  <c r="A49" i="16"/>
  <c r="A48" i="16"/>
  <c r="C278" i="2"/>
  <c r="B293" i="2"/>
  <c r="B268" i="2"/>
  <c r="B264" i="2"/>
  <c r="J72" i="2"/>
  <c r="C261" i="2"/>
  <c r="B261" i="2"/>
  <c r="B32" i="19"/>
  <c r="D32" i="19" s="1"/>
  <c r="B31" i="19"/>
  <c r="D31" i="19" s="1"/>
  <c r="B30" i="19"/>
  <c r="D30" i="19" s="1"/>
  <c r="B8" i="19"/>
  <c r="D8" i="19" s="1"/>
  <c r="F91" i="19"/>
  <c r="F90" i="19"/>
  <c r="F89" i="19"/>
  <c r="D53" i="19"/>
  <c r="D52" i="19"/>
  <c r="D51" i="19"/>
  <c r="D50" i="19"/>
  <c r="D48" i="19"/>
  <c r="D45" i="19"/>
  <c r="D44" i="19"/>
  <c r="D41" i="19"/>
  <c r="D39" i="19"/>
  <c r="D33" i="19"/>
  <c r="D29" i="19"/>
  <c r="D23" i="19"/>
  <c r="D22" i="19"/>
  <c r="D13" i="19"/>
  <c r="B213" i="2" s="1"/>
  <c r="D12" i="19"/>
  <c r="A31" i="16"/>
  <c r="B246" i="2"/>
  <c r="A245" i="2"/>
  <c r="B9" i="2"/>
  <c r="I6" i="8"/>
  <c r="J6" i="8" s="1"/>
  <c r="D46" i="16"/>
  <c r="B178" i="2"/>
  <c r="B181" i="2" s="1"/>
  <c r="B173" i="2"/>
  <c r="B231" i="2"/>
  <c r="B245" i="2"/>
  <c r="B7" i="2"/>
  <c r="B164" i="2"/>
  <c r="B166" i="2" s="1"/>
  <c r="B208" i="2"/>
  <c r="A34" i="8"/>
  <c r="A35" i="8"/>
  <c r="A36" i="8"/>
  <c r="A37" i="8"/>
  <c r="A49" i="8" s="1"/>
  <c r="A61" i="8" s="1"/>
  <c r="A73" i="8" s="1"/>
  <c r="A85" i="8" s="1"/>
  <c r="A97" i="8" s="1"/>
  <c r="A109" i="8" s="1"/>
  <c r="A121" i="8" s="1"/>
  <c r="A133" i="8" s="1"/>
  <c r="A145" i="8" s="1"/>
  <c r="A157" i="8" s="1"/>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53" i="8" s="1"/>
  <c r="A65" i="8" s="1"/>
  <c r="A77" i="8" s="1"/>
  <c r="A89" i="8" s="1"/>
  <c r="A101" i="8" s="1"/>
  <c r="A113" i="8" s="1"/>
  <c r="A125" i="8" s="1"/>
  <c r="A137" i="8" s="1"/>
  <c r="A149" i="8" s="1"/>
  <c r="A42" i="8"/>
  <c r="A43" i="8"/>
  <c r="A44" i="8"/>
  <c r="A56" i="8" s="1"/>
  <c r="A68" i="8" s="1"/>
  <c r="A80" i="8" s="1"/>
  <c r="A92" i="8" s="1"/>
  <c r="A104" i="8" s="1"/>
  <c r="A116" i="8" s="1"/>
  <c r="A128" i="8" s="1"/>
  <c r="A140" i="8" s="1"/>
  <c r="A152" i="8" s="1"/>
  <c r="A45" i="8"/>
  <c r="A57" i="8" s="1"/>
  <c r="A69" i="8" s="1"/>
  <c r="A81" i="8" s="1"/>
  <c r="A93" i="8" s="1"/>
  <c r="A105" i="8" s="1"/>
  <c r="A117" i="8" s="1"/>
  <c r="A129" i="8" s="1"/>
  <c r="A141" i="8" s="1"/>
  <c r="A153" i="8" s="1"/>
  <c r="A46" i="8"/>
  <c r="A58" i="8" s="1"/>
  <c r="A70" i="8" s="1"/>
  <c r="A82" i="8" s="1"/>
  <c r="A94" i="8" s="1"/>
  <c r="A106" i="8" s="1"/>
  <c r="A118" i="8" s="1"/>
  <c r="A130" i="8" s="1"/>
  <c r="A142" i="8" s="1"/>
  <c r="A154" i="8" s="1"/>
  <c r="A47" i="8"/>
  <c r="A59" i="8" s="1"/>
  <c r="A71" i="8" s="1"/>
  <c r="A83" i="8" s="1"/>
  <c r="A95" i="8" s="1"/>
  <c r="A107" i="8" s="1"/>
  <c r="A119" i="8" s="1"/>
  <c r="A131" i="8" s="1"/>
  <c r="A143" i="8" s="1"/>
  <c r="A155" i="8" s="1"/>
  <c r="A48" i="8"/>
  <c r="A60" i="8" s="1"/>
  <c r="A72" i="8" s="1"/>
  <c r="A84" i="8" s="1"/>
  <c r="A96" i="8" s="1"/>
  <c r="A108" i="8" s="1"/>
  <c r="A120" i="8" s="1"/>
  <c r="A132" i="8" s="1"/>
  <c r="A144" i="8" s="1"/>
  <c r="A156" i="8" s="1"/>
  <c r="A54" i="8"/>
  <c r="A66" i="8" s="1"/>
  <c r="A78" i="8" s="1"/>
  <c r="A90" i="8" s="1"/>
  <c r="A102" i="8" s="1"/>
  <c r="A114" i="8" s="1"/>
  <c r="A126" i="8" s="1"/>
  <c r="A138" i="8" s="1"/>
  <c r="A150" i="8" s="1"/>
  <c r="A55" i="8"/>
  <c r="A67" i="8" s="1"/>
  <c r="A79" i="8" s="1"/>
  <c r="A91" i="8" s="1"/>
  <c r="A103" i="8" s="1"/>
  <c r="A115" i="8" s="1"/>
  <c r="A127" i="8" s="1"/>
  <c r="A139" i="8" s="1"/>
  <c r="A151" i="8" s="1"/>
  <c r="E3" i="8"/>
  <c r="A240" i="2"/>
  <c r="B240" i="2"/>
  <c r="I14" i="8"/>
  <c r="J13" i="8"/>
  <c r="J7" i="8"/>
  <c r="J14" i="8"/>
  <c r="EM102" i="25" l="1"/>
  <c r="EM53" i="25"/>
  <c r="EM55" i="25"/>
  <c r="EM33" i="25"/>
  <c r="EM61" i="25"/>
  <c r="EM60" i="25"/>
  <c r="EM8" i="25"/>
  <c r="EM77" i="25"/>
  <c r="EM83" i="25"/>
  <c r="EM75" i="25"/>
  <c r="EM6" i="25"/>
  <c r="EM54" i="25"/>
  <c r="EM73" i="25"/>
  <c r="EM30" i="25"/>
  <c r="EM64" i="25"/>
  <c r="EM62" i="25"/>
  <c r="EM45" i="25"/>
  <c r="EM86" i="25"/>
  <c r="EM99" i="25"/>
  <c r="EM19" i="25"/>
  <c r="EM100" i="25"/>
  <c r="EM13" i="25"/>
  <c r="EM104" i="25"/>
  <c r="EM37" i="25"/>
  <c r="EM98" i="25"/>
  <c r="EM65" i="25"/>
  <c r="EM67" i="25"/>
  <c r="EM57" i="25"/>
  <c r="EM97" i="25"/>
  <c r="EM72" i="25"/>
  <c r="EM40" i="25"/>
  <c r="EM74" i="25"/>
  <c r="EM87" i="25"/>
  <c r="EM105" i="25"/>
  <c r="EM95" i="25"/>
  <c r="EM11" i="25"/>
  <c r="EM12" i="25"/>
  <c r="EM18" i="25"/>
  <c r="EM16" i="25"/>
  <c r="EM66" i="25"/>
  <c r="EM28" i="25"/>
  <c r="EM14" i="25"/>
  <c r="EM38" i="25"/>
  <c r="EM59" i="25"/>
  <c r="EM68" i="25"/>
  <c r="EM48" i="25"/>
  <c r="EM92" i="25"/>
  <c r="EM46" i="25"/>
  <c r="EM70" i="25"/>
  <c r="EM15" i="25"/>
  <c r="EM89" i="25"/>
  <c r="EM82" i="25"/>
  <c r="EM81" i="25"/>
  <c r="EM27" i="25"/>
  <c r="EM84" i="25"/>
  <c r="EM44" i="25"/>
  <c r="EM90" i="25"/>
  <c r="EM91" i="25"/>
  <c r="EM25" i="25"/>
  <c r="EM96" i="25"/>
  <c r="EM50" i="25"/>
  <c r="EM49" i="25"/>
  <c r="EM56" i="25"/>
  <c r="EM26" i="25"/>
  <c r="EM63" i="25"/>
  <c r="EM80" i="25"/>
  <c r="EM85" i="25"/>
  <c r="EM21" i="25"/>
  <c r="EM34" i="25"/>
  <c r="EM76" i="25"/>
  <c r="EM47" i="25"/>
  <c r="EM32" i="25"/>
  <c r="EM7" i="25"/>
  <c r="EM36" i="25"/>
  <c r="EM17" i="25"/>
  <c r="EM93" i="25"/>
  <c r="EM31" i="25"/>
  <c r="EM10" i="25"/>
  <c r="EM43" i="25"/>
  <c r="EM24" i="25"/>
  <c r="EM39" i="25"/>
  <c r="EM101" i="25"/>
  <c r="EM22" i="25"/>
  <c r="EM23" i="25"/>
  <c r="EM58" i="25"/>
  <c r="EM35" i="25"/>
  <c r="EM78" i="25"/>
  <c r="EM69" i="25"/>
  <c r="EM52" i="25"/>
  <c r="EM71" i="25"/>
  <c r="EM42" i="25"/>
  <c r="EM29" i="25"/>
  <c r="EM103" i="25"/>
  <c r="EM51" i="25"/>
  <c r="EM94" i="25"/>
  <c r="EM88" i="25"/>
  <c r="EM20" i="25"/>
  <c r="EM9" i="25"/>
  <c r="EM79" i="25"/>
  <c r="EM41" i="25"/>
  <c r="EO100" i="24"/>
  <c r="EO5" i="24"/>
  <c r="EO94" i="24"/>
  <c r="EO48" i="24"/>
  <c r="EO12" i="24"/>
  <c r="EO23" i="24"/>
  <c r="EO46" i="24"/>
  <c r="EO87" i="24"/>
  <c r="EO105" i="24"/>
  <c r="EO47" i="24"/>
  <c r="EO71" i="24"/>
  <c r="EO103" i="24"/>
  <c r="EO38" i="24"/>
  <c r="EO49" i="24"/>
  <c r="EO34" i="24"/>
  <c r="EO52" i="24"/>
  <c r="EO25" i="24"/>
  <c r="EO8" i="24"/>
  <c r="EO19" i="24"/>
  <c r="EO57" i="24"/>
  <c r="EO56" i="24"/>
  <c r="EO39" i="24"/>
  <c r="EO101" i="24"/>
  <c r="EO64" i="24"/>
  <c r="EO50" i="24"/>
  <c r="EO37" i="24"/>
  <c r="EO28" i="24"/>
  <c r="EO26" i="24"/>
  <c r="EO61" i="24"/>
  <c r="EO67" i="24"/>
  <c r="EO97" i="24"/>
  <c r="EO66" i="24"/>
  <c r="EO76" i="24"/>
  <c r="EO42" i="24"/>
  <c r="EO85" i="24"/>
  <c r="EO72" i="24"/>
  <c r="EO33" i="24"/>
  <c r="EO99" i="24"/>
  <c r="EO44" i="24"/>
  <c r="EO16" i="24"/>
  <c r="EO80" i="24"/>
  <c r="EO43" i="24"/>
  <c r="EO7" i="24"/>
  <c r="EO81" i="24"/>
  <c r="EO9" i="24"/>
  <c r="EO59" i="24"/>
  <c r="EO79" i="24"/>
  <c r="EO84" i="24"/>
  <c r="EO73" i="24"/>
  <c r="EO77" i="24"/>
  <c r="EO92" i="24"/>
  <c r="EO68" i="24"/>
  <c r="EO60" i="24"/>
  <c r="EO6" i="24"/>
  <c r="EO65" i="24"/>
  <c r="EO75" i="24"/>
  <c r="EO98" i="24"/>
  <c r="EO22" i="24"/>
  <c r="EO88" i="24"/>
  <c r="EO15" i="24"/>
  <c r="EO41" i="24"/>
  <c r="EO86" i="24"/>
  <c r="EO31" i="24"/>
  <c r="EO74" i="24"/>
  <c r="EO82" i="24"/>
  <c r="EO54" i="24"/>
  <c r="EO24" i="24"/>
  <c r="EO104" i="24"/>
  <c r="EO51" i="24"/>
  <c r="EO40" i="24"/>
  <c r="EO70" i="24"/>
  <c r="EO18" i="24"/>
  <c r="EO21" i="24"/>
  <c r="EO69" i="24"/>
  <c r="EO20" i="24"/>
  <c r="EO90" i="24"/>
  <c r="EO14" i="24"/>
  <c r="EO95" i="24"/>
  <c r="EO102" i="24"/>
  <c r="EO78" i="24"/>
  <c r="EO32" i="24"/>
  <c r="EO10" i="24"/>
  <c r="EO89" i="24"/>
  <c r="EO17" i="24"/>
  <c r="EO30" i="24"/>
  <c r="EO93" i="24"/>
  <c r="EO96" i="24"/>
  <c r="EO11" i="24"/>
  <c r="EO55" i="24"/>
  <c r="EO53" i="24"/>
  <c r="EO58" i="24"/>
  <c r="EO45" i="24"/>
  <c r="EO63" i="24"/>
  <c r="EO35" i="24"/>
  <c r="EO91" i="24"/>
  <c r="EO62" i="24"/>
  <c r="EO29" i="24"/>
  <c r="EO27" i="24"/>
  <c r="EO36" i="24"/>
  <c r="EO13" i="24"/>
  <c r="EO83" i="24"/>
  <c r="BB1" i="24"/>
  <c r="EF1" i="24"/>
  <c r="B111" i="2"/>
  <c r="L29" i="1"/>
  <c r="B88" i="2"/>
  <c r="L12" i="1" s="1"/>
  <c r="CN212" i="25"/>
  <c r="CR212" i="25" s="1"/>
  <c r="CM212" i="24"/>
  <c r="EO212" i="24" s="1"/>
  <c r="L104" i="2"/>
  <c r="G325" i="25"/>
  <c r="G325" i="24"/>
  <c r="N325" i="25"/>
  <c r="E68" i="1"/>
  <c r="E70" i="1" s="1"/>
  <c r="G322" i="25"/>
  <c r="G322" i="24"/>
  <c r="I325" i="24"/>
  <c r="I325" i="25"/>
  <c r="P325" i="25"/>
  <c r="E26" i="1"/>
  <c r="CN112" i="25"/>
  <c r="CP112" i="25" s="1"/>
  <c r="CP12" i="25"/>
  <c r="CP20" i="25"/>
  <c r="CP28" i="25"/>
  <c r="CP36" i="25"/>
  <c r="CP44" i="25"/>
  <c r="CP52" i="25"/>
  <c r="CP60" i="25"/>
  <c r="CP68" i="25"/>
  <c r="CP76" i="25"/>
  <c r="CP84" i="25"/>
  <c r="CP92" i="25"/>
  <c r="CP100" i="25"/>
  <c r="CP19" i="25"/>
  <c r="CP75" i="25"/>
  <c r="CP13" i="25"/>
  <c r="CP21" i="25"/>
  <c r="CP29" i="25"/>
  <c r="CP37" i="25"/>
  <c r="CP45" i="25"/>
  <c r="CP53" i="25"/>
  <c r="CP61" i="25"/>
  <c r="CP69" i="25"/>
  <c r="CP77" i="25"/>
  <c r="CP85" i="25"/>
  <c r="CP93" i="25"/>
  <c r="CP101" i="25"/>
  <c r="CP11" i="25"/>
  <c r="CP59" i="25"/>
  <c r="CP5" i="25"/>
  <c r="CP6" i="25"/>
  <c r="CP14" i="25"/>
  <c r="CP22" i="25"/>
  <c r="CP30" i="25"/>
  <c r="CP38" i="25"/>
  <c r="CP46" i="25"/>
  <c r="CP54" i="25"/>
  <c r="CP62" i="25"/>
  <c r="CP70" i="25"/>
  <c r="CP78" i="25"/>
  <c r="CP86" i="25"/>
  <c r="CP94" i="25"/>
  <c r="CP102" i="25"/>
  <c r="CP35" i="25"/>
  <c r="CP83" i="25"/>
  <c r="CP7" i="25"/>
  <c r="CP15" i="25"/>
  <c r="CP23" i="25"/>
  <c r="CP31" i="25"/>
  <c r="CP39" i="25"/>
  <c r="CP47" i="25"/>
  <c r="CP55" i="25"/>
  <c r="CP63" i="25"/>
  <c r="CP71" i="25"/>
  <c r="CP79" i="25"/>
  <c r="CP87" i="25"/>
  <c r="CP95" i="25"/>
  <c r="CP103" i="25"/>
  <c r="CP51" i="25"/>
  <c r="CP8" i="25"/>
  <c r="CP16" i="25"/>
  <c r="CP24" i="25"/>
  <c r="CP32" i="25"/>
  <c r="CP40" i="25"/>
  <c r="CP48" i="25"/>
  <c r="CP56" i="25"/>
  <c r="CP64" i="25"/>
  <c r="CP72" i="25"/>
  <c r="CP80" i="25"/>
  <c r="CP88" i="25"/>
  <c r="CP96" i="25"/>
  <c r="CP104" i="25"/>
  <c r="CP43" i="25"/>
  <c r="CP99" i="25"/>
  <c r="CP9" i="25"/>
  <c r="CP17" i="25"/>
  <c r="CP25" i="25"/>
  <c r="CP33" i="25"/>
  <c r="CP41" i="25"/>
  <c r="CP49" i="25"/>
  <c r="CP57" i="25"/>
  <c r="CP65" i="25"/>
  <c r="CP73" i="25"/>
  <c r="CP81" i="25"/>
  <c r="CP89" i="25"/>
  <c r="CP97" i="25"/>
  <c r="CP105" i="25"/>
  <c r="CP27" i="25"/>
  <c r="CP91" i="25"/>
  <c r="CP10" i="25"/>
  <c r="CP18" i="25"/>
  <c r="CP26" i="25"/>
  <c r="CP34" i="25"/>
  <c r="CP42" i="25"/>
  <c r="CP50" i="25"/>
  <c r="CP58" i="25"/>
  <c r="CP66" i="25"/>
  <c r="CP74" i="25"/>
  <c r="CP82" i="25"/>
  <c r="CP90" i="25"/>
  <c r="CP98" i="25"/>
  <c r="CR5" i="25"/>
  <c r="CP67" i="25"/>
  <c r="R65" i="2"/>
  <c r="B92" i="2"/>
  <c r="B115" i="2"/>
  <c r="B85" i="2"/>
  <c r="CQ2" i="24"/>
  <c r="CW5" i="24"/>
  <c r="CX5" i="24" s="1"/>
  <c r="FL106" i="24"/>
  <c r="FL107" i="24"/>
  <c r="FL108" i="24"/>
  <c r="Y13" i="2"/>
  <c r="B98" i="2"/>
  <c r="CN207" i="25"/>
  <c r="EM207" i="25" s="1"/>
  <c r="CN203" i="25"/>
  <c r="EM203" i="25" s="1"/>
  <c r="CN199" i="25"/>
  <c r="EM199" i="25" s="1"/>
  <c r="CN195" i="25"/>
  <c r="EM195" i="25" s="1"/>
  <c r="CN191" i="25"/>
  <c r="EM191" i="25" s="1"/>
  <c r="CN187" i="25"/>
  <c r="EM187" i="25" s="1"/>
  <c r="CN179" i="25"/>
  <c r="EM179" i="25" s="1"/>
  <c r="CN171" i="25"/>
  <c r="EM171" i="25" s="1"/>
  <c r="CN164" i="25"/>
  <c r="EM164" i="25" s="1"/>
  <c r="CN156" i="25"/>
  <c r="EM156" i="25" s="1"/>
  <c r="CN144" i="25"/>
  <c r="EM144" i="25" s="1"/>
  <c r="CN136" i="25"/>
  <c r="EM136" i="25" s="1"/>
  <c r="CN130" i="25"/>
  <c r="EM130" i="25" s="1"/>
  <c r="CN126" i="25"/>
  <c r="EM126" i="25" s="1"/>
  <c r="CN122" i="25"/>
  <c r="EM122" i="25" s="1"/>
  <c r="CN118" i="25"/>
  <c r="EM118" i="25" s="1"/>
  <c r="CN114" i="25"/>
  <c r="EM114" i="25" s="1"/>
  <c r="CN186" i="25"/>
  <c r="EM186" i="25" s="1"/>
  <c r="CN178" i="25"/>
  <c r="EM178" i="25" s="1"/>
  <c r="CN170" i="25"/>
  <c r="EM170" i="25" s="1"/>
  <c r="CN163" i="25"/>
  <c r="EM163" i="25" s="1"/>
  <c r="CN150" i="25"/>
  <c r="EM150" i="25" s="1"/>
  <c r="CN143" i="25"/>
  <c r="EM143" i="25" s="1"/>
  <c r="CN135" i="25"/>
  <c r="EM135" i="25" s="1"/>
  <c r="CN210" i="25"/>
  <c r="EM210" i="25" s="1"/>
  <c r="CN206" i="25"/>
  <c r="EM206" i="25" s="1"/>
  <c r="CN202" i="25"/>
  <c r="EM202" i="25" s="1"/>
  <c r="CN198" i="25"/>
  <c r="EM198" i="25" s="1"/>
  <c r="CN194" i="25"/>
  <c r="EM194" i="25" s="1"/>
  <c r="CN190" i="25"/>
  <c r="EM190" i="25" s="1"/>
  <c r="CN185" i="25"/>
  <c r="EM185" i="25" s="1"/>
  <c r="CN177" i="25"/>
  <c r="EM177" i="25" s="1"/>
  <c r="CN169" i="25"/>
  <c r="EM169" i="25" s="1"/>
  <c r="CN162" i="25"/>
  <c r="EM162" i="25" s="1"/>
  <c r="CN155" i="25"/>
  <c r="EM155" i="25" s="1"/>
  <c r="CN142" i="25"/>
  <c r="EM142" i="25" s="1"/>
  <c r="CN134" i="25"/>
  <c r="EM134" i="25" s="1"/>
  <c r="CN129" i="25"/>
  <c r="EM129" i="25" s="1"/>
  <c r="CN125" i="25"/>
  <c r="EM125" i="25" s="1"/>
  <c r="CN121" i="25"/>
  <c r="EM121" i="25" s="1"/>
  <c r="CN117" i="25"/>
  <c r="EM117" i="25" s="1"/>
  <c r="CN113" i="25"/>
  <c r="EM113" i="25" s="1"/>
  <c r="CN110" i="25"/>
  <c r="EM110" i="25" s="1"/>
  <c r="CN184" i="25"/>
  <c r="EM184" i="25" s="1"/>
  <c r="CN176" i="25"/>
  <c r="EM176" i="25" s="1"/>
  <c r="CN168" i="25"/>
  <c r="EM168" i="25" s="1"/>
  <c r="CN161" i="25"/>
  <c r="EM161" i="25" s="1"/>
  <c r="CN154" i="25"/>
  <c r="EM154" i="25" s="1"/>
  <c r="CN149" i="25"/>
  <c r="EM149" i="25" s="1"/>
  <c r="CN141" i="25"/>
  <c r="EM141" i="25" s="1"/>
  <c r="CN133" i="25"/>
  <c r="EM133" i="25" s="1"/>
  <c r="CN209" i="25"/>
  <c r="EM209" i="25" s="1"/>
  <c r="CN205" i="25"/>
  <c r="EM205" i="25" s="1"/>
  <c r="CN201" i="25"/>
  <c r="EM201" i="25" s="1"/>
  <c r="CN197" i="25"/>
  <c r="EM197" i="25" s="1"/>
  <c r="CN193" i="25"/>
  <c r="EM193" i="25" s="1"/>
  <c r="CN189" i="25"/>
  <c r="EM189" i="25" s="1"/>
  <c r="CN183" i="25"/>
  <c r="EM183" i="25" s="1"/>
  <c r="CN175" i="25"/>
  <c r="EM175" i="25" s="1"/>
  <c r="CN167" i="25"/>
  <c r="EM167" i="25" s="1"/>
  <c r="CN160" i="25"/>
  <c r="EM160" i="25" s="1"/>
  <c r="CN148" i="25"/>
  <c r="EM148" i="25" s="1"/>
  <c r="CN140" i="25"/>
  <c r="EM140" i="25" s="1"/>
  <c r="CN132" i="25"/>
  <c r="EM132" i="25" s="1"/>
  <c r="CN128" i="25"/>
  <c r="EM128" i="25" s="1"/>
  <c r="CN124" i="25"/>
  <c r="EM124" i="25" s="1"/>
  <c r="CN120" i="25"/>
  <c r="EM120" i="25" s="1"/>
  <c r="CN116" i="25"/>
  <c r="EM116" i="25" s="1"/>
  <c r="CN182" i="25"/>
  <c r="EM182" i="25" s="1"/>
  <c r="CN174" i="25"/>
  <c r="EM174" i="25" s="1"/>
  <c r="CN166" i="25"/>
  <c r="EM166" i="25" s="1"/>
  <c r="CN159" i="25"/>
  <c r="EM159" i="25" s="1"/>
  <c r="CN153" i="25"/>
  <c r="EM153" i="25" s="1"/>
  <c r="CN147" i="25"/>
  <c r="EM147" i="25" s="1"/>
  <c r="CN139" i="25"/>
  <c r="EM139" i="25" s="1"/>
  <c r="CN208" i="25"/>
  <c r="EM208" i="25" s="1"/>
  <c r="CN204" i="25"/>
  <c r="EM204" i="25" s="1"/>
  <c r="CN200" i="25"/>
  <c r="EM200" i="25" s="1"/>
  <c r="CN196" i="25"/>
  <c r="EM196" i="25" s="1"/>
  <c r="CN192" i="25"/>
  <c r="EM192" i="25" s="1"/>
  <c r="CN188" i="25"/>
  <c r="EM188" i="25" s="1"/>
  <c r="CN181" i="25"/>
  <c r="EM181" i="25" s="1"/>
  <c r="CN173" i="25"/>
  <c r="EM173" i="25" s="1"/>
  <c r="CN165" i="25"/>
  <c r="EM165" i="25" s="1"/>
  <c r="CN158" i="25"/>
  <c r="EM158" i="25" s="1"/>
  <c r="CN152" i="25"/>
  <c r="EM152" i="25" s="1"/>
  <c r="CN146" i="25"/>
  <c r="EM146" i="25" s="1"/>
  <c r="CN138" i="25"/>
  <c r="EM138" i="25" s="1"/>
  <c r="CN131" i="25"/>
  <c r="EM131" i="25" s="1"/>
  <c r="CN127" i="25"/>
  <c r="EM127" i="25" s="1"/>
  <c r="CN123" i="25"/>
  <c r="EM123" i="25" s="1"/>
  <c r="CN119" i="25"/>
  <c r="EM119" i="25" s="1"/>
  <c r="CN115" i="25"/>
  <c r="EM115" i="25" s="1"/>
  <c r="CN111" i="25"/>
  <c r="EM111" i="25" s="1"/>
  <c r="CN180" i="25"/>
  <c r="EM180" i="25" s="1"/>
  <c r="CN172" i="25"/>
  <c r="EM172" i="25" s="1"/>
  <c r="CN157" i="25"/>
  <c r="EM157" i="25" s="1"/>
  <c r="CN151" i="25"/>
  <c r="EM151" i="25" s="1"/>
  <c r="CN145" i="25"/>
  <c r="EM145" i="25" s="1"/>
  <c r="CN137" i="25"/>
  <c r="EM137" i="25" s="1"/>
  <c r="CM209" i="24"/>
  <c r="EO209" i="24" s="1"/>
  <c r="CM204" i="24"/>
  <c r="EO204" i="24" s="1"/>
  <c r="CM197" i="24"/>
  <c r="EO197" i="24" s="1"/>
  <c r="CM192" i="24"/>
  <c r="EO192" i="24" s="1"/>
  <c r="CM181" i="24"/>
  <c r="EO181" i="24" s="1"/>
  <c r="CM176" i="24"/>
  <c r="EO176" i="24" s="1"/>
  <c r="CM170" i="24"/>
  <c r="EO170" i="24" s="1"/>
  <c r="CM159" i="24"/>
  <c r="EO159" i="24" s="1"/>
  <c r="CM154" i="24"/>
  <c r="EO154" i="24" s="1"/>
  <c r="CM149" i="24"/>
  <c r="EO149" i="24" s="1"/>
  <c r="CM144" i="24"/>
  <c r="EO144" i="24" s="1"/>
  <c r="CM138" i="24"/>
  <c r="EO138" i="24" s="1"/>
  <c r="CM121" i="24"/>
  <c r="EO121" i="24" s="1"/>
  <c r="CM115" i="24"/>
  <c r="EO115" i="24" s="1"/>
  <c r="CM208" i="24"/>
  <c r="EO208" i="24" s="1"/>
  <c r="CM203" i="24"/>
  <c r="EO203" i="24" s="1"/>
  <c r="CM187" i="24"/>
  <c r="EO187" i="24" s="1"/>
  <c r="CM175" i="24"/>
  <c r="EO175" i="24" s="1"/>
  <c r="CM169" i="24"/>
  <c r="EO169" i="24" s="1"/>
  <c r="CM164" i="24"/>
  <c r="EO164" i="24" s="1"/>
  <c r="CM158" i="24"/>
  <c r="EO158" i="24" s="1"/>
  <c r="CM153" i="24"/>
  <c r="EO153" i="24" s="1"/>
  <c r="CM148" i="24"/>
  <c r="EO148" i="24" s="1"/>
  <c r="CM143" i="24"/>
  <c r="EO143" i="24" s="1"/>
  <c r="CM137" i="24"/>
  <c r="EO137" i="24" s="1"/>
  <c r="CM131" i="24"/>
  <c r="EO131" i="24" s="1"/>
  <c r="CM126" i="24"/>
  <c r="EO126" i="24" s="1"/>
  <c r="CM120" i="24"/>
  <c r="EO120" i="24" s="1"/>
  <c r="CM202" i="24"/>
  <c r="EO202" i="24" s="1"/>
  <c r="CM196" i="24"/>
  <c r="EO196" i="24" s="1"/>
  <c r="CM191" i="24"/>
  <c r="EO191" i="24" s="1"/>
  <c r="CM186" i="24"/>
  <c r="EO186" i="24" s="1"/>
  <c r="CM180" i="24"/>
  <c r="EO180" i="24" s="1"/>
  <c r="CM174" i="24"/>
  <c r="EO174" i="24" s="1"/>
  <c r="CM163" i="24"/>
  <c r="EO163" i="24" s="1"/>
  <c r="CM142" i="24"/>
  <c r="EO142" i="24" s="1"/>
  <c r="CM125" i="24"/>
  <c r="EO125" i="24" s="1"/>
  <c r="CM119" i="24"/>
  <c r="EO119" i="24" s="1"/>
  <c r="CM114" i="24"/>
  <c r="EO114" i="24" s="1"/>
  <c r="CM207" i="24"/>
  <c r="EO207" i="24" s="1"/>
  <c r="CM201" i="24"/>
  <c r="EO201" i="24" s="1"/>
  <c r="CM185" i="24"/>
  <c r="EO185" i="24" s="1"/>
  <c r="CM179" i="24"/>
  <c r="EO179" i="24" s="1"/>
  <c r="CM173" i="24"/>
  <c r="EO173" i="24" s="1"/>
  <c r="CM168" i="24"/>
  <c r="EO168" i="24" s="1"/>
  <c r="CM157" i="24"/>
  <c r="EO157" i="24" s="1"/>
  <c r="CM152" i="24"/>
  <c r="EO152" i="24" s="1"/>
  <c r="CM147" i="24"/>
  <c r="EO147" i="24" s="1"/>
  <c r="CM141" i="24"/>
  <c r="EO141" i="24" s="1"/>
  <c r="CM136" i="24"/>
  <c r="EO136" i="24" s="1"/>
  <c r="CM130" i="24"/>
  <c r="EO130" i="24" s="1"/>
  <c r="CM124" i="24"/>
  <c r="EO124" i="24" s="1"/>
  <c r="CM110" i="24"/>
  <c r="CO110" i="24" s="1"/>
  <c r="CM206" i="24"/>
  <c r="EO206" i="24" s="1"/>
  <c r="CM195" i="24"/>
  <c r="EO195" i="24" s="1"/>
  <c r="CM190" i="24"/>
  <c r="EO190" i="24" s="1"/>
  <c r="CM162" i="24"/>
  <c r="EO162" i="24" s="1"/>
  <c r="CM140" i="24"/>
  <c r="EO140" i="24" s="1"/>
  <c r="CM135" i="24"/>
  <c r="EO135" i="24" s="1"/>
  <c r="CM129" i="24"/>
  <c r="EO129" i="24" s="1"/>
  <c r="CM118" i="24"/>
  <c r="EO118" i="24" s="1"/>
  <c r="CM113" i="24"/>
  <c r="EO113" i="24" s="1"/>
  <c r="CM200" i="24"/>
  <c r="EO200" i="24" s="1"/>
  <c r="CM184" i="24"/>
  <c r="EO184" i="24" s="1"/>
  <c r="CM178" i="24"/>
  <c r="EO178" i="24" s="1"/>
  <c r="CM172" i="24"/>
  <c r="EO172" i="24" s="1"/>
  <c r="CM167" i="24"/>
  <c r="EO167" i="24" s="1"/>
  <c r="CM161" i="24"/>
  <c r="EO161" i="24" s="1"/>
  <c r="CM156" i="24"/>
  <c r="EO156" i="24" s="1"/>
  <c r="CM151" i="24"/>
  <c r="EO151" i="24" s="1"/>
  <c r="CM146" i="24"/>
  <c r="EO146" i="24" s="1"/>
  <c r="CM134" i="24"/>
  <c r="EO134" i="24" s="1"/>
  <c r="CM128" i="24"/>
  <c r="EO128" i="24" s="1"/>
  <c r="CM123" i="24"/>
  <c r="EO123" i="24" s="1"/>
  <c r="CM117" i="24"/>
  <c r="EO117" i="24" s="1"/>
  <c r="CM205" i="24"/>
  <c r="EO205" i="24" s="1"/>
  <c r="CM199" i="24"/>
  <c r="EO199" i="24" s="1"/>
  <c r="CM194" i="24"/>
  <c r="EO194" i="24" s="1"/>
  <c r="CM189" i="24"/>
  <c r="EO189" i="24" s="1"/>
  <c r="CM183" i="24"/>
  <c r="EO183" i="24" s="1"/>
  <c r="CM177" i="24"/>
  <c r="EO177" i="24" s="1"/>
  <c r="CM171" i="24"/>
  <c r="EO171" i="24" s="1"/>
  <c r="CM166" i="24"/>
  <c r="EO166" i="24" s="1"/>
  <c r="CM155" i="24"/>
  <c r="EO155" i="24" s="1"/>
  <c r="CM150" i="24"/>
  <c r="EO150" i="24" s="1"/>
  <c r="CM145" i="24"/>
  <c r="EO145" i="24" s="1"/>
  <c r="CM139" i="24"/>
  <c r="EO139" i="24" s="1"/>
  <c r="CM133" i="24"/>
  <c r="EO133" i="24" s="1"/>
  <c r="CM122" i="24"/>
  <c r="EO122" i="24" s="1"/>
  <c r="CM116" i="24"/>
  <c r="EO116" i="24" s="1"/>
  <c r="CM112" i="24"/>
  <c r="EO112" i="24" s="1"/>
  <c r="CM210" i="24"/>
  <c r="EO210" i="24" s="1"/>
  <c r="CM198" i="24"/>
  <c r="EO198" i="24" s="1"/>
  <c r="CM193" i="24"/>
  <c r="EO193" i="24" s="1"/>
  <c r="CM188" i="24"/>
  <c r="EO188" i="24" s="1"/>
  <c r="CM182" i="24"/>
  <c r="EO182" i="24" s="1"/>
  <c r="CM165" i="24"/>
  <c r="EO165" i="24" s="1"/>
  <c r="CM160" i="24"/>
  <c r="EO160" i="24" s="1"/>
  <c r="CM132" i="24"/>
  <c r="EO132" i="24" s="1"/>
  <c r="CM127" i="24"/>
  <c r="EO127" i="24" s="1"/>
  <c r="CM111" i="24"/>
  <c r="EO111" i="24" s="1"/>
  <c r="CL216" i="25"/>
  <c r="DL216" i="25" s="1"/>
  <c r="CL110" i="25"/>
  <c r="DL110" i="25" s="1"/>
  <c r="CL5" i="25"/>
  <c r="DL5" i="25" s="1"/>
  <c r="CL5" i="24"/>
  <c r="CL216" i="24"/>
  <c r="CL110" i="24"/>
  <c r="CR81" i="25"/>
  <c r="CR16" i="25"/>
  <c r="CR84" i="25"/>
  <c r="CR13" i="25"/>
  <c r="CR34" i="25"/>
  <c r="CR46" i="25"/>
  <c r="CR54" i="25"/>
  <c r="CR122" i="25"/>
  <c r="CR53" i="25"/>
  <c r="CR15" i="25"/>
  <c r="CR19" i="25"/>
  <c r="CR77" i="25"/>
  <c r="CR27" i="25"/>
  <c r="CR40" i="25"/>
  <c r="CR100" i="25"/>
  <c r="CO37" i="24"/>
  <c r="CQ78" i="24"/>
  <c r="CR78" i="24" s="1"/>
  <c r="CT78" i="24" s="1"/>
  <c r="CQ62" i="24"/>
  <c r="CR62" i="24" s="1"/>
  <c r="CT62" i="24" s="1"/>
  <c r="CQ38" i="24"/>
  <c r="CR38" i="24" s="1"/>
  <c r="CT38" i="24" s="1"/>
  <c r="CQ12" i="24"/>
  <c r="CR12" i="24" s="1"/>
  <c r="CT12" i="24" s="1"/>
  <c r="CO79" i="24"/>
  <c r="CQ87" i="24"/>
  <c r="CR87" i="24" s="1"/>
  <c r="CT87" i="24" s="1"/>
  <c r="CO23" i="24"/>
  <c r="CQ57" i="24"/>
  <c r="CR57" i="24" s="1"/>
  <c r="CT57" i="24" s="1"/>
  <c r="CQ33" i="24"/>
  <c r="CR33" i="24" s="1"/>
  <c r="CT33" i="24" s="1"/>
  <c r="CO52" i="24"/>
  <c r="CO25" i="24"/>
  <c r="CR66" i="25"/>
  <c r="CR10" i="25"/>
  <c r="CR21" i="25"/>
  <c r="CR26" i="25"/>
  <c r="CR44" i="25"/>
  <c r="CR79" i="25"/>
  <c r="CR85" i="25"/>
  <c r="CR91" i="25"/>
  <c r="CR52" i="25"/>
  <c r="CR31" i="25"/>
  <c r="CR51" i="25"/>
  <c r="CR48" i="25"/>
  <c r="CO24" i="24"/>
  <c r="CO5" i="24"/>
  <c r="CQ20" i="24"/>
  <c r="CR20" i="24" s="1"/>
  <c r="CT20" i="24" s="1"/>
  <c r="CQ46" i="24"/>
  <c r="CR46" i="24" s="1"/>
  <c r="CT46" i="24" s="1"/>
  <c r="CQ92" i="24"/>
  <c r="CR92" i="24" s="1"/>
  <c r="CT92" i="24" s="1"/>
  <c r="CQ85" i="24"/>
  <c r="CR85" i="24" s="1"/>
  <c r="CT85" i="24" s="1"/>
  <c r="CO28" i="24"/>
  <c r="CO51" i="24"/>
  <c r="CQ70" i="24"/>
  <c r="CR70" i="24" s="1"/>
  <c r="CT70" i="24" s="1"/>
  <c r="CQ71" i="24"/>
  <c r="CR71" i="24" s="1"/>
  <c r="CT71" i="24" s="1"/>
  <c r="CQ65" i="24"/>
  <c r="CR65" i="24" s="1"/>
  <c r="CT65" i="24" s="1"/>
  <c r="CQ49" i="24"/>
  <c r="CR49" i="24" s="1"/>
  <c r="CT49" i="24" s="1"/>
  <c r="CQ35" i="24"/>
  <c r="CR35" i="24" s="1"/>
  <c r="CT35" i="24" s="1"/>
  <c r="CQ22" i="24"/>
  <c r="CR22" i="24" s="1"/>
  <c r="CT22" i="24" s="1"/>
  <c r="CO39" i="24"/>
  <c r="CO93" i="24"/>
  <c r="CR64" i="25"/>
  <c r="CR96" i="25"/>
  <c r="CR18" i="25"/>
  <c r="CR80" i="25"/>
  <c r="CR65" i="25"/>
  <c r="CR73" i="25"/>
  <c r="CR30" i="25"/>
  <c r="CR62" i="25"/>
  <c r="CR75" i="25"/>
  <c r="CR17" i="25"/>
  <c r="CR76" i="25"/>
  <c r="CR67" i="25"/>
  <c r="CR23" i="25"/>
  <c r="CR43" i="25"/>
  <c r="CR11" i="25"/>
  <c r="CQ103" i="24"/>
  <c r="CR103" i="24" s="1"/>
  <c r="CT103" i="24" s="1"/>
  <c r="CQ14" i="24"/>
  <c r="CR14" i="24" s="1"/>
  <c r="CT14" i="24" s="1"/>
  <c r="CO77" i="24"/>
  <c r="CO34" i="24"/>
  <c r="CQ91" i="24"/>
  <c r="CR91" i="24" s="1"/>
  <c r="CT91" i="24" s="1"/>
  <c r="CO68" i="24"/>
  <c r="CO102" i="24"/>
  <c r="CO67" i="24"/>
  <c r="CO14" i="24"/>
  <c r="CO59" i="24"/>
  <c r="CO21" i="24"/>
  <c r="CO71" i="24"/>
  <c r="CQ17" i="24"/>
  <c r="CR17" i="24" s="1"/>
  <c r="CT17" i="24" s="1"/>
  <c r="CO41" i="24"/>
  <c r="CO94" i="24"/>
  <c r="CO10" i="24"/>
  <c r="CR49" i="25"/>
  <c r="CR102" i="25"/>
  <c r="CR70" i="25"/>
  <c r="CR9" i="25"/>
  <c r="CR72" i="25"/>
  <c r="CR14" i="25"/>
  <c r="CR63" i="25"/>
  <c r="CR45" i="25"/>
  <c r="CR28" i="25"/>
  <c r="CR37" i="25"/>
  <c r="CO96" i="24"/>
  <c r="CO81" i="24"/>
  <c r="CQ42" i="24"/>
  <c r="CR42" i="24" s="1"/>
  <c r="CT42" i="24" s="1"/>
  <c r="CQ27" i="24"/>
  <c r="CR27" i="24" s="1"/>
  <c r="CT27" i="24" s="1"/>
  <c r="CO62" i="24"/>
  <c r="CO55" i="24"/>
  <c r="CO84" i="24"/>
  <c r="CQ86" i="24"/>
  <c r="CR86" i="24" s="1"/>
  <c r="CT86" i="24" s="1"/>
  <c r="CO60" i="24"/>
  <c r="CQ73" i="24"/>
  <c r="CR73" i="24" s="1"/>
  <c r="CT73" i="24" s="1"/>
  <c r="CQ82" i="24"/>
  <c r="CR82" i="24" s="1"/>
  <c r="CT82" i="24" s="1"/>
  <c r="CR42" i="25"/>
  <c r="CR38" i="25"/>
  <c r="CR61" i="25"/>
  <c r="CR105" i="25"/>
  <c r="CR68" i="25"/>
  <c r="CR6" i="25"/>
  <c r="CX6" i="25" s="1"/>
  <c r="CY6" i="25" s="1"/>
  <c r="CR41" i="25"/>
  <c r="CR59" i="25"/>
  <c r="CR94" i="25"/>
  <c r="CR78" i="25"/>
  <c r="CR47" i="25"/>
  <c r="CR83" i="25"/>
  <c r="CO89" i="24"/>
  <c r="CQ5" i="24"/>
  <c r="CY5" i="24" s="1"/>
  <c r="CO15" i="24"/>
  <c r="CO88" i="24"/>
  <c r="CQ45" i="24"/>
  <c r="CR45" i="24" s="1"/>
  <c r="CT45" i="24" s="1"/>
  <c r="CQ105" i="24"/>
  <c r="CR105" i="24" s="1"/>
  <c r="CT105" i="24" s="1"/>
  <c r="CQ40" i="24"/>
  <c r="CR40" i="24" s="1"/>
  <c r="CT40" i="24" s="1"/>
  <c r="CQ68" i="24"/>
  <c r="CR68" i="24" s="1"/>
  <c r="CT68" i="24" s="1"/>
  <c r="CO33" i="24"/>
  <c r="CR35" i="25"/>
  <c r="CR101" i="25"/>
  <c r="CR57" i="25"/>
  <c r="CR60" i="25"/>
  <c r="CR97" i="25"/>
  <c r="CR92" i="25"/>
  <c r="CR25" i="25"/>
  <c r="CR88" i="25"/>
  <c r="CR58" i="25"/>
  <c r="CR56" i="25"/>
  <c r="CR32" i="25"/>
  <c r="CR12" i="25"/>
  <c r="CR71" i="25"/>
  <c r="CR87" i="25"/>
  <c r="CR36" i="25"/>
  <c r="CR24" i="25"/>
  <c r="CR39" i="25"/>
  <c r="CR95" i="25"/>
  <c r="CR55" i="25"/>
  <c r="CQ74" i="24"/>
  <c r="CR74" i="24" s="1"/>
  <c r="CT74" i="24" s="1"/>
  <c r="CO30" i="24"/>
  <c r="CQ37" i="24"/>
  <c r="CR37" i="24" s="1"/>
  <c r="CT37" i="24" s="1"/>
  <c r="CO100" i="24"/>
  <c r="CO58" i="24"/>
  <c r="CO29" i="24"/>
  <c r="CO19" i="24"/>
  <c r="CO17" i="24"/>
  <c r="CQ96" i="24"/>
  <c r="CR96" i="24" s="1"/>
  <c r="CT96" i="24" s="1"/>
  <c r="CQ48" i="24"/>
  <c r="CR48" i="24" s="1"/>
  <c r="CT48" i="24" s="1"/>
  <c r="CO80" i="24"/>
  <c r="CO104" i="24"/>
  <c r="CO99" i="24"/>
  <c r="CO54" i="24"/>
  <c r="CQ81" i="24"/>
  <c r="CR81" i="24" s="1"/>
  <c r="CT81" i="24" s="1"/>
  <c r="CO50" i="24"/>
  <c r="CO87" i="24"/>
  <c r="CR50" i="25"/>
  <c r="CR69" i="25"/>
  <c r="CQ11" i="24"/>
  <c r="CR11" i="24" s="1"/>
  <c r="CT11" i="24" s="1"/>
  <c r="CO82" i="24"/>
  <c r="CQ39" i="24"/>
  <c r="CR39" i="24" s="1"/>
  <c r="CT39" i="24" s="1"/>
  <c r="CQ60" i="24"/>
  <c r="CR60" i="24" s="1"/>
  <c r="CT60" i="24" s="1"/>
  <c r="CO11" i="24"/>
  <c r="CQ56" i="24"/>
  <c r="CR56" i="24" s="1"/>
  <c r="CT56" i="24" s="1"/>
  <c r="CQ13" i="24"/>
  <c r="CR13" i="24" s="1"/>
  <c r="CT13" i="24" s="1"/>
  <c r="CO66" i="24"/>
  <c r="CO91" i="24"/>
  <c r="CQ94" i="24"/>
  <c r="CR94" i="24" s="1"/>
  <c r="CT94" i="24" s="1"/>
  <c r="CQ10" i="24"/>
  <c r="CR10" i="24" s="1"/>
  <c r="CT10" i="24" s="1"/>
  <c r="CO78" i="24"/>
  <c r="CQ30" i="24"/>
  <c r="CR30" i="24" s="1"/>
  <c r="CT30" i="24" s="1"/>
  <c r="CQ26" i="24"/>
  <c r="CR26" i="24" s="1"/>
  <c r="CT26" i="24" s="1"/>
  <c r="CO98" i="24"/>
  <c r="CQ34" i="24"/>
  <c r="CR34" i="24" s="1"/>
  <c r="CT34" i="24" s="1"/>
  <c r="CO76" i="24"/>
  <c r="CO13" i="24"/>
  <c r="CR89" i="25"/>
  <c r="CO6" i="24"/>
  <c r="CO43" i="24"/>
  <c r="CQ51" i="24"/>
  <c r="CR51" i="24" s="1"/>
  <c r="CT51" i="24" s="1"/>
  <c r="CO72" i="24"/>
  <c r="CQ24" i="24"/>
  <c r="CR24" i="24" s="1"/>
  <c r="CT24" i="24" s="1"/>
  <c r="CQ61" i="24"/>
  <c r="CR61" i="24" s="1"/>
  <c r="CT61" i="24" s="1"/>
  <c r="CO9" i="24"/>
  <c r="CR20" i="25"/>
  <c r="CQ104" i="24"/>
  <c r="CR104" i="24" s="1"/>
  <c r="CT104" i="24" s="1"/>
  <c r="CO44" i="24"/>
  <c r="CQ23" i="24"/>
  <c r="CR23" i="24" s="1"/>
  <c r="CT23" i="24" s="1"/>
  <c r="CQ53" i="24"/>
  <c r="CR53" i="24" s="1"/>
  <c r="CT53" i="24" s="1"/>
  <c r="CO69" i="24"/>
  <c r="CQ44" i="24"/>
  <c r="CR44" i="24" s="1"/>
  <c r="CT44" i="24" s="1"/>
  <c r="CO26" i="24"/>
  <c r="CQ31" i="24"/>
  <c r="CR31" i="24" s="1"/>
  <c r="CT31" i="24" s="1"/>
  <c r="CQ7" i="24"/>
  <c r="CR7" i="24" s="1"/>
  <c r="CT7" i="24" s="1"/>
  <c r="CR22" i="25"/>
  <c r="CR82" i="25"/>
  <c r="CR33" i="25"/>
  <c r="CR98" i="25"/>
  <c r="CO57" i="24"/>
  <c r="CO40" i="24"/>
  <c r="CO45" i="24"/>
  <c r="CQ76" i="24"/>
  <c r="CR76" i="24" s="1"/>
  <c r="CT76" i="24" s="1"/>
  <c r="CQ66" i="24"/>
  <c r="CR66" i="24" s="1"/>
  <c r="CT66" i="24" s="1"/>
  <c r="CQ88" i="24"/>
  <c r="CR88" i="24" s="1"/>
  <c r="CT88" i="24" s="1"/>
  <c r="CO42" i="24"/>
  <c r="CO16" i="24"/>
  <c r="CQ90" i="24"/>
  <c r="CR90" i="24" s="1"/>
  <c r="CT90" i="24" s="1"/>
  <c r="CO65" i="24"/>
  <c r="CO64" i="24"/>
  <c r="CQ47" i="24"/>
  <c r="CR47" i="24" s="1"/>
  <c r="CT47" i="24" s="1"/>
  <c r="CO8" i="24"/>
  <c r="CQ95" i="24"/>
  <c r="CR95" i="24" s="1"/>
  <c r="CT95" i="24" s="1"/>
  <c r="CQ32" i="24"/>
  <c r="CR32" i="24" s="1"/>
  <c r="CT32" i="24" s="1"/>
  <c r="CR7" i="25"/>
  <c r="CX7" i="25" s="1"/>
  <c r="CY7" i="25" s="1"/>
  <c r="CQ25" i="24"/>
  <c r="CR25" i="24" s="1"/>
  <c r="CT25" i="24" s="1"/>
  <c r="CO31" i="24"/>
  <c r="CQ15" i="24"/>
  <c r="CR15" i="24" s="1"/>
  <c r="CT15" i="24" s="1"/>
  <c r="CQ99" i="24"/>
  <c r="CR99" i="24" s="1"/>
  <c r="CT99" i="24" s="1"/>
  <c r="CQ100" i="24"/>
  <c r="CR100" i="24" s="1"/>
  <c r="CT100" i="24" s="1"/>
  <c r="CO12" i="24"/>
  <c r="CO85" i="24"/>
  <c r="CO7" i="24"/>
  <c r="CO105" i="24"/>
  <c r="CR104" i="25"/>
  <c r="CQ75" i="24"/>
  <c r="CR75" i="24" s="1"/>
  <c r="CT75" i="24" s="1"/>
  <c r="CQ16" i="24"/>
  <c r="CR16" i="24" s="1"/>
  <c r="CT16" i="24" s="1"/>
  <c r="CO74" i="24"/>
  <c r="CO97" i="24"/>
  <c r="CQ102" i="24"/>
  <c r="CR102" i="24" s="1"/>
  <c r="CT102" i="24" s="1"/>
  <c r="CR99" i="25"/>
  <c r="CR103" i="25"/>
  <c r="CO32" i="24"/>
  <c r="CQ36" i="24"/>
  <c r="CR36" i="24" s="1"/>
  <c r="CT36" i="24" s="1"/>
  <c r="CQ19" i="24"/>
  <c r="CR19" i="24" s="1"/>
  <c r="CT19" i="24" s="1"/>
  <c r="CO27" i="24"/>
  <c r="CQ55" i="24"/>
  <c r="CR55" i="24" s="1"/>
  <c r="CT55" i="24" s="1"/>
  <c r="CO95" i="24"/>
  <c r="CQ54" i="24"/>
  <c r="CR54" i="24" s="1"/>
  <c r="CT54" i="24" s="1"/>
  <c r="CO75" i="24"/>
  <c r="CO103" i="24"/>
  <c r="CQ64" i="24"/>
  <c r="CR64" i="24" s="1"/>
  <c r="CT64" i="24" s="1"/>
  <c r="CQ77" i="24"/>
  <c r="CR77" i="24" s="1"/>
  <c r="CT77" i="24" s="1"/>
  <c r="CO86" i="24"/>
  <c r="CO70" i="24"/>
  <c r="CO46" i="24"/>
  <c r="CQ97" i="24"/>
  <c r="CR97" i="24" s="1"/>
  <c r="CT97" i="24" s="1"/>
  <c r="CQ21" i="24"/>
  <c r="CR21" i="24" s="1"/>
  <c r="CT21" i="24" s="1"/>
  <c r="CO83" i="24"/>
  <c r="CQ89" i="24"/>
  <c r="CR89" i="24" s="1"/>
  <c r="CT89" i="24" s="1"/>
  <c r="CO22" i="24"/>
  <c r="CQ50" i="24"/>
  <c r="CR50" i="24" s="1"/>
  <c r="CT50" i="24" s="1"/>
  <c r="CO36" i="24"/>
  <c r="CO47" i="24"/>
  <c r="CR93" i="25"/>
  <c r="CR74" i="25"/>
  <c r="CQ6" i="24"/>
  <c r="CR6" i="24" s="1"/>
  <c r="CT6" i="24" s="1"/>
  <c r="CQ83" i="24"/>
  <c r="CR83" i="24" s="1"/>
  <c r="CT83" i="24" s="1"/>
  <c r="CQ80" i="24"/>
  <c r="CR80" i="24" s="1"/>
  <c r="CT80" i="24" s="1"/>
  <c r="CQ52" i="24"/>
  <c r="CR52" i="24" s="1"/>
  <c r="CT52" i="24" s="1"/>
  <c r="CQ98" i="24"/>
  <c r="CR98" i="24" s="1"/>
  <c r="CT98" i="24" s="1"/>
  <c r="CQ59" i="24"/>
  <c r="CR59" i="24" s="1"/>
  <c r="CT59" i="24" s="1"/>
  <c r="CO38" i="24"/>
  <c r="CO90" i="24"/>
  <c r="CO53" i="24"/>
  <c r="CR8" i="25"/>
  <c r="CR86" i="25"/>
  <c r="CQ58" i="24"/>
  <c r="CR58" i="24" s="1"/>
  <c r="CT58" i="24" s="1"/>
  <c r="CO61" i="24"/>
  <c r="CQ43" i="24"/>
  <c r="CR43" i="24" s="1"/>
  <c r="CT43" i="24" s="1"/>
  <c r="CQ84" i="24"/>
  <c r="CR84" i="24" s="1"/>
  <c r="CT84" i="24" s="1"/>
  <c r="CO35" i="24"/>
  <c r="CQ41" i="24"/>
  <c r="CR41" i="24" s="1"/>
  <c r="CT41" i="24" s="1"/>
  <c r="CQ29" i="24"/>
  <c r="CR29" i="24" s="1"/>
  <c r="CT29" i="24" s="1"/>
  <c r="CO48" i="24"/>
  <c r="CQ93" i="24"/>
  <c r="CR93" i="24" s="1"/>
  <c r="CT93" i="24" s="1"/>
  <c r="CO56" i="24"/>
  <c r="CQ18" i="24"/>
  <c r="CR18" i="24" s="1"/>
  <c r="CT18" i="24" s="1"/>
  <c r="CO101" i="24"/>
  <c r="CO20" i="24"/>
  <c r="CO18" i="24"/>
  <c r="CQ67" i="24"/>
  <c r="CR67" i="24" s="1"/>
  <c r="CT67" i="24" s="1"/>
  <c r="CR29" i="25"/>
  <c r="CR90" i="25"/>
  <c r="CQ101" i="24"/>
  <c r="CR101" i="24" s="1"/>
  <c r="CT101" i="24" s="1"/>
  <c r="CQ69" i="24"/>
  <c r="CR69" i="24" s="1"/>
  <c r="CT69" i="24" s="1"/>
  <c r="CQ9" i="24"/>
  <c r="CR9" i="24" s="1"/>
  <c r="CT9" i="24" s="1"/>
  <c r="CO73" i="24"/>
  <c r="CO63" i="24"/>
  <c r="CQ8" i="24"/>
  <c r="CR8" i="24" s="1"/>
  <c r="CT8" i="24" s="1"/>
  <c r="CQ63" i="24"/>
  <c r="CR63" i="24" s="1"/>
  <c r="CT63" i="24" s="1"/>
  <c r="CQ72" i="24"/>
  <c r="CR72" i="24" s="1"/>
  <c r="CT72" i="24" s="1"/>
  <c r="CQ28" i="24"/>
  <c r="CR28" i="24" s="1"/>
  <c r="CT28" i="24" s="1"/>
  <c r="CO92" i="24"/>
  <c r="CO49" i="24"/>
  <c r="CQ79" i="24"/>
  <c r="CR79" i="24" s="1"/>
  <c r="CT79" i="24" s="1"/>
  <c r="CL6" i="25"/>
  <c r="DL6" i="25" s="1"/>
  <c r="CL7" i="25"/>
  <c r="DL7" i="25" s="1"/>
  <c r="CN309" i="25"/>
  <c r="CN301" i="25"/>
  <c r="CN293" i="25"/>
  <c r="CN285" i="25"/>
  <c r="CN277" i="25"/>
  <c r="CN269" i="25"/>
  <c r="CN261" i="25"/>
  <c r="CN253" i="25"/>
  <c r="CN245" i="25"/>
  <c r="CN237" i="25"/>
  <c r="CN229" i="25"/>
  <c r="CN221" i="25"/>
  <c r="CN262" i="25"/>
  <c r="CN246" i="25"/>
  <c r="CN222" i="25"/>
  <c r="CN316" i="25"/>
  <c r="CN308" i="25"/>
  <c r="CN300" i="25"/>
  <c r="CN292" i="25"/>
  <c r="CN284" i="25"/>
  <c r="CN276" i="25"/>
  <c r="CN268" i="25"/>
  <c r="CN260" i="25"/>
  <c r="CN252" i="25"/>
  <c r="CN244" i="25"/>
  <c r="CN236" i="25"/>
  <c r="CN228" i="25"/>
  <c r="CN220" i="25"/>
  <c r="CN278" i="25"/>
  <c r="CN254" i="25"/>
  <c r="CN315" i="25"/>
  <c r="CN307" i="25"/>
  <c r="CN299" i="25"/>
  <c r="CN291" i="25"/>
  <c r="CN283" i="25"/>
  <c r="CN275" i="25"/>
  <c r="CN267" i="25"/>
  <c r="CN259" i="25"/>
  <c r="CN251" i="25"/>
  <c r="CN243" i="25"/>
  <c r="CN235" i="25"/>
  <c r="CN227" i="25"/>
  <c r="CN219" i="25"/>
  <c r="CN270" i="25"/>
  <c r="CN238" i="25"/>
  <c r="CN314" i="25"/>
  <c r="CN306" i="25"/>
  <c r="CN298" i="25"/>
  <c r="CN290" i="25"/>
  <c r="CN282" i="25"/>
  <c r="CN274" i="25"/>
  <c r="CN266" i="25"/>
  <c r="CN258" i="25"/>
  <c r="CN250" i="25"/>
  <c r="CN242" i="25"/>
  <c r="CN234" i="25"/>
  <c r="CN226" i="25"/>
  <c r="CN218" i="25"/>
  <c r="CN294" i="25"/>
  <c r="CN313" i="25"/>
  <c r="CN305" i="25"/>
  <c r="CN297" i="25"/>
  <c r="CN289" i="25"/>
  <c r="CN281" i="25"/>
  <c r="CN273" i="25"/>
  <c r="CN265" i="25"/>
  <c r="CN257" i="25"/>
  <c r="CN249" i="25"/>
  <c r="CN241" i="25"/>
  <c r="CN233" i="25"/>
  <c r="CN225" i="25"/>
  <c r="CN217" i="25"/>
  <c r="CN286" i="25"/>
  <c r="CN312" i="25"/>
  <c r="CN304" i="25"/>
  <c r="CN296" i="25"/>
  <c r="CN288" i="25"/>
  <c r="CN280" i="25"/>
  <c r="CN272" i="25"/>
  <c r="CN264" i="25"/>
  <c r="CN256" i="25"/>
  <c r="CN248" i="25"/>
  <c r="CN240" i="25"/>
  <c r="CN232" i="25"/>
  <c r="CN224" i="25"/>
  <c r="CN302" i="25"/>
  <c r="CN230" i="25"/>
  <c r="CN311" i="25"/>
  <c r="CN303" i="25"/>
  <c r="CN295" i="25"/>
  <c r="CN287" i="25"/>
  <c r="CN279" i="25"/>
  <c r="CN271" i="25"/>
  <c r="CN263" i="25"/>
  <c r="CN255" i="25"/>
  <c r="CN247" i="25"/>
  <c r="CN239" i="25"/>
  <c r="CN231" i="25"/>
  <c r="CN223" i="25"/>
  <c r="CN216" i="25"/>
  <c r="CN310" i="25"/>
  <c r="CM312" i="24"/>
  <c r="EO312" i="24" s="1"/>
  <c r="CM304" i="24"/>
  <c r="EO304" i="24" s="1"/>
  <c r="CM296" i="24"/>
  <c r="EO296" i="24" s="1"/>
  <c r="CM288" i="24"/>
  <c r="EO288" i="24" s="1"/>
  <c r="CM280" i="24"/>
  <c r="EO280" i="24" s="1"/>
  <c r="CM272" i="24"/>
  <c r="EO272" i="24" s="1"/>
  <c r="CM264" i="24"/>
  <c r="EO264" i="24" s="1"/>
  <c r="CM256" i="24"/>
  <c r="EO256" i="24" s="1"/>
  <c r="CM248" i="24"/>
  <c r="EO248" i="24" s="1"/>
  <c r="CM240" i="24"/>
  <c r="EO240" i="24" s="1"/>
  <c r="CM232" i="24"/>
  <c r="EO232" i="24" s="1"/>
  <c r="CM224" i="24"/>
  <c r="EO224" i="24" s="1"/>
  <c r="CM281" i="24"/>
  <c r="EO281" i="24" s="1"/>
  <c r="CM311" i="24"/>
  <c r="EO311" i="24" s="1"/>
  <c r="CM303" i="24"/>
  <c r="EO303" i="24" s="1"/>
  <c r="CM295" i="24"/>
  <c r="EO295" i="24" s="1"/>
  <c r="CM287" i="24"/>
  <c r="EO287" i="24" s="1"/>
  <c r="CM279" i="24"/>
  <c r="EO279" i="24" s="1"/>
  <c r="CM271" i="24"/>
  <c r="EO271" i="24" s="1"/>
  <c r="CM263" i="24"/>
  <c r="EO263" i="24" s="1"/>
  <c r="CM255" i="24"/>
  <c r="EO255" i="24" s="1"/>
  <c r="CM247" i="24"/>
  <c r="EO247" i="24" s="1"/>
  <c r="CM239" i="24"/>
  <c r="EO239" i="24" s="1"/>
  <c r="CM231" i="24"/>
  <c r="EO231" i="24" s="1"/>
  <c r="CM223" i="24"/>
  <c r="EO223" i="24" s="1"/>
  <c r="CM216" i="24"/>
  <c r="EO216" i="24" s="1"/>
  <c r="CM305" i="24"/>
  <c r="EO305" i="24" s="1"/>
  <c r="CM241" i="24"/>
  <c r="EO241" i="24" s="1"/>
  <c r="CM310" i="24"/>
  <c r="EO310" i="24" s="1"/>
  <c r="CM302" i="24"/>
  <c r="EO302" i="24" s="1"/>
  <c r="CM294" i="24"/>
  <c r="EO294" i="24" s="1"/>
  <c r="CM286" i="24"/>
  <c r="EO286" i="24" s="1"/>
  <c r="CM278" i="24"/>
  <c r="EO278" i="24" s="1"/>
  <c r="CM270" i="24"/>
  <c r="EO270" i="24" s="1"/>
  <c r="CM262" i="24"/>
  <c r="EO262" i="24" s="1"/>
  <c r="CM254" i="24"/>
  <c r="EO254" i="24" s="1"/>
  <c r="CM246" i="24"/>
  <c r="EO246" i="24" s="1"/>
  <c r="CM238" i="24"/>
  <c r="EO238" i="24" s="1"/>
  <c r="CM230" i="24"/>
  <c r="EO230" i="24" s="1"/>
  <c r="CM222" i="24"/>
  <c r="EO222" i="24" s="1"/>
  <c r="CM313" i="24"/>
  <c r="EO313" i="24" s="1"/>
  <c r="CM233" i="24"/>
  <c r="EO233" i="24" s="1"/>
  <c r="CM309" i="24"/>
  <c r="EO309" i="24" s="1"/>
  <c r="CM301" i="24"/>
  <c r="EO301" i="24" s="1"/>
  <c r="CM293" i="24"/>
  <c r="EO293" i="24" s="1"/>
  <c r="CM285" i="24"/>
  <c r="EO285" i="24" s="1"/>
  <c r="CM277" i="24"/>
  <c r="EO277" i="24" s="1"/>
  <c r="CM269" i="24"/>
  <c r="EO269" i="24" s="1"/>
  <c r="CM261" i="24"/>
  <c r="EO261" i="24" s="1"/>
  <c r="CM253" i="24"/>
  <c r="EO253" i="24" s="1"/>
  <c r="CM245" i="24"/>
  <c r="EO245" i="24" s="1"/>
  <c r="CM237" i="24"/>
  <c r="EO237" i="24" s="1"/>
  <c r="CM229" i="24"/>
  <c r="EO229" i="24" s="1"/>
  <c r="CM221" i="24"/>
  <c r="EO221" i="24" s="1"/>
  <c r="CM289" i="24"/>
  <c r="EO289" i="24" s="1"/>
  <c r="CM249" i="24"/>
  <c r="EO249" i="24" s="1"/>
  <c r="CM316" i="24"/>
  <c r="EO316" i="24" s="1"/>
  <c r="CM308" i="24"/>
  <c r="EO308" i="24" s="1"/>
  <c r="CM300" i="24"/>
  <c r="EO300" i="24" s="1"/>
  <c r="CM292" i="24"/>
  <c r="EO292" i="24" s="1"/>
  <c r="CM284" i="24"/>
  <c r="EO284" i="24" s="1"/>
  <c r="CM276" i="24"/>
  <c r="EO276" i="24" s="1"/>
  <c r="CM268" i="24"/>
  <c r="EO268" i="24" s="1"/>
  <c r="CM260" i="24"/>
  <c r="EO260" i="24" s="1"/>
  <c r="CM252" i="24"/>
  <c r="EO252" i="24" s="1"/>
  <c r="CM244" i="24"/>
  <c r="EO244" i="24" s="1"/>
  <c r="CM236" i="24"/>
  <c r="EO236" i="24" s="1"/>
  <c r="CM228" i="24"/>
  <c r="EO228" i="24" s="1"/>
  <c r="CM220" i="24"/>
  <c r="EO220" i="24" s="1"/>
  <c r="CM226" i="24"/>
  <c r="EO226" i="24" s="1"/>
  <c r="CM297" i="24"/>
  <c r="EO297" i="24" s="1"/>
  <c r="CM265" i="24"/>
  <c r="EO265" i="24" s="1"/>
  <c r="CM225" i="24"/>
  <c r="EO225" i="24" s="1"/>
  <c r="CM315" i="24"/>
  <c r="EO315" i="24" s="1"/>
  <c r="CM307" i="24"/>
  <c r="EO307" i="24" s="1"/>
  <c r="CM299" i="24"/>
  <c r="EO299" i="24" s="1"/>
  <c r="CM291" i="24"/>
  <c r="EO291" i="24" s="1"/>
  <c r="CM283" i="24"/>
  <c r="EO283" i="24" s="1"/>
  <c r="CM275" i="24"/>
  <c r="EO275" i="24" s="1"/>
  <c r="CM267" i="24"/>
  <c r="EO267" i="24" s="1"/>
  <c r="CM259" i="24"/>
  <c r="EO259" i="24" s="1"/>
  <c r="CM251" i="24"/>
  <c r="EO251" i="24" s="1"/>
  <c r="CM243" i="24"/>
  <c r="EO243" i="24" s="1"/>
  <c r="CM235" i="24"/>
  <c r="EO235" i="24" s="1"/>
  <c r="CM227" i="24"/>
  <c r="EO227" i="24" s="1"/>
  <c r="CM219" i="24"/>
  <c r="EO219" i="24" s="1"/>
  <c r="CM234" i="24"/>
  <c r="EO234" i="24" s="1"/>
  <c r="CM257" i="24"/>
  <c r="EO257" i="24" s="1"/>
  <c r="CM314" i="24"/>
  <c r="EO314" i="24" s="1"/>
  <c r="CM306" i="24"/>
  <c r="EO306" i="24" s="1"/>
  <c r="CM298" i="24"/>
  <c r="EO298" i="24" s="1"/>
  <c r="CM290" i="24"/>
  <c r="EO290" i="24" s="1"/>
  <c r="CM282" i="24"/>
  <c r="EO282" i="24" s="1"/>
  <c r="CM274" i="24"/>
  <c r="EO274" i="24" s="1"/>
  <c r="CM266" i="24"/>
  <c r="EO266" i="24" s="1"/>
  <c r="CM258" i="24"/>
  <c r="EO258" i="24" s="1"/>
  <c r="CM250" i="24"/>
  <c r="EO250" i="24" s="1"/>
  <c r="CM242" i="24"/>
  <c r="EO242" i="24" s="1"/>
  <c r="CM218" i="24"/>
  <c r="EO218" i="24" s="1"/>
  <c r="CM273" i="24"/>
  <c r="EO273" i="24" s="1"/>
  <c r="CM217" i="24"/>
  <c r="EO217" i="24" s="1"/>
  <c r="B16" i="29"/>
  <c r="B106" i="2"/>
  <c r="G11" i="2"/>
  <c r="Y14" i="2" s="1"/>
  <c r="Y19" i="2"/>
  <c r="B14" i="29"/>
  <c r="B147" i="2"/>
  <c r="M2" i="24"/>
  <c r="D43" i="16"/>
  <c r="K12" i="2"/>
  <c r="K11" i="2"/>
  <c r="BR5" i="24"/>
  <c r="B28" i="2"/>
  <c r="C43" i="16"/>
  <c r="B14" i="2"/>
  <c r="H110" i="25"/>
  <c r="H5" i="25"/>
  <c r="AH5" i="25" s="1"/>
  <c r="H216" i="25"/>
  <c r="B193" i="2"/>
  <c r="E39" i="1" s="1"/>
  <c r="B214" i="2"/>
  <c r="B210" i="2"/>
  <c r="B35" i="2"/>
  <c r="B157" i="2"/>
  <c r="H216" i="24"/>
  <c r="H110" i="24"/>
  <c r="E15" i="23"/>
  <c r="R15" i="23" s="1"/>
  <c r="E23" i="23"/>
  <c r="R23" i="23" s="1"/>
  <c r="E31" i="23"/>
  <c r="R31" i="23" s="1"/>
  <c r="E39" i="23"/>
  <c r="R39" i="23" s="1"/>
  <c r="E47" i="23"/>
  <c r="R47" i="23" s="1"/>
  <c r="E55" i="23"/>
  <c r="R55" i="23" s="1"/>
  <c r="E63" i="23"/>
  <c r="R63" i="23" s="1"/>
  <c r="E71" i="23"/>
  <c r="R71" i="23" s="1"/>
  <c r="E79" i="23"/>
  <c r="R79" i="23" s="1"/>
  <c r="E87" i="23"/>
  <c r="R87" i="23" s="1"/>
  <c r="E95" i="23"/>
  <c r="R95" i="23" s="1"/>
  <c r="E103" i="23"/>
  <c r="R103" i="23" s="1"/>
  <c r="E20" i="23"/>
  <c r="R20" i="23" s="1"/>
  <c r="E44" i="23"/>
  <c r="R44" i="23" s="1"/>
  <c r="E68" i="23"/>
  <c r="R68" i="23" s="1"/>
  <c r="E84" i="23"/>
  <c r="R84" i="23" s="1"/>
  <c r="E7" i="23"/>
  <c r="R7" i="23" s="1"/>
  <c r="E16" i="23"/>
  <c r="R16" i="23" s="1"/>
  <c r="E24" i="23"/>
  <c r="R24" i="23" s="1"/>
  <c r="E32" i="23"/>
  <c r="R32" i="23" s="1"/>
  <c r="E40" i="23"/>
  <c r="R40" i="23" s="1"/>
  <c r="E48" i="23"/>
  <c r="R48" i="23" s="1"/>
  <c r="E56" i="23"/>
  <c r="R56" i="23" s="1"/>
  <c r="E64" i="23"/>
  <c r="R64" i="23" s="1"/>
  <c r="E72" i="23"/>
  <c r="R72" i="23" s="1"/>
  <c r="E80" i="23"/>
  <c r="R80" i="23" s="1"/>
  <c r="E88" i="23"/>
  <c r="R88" i="23" s="1"/>
  <c r="E96" i="23"/>
  <c r="R96" i="23" s="1"/>
  <c r="E104" i="23"/>
  <c r="R104" i="23" s="1"/>
  <c r="E28" i="23"/>
  <c r="R28" i="23" s="1"/>
  <c r="E60" i="23"/>
  <c r="R60" i="23" s="1"/>
  <c r="E92" i="23"/>
  <c r="R92" i="23" s="1"/>
  <c r="E11" i="23"/>
  <c r="R11" i="23" s="1"/>
  <c r="E19" i="23"/>
  <c r="R19" i="23" s="1"/>
  <c r="E27" i="23"/>
  <c r="R27" i="23" s="1"/>
  <c r="E35" i="23"/>
  <c r="R35" i="23" s="1"/>
  <c r="E43" i="23"/>
  <c r="R43" i="23" s="1"/>
  <c r="E51" i="23"/>
  <c r="R51" i="23" s="1"/>
  <c r="E59" i="23"/>
  <c r="R59" i="23" s="1"/>
  <c r="E67" i="23"/>
  <c r="R67" i="23" s="1"/>
  <c r="E75" i="23"/>
  <c r="R75" i="23" s="1"/>
  <c r="E83" i="23"/>
  <c r="R83" i="23" s="1"/>
  <c r="E91" i="23"/>
  <c r="R91" i="23" s="1"/>
  <c r="E99" i="23"/>
  <c r="R99" i="23" s="1"/>
  <c r="E6" i="23"/>
  <c r="R6" i="23" s="1"/>
  <c r="E12" i="23"/>
  <c r="R12" i="23" s="1"/>
  <c r="E36" i="23"/>
  <c r="R36" i="23" s="1"/>
  <c r="E52" i="23"/>
  <c r="R52" i="23" s="1"/>
  <c r="E76" i="23"/>
  <c r="R76" i="23" s="1"/>
  <c r="E100" i="23"/>
  <c r="R100" i="23" s="1"/>
  <c r="E94" i="23"/>
  <c r="R94" i="23" s="1"/>
  <c r="E78" i="23"/>
  <c r="R78" i="23" s="1"/>
  <c r="E62" i="23"/>
  <c r="R62" i="23" s="1"/>
  <c r="E46" i="23"/>
  <c r="R46" i="23" s="1"/>
  <c r="E30" i="23"/>
  <c r="R30" i="23" s="1"/>
  <c r="E14" i="23"/>
  <c r="R14" i="23" s="1"/>
  <c r="E106" i="23"/>
  <c r="R106" i="23" s="1"/>
  <c r="E90" i="23"/>
  <c r="R90" i="23" s="1"/>
  <c r="E74" i="23"/>
  <c r="R74" i="23" s="1"/>
  <c r="E58" i="23"/>
  <c r="R58" i="23" s="1"/>
  <c r="E42" i="23"/>
  <c r="R42" i="23" s="1"/>
  <c r="E26" i="23"/>
  <c r="R26" i="23" s="1"/>
  <c r="E9" i="23"/>
  <c r="R9" i="23" s="1"/>
  <c r="E102" i="23"/>
  <c r="R102" i="23" s="1"/>
  <c r="E70" i="23"/>
  <c r="R70" i="23" s="1"/>
  <c r="E38" i="23"/>
  <c r="R38" i="23" s="1"/>
  <c r="E101" i="23"/>
  <c r="R101" i="23" s="1"/>
  <c r="E85" i="23"/>
  <c r="R85" i="23" s="1"/>
  <c r="E69" i="23"/>
  <c r="R69" i="23" s="1"/>
  <c r="E53" i="23"/>
  <c r="R53" i="23" s="1"/>
  <c r="E37" i="23"/>
  <c r="R37" i="23" s="1"/>
  <c r="E21" i="23"/>
  <c r="R21" i="23" s="1"/>
  <c r="E86" i="23"/>
  <c r="R86" i="23" s="1"/>
  <c r="E22" i="23"/>
  <c r="R22" i="23" s="1"/>
  <c r="E93" i="23"/>
  <c r="R93" i="23" s="1"/>
  <c r="E77" i="23"/>
  <c r="R77" i="23" s="1"/>
  <c r="E45" i="23"/>
  <c r="R45" i="23" s="1"/>
  <c r="E13" i="23"/>
  <c r="R13" i="23" s="1"/>
  <c r="E82" i="23"/>
  <c r="R82" i="23" s="1"/>
  <c r="E50" i="23"/>
  <c r="R50" i="23" s="1"/>
  <c r="E89" i="23"/>
  <c r="R89" i="23" s="1"/>
  <c r="E57" i="23"/>
  <c r="R57" i="23" s="1"/>
  <c r="E25" i="23"/>
  <c r="R25" i="23" s="1"/>
  <c r="E98" i="23"/>
  <c r="R98" i="23" s="1"/>
  <c r="E66" i="23"/>
  <c r="R66" i="23" s="1"/>
  <c r="E34" i="23"/>
  <c r="R34" i="23" s="1"/>
  <c r="E97" i="23"/>
  <c r="R97" i="23" s="1"/>
  <c r="E81" i="23"/>
  <c r="R81" i="23" s="1"/>
  <c r="E65" i="23"/>
  <c r="R65" i="23" s="1"/>
  <c r="E49" i="23"/>
  <c r="R49" i="23" s="1"/>
  <c r="E33" i="23"/>
  <c r="R33" i="23" s="1"/>
  <c r="E17" i="23"/>
  <c r="R17" i="23" s="1"/>
  <c r="E54" i="23"/>
  <c r="R54" i="23" s="1"/>
  <c r="E10" i="23"/>
  <c r="R10" i="23" s="1"/>
  <c r="E61" i="23"/>
  <c r="R61" i="23" s="1"/>
  <c r="E29" i="23"/>
  <c r="R29" i="23" s="1"/>
  <c r="E18" i="23"/>
  <c r="R18" i="23" s="1"/>
  <c r="E105" i="23"/>
  <c r="R105" i="23" s="1"/>
  <c r="E73" i="23"/>
  <c r="R73" i="23" s="1"/>
  <c r="E41" i="23"/>
  <c r="R41" i="23" s="1"/>
  <c r="E8" i="23"/>
  <c r="R8" i="23" s="1"/>
  <c r="D9" i="23"/>
  <c r="F9" i="23" s="1"/>
  <c r="D13" i="23"/>
  <c r="I13" i="23" s="1"/>
  <c r="D17" i="23"/>
  <c r="I17" i="23" s="1"/>
  <c r="D21" i="23"/>
  <c r="D25" i="23"/>
  <c r="I25" i="23" s="1"/>
  <c r="D29" i="23"/>
  <c r="D33" i="23"/>
  <c r="F33" i="23" s="1"/>
  <c r="D37" i="23"/>
  <c r="D41" i="23"/>
  <c r="F41" i="23" s="1"/>
  <c r="D45" i="23"/>
  <c r="D49" i="23"/>
  <c r="I49" i="23" s="1"/>
  <c r="D10" i="23"/>
  <c r="I10" i="23" s="1"/>
  <c r="D14" i="23"/>
  <c r="I14" i="23" s="1"/>
  <c r="D18" i="23"/>
  <c r="D22" i="23"/>
  <c r="I22" i="23" s="1"/>
  <c r="D26" i="23"/>
  <c r="D30" i="23"/>
  <c r="I30" i="23" s="1"/>
  <c r="D34" i="23"/>
  <c r="D38" i="23"/>
  <c r="F38" i="23" s="1"/>
  <c r="D42" i="23"/>
  <c r="D46" i="23"/>
  <c r="I46" i="23" s="1"/>
  <c r="D50" i="23"/>
  <c r="D54" i="23"/>
  <c r="I54" i="23" s="1"/>
  <c r="D58" i="23"/>
  <c r="D62" i="23"/>
  <c r="F62" i="23" s="1"/>
  <c r="D66" i="23"/>
  <c r="D70" i="23"/>
  <c r="F70" i="23" s="1"/>
  <c r="D74" i="23"/>
  <c r="D78" i="23"/>
  <c r="F78" i="23" s="1"/>
  <c r="D82" i="23"/>
  <c r="D86" i="23"/>
  <c r="F86" i="23" s="1"/>
  <c r="D90" i="23"/>
  <c r="D94" i="23"/>
  <c r="I94" i="23" s="1"/>
  <c r="D98" i="23"/>
  <c r="F98" i="23" s="1"/>
  <c r="D102" i="23"/>
  <c r="I102" i="23" s="1"/>
  <c r="D106" i="23"/>
  <c r="F106" i="23" s="1"/>
  <c r="D16" i="23"/>
  <c r="F16" i="23" s="1"/>
  <c r="D24" i="23"/>
  <c r="D32" i="23"/>
  <c r="I32" i="23" s="1"/>
  <c r="D40" i="23"/>
  <c r="D48" i="23"/>
  <c r="F48" i="23" s="1"/>
  <c r="D55" i="23"/>
  <c r="D60" i="23"/>
  <c r="I60" i="23" s="1"/>
  <c r="D65" i="23"/>
  <c r="I65" i="23" s="1"/>
  <c r="D71" i="23"/>
  <c r="I71" i="23" s="1"/>
  <c r="D76" i="23"/>
  <c r="F76" i="23" s="1"/>
  <c r="D81" i="23"/>
  <c r="I81" i="23" s="1"/>
  <c r="D87" i="23"/>
  <c r="D92" i="23"/>
  <c r="I92" i="23" s="1"/>
  <c r="D97" i="23"/>
  <c r="D103" i="23"/>
  <c r="I103" i="23" s="1"/>
  <c r="D7" i="23"/>
  <c r="F7" i="23" s="1"/>
  <c r="D23" i="23"/>
  <c r="F23" i="23" s="1"/>
  <c r="D39" i="23"/>
  <c r="F39" i="23" s="1"/>
  <c r="D53" i="23"/>
  <c r="I53" i="23" s="1"/>
  <c r="D64" i="23"/>
  <c r="D75" i="23"/>
  <c r="F75" i="23" s="1"/>
  <c r="D85" i="23"/>
  <c r="D96" i="23"/>
  <c r="F96" i="23" s="1"/>
  <c r="D8" i="23"/>
  <c r="D11" i="23"/>
  <c r="F11" i="23" s="1"/>
  <c r="D19" i="23"/>
  <c r="D27" i="23"/>
  <c r="F27" i="23" s="1"/>
  <c r="D35" i="23"/>
  <c r="D43" i="23"/>
  <c r="F43" i="23" s="1"/>
  <c r="D51" i="23"/>
  <c r="D56" i="23"/>
  <c r="F56" i="23" s="1"/>
  <c r="D61" i="23"/>
  <c r="I61" i="23" s="1"/>
  <c r="D67" i="23"/>
  <c r="I67" i="23" s="1"/>
  <c r="D72" i="23"/>
  <c r="D77" i="23"/>
  <c r="I77" i="23" s="1"/>
  <c r="D83" i="23"/>
  <c r="D88" i="23"/>
  <c r="I88" i="23" s="1"/>
  <c r="D93" i="23"/>
  <c r="D99" i="23"/>
  <c r="F99" i="23" s="1"/>
  <c r="D104" i="23"/>
  <c r="D6" i="23"/>
  <c r="I6" i="23" s="1"/>
  <c r="D12" i="23"/>
  <c r="I12" i="23" s="1"/>
  <c r="D20" i="23"/>
  <c r="I20" i="23" s="1"/>
  <c r="D28" i="23"/>
  <c r="D36" i="23"/>
  <c r="F36" i="23" s="1"/>
  <c r="D44" i="23"/>
  <c r="F44" i="23" s="1"/>
  <c r="D52" i="23"/>
  <c r="I52" i="23" s="1"/>
  <c r="D57" i="23"/>
  <c r="D63" i="23"/>
  <c r="I63" i="23" s="1"/>
  <c r="D68" i="23"/>
  <c r="D73" i="23"/>
  <c r="I73" i="23" s="1"/>
  <c r="D79" i="23"/>
  <c r="F79" i="23" s="1"/>
  <c r="D84" i="23"/>
  <c r="I84" i="23" s="1"/>
  <c r="D89" i="23"/>
  <c r="F89" i="23" s="1"/>
  <c r="D95" i="23"/>
  <c r="I95" i="23" s="1"/>
  <c r="D100" i="23"/>
  <c r="D105" i="23"/>
  <c r="I105" i="23" s="1"/>
  <c r="D15" i="23"/>
  <c r="D31" i="23"/>
  <c r="F31" i="23" s="1"/>
  <c r="D47" i="23"/>
  <c r="D59" i="23"/>
  <c r="F59" i="23" s="1"/>
  <c r="D69" i="23"/>
  <c r="F69" i="23" s="1"/>
  <c r="D80" i="23"/>
  <c r="I80" i="23" s="1"/>
  <c r="D91" i="23"/>
  <c r="D101" i="23"/>
  <c r="I101" i="23" s="1"/>
  <c r="B10" i="19"/>
  <c r="D10" i="19" s="1"/>
  <c r="CJ212" i="25" s="1"/>
  <c r="I16" i="8"/>
  <c r="J16" i="8" s="1"/>
  <c r="D181" i="2" s="1"/>
  <c r="B182" i="2" s="1"/>
  <c r="B11" i="19"/>
  <c r="D11" i="19" s="1"/>
  <c r="I4" i="8" s="1"/>
  <c r="J4" i="8" s="1"/>
  <c r="B237" i="2"/>
  <c r="B3" i="8"/>
  <c r="B159" i="8" s="1"/>
  <c r="B158" i="8" s="1"/>
  <c r="B157" i="8" s="1"/>
  <c r="B156" i="8" s="1"/>
  <c r="B155" i="8" s="1"/>
  <c r="B154" i="8" s="1"/>
  <c r="B153" i="8" s="1"/>
  <c r="B152" i="8" s="1"/>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31" i="16"/>
  <c r="D3" i="8"/>
  <c r="D159" i="8" s="1"/>
  <c r="D158" i="8" s="1"/>
  <c r="D157" i="8" s="1"/>
  <c r="D156" i="8" s="1"/>
  <c r="D155" i="8" s="1"/>
  <c r="D154" i="8" s="1"/>
  <c r="D153" i="8" s="1"/>
  <c r="D152" i="8" s="1"/>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9" i="8"/>
  <c r="E158" i="8" s="1"/>
  <c r="E157" i="8" s="1"/>
  <c r="E156" i="8" s="1"/>
  <c r="E155" i="8" s="1"/>
  <c r="E154" i="8" s="1"/>
  <c r="E153" i="8" s="1"/>
  <c r="E152" i="8" s="1"/>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B238" i="2"/>
  <c r="S76" i="2"/>
  <c r="B232" i="2"/>
  <c r="I72" i="2"/>
  <c r="C3" i="8"/>
  <c r="C159" i="8" s="1"/>
  <c r="C158" i="8" s="1"/>
  <c r="A232" i="2"/>
  <c r="F40" i="1"/>
  <c r="B9" i="19"/>
  <c r="D9" i="19" s="1"/>
  <c r="B17" i="19"/>
  <c r="D17" i="19" s="1"/>
  <c r="B221" i="2"/>
  <c r="B13" i="2"/>
  <c r="CR195" i="25" l="1"/>
  <c r="CS195" i="25" s="1"/>
  <c r="Q104" i="2"/>
  <c r="CQ136" i="24"/>
  <c r="CR136" i="24" s="1"/>
  <c r="CT136" i="24" s="1"/>
  <c r="CQ204" i="24"/>
  <c r="CR204" i="24" s="1"/>
  <c r="CT204" i="24" s="1"/>
  <c r="CQ140" i="24"/>
  <c r="CR140" i="24" s="1"/>
  <c r="CT140" i="24" s="1"/>
  <c r="CQ149" i="24"/>
  <c r="CR149" i="24" s="1"/>
  <c r="CT149" i="24" s="1"/>
  <c r="CO140" i="24"/>
  <c r="CR197" i="25"/>
  <c r="CS197" i="25" s="1"/>
  <c r="CR111" i="25"/>
  <c r="CS111" i="25" s="1"/>
  <c r="CQ175" i="24"/>
  <c r="CR175" i="24" s="1"/>
  <c r="CT175" i="24" s="1"/>
  <c r="CR200" i="25"/>
  <c r="CS200" i="25" s="1"/>
  <c r="CO136" i="24"/>
  <c r="CO174" i="24"/>
  <c r="CQ131" i="24"/>
  <c r="CR131" i="24" s="1"/>
  <c r="CT131" i="24" s="1"/>
  <c r="CQ185" i="24"/>
  <c r="CR185" i="24" s="1"/>
  <c r="CT185" i="24" s="1"/>
  <c r="CQ174" i="24"/>
  <c r="CR174" i="24" s="1"/>
  <c r="CT174" i="24" s="1"/>
  <c r="CO185" i="24"/>
  <c r="CO175" i="24"/>
  <c r="CR152" i="25"/>
  <c r="CS152" i="25" s="1"/>
  <c r="CR126" i="25"/>
  <c r="CS126" i="25" s="1"/>
  <c r="CO204" i="24"/>
  <c r="CR116" i="25"/>
  <c r="CS116" i="25" s="1"/>
  <c r="CR185" i="25"/>
  <c r="CS185" i="25" s="1"/>
  <c r="CR143" i="25"/>
  <c r="CS143" i="25" s="1"/>
  <c r="CR125" i="25"/>
  <c r="CS125" i="25" s="1"/>
  <c r="CR179" i="25"/>
  <c r="CS179" i="25" s="1"/>
  <c r="CR140" i="25"/>
  <c r="CS140" i="25" s="1"/>
  <c r="CQ212" i="24"/>
  <c r="CR212" i="24" s="1"/>
  <c r="CT212" i="24" s="1"/>
  <c r="CO212" i="24"/>
  <c r="CR205" i="25"/>
  <c r="CS205" i="25" s="1"/>
  <c r="D33" i="16"/>
  <c r="D32" i="16"/>
  <c r="CQ114" i="24"/>
  <c r="CR114" i="24" s="1"/>
  <c r="CT114" i="24" s="1"/>
  <c r="CO177" i="24"/>
  <c r="CO165" i="24"/>
  <c r="CQ177" i="24"/>
  <c r="CR177" i="24" s="1"/>
  <c r="CT177" i="24" s="1"/>
  <c r="G327" i="24"/>
  <c r="I27" i="8" s="1"/>
  <c r="CQ128" i="24"/>
  <c r="CR128" i="24" s="1"/>
  <c r="CT128" i="24" s="1"/>
  <c r="CQ178" i="24"/>
  <c r="CR178" i="24" s="1"/>
  <c r="CT178" i="24" s="1"/>
  <c r="CR123" i="25"/>
  <c r="CS123" i="25" s="1"/>
  <c r="CQ122" i="24"/>
  <c r="CR122" i="24" s="1"/>
  <c r="CT122" i="24" s="1"/>
  <c r="CO178" i="24"/>
  <c r="CO128" i="24"/>
  <c r="FG212" i="25"/>
  <c r="CL212" i="25"/>
  <c r="DL212" i="25" s="1"/>
  <c r="DP212" i="25"/>
  <c r="EQ212" i="25"/>
  <c r="EU212" i="25" s="1"/>
  <c r="CP212" i="25"/>
  <c r="EM212" i="25"/>
  <c r="B18" i="29"/>
  <c r="CX212" i="25"/>
  <c r="CS212" i="25"/>
  <c r="L68" i="1"/>
  <c r="L70" i="1" s="1"/>
  <c r="E22" i="1"/>
  <c r="CJ212" i="24"/>
  <c r="N327" i="25"/>
  <c r="I29" i="8" s="1"/>
  <c r="CP223" i="25"/>
  <c r="EM223" i="25"/>
  <c r="CP287" i="25"/>
  <c r="EM287" i="25"/>
  <c r="CP240" i="25"/>
  <c r="EM240" i="25"/>
  <c r="CP304" i="25"/>
  <c r="EM304" i="25"/>
  <c r="CP257" i="25"/>
  <c r="EM257" i="25"/>
  <c r="CP294" i="25"/>
  <c r="EM294" i="25"/>
  <c r="CP274" i="25"/>
  <c r="EM274" i="25"/>
  <c r="CP219" i="25"/>
  <c r="EM219" i="25"/>
  <c r="CP283" i="25"/>
  <c r="EM283" i="25"/>
  <c r="CP228" i="25"/>
  <c r="EM228" i="25"/>
  <c r="CP292" i="25"/>
  <c r="EM292" i="25"/>
  <c r="CP229" i="25"/>
  <c r="EM229" i="25"/>
  <c r="CP293" i="25"/>
  <c r="EM293" i="25"/>
  <c r="CP231" i="25"/>
  <c r="EM231" i="25"/>
  <c r="CP295" i="25"/>
  <c r="EM295" i="25"/>
  <c r="CP248" i="25"/>
  <c r="EM248" i="25"/>
  <c r="CP312" i="25"/>
  <c r="EM312" i="25"/>
  <c r="CP265" i="25"/>
  <c r="EM265" i="25"/>
  <c r="CP218" i="25"/>
  <c r="EM218" i="25"/>
  <c r="CP282" i="25"/>
  <c r="EM282" i="25"/>
  <c r="CP227" i="25"/>
  <c r="EM227" i="25"/>
  <c r="CP291" i="25"/>
  <c r="EM291" i="25"/>
  <c r="CP236" i="25"/>
  <c r="EM236" i="25"/>
  <c r="CP300" i="25"/>
  <c r="EM300" i="25"/>
  <c r="CP237" i="25"/>
  <c r="EM237" i="25"/>
  <c r="CP301" i="25"/>
  <c r="EM301" i="25"/>
  <c r="CP239" i="25"/>
  <c r="EM239" i="25"/>
  <c r="CP303" i="25"/>
  <c r="EM303" i="25"/>
  <c r="CP256" i="25"/>
  <c r="EM256" i="25"/>
  <c r="CP286" i="25"/>
  <c r="EM286" i="25"/>
  <c r="CP273" i="25"/>
  <c r="EM273" i="25"/>
  <c r="CP226" i="25"/>
  <c r="EM226" i="25"/>
  <c r="CP290" i="25"/>
  <c r="EM290" i="25"/>
  <c r="CP235" i="25"/>
  <c r="EM235" i="25"/>
  <c r="CP299" i="25"/>
  <c r="EM299" i="25"/>
  <c r="CP244" i="25"/>
  <c r="EM244" i="25"/>
  <c r="CP308" i="25"/>
  <c r="EM308" i="25"/>
  <c r="CP245" i="25"/>
  <c r="EM245" i="25"/>
  <c r="CP309" i="25"/>
  <c r="EM309" i="25"/>
  <c r="CP247" i="25"/>
  <c r="EM247" i="25"/>
  <c r="CP311" i="25"/>
  <c r="EM311" i="25"/>
  <c r="CP264" i="25"/>
  <c r="EM264" i="25"/>
  <c r="CP217" i="25"/>
  <c r="EM217" i="25"/>
  <c r="CP281" i="25"/>
  <c r="EM281" i="25"/>
  <c r="CP234" i="25"/>
  <c r="EM234" i="25"/>
  <c r="CP298" i="25"/>
  <c r="EM298" i="25"/>
  <c r="CP243" i="25"/>
  <c r="EM243" i="25"/>
  <c r="CP307" i="25"/>
  <c r="EM307" i="25"/>
  <c r="CP252" i="25"/>
  <c r="EM252" i="25"/>
  <c r="CP316" i="25"/>
  <c r="EM316" i="25"/>
  <c r="CP253" i="25"/>
  <c r="EM253" i="25"/>
  <c r="CP255" i="25"/>
  <c r="EM255" i="25"/>
  <c r="CP230" i="25"/>
  <c r="EM230" i="25"/>
  <c r="CP272" i="25"/>
  <c r="EM272" i="25"/>
  <c r="CP225" i="25"/>
  <c r="EM225" i="25"/>
  <c r="CP289" i="25"/>
  <c r="EM289" i="25"/>
  <c r="CP242" i="25"/>
  <c r="EM242" i="25"/>
  <c r="CP306" i="25"/>
  <c r="EM306" i="25"/>
  <c r="CP251" i="25"/>
  <c r="EM251" i="25"/>
  <c r="CP315" i="25"/>
  <c r="EM315" i="25"/>
  <c r="CP260" i="25"/>
  <c r="EM260" i="25"/>
  <c r="CP222" i="25"/>
  <c r="EM222" i="25"/>
  <c r="CP261" i="25"/>
  <c r="EM261" i="25"/>
  <c r="CP263" i="25"/>
  <c r="EM263" i="25"/>
  <c r="CP302" i="25"/>
  <c r="EM302" i="25"/>
  <c r="CP280" i="25"/>
  <c r="EM280" i="25"/>
  <c r="CP233" i="25"/>
  <c r="EM233" i="25"/>
  <c r="CP297" i="25"/>
  <c r="EM297" i="25"/>
  <c r="CP250" i="25"/>
  <c r="EM250" i="25"/>
  <c r="CP314" i="25"/>
  <c r="EM314" i="25"/>
  <c r="CP259" i="25"/>
  <c r="EM259" i="25"/>
  <c r="CP254" i="25"/>
  <c r="EM254" i="25"/>
  <c r="CP268" i="25"/>
  <c r="EM268" i="25"/>
  <c r="CP246" i="25"/>
  <c r="EM246" i="25"/>
  <c r="CP269" i="25"/>
  <c r="EM269" i="25"/>
  <c r="CP310" i="25"/>
  <c r="EM310" i="25"/>
  <c r="CP271" i="25"/>
  <c r="EM271" i="25"/>
  <c r="CP224" i="25"/>
  <c r="EM224" i="25"/>
  <c r="CP288" i="25"/>
  <c r="EM288" i="25"/>
  <c r="CP241" i="25"/>
  <c r="EM241" i="25"/>
  <c r="CP305" i="25"/>
  <c r="EM305" i="25"/>
  <c r="CP258" i="25"/>
  <c r="EM258" i="25"/>
  <c r="CP238" i="25"/>
  <c r="EM238" i="25"/>
  <c r="CP267" i="25"/>
  <c r="EM267" i="25"/>
  <c r="CP278" i="25"/>
  <c r="EM278" i="25"/>
  <c r="CP276" i="25"/>
  <c r="EM276" i="25"/>
  <c r="CP262" i="25"/>
  <c r="EM262" i="25"/>
  <c r="CP277" i="25"/>
  <c r="EM277" i="25"/>
  <c r="CP216" i="25"/>
  <c r="EM216" i="25"/>
  <c r="CP279" i="25"/>
  <c r="EM279" i="25"/>
  <c r="CP232" i="25"/>
  <c r="EM232" i="25"/>
  <c r="CP296" i="25"/>
  <c r="EM296" i="25"/>
  <c r="CP249" i="25"/>
  <c r="EM249" i="25"/>
  <c r="CP313" i="25"/>
  <c r="EM313" i="25"/>
  <c r="CP266" i="25"/>
  <c r="EM266" i="25"/>
  <c r="CP270" i="25"/>
  <c r="EM270" i="25"/>
  <c r="CP275" i="25"/>
  <c r="EM275" i="25"/>
  <c r="CP220" i="25"/>
  <c r="EM220" i="25"/>
  <c r="CP284" i="25"/>
  <c r="EM284" i="25"/>
  <c r="CP221" i="25"/>
  <c r="EM221" i="25"/>
  <c r="CP285" i="25"/>
  <c r="EM285" i="25"/>
  <c r="G327" i="25"/>
  <c r="H329" i="25" s="1"/>
  <c r="I24" i="8" s="1"/>
  <c r="J24" i="8" s="1"/>
  <c r="CP113" i="25"/>
  <c r="CP170" i="25"/>
  <c r="CP139" i="25"/>
  <c r="CP203" i="25"/>
  <c r="CP121" i="25"/>
  <c r="CP172" i="25"/>
  <c r="CP165" i="25"/>
  <c r="CP142" i="25"/>
  <c r="CP206" i="25"/>
  <c r="CP167" i="25"/>
  <c r="CP136" i="25"/>
  <c r="CP200" i="25"/>
  <c r="CP169" i="25"/>
  <c r="CP114" i="25"/>
  <c r="CP178" i="25"/>
  <c r="CP147" i="25"/>
  <c r="CP177" i="25"/>
  <c r="CP116" i="25"/>
  <c r="CP180" i="25"/>
  <c r="CP173" i="25"/>
  <c r="CP150" i="25"/>
  <c r="CP161" i="25"/>
  <c r="CP110" i="25"/>
  <c r="CP175" i="25"/>
  <c r="CP144" i="25"/>
  <c r="CP208" i="25"/>
  <c r="CP122" i="25"/>
  <c r="CP186" i="25"/>
  <c r="CP155" i="25"/>
  <c r="CP124" i="25"/>
  <c r="CP188" i="25"/>
  <c r="CP117" i="25"/>
  <c r="CP181" i="25"/>
  <c r="CP158" i="25"/>
  <c r="CP201" i="25"/>
  <c r="CP119" i="25"/>
  <c r="CP183" i="25"/>
  <c r="CP152" i="25"/>
  <c r="CP130" i="25"/>
  <c r="CP194" i="25"/>
  <c r="CP163" i="25"/>
  <c r="CP132" i="25"/>
  <c r="CP196" i="25"/>
  <c r="CP153" i="25"/>
  <c r="CP125" i="25"/>
  <c r="CP189" i="25"/>
  <c r="CP166" i="25"/>
  <c r="CP127" i="25"/>
  <c r="CP191" i="25"/>
  <c r="CP160" i="25"/>
  <c r="CP138" i="25"/>
  <c r="CP202" i="25"/>
  <c r="CP137" i="25"/>
  <c r="CP171" i="25"/>
  <c r="CP140" i="25"/>
  <c r="CP204" i="25"/>
  <c r="CP133" i="25"/>
  <c r="CP197" i="25"/>
  <c r="CP174" i="25"/>
  <c r="CP135" i="25"/>
  <c r="CP199" i="25"/>
  <c r="CP168" i="25"/>
  <c r="CP146" i="25"/>
  <c r="CP210" i="25"/>
  <c r="CP185" i="25"/>
  <c r="CP115" i="25"/>
  <c r="CP179" i="25"/>
  <c r="CP148" i="25"/>
  <c r="CP141" i="25"/>
  <c r="CP205" i="25"/>
  <c r="CP129" i="25"/>
  <c r="CP118" i="25"/>
  <c r="CP182" i="25"/>
  <c r="CP143" i="25"/>
  <c r="CP207" i="25"/>
  <c r="CP145" i="25"/>
  <c r="CP111" i="25"/>
  <c r="CP176" i="25"/>
  <c r="CP154" i="25"/>
  <c r="CP123" i="25"/>
  <c r="CP187" i="25"/>
  <c r="CP156" i="25"/>
  <c r="CP149" i="25"/>
  <c r="CP193" i="25"/>
  <c r="CP126" i="25"/>
  <c r="CP190" i="25"/>
  <c r="CP151" i="25"/>
  <c r="CP209" i="25"/>
  <c r="CP120" i="25"/>
  <c r="CP184" i="25"/>
  <c r="CR112" i="25"/>
  <c r="CS112" i="25" s="1"/>
  <c r="EM112" i="25"/>
  <c r="CP162" i="25"/>
  <c r="CP131" i="25"/>
  <c r="CP195" i="25"/>
  <c r="CP164" i="25"/>
  <c r="CP157" i="25"/>
  <c r="CP134" i="25"/>
  <c r="CP198" i="25"/>
  <c r="CP159" i="25"/>
  <c r="CP128" i="25"/>
  <c r="CP192" i="25"/>
  <c r="CJ112" i="25"/>
  <c r="CR174" i="25"/>
  <c r="CS174" i="25" s="1"/>
  <c r="CO131" i="24"/>
  <c r="CO149" i="24"/>
  <c r="CQ165" i="24"/>
  <c r="CR165" i="24" s="1"/>
  <c r="CT165" i="24" s="1"/>
  <c r="CR161" i="25"/>
  <c r="CS161" i="25" s="1"/>
  <c r="CQ163" i="24"/>
  <c r="CR163" i="24" s="1"/>
  <c r="CT163" i="24" s="1"/>
  <c r="CO122" i="24"/>
  <c r="CO164" i="24"/>
  <c r="CO132" i="24"/>
  <c r="CO129" i="24"/>
  <c r="CQ167" i="24"/>
  <c r="CR167" i="24" s="1"/>
  <c r="CT167" i="24" s="1"/>
  <c r="CQ164" i="24"/>
  <c r="CR164" i="24" s="1"/>
  <c r="CT164" i="24" s="1"/>
  <c r="CQ192" i="24"/>
  <c r="CR192" i="24" s="1"/>
  <c r="CT192" i="24" s="1"/>
  <c r="CO112" i="24"/>
  <c r="CO124" i="24"/>
  <c r="CR169" i="25"/>
  <c r="CS169" i="25" s="1"/>
  <c r="CR138" i="25"/>
  <c r="CS138" i="25" s="1"/>
  <c r="CR189" i="25"/>
  <c r="CS189" i="25" s="1"/>
  <c r="CR207" i="25"/>
  <c r="CS207" i="25" s="1"/>
  <c r="CO117" i="24"/>
  <c r="CQ142" i="24"/>
  <c r="CR142" i="24" s="1"/>
  <c r="CT142" i="24" s="1"/>
  <c r="CO142" i="24"/>
  <c r="CQ120" i="24"/>
  <c r="CR120" i="24" s="1"/>
  <c r="CT120" i="24" s="1"/>
  <c r="CO138" i="24"/>
  <c r="CO192" i="24"/>
  <c r="CQ129" i="24"/>
  <c r="CR129" i="24" s="1"/>
  <c r="CT129" i="24" s="1"/>
  <c r="CQ132" i="24"/>
  <c r="CR132" i="24" s="1"/>
  <c r="CT132" i="24" s="1"/>
  <c r="CO166" i="24"/>
  <c r="CR164" i="25"/>
  <c r="CS164" i="25" s="1"/>
  <c r="CQ173" i="24"/>
  <c r="CR173" i="24" s="1"/>
  <c r="CT173" i="24" s="1"/>
  <c r="CQ112" i="24"/>
  <c r="CR112" i="24" s="1"/>
  <c r="CT112" i="24" s="1"/>
  <c r="CQ116" i="24"/>
  <c r="CR116" i="24" s="1"/>
  <c r="CT116" i="24" s="1"/>
  <c r="CQ124" i="24"/>
  <c r="CR124" i="24" s="1"/>
  <c r="CT124" i="24" s="1"/>
  <c r="CQ117" i="24"/>
  <c r="CR117" i="24" s="1"/>
  <c r="CT117" i="24" s="1"/>
  <c r="CR132" i="25"/>
  <c r="CS132" i="25" s="1"/>
  <c r="CR192" i="25"/>
  <c r="CS192" i="25" s="1"/>
  <c r="CO167" i="24"/>
  <c r="CR128" i="25"/>
  <c r="CS128" i="25" s="1"/>
  <c r="CQ166" i="24"/>
  <c r="CR166" i="24" s="1"/>
  <c r="CT166" i="24" s="1"/>
  <c r="CR114" i="25"/>
  <c r="CS114" i="25" s="1"/>
  <c r="CO171" i="24"/>
  <c r="CO173" i="24"/>
  <c r="CR172" i="25"/>
  <c r="CS172" i="25" s="1"/>
  <c r="CR159" i="25"/>
  <c r="CS159" i="25" s="1"/>
  <c r="CR201" i="25"/>
  <c r="CS201" i="25" s="1"/>
  <c r="CR115" i="25"/>
  <c r="CS115" i="25" s="1"/>
  <c r="CQ138" i="24"/>
  <c r="CR138" i="24" s="1"/>
  <c r="CT138" i="24" s="1"/>
  <c r="CO116" i="24"/>
  <c r="CQ115" i="24"/>
  <c r="CR115" i="24" s="1"/>
  <c r="CT115" i="24" s="1"/>
  <c r="CO176" i="24"/>
  <c r="CR141" i="25"/>
  <c r="CS141" i="25" s="1"/>
  <c r="CR131" i="25"/>
  <c r="CS131" i="25" s="1"/>
  <c r="CO125" i="24"/>
  <c r="CQ155" i="24"/>
  <c r="CR155" i="24" s="1"/>
  <c r="CT155" i="24" s="1"/>
  <c r="CR183" i="25"/>
  <c r="CS183" i="25" s="1"/>
  <c r="CQ118" i="24"/>
  <c r="CR118" i="24" s="1"/>
  <c r="CT118" i="24" s="1"/>
  <c r="CO118" i="24"/>
  <c r="CO111" i="24"/>
  <c r="CQ113" i="24"/>
  <c r="CR113" i="24" s="1"/>
  <c r="CT113" i="24" s="1"/>
  <c r="CQ119" i="24"/>
  <c r="CR119" i="24" s="1"/>
  <c r="CT119" i="24" s="1"/>
  <c r="CQ156" i="24"/>
  <c r="CR156" i="24" s="1"/>
  <c r="CT156" i="24" s="1"/>
  <c r="CO199" i="24"/>
  <c r="CR147" i="25"/>
  <c r="CS147" i="25" s="1"/>
  <c r="CR199" i="25"/>
  <c r="CS199" i="25" s="1"/>
  <c r="CQ176" i="24"/>
  <c r="CR176" i="24" s="1"/>
  <c r="CT176" i="24" s="1"/>
  <c r="CQ196" i="24"/>
  <c r="CR196" i="24" s="1"/>
  <c r="CT196" i="24" s="1"/>
  <c r="CQ153" i="24"/>
  <c r="CR153" i="24" s="1"/>
  <c r="CT153" i="24" s="1"/>
  <c r="CQ206" i="24"/>
  <c r="CR206" i="24" s="1"/>
  <c r="CT206" i="24" s="1"/>
  <c r="CR110" i="25"/>
  <c r="CX110" i="25" s="1"/>
  <c r="CY110" i="25" s="1"/>
  <c r="CO113" i="24"/>
  <c r="CO150" i="24"/>
  <c r="CQ111" i="24"/>
  <c r="CR111" i="24" s="1"/>
  <c r="CT111" i="24" s="1"/>
  <c r="CO119" i="24"/>
  <c r="CO196" i="24"/>
  <c r="CO198" i="24"/>
  <c r="CQ199" i="24"/>
  <c r="CR199" i="24" s="1"/>
  <c r="CT199" i="24" s="1"/>
  <c r="CR181" i="25"/>
  <c r="CS181" i="25" s="1"/>
  <c r="CO115" i="24"/>
  <c r="CR133" i="25"/>
  <c r="CS133" i="25" s="1"/>
  <c r="CR127" i="25"/>
  <c r="CS127" i="25" s="1"/>
  <c r="CO156" i="24"/>
  <c r="CO157" i="24"/>
  <c r="CQ198" i="24"/>
  <c r="CR198" i="24" s="1"/>
  <c r="CT198" i="24" s="1"/>
  <c r="CR155" i="25"/>
  <c r="CS155" i="25" s="1"/>
  <c r="CR120" i="25"/>
  <c r="CS120" i="25" s="1"/>
  <c r="CQ157" i="24"/>
  <c r="CR157" i="24" s="1"/>
  <c r="CT157" i="24" s="1"/>
  <c r="CR178" i="25"/>
  <c r="CS178" i="25" s="1"/>
  <c r="CR144" i="25"/>
  <c r="CS144" i="25" s="1"/>
  <c r="CQ158" i="24"/>
  <c r="CR158" i="24" s="1"/>
  <c r="CT158" i="24" s="1"/>
  <c r="CO168" i="24"/>
  <c r="CR153" i="25"/>
  <c r="CS153" i="25" s="1"/>
  <c r="CQ181" i="24"/>
  <c r="CR181" i="24" s="1"/>
  <c r="CT181" i="24" s="1"/>
  <c r="CQ110" i="24"/>
  <c r="CR110" i="24" s="1"/>
  <c r="DT110" i="24" s="1"/>
  <c r="CQ127" i="24"/>
  <c r="CR127" i="24" s="1"/>
  <c r="CT127" i="24" s="1"/>
  <c r="CQ205" i="24"/>
  <c r="CR205" i="24" s="1"/>
  <c r="CT205" i="24" s="1"/>
  <c r="CR124" i="25"/>
  <c r="CS124" i="25" s="1"/>
  <c r="CR156" i="25"/>
  <c r="CS156" i="25" s="1"/>
  <c r="CR162" i="25"/>
  <c r="CS162" i="25" s="1"/>
  <c r="CQ125" i="24"/>
  <c r="CR125" i="24" s="1"/>
  <c r="CT125" i="24" s="1"/>
  <c r="CO161" i="24"/>
  <c r="CO210" i="24"/>
  <c r="CR186" i="25"/>
  <c r="CS186" i="25" s="1"/>
  <c r="CR206" i="25"/>
  <c r="CS206" i="25" s="1"/>
  <c r="CO121" i="24"/>
  <c r="CO158" i="24"/>
  <c r="CR113" i="25"/>
  <c r="CS113" i="25" s="1"/>
  <c r="CQ161" i="24"/>
  <c r="CR161" i="24" s="1"/>
  <c r="CT161" i="24" s="1"/>
  <c r="CQ121" i="24"/>
  <c r="CR121" i="24" s="1"/>
  <c r="CT121" i="24" s="1"/>
  <c r="CR157" i="25"/>
  <c r="CS157" i="25" s="1"/>
  <c r="CO154" i="24"/>
  <c r="CQ210" i="24"/>
  <c r="CR210" i="24" s="1"/>
  <c r="CT210" i="24" s="1"/>
  <c r="CO127" i="24"/>
  <c r="CQ195" i="24"/>
  <c r="CR195" i="24" s="1"/>
  <c r="CT195" i="24" s="1"/>
  <c r="CO152" i="24"/>
  <c r="CQ170" i="24"/>
  <c r="CR170" i="24" s="1"/>
  <c r="CT170" i="24" s="1"/>
  <c r="CQ194" i="24"/>
  <c r="CR194" i="24" s="1"/>
  <c r="CT194" i="24" s="1"/>
  <c r="CR145" i="25"/>
  <c r="CS145" i="25" s="1"/>
  <c r="CR170" i="25"/>
  <c r="CS170" i="25" s="1"/>
  <c r="CO194" i="24"/>
  <c r="CR167" i="25"/>
  <c r="CS167" i="25" s="1"/>
  <c r="CR210" i="25"/>
  <c r="CS210" i="25" s="1"/>
  <c r="CR139" i="25"/>
  <c r="CS139" i="25" s="1"/>
  <c r="CQ151" i="24"/>
  <c r="CR151" i="24" s="1"/>
  <c r="CT151" i="24" s="1"/>
  <c r="CO191" i="24"/>
  <c r="CO170" i="24"/>
  <c r="CO151" i="24"/>
  <c r="CO195" i="24"/>
  <c r="CR142" i="25"/>
  <c r="CS142" i="25" s="1"/>
  <c r="CO208" i="24"/>
  <c r="CR173" i="25"/>
  <c r="CS173" i="25" s="1"/>
  <c r="CQ193" i="24"/>
  <c r="CR193" i="24" s="1"/>
  <c r="CT193" i="24" s="1"/>
  <c r="CR184" i="25"/>
  <c r="CS184" i="25" s="1"/>
  <c r="CO145" i="24"/>
  <c r="CQ208" i="24"/>
  <c r="CR208" i="24" s="1"/>
  <c r="CT208" i="24" s="1"/>
  <c r="CQ145" i="24"/>
  <c r="CR145" i="24" s="1"/>
  <c r="CT145" i="24" s="1"/>
  <c r="CR209" i="25"/>
  <c r="CS209" i="25" s="1"/>
  <c r="CO114" i="24"/>
  <c r="CO193" i="24"/>
  <c r="CQ191" i="24"/>
  <c r="CR191" i="24" s="1"/>
  <c r="CT191" i="24" s="1"/>
  <c r="CR136" i="25"/>
  <c r="CS136" i="25" s="1"/>
  <c r="CR117" i="25"/>
  <c r="CS117" i="25" s="1"/>
  <c r="CO148" i="24"/>
  <c r="CO120" i="24"/>
  <c r="CQ148" i="24"/>
  <c r="CR148" i="24" s="1"/>
  <c r="CT148" i="24" s="1"/>
  <c r="CQ152" i="24"/>
  <c r="CR152" i="24" s="1"/>
  <c r="CT152" i="24" s="1"/>
  <c r="CR198" i="25"/>
  <c r="CS198" i="25" s="1"/>
  <c r="CO155" i="24"/>
  <c r="CR188" i="25"/>
  <c r="CS188" i="25" s="1"/>
  <c r="CO205" i="24"/>
  <c r="CO202" i="24"/>
  <c r="CR203" i="25"/>
  <c r="CS203" i="25" s="1"/>
  <c r="CQ202" i="24"/>
  <c r="CR202" i="24" s="1"/>
  <c r="CT202" i="24" s="1"/>
  <c r="CO181" i="24"/>
  <c r="CQ168" i="24"/>
  <c r="CR168" i="24" s="1"/>
  <c r="CT168" i="24" s="1"/>
  <c r="CQ143" i="24"/>
  <c r="CR143" i="24" s="1"/>
  <c r="CT143" i="24" s="1"/>
  <c r="CQ146" i="24"/>
  <c r="CR146" i="24" s="1"/>
  <c r="CT146" i="24" s="1"/>
  <c r="CR191" i="25"/>
  <c r="CS191" i="25" s="1"/>
  <c r="CQ189" i="24"/>
  <c r="CR189" i="24" s="1"/>
  <c r="CT189" i="24" s="1"/>
  <c r="CR151" i="25"/>
  <c r="CS151" i="25" s="1"/>
  <c r="CR175" i="25"/>
  <c r="CS175" i="25" s="1"/>
  <c r="CO206" i="24"/>
  <c r="CQ150" i="24"/>
  <c r="CR150" i="24" s="1"/>
  <c r="CT150" i="24" s="1"/>
  <c r="CR202" i="25"/>
  <c r="CS202" i="25" s="1"/>
  <c r="CO153" i="24"/>
  <c r="CO209" i="24"/>
  <c r="CR204" i="25"/>
  <c r="CS204" i="25" s="1"/>
  <c r="CQ201" i="24"/>
  <c r="CR201" i="24" s="1"/>
  <c r="CT201" i="24" s="1"/>
  <c r="CO133" i="24"/>
  <c r="CR150" i="25"/>
  <c r="CS150" i="25" s="1"/>
  <c r="CO137" i="24"/>
  <c r="CQ137" i="24"/>
  <c r="CR137" i="24" s="1"/>
  <c r="CT137" i="24" s="1"/>
  <c r="CQ180" i="24"/>
  <c r="CR180" i="24" s="1"/>
  <c r="CT180" i="24" s="1"/>
  <c r="CQ141" i="24"/>
  <c r="CR141" i="24" s="1"/>
  <c r="CT141" i="24" s="1"/>
  <c r="CR148" i="25"/>
  <c r="CS148" i="25" s="1"/>
  <c r="CO201" i="24"/>
  <c r="CO182" i="24"/>
  <c r="CR187" i="25"/>
  <c r="CS187" i="25" s="1"/>
  <c r="CR190" i="25"/>
  <c r="CS190" i="25" s="1"/>
  <c r="CO183" i="24"/>
  <c r="CQ154" i="24"/>
  <c r="CR154" i="24" s="1"/>
  <c r="CT154" i="24" s="1"/>
  <c r="CQ182" i="24"/>
  <c r="CR182" i="24" s="1"/>
  <c r="CT182" i="24" s="1"/>
  <c r="CR129" i="25"/>
  <c r="CS129" i="25" s="1"/>
  <c r="CR182" i="25"/>
  <c r="CS182" i="25" s="1"/>
  <c r="CO187" i="24"/>
  <c r="CO141" i="24"/>
  <c r="CO180" i="24"/>
  <c r="CQ133" i="24"/>
  <c r="CR133" i="24" s="1"/>
  <c r="CT133" i="24" s="1"/>
  <c r="CQ187" i="24"/>
  <c r="CR187" i="24" s="1"/>
  <c r="CT187" i="24" s="1"/>
  <c r="CR158" i="25"/>
  <c r="CS158" i="25" s="1"/>
  <c r="CO184" i="24"/>
  <c r="CO162" i="24"/>
  <c r="CQ209" i="24"/>
  <c r="CR209" i="24" s="1"/>
  <c r="CT209" i="24" s="1"/>
  <c r="CQ162" i="24"/>
  <c r="CR162" i="24" s="1"/>
  <c r="CT162" i="24" s="1"/>
  <c r="CR168" i="25"/>
  <c r="CS168" i="25" s="1"/>
  <c r="CO134" i="24"/>
  <c r="CQ183" i="24"/>
  <c r="CR183" i="24" s="1"/>
  <c r="CT183" i="24" s="1"/>
  <c r="CQ134" i="24"/>
  <c r="CR134" i="24" s="1"/>
  <c r="CT134" i="24" s="1"/>
  <c r="CQ184" i="24"/>
  <c r="CR184" i="24" s="1"/>
  <c r="CT184" i="24" s="1"/>
  <c r="CO163" i="24"/>
  <c r="CQ197" i="24"/>
  <c r="CR197" i="24" s="1"/>
  <c r="CT197" i="24" s="1"/>
  <c r="CR146" i="25"/>
  <c r="CS146" i="25" s="1"/>
  <c r="CO130" i="24"/>
  <c r="CR5" i="24"/>
  <c r="DT5" i="24" s="1"/>
  <c r="CO179" i="24"/>
  <c r="CR171" i="25"/>
  <c r="CS171" i="25" s="1"/>
  <c r="CQ172" i="24"/>
  <c r="CR172" i="24" s="1"/>
  <c r="CT172" i="24" s="1"/>
  <c r="CR193" i="25"/>
  <c r="CS193" i="25" s="1"/>
  <c r="CR118" i="25"/>
  <c r="CS118" i="25" s="1"/>
  <c r="CR177" i="25"/>
  <c r="CS177" i="25" s="1"/>
  <c r="CQ171" i="24"/>
  <c r="CR171" i="24" s="1"/>
  <c r="CT171" i="24" s="1"/>
  <c r="CQ126" i="24"/>
  <c r="CR126" i="24" s="1"/>
  <c r="CT126" i="24" s="1"/>
  <c r="CO126" i="24"/>
  <c r="CO160" i="24"/>
  <c r="CO169" i="24"/>
  <c r="CQ160" i="24"/>
  <c r="CR160" i="24" s="1"/>
  <c r="CT160" i="24" s="1"/>
  <c r="CR196" i="25"/>
  <c r="CS196" i="25" s="1"/>
  <c r="CR121" i="25"/>
  <c r="CS121" i="25" s="1"/>
  <c r="CO123" i="24"/>
  <c r="CO197" i="24"/>
  <c r="CR135" i="25"/>
  <c r="CS135" i="25" s="1"/>
  <c r="CQ130" i="24"/>
  <c r="CR130" i="24" s="1"/>
  <c r="CT130" i="24" s="1"/>
  <c r="CR149" i="25"/>
  <c r="CS149" i="25" s="1"/>
  <c r="CO135" i="24"/>
  <c r="CO172" i="24"/>
  <c r="CQ169" i="24"/>
  <c r="CR169" i="24" s="1"/>
  <c r="CT169" i="24" s="1"/>
  <c r="CR166" i="25"/>
  <c r="CS166" i="25" s="1"/>
  <c r="CQ179" i="24"/>
  <c r="CR179" i="24" s="1"/>
  <c r="CT179" i="24" s="1"/>
  <c r="CQ144" i="24"/>
  <c r="CR144" i="24" s="1"/>
  <c r="CT144" i="24" s="1"/>
  <c r="CQ135" i="24"/>
  <c r="CR135" i="24" s="1"/>
  <c r="CT135" i="24" s="1"/>
  <c r="CR180" i="25"/>
  <c r="CS180" i="25" s="1"/>
  <c r="CO144" i="24"/>
  <c r="CQ123" i="24"/>
  <c r="CR123" i="24" s="1"/>
  <c r="CT123" i="24" s="1"/>
  <c r="CR154" i="25"/>
  <c r="CS154" i="25" s="1"/>
  <c r="L14" i="1"/>
  <c r="B99" i="2"/>
  <c r="CO139" i="24"/>
  <c r="CO203" i="24"/>
  <c r="CO190" i="24"/>
  <c r="CO159" i="24"/>
  <c r="CR208" i="25"/>
  <c r="CS208" i="25" s="1"/>
  <c r="CR119" i="25"/>
  <c r="CS119" i="25" s="1"/>
  <c r="CQ188" i="24"/>
  <c r="CR188" i="24" s="1"/>
  <c r="CT188" i="24" s="1"/>
  <c r="CR134" i="25"/>
  <c r="CS134" i="25" s="1"/>
  <c r="CR194" i="25"/>
  <c r="CS194" i="25" s="1"/>
  <c r="CO143" i="24"/>
  <c r="CR160" i="25"/>
  <c r="CS160" i="25" s="1"/>
  <c r="CO189" i="24"/>
  <c r="CQ207" i="24"/>
  <c r="CR207" i="24" s="1"/>
  <c r="CT207" i="24" s="1"/>
  <c r="CR130" i="25"/>
  <c r="CS130" i="25" s="1"/>
  <c r="CO200" i="24"/>
  <c r="CQ203" i="24"/>
  <c r="CR203" i="24" s="1"/>
  <c r="CT203" i="24" s="1"/>
  <c r="CO188" i="24"/>
  <c r="CR176" i="25"/>
  <c r="CS176" i="25" s="1"/>
  <c r="CQ147" i="24"/>
  <c r="CR147" i="24" s="1"/>
  <c r="CT147" i="24" s="1"/>
  <c r="CR165" i="25"/>
  <c r="CS165" i="25" s="1"/>
  <c r="CO146" i="24"/>
  <c r="CO186" i="24"/>
  <c r="CQ190" i="24"/>
  <c r="CR190" i="24" s="1"/>
  <c r="CT190" i="24" s="1"/>
  <c r="CO207" i="24"/>
  <c r="CQ139" i="24"/>
  <c r="CR139" i="24" s="1"/>
  <c r="CT139" i="24" s="1"/>
  <c r="CR163" i="25"/>
  <c r="CS163" i="25" s="1"/>
  <c r="CO147" i="24"/>
  <c r="CQ159" i="24"/>
  <c r="CR159" i="24" s="1"/>
  <c r="CT159" i="24" s="1"/>
  <c r="CR137" i="25"/>
  <c r="CS137" i="25" s="1"/>
  <c r="CQ186" i="24"/>
  <c r="CR186" i="24" s="1"/>
  <c r="CT186" i="24" s="1"/>
  <c r="CQ200" i="24"/>
  <c r="CR200" i="24" s="1"/>
  <c r="CT200" i="24" s="1"/>
  <c r="EO110" i="24"/>
  <c r="CW110" i="24"/>
  <c r="CX110" i="24" s="1"/>
  <c r="CN110" i="24" s="1"/>
  <c r="CN5" i="24"/>
  <c r="DA5" i="24" s="1"/>
  <c r="CS5" i="24"/>
  <c r="FD5" i="24" s="1"/>
  <c r="AW2" i="25"/>
  <c r="EA2" i="25"/>
  <c r="CZ5" i="24"/>
  <c r="CQ298" i="24"/>
  <c r="CR298" i="24" s="1"/>
  <c r="CT298" i="24" s="1"/>
  <c r="CO298" i="24"/>
  <c r="CO307" i="24"/>
  <c r="CQ307" i="24"/>
  <c r="CR307" i="24" s="1"/>
  <c r="CT307" i="24" s="1"/>
  <c r="CO236" i="24"/>
  <c r="CQ236" i="24"/>
  <c r="CR236" i="24" s="1"/>
  <c r="CT236" i="24" s="1"/>
  <c r="CO300" i="24"/>
  <c r="CQ300" i="24"/>
  <c r="CR300" i="24" s="1"/>
  <c r="CT300" i="24" s="1"/>
  <c r="CO309" i="24"/>
  <c r="CQ309" i="24"/>
  <c r="CR309" i="24" s="1"/>
  <c r="CT309" i="24" s="1"/>
  <c r="CQ262" i="24"/>
  <c r="CR262" i="24" s="1"/>
  <c r="CT262" i="24" s="1"/>
  <c r="CO262" i="24"/>
  <c r="CQ232" i="24"/>
  <c r="CR232" i="24" s="1"/>
  <c r="CT232" i="24" s="1"/>
  <c r="CO232" i="24"/>
  <c r="CO296" i="24"/>
  <c r="CQ296" i="24"/>
  <c r="CR296" i="24" s="1"/>
  <c r="CT296" i="24" s="1"/>
  <c r="CR247" i="25"/>
  <c r="CS247" i="25" s="1"/>
  <c r="CR311" i="25"/>
  <c r="CS311" i="25" s="1"/>
  <c r="CR264" i="25"/>
  <c r="CS264" i="25" s="1"/>
  <c r="CR217" i="25"/>
  <c r="CS217" i="25" s="1"/>
  <c r="CR281" i="25"/>
  <c r="CS281" i="25" s="1"/>
  <c r="CR234" i="25"/>
  <c r="CS234" i="25" s="1"/>
  <c r="CR298" i="25"/>
  <c r="CS298" i="25" s="1"/>
  <c r="CR243" i="25"/>
  <c r="CS243" i="25" s="1"/>
  <c r="CR307" i="25"/>
  <c r="CS307" i="25" s="1"/>
  <c r="CR252" i="25"/>
  <c r="CS252" i="25" s="1"/>
  <c r="CR316" i="25"/>
  <c r="CS316" i="25" s="1"/>
  <c r="CR253" i="25"/>
  <c r="CS253" i="25" s="1"/>
  <c r="CQ242" i="24"/>
  <c r="CR242" i="24" s="1"/>
  <c r="CT242" i="24" s="1"/>
  <c r="CO242" i="24"/>
  <c r="CO306" i="24"/>
  <c r="CQ306" i="24"/>
  <c r="CR306" i="24" s="1"/>
  <c r="CT306" i="24" s="1"/>
  <c r="CO251" i="24"/>
  <c r="CQ251" i="24"/>
  <c r="CR251" i="24" s="1"/>
  <c r="CT251" i="24" s="1"/>
  <c r="CO315" i="24"/>
  <c r="CQ315" i="24"/>
  <c r="CR315" i="24" s="1"/>
  <c r="CT315" i="24" s="1"/>
  <c r="CO244" i="24"/>
  <c r="CQ244" i="24"/>
  <c r="CR244" i="24" s="1"/>
  <c r="CT244" i="24" s="1"/>
  <c r="CQ308" i="24"/>
  <c r="CR308" i="24" s="1"/>
  <c r="CT308" i="24" s="1"/>
  <c r="CO308" i="24"/>
  <c r="CQ253" i="24"/>
  <c r="CR253" i="24" s="1"/>
  <c r="CT253" i="24" s="1"/>
  <c r="CO253" i="24"/>
  <c r="CO233" i="24"/>
  <c r="CQ233" i="24"/>
  <c r="CR233" i="24" s="1"/>
  <c r="CT233" i="24" s="1"/>
  <c r="CQ270" i="24"/>
  <c r="CR270" i="24" s="1"/>
  <c r="CT270" i="24" s="1"/>
  <c r="CO270" i="24"/>
  <c r="CW216" i="24"/>
  <c r="CX216" i="24" s="1"/>
  <c r="CO216" i="24"/>
  <c r="CQ216" i="24"/>
  <c r="CR216" i="24" s="1"/>
  <c r="CO279" i="24"/>
  <c r="CQ279" i="24"/>
  <c r="CR279" i="24" s="1"/>
  <c r="CT279" i="24" s="1"/>
  <c r="CQ240" i="24"/>
  <c r="CR240" i="24" s="1"/>
  <c r="CT240" i="24" s="1"/>
  <c r="CO240" i="24"/>
  <c r="CO304" i="24"/>
  <c r="CQ304" i="24"/>
  <c r="CR304" i="24" s="1"/>
  <c r="CT304" i="24" s="1"/>
  <c r="CR255" i="25"/>
  <c r="CS255" i="25" s="1"/>
  <c r="CR230" i="25"/>
  <c r="CS230" i="25" s="1"/>
  <c r="CR272" i="25"/>
  <c r="CS272" i="25" s="1"/>
  <c r="CR225" i="25"/>
  <c r="CS225" i="25" s="1"/>
  <c r="CR289" i="25"/>
  <c r="CS289" i="25" s="1"/>
  <c r="CR242" i="25"/>
  <c r="CS242" i="25" s="1"/>
  <c r="CR306" i="25"/>
  <c r="CS306" i="25" s="1"/>
  <c r="CR251" i="25"/>
  <c r="CS251" i="25" s="1"/>
  <c r="CR315" i="25"/>
  <c r="CS315" i="25" s="1"/>
  <c r="CR260" i="25"/>
  <c r="CS260" i="25" s="1"/>
  <c r="CR222" i="25"/>
  <c r="CS222" i="25" s="1"/>
  <c r="CR261" i="25"/>
  <c r="CS261" i="25" s="1"/>
  <c r="CQ218" i="24"/>
  <c r="CR218" i="24" s="1"/>
  <c r="CT218" i="24" s="1"/>
  <c r="CO218" i="24"/>
  <c r="CQ250" i="24"/>
  <c r="CR250" i="24" s="1"/>
  <c r="CT250" i="24" s="1"/>
  <c r="CO250" i="24"/>
  <c r="CO314" i="24"/>
  <c r="CQ314" i="24"/>
  <c r="CR314" i="24" s="1"/>
  <c r="CT314" i="24" s="1"/>
  <c r="CQ259" i="24"/>
  <c r="CR259" i="24" s="1"/>
  <c r="CT259" i="24" s="1"/>
  <c r="CO259" i="24"/>
  <c r="CO225" i="24"/>
  <c r="CQ225" i="24"/>
  <c r="CR225" i="24" s="1"/>
  <c r="CT225" i="24" s="1"/>
  <c r="CQ252" i="24"/>
  <c r="CR252" i="24" s="1"/>
  <c r="CT252" i="24" s="1"/>
  <c r="CO252" i="24"/>
  <c r="CO316" i="24"/>
  <c r="CQ316" i="24"/>
  <c r="CR316" i="24" s="1"/>
  <c r="CT316" i="24" s="1"/>
  <c r="CQ261" i="24"/>
  <c r="CR261" i="24" s="1"/>
  <c r="CT261" i="24" s="1"/>
  <c r="CO261" i="24"/>
  <c r="CO313" i="24"/>
  <c r="CQ313" i="24"/>
  <c r="CR313" i="24" s="1"/>
  <c r="CT313" i="24" s="1"/>
  <c r="CQ278" i="24"/>
  <c r="CR278" i="24" s="1"/>
  <c r="CT278" i="24" s="1"/>
  <c r="CO278" i="24"/>
  <c r="CQ223" i="24"/>
  <c r="CR223" i="24" s="1"/>
  <c r="CT223" i="24" s="1"/>
  <c r="CO223" i="24"/>
  <c r="CQ287" i="24"/>
  <c r="CR287" i="24" s="1"/>
  <c r="CT287" i="24" s="1"/>
  <c r="CO287" i="24"/>
  <c r="CQ248" i="24"/>
  <c r="CR248" i="24" s="1"/>
  <c r="CT248" i="24" s="1"/>
  <c r="CO248" i="24"/>
  <c r="CO312" i="24"/>
  <c r="CQ312" i="24"/>
  <c r="CR312" i="24" s="1"/>
  <c r="CT312" i="24" s="1"/>
  <c r="CR263" i="25"/>
  <c r="CS263" i="25" s="1"/>
  <c r="CR302" i="25"/>
  <c r="CS302" i="25" s="1"/>
  <c r="CR280" i="25"/>
  <c r="CS280" i="25" s="1"/>
  <c r="CR233" i="25"/>
  <c r="CS233" i="25" s="1"/>
  <c r="CR297" i="25"/>
  <c r="CS297" i="25" s="1"/>
  <c r="CR250" i="25"/>
  <c r="CS250" i="25" s="1"/>
  <c r="CR314" i="25"/>
  <c r="CS314" i="25" s="1"/>
  <c r="CR259" i="25"/>
  <c r="CS259" i="25" s="1"/>
  <c r="CR254" i="25"/>
  <c r="CS254" i="25" s="1"/>
  <c r="CR268" i="25"/>
  <c r="CS268" i="25" s="1"/>
  <c r="CR246" i="25"/>
  <c r="CS246" i="25" s="1"/>
  <c r="CR269" i="25"/>
  <c r="CS269" i="25" s="1"/>
  <c r="CO243" i="24"/>
  <c r="CQ243" i="24"/>
  <c r="CR243" i="24" s="1"/>
  <c r="CT243" i="24" s="1"/>
  <c r="CQ258" i="24"/>
  <c r="CR258" i="24" s="1"/>
  <c r="CT258" i="24" s="1"/>
  <c r="CO258" i="24"/>
  <c r="CO257" i="24"/>
  <c r="CQ257" i="24"/>
  <c r="CR257" i="24" s="1"/>
  <c r="CT257" i="24" s="1"/>
  <c r="CO267" i="24"/>
  <c r="CQ267" i="24"/>
  <c r="CR267" i="24" s="1"/>
  <c r="CT267" i="24" s="1"/>
  <c r="CO265" i="24"/>
  <c r="CQ265" i="24"/>
  <c r="CR265" i="24" s="1"/>
  <c r="CT265" i="24" s="1"/>
  <c r="CO260" i="24"/>
  <c r="CQ260" i="24"/>
  <c r="CR260" i="24" s="1"/>
  <c r="CT260" i="24" s="1"/>
  <c r="CQ249" i="24"/>
  <c r="CR249" i="24" s="1"/>
  <c r="CT249" i="24" s="1"/>
  <c r="CO249" i="24"/>
  <c r="CO269" i="24"/>
  <c r="CQ269" i="24"/>
  <c r="CR269" i="24" s="1"/>
  <c r="CT269" i="24" s="1"/>
  <c r="CO222" i="24"/>
  <c r="CQ222" i="24"/>
  <c r="CR222" i="24" s="1"/>
  <c r="CT222" i="24" s="1"/>
  <c r="CO286" i="24"/>
  <c r="CQ286" i="24"/>
  <c r="CR286" i="24" s="1"/>
  <c r="CT286" i="24" s="1"/>
  <c r="CQ231" i="24"/>
  <c r="CR231" i="24" s="1"/>
  <c r="CT231" i="24" s="1"/>
  <c r="CO231" i="24"/>
  <c r="CQ295" i="24"/>
  <c r="CR295" i="24" s="1"/>
  <c r="CT295" i="24" s="1"/>
  <c r="CO295" i="24"/>
  <c r="CO256" i="24"/>
  <c r="CQ256" i="24"/>
  <c r="CR256" i="24" s="1"/>
  <c r="CT256" i="24" s="1"/>
  <c r="CR310" i="25"/>
  <c r="CS310" i="25" s="1"/>
  <c r="CR271" i="25"/>
  <c r="CS271" i="25" s="1"/>
  <c r="CR224" i="25"/>
  <c r="CS224" i="25" s="1"/>
  <c r="CR288" i="25"/>
  <c r="CS288" i="25" s="1"/>
  <c r="CR241" i="25"/>
  <c r="CS241" i="25" s="1"/>
  <c r="CR305" i="25"/>
  <c r="CS305" i="25" s="1"/>
  <c r="CR258" i="25"/>
  <c r="CS258" i="25" s="1"/>
  <c r="CR238" i="25"/>
  <c r="CS238" i="25" s="1"/>
  <c r="CR267" i="25"/>
  <c r="CS267" i="25" s="1"/>
  <c r="CR278" i="25"/>
  <c r="CS278" i="25" s="1"/>
  <c r="CR276" i="25"/>
  <c r="CS276" i="25" s="1"/>
  <c r="CR262" i="25"/>
  <c r="CS262" i="25" s="1"/>
  <c r="CR277" i="25"/>
  <c r="CS277" i="25" s="1"/>
  <c r="CO245" i="24"/>
  <c r="CQ245" i="24"/>
  <c r="CR245" i="24" s="1"/>
  <c r="CT245" i="24" s="1"/>
  <c r="CO266" i="24"/>
  <c r="CQ266" i="24"/>
  <c r="CR266" i="24" s="1"/>
  <c r="CT266" i="24" s="1"/>
  <c r="CQ234" i="24"/>
  <c r="CR234" i="24" s="1"/>
  <c r="CT234" i="24" s="1"/>
  <c r="CO234" i="24"/>
  <c r="CQ275" i="24"/>
  <c r="CR275" i="24" s="1"/>
  <c r="CT275" i="24" s="1"/>
  <c r="CO275" i="24"/>
  <c r="CQ297" i="24"/>
  <c r="CR297" i="24" s="1"/>
  <c r="CT297" i="24" s="1"/>
  <c r="CO297" i="24"/>
  <c r="CO268" i="24"/>
  <c r="CQ268" i="24"/>
  <c r="CR268" i="24" s="1"/>
  <c r="CT268" i="24" s="1"/>
  <c r="CQ289" i="24"/>
  <c r="CR289" i="24" s="1"/>
  <c r="CT289" i="24" s="1"/>
  <c r="CO289" i="24"/>
  <c r="CQ277" i="24"/>
  <c r="CR277" i="24" s="1"/>
  <c r="CT277" i="24" s="1"/>
  <c r="CO277" i="24"/>
  <c r="CQ230" i="24"/>
  <c r="CR230" i="24" s="1"/>
  <c r="CT230" i="24" s="1"/>
  <c r="CO230" i="24"/>
  <c r="CQ294" i="24"/>
  <c r="CR294" i="24" s="1"/>
  <c r="CT294" i="24" s="1"/>
  <c r="CO294" i="24"/>
  <c r="CO239" i="24"/>
  <c r="CQ239" i="24"/>
  <c r="CR239" i="24" s="1"/>
  <c r="CT239" i="24" s="1"/>
  <c r="CQ303" i="24"/>
  <c r="CR303" i="24" s="1"/>
  <c r="CT303" i="24" s="1"/>
  <c r="CO303" i="24"/>
  <c r="CQ264" i="24"/>
  <c r="CR264" i="24" s="1"/>
  <c r="CT264" i="24" s="1"/>
  <c r="CO264" i="24"/>
  <c r="CR216" i="25"/>
  <c r="CX216" i="25" s="1"/>
  <c r="CY216" i="25" s="1"/>
  <c r="CR279" i="25"/>
  <c r="CS279" i="25" s="1"/>
  <c r="CR232" i="25"/>
  <c r="CS232" i="25" s="1"/>
  <c r="CR296" i="25"/>
  <c r="CS296" i="25" s="1"/>
  <c r="CR249" i="25"/>
  <c r="CS249" i="25" s="1"/>
  <c r="CR313" i="25"/>
  <c r="CS313" i="25" s="1"/>
  <c r="CR266" i="25"/>
  <c r="CS266" i="25" s="1"/>
  <c r="CR270" i="25"/>
  <c r="CS270" i="25" s="1"/>
  <c r="CR275" i="25"/>
  <c r="CS275" i="25" s="1"/>
  <c r="CR220" i="25"/>
  <c r="CS220" i="25" s="1"/>
  <c r="CR284" i="25"/>
  <c r="CS284" i="25" s="1"/>
  <c r="CR221" i="25"/>
  <c r="CS221" i="25" s="1"/>
  <c r="CR285" i="25"/>
  <c r="CS285" i="25" s="1"/>
  <c r="CQ305" i="24"/>
  <c r="CR305" i="24" s="1"/>
  <c r="CT305" i="24" s="1"/>
  <c r="CO305" i="24"/>
  <c r="CQ274" i="24"/>
  <c r="CR274" i="24" s="1"/>
  <c r="CT274" i="24" s="1"/>
  <c r="CO274" i="24"/>
  <c r="CO219" i="24"/>
  <c r="CQ219" i="24"/>
  <c r="CR219" i="24" s="1"/>
  <c r="CT219" i="24" s="1"/>
  <c r="CO283" i="24"/>
  <c r="CQ283" i="24"/>
  <c r="CR283" i="24" s="1"/>
  <c r="CT283" i="24" s="1"/>
  <c r="CQ226" i="24"/>
  <c r="CR226" i="24" s="1"/>
  <c r="CT226" i="24" s="1"/>
  <c r="CO226" i="24"/>
  <c r="CQ276" i="24"/>
  <c r="CR276" i="24" s="1"/>
  <c r="CT276" i="24" s="1"/>
  <c r="CO276" i="24"/>
  <c r="CQ221" i="24"/>
  <c r="CR221" i="24" s="1"/>
  <c r="CT221" i="24" s="1"/>
  <c r="CO221" i="24"/>
  <c r="CO285" i="24"/>
  <c r="CQ285" i="24"/>
  <c r="CR285" i="24" s="1"/>
  <c r="CT285" i="24" s="1"/>
  <c r="CO238" i="24"/>
  <c r="CQ238" i="24"/>
  <c r="CR238" i="24" s="1"/>
  <c r="CT238" i="24" s="1"/>
  <c r="CQ302" i="24"/>
  <c r="CR302" i="24" s="1"/>
  <c r="CT302" i="24" s="1"/>
  <c r="CO302" i="24"/>
  <c r="CQ247" i="24"/>
  <c r="CR247" i="24" s="1"/>
  <c r="CT247" i="24" s="1"/>
  <c r="CO247" i="24"/>
  <c r="CQ311" i="24"/>
  <c r="CR311" i="24" s="1"/>
  <c r="CT311" i="24" s="1"/>
  <c r="CO311" i="24"/>
  <c r="CQ272" i="24"/>
  <c r="CR272" i="24" s="1"/>
  <c r="CT272" i="24" s="1"/>
  <c r="CO272" i="24"/>
  <c r="CR223" i="25"/>
  <c r="CS223" i="25" s="1"/>
  <c r="CR287" i="25"/>
  <c r="CS287" i="25" s="1"/>
  <c r="CR240" i="25"/>
  <c r="CS240" i="25" s="1"/>
  <c r="CR304" i="25"/>
  <c r="CS304" i="25" s="1"/>
  <c r="CR257" i="25"/>
  <c r="CS257" i="25" s="1"/>
  <c r="CR294" i="25"/>
  <c r="CS294" i="25" s="1"/>
  <c r="CR274" i="25"/>
  <c r="CS274" i="25" s="1"/>
  <c r="CR219" i="25"/>
  <c r="CS219" i="25" s="1"/>
  <c r="CR283" i="25"/>
  <c r="CS283" i="25" s="1"/>
  <c r="CR228" i="25"/>
  <c r="CS228" i="25" s="1"/>
  <c r="CR292" i="25"/>
  <c r="CS292" i="25" s="1"/>
  <c r="CR229" i="25"/>
  <c r="CS229" i="25" s="1"/>
  <c r="CR293" i="25"/>
  <c r="CS293" i="25" s="1"/>
  <c r="CO217" i="24"/>
  <c r="CQ217" i="24"/>
  <c r="CR217" i="24" s="1"/>
  <c r="CT217" i="24" s="1"/>
  <c r="CQ282" i="24"/>
  <c r="CR282" i="24" s="1"/>
  <c r="CT282" i="24" s="1"/>
  <c r="CO282" i="24"/>
  <c r="CO227" i="24"/>
  <c r="CQ227" i="24"/>
  <c r="CR227" i="24" s="1"/>
  <c r="CT227" i="24" s="1"/>
  <c r="CQ291" i="24"/>
  <c r="CR291" i="24" s="1"/>
  <c r="CT291" i="24" s="1"/>
  <c r="CO291" i="24"/>
  <c r="CO220" i="24"/>
  <c r="CQ220" i="24"/>
  <c r="CR220" i="24" s="1"/>
  <c r="CT220" i="24" s="1"/>
  <c r="CQ284" i="24"/>
  <c r="CR284" i="24" s="1"/>
  <c r="CT284" i="24" s="1"/>
  <c r="CO284" i="24"/>
  <c r="CQ229" i="24"/>
  <c r="CR229" i="24" s="1"/>
  <c r="CT229" i="24" s="1"/>
  <c r="CO229" i="24"/>
  <c r="CO293" i="24"/>
  <c r="CQ293" i="24"/>
  <c r="CR293" i="24" s="1"/>
  <c r="CT293" i="24" s="1"/>
  <c r="CQ246" i="24"/>
  <c r="CR246" i="24" s="1"/>
  <c r="CT246" i="24" s="1"/>
  <c r="CO246" i="24"/>
  <c r="CO310" i="24"/>
  <c r="CQ310" i="24"/>
  <c r="CR310" i="24" s="1"/>
  <c r="CT310" i="24" s="1"/>
  <c r="CQ255" i="24"/>
  <c r="CR255" i="24" s="1"/>
  <c r="CT255" i="24" s="1"/>
  <c r="CO255" i="24"/>
  <c r="CO281" i="24"/>
  <c r="CQ281" i="24"/>
  <c r="CR281" i="24" s="1"/>
  <c r="CT281" i="24" s="1"/>
  <c r="CO280" i="24"/>
  <c r="CQ280" i="24"/>
  <c r="CR280" i="24" s="1"/>
  <c r="CT280" i="24" s="1"/>
  <c r="CR231" i="25"/>
  <c r="CS231" i="25" s="1"/>
  <c r="CR295" i="25"/>
  <c r="CS295" i="25" s="1"/>
  <c r="CR248" i="25"/>
  <c r="CS248" i="25" s="1"/>
  <c r="CR312" i="25"/>
  <c r="CS312" i="25" s="1"/>
  <c r="CR265" i="25"/>
  <c r="CS265" i="25" s="1"/>
  <c r="CR218" i="25"/>
  <c r="CS218" i="25" s="1"/>
  <c r="CR282" i="25"/>
  <c r="CS282" i="25" s="1"/>
  <c r="CR227" i="25"/>
  <c r="CS227" i="25" s="1"/>
  <c r="CR291" i="25"/>
  <c r="CS291" i="25" s="1"/>
  <c r="CR236" i="25"/>
  <c r="CS236" i="25" s="1"/>
  <c r="CR300" i="25"/>
  <c r="CS300" i="25" s="1"/>
  <c r="CR237" i="25"/>
  <c r="CS237" i="25" s="1"/>
  <c r="CR301" i="25"/>
  <c r="CS301" i="25" s="1"/>
  <c r="CQ271" i="24"/>
  <c r="CR271" i="24" s="1"/>
  <c r="CT271" i="24" s="1"/>
  <c r="CO271" i="24"/>
  <c r="CQ273" i="24"/>
  <c r="CR273" i="24" s="1"/>
  <c r="CT273" i="24" s="1"/>
  <c r="CO273" i="24"/>
  <c r="CQ290" i="24"/>
  <c r="CR290" i="24" s="1"/>
  <c r="CT290" i="24" s="1"/>
  <c r="CO290" i="24"/>
  <c r="CQ235" i="24"/>
  <c r="CR235" i="24" s="1"/>
  <c r="CT235" i="24" s="1"/>
  <c r="CO235" i="24"/>
  <c r="CQ299" i="24"/>
  <c r="CR299" i="24" s="1"/>
  <c r="CT299" i="24" s="1"/>
  <c r="CO299" i="24"/>
  <c r="CO228" i="24"/>
  <c r="CQ228" i="24"/>
  <c r="CR228" i="24" s="1"/>
  <c r="CT228" i="24" s="1"/>
  <c r="CO292" i="24"/>
  <c r="CQ292" i="24"/>
  <c r="CR292" i="24" s="1"/>
  <c r="CT292" i="24" s="1"/>
  <c r="CQ237" i="24"/>
  <c r="CR237" i="24" s="1"/>
  <c r="CT237" i="24" s="1"/>
  <c r="CO237" i="24"/>
  <c r="CO301" i="24"/>
  <c r="CQ301" i="24"/>
  <c r="CR301" i="24" s="1"/>
  <c r="CT301" i="24" s="1"/>
  <c r="CO254" i="24"/>
  <c r="CQ254" i="24"/>
  <c r="CR254" i="24" s="1"/>
  <c r="CT254" i="24" s="1"/>
  <c r="CO241" i="24"/>
  <c r="CQ241" i="24"/>
  <c r="CR241" i="24" s="1"/>
  <c r="CT241" i="24" s="1"/>
  <c r="CQ263" i="24"/>
  <c r="CR263" i="24" s="1"/>
  <c r="CT263" i="24" s="1"/>
  <c r="CO263" i="24"/>
  <c r="CO224" i="24"/>
  <c r="CQ224" i="24"/>
  <c r="CR224" i="24" s="1"/>
  <c r="CT224" i="24" s="1"/>
  <c r="CQ288" i="24"/>
  <c r="CR288" i="24" s="1"/>
  <c r="CT288" i="24" s="1"/>
  <c r="CO288" i="24"/>
  <c r="CR239" i="25"/>
  <c r="CS239" i="25" s="1"/>
  <c r="CR303" i="25"/>
  <c r="CS303" i="25" s="1"/>
  <c r="CR256" i="25"/>
  <c r="CS256" i="25" s="1"/>
  <c r="CR286" i="25"/>
  <c r="CS286" i="25" s="1"/>
  <c r="CR273" i="25"/>
  <c r="CS273" i="25" s="1"/>
  <c r="CR226" i="25"/>
  <c r="CS226" i="25" s="1"/>
  <c r="CR290" i="25"/>
  <c r="CS290" i="25" s="1"/>
  <c r="CR235" i="25"/>
  <c r="CS235" i="25" s="1"/>
  <c r="CR299" i="25"/>
  <c r="CS299" i="25" s="1"/>
  <c r="CR244" i="25"/>
  <c r="CS244" i="25" s="1"/>
  <c r="CR308" i="25"/>
  <c r="CS308" i="25" s="1"/>
  <c r="CR245" i="25"/>
  <c r="CS245" i="25" s="1"/>
  <c r="CR309" i="25"/>
  <c r="CS309" i="25" s="1"/>
  <c r="CS96" i="25"/>
  <c r="CS49" i="25"/>
  <c r="CS30" i="25"/>
  <c r="CS83" i="25"/>
  <c r="CS60" i="25"/>
  <c r="CS84" i="25"/>
  <c r="CS38" i="25"/>
  <c r="CS69" i="25"/>
  <c r="CS65" i="25"/>
  <c r="CS57" i="25"/>
  <c r="CS102" i="25"/>
  <c r="CS64" i="25"/>
  <c r="CS56" i="25"/>
  <c r="CS53" i="25"/>
  <c r="CS75" i="25"/>
  <c r="CS22" i="25"/>
  <c r="CS101" i="25"/>
  <c r="CS73" i="25"/>
  <c r="CS122" i="25"/>
  <c r="CS34" i="25"/>
  <c r="CS26" i="25"/>
  <c r="CS18" i="25"/>
  <c r="CS61" i="25"/>
  <c r="CS105" i="25"/>
  <c r="CS14" i="25"/>
  <c r="CS6" i="25"/>
  <c r="CS13" i="25"/>
  <c r="CS97" i="25"/>
  <c r="CS72" i="25"/>
  <c r="CS21" i="25"/>
  <c r="CS87" i="25"/>
  <c r="CS10" i="25"/>
  <c r="CS46" i="25"/>
  <c r="CS54" i="25"/>
  <c r="CS62" i="25"/>
  <c r="CS70" i="25"/>
  <c r="CS80" i="25"/>
  <c r="CS81" i="25"/>
  <c r="CS25" i="25"/>
  <c r="CS17" i="25"/>
  <c r="CS95" i="25"/>
  <c r="CS91" i="25"/>
  <c r="CS92" i="25"/>
  <c r="CS68" i="25"/>
  <c r="CS88" i="25"/>
  <c r="CS98" i="25"/>
  <c r="CS16" i="25"/>
  <c r="CS9" i="25"/>
  <c r="CS50" i="25"/>
  <c r="CS35" i="25"/>
  <c r="CS42" i="25"/>
  <c r="CS29" i="25"/>
  <c r="CS66" i="25"/>
  <c r="CS58" i="25"/>
  <c r="CS79" i="25"/>
  <c r="CS32" i="25"/>
  <c r="CS15" i="25"/>
  <c r="CS103" i="25"/>
  <c r="CS7" i="25"/>
  <c r="CS48" i="25"/>
  <c r="CS55" i="25"/>
  <c r="CS86" i="25"/>
  <c r="CS20" i="25"/>
  <c r="CS33" i="25"/>
  <c r="CS89" i="25"/>
  <c r="CS90" i="25"/>
  <c r="CS74" i="25"/>
  <c r="CS76" i="25"/>
  <c r="CS51" i="25"/>
  <c r="CS28" i="25"/>
  <c r="CS41" i="25"/>
  <c r="CS44" i="25"/>
  <c r="CS27" i="25"/>
  <c r="CS11" i="25"/>
  <c r="CS36" i="25"/>
  <c r="CS67" i="25"/>
  <c r="CS31" i="25"/>
  <c r="CS47" i="25"/>
  <c r="CS59" i="25"/>
  <c r="CS71" i="25"/>
  <c r="CS94" i="25"/>
  <c r="CS45" i="25"/>
  <c r="CS40" i="25"/>
  <c r="CS43" i="25"/>
  <c r="CS78" i="25"/>
  <c r="CS85" i="25"/>
  <c r="CS77" i="25"/>
  <c r="CS63" i="25"/>
  <c r="CS23" i="25"/>
  <c r="CS37" i="25"/>
  <c r="CS104" i="25"/>
  <c r="CS82" i="25"/>
  <c r="CS8" i="25"/>
  <c r="CS99" i="25"/>
  <c r="CS93" i="25"/>
  <c r="CS39" i="25"/>
  <c r="CS12" i="25"/>
  <c r="CS100" i="25"/>
  <c r="CS24" i="25"/>
  <c r="CS19" i="25"/>
  <c r="CS52" i="25"/>
  <c r="CJ306" i="25"/>
  <c r="CJ300" i="25"/>
  <c r="CJ299" i="25"/>
  <c r="CJ278" i="25"/>
  <c r="CJ263" i="25"/>
  <c r="CJ259" i="25"/>
  <c r="CJ256" i="25"/>
  <c r="CJ250" i="25"/>
  <c r="CJ235" i="25"/>
  <c r="CJ225" i="25"/>
  <c r="CJ220" i="25"/>
  <c r="CJ210" i="25"/>
  <c r="CJ207" i="25"/>
  <c r="CJ200" i="25"/>
  <c r="CJ197" i="25"/>
  <c r="CJ195" i="25"/>
  <c r="CJ194" i="25"/>
  <c r="CJ192" i="25"/>
  <c r="CJ186" i="25"/>
  <c r="CJ178" i="25"/>
  <c r="CJ167" i="25"/>
  <c r="CJ147" i="25"/>
  <c r="CJ309" i="25"/>
  <c r="CJ307" i="25"/>
  <c r="CJ275" i="25"/>
  <c r="CJ272" i="25"/>
  <c r="CJ271" i="25"/>
  <c r="CJ267" i="25"/>
  <c r="CJ255" i="25"/>
  <c r="CJ254" i="25"/>
  <c r="CJ251" i="25"/>
  <c r="CJ242" i="25"/>
  <c r="CJ241" i="25"/>
  <c r="CJ236" i="25"/>
  <c r="CJ231" i="25"/>
  <c r="CJ218" i="25"/>
  <c r="CJ205" i="25"/>
  <c r="CJ198" i="25"/>
  <c r="CJ182" i="25"/>
  <c r="CJ181" i="25"/>
  <c r="CJ180" i="25"/>
  <c r="CJ179" i="25"/>
  <c r="CJ166" i="25"/>
  <c r="CJ158" i="25"/>
  <c r="CJ155" i="25"/>
  <c r="CJ149" i="25"/>
  <c r="CJ314" i="25"/>
  <c r="CJ295" i="25"/>
  <c r="CJ294" i="25"/>
  <c r="CJ289" i="25"/>
  <c r="CJ279" i="25"/>
  <c r="CJ268" i="25"/>
  <c r="CJ260" i="25"/>
  <c r="CJ253" i="25"/>
  <c r="CJ252" i="25"/>
  <c r="CJ244" i="25"/>
  <c r="CJ237" i="25"/>
  <c r="CJ228" i="25"/>
  <c r="CJ204" i="25"/>
  <c r="CJ203" i="25"/>
  <c r="CJ187" i="25"/>
  <c r="CJ183" i="25"/>
  <c r="CJ168" i="25"/>
  <c r="CJ164" i="25"/>
  <c r="CJ161" i="25"/>
  <c r="CJ152" i="25"/>
  <c r="CJ310" i="25"/>
  <c r="CJ303" i="25"/>
  <c r="CJ301" i="25"/>
  <c r="CJ246" i="25"/>
  <c r="CJ245" i="25"/>
  <c r="CJ243" i="25"/>
  <c r="CJ238" i="25"/>
  <c r="CJ232" i="25"/>
  <c r="CJ223" i="25"/>
  <c r="CJ221" i="25"/>
  <c r="CJ191" i="25"/>
  <c r="CJ170" i="25"/>
  <c r="CJ169" i="25"/>
  <c r="CJ156" i="25"/>
  <c r="CJ146" i="25"/>
  <c r="CJ315" i="25"/>
  <c r="CJ311" i="25"/>
  <c r="CJ297" i="25"/>
  <c r="CJ296" i="25"/>
  <c r="CJ292" i="25"/>
  <c r="CJ290" i="25"/>
  <c r="CJ280" i="25"/>
  <c r="CJ276" i="25"/>
  <c r="CJ269" i="25"/>
  <c r="CJ261" i="25"/>
  <c r="CJ248" i="25"/>
  <c r="CJ229" i="25"/>
  <c r="CJ190" i="25"/>
  <c r="CJ189" i="25"/>
  <c r="CJ188" i="25"/>
  <c r="CJ185" i="25"/>
  <c r="CJ184" i="25"/>
  <c r="CJ165" i="25"/>
  <c r="CJ162" i="25"/>
  <c r="CJ159" i="25"/>
  <c r="CJ308" i="25"/>
  <c r="CJ287" i="25"/>
  <c r="CJ285" i="25"/>
  <c r="CJ283" i="25"/>
  <c r="CJ281" i="25"/>
  <c r="CJ274" i="25"/>
  <c r="CJ273" i="25"/>
  <c r="CJ270" i="25"/>
  <c r="CJ247" i="25"/>
  <c r="CJ239" i="25"/>
  <c r="CJ233" i="25"/>
  <c r="CJ226" i="25"/>
  <c r="CJ219" i="25"/>
  <c r="CJ217" i="25"/>
  <c r="CJ206" i="25"/>
  <c r="CJ202" i="25"/>
  <c r="CJ172" i="25"/>
  <c r="CJ171" i="25"/>
  <c r="CJ153" i="25"/>
  <c r="CJ148" i="25"/>
  <c r="CJ302" i="25"/>
  <c r="CJ291" i="25"/>
  <c r="CJ249" i="25"/>
  <c r="CJ222" i="25"/>
  <c r="CJ193" i="25"/>
  <c r="CJ173" i="25"/>
  <c r="CJ151" i="25"/>
  <c r="CJ143" i="25"/>
  <c r="CJ288" i="25"/>
  <c r="CJ282" i="25"/>
  <c r="CJ264" i="25"/>
  <c r="CJ224" i="25"/>
  <c r="CJ209" i="25"/>
  <c r="CJ140" i="25"/>
  <c r="CJ130" i="25"/>
  <c r="CJ129" i="25"/>
  <c r="CJ128" i="25"/>
  <c r="CJ124" i="25"/>
  <c r="CJ120" i="25"/>
  <c r="CJ118" i="25"/>
  <c r="CJ78" i="25"/>
  <c r="CJ69" i="25"/>
  <c r="CJ65" i="25"/>
  <c r="CJ57" i="25"/>
  <c r="CJ44" i="25"/>
  <c r="CJ32" i="25"/>
  <c r="CJ304" i="25"/>
  <c r="CJ293" i="25"/>
  <c r="CJ257" i="25"/>
  <c r="CJ227" i="25"/>
  <c r="CJ177" i="25"/>
  <c r="CJ145" i="25"/>
  <c r="CJ137" i="25"/>
  <c r="CJ134" i="25"/>
  <c r="CJ127" i="25"/>
  <c r="CJ123" i="25"/>
  <c r="CJ122" i="25"/>
  <c r="CJ121" i="25"/>
  <c r="CJ100" i="25"/>
  <c r="CJ85" i="25"/>
  <c r="CJ39" i="25"/>
  <c r="CJ312" i="25"/>
  <c r="CJ201" i="25"/>
  <c r="CJ174" i="25"/>
  <c r="CJ142" i="25"/>
  <c r="CJ139" i="25"/>
  <c r="CJ126" i="25"/>
  <c r="CJ125" i="25"/>
  <c r="CJ102" i="25"/>
  <c r="CJ101" i="25"/>
  <c r="CJ99" i="25"/>
  <c r="CJ94" i="25"/>
  <c r="CJ93" i="25"/>
  <c r="CJ88" i="25"/>
  <c r="CJ86" i="25"/>
  <c r="CJ79" i="25"/>
  <c r="CJ64" i="25"/>
  <c r="CJ56" i="25"/>
  <c r="CJ54" i="25"/>
  <c r="CJ50" i="25"/>
  <c r="CJ45" i="25"/>
  <c r="CJ40" i="25"/>
  <c r="CJ34" i="25"/>
  <c r="CJ33" i="25"/>
  <c r="CJ316" i="25"/>
  <c r="CJ286" i="25"/>
  <c r="CJ265" i="25"/>
  <c r="CJ150" i="25"/>
  <c r="CJ136" i="25"/>
  <c r="CJ95" i="25"/>
  <c r="CJ87" i="25"/>
  <c r="CJ74" i="25"/>
  <c r="CJ73" i="25"/>
  <c r="CJ63" i="25"/>
  <c r="CJ62" i="25"/>
  <c r="CJ52" i="25"/>
  <c r="CJ46" i="25"/>
  <c r="CJ298" i="25"/>
  <c r="CJ277" i="25"/>
  <c r="CJ262" i="25"/>
  <c r="CJ234" i="25"/>
  <c r="CJ196" i="25"/>
  <c r="CJ144" i="25"/>
  <c r="CJ138" i="25"/>
  <c r="CJ104" i="25"/>
  <c r="CJ96" i="25"/>
  <c r="CJ90" i="25"/>
  <c r="CJ89" i="25"/>
  <c r="CJ68" i="25"/>
  <c r="CJ67" i="25"/>
  <c r="CJ53" i="25"/>
  <c r="CJ51" i="25"/>
  <c r="CJ313" i="25"/>
  <c r="CJ284" i="25"/>
  <c r="CJ266" i="25"/>
  <c r="CJ119" i="25"/>
  <c r="CJ91" i="25"/>
  <c r="CJ84" i="25"/>
  <c r="CJ80" i="25"/>
  <c r="CJ75" i="25"/>
  <c r="CJ70" i="25"/>
  <c r="CJ48" i="25"/>
  <c r="CJ47" i="25"/>
  <c r="CJ22" i="25"/>
  <c r="CJ12" i="25"/>
  <c r="CJ11" i="25"/>
  <c r="CJ10" i="25"/>
  <c r="CJ258" i="25"/>
  <c r="CJ115" i="25"/>
  <c r="CJ71" i="25"/>
  <c r="CJ55" i="25"/>
  <c r="CJ43" i="25"/>
  <c r="CJ305" i="25"/>
  <c r="CJ135" i="25"/>
  <c r="CJ116" i="25"/>
  <c r="CJ111" i="25"/>
  <c r="CJ105" i="25"/>
  <c r="CJ92" i="25"/>
  <c r="CJ82" i="25"/>
  <c r="CJ59" i="25"/>
  <c r="CJ49" i="25"/>
  <c r="CJ36" i="25"/>
  <c r="CJ35" i="25"/>
  <c r="CJ41" i="25"/>
  <c r="CJ30" i="25"/>
  <c r="CJ28" i="25"/>
  <c r="CJ27" i="25"/>
  <c r="CJ25" i="25"/>
  <c r="CJ16" i="25"/>
  <c r="CJ61" i="25"/>
  <c r="CJ31" i="25"/>
  <c r="CJ141" i="25"/>
  <c r="CJ13" i="25"/>
  <c r="CJ9" i="25"/>
  <c r="CJ175" i="25"/>
  <c r="CJ117" i="25"/>
  <c r="CJ103" i="25"/>
  <c r="CJ97" i="25"/>
  <c r="CJ77" i="25"/>
  <c r="CJ21" i="25"/>
  <c r="CJ42" i="25"/>
  <c r="CJ17" i="25"/>
  <c r="CJ15" i="25"/>
  <c r="CJ230" i="25"/>
  <c r="CJ131" i="25"/>
  <c r="CJ83" i="25"/>
  <c r="CJ72" i="25"/>
  <c r="CJ66" i="25"/>
  <c r="CJ81" i="25"/>
  <c r="CJ176" i="25"/>
  <c r="CJ157" i="25"/>
  <c r="CJ154" i="25"/>
  <c r="CJ132" i="25"/>
  <c r="CJ113" i="25"/>
  <c r="CJ98" i="25"/>
  <c r="CJ60" i="25"/>
  <c r="CJ29" i="25"/>
  <c r="CJ14" i="25"/>
  <c r="CJ208" i="25"/>
  <c r="CJ199" i="25"/>
  <c r="CJ163" i="25"/>
  <c r="CJ160" i="25"/>
  <c r="CJ133" i="25"/>
  <c r="CJ114" i="25"/>
  <c r="CJ58" i="25"/>
  <c r="CJ37" i="25"/>
  <c r="CJ8" i="25"/>
  <c r="CJ240" i="25"/>
  <c r="CJ76" i="25"/>
  <c r="CJ26" i="25"/>
  <c r="CJ19" i="25"/>
  <c r="CJ23" i="25"/>
  <c r="CJ24" i="25"/>
  <c r="CJ38" i="25"/>
  <c r="CJ20" i="25"/>
  <c r="CJ18" i="25"/>
  <c r="CJ300" i="24"/>
  <c r="ES300" i="24" s="1"/>
  <c r="EV300" i="24" s="1"/>
  <c r="CJ296" i="24"/>
  <c r="ES296" i="24" s="1"/>
  <c r="EV296" i="24" s="1"/>
  <c r="CJ289" i="24"/>
  <c r="ES289" i="24" s="1"/>
  <c r="EV289" i="24" s="1"/>
  <c r="CJ280" i="24"/>
  <c r="ES280" i="24" s="1"/>
  <c r="EV280" i="24" s="1"/>
  <c r="CJ274" i="24"/>
  <c r="ES274" i="24" s="1"/>
  <c r="EV274" i="24" s="1"/>
  <c r="CJ269" i="24"/>
  <c r="ES269" i="24" s="1"/>
  <c r="EV269" i="24" s="1"/>
  <c r="CJ316" i="24"/>
  <c r="ES316" i="24" s="1"/>
  <c r="EV316" i="24" s="1"/>
  <c r="CJ313" i="24"/>
  <c r="ES313" i="24" s="1"/>
  <c r="EV313" i="24" s="1"/>
  <c r="CJ302" i="24"/>
  <c r="ES302" i="24" s="1"/>
  <c r="EV302" i="24" s="1"/>
  <c r="CJ283" i="24"/>
  <c r="ES283" i="24" s="1"/>
  <c r="EV283" i="24" s="1"/>
  <c r="CJ281" i="24"/>
  <c r="ES281" i="24" s="1"/>
  <c r="EV281" i="24" s="1"/>
  <c r="CJ278" i="24"/>
  <c r="ES278" i="24" s="1"/>
  <c r="EV278" i="24" s="1"/>
  <c r="CJ254" i="24"/>
  <c r="ES254" i="24" s="1"/>
  <c r="EV254" i="24" s="1"/>
  <c r="CJ252" i="24"/>
  <c r="ES252" i="24" s="1"/>
  <c r="EV252" i="24" s="1"/>
  <c r="CJ251" i="24"/>
  <c r="ES251" i="24" s="1"/>
  <c r="EV251" i="24" s="1"/>
  <c r="CJ246" i="24"/>
  <c r="ES246" i="24" s="1"/>
  <c r="EV246" i="24" s="1"/>
  <c r="CJ238" i="24"/>
  <c r="ES238" i="24" s="1"/>
  <c r="EV238" i="24" s="1"/>
  <c r="CJ236" i="24"/>
  <c r="ES236" i="24" s="1"/>
  <c r="EV236" i="24" s="1"/>
  <c r="CJ205" i="24"/>
  <c r="CJ204" i="24"/>
  <c r="CJ202" i="24"/>
  <c r="CJ199" i="24"/>
  <c r="CJ198" i="24"/>
  <c r="CJ196" i="24"/>
  <c r="CJ190" i="24"/>
  <c r="CJ189" i="24"/>
  <c r="CJ314" i="24"/>
  <c r="ES314" i="24" s="1"/>
  <c r="EV314" i="24" s="1"/>
  <c r="CJ311" i="24"/>
  <c r="ES311" i="24" s="1"/>
  <c r="EV311" i="24" s="1"/>
  <c r="CJ308" i="24"/>
  <c r="ES308" i="24" s="1"/>
  <c r="EV308" i="24" s="1"/>
  <c r="CJ304" i="24"/>
  <c r="ES304" i="24" s="1"/>
  <c r="EV304" i="24" s="1"/>
  <c r="CJ295" i="24"/>
  <c r="ES295" i="24" s="1"/>
  <c r="EV295" i="24" s="1"/>
  <c r="CJ290" i="24"/>
  <c r="ES290" i="24" s="1"/>
  <c r="EV290" i="24" s="1"/>
  <c r="CJ287" i="24"/>
  <c r="ES287" i="24" s="1"/>
  <c r="EV287" i="24" s="1"/>
  <c r="CJ284" i="24"/>
  <c r="ES284" i="24" s="1"/>
  <c r="EV284" i="24" s="1"/>
  <c r="CJ282" i="24"/>
  <c r="ES282" i="24" s="1"/>
  <c r="EV282" i="24" s="1"/>
  <c r="CJ262" i="24"/>
  <c r="ES262" i="24" s="1"/>
  <c r="EV262" i="24" s="1"/>
  <c r="CJ248" i="24"/>
  <c r="ES248" i="24" s="1"/>
  <c r="EV248" i="24" s="1"/>
  <c r="CJ247" i="24"/>
  <c r="ES247" i="24" s="1"/>
  <c r="EV247" i="24" s="1"/>
  <c r="CJ227" i="24"/>
  <c r="ES227" i="24" s="1"/>
  <c r="EV227" i="24" s="1"/>
  <c r="CJ223" i="24"/>
  <c r="ES223" i="24" s="1"/>
  <c r="EV223" i="24" s="1"/>
  <c r="CJ219" i="24"/>
  <c r="ES219" i="24" s="1"/>
  <c r="EV219" i="24" s="1"/>
  <c r="CJ206" i="24"/>
  <c r="CJ200" i="24"/>
  <c r="CJ293" i="24"/>
  <c r="ES293" i="24" s="1"/>
  <c r="EV293" i="24" s="1"/>
  <c r="CJ292" i="24"/>
  <c r="ES292" i="24" s="1"/>
  <c r="EV292" i="24" s="1"/>
  <c r="CJ273" i="24"/>
  <c r="ES273" i="24" s="1"/>
  <c r="EV273" i="24" s="1"/>
  <c r="CJ268" i="24"/>
  <c r="ES268" i="24" s="1"/>
  <c r="EV268" i="24" s="1"/>
  <c r="CJ260" i="24"/>
  <c r="ES260" i="24" s="1"/>
  <c r="EV260" i="24" s="1"/>
  <c r="CJ259" i="24"/>
  <c r="ES259" i="24" s="1"/>
  <c r="EV259" i="24" s="1"/>
  <c r="CJ255" i="24"/>
  <c r="ES255" i="24" s="1"/>
  <c r="EV255" i="24" s="1"/>
  <c r="CJ253" i="24"/>
  <c r="ES253" i="24" s="1"/>
  <c r="EV253" i="24" s="1"/>
  <c r="CJ245" i="24"/>
  <c r="ES245" i="24" s="1"/>
  <c r="EV245" i="24" s="1"/>
  <c r="CJ241" i="24"/>
  <c r="ES241" i="24" s="1"/>
  <c r="EV241" i="24" s="1"/>
  <c r="CJ231" i="24"/>
  <c r="ES231" i="24" s="1"/>
  <c r="EV231" i="24" s="1"/>
  <c r="CJ229" i="24"/>
  <c r="ES229" i="24" s="1"/>
  <c r="EV229" i="24" s="1"/>
  <c r="CJ225" i="24"/>
  <c r="ES225" i="24" s="1"/>
  <c r="EV225" i="24" s="1"/>
  <c r="CJ208" i="24"/>
  <c r="CJ203" i="24"/>
  <c r="CJ187" i="24"/>
  <c r="CJ185" i="24"/>
  <c r="CJ305" i="24"/>
  <c r="ES305" i="24" s="1"/>
  <c r="EV305" i="24" s="1"/>
  <c r="CJ303" i="24"/>
  <c r="ES303" i="24" s="1"/>
  <c r="EV303" i="24" s="1"/>
  <c r="CJ301" i="24"/>
  <c r="ES301" i="24" s="1"/>
  <c r="EV301" i="24" s="1"/>
  <c r="CJ299" i="24"/>
  <c r="ES299" i="24" s="1"/>
  <c r="EV299" i="24" s="1"/>
  <c r="CJ297" i="24"/>
  <c r="ES297" i="24" s="1"/>
  <c r="EV297" i="24" s="1"/>
  <c r="CJ285" i="24"/>
  <c r="ES285" i="24" s="1"/>
  <c r="EV285" i="24" s="1"/>
  <c r="CJ277" i="24"/>
  <c r="ES277" i="24" s="1"/>
  <c r="EV277" i="24" s="1"/>
  <c r="CJ276" i="24"/>
  <c r="ES276" i="24" s="1"/>
  <c r="EV276" i="24" s="1"/>
  <c r="CJ265" i="24"/>
  <c r="ES265" i="24" s="1"/>
  <c r="EV265" i="24" s="1"/>
  <c r="CJ261" i="24"/>
  <c r="ES261" i="24" s="1"/>
  <c r="EV261" i="24" s="1"/>
  <c r="CJ257" i="24"/>
  <c r="ES257" i="24" s="1"/>
  <c r="EV257" i="24" s="1"/>
  <c r="CJ239" i="24"/>
  <c r="ES239" i="24" s="1"/>
  <c r="EV239" i="24" s="1"/>
  <c r="CJ232" i="24"/>
  <c r="ES232" i="24" s="1"/>
  <c r="EV232" i="24" s="1"/>
  <c r="CJ226" i="24"/>
  <c r="ES226" i="24" s="1"/>
  <c r="EV226" i="24" s="1"/>
  <c r="CJ224" i="24"/>
  <c r="ES224" i="24" s="1"/>
  <c r="EV224" i="24" s="1"/>
  <c r="CJ222" i="24"/>
  <c r="ES222" i="24" s="1"/>
  <c r="EV222" i="24" s="1"/>
  <c r="CJ210" i="24"/>
  <c r="CJ197" i="24"/>
  <c r="CJ195" i="24"/>
  <c r="CJ315" i="24"/>
  <c r="ES315" i="24" s="1"/>
  <c r="EV315" i="24" s="1"/>
  <c r="CJ309" i="24"/>
  <c r="ES309" i="24" s="1"/>
  <c r="EV309" i="24" s="1"/>
  <c r="CJ294" i="24"/>
  <c r="ES294" i="24" s="1"/>
  <c r="EV294" i="24" s="1"/>
  <c r="CJ286" i="24"/>
  <c r="ES286" i="24" s="1"/>
  <c r="EV286" i="24" s="1"/>
  <c r="CJ279" i="24"/>
  <c r="ES279" i="24" s="1"/>
  <c r="EV279" i="24" s="1"/>
  <c r="CJ275" i="24"/>
  <c r="ES275" i="24" s="1"/>
  <c r="EV275" i="24" s="1"/>
  <c r="CJ270" i="24"/>
  <c r="ES270" i="24" s="1"/>
  <c r="EV270" i="24" s="1"/>
  <c r="CJ249" i="24"/>
  <c r="ES249" i="24" s="1"/>
  <c r="EV249" i="24" s="1"/>
  <c r="CJ237" i="24"/>
  <c r="ES237" i="24" s="1"/>
  <c r="EV237" i="24" s="1"/>
  <c r="CJ233" i="24"/>
  <c r="ES233" i="24" s="1"/>
  <c r="EV233" i="24" s="1"/>
  <c r="CJ221" i="24"/>
  <c r="ES221" i="24" s="1"/>
  <c r="EV221" i="24" s="1"/>
  <c r="CJ192" i="24"/>
  <c r="CJ191" i="24"/>
  <c r="CJ312" i="24"/>
  <c r="ES312" i="24" s="1"/>
  <c r="EV312" i="24" s="1"/>
  <c r="CJ288" i="24"/>
  <c r="ES288" i="24" s="1"/>
  <c r="EV288" i="24" s="1"/>
  <c r="CJ272" i="24"/>
  <c r="ES272" i="24" s="1"/>
  <c r="EV272" i="24" s="1"/>
  <c r="CJ271" i="24"/>
  <c r="ES271" i="24" s="1"/>
  <c r="EV271" i="24" s="1"/>
  <c r="CJ267" i="24"/>
  <c r="ES267" i="24" s="1"/>
  <c r="EV267" i="24" s="1"/>
  <c r="CJ263" i="24"/>
  <c r="ES263" i="24" s="1"/>
  <c r="EV263" i="24" s="1"/>
  <c r="CJ240" i="24"/>
  <c r="ES240" i="24" s="1"/>
  <c r="EV240" i="24" s="1"/>
  <c r="CJ235" i="24"/>
  <c r="ES235" i="24" s="1"/>
  <c r="EV235" i="24" s="1"/>
  <c r="CJ230" i="24"/>
  <c r="ES230" i="24" s="1"/>
  <c r="EV230" i="24" s="1"/>
  <c r="CJ220" i="24"/>
  <c r="ES220" i="24" s="1"/>
  <c r="EV220" i="24" s="1"/>
  <c r="CJ207" i="24"/>
  <c r="CJ201" i="24"/>
  <c r="CJ306" i="24"/>
  <c r="ES306" i="24" s="1"/>
  <c r="EV306" i="24" s="1"/>
  <c r="CJ298" i="24"/>
  <c r="ES298" i="24" s="1"/>
  <c r="EV298" i="24" s="1"/>
  <c r="CJ291" i="24"/>
  <c r="ES291" i="24" s="1"/>
  <c r="EV291" i="24" s="1"/>
  <c r="CJ243" i="24"/>
  <c r="ES243" i="24" s="1"/>
  <c r="EV243" i="24" s="1"/>
  <c r="CJ183" i="24"/>
  <c r="CJ181" i="24"/>
  <c r="CJ180" i="24"/>
  <c r="CJ176" i="24"/>
  <c r="CJ171" i="24"/>
  <c r="CJ157" i="24"/>
  <c r="CJ150" i="24"/>
  <c r="CJ143" i="24"/>
  <c r="CJ134" i="24"/>
  <c r="CJ131" i="24"/>
  <c r="CJ125" i="24"/>
  <c r="CJ114" i="24"/>
  <c r="CJ98" i="24"/>
  <c r="CJ83" i="24"/>
  <c r="CJ250" i="24"/>
  <c r="ES250" i="24" s="1"/>
  <c r="EV250" i="24" s="1"/>
  <c r="CJ228" i="24"/>
  <c r="ES228" i="24" s="1"/>
  <c r="EV228" i="24" s="1"/>
  <c r="CJ186" i="24"/>
  <c r="CJ184" i="24"/>
  <c r="CJ178" i="24"/>
  <c r="CJ174" i="24"/>
  <c r="CJ161" i="24"/>
  <c r="CJ153" i="24"/>
  <c r="CJ115" i="24"/>
  <c r="CJ112" i="24"/>
  <c r="CJ105" i="24"/>
  <c r="CJ101" i="24"/>
  <c r="CJ95" i="24"/>
  <c r="CJ310" i="24"/>
  <c r="ES310" i="24" s="1"/>
  <c r="EV310" i="24" s="1"/>
  <c r="CJ307" i="24"/>
  <c r="ES307" i="24" s="1"/>
  <c r="EV307" i="24" s="1"/>
  <c r="CJ209" i="24"/>
  <c r="CJ194" i="24"/>
  <c r="CJ175" i="24"/>
  <c r="CJ169" i="24"/>
  <c r="CJ160" i="24"/>
  <c r="CJ141" i="24"/>
  <c r="CJ138" i="24"/>
  <c r="CJ132" i="24"/>
  <c r="CJ123" i="24"/>
  <c r="CJ116" i="24"/>
  <c r="CJ104" i="24"/>
  <c r="CJ102" i="24"/>
  <c r="CJ100" i="24"/>
  <c r="CJ256" i="24"/>
  <c r="ES256" i="24" s="1"/>
  <c r="EV256" i="24" s="1"/>
  <c r="CJ188" i="24"/>
  <c r="CJ179" i="24"/>
  <c r="CJ177" i="24"/>
  <c r="CJ164" i="24"/>
  <c r="CJ154" i="24"/>
  <c r="CJ147" i="24"/>
  <c r="CJ135" i="24"/>
  <c r="CJ128" i="24"/>
  <c r="CJ124" i="24"/>
  <c r="CJ81" i="24"/>
  <c r="CJ244" i="24"/>
  <c r="ES244" i="24" s="1"/>
  <c r="EV244" i="24" s="1"/>
  <c r="CJ242" i="24"/>
  <c r="ES242" i="24" s="1"/>
  <c r="EV242" i="24" s="1"/>
  <c r="CJ182" i="24"/>
  <c r="CJ173" i="24"/>
  <c r="CJ165" i="24"/>
  <c r="CJ158" i="24"/>
  <c r="CJ151" i="24"/>
  <c r="CJ148" i="24"/>
  <c r="CJ146" i="24"/>
  <c r="CJ133" i="24"/>
  <c r="CJ129" i="24"/>
  <c r="CJ126" i="24"/>
  <c r="CJ121" i="24"/>
  <c r="CJ117" i="24"/>
  <c r="CJ99" i="24"/>
  <c r="CJ264" i="24"/>
  <c r="ES264" i="24" s="1"/>
  <c r="EV264" i="24" s="1"/>
  <c r="CJ217" i="24"/>
  <c r="ES217" i="24" s="1"/>
  <c r="EV217" i="24" s="1"/>
  <c r="CJ172" i="24"/>
  <c r="CJ166" i="24"/>
  <c r="CJ155" i="24"/>
  <c r="CJ144" i="24"/>
  <c r="CJ142" i="24"/>
  <c r="CJ140" i="24"/>
  <c r="CJ139" i="24"/>
  <c r="CJ136" i="24"/>
  <c r="CJ111" i="24"/>
  <c r="CJ82" i="24"/>
  <c r="CJ80" i="24"/>
  <c r="CJ78" i="24"/>
  <c r="CJ74" i="24"/>
  <c r="CJ69" i="24"/>
  <c r="CJ47" i="24"/>
  <c r="CJ40" i="24"/>
  <c r="CJ38" i="24"/>
  <c r="CJ37" i="24"/>
  <c r="CJ33" i="24"/>
  <c r="CJ32" i="24"/>
  <c r="CJ31" i="24"/>
  <c r="CJ266" i="24"/>
  <c r="ES266" i="24" s="1"/>
  <c r="EV266" i="24" s="1"/>
  <c r="CJ258" i="24"/>
  <c r="ES258" i="24" s="1"/>
  <c r="EV258" i="24" s="1"/>
  <c r="CJ234" i="24"/>
  <c r="ES234" i="24" s="1"/>
  <c r="EV234" i="24" s="1"/>
  <c r="CJ193" i="24"/>
  <c r="CJ170" i="24"/>
  <c r="CJ163" i="24"/>
  <c r="CJ159" i="24"/>
  <c r="CJ145" i="24"/>
  <c r="CJ127" i="24"/>
  <c r="CJ120" i="24"/>
  <c r="CJ113" i="24"/>
  <c r="CJ89" i="24"/>
  <c r="CJ88" i="24"/>
  <c r="CJ76" i="24"/>
  <c r="CJ68" i="24"/>
  <c r="CJ218" i="24"/>
  <c r="ES218" i="24" s="1"/>
  <c r="EV218" i="24" s="1"/>
  <c r="CJ168" i="24"/>
  <c r="CJ167" i="24"/>
  <c r="CJ162" i="24"/>
  <c r="CJ156" i="24"/>
  <c r="CJ152" i="24"/>
  <c r="CJ149" i="24"/>
  <c r="CJ137" i="24"/>
  <c r="CJ130" i="24"/>
  <c r="CJ122" i="24"/>
  <c r="CJ119" i="24"/>
  <c r="CJ118" i="24"/>
  <c r="CJ103" i="24"/>
  <c r="CJ97" i="24"/>
  <c r="CJ93" i="24"/>
  <c r="CJ63" i="24"/>
  <c r="CJ44" i="24"/>
  <c r="CJ43" i="24"/>
  <c r="CJ41" i="24"/>
  <c r="CJ70" i="24"/>
  <c r="CJ20" i="24"/>
  <c r="CJ7" i="24"/>
  <c r="CJ90" i="24"/>
  <c r="CJ85" i="24"/>
  <c r="CJ79" i="24"/>
  <c r="CJ71" i="24"/>
  <c r="CJ66" i="24"/>
  <c r="CJ64" i="24"/>
  <c r="CJ60" i="24"/>
  <c r="CJ56" i="24"/>
  <c r="CJ54" i="24"/>
  <c r="CJ51" i="24"/>
  <c r="CJ49" i="24"/>
  <c r="CJ39" i="24"/>
  <c r="CJ36" i="24"/>
  <c r="CJ14" i="24"/>
  <c r="CJ29" i="24"/>
  <c r="CJ19" i="24"/>
  <c r="CJ8" i="24"/>
  <c r="CJ13" i="24"/>
  <c r="CJ96" i="24"/>
  <c r="CJ91" i="24"/>
  <c r="CJ75" i="24"/>
  <c r="CJ73" i="24"/>
  <c r="CJ62" i="24"/>
  <c r="CJ55" i="24"/>
  <c r="CJ25" i="24"/>
  <c r="CJ23" i="24"/>
  <c r="CJ12" i="24"/>
  <c r="CJ11" i="24"/>
  <c r="CJ9" i="24"/>
  <c r="CJ6" i="24"/>
  <c r="CJ58" i="24"/>
  <c r="CJ27" i="24"/>
  <c r="CJ24" i="24"/>
  <c r="CJ35" i="24"/>
  <c r="CJ77" i="24"/>
  <c r="CJ42" i="24"/>
  <c r="CJ21" i="24"/>
  <c r="CJ52" i="24"/>
  <c r="CJ84" i="24"/>
  <c r="CJ67" i="24"/>
  <c r="CJ65" i="24"/>
  <c r="CJ61" i="24"/>
  <c r="CJ59" i="24"/>
  <c r="CJ53" i="24"/>
  <c r="CJ45" i="24"/>
  <c r="CJ18" i="24"/>
  <c r="CJ10" i="24"/>
  <c r="CJ48" i="24"/>
  <c r="CJ16" i="24"/>
  <c r="CJ94" i="24"/>
  <c r="CJ92" i="24"/>
  <c r="CJ87" i="24"/>
  <c r="CJ86" i="24"/>
  <c r="CJ72" i="24"/>
  <c r="CJ57" i="24"/>
  <c r="CJ50" i="24"/>
  <c r="CJ46" i="24"/>
  <c r="CJ28" i="24"/>
  <c r="CJ26" i="24"/>
  <c r="CJ34" i="24"/>
  <c r="CJ15" i="24"/>
  <c r="CJ30" i="24"/>
  <c r="CJ17" i="24"/>
  <c r="CJ22" i="24"/>
  <c r="I3" i="29"/>
  <c r="B222" i="2"/>
  <c r="B281" i="2"/>
  <c r="A28" i="16"/>
  <c r="BQ5" i="25"/>
  <c r="B277" i="2"/>
  <c r="D277" i="2" s="1"/>
  <c r="D34" i="16"/>
  <c r="W64" i="2"/>
  <c r="R66" i="2"/>
  <c r="S29" i="1" s="1"/>
  <c r="R67" i="2"/>
  <c r="B26" i="2"/>
  <c r="I9" i="19"/>
  <c r="I8" i="19"/>
  <c r="I7" i="19"/>
  <c r="I6" i="19"/>
  <c r="B125" i="2"/>
  <c r="B22" i="2"/>
  <c r="F17" i="23"/>
  <c r="J17" i="23" s="1"/>
  <c r="I33" i="23"/>
  <c r="F54" i="23"/>
  <c r="J54" i="23" s="1"/>
  <c r="I9" i="23"/>
  <c r="I70" i="23"/>
  <c r="F32" i="23"/>
  <c r="J32" i="23" s="1"/>
  <c r="F49" i="23"/>
  <c r="G49" i="23" s="1"/>
  <c r="H49" i="23" s="1"/>
  <c r="F103" i="23"/>
  <c r="G103" i="23" s="1"/>
  <c r="H103" i="23" s="1"/>
  <c r="F53" i="23"/>
  <c r="J53" i="23" s="1"/>
  <c r="I16" i="23"/>
  <c r="F46" i="23"/>
  <c r="J46" i="23" s="1"/>
  <c r="I43" i="23"/>
  <c r="I36" i="23"/>
  <c r="F67" i="23"/>
  <c r="G67" i="23" s="1"/>
  <c r="H67" i="23" s="1"/>
  <c r="I59" i="23"/>
  <c r="F30" i="23"/>
  <c r="J30" i="23" s="1"/>
  <c r="F88" i="23"/>
  <c r="G88" i="23" s="1"/>
  <c r="H88" i="23" s="1"/>
  <c r="I78" i="23"/>
  <c r="I27" i="23"/>
  <c r="I75" i="23"/>
  <c r="F73" i="23"/>
  <c r="J73" i="23" s="1"/>
  <c r="F71" i="23"/>
  <c r="J71" i="23" s="1"/>
  <c r="I48" i="23"/>
  <c r="F84" i="23"/>
  <c r="G84" i="23" s="1"/>
  <c r="H84" i="23" s="1"/>
  <c r="F6" i="23"/>
  <c r="J6" i="23" s="1"/>
  <c r="F25" i="23"/>
  <c r="J25" i="23" s="1"/>
  <c r="I23" i="23"/>
  <c r="F60" i="23"/>
  <c r="G60" i="23" s="1"/>
  <c r="H60" i="23" s="1"/>
  <c r="I38" i="23"/>
  <c r="I62" i="23"/>
  <c r="F105" i="23"/>
  <c r="J105" i="23" s="1"/>
  <c r="F94" i="23"/>
  <c r="J94" i="23" s="1"/>
  <c r="I41" i="23"/>
  <c r="F92" i="23"/>
  <c r="J92" i="23" s="1"/>
  <c r="A258" i="2"/>
  <c r="C258" i="2"/>
  <c r="I11" i="23"/>
  <c r="F101" i="23"/>
  <c r="J101" i="23" s="1"/>
  <c r="F20" i="23"/>
  <c r="G20" i="23" s="1"/>
  <c r="H20" i="23" s="1"/>
  <c r="F81" i="23"/>
  <c r="J81" i="23" s="1"/>
  <c r="F14" i="23"/>
  <c r="J14" i="23" s="1"/>
  <c r="F22" i="23"/>
  <c r="J22" i="23" s="1"/>
  <c r="F63" i="23"/>
  <c r="G63" i="23" s="1"/>
  <c r="H63" i="23" s="1"/>
  <c r="I99" i="23"/>
  <c r="F80" i="23"/>
  <c r="J80" i="23" s="1"/>
  <c r="I31" i="23"/>
  <c r="I96" i="23"/>
  <c r="F77" i="23"/>
  <c r="G77" i="23" s="1"/>
  <c r="H77" i="23" s="1"/>
  <c r="I56" i="23"/>
  <c r="I86" i="23"/>
  <c r="I98" i="23"/>
  <c r="H109" i="19"/>
  <c r="H110" i="19" s="1"/>
  <c r="F52" i="23"/>
  <c r="J52" i="23" s="1"/>
  <c r="F102" i="23"/>
  <c r="J102" i="23" s="1"/>
  <c r="J79" i="23"/>
  <c r="J7" i="23"/>
  <c r="J106" i="23"/>
  <c r="I87" i="23"/>
  <c r="I8" i="23"/>
  <c r="I106" i="23"/>
  <c r="J31" i="23"/>
  <c r="J99" i="23"/>
  <c r="J56" i="23"/>
  <c r="J27" i="23"/>
  <c r="J96" i="23"/>
  <c r="J86" i="23"/>
  <c r="J70" i="23"/>
  <c r="J38" i="23"/>
  <c r="J33" i="23"/>
  <c r="J69" i="23"/>
  <c r="J89" i="23"/>
  <c r="J44" i="23"/>
  <c r="F12" i="23"/>
  <c r="J12" i="23" s="1"/>
  <c r="J39" i="23"/>
  <c r="I76" i="23"/>
  <c r="J76" i="23"/>
  <c r="F24" i="23"/>
  <c r="G24" i="23" s="1"/>
  <c r="H24" i="23" s="1"/>
  <c r="J98" i="23"/>
  <c r="I50" i="23"/>
  <c r="F34" i="23"/>
  <c r="J34" i="23" s="1"/>
  <c r="F13" i="23"/>
  <c r="J13" i="23" s="1"/>
  <c r="F85" i="23"/>
  <c r="J85" i="23" s="1"/>
  <c r="F87" i="23"/>
  <c r="J87" i="23" s="1"/>
  <c r="I55" i="23"/>
  <c r="F26" i="23"/>
  <c r="J26" i="23" s="1"/>
  <c r="F61" i="23"/>
  <c r="J61" i="23" s="1"/>
  <c r="I90" i="23"/>
  <c r="J59" i="23"/>
  <c r="J36" i="23"/>
  <c r="J43" i="23"/>
  <c r="J11" i="23"/>
  <c r="J75" i="23"/>
  <c r="J23" i="23"/>
  <c r="J48" i="23"/>
  <c r="J16" i="23"/>
  <c r="J78" i="23"/>
  <c r="J62" i="23"/>
  <c r="J41" i="23"/>
  <c r="J9" i="23"/>
  <c r="N91" i="23"/>
  <c r="O91" i="23" s="1"/>
  <c r="P91" i="23" s="1"/>
  <c r="N47" i="23"/>
  <c r="O47" i="23" s="1"/>
  <c r="P47" i="23" s="1"/>
  <c r="N100" i="23"/>
  <c r="O100" i="23" s="1"/>
  <c r="P100" i="23" s="1"/>
  <c r="N79" i="23"/>
  <c r="O79" i="23" s="1"/>
  <c r="P79" i="23" s="1"/>
  <c r="N57" i="23"/>
  <c r="O57" i="23" s="1"/>
  <c r="P57" i="23" s="1"/>
  <c r="N28" i="23"/>
  <c r="O28" i="23" s="1"/>
  <c r="P28" i="23" s="1"/>
  <c r="N104" i="23"/>
  <c r="O104" i="23" s="1"/>
  <c r="P104" i="23" s="1"/>
  <c r="N83" i="23"/>
  <c r="O83" i="23" s="1"/>
  <c r="P83" i="23" s="1"/>
  <c r="N61" i="23"/>
  <c r="O61" i="23" s="1"/>
  <c r="P61" i="23" s="1"/>
  <c r="N35" i="23"/>
  <c r="O35" i="23" s="1"/>
  <c r="P35" i="23" s="1"/>
  <c r="N8" i="23"/>
  <c r="O8" i="23" s="1"/>
  <c r="P8" i="23" s="1"/>
  <c r="N64" i="23"/>
  <c r="O64" i="23" s="1"/>
  <c r="P64" i="23" s="1"/>
  <c r="N7" i="23"/>
  <c r="O7" i="23" s="1"/>
  <c r="P7" i="23" s="1"/>
  <c r="N87" i="23"/>
  <c r="O87" i="23" s="1"/>
  <c r="P87" i="23" s="1"/>
  <c r="N65" i="23"/>
  <c r="O65" i="23" s="1"/>
  <c r="P65" i="23" s="1"/>
  <c r="N40" i="23"/>
  <c r="O40" i="23" s="1"/>
  <c r="P40" i="23" s="1"/>
  <c r="N106" i="23"/>
  <c r="O106" i="23" s="1"/>
  <c r="P106" i="23" s="1"/>
  <c r="N90" i="23"/>
  <c r="O90" i="23" s="1"/>
  <c r="P90" i="23" s="1"/>
  <c r="N74" i="23"/>
  <c r="O74" i="23" s="1"/>
  <c r="P74" i="23" s="1"/>
  <c r="N58" i="23"/>
  <c r="O58" i="23" s="1"/>
  <c r="P58" i="23" s="1"/>
  <c r="N42" i="23"/>
  <c r="O42" i="23" s="1"/>
  <c r="P42" i="23" s="1"/>
  <c r="N26" i="23"/>
  <c r="O26" i="23" s="1"/>
  <c r="P26" i="23" s="1"/>
  <c r="N10" i="23"/>
  <c r="O10" i="23" s="1"/>
  <c r="P10" i="23" s="1"/>
  <c r="N37" i="23"/>
  <c r="O37" i="23" s="1"/>
  <c r="P37" i="23" s="1"/>
  <c r="N21" i="23"/>
  <c r="O21" i="23" s="1"/>
  <c r="P21" i="23" s="1"/>
  <c r="I57" i="23"/>
  <c r="F91" i="23"/>
  <c r="J91" i="23" s="1"/>
  <c r="I21" i="23"/>
  <c r="F21" i="23"/>
  <c r="J21" i="23" s="1"/>
  <c r="I40" i="23"/>
  <c r="I104" i="23"/>
  <c r="I42" i="23"/>
  <c r="N80" i="23"/>
  <c r="O80" i="23" s="1"/>
  <c r="P80" i="23" s="1"/>
  <c r="N31" i="23"/>
  <c r="O31" i="23" s="1"/>
  <c r="P31" i="23" s="1"/>
  <c r="N95" i="23"/>
  <c r="O95" i="23" s="1"/>
  <c r="P95" i="23" s="1"/>
  <c r="N73" i="23"/>
  <c r="O73" i="23" s="1"/>
  <c r="P73" i="23" s="1"/>
  <c r="N52" i="23"/>
  <c r="O52" i="23" s="1"/>
  <c r="P52" i="23" s="1"/>
  <c r="N20" i="23"/>
  <c r="O20" i="23" s="1"/>
  <c r="P20" i="23" s="1"/>
  <c r="N99" i="23"/>
  <c r="O99" i="23" s="1"/>
  <c r="P99" i="23" s="1"/>
  <c r="N77" i="23"/>
  <c r="O77" i="23" s="1"/>
  <c r="P77" i="23" s="1"/>
  <c r="N56" i="23"/>
  <c r="O56" i="23" s="1"/>
  <c r="P56" i="23" s="1"/>
  <c r="N27" i="23"/>
  <c r="O27" i="23" s="1"/>
  <c r="P27" i="23" s="1"/>
  <c r="N96" i="23"/>
  <c r="O96" i="23" s="1"/>
  <c r="P96" i="23" s="1"/>
  <c r="N53" i="23"/>
  <c r="O53" i="23" s="1"/>
  <c r="P53" i="23" s="1"/>
  <c r="N103" i="23"/>
  <c r="O103" i="23" s="1"/>
  <c r="P103" i="23" s="1"/>
  <c r="N81" i="23"/>
  <c r="O81" i="23" s="1"/>
  <c r="P81" i="23" s="1"/>
  <c r="N60" i="23"/>
  <c r="O60" i="23" s="1"/>
  <c r="P60" i="23" s="1"/>
  <c r="N32" i="23"/>
  <c r="O32" i="23" s="1"/>
  <c r="P32" i="23" s="1"/>
  <c r="N102" i="23"/>
  <c r="O102" i="23" s="1"/>
  <c r="P102" i="23" s="1"/>
  <c r="N86" i="23"/>
  <c r="O86" i="23" s="1"/>
  <c r="P86" i="23" s="1"/>
  <c r="N70" i="23"/>
  <c r="O70" i="23" s="1"/>
  <c r="P70" i="23" s="1"/>
  <c r="N54" i="23"/>
  <c r="O54" i="23" s="1"/>
  <c r="P54" i="23" s="1"/>
  <c r="N38" i="23"/>
  <c r="O38" i="23" s="1"/>
  <c r="P38" i="23" s="1"/>
  <c r="N22" i="23"/>
  <c r="O22" i="23" s="1"/>
  <c r="P22" i="23" s="1"/>
  <c r="N49" i="23"/>
  <c r="O49" i="23" s="1"/>
  <c r="P49" i="23" s="1"/>
  <c r="N33" i="23"/>
  <c r="O33" i="23" s="1"/>
  <c r="P33" i="23" s="1"/>
  <c r="N17" i="23"/>
  <c r="O17" i="23" s="1"/>
  <c r="P17" i="23" s="1"/>
  <c r="N69" i="23"/>
  <c r="O69" i="23" s="1"/>
  <c r="P69" i="23" s="1"/>
  <c r="N15" i="23"/>
  <c r="O15" i="23" s="1"/>
  <c r="P15" i="23" s="1"/>
  <c r="N89" i="23"/>
  <c r="O89" i="23" s="1"/>
  <c r="P89" i="23" s="1"/>
  <c r="N68" i="23"/>
  <c r="O68" i="23" s="1"/>
  <c r="P68" i="23" s="1"/>
  <c r="N44" i="23"/>
  <c r="O44" i="23" s="1"/>
  <c r="P44" i="23" s="1"/>
  <c r="N12" i="23"/>
  <c r="O12" i="23" s="1"/>
  <c r="P12" i="23" s="1"/>
  <c r="N93" i="23"/>
  <c r="O93" i="23" s="1"/>
  <c r="P93" i="23" s="1"/>
  <c r="N72" i="23"/>
  <c r="O72" i="23" s="1"/>
  <c r="P72" i="23" s="1"/>
  <c r="N51" i="23"/>
  <c r="O51" i="23" s="1"/>
  <c r="P51" i="23" s="1"/>
  <c r="N19" i="23"/>
  <c r="O19" i="23" s="1"/>
  <c r="P19" i="23" s="1"/>
  <c r="N85" i="23"/>
  <c r="O85" i="23" s="1"/>
  <c r="P85" i="23" s="1"/>
  <c r="N39" i="23"/>
  <c r="O39" i="23" s="1"/>
  <c r="P39" i="23" s="1"/>
  <c r="N97" i="23"/>
  <c r="O97" i="23" s="1"/>
  <c r="P97" i="23" s="1"/>
  <c r="N76" i="23"/>
  <c r="O76" i="23" s="1"/>
  <c r="P76" i="23" s="1"/>
  <c r="N55" i="23"/>
  <c r="O55" i="23" s="1"/>
  <c r="P55" i="23" s="1"/>
  <c r="N24" i="23"/>
  <c r="O24" i="23" s="1"/>
  <c r="P24" i="23" s="1"/>
  <c r="N98" i="23"/>
  <c r="O98" i="23" s="1"/>
  <c r="P98" i="23" s="1"/>
  <c r="N82" i="23"/>
  <c r="O82" i="23" s="1"/>
  <c r="P82" i="23" s="1"/>
  <c r="N66" i="23"/>
  <c r="O66" i="23" s="1"/>
  <c r="P66" i="23" s="1"/>
  <c r="N50" i="23"/>
  <c r="O50" i="23" s="1"/>
  <c r="P50" i="23" s="1"/>
  <c r="N34" i="23"/>
  <c r="O34" i="23" s="1"/>
  <c r="P34" i="23" s="1"/>
  <c r="N18" i="23"/>
  <c r="O18" i="23" s="1"/>
  <c r="P18" i="23" s="1"/>
  <c r="N45" i="23"/>
  <c r="O45" i="23" s="1"/>
  <c r="P45" i="23" s="1"/>
  <c r="N29" i="23"/>
  <c r="O29" i="23" s="1"/>
  <c r="P29" i="23" s="1"/>
  <c r="N13" i="23"/>
  <c r="O13" i="23" s="1"/>
  <c r="P13" i="23" s="1"/>
  <c r="I51" i="23"/>
  <c r="I83" i="23"/>
  <c r="I91" i="23"/>
  <c r="I44" i="23"/>
  <c r="F90" i="23"/>
  <c r="J90" i="23" s="1"/>
  <c r="F83" i="23"/>
  <c r="G83" i="23" s="1"/>
  <c r="H83" i="23" s="1"/>
  <c r="F42" i="23"/>
  <c r="G42" i="23" s="1"/>
  <c r="H42" i="23" s="1"/>
  <c r="F35" i="23"/>
  <c r="J35" i="23" s="1"/>
  <c r="I69" i="23"/>
  <c r="F50" i="23"/>
  <c r="J50" i="23" s="1"/>
  <c r="I72" i="23"/>
  <c r="I45" i="23"/>
  <c r="F65" i="23"/>
  <c r="G65" i="23" s="1"/>
  <c r="H65" i="23" s="1"/>
  <c r="F82" i="23"/>
  <c r="J82" i="23" s="1"/>
  <c r="N101" i="23"/>
  <c r="O101" i="23" s="1"/>
  <c r="P101" i="23" s="1"/>
  <c r="N59" i="23"/>
  <c r="O59" i="23" s="1"/>
  <c r="P59" i="23" s="1"/>
  <c r="N105" i="23"/>
  <c r="O105" i="23" s="1"/>
  <c r="P105" i="23" s="1"/>
  <c r="N84" i="23"/>
  <c r="O84" i="23" s="1"/>
  <c r="P84" i="23" s="1"/>
  <c r="N63" i="23"/>
  <c r="O63" i="23" s="1"/>
  <c r="P63" i="23" s="1"/>
  <c r="N36" i="23"/>
  <c r="O36" i="23" s="1"/>
  <c r="P36" i="23" s="1"/>
  <c r="N6" i="23"/>
  <c r="O6" i="23" s="1"/>
  <c r="P6" i="23" s="1"/>
  <c r="N88" i="23"/>
  <c r="O88" i="23" s="1"/>
  <c r="P88" i="23" s="1"/>
  <c r="N67" i="23"/>
  <c r="O67" i="23" s="1"/>
  <c r="P67" i="23" s="1"/>
  <c r="N43" i="23"/>
  <c r="O43" i="23" s="1"/>
  <c r="P43" i="23" s="1"/>
  <c r="N11" i="23"/>
  <c r="O11" i="23" s="1"/>
  <c r="P11" i="23" s="1"/>
  <c r="N75" i="23"/>
  <c r="O75" i="23" s="1"/>
  <c r="P75" i="23" s="1"/>
  <c r="N23" i="23"/>
  <c r="O23" i="23" s="1"/>
  <c r="P23" i="23" s="1"/>
  <c r="N92" i="23"/>
  <c r="O92" i="23" s="1"/>
  <c r="P92" i="23" s="1"/>
  <c r="N71" i="23"/>
  <c r="O71" i="23" s="1"/>
  <c r="P71" i="23" s="1"/>
  <c r="N48" i="23"/>
  <c r="O48" i="23" s="1"/>
  <c r="P48" i="23" s="1"/>
  <c r="N16" i="23"/>
  <c r="O16" i="23" s="1"/>
  <c r="P16" i="23" s="1"/>
  <c r="N94" i="23"/>
  <c r="O94" i="23" s="1"/>
  <c r="P94" i="23" s="1"/>
  <c r="N78" i="23"/>
  <c r="O78" i="23" s="1"/>
  <c r="P78" i="23" s="1"/>
  <c r="N62" i="23"/>
  <c r="O62" i="23" s="1"/>
  <c r="P62" i="23" s="1"/>
  <c r="N46" i="23"/>
  <c r="O46" i="23" s="1"/>
  <c r="P46" i="23" s="1"/>
  <c r="N30" i="23"/>
  <c r="O30" i="23" s="1"/>
  <c r="P30" i="23" s="1"/>
  <c r="N14" i="23"/>
  <c r="O14" i="23" s="1"/>
  <c r="P14" i="23" s="1"/>
  <c r="N41" i="23"/>
  <c r="O41" i="23" s="1"/>
  <c r="P41" i="23" s="1"/>
  <c r="N25" i="23"/>
  <c r="O25" i="23" s="1"/>
  <c r="P25" i="23" s="1"/>
  <c r="N9" i="23"/>
  <c r="O9" i="23" s="1"/>
  <c r="P9" i="23" s="1"/>
  <c r="I19" i="23"/>
  <c r="I28" i="23"/>
  <c r="I89" i="23"/>
  <c r="F64" i="23"/>
  <c r="J64" i="23" s="1"/>
  <c r="F37" i="23"/>
  <c r="J37" i="23" s="1"/>
  <c r="F74" i="23"/>
  <c r="G74" i="23" s="1"/>
  <c r="H74" i="23" s="1"/>
  <c r="F15" i="23"/>
  <c r="J15" i="23" s="1"/>
  <c r="I47" i="23"/>
  <c r="I97" i="23"/>
  <c r="F68" i="23"/>
  <c r="J68" i="23" s="1"/>
  <c r="F45" i="23"/>
  <c r="J45" i="23" s="1"/>
  <c r="F19" i="23"/>
  <c r="J19" i="23" s="1"/>
  <c r="F47" i="23"/>
  <c r="J47" i="23" s="1"/>
  <c r="I68" i="23"/>
  <c r="F40" i="23"/>
  <c r="J40" i="23" s="1"/>
  <c r="F104" i="23"/>
  <c r="J104" i="23" s="1"/>
  <c r="F18" i="23"/>
  <c r="J18" i="23" s="1"/>
  <c r="F57" i="23"/>
  <c r="G57" i="23" s="1"/>
  <c r="H57" i="23" s="1"/>
  <c r="I7" i="23"/>
  <c r="F28" i="23"/>
  <c r="J28" i="23" s="1"/>
  <c r="F97" i="23"/>
  <c r="G97" i="23" s="1"/>
  <c r="H97" i="23" s="1"/>
  <c r="F8" i="23"/>
  <c r="J8" i="23" s="1"/>
  <c r="I58" i="23"/>
  <c r="I82" i="23"/>
  <c r="I74" i="23"/>
  <c r="I37" i="23"/>
  <c r="I35" i="23"/>
  <c r="I85" i="23"/>
  <c r="I29" i="23"/>
  <c r="F58" i="23"/>
  <c r="G58" i="23" s="1"/>
  <c r="H58" i="23" s="1"/>
  <c r="F51" i="23"/>
  <c r="J51" i="23" s="1"/>
  <c r="I15" i="23"/>
  <c r="I79" i="23"/>
  <c r="I93" i="23"/>
  <c r="I64" i="23"/>
  <c r="F100" i="23"/>
  <c r="G100" i="23" s="1"/>
  <c r="H100" i="23" s="1"/>
  <c r="F10" i="23"/>
  <c r="J10" i="23" s="1"/>
  <c r="F66" i="23"/>
  <c r="G66" i="23" s="1"/>
  <c r="H66" i="23" s="1"/>
  <c r="F55" i="23"/>
  <c r="J55" i="23" s="1"/>
  <c r="I100" i="23"/>
  <c r="F72" i="23"/>
  <c r="G72" i="23" s="1"/>
  <c r="H72" i="23" s="1"/>
  <c r="I39" i="23"/>
  <c r="I24" i="23"/>
  <c r="F29" i="23"/>
  <c r="J29" i="23" s="1"/>
  <c r="F93" i="23"/>
  <c r="G93" i="23" s="1"/>
  <c r="H93" i="23" s="1"/>
  <c r="F95" i="23"/>
  <c r="G95" i="23" s="1"/>
  <c r="H95" i="23" s="1"/>
  <c r="I26" i="23"/>
  <c r="I66" i="23"/>
  <c r="I18" i="23"/>
  <c r="I34" i="23"/>
  <c r="G96" i="23"/>
  <c r="H96" i="23" s="1"/>
  <c r="G41" i="23"/>
  <c r="H41" i="23" s="1"/>
  <c r="G36" i="23"/>
  <c r="H36" i="23" s="1"/>
  <c r="G86" i="23"/>
  <c r="H86" i="23" s="1"/>
  <c r="G23" i="23"/>
  <c r="H23" i="23" s="1"/>
  <c r="G62" i="23"/>
  <c r="H62" i="23" s="1"/>
  <c r="G11" i="23"/>
  <c r="H11" i="23" s="1"/>
  <c r="G48" i="23"/>
  <c r="H48" i="23" s="1"/>
  <c r="G9" i="23"/>
  <c r="H9" i="23" s="1"/>
  <c r="G69" i="23"/>
  <c r="H69" i="23" s="1"/>
  <c r="G75" i="23"/>
  <c r="H75" i="23" s="1"/>
  <c r="G89" i="23"/>
  <c r="H89" i="23" s="1"/>
  <c r="G39" i="23"/>
  <c r="H39" i="23" s="1"/>
  <c r="G99" i="23"/>
  <c r="H99" i="23" s="1"/>
  <c r="G76" i="23"/>
  <c r="H76" i="23" s="1"/>
  <c r="G98" i="23"/>
  <c r="H98" i="23" s="1"/>
  <c r="G27" i="23"/>
  <c r="H27" i="23" s="1"/>
  <c r="G79" i="23"/>
  <c r="H79" i="23" s="1"/>
  <c r="G78" i="23"/>
  <c r="H78" i="23" s="1"/>
  <c r="G70" i="23"/>
  <c r="H70" i="23" s="1"/>
  <c r="G59" i="23"/>
  <c r="H59" i="23" s="1"/>
  <c r="G33" i="23"/>
  <c r="H33" i="23" s="1"/>
  <c r="G43" i="23"/>
  <c r="H43" i="23" s="1"/>
  <c r="G16" i="23"/>
  <c r="H16" i="23" s="1"/>
  <c r="G106" i="23"/>
  <c r="H106" i="23" s="1"/>
  <c r="G31" i="23"/>
  <c r="H31" i="23" s="1"/>
  <c r="G38" i="23"/>
  <c r="H38" i="23" s="1"/>
  <c r="G56" i="23"/>
  <c r="H56" i="23" s="1"/>
  <c r="G44" i="23"/>
  <c r="H44" i="23" s="1"/>
  <c r="G7" i="23"/>
  <c r="H7" i="23" s="1"/>
  <c r="B19" i="19"/>
  <c r="D19" i="19" s="1"/>
  <c r="I17" i="8"/>
  <c r="J17" i="8" s="1"/>
  <c r="D182" i="2" s="1"/>
  <c r="F270" i="2" s="1"/>
  <c r="G181" i="2"/>
  <c r="F181" i="2"/>
  <c r="E50" i="1" s="1"/>
  <c r="H269" i="2" s="1"/>
  <c r="C48" i="16" s="1"/>
  <c r="I18" i="8"/>
  <c r="J18" i="8" s="1"/>
  <c r="G273" i="2" s="1"/>
  <c r="A276" i="2"/>
  <c r="B276" i="2"/>
  <c r="B257" i="2"/>
  <c r="R76" i="2"/>
  <c r="C34" i="16"/>
  <c r="B167" i="2"/>
  <c r="K71" i="2"/>
  <c r="K72" i="2"/>
  <c r="D257" i="2"/>
  <c r="C157" i="8"/>
  <c r="C156" i="8" s="1"/>
  <c r="C155" i="8" s="1"/>
  <c r="C154" i="8" s="1"/>
  <c r="C153" i="8" s="1"/>
  <c r="C152" i="8" s="1"/>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256" i="2"/>
  <c r="C257" i="2"/>
  <c r="B258" i="2"/>
  <c r="A259" i="2"/>
  <c r="B262" i="2"/>
  <c r="I11" i="19"/>
  <c r="I15" i="19"/>
  <c r="I19" i="19"/>
  <c r="I23" i="19"/>
  <c r="I27" i="19"/>
  <c r="I31" i="19"/>
  <c r="I35" i="19"/>
  <c r="I39" i="19"/>
  <c r="I43" i="19"/>
  <c r="I47" i="19"/>
  <c r="I51" i="19"/>
  <c r="I55" i="19"/>
  <c r="I59" i="19"/>
  <c r="I63" i="19"/>
  <c r="I67" i="19"/>
  <c r="I71" i="19"/>
  <c r="I75" i="19"/>
  <c r="I79" i="19"/>
  <c r="I83" i="19"/>
  <c r="I87" i="19"/>
  <c r="I91" i="19"/>
  <c r="I95" i="19"/>
  <c r="I99" i="19"/>
  <c r="I103" i="19"/>
  <c r="I13" i="19"/>
  <c r="I17" i="19"/>
  <c r="I21" i="19"/>
  <c r="I25" i="19"/>
  <c r="I29" i="19"/>
  <c r="I33" i="19"/>
  <c r="I37" i="19"/>
  <c r="I41" i="19"/>
  <c r="I45" i="19"/>
  <c r="I49" i="19"/>
  <c r="I53" i="19"/>
  <c r="I57" i="19"/>
  <c r="I61" i="19"/>
  <c r="I65" i="19"/>
  <c r="I69" i="19"/>
  <c r="I73" i="19"/>
  <c r="I77" i="19"/>
  <c r="I81" i="19"/>
  <c r="I85" i="19"/>
  <c r="I89" i="19"/>
  <c r="I93" i="19"/>
  <c r="I97" i="19"/>
  <c r="I101" i="19"/>
  <c r="I105" i="19"/>
  <c r="I10" i="19"/>
  <c r="I18" i="19"/>
  <c r="I26" i="19"/>
  <c r="I34" i="19"/>
  <c r="I42" i="19"/>
  <c r="I50" i="19"/>
  <c r="I58" i="19"/>
  <c r="I66" i="19"/>
  <c r="I74" i="19"/>
  <c r="I82" i="19"/>
  <c r="I90" i="19"/>
  <c r="I98" i="19"/>
  <c r="I106" i="19"/>
  <c r="I14" i="19"/>
  <c r="I22" i="19"/>
  <c r="I30" i="19"/>
  <c r="I38" i="19"/>
  <c r="I46" i="19"/>
  <c r="I54" i="19"/>
  <c r="I62" i="19"/>
  <c r="I70" i="19"/>
  <c r="I78" i="19"/>
  <c r="I86" i="19"/>
  <c r="I94" i="19"/>
  <c r="I102" i="19"/>
  <c r="I20" i="19"/>
  <c r="I36" i="19"/>
  <c r="I52" i="19"/>
  <c r="I68" i="19"/>
  <c r="I84" i="19"/>
  <c r="I100" i="19"/>
  <c r="I24" i="19"/>
  <c r="I40" i="19"/>
  <c r="I56" i="19"/>
  <c r="I72" i="19"/>
  <c r="I88" i="19"/>
  <c r="I104" i="19"/>
  <c r="I12" i="19"/>
  <c r="I28" i="19"/>
  <c r="I44" i="19"/>
  <c r="I60" i="19"/>
  <c r="I76" i="19"/>
  <c r="I92" i="19"/>
  <c r="I16" i="19"/>
  <c r="I32" i="19"/>
  <c r="I48" i="19"/>
  <c r="I64" i="19"/>
  <c r="I80" i="19"/>
  <c r="I96" i="19"/>
  <c r="D18" i="19"/>
  <c r="W65" i="2" l="1"/>
  <c r="W66" i="2" s="1"/>
  <c r="D54" i="16" s="1"/>
  <c r="B25" i="29"/>
  <c r="B26" i="29" s="1"/>
  <c r="D26" i="29" s="1"/>
  <c r="DC5" i="24"/>
  <c r="N329" i="25"/>
  <c r="L75" i="1" s="1"/>
  <c r="K76" i="1" s="1"/>
  <c r="O329" i="25"/>
  <c r="I25" i="8" s="1"/>
  <c r="J25" i="8" s="1"/>
  <c r="G329" i="24"/>
  <c r="H329" i="24"/>
  <c r="I23" i="8" s="1"/>
  <c r="J23" i="8" s="1"/>
  <c r="CS110" i="25"/>
  <c r="DS110" i="25" s="1"/>
  <c r="B15" i="29"/>
  <c r="B21" i="29" s="1"/>
  <c r="B22" i="29" s="1"/>
  <c r="CU212" i="25"/>
  <c r="CW212" i="25"/>
  <c r="CO212" i="25" s="1"/>
  <c r="CZ212" i="25" s="1"/>
  <c r="CV212" i="25"/>
  <c r="DS212" i="25"/>
  <c r="CY212" i="25"/>
  <c r="CT212" i="25"/>
  <c r="FD212" i="25" s="1"/>
  <c r="G329" i="25"/>
  <c r="I28" i="8"/>
  <c r="EQ266" i="25"/>
  <c r="EU266" i="25" s="1"/>
  <c r="FG266" i="25"/>
  <c r="EQ277" i="25"/>
  <c r="EU277" i="25" s="1"/>
  <c r="FG277" i="25"/>
  <c r="FG233" i="25"/>
  <c r="EQ233" i="25"/>
  <c r="EU233" i="25" s="1"/>
  <c r="EQ285" i="25"/>
  <c r="EU285" i="25" s="1"/>
  <c r="FG285" i="25"/>
  <c r="FG280" i="25"/>
  <c r="EQ280" i="25"/>
  <c r="EU280" i="25" s="1"/>
  <c r="FG243" i="25"/>
  <c r="EQ243" i="25"/>
  <c r="EU243" i="25" s="1"/>
  <c r="EQ244" i="25"/>
  <c r="EU244" i="25" s="1"/>
  <c r="FG244" i="25"/>
  <c r="FG295" i="25"/>
  <c r="EQ295" i="25"/>
  <c r="EU295" i="25" s="1"/>
  <c r="FG242" i="25"/>
  <c r="EQ242" i="25"/>
  <c r="EU242" i="25" s="1"/>
  <c r="EQ307" i="25"/>
  <c r="EU307" i="25" s="1"/>
  <c r="FG307" i="25"/>
  <c r="EQ250" i="25"/>
  <c r="EU250" i="25" s="1"/>
  <c r="FG250" i="25"/>
  <c r="FG284" i="25"/>
  <c r="EQ284" i="25"/>
  <c r="EU284" i="25" s="1"/>
  <c r="EQ298" i="25"/>
  <c r="EU298" i="25" s="1"/>
  <c r="FG298" i="25"/>
  <c r="EQ227" i="25"/>
  <c r="EU227" i="25" s="1"/>
  <c r="FG227" i="25"/>
  <c r="EQ239" i="25"/>
  <c r="EU239" i="25" s="1"/>
  <c r="FG239" i="25"/>
  <c r="EQ287" i="25"/>
  <c r="EU287" i="25" s="1"/>
  <c r="FG287" i="25"/>
  <c r="FG290" i="25"/>
  <c r="EQ290" i="25"/>
  <c r="EU290" i="25" s="1"/>
  <c r="EQ245" i="25"/>
  <c r="EU245" i="25" s="1"/>
  <c r="FG245" i="25"/>
  <c r="EQ252" i="25"/>
  <c r="EU252" i="25" s="1"/>
  <c r="FG252" i="25"/>
  <c r="FG314" i="25"/>
  <c r="EQ314" i="25"/>
  <c r="EU314" i="25" s="1"/>
  <c r="EQ251" i="25"/>
  <c r="EU251" i="25" s="1"/>
  <c r="FG251" i="25"/>
  <c r="FG309" i="25"/>
  <c r="EQ309" i="25"/>
  <c r="EU309" i="25" s="1"/>
  <c r="EQ256" i="25"/>
  <c r="EU256" i="25" s="1"/>
  <c r="FG256" i="25"/>
  <c r="FG313" i="25"/>
  <c r="EQ313" i="25"/>
  <c r="EU313" i="25" s="1"/>
  <c r="FG257" i="25"/>
  <c r="EQ257" i="25"/>
  <c r="EU257" i="25" s="1"/>
  <c r="FG247" i="25"/>
  <c r="EQ247" i="25"/>
  <c r="EU247" i="25" s="1"/>
  <c r="FG308" i="25"/>
  <c r="EQ308" i="25"/>
  <c r="EU308" i="25" s="1"/>
  <c r="EQ292" i="25"/>
  <c r="EU292" i="25" s="1"/>
  <c r="FG292" i="25"/>
  <c r="EQ246" i="25"/>
  <c r="EU246" i="25" s="1"/>
  <c r="FG246" i="25"/>
  <c r="FG253" i="25"/>
  <c r="EQ253" i="25"/>
  <c r="EU253" i="25" s="1"/>
  <c r="EQ254" i="25"/>
  <c r="EU254" i="25" s="1"/>
  <c r="FG254" i="25"/>
  <c r="FG259" i="25"/>
  <c r="EQ259" i="25"/>
  <c r="EU259" i="25" s="1"/>
  <c r="FG258" i="25"/>
  <c r="EQ258" i="25"/>
  <c r="EU258" i="25" s="1"/>
  <c r="EQ293" i="25"/>
  <c r="EU293" i="25" s="1"/>
  <c r="FG293" i="25"/>
  <c r="EQ224" i="25"/>
  <c r="EU224" i="25" s="1"/>
  <c r="FG224" i="25"/>
  <c r="FG222" i="25"/>
  <c r="EQ222" i="25"/>
  <c r="EU222" i="25" s="1"/>
  <c r="EQ270" i="25"/>
  <c r="EU270" i="25" s="1"/>
  <c r="FG270" i="25"/>
  <c r="FG229" i="25"/>
  <c r="EQ229" i="25"/>
  <c r="EU229" i="25" s="1"/>
  <c r="EQ296" i="25"/>
  <c r="EU296" i="25" s="1"/>
  <c r="FG296" i="25"/>
  <c r="EQ301" i="25"/>
  <c r="EU301" i="25" s="1"/>
  <c r="FG301" i="25"/>
  <c r="EQ260" i="25"/>
  <c r="EU260" i="25" s="1"/>
  <c r="FG260" i="25"/>
  <c r="EQ255" i="25"/>
  <c r="EU255" i="25" s="1"/>
  <c r="FG255" i="25"/>
  <c r="EQ263" i="25"/>
  <c r="EU263" i="25" s="1"/>
  <c r="FG263" i="25"/>
  <c r="EQ265" i="25"/>
  <c r="EU265" i="25" s="1"/>
  <c r="FG265" i="25"/>
  <c r="FG304" i="25"/>
  <c r="EQ304" i="25"/>
  <c r="EU304" i="25" s="1"/>
  <c r="FG264" i="25"/>
  <c r="EQ264" i="25"/>
  <c r="EU264" i="25" s="1"/>
  <c r="EQ249" i="25"/>
  <c r="EU249" i="25" s="1"/>
  <c r="FG249" i="25"/>
  <c r="FG273" i="25"/>
  <c r="EQ273" i="25"/>
  <c r="EU273" i="25" s="1"/>
  <c r="FG248" i="25"/>
  <c r="EQ248" i="25"/>
  <c r="EU248" i="25" s="1"/>
  <c r="EQ297" i="25"/>
  <c r="EU297" i="25" s="1"/>
  <c r="FG297" i="25"/>
  <c r="EQ221" i="25"/>
  <c r="EU221" i="25" s="1"/>
  <c r="FG221" i="25"/>
  <c r="EQ303" i="25"/>
  <c r="EU303" i="25" s="1"/>
  <c r="FG303" i="25"/>
  <c r="EQ268" i="25"/>
  <c r="EU268" i="25" s="1"/>
  <c r="FG268" i="25"/>
  <c r="FG218" i="25"/>
  <c r="EQ218" i="25"/>
  <c r="EU218" i="25" s="1"/>
  <c r="EQ267" i="25"/>
  <c r="EU267" i="25" s="1"/>
  <c r="FG267" i="25"/>
  <c r="EQ278" i="25"/>
  <c r="EU278" i="25" s="1"/>
  <c r="FG278" i="25"/>
  <c r="EQ286" i="25"/>
  <c r="EU286" i="25" s="1"/>
  <c r="FG286" i="25"/>
  <c r="EQ312" i="25"/>
  <c r="EU312" i="25" s="1"/>
  <c r="FG312" i="25"/>
  <c r="EQ282" i="25"/>
  <c r="EU282" i="25" s="1"/>
  <c r="FG282" i="25"/>
  <c r="EQ291" i="25"/>
  <c r="EU291" i="25" s="1"/>
  <c r="FG291" i="25"/>
  <c r="EQ217" i="25"/>
  <c r="EU217" i="25" s="1"/>
  <c r="FG217" i="25"/>
  <c r="FG274" i="25"/>
  <c r="EQ274" i="25"/>
  <c r="EU274" i="25" s="1"/>
  <c r="EQ261" i="25"/>
  <c r="EU261" i="25" s="1"/>
  <c r="FG261" i="25"/>
  <c r="EQ311" i="25"/>
  <c r="EU311" i="25" s="1"/>
  <c r="FG311" i="25"/>
  <c r="FG223" i="25"/>
  <c r="EQ223" i="25"/>
  <c r="EU223" i="25" s="1"/>
  <c r="EQ310" i="25"/>
  <c r="EU310" i="25" s="1"/>
  <c r="FG310" i="25"/>
  <c r="FG279" i="25"/>
  <c r="EQ279" i="25"/>
  <c r="EU279" i="25" s="1"/>
  <c r="EQ231" i="25"/>
  <c r="EU231" i="25" s="1"/>
  <c r="FG231" i="25"/>
  <c r="EQ271" i="25"/>
  <c r="EU271" i="25" s="1"/>
  <c r="FG271" i="25"/>
  <c r="EQ220" i="25"/>
  <c r="EU220" i="25" s="1"/>
  <c r="FG220" i="25"/>
  <c r="FG299" i="25"/>
  <c r="EQ299" i="25"/>
  <c r="EU299" i="25" s="1"/>
  <c r="FG305" i="25"/>
  <c r="EQ305" i="25"/>
  <c r="EU305" i="25" s="1"/>
  <c r="EQ234" i="25"/>
  <c r="EU234" i="25" s="1"/>
  <c r="FG234" i="25"/>
  <c r="EQ316" i="25"/>
  <c r="EU316" i="25" s="1"/>
  <c r="FG316" i="25"/>
  <c r="EQ288" i="25"/>
  <c r="EU288" i="25" s="1"/>
  <c r="FG288" i="25"/>
  <c r="EQ302" i="25"/>
  <c r="EU302" i="25" s="1"/>
  <c r="FG302" i="25"/>
  <c r="FG219" i="25"/>
  <c r="EQ219" i="25"/>
  <c r="EU219" i="25" s="1"/>
  <c r="FG281" i="25"/>
  <c r="EQ281" i="25"/>
  <c r="EU281" i="25" s="1"/>
  <c r="FG269" i="25"/>
  <c r="EQ269" i="25"/>
  <c r="EU269" i="25" s="1"/>
  <c r="EQ315" i="25"/>
  <c r="EU315" i="25" s="1"/>
  <c r="FG315" i="25"/>
  <c r="EQ232" i="25"/>
  <c r="EU232" i="25" s="1"/>
  <c r="FG232" i="25"/>
  <c r="FG228" i="25"/>
  <c r="EQ228" i="25"/>
  <c r="EU228" i="25" s="1"/>
  <c r="FG289" i="25"/>
  <c r="EQ289" i="25"/>
  <c r="EU289" i="25" s="1"/>
  <c r="EQ236" i="25"/>
  <c r="EU236" i="25" s="1"/>
  <c r="FG236" i="25"/>
  <c r="EQ272" i="25"/>
  <c r="EU272" i="25" s="1"/>
  <c r="FG272" i="25"/>
  <c r="EQ225" i="25"/>
  <c r="EU225" i="25" s="1"/>
  <c r="FG225" i="25"/>
  <c r="FG300" i="25"/>
  <c r="EQ300" i="25"/>
  <c r="EU300" i="25" s="1"/>
  <c r="EQ240" i="25"/>
  <c r="EU240" i="25" s="1"/>
  <c r="FG240" i="25"/>
  <c r="EQ230" i="25"/>
  <c r="EU230" i="25" s="1"/>
  <c r="FG230" i="25"/>
  <c r="EQ262" i="25"/>
  <c r="EU262" i="25" s="1"/>
  <c r="FG262" i="25"/>
  <c r="EQ226" i="25"/>
  <c r="EU226" i="25" s="1"/>
  <c r="FG226" i="25"/>
  <c r="EQ283" i="25"/>
  <c r="EU283" i="25" s="1"/>
  <c r="FG283" i="25"/>
  <c r="EQ276" i="25"/>
  <c r="EU276" i="25" s="1"/>
  <c r="FG276" i="25"/>
  <c r="FG238" i="25"/>
  <c r="EQ238" i="25"/>
  <c r="EU238" i="25" s="1"/>
  <c r="FG237" i="25"/>
  <c r="EQ237" i="25"/>
  <c r="EU237" i="25" s="1"/>
  <c r="FG294" i="25"/>
  <c r="EQ294" i="25"/>
  <c r="EU294" i="25" s="1"/>
  <c r="EQ241" i="25"/>
  <c r="EU241" i="25" s="1"/>
  <c r="FG241" i="25"/>
  <c r="FG275" i="25"/>
  <c r="EQ275" i="25"/>
  <c r="EU275" i="25" s="1"/>
  <c r="EQ235" i="25"/>
  <c r="EU235" i="25" s="1"/>
  <c r="FG235" i="25"/>
  <c r="EQ306" i="25"/>
  <c r="EU306" i="25" s="1"/>
  <c r="FG306" i="25"/>
  <c r="CU112" i="25"/>
  <c r="CV112" i="25"/>
  <c r="CL112" i="25"/>
  <c r="DP112" i="25"/>
  <c r="EQ112" i="25"/>
  <c r="EU112" i="25" s="1"/>
  <c r="FG112" i="25"/>
  <c r="CX112" i="25"/>
  <c r="CW112" i="25"/>
  <c r="CO112" i="25" s="1"/>
  <c r="B41" i="2"/>
  <c r="B110" i="2" s="1"/>
  <c r="CT112" i="25"/>
  <c r="CY110" i="24"/>
  <c r="DA110" i="24" s="1"/>
  <c r="CT110" i="24"/>
  <c r="CU110" i="24"/>
  <c r="CU5" i="24"/>
  <c r="CV5" i="24" s="1"/>
  <c r="CT5" i="24"/>
  <c r="CS216" i="25"/>
  <c r="DS216" i="25" s="1"/>
  <c r="CS110" i="24"/>
  <c r="FD110" i="24" s="1"/>
  <c r="DM110" i="24"/>
  <c r="DB110" i="24"/>
  <c r="DE110" i="24" s="1"/>
  <c r="DF110" i="24" s="1"/>
  <c r="DG110" i="24" s="1"/>
  <c r="DI110" i="24"/>
  <c r="DB5" i="24"/>
  <c r="DE5" i="24" s="1"/>
  <c r="DF5" i="24" s="1"/>
  <c r="DG5" i="24" s="1"/>
  <c r="DM5" i="24"/>
  <c r="DI5" i="24"/>
  <c r="CY216" i="24"/>
  <c r="CT216" i="24"/>
  <c r="DT216" i="24"/>
  <c r="CU216" i="24"/>
  <c r="CS216" i="24"/>
  <c r="FD216" i="24" s="1"/>
  <c r="CN216" i="24"/>
  <c r="CW113" i="25"/>
  <c r="CO113" i="25" s="1"/>
  <c r="CU113" i="25"/>
  <c r="CV113" i="25"/>
  <c r="FG20" i="25"/>
  <c r="DP20" i="25"/>
  <c r="EQ20" i="25"/>
  <c r="EU20" i="25" s="1"/>
  <c r="CL20" i="25"/>
  <c r="CX20" i="25"/>
  <c r="EQ8" i="25"/>
  <c r="EU8" i="25" s="1"/>
  <c r="DP8" i="25"/>
  <c r="FG8" i="25"/>
  <c r="CX8" i="25"/>
  <c r="CL8" i="25"/>
  <c r="EQ208" i="25"/>
  <c r="EU208" i="25" s="1"/>
  <c r="CL208" i="25"/>
  <c r="CX208" i="25"/>
  <c r="DP208" i="25"/>
  <c r="FG208" i="25"/>
  <c r="FG157" i="25"/>
  <c r="CL157" i="25"/>
  <c r="EQ157" i="25"/>
  <c r="EU157" i="25" s="1"/>
  <c r="DP157" i="25"/>
  <c r="CX157" i="25"/>
  <c r="CY157" i="25" s="1"/>
  <c r="DP15" i="25"/>
  <c r="CL15" i="25"/>
  <c r="EQ15" i="25"/>
  <c r="EU15" i="25" s="1"/>
  <c r="FG15" i="25"/>
  <c r="CX15" i="25"/>
  <c r="EQ117" i="25"/>
  <c r="EU117" i="25" s="1"/>
  <c r="CX117" i="25"/>
  <c r="DP117" i="25"/>
  <c r="CL117" i="25"/>
  <c r="FG117" i="25"/>
  <c r="EQ25" i="25"/>
  <c r="EU25" i="25" s="1"/>
  <c r="CL25" i="25"/>
  <c r="CX25" i="25"/>
  <c r="FG25" i="25"/>
  <c r="DP25" i="25"/>
  <c r="EQ59" i="25"/>
  <c r="EU59" i="25" s="1"/>
  <c r="DP59" i="25"/>
  <c r="CL59" i="25"/>
  <c r="FG59" i="25"/>
  <c r="CX59" i="25"/>
  <c r="EQ43" i="25"/>
  <c r="EU43" i="25" s="1"/>
  <c r="CL43" i="25"/>
  <c r="FG43" i="25"/>
  <c r="DP43" i="25"/>
  <c r="CX43" i="25"/>
  <c r="FG22" i="25"/>
  <c r="CX22" i="25"/>
  <c r="DP22" i="25"/>
  <c r="EQ22" i="25"/>
  <c r="EU22" i="25" s="1"/>
  <c r="CL22" i="25"/>
  <c r="EQ119" i="25"/>
  <c r="EU119" i="25" s="1"/>
  <c r="FG119" i="25"/>
  <c r="CX119" i="25"/>
  <c r="DP119" i="25"/>
  <c r="CL119" i="25"/>
  <c r="CL89" i="25"/>
  <c r="FG89" i="25"/>
  <c r="EQ89" i="25"/>
  <c r="EU89" i="25" s="1"/>
  <c r="DP89" i="25"/>
  <c r="CX89" i="25"/>
  <c r="DP262" i="25"/>
  <c r="CL262" i="25"/>
  <c r="CX262" i="25"/>
  <c r="CL74" i="25"/>
  <c r="DP74" i="25"/>
  <c r="EQ74" i="25"/>
  <c r="EU74" i="25" s="1"/>
  <c r="FG74" i="25"/>
  <c r="CX74" i="25"/>
  <c r="CL33" i="25"/>
  <c r="EQ33" i="25"/>
  <c r="EU33" i="25" s="1"/>
  <c r="FG33" i="25"/>
  <c r="DP33" i="25"/>
  <c r="CX33" i="25"/>
  <c r="DP79" i="25"/>
  <c r="EQ79" i="25"/>
  <c r="EU79" i="25" s="1"/>
  <c r="CX79" i="25"/>
  <c r="FG79" i="25"/>
  <c r="CL79" i="25"/>
  <c r="CX125" i="25"/>
  <c r="DP125" i="25"/>
  <c r="CL125" i="25"/>
  <c r="EQ125" i="25"/>
  <c r="EU125" i="25" s="1"/>
  <c r="FG125" i="25"/>
  <c r="FG85" i="25"/>
  <c r="CL85" i="25"/>
  <c r="DP85" i="25"/>
  <c r="EQ85" i="25"/>
  <c r="EU85" i="25" s="1"/>
  <c r="CX85" i="25"/>
  <c r="EQ145" i="25"/>
  <c r="EU145" i="25" s="1"/>
  <c r="FG145" i="25"/>
  <c r="CL145" i="25"/>
  <c r="DP145" i="25"/>
  <c r="CX145" i="25"/>
  <c r="EQ57" i="25"/>
  <c r="EU57" i="25" s="1"/>
  <c r="DP57" i="25"/>
  <c r="CX57" i="25"/>
  <c r="CL57" i="25"/>
  <c r="FG57" i="25"/>
  <c r="EQ129" i="25"/>
  <c r="EU129" i="25" s="1"/>
  <c r="FG129" i="25"/>
  <c r="CL129" i="25"/>
  <c r="DP129" i="25"/>
  <c r="CX129" i="25"/>
  <c r="FG143" i="25"/>
  <c r="CL143" i="25"/>
  <c r="DP143" i="25"/>
  <c r="CX143" i="25"/>
  <c r="EQ143" i="25"/>
  <c r="EU143" i="25" s="1"/>
  <c r="EQ148" i="25"/>
  <c r="EU148" i="25" s="1"/>
  <c r="FG148" i="25"/>
  <c r="DP148" i="25"/>
  <c r="CL148" i="25"/>
  <c r="CX148" i="25"/>
  <c r="DP226" i="25"/>
  <c r="CL226" i="25"/>
  <c r="CX226" i="25"/>
  <c r="CY226" i="25" s="1"/>
  <c r="DP283" i="25"/>
  <c r="CL283" i="25"/>
  <c r="CX283" i="25"/>
  <c r="EQ185" i="25"/>
  <c r="EU185" i="25" s="1"/>
  <c r="FG185" i="25"/>
  <c r="CL185" i="25"/>
  <c r="DP185" i="25"/>
  <c r="CX185" i="25"/>
  <c r="CL276" i="25"/>
  <c r="CX276" i="25"/>
  <c r="DP276" i="25"/>
  <c r="EQ146" i="25"/>
  <c r="EU146" i="25" s="1"/>
  <c r="FG146" i="25"/>
  <c r="CL146" i="25"/>
  <c r="DP146" i="25"/>
  <c r="CX146" i="25"/>
  <c r="CL238" i="25"/>
  <c r="DP238" i="25"/>
  <c r="CX238" i="25"/>
  <c r="CY238" i="25" s="1"/>
  <c r="CL161" i="25"/>
  <c r="FG161" i="25"/>
  <c r="DP161" i="25"/>
  <c r="EQ161" i="25"/>
  <c r="EU161" i="25" s="1"/>
  <c r="CX161" i="25"/>
  <c r="CL237" i="25"/>
  <c r="CX237" i="25"/>
  <c r="DP237" i="25"/>
  <c r="DP294" i="25"/>
  <c r="CX294" i="25"/>
  <c r="CL294" i="25"/>
  <c r="EQ180" i="25"/>
  <c r="EU180" i="25" s="1"/>
  <c r="DP180" i="25"/>
  <c r="CX180" i="25"/>
  <c r="FG180" i="25"/>
  <c r="CL180" i="25"/>
  <c r="CL241" i="25"/>
  <c r="CX241" i="25"/>
  <c r="DP241" i="25"/>
  <c r="CL275" i="25"/>
  <c r="DP275" i="25"/>
  <c r="CX275" i="25"/>
  <c r="FG194" i="25"/>
  <c r="CX194" i="25"/>
  <c r="DP194" i="25"/>
  <c r="CL194" i="25"/>
  <c r="EQ194" i="25"/>
  <c r="EU194" i="25" s="1"/>
  <c r="CX235" i="25"/>
  <c r="CL235" i="25"/>
  <c r="DP235" i="25"/>
  <c r="DP306" i="25"/>
  <c r="CL306" i="25"/>
  <c r="CX306" i="25"/>
  <c r="CU12" i="25"/>
  <c r="CW12" i="25"/>
  <c r="CO12" i="25" s="1"/>
  <c r="CV12" i="25"/>
  <c r="CV8" i="25"/>
  <c r="CW8" i="25"/>
  <c r="CO8" i="25" s="1"/>
  <c r="CU8" i="25"/>
  <c r="CW63" i="25"/>
  <c r="CO63" i="25" s="1"/>
  <c r="CU63" i="25"/>
  <c r="CV63" i="25"/>
  <c r="CV225" i="25"/>
  <c r="CU225" i="25"/>
  <c r="CW225" i="25"/>
  <c r="CO225" i="25" s="1"/>
  <c r="CV230" i="25"/>
  <c r="CU230" i="25"/>
  <c r="CW230" i="25"/>
  <c r="CO230" i="25" s="1"/>
  <c r="CW222" i="25"/>
  <c r="CO222" i="25" s="1"/>
  <c r="CU222" i="25"/>
  <c r="CV222" i="25"/>
  <c r="CU261" i="25"/>
  <c r="CV261" i="25"/>
  <c r="CW261" i="25"/>
  <c r="CO261" i="25" s="1"/>
  <c r="CW74" i="25"/>
  <c r="CO74" i="25" s="1"/>
  <c r="CV74" i="25"/>
  <c r="CU74" i="25"/>
  <c r="CV33" i="25"/>
  <c r="CU33" i="25"/>
  <c r="CW33" i="25"/>
  <c r="CO33" i="25" s="1"/>
  <c r="CU291" i="25"/>
  <c r="CV291" i="25"/>
  <c r="CW291" i="25"/>
  <c r="CO291" i="25" s="1"/>
  <c r="CW238" i="25"/>
  <c r="CO238" i="25" s="1"/>
  <c r="CV238" i="25"/>
  <c r="CU238" i="25"/>
  <c r="CU285" i="25"/>
  <c r="CW285" i="25"/>
  <c r="CO285" i="25" s="1"/>
  <c r="CV285" i="25"/>
  <c r="CU309" i="25"/>
  <c r="CW309" i="25"/>
  <c r="CO309" i="25" s="1"/>
  <c r="CV309" i="25"/>
  <c r="CV273" i="25"/>
  <c r="CW273" i="25"/>
  <c r="CO273" i="25" s="1"/>
  <c r="CU273" i="25"/>
  <c r="CW253" i="25"/>
  <c r="CO253" i="25" s="1"/>
  <c r="CU253" i="25"/>
  <c r="CV253" i="25"/>
  <c r="CV223" i="25"/>
  <c r="CU223" i="25"/>
  <c r="CW223" i="25"/>
  <c r="CO223" i="25" s="1"/>
  <c r="CU197" i="25"/>
  <c r="CW197" i="25"/>
  <c r="CO197" i="25" s="1"/>
  <c r="CV197" i="25"/>
  <c r="CW189" i="25"/>
  <c r="CO189" i="25" s="1"/>
  <c r="CV189" i="25"/>
  <c r="CU189" i="25"/>
  <c r="CU297" i="25"/>
  <c r="CW297" i="25"/>
  <c r="CO297" i="25" s="1"/>
  <c r="CV297" i="25"/>
  <c r="CV296" i="25"/>
  <c r="CU296" i="25"/>
  <c r="CW296" i="25"/>
  <c r="CO296" i="25" s="1"/>
  <c r="CW219" i="25"/>
  <c r="CO219" i="25" s="1"/>
  <c r="CV219" i="25"/>
  <c r="CU219" i="25"/>
  <c r="CW140" i="25"/>
  <c r="CO140" i="25" s="1"/>
  <c r="CV140" i="25"/>
  <c r="CU140" i="25"/>
  <c r="CU54" i="25"/>
  <c r="CW54" i="25"/>
  <c r="CO54" i="25" s="1"/>
  <c r="CV54" i="25"/>
  <c r="CV245" i="25"/>
  <c r="CU245" i="25"/>
  <c r="CW245" i="25"/>
  <c r="CO245" i="25" s="1"/>
  <c r="CW133" i="25"/>
  <c r="CO133" i="25" s="1"/>
  <c r="CU133" i="25"/>
  <c r="CV133" i="25"/>
  <c r="CW123" i="25"/>
  <c r="CO123" i="25" s="1"/>
  <c r="CV123" i="25"/>
  <c r="CU123" i="25"/>
  <c r="CW73" i="25"/>
  <c r="CO73" i="25" s="1"/>
  <c r="CV73" i="25"/>
  <c r="CU73" i="25"/>
  <c r="CW125" i="25"/>
  <c r="CO125" i="25" s="1"/>
  <c r="CV125" i="25"/>
  <c r="CU125" i="25"/>
  <c r="CU118" i="25"/>
  <c r="CW118" i="25"/>
  <c r="CO118" i="25" s="1"/>
  <c r="CV118" i="25"/>
  <c r="CW115" i="25"/>
  <c r="CO115" i="25" s="1"/>
  <c r="CV115" i="25"/>
  <c r="CU115" i="25"/>
  <c r="CW49" i="25"/>
  <c r="CO49" i="25" s="1"/>
  <c r="CU49" i="25"/>
  <c r="CV49" i="25"/>
  <c r="CV204" i="25"/>
  <c r="CU204" i="25"/>
  <c r="CW204" i="25"/>
  <c r="CO204" i="25" s="1"/>
  <c r="CW182" i="25"/>
  <c r="CO182" i="25" s="1"/>
  <c r="CU182" i="25"/>
  <c r="CV182" i="25"/>
  <c r="CW178" i="25"/>
  <c r="CO178" i="25" s="1"/>
  <c r="CU178" i="25"/>
  <c r="CV178" i="25"/>
  <c r="CV192" i="25"/>
  <c r="CW192" i="25"/>
  <c r="CO192" i="25" s="1"/>
  <c r="CU192" i="25"/>
  <c r="CW258" i="25"/>
  <c r="CO258" i="25" s="1"/>
  <c r="CV258" i="25"/>
  <c r="CU258" i="25"/>
  <c r="FG154" i="25"/>
  <c r="CL154" i="25"/>
  <c r="EQ154" i="25"/>
  <c r="EU154" i="25" s="1"/>
  <c r="DP154" i="25"/>
  <c r="CX154" i="25"/>
  <c r="CY154" i="25" s="1"/>
  <c r="DP305" i="25"/>
  <c r="CX305" i="25"/>
  <c r="CL305" i="25"/>
  <c r="FG68" i="25"/>
  <c r="CL68" i="25"/>
  <c r="DP68" i="25"/>
  <c r="EQ68" i="25"/>
  <c r="EU68" i="25" s="1"/>
  <c r="CX68" i="25"/>
  <c r="DP64" i="25"/>
  <c r="EQ64" i="25"/>
  <c r="EU64" i="25" s="1"/>
  <c r="FG64" i="25"/>
  <c r="CL64" i="25"/>
  <c r="CX64" i="25"/>
  <c r="EQ128" i="25"/>
  <c r="EU128" i="25" s="1"/>
  <c r="FG128" i="25"/>
  <c r="CL128" i="25"/>
  <c r="DP128" i="25"/>
  <c r="CX128" i="25"/>
  <c r="CL232" i="25"/>
  <c r="DP232" i="25"/>
  <c r="CX232" i="25"/>
  <c r="EQ179" i="25"/>
  <c r="EU179" i="25" s="1"/>
  <c r="DP179" i="25"/>
  <c r="CX179" i="25"/>
  <c r="FG179" i="25"/>
  <c r="CL179" i="25"/>
  <c r="CU250" i="25"/>
  <c r="CW250" i="25"/>
  <c r="CO250" i="25" s="1"/>
  <c r="CV250" i="25"/>
  <c r="CU94" i="25"/>
  <c r="CW94" i="25"/>
  <c r="CO94" i="25" s="1"/>
  <c r="CV94" i="25"/>
  <c r="CW55" i="25"/>
  <c r="CO55" i="25" s="1"/>
  <c r="CV55" i="25"/>
  <c r="CU55" i="25"/>
  <c r="CU260" i="25"/>
  <c r="CV260" i="25"/>
  <c r="CW260" i="25"/>
  <c r="CO260" i="25" s="1"/>
  <c r="CU124" i="25"/>
  <c r="CW124" i="25"/>
  <c r="CO124" i="25" s="1"/>
  <c r="CV124" i="25"/>
  <c r="CW145" i="25"/>
  <c r="CO145" i="25" s="1"/>
  <c r="CV145" i="25"/>
  <c r="CU145" i="25"/>
  <c r="CW62" i="25"/>
  <c r="CO62" i="25" s="1"/>
  <c r="CU62" i="25"/>
  <c r="CV62" i="25"/>
  <c r="CW139" i="25"/>
  <c r="CO139" i="25" s="1"/>
  <c r="CV139" i="25"/>
  <c r="CU139" i="25"/>
  <c r="CU315" i="25"/>
  <c r="CV315" i="25"/>
  <c r="CW315" i="25"/>
  <c r="CO315" i="25" s="1"/>
  <c r="CW69" i="25"/>
  <c r="CO69" i="25" s="1"/>
  <c r="CV69" i="25"/>
  <c r="CU69" i="25"/>
  <c r="CW177" i="25"/>
  <c r="CO177" i="25" s="1"/>
  <c r="CU177" i="25"/>
  <c r="CV177" i="25"/>
  <c r="FG38" i="25"/>
  <c r="CX38" i="25"/>
  <c r="DP38" i="25"/>
  <c r="EQ38" i="25"/>
  <c r="EU38" i="25" s="1"/>
  <c r="CL38" i="25"/>
  <c r="EQ37" i="25"/>
  <c r="EU37" i="25" s="1"/>
  <c r="CL37" i="25"/>
  <c r="CX37" i="25"/>
  <c r="DP37" i="25"/>
  <c r="FG37" i="25"/>
  <c r="FG14" i="25"/>
  <c r="CX14" i="25"/>
  <c r="CL14" i="25"/>
  <c r="EQ14" i="25"/>
  <c r="EU14" i="25" s="1"/>
  <c r="DP14" i="25"/>
  <c r="EQ176" i="25"/>
  <c r="EU176" i="25" s="1"/>
  <c r="DP176" i="25"/>
  <c r="FG176" i="25"/>
  <c r="CX176" i="25"/>
  <c r="CL176" i="25"/>
  <c r="FG17" i="25"/>
  <c r="CL17" i="25"/>
  <c r="EQ17" i="25"/>
  <c r="EU17" i="25" s="1"/>
  <c r="CX17" i="25"/>
  <c r="DP17" i="25"/>
  <c r="FG175" i="25"/>
  <c r="CX175" i="25"/>
  <c r="DP175" i="25"/>
  <c r="CL175" i="25"/>
  <c r="EQ175" i="25"/>
  <c r="EU175" i="25" s="1"/>
  <c r="EQ27" i="25"/>
  <c r="EU27" i="25" s="1"/>
  <c r="DP27" i="25"/>
  <c r="CL27" i="25"/>
  <c r="FG27" i="25"/>
  <c r="CX27" i="25"/>
  <c r="DP82" i="25"/>
  <c r="CL82" i="25"/>
  <c r="FG82" i="25"/>
  <c r="EQ82" i="25"/>
  <c r="EU82" i="25" s="1"/>
  <c r="CX82" i="25"/>
  <c r="CY82" i="25" s="1"/>
  <c r="CL55" i="25"/>
  <c r="FG55" i="25"/>
  <c r="EQ55" i="25"/>
  <c r="EU55" i="25" s="1"/>
  <c r="DP55" i="25"/>
  <c r="CX55" i="25"/>
  <c r="DP47" i="25"/>
  <c r="FG47" i="25"/>
  <c r="EQ47" i="25"/>
  <c r="EU47" i="25" s="1"/>
  <c r="CL47" i="25"/>
  <c r="CX47" i="25"/>
  <c r="CX266" i="25"/>
  <c r="DP266" i="25"/>
  <c r="CL266" i="25"/>
  <c r="DP90" i="25"/>
  <c r="CL90" i="25"/>
  <c r="CX90" i="25"/>
  <c r="EQ90" i="25"/>
  <c r="EU90" i="25" s="1"/>
  <c r="FG90" i="25"/>
  <c r="CX277" i="25"/>
  <c r="CL277" i="25"/>
  <c r="DP277" i="25"/>
  <c r="CL87" i="25"/>
  <c r="EQ87" i="25"/>
  <c r="EU87" i="25" s="1"/>
  <c r="CX87" i="25"/>
  <c r="FG87" i="25"/>
  <c r="DP87" i="25"/>
  <c r="EQ34" i="25"/>
  <c r="EU34" i="25" s="1"/>
  <c r="CX34" i="25"/>
  <c r="DP34" i="25"/>
  <c r="CL34" i="25"/>
  <c r="FG34" i="25"/>
  <c r="CL86" i="25"/>
  <c r="DP86" i="25"/>
  <c r="CX86" i="25"/>
  <c r="FG86" i="25"/>
  <c r="EQ86" i="25"/>
  <c r="EU86" i="25" s="1"/>
  <c r="DP126" i="25"/>
  <c r="CL126" i="25"/>
  <c r="EQ126" i="25"/>
  <c r="EU126" i="25" s="1"/>
  <c r="FG126" i="25"/>
  <c r="CX126" i="25"/>
  <c r="EQ100" i="25"/>
  <c r="EU100" i="25" s="1"/>
  <c r="DP100" i="25"/>
  <c r="CL100" i="25"/>
  <c r="CX100" i="25"/>
  <c r="FG100" i="25"/>
  <c r="EQ177" i="25"/>
  <c r="EU177" i="25" s="1"/>
  <c r="CL177" i="25"/>
  <c r="CX177" i="25"/>
  <c r="FG177" i="25"/>
  <c r="DP177" i="25"/>
  <c r="EQ65" i="25"/>
  <c r="EU65" i="25" s="1"/>
  <c r="DP65" i="25"/>
  <c r="CL65" i="25"/>
  <c r="CX65" i="25"/>
  <c r="FG65" i="25"/>
  <c r="EQ130" i="25"/>
  <c r="EU130" i="25" s="1"/>
  <c r="DP130" i="25"/>
  <c r="CX130" i="25"/>
  <c r="FG130" i="25"/>
  <c r="CL130" i="25"/>
  <c r="FG151" i="25"/>
  <c r="CL151" i="25"/>
  <c r="CX151" i="25"/>
  <c r="DP151" i="25"/>
  <c r="EQ151" i="25"/>
  <c r="EU151" i="25" s="1"/>
  <c r="FG153" i="25"/>
  <c r="CL153" i="25"/>
  <c r="EQ153" i="25"/>
  <c r="EU153" i="25" s="1"/>
  <c r="DP153" i="25"/>
  <c r="CX153" i="25"/>
  <c r="CX233" i="25"/>
  <c r="DP233" i="25"/>
  <c r="CL233" i="25"/>
  <c r="CL285" i="25"/>
  <c r="CX285" i="25"/>
  <c r="DP285" i="25"/>
  <c r="FG188" i="25"/>
  <c r="DP188" i="25"/>
  <c r="EQ188" i="25"/>
  <c r="EU188" i="25" s="1"/>
  <c r="CL188" i="25"/>
  <c r="CX188" i="25"/>
  <c r="CL280" i="25"/>
  <c r="DP280" i="25"/>
  <c r="CX280" i="25"/>
  <c r="CL156" i="25"/>
  <c r="FG156" i="25"/>
  <c r="DP156" i="25"/>
  <c r="EQ156" i="25"/>
  <c r="EU156" i="25" s="1"/>
  <c r="CX156" i="25"/>
  <c r="CL243" i="25"/>
  <c r="DP243" i="25"/>
  <c r="CX243" i="25"/>
  <c r="FG164" i="25"/>
  <c r="CL164" i="25"/>
  <c r="EQ164" i="25"/>
  <c r="EU164" i="25" s="1"/>
  <c r="DP164" i="25"/>
  <c r="CX164" i="25"/>
  <c r="CY164" i="25" s="1"/>
  <c r="CL244" i="25"/>
  <c r="DP244" i="25"/>
  <c r="CX244" i="25"/>
  <c r="CL295" i="25"/>
  <c r="CX295" i="25"/>
  <c r="DP295" i="25"/>
  <c r="EQ181" i="25"/>
  <c r="EU181" i="25" s="1"/>
  <c r="DP181" i="25"/>
  <c r="CL181" i="25"/>
  <c r="CX181" i="25"/>
  <c r="FG181" i="25"/>
  <c r="DP242" i="25"/>
  <c r="CL242" i="25"/>
  <c r="CX242" i="25"/>
  <c r="CL307" i="25"/>
  <c r="DP307" i="25"/>
  <c r="CX307" i="25"/>
  <c r="DP195" i="25"/>
  <c r="CX195" i="25"/>
  <c r="CL195" i="25"/>
  <c r="EQ195" i="25"/>
  <c r="EU195" i="25" s="1"/>
  <c r="FG195" i="25"/>
  <c r="DP250" i="25"/>
  <c r="CL250" i="25"/>
  <c r="CX250" i="25"/>
  <c r="CU159" i="25"/>
  <c r="CW159" i="25"/>
  <c r="CO159" i="25" s="1"/>
  <c r="CV159" i="25"/>
  <c r="CV152" i="25"/>
  <c r="CW152" i="25"/>
  <c r="CO152" i="25" s="1"/>
  <c r="CU152" i="25"/>
  <c r="CW82" i="25"/>
  <c r="CO82" i="25" s="1"/>
  <c r="CU82" i="25"/>
  <c r="CV82" i="25"/>
  <c r="CV154" i="25"/>
  <c r="CW154" i="25"/>
  <c r="CO154" i="25" s="1"/>
  <c r="CU154" i="25"/>
  <c r="CU288" i="25"/>
  <c r="CW288" i="25"/>
  <c r="CO288" i="25" s="1"/>
  <c r="CV288" i="25"/>
  <c r="CU236" i="25"/>
  <c r="CW236" i="25"/>
  <c r="CO236" i="25" s="1"/>
  <c r="CV236" i="25"/>
  <c r="CU36" i="25"/>
  <c r="CW36" i="25"/>
  <c r="CO36" i="25" s="1"/>
  <c r="CV36" i="25"/>
  <c r="CU313" i="25"/>
  <c r="CW313" i="25"/>
  <c r="CO313" i="25" s="1"/>
  <c r="CV313" i="25"/>
  <c r="CV163" i="25"/>
  <c r="CW163" i="25"/>
  <c r="CO163" i="25" s="1"/>
  <c r="CU163" i="25"/>
  <c r="CU90" i="25"/>
  <c r="CW90" i="25"/>
  <c r="CO90" i="25" s="1"/>
  <c r="CV90" i="25"/>
  <c r="CW221" i="25"/>
  <c r="CO221" i="25" s="1"/>
  <c r="CU221" i="25"/>
  <c r="CV221" i="25"/>
  <c r="CV224" i="25"/>
  <c r="CU224" i="25"/>
  <c r="CW224" i="25"/>
  <c r="CO224" i="25" s="1"/>
  <c r="CW155" i="25"/>
  <c r="CO155" i="25" s="1"/>
  <c r="CU155" i="25"/>
  <c r="CV155" i="25"/>
  <c r="CW281" i="25"/>
  <c r="CO281" i="25" s="1"/>
  <c r="CU281" i="25"/>
  <c r="CV281" i="25"/>
  <c r="CW310" i="25"/>
  <c r="CO310" i="25" s="1"/>
  <c r="CU310" i="25"/>
  <c r="CV310" i="25"/>
  <c r="CV278" i="25"/>
  <c r="CU278" i="25"/>
  <c r="CW278" i="25"/>
  <c r="CO278" i="25" s="1"/>
  <c r="CU263" i="25"/>
  <c r="CV263" i="25"/>
  <c r="CW263" i="25"/>
  <c r="CO263" i="25" s="1"/>
  <c r="CV194" i="25"/>
  <c r="CW194" i="25"/>
  <c r="CO194" i="25" s="1"/>
  <c r="CU194" i="25"/>
  <c r="CW142" i="25"/>
  <c r="CO142" i="25" s="1"/>
  <c r="CV142" i="25"/>
  <c r="CU142" i="25"/>
  <c r="CV170" i="25"/>
  <c r="CU170" i="25"/>
  <c r="CW170" i="25"/>
  <c r="CO170" i="25" s="1"/>
  <c r="CW167" i="25"/>
  <c r="CO167" i="25" s="1"/>
  <c r="CU167" i="25"/>
  <c r="CV167" i="25"/>
  <c r="CV293" i="25"/>
  <c r="CW293" i="25"/>
  <c r="CO293" i="25" s="1"/>
  <c r="CU293" i="25"/>
  <c r="CW135" i="25"/>
  <c r="CO135" i="25" s="1"/>
  <c r="CV135" i="25"/>
  <c r="CU135" i="25"/>
  <c r="CU17" i="25"/>
  <c r="CV17" i="25"/>
  <c r="CW17" i="25"/>
  <c r="CO17" i="25" s="1"/>
  <c r="CV46" i="25"/>
  <c r="CU46" i="25"/>
  <c r="CW46" i="25"/>
  <c r="CO46" i="25" s="1"/>
  <c r="CU21" i="25"/>
  <c r="CW21" i="25"/>
  <c r="CO21" i="25" s="1"/>
  <c r="CV21" i="25"/>
  <c r="CU13" i="25"/>
  <c r="CW13" i="25"/>
  <c r="CO13" i="25" s="1"/>
  <c r="CV13" i="25"/>
  <c r="CW127" i="25"/>
  <c r="CO127" i="25" s="1"/>
  <c r="CV127" i="25"/>
  <c r="CU127" i="25"/>
  <c r="CU101" i="25"/>
  <c r="CW101" i="25"/>
  <c r="CO101" i="25" s="1"/>
  <c r="CV101" i="25"/>
  <c r="CW126" i="25"/>
  <c r="CO126" i="25" s="1"/>
  <c r="CU126" i="25"/>
  <c r="CV126" i="25"/>
  <c r="CW128" i="25"/>
  <c r="CO128" i="25" s="1"/>
  <c r="CU128" i="25"/>
  <c r="CV128" i="25"/>
  <c r="CW117" i="25"/>
  <c r="CO117" i="25" s="1"/>
  <c r="CV117" i="25"/>
  <c r="CU117" i="25"/>
  <c r="CU96" i="25"/>
  <c r="CW96" i="25"/>
  <c r="CO96" i="25" s="1"/>
  <c r="CV96" i="25"/>
  <c r="CU243" i="25"/>
  <c r="CV243" i="25"/>
  <c r="CW243" i="25"/>
  <c r="CO243" i="25" s="1"/>
  <c r="CW198" i="25"/>
  <c r="CO198" i="25" s="1"/>
  <c r="CU198" i="25"/>
  <c r="CV198" i="25"/>
  <c r="CV208" i="25"/>
  <c r="CU208" i="25"/>
  <c r="CW208" i="25"/>
  <c r="CO208" i="25" s="1"/>
  <c r="CU195" i="25"/>
  <c r="CV195" i="25"/>
  <c r="CW195" i="25"/>
  <c r="CO195" i="25" s="1"/>
  <c r="CW171" i="25"/>
  <c r="CO171" i="25" s="1"/>
  <c r="CU171" i="25"/>
  <c r="CV171" i="25"/>
  <c r="EQ12" i="25"/>
  <c r="EU12" i="25" s="1"/>
  <c r="DP12" i="25"/>
  <c r="FG12" i="25"/>
  <c r="CL12" i="25"/>
  <c r="CX12" i="25"/>
  <c r="CX269" i="25"/>
  <c r="CL269" i="25"/>
  <c r="DP269" i="25"/>
  <c r="CL225" i="25"/>
  <c r="DP225" i="25"/>
  <c r="CX225" i="25"/>
  <c r="CW185" i="25"/>
  <c r="CO185" i="25" s="1"/>
  <c r="CV185" i="25"/>
  <c r="CU185" i="25"/>
  <c r="CU176" i="25"/>
  <c r="CW176" i="25"/>
  <c r="CO176" i="25" s="1"/>
  <c r="CV176" i="25"/>
  <c r="CT176" i="25"/>
  <c r="CT175" i="25"/>
  <c r="CT173" i="25"/>
  <c r="CT286" i="25"/>
  <c r="CT284" i="25"/>
  <c r="CT282" i="25"/>
  <c r="CT277" i="25"/>
  <c r="CT264" i="25"/>
  <c r="CT249" i="25"/>
  <c r="CT201" i="25"/>
  <c r="CT177" i="25"/>
  <c r="CT174" i="25"/>
  <c r="CT256" i="25"/>
  <c r="CT235" i="25"/>
  <c r="CT208" i="25"/>
  <c r="CT199" i="25"/>
  <c r="CT178" i="25"/>
  <c r="CT251" i="25"/>
  <c r="CT241" i="25"/>
  <c r="CT209" i="25"/>
  <c r="CT205" i="25"/>
  <c r="CT198" i="25"/>
  <c r="CT182" i="25"/>
  <c r="CT181" i="25"/>
  <c r="CT180" i="25"/>
  <c r="CT179" i="25"/>
  <c r="CT271" i="25"/>
  <c r="CT252" i="25"/>
  <c r="CT243" i="25"/>
  <c r="FD243" i="25" s="1"/>
  <c r="CT231" i="25"/>
  <c r="CT207" i="25"/>
  <c r="CT204" i="25"/>
  <c r="CT203" i="25"/>
  <c r="CT197" i="25"/>
  <c r="CT146" i="25"/>
  <c r="CT295" i="25"/>
  <c r="CT294" i="25"/>
  <c r="CT245" i="25"/>
  <c r="CT183" i="25"/>
  <c r="CT169" i="25"/>
  <c r="CT168" i="25"/>
  <c r="CT165" i="25"/>
  <c r="CT184" i="25"/>
  <c r="CT141" i="25"/>
  <c r="CT202" i="25"/>
  <c r="CT172" i="25"/>
  <c r="CT143" i="25"/>
  <c r="CT97" i="25"/>
  <c r="CT83" i="25"/>
  <c r="CT140" i="25"/>
  <c r="CT132" i="25"/>
  <c r="CT131" i="25"/>
  <c r="CT115" i="25"/>
  <c r="CT113" i="25"/>
  <c r="CT111" i="25"/>
  <c r="CT137" i="25"/>
  <c r="CT130" i="25"/>
  <c r="CT129" i="25"/>
  <c r="CT128" i="25"/>
  <c r="CT118" i="25"/>
  <c r="CT69" i="25"/>
  <c r="CT65" i="25"/>
  <c r="CT57" i="25"/>
  <c r="CT296" i="25"/>
  <c r="CT145" i="25"/>
  <c r="CT139" i="25"/>
  <c r="CT134" i="25"/>
  <c r="CT127" i="25"/>
  <c r="CT123" i="25"/>
  <c r="CT122" i="25"/>
  <c r="CT120" i="25"/>
  <c r="CT229" i="25"/>
  <c r="CT148" i="25"/>
  <c r="CT110" i="25"/>
  <c r="CT297" i="25"/>
  <c r="CT233" i="25"/>
  <c r="CT73" i="25"/>
  <c r="CT29" i="25"/>
  <c r="CT144" i="25"/>
  <c r="CT133" i="25"/>
  <c r="CT269" i="25"/>
  <c r="CT247" i="25"/>
  <c r="CT171" i="25"/>
  <c r="CT125" i="25"/>
  <c r="CT13" i="25"/>
  <c r="CT17" i="25"/>
  <c r="CT206" i="25"/>
  <c r="CT136" i="25"/>
  <c r="CT135" i="25"/>
  <c r="CT53" i="25"/>
  <c r="CT142" i="25"/>
  <c r="CT126" i="25"/>
  <c r="CT49" i="25"/>
  <c r="CT35" i="25"/>
  <c r="CT25" i="25"/>
  <c r="CT21" i="25"/>
  <c r="CT138" i="25"/>
  <c r="CT87" i="25"/>
  <c r="CT61" i="25"/>
  <c r="CT75" i="25"/>
  <c r="CT170" i="25"/>
  <c r="CT14" i="25"/>
  <c r="CT84" i="25"/>
  <c r="CT119" i="25"/>
  <c r="CT192" i="25"/>
  <c r="CT6" i="25"/>
  <c r="CT46" i="25"/>
  <c r="CT62" i="25"/>
  <c r="CT70" i="25"/>
  <c r="CT81" i="25"/>
  <c r="CT88" i="25"/>
  <c r="CT18" i="25"/>
  <c r="CT10" i="25"/>
  <c r="CT22" i="25"/>
  <c r="CT79" i="25"/>
  <c r="CT92" i="25"/>
  <c r="CT60" i="25"/>
  <c r="CT188" i="25"/>
  <c r="CT195" i="25"/>
  <c r="CT217" i="25"/>
  <c r="CT292" i="25"/>
  <c r="CT42" i="25"/>
  <c r="CT56" i="25"/>
  <c r="CT54" i="25"/>
  <c r="CT101" i="25"/>
  <c r="CT117" i="25"/>
  <c r="CT223" i="25"/>
  <c r="CT299" i="25"/>
  <c r="CT262" i="25"/>
  <c r="CT9" i="25"/>
  <c r="CT105" i="25"/>
  <c r="CT26" i="25"/>
  <c r="CT64" i="25"/>
  <c r="CT72" i="25"/>
  <c r="CT289" i="25"/>
  <c r="CT279" i="25"/>
  <c r="CT191" i="25"/>
  <c r="CT166" i="25"/>
  <c r="CT258" i="25"/>
  <c r="CT316" i="25"/>
  <c r="CT283" i="25"/>
  <c r="CT34" i="25"/>
  <c r="CT287" i="25"/>
  <c r="CT66" i="25"/>
  <c r="CT16" i="25"/>
  <c r="CT124" i="25"/>
  <c r="CT116" i="25"/>
  <c r="CT80" i="25"/>
  <c r="CT266" i="25"/>
  <c r="CT285" i="25"/>
  <c r="CT98" i="25"/>
  <c r="CT147" i="25"/>
  <c r="CT38" i="25"/>
  <c r="CT30" i="25"/>
  <c r="CT200" i="25"/>
  <c r="CT102" i="25"/>
  <c r="CT303" i="25"/>
  <c r="CT95" i="25"/>
  <c r="CT312" i="25"/>
  <c r="CT190" i="25"/>
  <c r="CT114" i="25"/>
  <c r="CT315" i="25"/>
  <c r="CT167" i="25"/>
  <c r="CT196" i="25"/>
  <c r="CT278" i="25"/>
  <c r="CT227" i="25"/>
  <c r="CT121" i="25"/>
  <c r="CT68" i="25"/>
  <c r="CT50" i="25"/>
  <c r="CT306" i="25"/>
  <c r="CT265" i="25"/>
  <c r="CT263" i="25"/>
  <c r="CT253" i="25"/>
  <c r="CT58" i="25"/>
  <c r="CT189" i="25"/>
  <c r="CT237" i="25"/>
  <c r="CT300" i="25"/>
  <c r="CT193" i="25"/>
  <c r="CT257" i="25"/>
  <c r="CT293" i="25"/>
  <c r="CT310" i="25"/>
  <c r="CT254" i="25"/>
  <c r="CT219" i="25"/>
  <c r="CT280" i="25"/>
  <c r="CT305" i="25"/>
  <c r="CT309" i="25"/>
  <c r="CT311" i="25"/>
  <c r="CT239" i="25"/>
  <c r="CT268" i="25"/>
  <c r="CT194" i="25"/>
  <c r="CT255" i="25"/>
  <c r="CT91" i="25"/>
  <c r="CT149" i="25"/>
  <c r="CT260" i="25"/>
  <c r="CT273" i="25"/>
  <c r="CT275" i="25"/>
  <c r="CT304" i="25"/>
  <c r="CT96" i="25"/>
  <c r="CT276" i="25"/>
  <c r="CT281" i="25"/>
  <c r="CT41" i="25"/>
  <c r="CT298" i="25"/>
  <c r="CT224" i="25"/>
  <c r="CT240" i="25"/>
  <c r="CT155" i="25"/>
  <c r="CT55" i="25"/>
  <c r="CT47" i="25"/>
  <c r="CT225" i="25"/>
  <c r="FD225" i="25" s="1"/>
  <c r="CT59" i="25"/>
  <c r="CT44" i="25"/>
  <c r="CT154" i="25"/>
  <c r="CT267" i="25"/>
  <c r="CT238" i="25"/>
  <c r="CT33" i="25"/>
  <c r="CT15" i="25"/>
  <c r="CT291" i="25"/>
  <c r="CT77" i="25"/>
  <c r="CT7" i="25"/>
  <c r="FD7" i="25" s="1"/>
  <c r="CT36" i="25"/>
  <c r="CT301" i="25"/>
  <c r="CT19" i="25"/>
  <c r="CT162" i="25"/>
  <c r="CT187" i="25"/>
  <c r="CT100" i="25"/>
  <c r="CT156" i="25"/>
  <c r="CT220" i="25"/>
  <c r="CT27" i="25"/>
  <c r="CT185" i="25"/>
  <c r="CT288" i="25"/>
  <c r="CT157" i="25"/>
  <c r="CT163" i="25"/>
  <c r="CT222" i="25"/>
  <c r="CT259" i="25"/>
  <c r="CT218" i="25"/>
  <c r="CT232" i="25"/>
  <c r="CT32" i="25"/>
  <c r="CT103" i="25"/>
  <c r="CT290" i="25"/>
  <c r="CT270" i="25"/>
  <c r="CT20" i="25"/>
  <c r="CT76" i="25"/>
  <c r="CT28" i="25"/>
  <c r="CT242" i="25"/>
  <c r="CT313" i="25"/>
  <c r="CT86" i="25"/>
  <c r="CT48" i="25"/>
  <c r="CT67" i="25"/>
  <c r="CT159" i="25"/>
  <c r="CT99" i="25"/>
  <c r="CT37" i="25"/>
  <c r="CT8" i="25"/>
  <c r="CT228" i="25"/>
  <c r="CT11" i="25"/>
  <c r="CT307" i="25"/>
  <c r="CT161" i="25"/>
  <c r="CT248" i="25"/>
  <c r="CT31" i="25"/>
  <c r="CT90" i="25"/>
  <c r="CT160" i="25"/>
  <c r="CT158" i="25"/>
  <c r="CT82" i="25"/>
  <c r="CT226" i="25"/>
  <c r="CT150" i="25"/>
  <c r="CT71" i="25"/>
  <c r="CT230" i="25"/>
  <c r="CT94" i="25"/>
  <c r="CT164" i="25"/>
  <c r="CT216" i="25"/>
  <c r="CT74" i="25"/>
  <c r="CT78" i="25"/>
  <c r="CT85" i="25"/>
  <c r="CT186" i="25"/>
  <c r="CT274" i="25"/>
  <c r="CT236" i="25"/>
  <c r="CT89" i="25"/>
  <c r="CT151" i="25"/>
  <c r="CT45" i="25"/>
  <c r="CT244" i="25"/>
  <c r="CT210" i="25"/>
  <c r="CT153" i="25"/>
  <c r="CT234" i="25"/>
  <c r="CT152" i="25"/>
  <c r="CT246" i="25"/>
  <c r="CT51" i="25"/>
  <c r="CT43" i="25"/>
  <c r="CT12" i="25"/>
  <c r="CT63" i="25"/>
  <c r="CT314" i="25"/>
  <c r="CT93" i="25"/>
  <c r="CT104" i="25"/>
  <c r="CT23" i="25"/>
  <c r="CT308" i="25"/>
  <c r="CT261" i="25"/>
  <c r="CT302" i="25"/>
  <c r="CT272" i="25"/>
  <c r="CT24" i="25"/>
  <c r="CT40" i="25"/>
  <c r="CT250" i="25"/>
  <c r="CT39" i="25"/>
  <c r="CT221" i="25"/>
  <c r="CT52" i="25"/>
  <c r="FG24" i="25"/>
  <c r="DP24" i="25"/>
  <c r="CX24" i="25"/>
  <c r="CL24" i="25"/>
  <c r="EQ24" i="25"/>
  <c r="EU24" i="25" s="1"/>
  <c r="FG58" i="25"/>
  <c r="EQ58" i="25"/>
  <c r="EU58" i="25" s="1"/>
  <c r="DP58" i="25"/>
  <c r="CL58" i="25"/>
  <c r="CX58" i="25"/>
  <c r="CL29" i="25"/>
  <c r="EQ29" i="25"/>
  <c r="EU29" i="25" s="1"/>
  <c r="CX29" i="25"/>
  <c r="FG29" i="25"/>
  <c r="DP29" i="25"/>
  <c r="CL81" i="25"/>
  <c r="FG81" i="25"/>
  <c r="DP81" i="25"/>
  <c r="EQ81" i="25"/>
  <c r="EU81" i="25" s="1"/>
  <c r="CX81" i="25"/>
  <c r="DP42" i="25"/>
  <c r="FG42" i="25"/>
  <c r="CX42" i="25"/>
  <c r="EQ42" i="25"/>
  <c r="EU42" i="25" s="1"/>
  <c r="CL42" i="25"/>
  <c r="CL9" i="25"/>
  <c r="FG9" i="25"/>
  <c r="EQ9" i="25"/>
  <c r="EU9" i="25" s="1"/>
  <c r="DP9" i="25"/>
  <c r="CX9" i="25"/>
  <c r="DP28" i="25"/>
  <c r="FG28" i="25"/>
  <c r="CX28" i="25"/>
  <c r="CL28" i="25"/>
  <c r="EQ28" i="25"/>
  <c r="EU28" i="25" s="1"/>
  <c r="CX92" i="25"/>
  <c r="DP92" i="25"/>
  <c r="CL92" i="25"/>
  <c r="EQ92" i="25"/>
  <c r="EU92" i="25" s="1"/>
  <c r="FG92" i="25"/>
  <c r="FG71" i="25"/>
  <c r="EQ71" i="25"/>
  <c r="EU71" i="25" s="1"/>
  <c r="DP71" i="25"/>
  <c r="CL71" i="25"/>
  <c r="CX71" i="25"/>
  <c r="DP48" i="25"/>
  <c r="CX48" i="25"/>
  <c r="CL48" i="25"/>
  <c r="EQ48" i="25"/>
  <c r="EU48" i="25" s="1"/>
  <c r="FG48" i="25"/>
  <c r="CL284" i="25"/>
  <c r="DP284" i="25"/>
  <c r="CX284" i="25"/>
  <c r="EQ96" i="25"/>
  <c r="EU96" i="25" s="1"/>
  <c r="FG96" i="25"/>
  <c r="CX96" i="25"/>
  <c r="DP96" i="25"/>
  <c r="CL96" i="25"/>
  <c r="DP298" i="25"/>
  <c r="CL298" i="25"/>
  <c r="CX298" i="25"/>
  <c r="CL95" i="25"/>
  <c r="EQ95" i="25"/>
  <c r="EU95" i="25" s="1"/>
  <c r="CX95" i="25"/>
  <c r="FG95" i="25"/>
  <c r="DP95" i="25"/>
  <c r="FG40" i="25"/>
  <c r="DP40" i="25"/>
  <c r="CX40" i="25"/>
  <c r="CL40" i="25"/>
  <c r="EQ40" i="25"/>
  <c r="EU40" i="25" s="1"/>
  <c r="DP88" i="25"/>
  <c r="CL88" i="25"/>
  <c r="FG88" i="25"/>
  <c r="CX88" i="25"/>
  <c r="EQ88" i="25"/>
  <c r="EU88" i="25" s="1"/>
  <c r="FG139" i="25"/>
  <c r="CL139" i="25"/>
  <c r="DP139" i="25"/>
  <c r="EQ139" i="25"/>
  <c r="EU139" i="25" s="1"/>
  <c r="CX139" i="25"/>
  <c r="EQ121" i="25"/>
  <c r="EU121" i="25" s="1"/>
  <c r="CL121" i="25"/>
  <c r="FG121" i="25"/>
  <c r="CX121" i="25"/>
  <c r="DP121" i="25"/>
  <c r="DP227" i="25"/>
  <c r="CX227" i="25"/>
  <c r="CL227" i="25"/>
  <c r="EQ69" i="25"/>
  <c r="EU69" i="25" s="1"/>
  <c r="CX69" i="25"/>
  <c r="DP69" i="25"/>
  <c r="FG69" i="25"/>
  <c r="CL69" i="25"/>
  <c r="FG140" i="25"/>
  <c r="DP140" i="25"/>
  <c r="CL140" i="25"/>
  <c r="EQ140" i="25"/>
  <c r="EU140" i="25" s="1"/>
  <c r="CX140" i="25"/>
  <c r="EQ173" i="25"/>
  <c r="EU173" i="25" s="1"/>
  <c r="DP173" i="25"/>
  <c r="CX173" i="25"/>
  <c r="CL173" i="25"/>
  <c r="FG173" i="25"/>
  <c r="EQ171" i="25"/>
  <c r="EU171" i="25" s="1"/>
  <c r="CL171" i="25"/>
  <c r="CX171" i="25"/>
  <c r="DP171" i="25"/>
  <c r="FG171" i="25"/>
  <c r="CL239" i="25"/>
  <c r="CX239" i="25"/>
  <c r="DP239" i="25"/>
  <c r="CL287" i="25"/>
  <c r="CX287" i="25"/>
  <c r="DP287" i="25"/>
  <c r="EQ189" i="25"/>
  <c r="EU189" i="25" s="1"/>
  <c r="CL189" i="25"/>
  <c r="CX189" i="25"/>
  <c r="FG189" i="25"/>
  <c r="DP189" i="25"/>
  <c r="DP290" i="25"/>
  <c r="CL290" i="25"/>
  <c r="CX290" i="25"/>
  <c r="EQ169" i="25"/>
  <c r="EU169" i="25" s="1"/>
  <c r="CL169" i="25"/>
  <c r="FG169" i="25"/>
  <c r="CX169" i="25"/>
  <c r="DP169" i="25"/>
  <c r="CL245" i="25"/>
  <c r="CX245" i="25"/>
  <c r="DP245" i="25"/>
  <c r="DP168" i="25"/>
  <c r="EQ168" i="25"/>
  <c r="EU168" i="25" s="1"/>
  <c r="FG168" i="25"/>
  <c r="CX168" i="25"/>
  <c r="CL168" i="25"/>
  <c r="DP252" i="25"/>
  <c r="CX252" i="25"/>
  <c r="CL252" i="25"/>
  <c r="CL314" i="25"/>
  <c r="DP314" i="25"/>
  <c r="CX314" i="25"/>
  <c r="EQ182" i="25"/>
  <c r="EU182" i="25" s="1"/>
  <c r="CL182" i="25"/>
  <c r="FG182" i="25"/>
  <c r="DP182" i="25"/>
  <c r="CX182" i="25"/>
  <c r="DP251" i="25"/>
  <c r="CL251" i="25"/>
  <c r="CX251" i="25"/>
  <c r="DP309" i="25"/>
  <c r="CL309" i="25"/>
  <c r="CX309" i="25"/>
  <c r="FG197" i="25"/>
  <c r="DP197" i="25"/>
  <c r="EQ197" i="25"/>
  <c r="EU197" i="25" s="1"/>
  <c r="CL197" i="25"/>
  <c r="CX197" i="25"/>
  <c r="DP256" i="25"/>
  <c r="CL256" i="25"/>
  <c r="CX256" i="25"/>
  <c r="CU52" i="25"/>
  <c r="CV52" i="25"/>
  <c r="CW52" i="25"/>
  <c r="CO52" i="25" s="1"/>
  <c r="CW39" i="25"/>
  <c r="CO39" i="25" s="1"/>
  <c r="CU39" i="25"/>
  <c r="CV39" i="25"/>
  <c r="CU246" i="25"/>
  <c r="CW246" i="25"/>
  <c r="CO246" i="25" s="1"/>
  <c r="CV246" i="25"/>
  <c r="CW77" i="25"/>
  <c r="CO77" i="25" s="1"/>
  <c r="CU77" i="25"/>
  <c r="CV77" i="25"/>
  <c r="CV153" i="25"/>
  <c r="CW153" i="25"/>
  <c r="CO153" i="25" s="1"/>
  <c r="CU153" i="25"/>
  <c r="CV71" i="25"/>
  <c r="CU71" i="25"/>
  <c r="CW71" i="25"/>
  <c r="CO71" i="25" s="1"/>
  <c r="CV150" i="25"/>
  <c r="CU150" i="25"/>
  <c r="CW150" i="25"/>
  <c r="CO150" i="25" s="1"/>
  <c r="CV162" i="25"/>
  <c r="CU162" i="25"/>
  <c r="CW162" i="25"/>
  <c r="CO162" i="25" s="1"/>
  <c r="CU242" i="25"/>
  <c r="CW242" i="25"/>
  <c r="CO242" i="25" s="1"/>
  <c r="CV242" i="25"/>
  <c r="CV89" i="25"/>
  <c r="CU89" i="25"/>
  <c r="CW89" i="25"/>
  <c r="CO89" i="25" s="1"/>
  <c r="CU20" i="25"/>
  <c r="CW20" i="25"/>
  <c r="CO20" i="25" s="1"/>
  <c r="CV20" i="25"/>
  <c r="CU48" i="25"/>
  <c r="CW48" i="25"/>
  <c r="CO48" i="25" s="1"/>
  <c r="CV48" i="25"/>
  <c r="CW240" i="25"/>
  <c r="CO240" i="25" s="1"/>
  <c r="CV240" i="25"/>
  <c r="CU240" i="25"/>
  <c r="CW303" i="25"/>
  <c r="CO303" i="25" s="1"/>
  <c r="CU303" i="25"/>
  <c r="CV303" i="25"/>
  <c r="CV300" i="25"/>
  <c r="CW300" i="25"/>
  <c r="CO300" i="25" s="1"/>
  <c r="CU300" i="25"/>
  <c r="CV316" i="25"/>
  <c r="CW316" i="25"/>
  <c r="CO316" i="25" s="1"/>
  <c r="CU316" i="25"/>
  <c r="CV265" i="25"/>
  <c r="CW265" i="25"/>
  <c r="CO265" i="25" s="1"/>
  <c r="CU265" i="25"/>
  <c r="CV193" i="25"/>
  <c r="CW193" i="25"/>
  <c r="CO193" i="25" s="1"/>
  <c r="CU193" i="25"/>
  <c r="CV114" i="25"/>
  <c r="CW114" i="25"/>
  <c r="CO114" i="25" s="1"/>
  <c r="CU114" i="25"/>
  <c r="CW116" i="25"/>
  <c r="CO116" i="25" s="1"/>
  <c r="CV116" i="25"/>
  <c r="CU116" i="25"/>
  <c r="CV119" i="25"/>
  <c r="CW119" i="25"/>
  <c r="CO119" i="25" s="1"/>
  <c r="CU119" i="25"/>
  <c r="CW146" i="25"/>
  <c r="CO146" i="25" s="1"/>
  <c r="CU146" i="25"/>
  <c r="CV146" i="25"/>
  <c r="CW137" i="25"/>
  <c r="CO137" i="25" s="1"/>
  <c r="CV137" i="25"/>
  <c r="CU137" i="25"/>
  <c r="CU25" i="25"/>
  <c r="CV25" i="25"/>
  <c r="CW25" i="25"/>
  <c r="CO25" i="25" s="1"/>
  <c r="CW10" i="25"/>
  <c r="CO10" i="25" s="1"/>
  <c r="CU10" i="25"/>
  <c r="CV10" i="25"/>
  <c r="CV72" i="25"/>
  <c r="CW72" i="25"/>
  <c r="CO72" i="25" s="1"/>
  <c r="CU72" i="25"/>
  <c r="CW134" i="25"/>
  <c r="CO134" i="25" s="1"/>
  <c r="CV134" i="25"/>
  <c r="CU134" i="25"/>
  <c r="CW61" i="25"/>
  <c r="CO61" i="25" s="1"/>
  <c r="CU61" i="25"/>
  <c r="CV61" i="25"/>
  <c r="CW22" i="25"/>
  <c r="CO22" i="25" s="1"/>
  <c r="CV22" i="25"/>
  <c r="CU22" i="25"/>
  <c r="CW183" i="25"/>
  <c r="CO183" i="25" s="1"/>
  <c r="CU183" i="25"/>
  <c r="CV183" i="25"/>
  <c r="CW129" i="25"/>
  <c r="CO129" i="25" s="1"/>
  <c r="CU129" i="25"/>
  <c r="CV129" i="25"/>
  <c r="CW131" i="25"/>
  <c r="CO131" i="25" s="1"/>
  <c r="CV131" i="25"/>
  <c r="CU131" i="25"/>
  <c r="CU169" i="25"/>
  <c r="CW169" i="25"/>
  <c r="CO169" i="25" s="1"/>
  <c r="CV169" i="25"/>
  <c r="CU271" i="25"/>
  <c r="CW271" i="25"/>
  <c r="CO271" i="25" s="1"/>
  <c r="CV271" i="25"/>
  <c r="CU205" i="25"/>
  <c r="CV205" i="25"/>
  <c r="CW205" i="25"/>
  <c r="CO205" i="25" s="1"/>
  <c r="CV235" i="25"/>
  <c r="CU235" i="25"/>
  <c r="CW235" i="25"/>
  <c r="CO235" i="25" s="1"/>
  <c r="CU201" i="25"/>
  <c r="CW201" i="25"/>
  <c r="CO201" i="25" s="1"/>
  <c r="CV201" i="25"/>
  <c r="CW172" i="25"/>
  <c r="CO172" i="25" s="1"/>
  <c r="CV172" i="25"/>
  <c r="CU172" i="25"/>
  <c r="EQ199" i="25"/>
  <c r="EU199" i="25" s="1"/>
  <c r="CX199" i="25"/>
  <c r="CL199" i="25"/>
  <c r="DP199" i="25"/>
  <c r="FG199" i="25"/>
  <c r="CL49" i="25"/>
  <c r="EQ49" i="25"/>
  <c r="EU49" i="25" s="1"/>
  <c r="DP49" i="25"/>
  <c r="FG49" i="25"/>
  <c r="CX49" i="25"/>
  <c r="EQ73" i="25"/>
  <c r="EU73" i="25" s="1"/>
  <c r="CL73" i="25"/>
  <c r="DP73" i="25"/>
  <c r="CX73" i="25"/>
  <c r="FG73" i="25"/>
  <c r="EQ39" i="25"/>
  <c r="EU39" i="25" s="1"/>
  <c r="CL39" i="25"/>
  <c r="FG39" i="25"/>
  <c r="DP39" i="25"/>
  <c r="CX39" i="25"/>
  <c r="DP302" i="25"/>
  <c r="CL302" i="25"/>
  <c r="CX302" i="25"/>
  <c r="EQ184" i="25"/>
  <c r="EU184" i="25" s="1"/>
  <c r="CX184" i="25"/>
  <c r="FG184" i="25"/>
  <c r="DP184" i="25"/>
  <c r="CL184" i="25"/>
  <c r="CX289" i="25"/>
  <c r="CL289" i="25"/>
  <c r="DP289" i="25"/>
  <c r="CL272" i="25"/>
  <c r="DP272" i="25"/>
  <c r="CX272" i="25"/>
  <c r="CW43" i="25"/>
  <c r="CO43" i="25" s="1"/>
  <c r="CV43" i="25"/>
  <c r="CU43" i="25"/>
  <c r="CV160" i="25"/>
  <c r="CU160" i="25"/>
  <c r="CW160" i="25"/>
  <c r="CO160" i="25" s="1"/>
  <c r="CV268" i="25"/>
  <c r="CU268" i="25"/>
  <c r="CW268" i="25"/>
  <c r="CO268" i="25" s="1"/>
  <c r="CW88" i="25"/>
  <c r="CO88" i="25" s="1"/>
  <c r="CV88" i="25"/>
  <c r="CU88" i="25"/>
  <c r="CW181" i="25"/>
  <c r="CO181" i="25" s="1"/>
  <c r="CU181" i="25"/>
  <c r="CV181" i="25"/>
  <c r="CL23" i="25"/>
  <c r="EQ23" i="25"/>
  <c r="EU23" i="25" s="1"/>
  <c r="DP23" i="25"/>
  <c r="FG23" i="25"/>
  <c r="CX23" i="25"/>
  <c r="EQ114" i="25"/>
  <c r="EU114" i="25" s="1"/>
  <c r="CL114" i="25"/>
  <c r="FG114" i="25"/>
  <c r="CX114" i="25"/>
  <c r="DP114" i="25"/>
  <c r="DP60" i="25"/>
  <c r="FG60" i="25"/>
  <c r="EQ60" i="25"/>
  <c r="EU60" i="25" s="1"/>
  <c r="CX60" i="25"/>
  <c r="CL60" i="25"/>
  <c r="DP66" i="25"/>
  <c r="EQ66" i="25"/>
  <c r="EU66" i="25" s="1"/>
  <c r="FG66" i="25"/>
  <c r="CL66" i="25"/>
  <c r="CX66" i="25"/>
  <c r="CY66" i="25" s="1"/>
  <c r="EQ21" i="25"/>
  <c r="EU21" i="25" s="1"/>
  <c r="FG21" i="25"/>
  <c r="CL21" i="25"/>
  <c r="DP21" i="25"/>
  <c r="CX21" i="25"/>
  <c r="EQ13" i="25"/>
  <c r="EU13" i="25" s="1"/>
  <c r="FG13" i="25"/>
  <c r="CL13" i="25"/>
  <c r="DP13" i="25"/>
  <c r="CX13" i="25"/>
  <c r="FG30" i="25"/>
  <c r="CX30" i="25"/>
  <c r="DP30" i="25"/>
  <c r="EQ30" i="25"/>
  <c r="EU30" i="25" s="1"/>
  <c r="CL30" i="25"/>
  <c r="CL105" i="25"/>
  <c r="FG105" i="25"/>
  <c r="EQ105" i="25"/>
  <c r="EU105" i="25" s="1"/>
  <c r="CX105" i="25"/>
  <c r="DP105" i="25"/>
  <c r="CX115" i="25"/>
  <c r="DP115" i="25"/>
  <c r="CL115" i="25"/>
  <c r="FG115" i="25"/>
  <c r="EQ115" i="25"/>
  <c r="EU115" i="25" s="1"/>
  <c r="EQ70" i="25"/>
  <c r="EU70" i="25" s="1"/>
  <c r="DP70" i="25"/>
  <c r="FG70" i="25"/>
  <c r="CX70" i="25"/>
  <c r="CL70" i="25"/>
  <c r="DP313" i="25"/>
  <c r="CL313" i="25"/>
  <c r="CX313" i="25"/>
  <c r="DP104" i="25"/>
  <c r="CL104" i="25"/>
  <c r="EQ104" i="25"/>
  <c r="EU104" i="25" s="1"/>
  <c r="FG104" i="25"/>
  <c r="CX104" i="25"/>
  <c r="CL46" i="25"/>
  <c r="CX46" i="25"/>
  <c r="DP46" i="25"/>
  <c r="EQ46" i="25"/>
  <c r="EU46" i="25" s="1"/>
  <c r="FG46" i="25"/>
  <c r="FG136" i="25"/>
  <c r="CL136" i="25"/>
  <c r="DP136" i="25"/>
  <c r="CX136" i="25"/>
  <c r="EQ136" i="25"/>
  <c r="EU136" i="25" s="1"/>
  <c r="CL45" i="25"/>
  <c r="EQ45" i="25"/>
  <c r="EU45" i="25" s="1"/>
  <c r="FG45" i="25"/>
  <c r="DP45" i="25"/>
  <c r="CX45" i="25"/>
  <c r="CL93" i="25"/>
  <c r="FG93" i="25"/>
  <c r="EQ93" i="25"/>
  <c r="EU93" i="25" s="1"/>
  <c r="DP93" i="25"/>
  <c r="CX93" i="25"/>
  <c r="FG142" i="25"/>
  <c r="DP142" i="25"/>
  <c r="CL142" i="25"/>
  <c r="EQ142" i="25"/>
  <c r="EU142" i="25" s="1"/>
  <c r="CX142" i="25"/>
  <c r="EQ122" i="25"/>
  <c r="EU122" i="25" s="1"/>
  <c r="DP122" i="25"/>
  <c r="CL122" i="25"/>
  <c r="FG122" i="25"/>
  <c r="CX122" i="25"/>
  <c r="DP257" i="25"/>
  <c r="CL257" i="25"/>
  <c r="CX257" i="25"/>
  <c r="EQ78" i="25"/>
  <c r="EU78" i="25" s="1"/>
  <c r="DP78" i="25"/>
  <c r="CL78" i="25"/>
  <c r="FG78" i="25"/>
  <c r="CX78" i="25"/>
  <c r="EQ209" i="25"/>
  <c r="EU209" i="25" s="1"/>
  <c r="FG209" i="25"/>
  <c r="DP209" i="25"/>
  <c r="CX209" i="25"/>
  <c r="CL209" i="25"/>
  <c r="EQ193" i="25"/>
  <c r="EU193" i="25" s="1"/>
  <c r="CL193" i="25"/>
  <c r="DP193" i="25"/>
  <c r="CX193" i="25"/>
  <c r="FG193" i="25"/>
  <c r="EQ172" i="25"/>
  <c r="EU172" i="25" s="1"/>
  <c r="CL172" i="25"/>
  <c r="FG172" i="25"/>
  <c r="CX172" i="25"/>
  <c r="DP172" i="25"/>
  <c r="CL247" i="25"/>
  <c r="DP247" i="25"/>
  <c r="CX247" i="25"/>
  <c r="CL308" i="25"/>
  <c r="CX308" i="25"/>
  <c r="DP308" i="25"/>
  <c r="FG190" i="25"/>
  <c r="CL190" i="25"/>
  <c r="EQ190" i="25"/>
  <c r="EU190" i="25" s="1"/>
  <c r="CX190" i="25"/>
  <c r="DP190" i="25"/>
  <c r="CL292" i="25"/>
  <c r="CX292" i="25"/>
  <c r="DP292" i="25"/>
  <c r="CL170" i="25"/>
  <c r="EQ170" i="25"/>
  <c r="EU170" i="25" s="1"/>
  <c r="CX170" i="25"/>
  <c r="DP170" i="25"/>
  <c r="FG170" i="25"/>
  <c r="CL246" i="25"/>
  <c r="DP246" i="25"/>
  <c r="CX246" i="25"/>
  <c r="EQ183" i="25"/>
  <c r="EU183" i="25" s="1"/>
  <c r="DP183" i="25"/>
  <c r="CX183" i="25"/>
  <c r="CL183" i="25"/>
  <c r="FG183" i="25"/>
  <c r="CL253" i="25"/>
  <c r="DP253" i="25"/>
  <c r="CX253" i="25"/>
  <c r="DP149" i="25"/>
  <c r="CL149" i="25"/>
  <c r="FG149" i="25"/>
  <c r="CX149" i="25"/>
  <c r="EQ149" i="25"/>
  <c r="EU149" i="25" s="1"/>
  <c r="CL198" i="25"/>
  <c r="FG198" i="25"/>
  <c r="DP198" i="25"/>
  <c r="CX198" i="25"/>
  <c r="EQ198" i="25"/>
  <c r="EU198" i="25" s="1"/>
  <c r="DP254" i="25"/>
  <c r="CL254" i="25"/>
  <c r="CX254" i="25"/>
  <c r="EQ147" i="25"/>
  <c r="EU147" i="25" s="1"/>
  <c r="CL147" i="25"/>
  <c r="FG147" i="25"/>
  <c r="DP147" i="25"/>
  <c r="CX147" i="25"/>
  <c r="EQ200" i="25"/>
  <c r="EU200" i="25" s="1"/>
  <c r="DP200" i="25"/>
  <c r="CL200" i="25"/>
  <c r="FG200" i="25"/>
  <c r="CX200" i="25"/>
  <c r="DP259" i="25"/>
  <c r="CL259" i="25"/>
  <c r="CX259" i="25"/>
  <c r="CY259" i="25" s="1"/>
  <c r="CU19" i="25"/>
  <c r="CV19" i="25"/>
  <c r="CW19" i="25"/>
  <c r="CO19" i="25" s="1"/>
  <c r="CU272" i="25"/>
  <c r="CW272" i="25"/>
  <c r="CO272" i="25" s="1"/>
  <c r="CV272" i="25"/>
  <c r="CU307" i="25"/>
  <c r="CV307" i="25"/>
  <c r="CW307" i="25"/>
  <c r="CO307" i="25" s="1"/>
  <c r="CV186" i="25"/>
  <c r="CU186" i="25"/>
  <c r="CW186" i="25"/>
  <c r="CO186" i="25" s="1"/>
  <c r="CW218" i="25"/>
  <c r="CO218" i="25" s="1"/>
  <c r="CV218" i="25"/>
  <c r="CU218" i="25"/>
  <c r="CV274" i="25"/>
  <c r="CU274" i="25"/>
  <c r="CW274" i="25"/>
  <c r="CO274" i="25" s="1"/>
  <c r="CV161" i="25"/>
  <c r="CU161" i="25"/>
  <c r="CW161" i="25"/>
  <c r="CO161" i="25" s="1"/>
  <c r="CU301" i="25"/>
  <c r="CW301" i="25"/>
  <c r="CO301" i="25" s="1"/>
  <c r="CV301" i="25"/>
  <c r="CV28" i="25"/>
  <c r="CU28" i="25"/>
  <c r="CW28" i="25"/>
  <c r="CO28" i="25" s="1"/>
  <c r="CV270" i="25"/>
  <c r="CU270" i="25"/>
  <c r="CW270" i="25"/>
  <c r="CO270" i="25" s="1"/>
  <c r="CW86" i="25"/>
  <c r="CO86" i="25" s="1"/>
  <c r="CV86" i="25"/>
  <c r="CU86" i="25"/>
  <c r="CV151" i="25"/>
  <c r="CU151" i="25"/>
  <c r="CW151" i="25"/>
  <c r="CO151" i="25" s="1"/>
  <c r="CU298" i="25"/>
  <c r="CW298" i="25"/>
  <c r="CO298" i="25" s="1"/>
  <c r="CV298" i="25"/>
  <c r="CW305" i="25"/>
  <c r="CO305" i="25" s="1"/>
  <c r="CU305" i="25"/>
  <c r="CV305" i="25"/>
  <c r="CW255" i="25"/>
  <c r="CO255" i="25" s="1"/>
  <c r="CU255" i="25"/>
  <c r="CV255" i="25"/>
  <c r="CW312" i="25"/>
  <c r="CO312" i="25" s="1"/>
  <c r="CV312" i="25"/>
  <c r="CU312" i="25"/>
  <c r="CU287" i="25"/>
  <c r="CV287" i="25"/>
  <c r="CW287" i="25"/>
  <c r="CO287" i="25" s="1"/>
  <c r="CV66" i="25"/>
  <c r="CU66" i="25"/>
  <c r="CW66" i="25"/>
  <c r="CO66" i="25" s="1"/>
  <c r="CW121" i="25"/>
  <c r="CO121" i="25" s="1"/>
  <c r="CU121" i="25"/>
  <c r="CV121" i="25"/>
  <c r="CW16" i="25"/>
  <c r="CO16" i="25" s="1"/>
  <c r="CU16" i="25"/>
  <c r="CV16" i="25"/>
  <c r="CW68" i="25"/>
  <c r="CO68" i="25" s="1"/>
  <c r="CU68" i="25"/>
  <c r="CV68" i="25"/>
  <c r="CW141" i="25"/>
  <c r="CO141" i="25" s="1"/>
  <c r="CV141" i="25"/>
  <c r="CU141" i="25"/>
  <c r="CW136" i="25"/>
  <c r="CO136" i="25" s="1"/>
  <c r="CV136" i="25"/>
  <c r="CU136" i="25"/>
  <c r="CW149" i="25"/>
  <c r="CO149" i="25" s="1"/>
  <c r="CU149" i="25"/>
  <c r="CV149" i="25"/>
  <c r="CV229" i="25"/>
  <c r="CU229" i="25"/>
  <c r="CW229" i="25"/>
  <c r="CO229" i="25" s="1"/>
  <c r="CW148" i="25"/>
  <c r="CO148" i="25" s="1"/>
  <c r="CV148" i="25"/>
  <c r="CU148" i="25"/>
  <c r="CW6" i="25"/>
  <c r="CO6" i="25" s="1"/>
  <c r="CV6" i="25"/>
  <c r="CU6" i="25"/>
  <c r="FD6" i="25"/>
  <c r="DS6" i="25"/>
  <c r="CW18" i="25"/>
  <c r="CO18" i="25" s="1"/>
  <c r="CV18" i="25"/>
  <c r="CU18" i="25"/>
  <c r="CV75" i="25"/>
  <c r="CU75" i="25"/>
  <c r="CW75" i="25"/>
  <c r="CO75" i="25" s="1"/>
  <c r="CU247" i="25"/>
  <c r="CV247" i="25"/>
  <c r="CW247" i="25"/>
  <c r="CO247" i="25" s="1"/>
  <c r="CW130" i="25"/>
  <c r="CO130" i="25" s="1"/>
  <c r="CV130" i="25"/>
  <c r="CU130" i="25"/>
  <c r="CV165" i="25"/>
  <c r="CW165" i="25"/>
  <c r="CO165" i="25" s="1"/>
  <c r="CU165" i="25"/>
  <c r="CW184" i="25"/>
  <c r="CO184" i="25" s="1"/>
  <c r="CV184" i="25"/>
  <c r="CU184" i="25"/>
  <c r="CW279" i="25"/>
  <c r="CO279" i="25" s="1"/>
  <c r="CU279" i="25"/>
  <c r="CV279" i="25"/>
  <c r="CV209" i="25"/>
  <c r="CU209" i="25"/>
  <c r="CW209" i="25"/>
  <c r="CO209" i="25" s="1"/>
  <c r="CV256" i="25"/>
  <c r="CU256" i="25"/>
  <c r="CW256" i="25"/>
  <c r="CO256" i="25" s="1"/>
  <c r="CV264" i="25"/>
  <c r="CU264" i="25"/>
  <c r="CW264" i="25"/>
  <c r="CO264" i="25" s="1"/>
  <c r="CW196" i="25"/>
  <c r="CO196" i="25" s="1"/>
  <c r="CV196" i="25"/>
  <c r="CU196" i="25"/>
  <c r="DP230" i="25"/>
  <c r="CL230" i="25"/>
  <c r="CX230" i="25"/>
  <c r="FG137" i="25"/>
  <c r="CL137" i="25"/>
  <c r="DP137" i="25"/>
  <c r="EQ137" i="25"/>
  <c r="EU137" i="25" s="1"/>
  <c r="CX137" i="25"/>
  <c r="CL228" i="25"/>
  <c r="DP228" i="25"/>
  <c r="CX228" i="25"/>
  <c r="DP300" i="25"/>
  <c r="CL300" i="25"/>
  <c r="CX300" i="25"/>
  <c r="CY300" i="25" s="1"/>
  <c r="CW11" i="25"/>
  <c r="CO11" i="25" s="1"/>
  <c r="CV11" i="25"/>
  <c r="CU11" i="25"/>
  <c r="CV227" i="25"/>
  <c r="CU227" i="25"/>
  <c r="CW227" i="25"/>
  <c r="CO227" i="25" s="1"/>
  <c r="CV30" i="25"/>
  <c r="CW30" i="25"/>
  <c r="CO30" i="25" s="1"/>
  <c r="CU30" i="25"/>
  <c r="CL19" i="25"/>
  <c r="EQ19" i="25"/>
  <c r="EU19" i="25" s="1"/>
  <c r="DP19" i="25"/>
  <c r="FG19" i="25"/>
  <c r="CX19" i="25"/>
  <c r="CY19" i="25" s="1"/>
  <c r="FG133" i="25"/>
  <c r="DP133" i="25"/>
  <c r="CL133" i="25"/>
  <c r="EQ133" i="25"/>
  <c r="EU133" i="25" s="1"/>
  <c r="CX133" i="25"/>
  <c r="CX98" i="25"/>
  <c r="FG98" i="25"/>
  <c r="CL98" i="25"/>
  <c r="EQ98" i="25"/>
  <c r="EU98" i="25" s="1"/>
  <c r="DP98" i="25"/>
  <c r="DP72" i="25"/>
  <c r="CL72" i="25"/>
  <c r="EQ72" i="25"/>
  <c r="EU72" i="25" s="1"/>
  <c r="FG72" i="25"/>
  <c r="CX72" i="25"/>
  <c r="FG77" i="25"/>
  <c r="CL77" i="25"/>
  <c r="EQ77" i="25"/>
  <c r="EU77" i="25" s="1"/>
  <c r="DP77" i="25"/>
  <c r="CX77" i="25"/>
  <c r="FG141" i="25"/>
  <c r="DP141" i="25"/>
  <c r="CL141" i="25"/>
  <c r="EQ141" i="25"/>
  <c r="EU141" i="25" s="1"/>
  <c r="CX141" i="25"/>
  <c r="CL41" i="25"/>
  <c r="EQ41" i="25"/>
  <c r="EU41" i="25" s="1"/>
  <c r="FG41" i="25"/>
  <c r="DP41" i="25"/>
  <c r="CX41" i="25"/>
  <c r="EQ111" i="25"/>
  <c r="EU111" i="25" s="1"/>
  <c r="DP111" i="25"/>
  <c r="CL111" i="25"/>
  <c r="FG111" i="25"/>
  <c r="CX111" i="25"/>
  <c r="DP258" i="25"/>
  <c r="CL258" i="25"/>
  <c r="CX258" i="25"/>
  <c r="EQ75" i="25"/>
  <c r="EU75" i="25" s="1"/>
  <c r="FG75" i="25"/>
  <c r="CX75" i="25"/>
  <c r="CL75" i="25"/>
  <c r="DP75" i="25"/>
  <c r="DP51" i="25"/>
  <c r="CL51" i="25"/>
  <c r="FG51" i="25"/>
  <c r="EQ51" i="25"/>
  <c r="EU51" i="25" s="1"/>
  <c r="CX51" i="25"/>
  <c r="CY51" i="25" s="1"/>
  <c r="FG138" i="25"/>
  <c r="DP138" i="25"/>
  <c r="CL138" i="25"/>
  <c r="EQ138" i="25"/>
  <c r="EU138" i="25" s="1"/>
  <c r="CX138" i="25"/>
  <c r="DP52" i="25"/>
  <c r="CL52" i="25"/>
  <c r="EQ52" i="25"/>
  <c r="EU52" i="25" s="1"/>
  <c r="FG52" i="25"/>
  <c r="CX52" i="25"/>
  <c r="FG150" i="25"/>
  <c r="CL150" i="25"/>
  <c r="EQ150" i="25"/>
  <c r="EU150" i="25" s="1"/>
  <c r="DP150" i="25"/>
  <c r="CX150" i="25"/>
  <c r="FG50" i="25"/>
  <c r="CX50" i="25"/>
  <c r="DP50" i="25"/>
  <c r="EQ50" i="25"/>
  <c r="EU50" i="25" s="1"/>
  <c r="CL50" i="25"/>
  <c r="CL94" i="25"/>
  <c r="DP94" i="25"/>
  <c r="FG94" i="25"/>
  <c r="EQ94" i="25"/>
  <c r="EU94" i="25" s="1"/>
  <c r="CX94" i="25"/>
  <c r="EQ174" i="25"/>
  <c r="EU174" i="25" s="1"/>
  <c r="DP174" i="25"/>
  <c r="CX174" i="25"/>
  <c r="FG174" i="25"/>
  <c r="CL174" i="25"/>
  <c r="DP123" i="25"/>
  <c r="CL123" i="25"/>
  <c r="EQ123" i="25"/>
  <c r="EU123" i="25" s="1"/>
  <c r="CX123" i="25"/>
  <c r="FG123" i="25"/>
  <c r="CL293" i="25"/>
  <c r="CX293" i="25"/>
  <c r="DP293" i="25"/>
  <c r="EQ118" i="25"/>
  <c r="EU118" i="25" s="1"/>
  <c r="DP118" i="25"/>
  <c r="CX118" i="25"/>
  <c r="CL118" i="25"/>
  <c r="FG118" i="25"/>
  <c r="DP224" i="25"/>
  <c r="CL224" i="25"/>
  <c r="CX224" i="25"/>
  <c r="CL222" i="25"/>
  <c r="DP222" i="25"/>
  <c r="CX222" i="25"/>
  <c r="DP202" i="25"/>
  <c r="CL202" i="25"/>
  <c r="CX202" i="25"/>
  <c r="FG202" i="25"/>
  <c r="EQ202" i="25"/>
  <c r="EU202" i="25" s="1"/>
  <c r="CL270" i="25"/>
  <c r="DP270" i="25"/>
  <c r="CX270" i="25"/>
  <c r="CY270" i="25" s="1"/>
  <c r="FG159" i="25"/>
  <c r="CL159" i="25"/>
  <c r="DP159" i="25"/>
  <c r="EQ159" i="25"/>
  <c r="EU159" i="25" s="1"/>
  <c r="CX159" i="25"/>
  <c r="CL229" i="25"/>
  <c r="CX229" i="25"/>
  <c r="DP229" i="25"/>
  <c r="DP296" i="25"/>
  <c r="CX296" i="25"/>
  <c r="CL296" i="25"/>
  <c r="FG191" i="25"/>
  <c r="DP191" i="25"/>
  <c r="CX191" i="25"/>
  <c r="EQ191" i="25"/>
  <c r="EU191" i="25" s="1"/>
  <c r="CL191" i="25"/>
  <c r="CL301" i="25"/>
  <c r="DP301" i="25"/>
  <c r="CX301" i="25"/>
  <c r="DP187" i="25"/>
  <c r="FG187" i="25"/>
  <c r="EQ187" i="25"/>
  <c r="EU187" i="25" s="1"/>
  <c r="CL187" i="25"/>
  <c r="CX187" i="25"/>
  <c r="DP260" i="25"/>
  <c r="CX260" i="25"/>
  <c r="CL260" i="25"/>
  <c r="FG155" i="25"/>
  <c r="CL155" i="25"/>
  <c r="DP155" i="25"/>
  <c r="EQ155" i="25"/>
  <c r="EU155" i="25" s="1"/>
  <c r="CX155" i="25"/>
  <c r="CY155" i="25" s="1"/>
  <c r="DP205" i="25"/>
  <c r="CX205" i="25"/>
  <c r="FG205" i="25"/>
  <c r="CL205" i="25"/>
  <c r="EQ205" i="25"/>
  <c r="EU205" i="25" s="1"/>
  <c r="DP255" i="25"/>
  <c r="CX255" i="25"/>
  <c r="CL255" i="25"/>
  <c r="DP167" i="25"/>
  <c r="CL167" i="25"/>
  <c r="CX167" i="25"/>
  <c r="FG167" i="25"/>
  <c r="EQ167" i="25"/>
  <c r="EU167" i="25" s="1"/>
  <c r="EQ207" i="25"/>
  <c r="EU207" i="25" s="1"/>
  <c r="CX207" i="25"/>
  <c r="CY207" i="25" s="1"/>
  <c r="CL207" i="25"/>
  <c r="FG207" i="25"/>
  <c r="DP207" i="25"/>
  <c r="DP263" i="25"/>
  <c r="CX263" i="25"/>
  <c r="CL263" i="25"/>
  <c r="CV24" i="25"/>
  <c r="CU24" i="25"/>
  <c r="CW24" i="25"/>
  <c r="CO24" i="25" s="1"/>
  <c r="CW93" i="25"/>
  <c r="CO93" i="25" s="1"/>
  <c r="CV93" i="25"/>
  <c r="CU93" i="25"/>
  <c r="CV104" i="25"/>
  <c r="CU104" i="25"/>
  <c r="CW104" i="25"/>
  <c r="CO104" i="25" s="1"/>
  <c r="CV85" i="25"/>
  <c r="CU85" i="25"/>
  <c r="CW85" i="25"/>
  <c r="CO85" i="25" s="1"/>
  <c r="CU244" i="25"/>
  <c r="CW244" i="25"/>
  <c r="CO244" i="25" s="1"/>
  <c r="CV244" i="25"/>
  <c r="CW59" i="25"/>
  <c r="CO59" i="25" s="1"/>
  <c r="CV59" i="25"/>
  <c r="CU59" i="25"/>
  <c r="CV232" i="25"/>
  <c r="CU232" i="25"/>
  <c r="CW232" i="25"/>
  <c r="CO232" i="25" s="1"/>
  <c r="CU248" i="25"/>
  <c r="CW248" i="25"/>
  <c r="CO248" i="25" s="1"/>
  <c r="CV248" i="25"/>
  <c r="CV51" i="25"/>
  <c r="CU51" i="25"/>
  <c r="CW51" i="25"/>
  <c r="CO51" i="25" s="1"/>
  <c r="CW234" i="25"/>
  <c r="CO234" i="25" s="1"/>
  <c r="CV234" i="25"/>
  <c r="CU234" i="25"/>
  <c r="CU157" i="25"/>
  <c r="CV157" i="25"/>
  <c r="CW157" i="25"/>
  <c r="CO157" i="25" s="1"/>
  <c r="CU290" i="25"/>
  <c r="CW290" i="25"/>
  <c r="CO290" i="25" s="1"/>
  <c r="CV290" i="25"/>
  <c r="CV226" i="25"/>
  <c r="CU226" i="25"/>
  <c r="CW226" i="25"/>
  <c r="CO226" i="25" s="1"/>
  <c r="CV266" i="25"/>
  <c r="CW266" i="25"/>
  <c r="CO266" i="25" s="1"/>
  <c r="CU266" i="25"/>
  <c r="CV257" i="25"/>
  <c r="CU257" i="25"/>
  <c r="CW257" i="25"/>
  <c r="CO257" i="25" s="1"/>
  <c r="CW304" i="25"/>
  <c r="CO304" i="25" s="1"/>
  <c r="CV304" i="25"/>
  <c r="CU304" i="25"/>
  <c r="CU217" i="25"/>
  <c r="CV217" i="25"/>
  <c r="CW217" i="25"/>
  <c r="CO217" i="25" s="1"/>
  <c r="CU29" i="25"/>
  <c r="CW29" i="25"/>
  <c r="CO29" i="25" s="1"/>
  <c r="CV29" i="25"/>
  <c r="CW50" i="25"/>
  <c r="CO50" i="25" s="1"/>
  <c r="CU50" i="25"/>
  <c r="CV50" i="25"/>
  <c r="CW282" i="25"/>
  <c r="CO282" i="25" s="1"/>
  <c r="CU282" i="25"/>
  <c r="CV282" i="25"/>
  <c r="CV207" i="25"/>
  <c r="CU207" i="25"/>
  <c r="CW207" i="25"/>
  <c r="CO207" i="25" s="1"/>
  <c r="CW249" i="25"/>
  <c r="CO249" i="25" s="1"/>
  <c r="CU249" i="25"/>
  <c r="CV249" i="25"/>
  <c r="CV81" i="25"/>
  <c r="CW81" i="25"/>
  <c r="CO81" i="25" s="1"/>
  <c r="CU81" i="25"/>
  <c r="CW252" i="25"/>
  <c r="CO252" i="25" s="1"/>
  <c r="CV252" i="25"/>
  <c r="CU252" i="25"/>
  <c r="CW286" i="25"/>
  <c r="CO286" i="25" s="1"/>
  <c r="CU286" i="25"/>
  <c r="CV286" i="25"/>
  <c r="CV14" i="25"/>
  <c r="CW14" i="25"/>
  <c r="CO14" i="25" s="1"/>
  <c r="CU14" i="25"/>
  <c r="CW26" i="25"/>
  <c r="CO26" i="25" s="1"/>
  <c r="CV26" i="25"/>
  <c r="CU26" i="25"/>
  <c r="CW53" i="25"/>
  <c r="CO53" i="25" s="1"/>
  <c r="CU53" i="25"/>
  <c r="CV53" i="25"/>
  <c r="CW269" i="25"/>
  <c r="CO269" i="25" s="1"/>
  <c r="CU269" i="25"/>
  <c r="CV269" i="25"/>
  <c r="CV38" i="25"/>
  <c r="CU38" i="25"/>
  <c r="CW38" i="25"/>
  <c r="CO38" i="25" s="1"/>
  <c r="CU60" i="25"/>
  <c r="CV60" i="25"/>
  <c r="CW60" i="25"/>
  <c r="CO60" i="25" s="1"/>
  <c r="CW188" i="25"/>
  <c r="CO188" i="25" s="1"/>
  <c r="CV188" i="25"/>
  <c r="CU188" i="25"/>
  <c r="CW289" i="25"/>
  <c r="CO289" i="25" s="1"/>
  <c r="CV289" i="25"/>
  <c r="CU289" i="25"/>
  <c r="CV237" i="25"/>
  <c r="CU237" i="25"/>
  <c r="CW237" i="25"/>
  <c r="CO237" i="25" s="1"/>
  <c r="CV299" i="25"/>
  <c r="CU299" i="25"/>
  <c r="CW299" i="25"/>
  <c r="CO299" i="25" s="1"/>
  <c r="CU277" i="25"/>
  <c r="CW277" i="25"/>
  <c r="CO277" i="25" s="1"/>
  <c r="CV277" i="25"/>
  <c r="CW206" i="25"/>
  <c r="CO206" i="25" s="1"/>
  <c r="CV206" i="25"/>
  <c r="CU206" i="25"/>
  <c r="DP240" i="25"/>
  <c r="CL240" i="25"/>
  <c r="CX240" i="25"/>
  <c r="DP16" i="25"/>
  <c r="FG16" i="25"/>
  <c r="EQ16" i="25"/>
  <c r="EU16" i="25" s="1"/>
  <c r="CX16" i="25"/>
  <c r="CL16" i="25"/>
  <c r="EQ91" i="25"/>
  <c r="EU91" i="25" s="1"/>
  <c r="CL91" i="25"/>
  <c r="FG91" i="25"/>
  <c r="CX91" i="25"/>
  <c r="DP91" i="25"/>
  <c r="CL102" i="25"/>
  <c r="DP102" i="25"/>
  <c r="EQ102" i="25"/>
  <c r="EU102" i="25" s="1"/>
  <c r="FG102" i="25"/>
  <c r="CX102" i="25"/>
  <c r="DP288" i="25"/>
  <c r="CL288" i="25"/>
  <c r="CX288" i="25"/>
  <c r="CX219" i="25"/>
  <c r="DP219" i="25"/>
  <c r="CL219" i="25"/>
  <c r="CL152" i="25"/>
  <c r="FG152" i="25"/>
  <c r="EQ152" i="25"/>
  <c r="EU152" i="25" s="1"/>
  <c r="DP152" i="25"/>
  <c r="CX152" i="25"/>
  <c r="EQ192" i="25"/>
  <c r="EU192" i="25" s="1"/>
  <c r="FG192" i="25"/>
  <c r="CX192" i="25"/>
  <c r="CL192" i="25"/>
  <c r="DP192" i="25"/>
  <c r="CW23" i="25"/>
  <c r="CO23" i="25" s="1"/>
  <c r="CV23" i="25"/>
  <c r="CU23" i="25"/>
  <c r="CV41" i="25"/>
  <c r="CW41" i="25"/>
  <c r="CO41" i="25" s="1"/>
  <c r="CU41" i="25"/>
  <c r="CW15" i="25"/>
  <c r="CO15" i="25" s="1"/>
  <c r="CV15" i="25"/>
  <c r="CU15" i="25"/>
  <c r="CV58" i="25"/>
  <c r="CU58" i="25"/>
  <c r="CW58" i="25"/>
  <c r="CO58" i="25" s="1"/>
  <c r="CW91" i="25"/>
  <c r="CO91" i="25" s="1"/>
  <c r="CU91" i="25"/>
  <c r="CV91" i="25"/>
  <c r="CU95" i="25"/>
  <c r="CW95" i="25"/>
  <c r="CO95" i="25" s="1"/>
  <c r="CV95" i="25"/>
  <c r="CU132" i="25"/>
  <c r="CW132" i="25"/>
  <c r="CO132" i="25" s="1"/>
  <c r="CV132" i="25"/>
  <c r="CU105" i="25"/>
  <c r="CW105" i="25"/>
  <c r="CO105" i="25" s="1"/>
  <c r="CV105" i="25"/>
  <c r="CU102" i="25"/>
  <c r="CV102" i="25"/>
  <c r="CW102" i="25"/>
  <c r="CO102" i="25" s="1"/>
  <c r="CW166" i="25"/>
  <c r="CO166" i="25" s="1"/>
  <c r="CU166" i="25"/>
  <c r="CV166" i="25"/>
  <c r="FG26" i="25"/>
  <c r="CX26" i="25"/>
  <c r="DP26" i="25"/>
  <c r="CL26" i="25"/>
  <c r="EQ26" i="25"/>
  <c r="EU26" i="25" s="1"/>
  <c r="FG160" i="25"/>
  <c r="CL160" i="25"/>
  <c r="CX160" i="25"/>
  <c r="DP160" i="25"/>
  <c r="EQ160" i="25"/>
  <c r="EU160" i="25" s="1"/>
  <c r="EQ113" i="25"/>
  <c r="EU113" i="25" s="1"/>
  <c r="CL113" i="25"/>
  <c r="FG113" i="25"/>
  <c r="CX113" i="25"/>
  <c r="DP113" i="25"/>
  <c r="EQ83" i="25"/>
  <c r="EU83" i="25" s="1"/>
  <c r="CL83" i="25"/>
  <c r="DP83" i="25"/>
  <c r="FG83" i="25"/>
  <c r="CX83" i="25"/>
  <c r="CL97" i="25"/>
  <c r="DP97" i="25"/>
  <c r="EQ97" i="25"/>
  <c r="EU97" i="25" s="1"/>
  <c r="FG97" i="25"/>
  <c r="CX97" i="25"/>
  <c r="EQ31" i="25"/>
  <c r="EU31" i="25" s="1"/>
  <c r="CL31" i="25"/>
  <c r="FG31" i="25"/>
  <c r="DP31" i="25"/>
  <c r="CX31" i="25"/>
  <c r="EQ35" i="25"/>
  <c r="EU35" i="25" s="1"/>
  <c r="CL35" i="25"/>
  <c r="DP35" i="25"/>
  <c r="CX35" i="25"/>
  <c r="FG35" i="25"/>
  <c r="EQ116" i="25"/>
  <c r="EU116" i="25" s="1"/>
  <c r="DP116" i="25"/>
  <c r="CL116" i="25"/>
  <c r="FG116" i="25"/>
  <c r="CX116" i="25"/>
  <c r="DP10" i="25"/>
  <c r="FG10" i="25"/>
  <c r="CL10" i="25"/>
  <c r="CX10" i="25"/>
  <c r="EQ10" i="25"/>
  <c r="EU10" i="25" s="1"/>
  <c r="EQ80" i="25"/>
  <c r="EU80" i="25" s="1"/>
  <c r="DP80" i="25"/>
  <c r="CL80" i="25"/>
  <c r="FG80" i="25"/>
  <c r="CX80" i="25"/>
  <c r="EQ53" i="25"/>
  <c r="EU53" i="25" s="1"/>
  <c r="CL53" i="25"/>
  <c r="DP53" i="25"/>
  <c r="CX53" i="25"/>
  <c r="FG53" i="25"/>
  <c r="EQ144" i="25"/>
  <c r="EU144" i="25" s="1"/>
  <c r="FG144" i="25"/>
  <c r="DP144" i="25"/>
  <c r="CL144" i="25"/>
  <c r="CX144" i="25"/>
  <c r="EQ62" i="25"/>
  <c r="EU62" i="25" s="1"/>
  <c r="DP62" i="25"/>
  <c r="FG62" i="25"/>
  <c r="CX62" i="25"/>
  <c r="CL62" i="25"/>
  <c r="DP265" i="25"/>
  <c r="CL265" i="25"/>
  <c r="CX265" i="25"/>
  <c r="CY265" i="25" s="1"/>
  <c r="FG54" i="25"/>
  <c r="CX54" i="25"/>
  <c r="DP54" i="25"/>
  <c r="CL54" i="25"/>
  <c r="EQ54" i="25"/>
  <c r="EU54" i="25" s="1"/>
  <c r="CL99" i="25"/>
  <c r="DP99" i="25"/>
  <c r="FG99" i="25"/>
  <c r="EQ99" i="25"/>
  <c r="EU99" i="25" s="1"/>
  <c r="CX99" i="25"/>
  <c r="DP201" i="25"/>
  <c r="CL201" i="25"/>
  <c r="FG201" i="25"/>
  <c r="CX201" i="25"/>
  <c r="EQ201" i="25"/>
  <c r="EU201" i="25" s="1"/>
  <c r="EQ127" i="25"/>
  <c r="EU127" i="25" s="1"/>
  <c r="CL127" i="25"/>
  <c r="FG127" i="25"/>
  <c r="DP127" i="25"/>
  <c r="CX127" i="25"/>
  <c r="DP304" i="25"/>
  <c r="CL304" i="25"/>
  <c r="CX304" i="25"/>
  <c r="CX120" i="25"/>
  <c r="CL120" i="25"/>
  <c r="FG120" i="25"/>
  <c r="DP120" i="25"/>
  <c r="EQ120" i="25"/>
  <c r="EU120" i="25" s="1"/>
  <c r="CX264" i="25"/>
  <c r="DP264" i="25"/>
  <c r="CL264" i="25"/>
  <c r="CX249" i="25"/>
  <c r="CL249" i="25"/>
  <c r="DP249" i="25"/>
  <c r="FG206" i="25"/>
  <c r="DP206" i="25"/>
  <c r="CL206" i="25"/>
  <c r="EQ206" i="25"/>
  <c r="EU206" i="25" s="1"/>
  <c r="CX206" i="25"/>
  <c r="CL273" i="25"/>
  <c r="DP273" i="25"/>
  <c r="CX273" i="25"/>
  <c r="FG162" i="25"/>
  <c r="CL162" i="25"/>
  <c r="DP162" i="25"/>
  <c r="EQ162" i="25"/>
  <c r="EU162" i="25" s="1"/>
  <c r="CX162" i="25"/>
  <c r="CY162" i="25" s="1"/>
  <c r="CL248" i="25"/>
  <c r="DP248" i="25"/>
  <c r="CX248" i="25"/>
  <c r="CL297" i="25"/>
  <c r="CX297" i="25"/>
  <c r="DP297" i="25"/>
  <c r="DP221" i="25"/>
  <c r="CL221" i="25"/>
  <c r="CX221" i="25"/>
  <c r="CX303" i="25"/>
  <c r="DP303" i="25"/>
  <c r="CL303" i="25"/>
  <c r="CX203" i="25"/>
  <c r="FG203" i="25"/>
  <c r="CL203" i="25"/>
  <c r="EQ203" i="25"/>
  <c r="EU203" i="25" s="1"/>
  <c r="DP203" i="25"/>
  <c r="DP268" i="25"/>
  <c r="CX268" i="25"/>
  <c r="CL268" i="25"/>
  <c r="FG158" i="25"/>
  <c r="CL158" i="25"/>
  <c r="EQ158" i="25"/>
  <c r="EU158" i="25" s="1"/>
  <c r="DP158" i="25"/>
  <c r="CX158" i="25"/>
  <c r="CX218" i="25"/>
  <c r="DP218" i="25"/>
  <c r="CL218" i="25"/>
  <c r="DP267" i="25"/>
  <c r="CL267" i="25"/>
  <c r="CX267" i="25"/>
  <c r="EQ178" i="25"/>
  <c r="EU178" i="25" s="1"/>
  <c r="FG178" i="25"/>
  <c r="CL178" i="25"/>
  <c r="DP178" i="25"/>
  <c r="CX178" i="25"/>
  <c r="FG210" i="25"/>
  <c r="EQ210" i="25"/>
  <c r="EU210" i="25" s="1"/>
  <c r="DP210" i="25"/>
  <c r="CL210" i="25"/>
  <c r="CX210" i="25"/>
  <c r="CX278" i="25"/>
  <c r="DP278" i="25"/>
  <c r="CL278" i="25"/>
  <c r="CW302" i="25"/>
  <c r="CO302" i="25" s="1"/>
  <c r="CU302" i="25"/>
  <c r="CV302" i="25"/>
  <c r="CU228" i="25"/>
  <c r="CW228" i="25"/>
  <c r="CO228" i="25" s="1"/>
  <c r="CV228" i="25"/>
  <c r="CU314" i="25"/>
  <c r="CW314" i="25"/>
  <c r="CO314" i="25" s="1"/>
  <c r="CV314" i="25"/>
  <c r="CW78" i="25"/>
  <c r="CO78" i="25" s="1"/>
  <c r="CV78" i="25"/>
  <c r="CU78" i="25"/>
  <c r="CW40" i="25"/>
  <c r="CO40" i="25" s="1"/>
  <c r="CV40" i="25"/>
  <c r="CU40" i="25"/>
  <c r="CW47" i="25"/>
  <c r="CO47" i="25" s="1"/>
  <c r="CV47" i="25"/>
  <c r="CU47" i="25"/>
  <c r="CV308" i="25"/>
  <c r="CW308" i="25"/>
  <c r="CO308" i="25" s="1"/>
  <c r="CU308" i="25"/>
  <c r="CW27" i="25"/>
  <c r="CO27" i="25" s="1"/>
  <c r="CV27" i="25"/>
  <c r="CU27" i="25"/>
  <c r="CU210" i="25"/>
  <c r="CW210" i="25"/>
  <c r="CO210" i="25" s="1"/>
  <c r="CV210" i="25"/>
  <c r="CV220" i="25"/>
  <c r="CW220" i="25"/>
  <c r="CO220" i="25" s="1"/>
  <c r="CU220" i="25"/>
  <c r="CV267" i="25"/>
  <c r="CW267" i="25"/>
  <c r="CO267" i="25" s="1"/>
  <c r="CU267" i="25"/>
  <c r="CU7" i="25"/>
  <c r="CW7" i="25"/>
  <c r="CO7" i="25" s="1"/>
  <c r="CV7" i="25"/>
  <c r="DS7" i="25"/>
  <c r="CV32" i="25"/>
  <c r="CU32" i="25"/>
  <c r="CW32" i="25"/>
  <c r="CO32" i="25" s="1"/>
  <c r="CV254" i="25"/>
  <c r="CW254" i="25"/>
  <c r="CO254" i="25" s="1"/>
  <c r="CU254" i="25"/>
  <c r="CU79" i="25"/>
  <c r="CW79" i="25"/>
  <c r="CO79" i="25" s="1"/>
  <c r="CV79" i="25"/>
  <c r="CV276" i="25"/>
  <c r="CU276" i="25"/>
  <c r="CW276" i="25"/>
  <c r="CO276" i="25" s="1"/>
  <c r="CV200" i="25"/>
  <c r="CW200" i="25"/>
  <c r="CO200" i="25" s="1"/>
  <c r="CU200" i="25"/>
  <c r="CU42" i="25"/>
  <c r="CV42" i="25"/>
  <c r="CW42" i="25"/>
  <c r="CO42" i="25" s="1"/>
  <c r="CW147" i="25"/>
  <c r="CO147" i="25" s="1"/>
  <c r="CV147" i="25"/>
  <c r="CU147" i="25"/>
  <c r="CW138" i="25"/>
  <c r="CO138" i="25" s="1"/>
  <c r="CV138" i="25"/>
  <c r="CU138" i="25"/>
  <c r="CW120" i="25"/>
  <c r="CO120" i="25" s="1"/>
  <c r="CV120" i="25"/>
  <c r="CU120" i="25"/>
  <c r="CV294" i="25"/>
  <c r="CW294" i="25"/>
  <c r="CO294" i="25" s="1"/>
  <c r="CU294" i="25"/>
  <c r="CW199" i="25"/>
  <c r="CO199" i="25" s="1"/>
  <c r="CV199" i="25"/>
  <c r="CU199" i="25"/>
  <c r="CW80" i="25"/>
  <c r="CO80" i="25" s="1"/>
  <c r="CU80" i="25"/>
  <c r="CV80" i="25"/>
  <c r="CU87" i="25"/>
  <c r="CW87" i="25"/>
  <c r="CO87" i="25" s="1"/>
  <c r="CV87" i="25"/>
  <c r="CU231" i="25"/>
  <c r="CW231" i="25"/>
  <c r="CO231" i="25" s="1"/>
  <c r="CV231" i="25"/>
  <c r="CW190" i="25"/>
  <c r="CO190" i="25" s="1"/>
  <c r="CV190" i="25"/>
  <c r="CU190" i="25"/>
  <c r="CU34" i="25"/>
  <c r="CW34" i="25"/>
  <c r="CO34" i="25" s="1"/>
  <c r="CV34" i="25"/>
  <c r="CU56" i="25"/>
  <c r="CV56" i="25"/>
  <c r="CW56" i="25"/>
  <c r="CO56" i="25" s="1"/>
  <c r="CW57" i="25"/>
  <c r="CO57" i="25" s="1"/>
  <c r="CV57" i="25"/>
  <c r="CU57" i="25"/>
  <c r="CV84" i="25"/>
  <c r="CW84" i="25"/>
  <c r="CO84" i="25" s="1"/>
  <c r="CU84" i="25"/>
  <c r="CW83" i="25"/>
  <c r="CO83" i="25" s="1"/>
  <c r="CU83" i="25"/>
  <c r="CV83" i="25"/>
  <c r="CW262" i="25"/>
  <c r="CO262" i="25" s="1"/>
  <c r="CV262" i="25"/>
  <c r="CU262" i="25"/>
  <c r="CW179" i="25"/>
  <c r="CO179" i="25" s="1"/>
  <c r="CU179" i="25"/>
  <c r="CV179" i="25"/>
  <c r="CU241" i="25"/>
  <c r="CW241" i="25"/>
  <c r="CO241" i="25" s="1"/>
  <c r="CV241" i="25"/>
  <c r="CV306" i="25"/>
  <c r="CW306" i="25"/>
  <c r="CO306" i="25" s="1"/>
  <c r="CU306" i="25"/>
  <c r="CW173" i="25"/>
  <c r="CO173" i="25" s="1"/>
  <c r="CU173" i="25"/>
  <c r="CV173" i="25"/>
  <c r="CW233" i="25"/>
  <c r="CO233" i="25" s="1"/>
  <c r="CV233" i="25"/>
  <c r="CU233" i="25"/>
  <c r="FG18" i="25"/>
  <c r="CX18" i="25"/>
  <c r="DP18" i="25"/>
  <c r="CL18" i="25"/>
  <c r="EQ18" i="25"/>
  <c r="EU18" i="25" s="1"/>
  <c r="DP234" i="25"/>
  <c r="CL234" i="25"/>
  <c r="CX234" i="25"/>
  <c r="CX316" i="25"/>
  <c r="CL316" i="25"/>
  <c r="DP316" i="25"/>
  <c r="DP44" i="25"/>
  <c r="EQ44" i="25"/>
  <c r="EU44" i="25" s="1"/>
  <c r="FG44" i="25"/>
  <c r="CL44" i="25"/>
  <c r="CX44" i="25"/>
  <c r="DP281" i="25"/>
  <c r="CX281" i="25"/>
  <c r="CL281" i="25"/>
  <c r="DP315" i="25"/>
  <c r="CX315" i="25"/>
  <c r="CL315" i="25"/>
  <c r="DP236" i="25"/>
  <c r="CL236" i="25"/>
  <c r="CX236" i="25"/>
  <c r="CY236" i="25" s="1"/>
  <c r="CU259" i="25"/>
  <c r="CV259" i="25"/>
  <c r="CW259" i="25"/>
  <c r="CO259" i="25" s="1"/>
  <c r="CW67" i="25"/>
  <c r="CO67" i="25" s="1"/>
  <c r="CV67" i="25"/>
  <c r="CU67" i="25"/>
  <c r="CU311" i="25"/>
  <c r="CW311" i="25"/>
  <c r="CO311" i="25" s="1"/>
  <c r="CV311" i="25"/>
  <c r="CW9" i="25"/>
  <c r="CO9" i="25" s="1"/>
  <c r="CV9" i="25"/>
  <c r="CU9" i="25"/>
  <c r="CV203" i="25"/>
  <c r="CW203" i="25"/>
  <c r="CO203" i="25" s="1"/>
  <c r="CU203" i="25"/>
  <c r="EQ76" i="25"/>
  <c r="EU76" i="25" s="1"/>
  <c r="FG76" i="25"/>
  <c r="CX76" i="25"/>
  <c r="DP76" i="25"/>
  <c r="CL76" i="25"/>
  <c r="FG163" i="25"/>
  <c r="CL163" i="25"/>
  <c r="DP163" i="25"/>
  <c r="EQ163" i="25"/>
  <c r="EU163" i="25" s="1"/>
  <c r="CX163" i="25"/>
  <c r="FG132" i="25"/>
  <c r="DP132" i="25"/>
  <c r="CL132" i="25"/>
  <c r="CX132" i="25"/>
  <c r="EQ132" i="25"/>
  <c r="EU132" i="25" s="1"/>
  <c r="FG131" i="25"/>
  <c r="DP131" i="25"/>
  <c r="CX131" i="25"/>
  <c r="CL131" i="25"/>
  <c r="EQ131" i="25"/>
  <c r="EU131" i="25" s="1"/>
  <c r="CL103" i="25"/>
  <c r="DP103" i="25"/>
  <c r="CX103" i="25"/>
  <c r="EQ103" i="25"/>
  <c r="EU103" i="25" s="1"/>
  <c r="FG103" i="25"/>
  <c r="EQ61" i="25"/>
  <c r="EU61" i="25" s="1"/>
  <c r="DP61" i="25"/>
  <c r="CX61" i="25"/>
  <c r="FG61" i="25"/>
  <c r="CL61" i="25"/>
  <c r="DP36" i="25"/>
  <c r="FG36" i="25"/>
  <c r="CL36" i="25"/>
  <c r="CX36" i="25"/>
  <c r="EQ36" i="25"/>
  <c r="EU36" i="25" s="1"/>
  <c r="FG135" i="25"/>
  <c r="DP135" i="25"/>
  <c r="CL135" i="25"/>
  <c r="EQ135" i="25"/>
  <c r="EU135" i="25" s="1"/>
  <c r="CX135" i="25"/>
  <c r="DP11" i="25"/>
  <c r="EQ11" i="25"/>
  <c r="EU11" i="25" s="1"/>
  <c r="CL11" i="25"/>
  <c r="FG11" i="25"/>
  <c r="CX11" i="25"/>
  <c r="EQ84" i="25"/>
  <c r="EU84" i="25" s="1"/>
  <c r="FG84" i="25"/>
  <c r="CL84" i="25"/>
  <c r="CX84" i="25"/>
  <c r="DP84" i="25"/>
  <c r="DP67" i="25"/>
  <c r="CL67" i="25"/>
  <c r="FG67" i="25"/>
  <c r="EQ67" i="25"/>
  <c r="EU67" i="25" s="1"/>
  <c r="CX67" i="25"/>
  <c r="FG196" i="25"/>
  <c r="EQ196" i="25"/>
  <c r="EU196" i="25" s="1"/>
  <c r="DP196" i="25"/>
  <c r="CL196" i="25"/>
  <c r="CX196" i="25"/>
  <c r="CL63" i="25"/>
  <c r="FG63" i="25"/>
  <c r="EQ63" i="25"/>
  <c r="EU63" i="25" s="1"/>
  <c r="DP63" i="25"/>
  <c r="CX63" i="25"/>
  <c r="CY63" i="25" s="1"/>
  <c r="CX286" i="25"/>
  <c r="CL286" i="25"/>
  <c r="DP286" i="25"/>
  <c r="DP56" i="25"/>
  <c r="EQ56" i="25"/>
  <c r="EU56" i="25" s="1"/>
  <c r="CX56" i="25"/>
  <c r="CL56" i="25"/>
  <c r="FG56" i="25"/>
  <c r="CL101" i="25"/>
  <c r="FG101" i="25"/>
  <c r="DP101" i="25"/>
  <c r="EQ101" i="25"/>
  <c r="EU101" i="25" s="1"/>
  <c r="CX101" i="25"/>
  <c r="DP312" i="25"/>
  <c r="CL312" i="25"/>
  <c r="CX312" i="25"/>
  <c r="FG134" i="25"/>
  <c r="DP134" i="25"/>
  <c r="CL134" i="25"/>
  <c r="CX134" i="25"/>
  <c r="EQ134" i="25"/>
  <c r="EU134" i="25" s="1"/>
  <c r="FG32" i="25"/>
  <c r="DP32" i="25"/>
  <c r="CL32" i="25"/>
  <c r="EQ32" i="25"/>
  <c r="EU32" i="25" s="1"/>
  <c r="CX32" i="25"/>
  <c r="DP124" i="25"/>
  <c r="CL124" i="25"/>
  <c r="EQ124" i="25"/>
  <c r="EU124" i="25" s="1"/>
  <c r="FG124" i="25"/>
  <c r="CX124" i="25"/>
  <c r="CL282" i="25"/>
  <c r="DP282" i="25"/>
  <c r="CX282" i="25"/>
  <c r="DP291" i="25"/>
  <c r="CX291" i="25"/>
  <c r="CL291" i="25"/>
  <c r="CL217" i="25"/>
  <c r="CX217" i="25"/>
  <c r="DP217" i="25"/>
  <c r="CL274" i="25"/>
  <c r="DP274" i="25"/>
  <c r="CX274" i="25"/>
  <c r="EQ165" i="25"/>
  <c r="EU165" i="25" s="1"/>
  <c r="DP165" i="25"/>
  <c r="CX165" i="25"/>
  <c r="CL165" i="25"/>
  <c r="FG165" i="25"/>
  <c r="CL261" i="25"/>
  <c r="DP261" i="25"/>
  <c r="CX261" i="25"/>
  <c r="CX311" i="25"/>
  <c r="DP311" i="25"/>
  <c r="CL311" i="25"/>
  <c r="CX223" i="25"/>
  <c r="CL223" i="25"/>
  <c r="DP223" i="25"/>
  <c r="CL310" i="25"/>
  <c r="DP310" i="25"/>
  <c r="CX310" i="25"/>
  <c r="DP204" i="25"/>
  <c r="CX204" i="25"/>
  <c r="CL204" i="25"/>
  <c r="FG204" i="25"/>
  <c r="EQ204" i="25"/>
  <c r="EU204" i="25" s="1"/>
  <c r="CL279" i="25"/>
  <c r="DP279" i="25"/>
  <c r="CX279" i="25"/>
  <c r="EQ166" i="25"/>
  <c r="EU166" i="25" s="1"/>
  <c r="DP166" i="25"/>
  <c r="CL166" i="25"/>
  <c r="CX166" i="25"/>
  <c r="FG166" i="25"/>
  <c r="DP231" i="25"/>
  <c r="CL231" i="25"/>
  <c r="CX231" i="25"/>
  <c r="DP271" i="25"/>
  <c r="CX271" i="25"/>
  <c r="CL271" i="25"/>
  <c r="FG186" i="25"/>
  <c r="EQ186" i="25"/>
  <c r="EU186" i="25" s="1"/>
  <c r="CX186" i="25"/>
  <c r="DP186" i="25"/>
  <c r="CL186" i="25"/>
  <c r="DP220" i="25"/>
  <c r="CL220" i="25"/>
  <c r="CX220" i="25"/>
  <c r="CY220" i="25" s="1"/>
  <c r="DP299" i="25"/>
  <c r="CX299" i="25"/>
  <c r="CL299" i="25"/>
  <c r="CW100" i="25"/>
  <c r="CO100" i="25" s="1"/>
  <c r="CV100" i="25"/>
  <c r="CU100" i="25"/>
  <c r="CW99" i="25"/>
  <c r="CO99" i="25" s="1"/>
  <c r="CV99" i="25"/>
  <c r="CU99" i="25"/>
  <c r="CV37" i="25"/>
  <c r="CU37" i="25"/>
  <c r="CW37" i="25"/>
  <c r="CO37" i="25" s="1"/>
  <c r="CV187" i="25"/>
  <c r="CU187" i="25"/>
  <c r="CW187" i="25"/>
  <c r="CO187" i="25" s="1"/>
  <c r="CU45" i="25"/>
  <c r="CW45" i="25"/>
  <c r="CO45" i="25" s="1"/>
  <c r="CV45" i="25"/>
  <c r="CV31" i="25"/>
  <c r="CU31" i="25"/>
  <c r="CW31" i="25"/>
  <c r="CO31" i="25" s="1"/>
  <c r="CU158" i="25"/>
  <c r="CW158" i="25"/>
  <c r="CO158" i="25" s="1"/>
  <c r="CV158" i="25"/>
  <c r="CU44" i="25"/>
  <c r="CV44" i="25"/>
  <c r="CW44" i="25"/>
  <c r="CO44" i="25" s="1"/>
  <c r="CV76" i="25"/>
  <c r="CW76" i="25"/>
  <c r="CO76" i="25" s="1"/>
  <c r="CU76" i="25"/>
  <c r="CV164" i="25"/>
  <c r="CU164" i="25"/>
  <c r="CW164" i="25"/>
  <c r="CO164" i="25" s="1"/>
  <c r="CV156" i="25"/>
  <c r="CU156" i="25"/>
  <c r="CW156" i="25"/>
  <c r="CO156" i="25" s="1"/>
  <c r="CV103" i="25"/>
  <c r="CW103" i="25"/>
  <c r="CO103" i="25" s="1"/>
  <c r="CU103" i="25"/>
  <c r="CW275" i="25"/>
  <c r="CO275" i="25" s="1"/>
  <c r="CV275" i="25"/>
  <c r="CU275" i="25"/>
  <c r="CU283" i="25"/>
  <c r="CV283" i="25"/>
  <c r="CW283" i="25"/>
  <c r="CO283" i="25" s="1"/>
  <c r="CW280" i="25"/>
  <c r="CO280" i="25" s="1"/>
  <c r="CU280" i="25"/>
  <c r="CV280" i="25"/>
  <c r="CW239" i="25"/>
  <c r="CO239" i="25" s="1"/>
  <c r="CV239" i="25"/>
  <c r="CU239" i="25"/>
  <c r="CW284" i="25"/>
  <c r="CO284" i="25" s="1"/>
  <c r="CU284" i="25"/>
  <c r="CV284" i="25"/>
  <c r="CW35" i="25"/>
  <c r="CO35" i="25" s="1"/>
  <c r="CV35" i="25"/>
  <c r="CU35" i="25"/>
  <c r="CU295" i="25"/>
  <c r="CW295" i="25"/>
  <c r="CO295" i="25" s="1"/>
  <c r="CV295" i="25"/>
  <c r="CV98" i="25"/>
  <c r="CU98" i="25"/>
  <c r="CW98" i="25"/>
  <c r="CO98" i="25" s="1"/>
  <c r="CU92" i="25"/>
  <c r="CW92" i="25"/>
  <c r="CO92" i="25" s="1"/>
  <c r="CV92" i="25"/>
  <c r="CV168" i="25"/>
  <c r="CW168" i="25"/>
  <c r="CO168" i="25" s="1"/>
  <c r="CU168" i="25"/>
  <c r="CW144" i="25"/>
  <c r="CO144" i="25" s="1"/>
  <c r="CV144" i="25"/>
  <c r="CU144" i="25"/>
  <c r="CV70" i="25"/>
  <c r="CU70" i="25"/>
  <c r="CW70" i="25"/>
  <c r="CO70" i="25" s="1"/>
  <c r="CW143" i="25"/>
  <c r="CO143" i="25" s="1"/>
  <c r="CU143" i="25"/>
  <c r="CV143" i="25"/>
  <c r="CW97" i="25"/>
  <c r="CO97" i="25" s="1"/>
  <c r="CV97" i="25"/>
  <c r="CU97" i="25"/>
  <c r="CV122" i="25"/>
  <c r="CU122" i="25"/>
  <c r="CW122" i="25"/>
  <c r="CO122" i="25" s="1"/>
  <c r="CU64" i="25"/>
  <c r="CV64" i="25"/>
  <c r="CW64" i="25"/>
  <c r="CO64" i="25" s="1"/>
  <c r="CW65" i="25"/>
  <c r="CO65" i="25" s="1"/>
  <c r="CV65" i="25"/>
  <c r="CU65" i="25"/>
  <c r="CV111" i="25"/>
  <c r="CU111" i="25"/>
  <c r="CW111" i="25"/>
  <c r="CO111" i="25" s="1"/>
  <c r="CV202" i="25"/>
  <c r="CU202" i="25"/>
  <c r="CW202" i="25"/>
  <c r="CO202" i="25" s="1"/>
  <c r="CV191" i="25"/>
  <c r="CW191" i="25"/>
  <c r="CO191" i="25" s="1"/>
  <c r="CU191" i="25"/>
  <c r="CW180" i="25"/>
  <c r="CO180" i="25" s="1"/>
  <c r="CV180" i="25"/>
  <c r="CU180" i="25"/>
  <c r="CU251" i="25"/>
  <c r="CW251" i="25"/>
  <c r="CO251" i="25" s="1"/>
  <c r="CV251" i="25"/>
  <c r="CU174" i="25"/>
  <c r="CW174" i="25"/>
  <c r="CO174" i="25" s="1"/>
  <c r="CV174" i="25"/>
  <c r="CU175" i="25"/>
  <c r="CV175" i="25"/>
  <c r="CW175" i="25"/>
  <c r="CO175" i="25" s="1"/>
  <c r="CW292" i="25"/>
  <c r="CO292" i="25" s="1"/>
  <c r="CU292" i="25"/>
  <c r="CV292" i="25"/>
  <c r="CL34" i="24"/>
  <c r="CW34" i="24"/>
  <c r="CX34" i="24" s="1"/>
  <c r="DQ34" i="24"/>
  <c r="ES34" i="24"/>
  <c r="EV34" i="24" s="1"/>
  <c r="CY34" i="24"/>
  <c r="CU34" i="24"/>
  <c r="CV34" i="24" s="1"/>
  <c r="CY87" i="24"/>
  <c r="CL87" i="24"/>
  <c r="ES87" i="24"/>
  <c r="EV87" i="24" s="1"/>
  <c r="CW87" i="24"/>
  <c r="CX87" i="24" s="1"/>
  <c r="DQ87" i="24"/>
  <c r="CU87" i="24"/>
  <c r="CV87" i="24" s="1"/>
  <c r="ES53" i="24"/>
  <c r="EV53" i="24" s="1"/>
  <c r="CL53" i="24"/>
  <c r="DQ53" i="24"/>
  <c r="CW53" i="24"/>
  <c r="CX53" i="24" s="1"/>
  <c r="CY53" i="24"/>
  <c r="CU53" i="24"/>
  <c r="CV53" i="24" s="1"/>
  <c r="ES42" i="24"/>
  <c r="EV42" i="24" s="1"/>
  <c r="CL42" i="24"/>
  <c r="CW42" i="24"/>
  <c r="CX42" i="24" s="1"/>
  <c r="CY42" i="24"/>
  <c r="DQ42" i="24"/>
  <c r="CU42" i="24"/>
  <c r="CV42" i="24" s="1"/>
  <c r="CU11" i="24"/>
  <c r="CV11" i="24" s="1"/>
  <c r="CL11" i="24"/>
  <c r="DQ11" i="24"/>
  <c r="ES11" i="24"/>
  <c r="EV11" i="24" s="1"/>
  <c r="CW11" i="24"/>
  <c r="CX11" i="24" s="1"/>
  <c r="CY11" i="24"/>
  <c r="CZ11" i="24" s="1"/>
  <c r="CL91" i="24"/>
  <c r="DQ91" i="24"/>
  <c r="ES91" i="24"/>
  <c r="EV91" i="24" s="1"/>
  <c r="CW91" i="24"/>
  <c r="CX91" i="24" s="1"/>
  <c r="CY91" i="24"/>
  <c r="CZ91" i="24" s="1"/>
  <c r="CU91" i="24"/>
  <c r="CV91" i="24" s="1"/>
  <c r="CL39" i="24"/>
  <c r="CU39" i="24"/>
  <c r="CV39" i="24" s="1"/>
  <c r="ES39" i="24"/>
  <c r="EV39" i="24" s="1"/>
  <c r="CY39" i="24"/>
  <c r="CW39" i="24"/>
  <c r="CX39" i="24" s="1"/>
  <c r="DQ39" i="24"/>
  <c r="CW71" i="24"/>
  <c r="CX71" i="24" s="1"/>
  <c r="DQ71" i="24"/>
  <c r="ES71" i="24"/>
  <c r="EV71" i="24" s="1"/>
  <c r="CL71" i="24"/>
  <c r="CY71" i="24"/>
  <c r="CU71" i="24"/>
  <c r="CV71" i="24" s="1"/>
  <c r="CW43" i="24"/>
  <c r="CX43" i="24" s="1"/>
  <c r="CL43" i="24"/>
  <c r="ES43" i="24"/>
  <c r="EV43" i="24" s="1"/>
  <c r="CU43" i="24"/>
  <c r="CV43" i="24" s="1"/>
  <c r="DQ43" i="24"/>
  <c r="CY43" i="24"/>
  <c r="DQ122" i="24"/>
  <c r="CY122" i="24"/>
  <c r="CZ122" i="24" s="1"/>
  <c r="CU122" i="24"/>
  <c r="ES122" i="24"/>
  <c r="EV122" i="24" s="1"/>
  <c r="CW122" i="24"/>
  <c r="CX122" i="24" s="1"/>
  <c r="CL122" i="24"/>
  <c r="ES168" i="24"/>
  <c r="EV168" i="24" s="1"/>
  <c r="CL168" i="24"/>
  <c r="CU168" i="24"/>
  <c r="CW168" i="24"/>
  <c r="CX168" i="24" s="1"/>
  <c r="DQ168" i="24"/>
  <c r="CY168" i="24"/>
  <c r="CZ168" i="24" s="1"/>
  <c r="ES127" i="24"/>
  <c r="EV127" i="24" s="1"/>
  <c r="DQ127" i="24"/>
  <c r="CW127" i="24"/>
  <c r="CX127" i="24" s="1"/>
  <c r="CL127" i="24"/>
  <c r="CY127" i="24"/>
  <c r="CU127" i="24"/>
  <c r="CW266" i="24"/>
  <c r="CX266" i="24" s="1"/>
  <c r="CU266" i="24"/>
  <c r="CL266" i="24"/>
  <c r="DQ266" i="24"/>
  <c r="CY266" i="24"/>
  <c r="ES69" i="24"/>
  <c r="EV69" i="24" s="1"/>
  <c r="CW69" i="24"/>
  <c r="CX69" i="24" s="1"/>
  <c r="CL69" i="24"/>
  <c r="DQ69" i="24"/>
  <c r="CU69" i="24"/>
  <c r="CV69" i="24" s="1"/>
  <c r="CY69" i="24"/>
  <c r="CL140" i="24"/>
  <c r="ES140" i="24"/>
  <c r="EV140" i="24" s="1"/>
  <c r="DQ140" i="24"/>
  <c r="CW140" i="24"/>
  <c r="CX140" i="24" s="1"/>
  <c r="CY140" i="24"/>
  <c r="CU140" i="24"/>
  <c r="ES99" i="24"/>
  <c r="EV99" i="24" s="1"/>
  <c r="CW99" i="24"/>
  <c r="CX99" i="24" s="1"/>
  <c r="CY99" i="24"/>
  <c r="DQ99" i="24"/>
  <c r="CL99" i="24"/>
  <c r="CU99" i="24"/>
  <c r="CV99" i="24" s="1"/>
  <c r="DQ151" i="24"/>
  <c r="CL151" i="24"/>
  <c r="CW151" i="24"/>
  <c r="CX151" i="24" s="1"/>
  <c r="ES151" i="24"/>
  <c r="EV151" i="24" s="1"/>
  <c r="CY151" i="24"/>
  <c r="CU151" i="24"/>
  <c r="CY124" i="24"/>
  <c r="DQ124" i="24"/>
  <c r="ES124" i="24"/>
  <c r="EV124" i="24" s="1"/>
  <c r="CL124" i="24"/>
  <c r="CW124" i="24"/>
  <c r="CX124" i="24" s="1"/>
  <c r="CU124" i="24"/>
  <c r="DQ188" i="24"/>
  <c r="CY188" i="24"/>
  <c r="ES188" i="24"/>
  <c r="EV188" i="24" s="1"/>
  <c r="CU188" i="24"/>
  <c r="CL188" i="24"/>
  <c r="CW188" i="24"/>
  <c r="CX188" i="24" s="1"/>
  <c r="ES138" i="24"/>
  <c r="EV138" i="24" s="1"/>
  <c r="CL138" i="24"/>
  <c r="DQ138" i="24"/>
  <c r="CY138" i="24"/>
  <c r="CW138" i="24"/>
  <c r="CX138" i="24" s="1"/>
  <c r="CU138" i="24"/>
  <c r="CL310" i="24"/>
  <c r="CW310" i="24"/>
  <c r="CX310" i="24" s="1"/>
  <c r="CU310" i="24"/>
  <c r="CY310" i="24"/>
  <c r="DQ310" i="24"/>
  <c r="CL174" i="24"/>
  <c r="ES174" i="24"/>
  <c r="EV174" i="24" s="1"/>
  <c r="DQ174" i="24"/>
  <c r="CU174" i="24"/>
  <c r="CW174" i="24"/>
  <c r="CX174" i="24" s="1"/>
  <c r="CY174" i="24"/>
  <c r="ES114" i="24"/>
  <c r="EV114" i="24" s="1"/>
  <c r="CW114" i="24"/>
  <c r="CX114" i="24" s="1"/>
  <c r="DQ114" i="24"/>
  <c r="CL114" i="24"/>
  <c r="CY114" i="24"/>
  <c r="CU114" i="24"/>
  <c r="CL176" i="24"/>
  <c r="CU176" i="24"/>
  <c r="ES176" i="24"/>
  <c r="EV176" i="24" s="1"/>
  <c r="CW176" i="24"/>
  <c r="CX176" i="24" s="1"/>
  <c r="DQ176" i="24"/>
  <c r="CY176" i="24"/>
  <c r="ES201" i="24"/>
  <c r="EV201" i="24" s="1"/>
  <c r="DQ201" i="24"/>
  <c r="CW201" i="24"/>
  <c r="CX201" i="24" s="1"/>
  <c r="CU201" i="24"/>
  <c r="CL201" i="24"/>
  <c r="CY201" i="24"/>
  <c r="CZ201" i="24" s="1"/>
  <c r="CW271" i="24"/>
  <c r="CX271" i="24" s="1"/>
  <c r="CL271" i="24"/>
  <c r="DQ271" i="24"/>
  <c r="CY271" i="24"/>
  <c r="CU271" i="24"/>
  <c r="DQ237" i="24"/>
  <c r="CL237" i="24"/>
  <c r="CW237" i="24"/>
  <c r="CX237" i="24" s="1"/>
  <c r="CU237" i="24"/>
  <c r="CY237" i="24"/>
  <c r="DQ315" i="24"/>
  <c r="CL315" i="24"/>
  <c r="CW315" i="24"/>
  <c r="CX315" i="24" s="1"/>
  <c r="CY315" i="24"/>
  <c r="CU315" i="24"/>
  <c r="DQ239" i="24"/>
  <c r="CW239" i="24"/>
  <c r="CX239" i="24" s="1"/>
  <c r="CL239" i="24"/>
  <c r="CY239" i="24"/>
  <c r="CU239" i="24"/>
  <c r="DQ299" i="24"/>
  <c r="CL299" i="24"/>
  <c r="CY299" i="24"/>
  <c r="CZ299" i="24" s="1"/>
  <c r="CW299" i="24"/>
  <c r="CX299" i="24" s="1"/>
  <c r="CU299" i="24"/>
  <c r="CY225" i="24"/>
  <c r="CW225" i="24"/>
  <c r="CX225" i="24" s="1"/>
  <c r="CU225" i="24"/>
  <c r="DQ225" i="24"/>
  <c r="CL225" i="24"/>
  <c r="CW260" i="24"/>
  <c r="CX260" i="24" s="1"/>
  <c r="CU260" i="24"/>
  <c r="CL260" i="24"/>
  <c r="DQ260" i="24"/>
  <c r="CY260" i="24"/>
  <c r="CU223" i="24"/>
  <c r="CW223" i="24"/>
  <c r="CX223" i="24" s="1"/>
  <c r="CY223" i="24"/>
  <c r="DQ223" i="24"/>
  <c r="CL223" i="24"/>
  <c r="DQ290" i="24"/>
  <c r="CL290" i="24"/>
  <c r="CW290" i="24"/>
  <c r="CX290" i="24" s="1"/>
  <c r="CY290" i="24"/>
  <c r="CU290" i="24"/>
  <c r="ES196" i="24"/>
  <c r="EV196" i="24" s="1"/>
  <c r="CU196" i="24"/>
  <c r="CY196" i="24"/>
  <c r="DQ196" i="24"/>
  <c r="CW196" i="24"/>
  <c r="CX196" i="24" s="1"/>
  <c r="CL196" i="24"/>
  <c r="DQ246" i="24"/>
  <c r="CU246" i="24"/>
  <c r="CL246" i="24"/>
  <c r="CW246" i="24"/>
  <c r="CX246" i="24" s="1"/>
  <c r="CY246" i="24"/>
  <c r="CL313" i="24"/>
  <c r="DQ313" i="24"/>
  <c r="CY313" i="24"/>
  <c r="CW313" i="24"/>
  <c r="CX313" i="24" s="1"/>
  <c r="CU313" i="24"/>
  <c r="CL26" i="24"/>
  <c r="CW26" i="24"/>
  <c r="CX26" i="24" s="1"/>
  <c r="CY26" i="24"/>
  <c r="ES26" i="24"/>
  <c r="EV26" i="24" s="1"/>
  <c r="DQ26" i="24"/>
  <c r="CU26" i="24"/>
  <c r="CV26" i="24" s="1"/>
  <c r="DQ92" i="24"/>
  <c r="CL92" i="24"/>
  <c r="CW92" i="24"/>
  <c r="CX92" i="24" s="1"/>
  <c r="CY92" i="24"/>
  <c r="CU92" i="24"/>
  <c r="CV92" i="24" s="1"/>
  <c r="ES92" i="24"/>
  <c r="EV92" i="24" s="1"/>
  <c r="DQ59" i="24"/>
  <c r="ES59" i="24"/>
  <c r="EV59" i="24" s="1"/>
  <c r="CL59" i="24"/>
  <c r="CW59" i="24"/>
  <c r="CX59" i="24" s="1"/>
  <c r="CY59" i="24"/>
  <c r="CU59" i="24"/>
  <c r="CV59" i="24" s="1"/>
  <c r="CW77" i="24"/>
  <c r="CX77" i="24" s="1"/>
  <c r="ES77" i="24"/>
  <c r="EV77" i="24" s="1"/>
  <c r="CL77" i="24"/>
  <c r="CY77" i="24"/>
  <c r="DQ77" i="24"/>
  <c r="CU77" i="24"/>
  <c r="CV77" i="24" s="1"/>
  <c r="CY12" i="24"/>
  <c r="ES12" i="24"/>
  <c r="EV12" i="24" s="1"/>
  <c r="CW12" i="24"/>
  <c r="CX12" i="24" s="1"/>
  <c r="CU12" i="24"/>
  <c r="CV12" i="24" s="1"/>
  <c r="DQ12" i="24"/>
  <c r="CL12" i="24"/>
  <c r="ES96" i="24"/>
  <c r="EV96" i="24" s="1"/>
  <c r="CL96" i="24"/>
  <c r="DQ96" i="24"/>
  <c r="CW96" i="24"/>
  <c r="CX96" i="24" s="1"/>
  <c r="CU96" i="24"/>
  <c r="CV96" i="24" s="1"/>
  <c r="CY96" i="24"/>
  <c r="ES49" i="24"/>
  <c r="EV49" i="24" s="1"/>
  <c r="CL49" i="24"/>
  <c r="CW49" i="24"/>
  <c r="CX49" i="24" s="1"/>
  <c r="CY49" i="24"/>
  <c r="DQ49" i="24"/>
  <c r="CU49" i="24"/>
  <c r="CV49" i="24" s="1"/>
  <c r="ES79" i="24"/>
  <c r="EV79" i="24" s="1"/>
  <c r="CW79" i="24"/>
  <c r="CX79" i="24" s="1"/>
  <c r="CY79" i="24"/>
  <c r="DQ79" i="24"/>
  <c r="CU79" i="24"/>
  <c r="CV79" i="24" s="1"/>
  <c r="CL79" i="24"/>
  <c r="CW44" i="24"/>
  <c r="CX44" i="24" s="1"/>
  <c r="CL44" i="24"/>
  <c r="DQ44" i="24"/>
  <c r="ES44" i="24"/>
  <c r="EV44" i="24" s="1"/>
  <c r="CY44" i="24"/>
  <c r="CU44" i="24"/>
  <c r="CV44" i="24" s="1"/>
  <c r="ES130" i="24"/>
  <c r="EV130" i="24" s="1"/>
  <c r="DQ130" i="24"/>
  <c r="CL130" i="24"/>
  <c r="CU130" i="24"/>
  <c r="CW130" i="24"/>
  <c r="CX130" i="24" s="1"/>
  <c r="CY130" i="24"/>
  <c r="CU218" i="24"/>
  <c r="CW218" i="24"/>
  <c r="CX218" i="24" s="1"/>
  <c r="CL218" i="24"/>
  <c r="CY218" i="24"/>
  <c r="DQ218" i="24"/>
  <c r="ES145" i="24"/>
  <c r="EV145" i="24" s="1"/>
  <c r="CW145" i="24"/>
  <c r="CX145" i="24" s="1"/>
  <c r="DQ145" i="24"/>
  <c r="CL145" i="24"/>
  <c r="CU145" i="24"/>
  <c r="CY145" i="24"/>
  <c r="ES31" i="24"/>
  <c r="EV31" i="24" s="1"/>
  <c r="DQ31" i="24"/>
  <c r="CY31" i="24"/>
  <c r="CW31" i="24"/>
  <c r="CX31" i="24" s="1"/>
  <c r="CU31" i="24"/>
  <c r="CV31" i="24" s="1"/>
  <c r="CL31" i="24"/>
  <c r="DQ74" i="24"/>
  <c r="ES74" i="24"/>
  <c r="EV74" i="24" s="1"/>
  <c r="CL74" i="24"/>
  <c r="CW74" i="24"/>
  <c r="CX74" i="24" s="1"/>
  <c r="CU74" i="24"/>
  <c r="CV74" i="24" s="1"/>
  <c r="CY74" i="24"/>
  <c r="DQ142" i="24"/>
  <c r="CW142" i="24"/>
  <c r="CX142" i="24" s="1"/>
  <c r="CL142" i="24"/>
  <c r="ES142" i="24"/>
  <c r="EV142" i="24" s="1"/>
  <c r="CU142" i="24"/>
  <c r="CY142" i="24"/>
  <c r="ES117" i="24"/>
  <c r="EV117" i="24" s="1"/>
  <c r="DQ117" i="24"/>
  <c r="CL117" i="24"/>
  <c r="CW117" i="24"/>
  <c r="CX117" i="24" s="1"/>
  <c r="CU117" i="24"/>
  <c r="CY117" i="24"/>
  <c r="DQ158" i="24"/>
  <c r="CL158" i="24"/>
  <c r="ES158" i="24"/>
  <c r="EV158" i="24" s="1"/>
  <c r="CY158" i="24"/>
  <c r="CW158" i="24"/>
  <c r="CX158" i="24" s="1"/>
  <c r="CU158" i="24"/>
  <c r="CW128" i="24"/>
  <c r="CX128" i="24" s="1"/>
  <c r="ES128" i="24"/>
  <c r="EV128" i="24" s="1"/>
  <c r="DQ128" i="24"/>
  <c r="CU128" i="24"/>
  <c r="CY128" i="24"/>
  <c r="CL128" i="24"/>
  <c r="CW256" i="24"/>
  <c r="CX256" i="24" s="1"/>
  <c r="CU256" i="24"/>
  <c r="CY256" i="24"/>
  <c r="DQ256" i="24"/>
  <c r="CL256" i="24"/>
  <c r="ES141" i="24"/>
  <c r="EV141" i="24" s="1"/>
  <c r="CL141" i="24"/>
  <c r="DQ141" i="24"/>
  <c r="CW141" i="24"/>
  <c r="CX141" i="24" s="1"/>
  <c r="CY141" i="24"/>
  <c r="CU141" i="24"/>
  <c r="ES95" i="24"/>
  <c r="EV95" i="24" s="1"/>
  <c r="DQ95" i="24"/>
  <c r="CL95" i="24"/>
  <c r="CU95" i="24"/>
  <c r="CV95" i="24" s="1"/>
  <c r="CW95" i="24"/>
  <c r="CX95" i="24" s="1"/>
  <c r="CY95" i="24"/>
  <c r="DQ178" i="24"/>
  <c r="CL178" i="24"/>
  <c r="CW178" i="24"/>
  <c r="CX178" i="24" s="1"/>
  <c r="CY178" i="24"/>
  <c r="ES178" i="24"/>
  <c r="EV178" i="24" s="1"/>
  <c r="CU178" i="24"/>
  <c r="ES125" i="24"/>
  <c r="EV125" i="24" s="1"/>
  <c r="DQ125" i="24"/>
  <c r="CL125" i="24"/>
  <c r="CW125" i="24"/>
  <c r="CX125" i="24" s="1"/>
  <c r="CY125" i="24"/>
  <c r="CU125" i="24"/>
  <c r="ES180" i="24"/>
  <c r="EV180" i="24" s="1"/>
  <c r="DQ180" i="24"/>
  <c r="CU180" i="24"/>
  <c r="CL180" i="24"/>
  <c r="CY180" i="24"/>
  <c r="CW180" i="24"/>
  <c r="CX180" i="24" s="1"/>
  <c r="ES207" i="24"/>
  <c r="EV207" i="24" s="1"/>
  <c r="CL207" i="24"/>
  <c r="DQ207" i="24"/>
  <c r="CY207" i="24"/>
  <c r="CW207" i="24"/>
  <c r="CX207" i="24" s="1"/>
  <c r="CU207" i="24"/>
  <c r="DQ272" i="24"/>
  <c r="CW272" i="24"/>
  <c r="CX272" i="24" s="1"/>
  <c r="CL272" i="24"/>
  <c r="CY272" i="24"/>
  <c r="CU272" i="24"/>
  <c r="DQ249" i="24"/>
  <c r="CL249" i="24"/>
  <c r="CW249" i="24"/>
  <c r="CX249" i="24" s="1"/>
  <c r="CU249" i="24"/>
  <c r="CY249" i="24"/>
  <c r="DQ195" i="24"/>
  <c r="CW195" i="24"/>
  <c r="CX195" i="24" s="1"/>
  <c r="ES195" i="24"/>
  <c r="EV195" i="24" s="1"/>
  <c r="CY195" i="24"/>
  <c r="CL195" i="24"/>
  <c r="CU195" i="24"/>
  <c r="DQ257" i="24"/>
  <c r="CL257" i="24"/>
  <c r="CW257" i="24"/>
  <c r="CX257" i="24" s="1"/>
  <c r="CY257" i="24"/>
  <c r="CU257" i="24"/>
  <c r="DQ301" i="24"/>
  <c r="CL301" i="24"/>
  <c r="CW301" i="24"/>
  <c r="CX301" i="24" s="1"/>
  <c r="CY301" i="24"/>
  <c r="CU301" i="24"/>
  <c r="DQ229" i="24"/>
  <c r="CY229" i="24"/>
  <c r="CZ229" i="24" s="1"/>
  <c r="CL229" i="24"/>
  <c r="CW229" i="24"/>
  <c r="CX229" i="24" s="1"/>
  <c r="CU229" i="24"/>
  <c r="DQ268" i="24"/>
  <c r="CL268" i="24"/>
  <c r="CW268" i="24"/>
  <c r="CX268" i="24" s="1"/>
  <c r="CY268" i="24"/>
  <c r="CU268" i="24"/>
  <c r="CY227" i="24"/>
  <c r="CZ227" i="24" s="1"/>
  <c r="CL227" i="24"/>
  <c r="DQ227" i="24"/>
  <c r="CW227" i="24"/>
  <c r="CX227" i="24" s="1"/>
  <c r="CU227" i="24"/>
  <c r="CY295" i="24"/>
  <c r="CW295" i="24"/>
  <c r="CX295" i="24" s="1"/>
  <c r="CL295" i="24"/>
  <c r="DQ295" i="24"/>
  <c r="CU295" i="24"/>
  <c r="ES198" i="24"/>
  <c r="EV198" i="24" s="1"/>
  <c r="CL198" i="24"/>
  <c r="CY198" i="24"/>
  <c r="DQ198" i="24"/>
  <c r="CW198" i="24"/>
  <c r="CX198" i="24" s="1"/>
  <c r="CU198" i="24"/>
  <c r="DQ251" i="24"/>
  <c r="CY251" i="24"/>
  <c r="CL251" i="24"/>
  <c r="CW251" i="24"/>
  <c r="CX251" i="24" s="1"/>
  <c r="CU251" i="24"/>
  <c r="DQ316" i="24"/>
  <c r="CY316" i="24"/>
  <c r="CL316" i="24"/>
  <c r="CW316" i="24"/>
  <c r="CX316" i="24" s="1"/>
  <c r="CU316" i="24"/>
  <c r="CL28" i="24"/>
  <c r="CU28" i="24"/>
  <c r="CV28" i="24" s="1"/>
  <c r="DQ28" i="24"/>
  <c r="CW28" i="24"/>
  <c r="CX28" i="24" s="1"/>
  <c r="CY28" i="24"/>
  <c r="CZ28" i="24" s="1"/>
  <c r="ES28" i="24"/>
  <c r="EV28" i="24" s="1"/>
  <c r="CL94" i="24"/>
  <c r="CY94" i="24"/>
  <c r="CW94" i="24"/>
  <c r="CX94" i="24" s="1"/>
  <c r="ES94" i="24"/>
  <c r="EV94" i="24" s="1"/>
  <c r="DQ94" i="24"/>
  <c r="CU94" i="24"/>
  <c r="CV94" i="24" s="1"/>
  <c r="CL61" i="24"/>
  <c r="CY61" i="24"/>
  <c r="CW61" i="24"/>
  <c r="CX61" i="24" s="1"/>
  <c r="DQ61" i="24"/>
  <c r="ES61" i="24"/>
  <c r="EV61" i="24" s="1"/>
  <c r="CU61" i="24"/>
  <c r="CV61" i="24" s="1"/>
  <c r="CL35" i="24"/>
  <c r="ES35" i="24"/>
  <c r="EV35" i="24" s="1"/>
  <c r="DQ35" i="24"/>
  <c r="CU35" i="24"/>
  <c r="CV35" i="24" s="1"/>
  <c r="CY35" i="24"/>
  <c r="CW35" i="24"/>
  <c r="CX35" i="24" s="1"/>
  <c r="ES23" i="24"/>
  <c r="EV23" i="24" s="1"/>
  <c r="DQ23" i="24"/>
  <c r="CY23" i="24"/>
  <c r="CW23" i="24"/>
  <c r="CX23" i="24" s="1"/>
  <c r="CL23" i="24"/>
  <c r="CU23" i="24"/>
  <c r="CV23" i="24" s="1"/>
  <c r="ES13" i="24"/>
  <c r="EV13" i="24" s="1"/>
  <c r="CL13" i="24"/>
  <c r="CW13" i="24"/>
  <c r="CX13" i="24" s="1"/>
  <c r="CY13" i="24"/>
  <c r="CU13" i="24"/>
  <c r="CV13" i="24" s="1"/>
  <c r="DQ13" i="24"/>
  <c r="CU51" i="24"/>
  <c r="CV51" i="24" s="1"/>
  <c r="CY51" i="24"/>
  <c r="CW51" i="24"/>
  <c r="CX51" i="24" s="1"/>
  <c r="CL51" i="24"/>
  <c r="ES51" i="24"/>
  <c r="EV51" i="24" s="1"/>
  <c r="DQ51" i="24"/>
  <c r="CL85" i="24"/>
  <c r="CW85" i="24"/>
  <c r="CX85" i="24" s="1"/>
  <c r="ES85" i="24"/>
  <c r="EV85" i="24" s="1"/>
  <c r="DQ85" i="24"/>
  <c r="CY85" i="24"/>
  <c r="CU85" i="24"/>
  <c r="CV85" i="24" s="1"/>
  <c r="CU63" i="24"/>
  <c r="CV63" i="24" s="1"/>
  <c r="DQ63" i="24"/>
  <c r="CW63" i="24"/>
  <c r="CX63" i="24" s="1"/>
  <c r="CL63" i="24"/>
  <c r="ES63" i="24"/>
  <c r="EV63" i="24" s="1"/>
  <c r="CY63" i="24"/>
  <c r="ES137" i="24"/>
  <c r="EV137" i="24" s="1"/>
  <c r="CW137" i="24"/>
  <c r="CX137" i="24" s="1"/>
  <c r="CL137" i="24"/>
  <c r="DQ137" i="24"/>
  <c r="CY137" i="24"/>
  <c r="CU137" i="24"/>
  <c r="DQ68" i="24"/>
  <c r="CL68" i="24"/>
  <c r="CW68" i="24"/>
  <c r="CX68" i="24" s="1"/>
  <c r="CU68" i="24"/>
  <c r="CV68" i="24" s="1"/>
  <c r="ES68" i="24"/>
  <c r="EV68" i="24" s="1"/>
  <c r="CY68" i="24"/>
  <c r="DQ159" i="24"/>
  <c r="CW159" i="24"/>
  <c r="CX159" i="24" s="1"/>
  <c r="CY159" i="24"/>
  <c r="CU159" i="24"/>
  <c r="ES159" i="24"/>
  <c r="EV159" i="24" s="1"/>
  <c r="CL159" i="24"/>
  <c r="ES32" i="24"/>
  <c r="EV32" i="24" s="1"/>
  <c r="CL32" i="24"/>
  <c r="DQ32" i="24"/>
  <c r="CW32" i="24"/>
  <c r="CX32" i="24" s="1"/>
  <c r="CY32" i="24"/>
  <c r="CU32" i="24"/>
  <c r="CV32" i="24" s="1"/>
  <c r="DQ78" i="24"/>
  <c r="CW78" i="24"/>
  <c r="CX78" i="24" s="1"/>
  <c r="CU78" i="24"/>
  <c r="CV78" i="24" s="1"/>
  <c r="CL78" i="24"/>
  <c r="ES78" i="24"/>
  <c r="EV78" i="24" s="1"/>
  <c r="CY78" i="24"/>
  <c r="ES144" i="24"/>
  <c r="EV144" i="24" s="1"/>
  <c r="CW144" i="24"/>
  <c r="CX144" i="24" s="1"/>
  <c r="CL144" i="24"/>
  <c r="CU144" i="24"/>
  <c r="DQ144" i="24"/>
  <c r="CY144" i="24"/>
  <c r="DQ121" i="24"/>
  <c r="ES121" i="24"/>
  <c r="EV121" i="24" s="1"/>
  <c r="CU121" i="24"/>
  <c r="CY121" i="24"/>
  <c r="CW121" i="24"/>
  <c r="CX121" i="24" s="1"/>
  <c r="CL121" i="24"/>
  <c r="ES165" i="24"/>
  <c r="EV165" i="24" s="1"/>
  <c r="CU165" i="24"/>
  <c r="CY165" i="24"/>
  <c r="CL165" i="24"/>
  <c r="CW165" i="24"/>
  <c r="CX165" i="24" s="1"/>
  <c r="DQ165" i="24"/>
  <c r="CL135" i="24"/>
  <c r="ES135" i="24"/>
  <c r="EV135" i="24" s="1"/>
  <c r="DQ135" i="24"/>
  <c r="CY135" i="24"/>
  <c r="CW135" i="24"/>
  <c r="CX135" i="24" s="1"/>
  <c r="CU135" i="24"/>
  <c r="DQ100" i="24"/>
  <c r="CL100" i="24"/>
  <c r="ES100" i="24"/>
  <c r="EV100" i="24" s="1"/>
  <c r="CU100" i="24"/>
  <c r="CV100" i="24" s="1"/>
  <c r="CY100" i="24"/>
  <c r="CW100" i="24"/>
  <c r="CX100" i="24" s="1"/>
  <c r="CL160" i="24"/>
  <c r="ES160" i="24"/>
  <c r="EV160" i="24" s="1"/>
  <c r="CU160" i="24"/>
  <c r="DQ160" i="24"/>
  <c r="CW160" i="24"/>
  <c r="CX160" i="24" s="1"/>
  <c r="CY160" i="24"/>
  <c r="CY101" i="24"/>
  <c r="CU101" i="24"/>
  <c r="CV101" i="24" s="1"/>
  <c r="DQ101" i="24"/>
  <c r="ES101" i="24"/>
  <c r="EV101" i="24" s="1"/>
  <c r="CL101" i="24"/>
  <c r="CW101" i="24"/>
  <c r="CX101" i="24" s="1"/>
  <c r="DQ184" i="24"/>
  <c r="ES184" i="24"/>
  <c r="EV184" i="24" s="1"/>
  <c r="CL184" i="24"/>
  <c r="CU184" i="24"/>
  <c r="CW184" i="24"/>
  <c r="CX184" i="24" s="1"/>
  <c r="CY184" i="24"/>
  <c r="CZ184" i="24" s="1"/>
  <c r="CU131" i="24"/>
  <c r="CL131" i="24"/>
  <c r="CY131" i="24"/>
  <c r="DQ131" i="24"/>
  <c r="ES131" i="24"/>
  <c r="EV131" i="24" s="1"/>
  <c r="CW131" i="24"/>
  <c r="CX131" i="24" s="1"/>
  <c r="DQ181" i="24"/>
  <c r="CW181" i="24"/>
  <c r="CX181" i="24" s="1"/>
  <c r="CY181" i="24"/>
  <c r="ES181" i="24"/>
  <c r="EV181" i="24" s="1"/>
  <c r="CL181" i="24"/>
  <c r="CU181" i="24"/>
  <c r="CL220" i="24"/>
  <c r="DQ220" i="24"/>
  <c r="CY220" i="24"/>
  <c r="CW220" i="24"/>
  <c r="CX220" i="24" s="1"/>
  <c r="CU220" i="24"/>
  <c r="DQ288" i="24"/>
  <c r="CY288" i="24"/>
  <c r="CL288" i="24"/>
  <c r="CU288" i="24"/>
  <c r="CW288" i="24"/>
  <c r="CX288" i="24" s="1"/>
  <c r="CY270" i="24"/>
  <c r="DQ270" i="24"/>
  <c r="CL270" i="24"/>
  <c r="CU270" i="24"/>
  <c r="CW270" i="24"/>
  <c r="CX270" i="24" s="1"/>
  <c r="CL197" i="24"/>
  <c r="CW197" i="24"/>
  <c r="CX197" i="24" s="1"/>
  <c r="ES197" i="24"/>
  <c r="EV197" i="24" s="1"/>
  <c r="DQ197" i="24"/>
  <c r="CY197" i="24"/>
  <c r="CU197" i="24"/>
  <c r="CW261" i="24"/>
  <c r="CX261" i="24" s="1"/>
  <c r="CY261" i="24"/>
  <c r="CZ261" i="24" s="1"/>
  <c r="DQ261" i="24"/>
  <c r="CL261" i="24"/>
  <c r="CU261" i="24"/>
  <c r="CW303" i="24"/>
  <c r="CX303" i="24" s="1"/>
  <c r="DQ303" i="24"/>
  <c r="CL303" i="24"/>
  <c r="CY303" i="24"/>
  <c r="CU303" i="24"/>
  <c r="CL231" i="24"/>
  <c r="CU231" i="24"/>
  <c r="CY231" i="24"/>
  <c r="DQ231" i="24"/>
  <c r="CW231" i="24"/>
  <c r="CX231" i="24" s="1"/>
  <c r="CL273" i="24"/>
  <c r="CW273" i="24"/>
  <c r="CX273" i="24" s="1"/>
  <c r="DQ273" i="24"/>
  <c r="CY273" i="24"/>
  <c r="CU273" i="24"/>
  <c r="CL247" i="24"/>
  <c r="DQ247" i="24"/>
  <c r="CW247" i="24"/>
  <c r="CX247" i="24" s="1"/>
  <c r="CY247" i="24"/>
  <c r="CU247" i="24"/>
  <c r="CL304" i="24"/>
  <c r="DQ304" i="24"/>
  <c r="CW304" i="24"/>
  <c r="CX304" i="24" s="1"/>
  <c r="CY304" i="24"/>
  <c r="CU304" i="24"/>
  <c r="DQ199" i="24"/>
  <c r="CW199" i="24"/>
  <c r="CX199" i="24" s="1"/>
  <c r="CL199" i="24"/>
  <c r="ES199" i="24"/>
  <c r="EV199" i="24" s="1"/>
  <c r="CY199" i="24"/>
  <c r="CU199" i="24"/>
  <c r="CW252" i="24"/>
  <c r="CX252" i="24" s="1"/>
  <c r="CL252" i="24"/>
  <c r="CU252" i="24"/>
  <c r="DQ252" i="24"/>
  <c r="CY252" i="24"/>
  <c r="CL269" i="24"/>
  <c r="DQ269" i="24"/>
  <c r="CW269" i="24"/>
  <c r="CX269" i="24" s="1"/>
  <c r="CU269" i="24"/>
  <c r="CY269" i="24"/>
  <c r="ES46" i="24"/>
  <c r="EV46" i="24" s="1"/>
  <c r="DQ46" i="24"/>
  <c r="CU46" i="24"/>
  <c r="CV46" i="24" s="1"/>
  <c r="CW46" i="24"/>
  <c r="CX46" i="24" s="1"/>
  <c r="CL46" i="24"/>
  <c r="CY46" i="24"/>
  <c r="CL16" i="24"/>
  <c r="ES16" i="24"/>
  <c r="EV16" i="24" s="1"/>
  <c r="DQ16" i="24"/>
  <c r="CW16" i="24"/>
  <c r="CX16" i="24" s="1"/>
  <c r="CY16" i="24"/>
  <c r="CU16" i="24"/>
  <c r="CV16" i="24" s="1"/>
  <c r="ES65" i="24"/>
  <c r="EV65" i="24" s="1"/>
  <c r="DQ65" i="24"/>
  <c r="CY65" i="24"/>
  <c r="CZ65" i="24" s="1"/>
  <c r="CL65" i="24"/>
  <c r="CW65" i="24"/>
  <c r="CX65" i="24" s="1"/>
  <c r="CU65" i="24"/>
  <c r="CV65" i="24" s="1"/>
  <c r="CL24" i="24"/>
  <c r="ES24" i="24"/>
  <c r="EV24" i="24" s="1"/>
  <c r="DQ24" i="24"/>
  <c r="CW24" i="24"/>
  <c r="CX24" i="24" s="1"/>
  <c r="CY24" i="24"/>
  <c r="CU24" i="24"/>
  <c r="CV24" i="24" s="1"/>
  <c r="DQ25" i="24"/>
  <c r="ES25" i="24"/>
  <c r="EV25" i="24" s="1"/>
  <c r="CW25" i="24"/>
  <c r="CX25" i="24" s="1"/>
  <c r="CL25" i="24"/>
  <c r="CY25" i="24"/>
  <c r="CU25" i="24"/>
  <c r="CV25" i="24" s="1"/>
  <c r="CL8" i="24"/>
  <c r="ES8" i="24"/>
  <c r="EV8" i="24" s="1"/>
  <c r="DQ8" i="24"/>
  <c r="CW8" i="24"/>
  <c r="CX8" i="24" s="1"/>
  <c r="CY8" i="24"/>
  <c r="CU8" i="24"/>
  <c r="CV8" i="24" s="1"/>
  <c r="DQ54" i="24"/>
  <c r="CY54" i="24"/>
  <c r="CL54" i="24"/>
  <c r="CU54" i="24"/>
  <c r="CV54" i="24" s="1"/>
  <c r="ES54" i="24"/>
  <c r="EV54" i="24" s="1"/>
  <c r="CW54" i="24"/>
  <c r="CX54" i="24" s="1"/>
  <c r="CL90" i="24"/>
  <c r="CW90" i="24"/>
  <c r="CX90" i="24" s="1"/>
  <c r="ES90" i="24"/>
  <c r="EV90" i="24" s="1"/>
  <c r="DQ90" i="24"/>
  <c r="CU90" i="24"/>
  <c r="CV90" i="24" s="1"/>
  <c r="CY90" i="24"/>
  <c r="DQ93" i="24"/>
  <c r="ES93" i="24"/>
  <c r="EV93" i="24" s="1"/>
  <c r="CY93" i="24"/>
  <c r="CL93" i="24"/>
  <c r="CW93" i="24"/>
  <c r="CX93" i="24" s="1"/>
  <c r="CU93" i="24"/>
  <c r="CV93" i="24" s="1"/>
  <c r="DQ149" i="24"/>
  <c r="CY149" i="24"/>
  <c r="CU149" i="24"/>
  <c r="CW149" i="24"/>
  <c r="CX149" i="24" s="1"/>
  <c r="ES149" i="24"/>
  <c r="EV149" i="24" s="1"/>
  <c r="CL149" i="24"/>
  <c r="CL76" i="24"/>
  <c r="ES76" i="24"/>
  <c r="EV76" i="24" s="1"/>
  <c r="CY76" i="24"/>
  <c r="CZ76" i="24" s="1"/>
  <c r="CW76" i="24"/>
  <c r="CX76" i="24" s="1"/>
  <c r="DQ76" i="24"/>
  <c r="CU76" i="24"/>
  <c r="CV76" i="24" s="1"/>
  <c r="DQ163" i="24"/>
  <c r="ES163" i="24"/>
  <c r="EV163" i="24" s="1"/>
  <c r="CL163" i="24"/>
  <c r="CW163" i="24"/>
  <c r="CX163" i="24" s="1"/>
  <c r="CY163" i="24"/>
  <c r="CZ163" i="24" s="1"/>
  <c r="CU163" i="24"/>
  <c r="ES33" i="24"/>
  <c r="EV33" i="24" s="1"/>
  <c r="DQ33" i="24"/>
  <c r="CY33" i="24"/>
  <c r="CL33" i="24"/>
  <c r="CW33" i="24"/>
  <c r="CX33" i="24" s="1"/>
  <c r="CU33" i="24"/>
  <c r="CV33" i="24" s="1"/>
  <c r="DQ80" i="24"/>
  <c r="CW80" i="24"/>
  <c r="CX80" i="24" s="1"/>
  <c r="ES80" i="24"/>
  <c r="EV80" i="24" s="1"/>
  <c r="CU80" i="24"/>
  <c r="CV80" i="24" s="1"/>
  <c r="CL80" i="24"/>
  <c r="CY80" i="24"/>
  <c r="ES155" i="24"/>
  <c r="EV155" i="24" s="1"/>
  <c r="DQ155" i="24"/>
  <c r="CL155" i="24"/>
  <c r="CW155" i="24"/>
  <c r="CX155" i="24" s="1"/>
  <c r="CY155" i="24"/>
  <c r="CU155" i="24"/>
  <c r="DQ126" i="24"/>
  <c r="CW126" i="24"/>
  <c r="CX126" i="24" s="1"/>
  <c r="CL126" i="24"/>
  <c r="ES126" i="24"/>
  <c r="EV126" i="24" s="1"/>
  <c r="CU126" i="24"/>
  <c r="CY126" i="24"/>
  <c r="CW173" i="24"/>
  <c r="CX173" i="24" s="1"/>
  <c r="CL173" i="24"/>
  <c r="ES173" i="24"/>
  <c r="EV173" i="24" s="1"/>
  <c r="DQ173" i="24"/>
  <c r="CY173" i="24"/>
  <c r="CU173" i="24"/>
  <c r="CY147" i="24"/>
  <c r="CU147" i="24"/>
  <c r="DQ147" i="24"/>
  <c r="CW147" i="24"/>
  <c r="CX147" i="24" s="1"/>
  <c r="ES147" i="24"/>
  <c r="EV147" i="24" s="1"/>
  <c r="CL147" i="24"/>
  <c r="ES102" i="24"/>
  <c r="EV102" i="24" s="1"/>
  <c r="CL102" i="24"/>
  <c r="DQ102" i="24"/>
  <c r="CW102" i="24"/>
  <c r="CX102" i="24" s="1"/>
  <c r="CY102" i="24"/>
  <c r="CU102" i="24"/>
  <c r="CV102" i="24" s="1"/>
  <c r="DQ169" i="24"/>
  <c r="CW169" i="24"/>
  <c r="CX169" i="24" s="1"/>
  <c r="CL169" i="24"/>
  <c r="ES169" i="24"/>
  <c r="EV169" i="24" s="1"/>
  <c r="CY169" i="24"/>
  <c r="CU169" i="24"/>
  <c r="CL105" i="24"/>
  <c r="ES105" i="24"/>
  <c r="EV105" i="24" s="1"/>
  <c r="DQ105" i="24"/>
  <c r="CW105" i="24"/>
  <c r="CX105" i="24" s="1"/>
  <c r="CY105" i="24"/>
  <c r="CU105" i="24"/>
  <c r="CV105" i="24" s="1"/>
  <c r="DQ186" i="24"/>
  <c r="CW186" i="24"/>
  <c r="CX186" i="24" s="1"/>
  <c r="CL186" i="24"/>
  <c r="ES186" i="24"/>
  <c r="EV186" i="24" s="1"/>
  <c r="CY186" i="24"/>
  <c r="CU186" i="24"/>
  <c r="DQ134" i="24"/>
  <c r="CL134" i="24"/>
  <c r="CW134" i="24"/>
  <c r="CX134" i="24" s="1"/>
  <c r="CY134" i="24"/>
  <c r="ES134" i="24"/>
  <c r="EV134" i="24" s="1"/>
  <c r="CU134" i="24"/>
  <c r="ES183" i="24"/>
  <c r="EV183" i="24" s="1"/>
  <c r="DQ183" i="24"/>
  <c r="CY183" i="24"/>
  <c r="CL183" i="24"/>
  <c r="CW183" i="24"/>
  <c r="CX183" i="24" s="1"/>
  <c r="CU183" i="24"/>
  <c r="DQ230" i="24"/>
  <c r="CW230" i="24"/>
  <c r="CX230" i="24" s="1"/>
  <c r="CL230" i="24"/>
  <c r="CY230" i="24"/>
  <c r="CU230" i="24"/>
  <c r="DQ312" i="24"/>
  <c r="CL312" i="24"/>
  <c r="CY312" i="24"/>
  <c r="CW312" i="24"/>
  <c r="CX312" i="24" s="1"/>
  <c r="CU312" i="24"/>
  <c r="CL275" i="24"/>
  <c r="DQ275" i="24"/>
  <c r="CW275" i="24"/>
  <c r="CX275" i="24" s="1"/>
  <c r="CU275" i="24"/>
  <c r="CY275" i="24"/>
  <c r="ES210" i="24"/>
  <c r="EV210" i="24" s="1"/>
  <c r="CW210" i="24"/>
  <c r="CX210" i="24" s="1"/>
  <c r="CY210" i="24"/>
  <c r="CU210" i="24"/>
  <c r="CL210" i="24"/>
  <c r="DQ210" i="24"/>
  <c r="DQ265" i="24"/>
  <c r="CL265" i="24"/>
  <c r="CU265" i="24"/>
  <c r="CW265" i="24"/>
  <c r="CX265" i="24" s="1"/>
  <c r="CY265" i="24"/>
  <c r="DQ305" i="24"/>
  <c r="CW305" i="24"/>
  <c r="CX305" i="24" s="1"/>
  <c r="CY305" i="24"/>
  <c r="CZ305" i="24" s="1"/>
  <c r="CL305" i="24"/>
  <c r="CU305" i="24"/>
  <c r="DQ241" i="24"/>
  <c r="CW241" i="24"/>
  <c r="CX241" i="24" s="1"/>
  <c r="CL241" i="24"/>
  <c r="CU241" i="24"/>
  <c r="CY241" i="24"/>
  <c r="CL292" i="24"/>
  <c r="DQ292" i="24"/>
  <c r="CY292" i="24"/>
  <c r="CW292" i="24"/>
  <c r="CX292" i="24" s="1"/>
  <c r="CU292" i="24"/>
  <c r="CY248" i="24"/>
  <c r="CZ248" i="24" s="1"/>
  <c r="DQ248" i="24"/>
  <c r="CU248" i="24"/>
  <c r="CW248" i="24"/>
  <c r="CX248" i="24" s="1"/>
  <c r="CL248" i="24"/>
  <c r="CL308" i="24"/>
  <c r="DQ308" i="24"/>
  <c r="CU308" i="24"/>
  <c r="CY308" i="24"/>
  <c r="CW308" i="24"/>
  <c r="CX308" i="24" s="1"/>
  <c r="ES202" i="24"/>
  <c r="EV202" i="24" s="1"/>
  <c r="DQ202" i="24"/>
  <c r="CW202" i="24"/>
  <c r="CX202" i="24" s="1"/>
  <c r="CL202" i="24"/>
  <c r="CU202" i="24"/>
  <c r="CY202" i="24"/>
  <c r="CZ202" i="24" s="1"/>
  <c r="DQ254" i="24"/>
  <c r="CW254" i="24"/>
  <c r="CX254" i="24" s="1"/>
  <c r="CL254" i="24"/>
  <c r="CY254" i="24"/>
  <c r="CU254" i="24"/>
  <c r="CU274" i="24"/>
  <c r="CL274" i="24"/>
  <c r="CW274" i="24"/>
  <c r="CX274" i="24" s="1"/>
  <c r="DQ274" i="24"/>
  <c r="CY274" i="24"/>
  <c r="ES22" i="24"/>
  <c r="EV22" i="24" s="1"/>
  <c r="DQ22" i="24"/>
  <c r="CW22" i="24"/>
  <c r="CX22" i="24" s="1"/>
  <c r="CY22" i="24"/>
  <c r="CU22" i="24"/>
  <c r="CV22" i="24" s="1"/>
  <c r="CL22" i="24"/>
  <c r="ES50" i="24"/>
  <c r="EV50" i="24" s="1"/>
  <c r="CL50" i="24"/>
  <c r="CU50" i="24"/>
  <c r="CV50" i="24" s="1"/>
  <c r="CW50" i="24"/>
  <c r="CX50" i="24" s="1"/>
  <c r="DQ50" i="24"/>
  <c r="CY50" i="24"/>
  <c r="CZ50" i="24" s="1"/>
  <c r="CW48" i="24"/>
  <c r="CX48" i="24" s="1"/>
  <c r="DQ48" i="24"/>
  <c r="ES48" i="24"/>
  <c r="EV48" i="24" s="1"/>
  <c r="CL48" i="24"/>
  <c r="CY48" i="24"/>
  <c r="CU48" i="24"/>
  <c r="CV48" i="24" s="1"/>
  <c r="DQ67" i="24"/>
  <c r="ES67" i="24"/>
  <c r="EV67" i="24" s="1"/>
  <c r="CL67" i="24"/>
  <c r="CW67" i="24"/>
  <c r="CX67" i="24" s="1"/>
  <c r="CY67" i="24"/>
  <c r="CU67" i="24"/>
  <c r="CV67" i="24" s="1"/>
  <c r="CL27" i="24"/>
  <c r="CU27" i="24"/>
  <c r="CV27" i="24" s="1"/>
  <c r="CW27" i="24"/>
  <c r="CX27" i="24" s="1"/>
  <c r="DQ27" i="24"/>
  <c r="ES27" i="24"/>
  <c r="EV27" i="24" s="1"/>
  <c r="CY27" i="24"/>
  <c r="CL55" i="24"/>
  <c r="CW55" i="24"/>
  <c r="CX55" i="24" s="1"/>
  <c r="ES55" i="24"/>
  <c r="EV55" i="24" s="1"/>
  <c r="CY55" i="24"/>
  <c r="DQ55" i="24"/>
  <c r="CU55" i="24"/>
  <c r="CV55" i="24" s="1"/>
  <c r="CU19" i="24"/>
  <c r="CV19" i="24" s="1"/>
  <c r="CL19" i="24"/>
  <c r="CY19" i="24"/>
  <c r="ES19" i="24"/>
  <c r="EV19" i="24" s="1"/>
  <c r="DQ19" i="24"/>
  <c r="CW19" i="24"/>
  <c r="CX19" i="24" s="1"/>
  <c r="CL56" i="24"/>
  <c r="ES56" i="24"/>
  <c r="EV56" i="24" s="1"/>
  <c r="CY56" i="24"/>
  <c r="CW56" i="24"/>
  <c r="CX56" i="24" s="1"/>
  <c r="DQ56" i="24"/>
  <c r="CU56" i="24"/>
  <c r="CV56" i="24" s="1"/>
  <c r="ES7" i="24"/>
  <c r="EV7" i="24" s="1"/>
  <c r="CL7" i="24"/>
  <c r="DQ7" i="24"/>
  <c r="CW7" i="24"/>
  <c r="CX7" i="24" s="1"/>
  <c r="CY7" i="24"/>
  <c r="CU7" i="24"/>
  <c r="CV7" i="24" s="1"/>
  <c r="DQ97" i="24"/>
  <c r="CL97" i="24"/>
  <c r="ES97" i="24"/>
  <c r="EV97" i="24" s="1"/>
  <c r="CW97" i="24"/>
  <c r="CX97" i="24" s="1"/>
  <c r="CY97" i="24"/>
  <c r="CU97" i="24"/>
  <c r="CV97" i="24" s="1"/>
  <c r="ES152" i="24"/>
  <c r="EV152" i="24" s="1"/>
  <c r="CU152" i="24"/>
  <c r="CY152" i="24"/>
  <c r="CW152" i="24"/>
  <c r="CX152" i="24" s="1"/>
  <c r="CL152" i="24"/>
  <c r="DQ152" i="24"/>
  <c r="ES88" i="24"/>
  <c r="EV88" i="24" s="1"/>
  <c r="CU88" i="24"/>
  <c r="CV88" i="24" s="1"/>
  <c r="CL88" i="24"/>
  <c r="CW88" i="24"/>
  <c r="CX88" i="24" s="1"/>
  <c r="DQ88" i="24"/>
  <c r="CY88" i="24"/>
  <c r="DQ170" i="24"/>
  <c r="CL170" i="24"/>
  <c r="CW170" i="24"/>
  <c r="CX170" i="24" s="1"/>
  <c r="CU170" i="24"/>
  <c r="ES170" i="24"/>
  <c r="EV170" i="24" s="1"/>
  <c r="CY170" i="24"/>
  <c r="ES37" i="24"/>
  <c r="EV37" i="24" s="1"/>
  <c r="CL37" i="24"/>
  <c r="CY37" i="24"/>
  <c r="CW37" i="24"/>
  <c r="CX37" i="24" s="1"/>
  <c r="DQ37" i="24"/>
  <c r="CU37" i="24"/>
  <c r="CV37" i="24" s="1"/>
  <c r="ES82" i="24"/>
  <c r="EV82" i="24" s="1"/>
  <c r="DQ82" i="24"/>
  <c r="CL82" i="24"/>
  <c r="CY82" i="24"/>
  <c r="CW82" i="24"/>
  <c r="CX82" i="24" s="1"/>
  <c r="CU82" i="24"/>
  <c r="CV82" i="24" s="1"/>
  <c r="ES166" i="24"/>
  <c r="EV166" i="24" s="1"/>
  <c r="DQ166" i="24"/>
  <c r="CL166" i="24"/>
  <c r="CW166" i="24"/>
  <c r="CX166" i="24" s="1"/>
  <c r="CY166" i="24"/>
  <c r="CU166" i="24"/>
  <c r="DQ129" i="24"/>
  <c r="CW129" i="24"/>
  <c r="CX129" i="24" s="1"/>
  <c r="CL129" i="24"/>
  <c r="ES129" i="24"/>
  <c r="EV129" i="24" s="1"/>
  <c r="CU129" i="24"/>
  <c r="CY129" i="24"/>
  <c r="ES182" i="24"/>
  <c r="EV182" i="24" s="1"/>
  <c r="DQ182" i="24"/>
  <c r="CL182" i="24"/>
  <c r="CW182" i="24"/>
  <c r="CX182" i="24" s="1"/>
  <c r="CU182" i="24"/>
  <c r="CY182" i="24"/>
  <c r="DQ154" i="24"/>
  <c r="CL154" i="24"/>
  <c r="CW154" i="24"/>
  <c r="CX154" i="24" s="1"/>
  <c r="CY154" i="24"/>
  <c r="ES154" i="24"/>
  <c r="EV154" i="24" s="1"/>
  <c r="CU154" i="24"/>
  <c r="ES104" i="24"/>
  <c r="EV104" i="24" s="1"/>
  <c r="DQ104" i="24"/>
  <c r="CW104" i="24"/>
  <c r="CX104" i="24" s="1"/>
  <c r="CY104" i="24"/>
  <c r="CL104" i="24"/>
  <c r="CU104" i="24"/>
  <c r="CV104" i="24" s="1"/>
  <c r="CY175" i="24"/>
  <c r="DQ175" i="24"/>
  <c r="CW175" i="24"/>
  <c r="CX175" i="24" s="1"/>
  <c r="ES175" i="24"/>
  <c r="EV175" i="24" s="1"/>
  <c r="CL175" i="24"/>
  <c r="CU175" i="24"/>
  <c r="DQ112" i="24"/>
  <c r="CW112" i="24"/>
  <c r="CX112" i="24" s="1"/>
  <c r="ES112" i="24"/>
  <c r="EV112" i="24" s="1"/>
  <c r="CL112" i="24"/>
  <c r="CY112" i="24"/>
  <c r="CU112" i="24"/>
  <c r="DQ228" i="24"/>
  <c r="CL228" i="24"/>
  <c r="CW228" i="24"/>
  <c r="CX228" i="24" s="1"/>
  <c r="CY228" i="24"/>
  <c r="CU228" i="24"/>
  <c r="DQ143" i="24"/>
  <c r="CL143" i="24"/>
  <c r="CW143" i="24"/>
  <c r="CX143" i="24" s="1"/>
  <c r="ES143" i="24"/>
  <c r="EV143" i="24" s="1"/>
  <c r="CU143" i="24"/>
  <c r="CY143" i="24"/>
  <c r="DQ243" i="24"/>
  <c r="CW243" i="24"/>
  <c r="CX243" i="24" s="1"/>
  <c r="CL243" i="24"/>
  <c r="CU243" i="24"/>
  <c r="CY243" i="24"/>
  <c r="DQ235" i="24"/>
  <c r="CL235" i="24"/>
  <c r="CY235" i="24"/>
  <c r="CW235" i="24"/>
  <c r="CX235" i="24" s="1"/>
  <c r="CU235" i="24"/>
  <c r="CL191" i="24"/>
  <c r="CU191" i="24"/>
  <c r="CY191" i="24"/>
  <c r="ES191" i="24"/>
  <c r="EV191" i="24" s="1"/>
  <c r="CW191" i="24"/>
  <c r="CX191" i="24" s="1"/>
  <c r="DQ191" i="24"/>
  <c r="DQ279" i="24"/>
  <c r="CL279" i="24"/>
  <c r="CW279" i="24"/>
  <c r="CX279" i="24" s="1"/>
  <c r="CU279" i="24"/>
  <c r="CY279" i="24"/>
  <c r="DQ222" i="24"/>
  <c r="CW222" i="24"/>
  <c r="CX222" i="24" s="1"/>
  <c r="CL222" i="24"/>
  <c r="CY222" i="24"/>
  <c r="CU222" i="24"/>
  <c r="CL276" i="24"/>
  <c r="CY276" i="24"/>
  <c r="CZ276" i="24" s="1"/>
  <c r="CW276" i="24"/>
  <c r="CX276" i="24" s="1"/>
  <c r="DQ276" i="24"/>
  <c r="CU276" i="24"/>
  <c r="ES185" i="24"/>
  <c r="EV185" i="24" s="1"/>
  <c r="CL185" i="24"/>
  <c r="CW185" i="24"/>
  <c r="CX185" i="24" s="1"/>
  <c r="DQ185" i="24"/>
  <c r="CU185" i="24"/>
  <c r="CY185" i="24"/>
  <c r="CL245" i="24"/>
  <c r="CY245" i="24"/>
  <c r="CZ245" i="24" s="1"/>
  <c r="DQ245" i="24"/>
  <c r="CW245" i="24"/>
  <c r="CX245" i="24" s="1"/>
  <c r="CU245" i="24"/>
  <c r="CU293" i="24"/>
  <c r="CW293" i="24"/>
  <c r="CX293" i="24" s="1"/>
  <c r="DQ293" i="24"/>
  <c r="CL293" i="24"/>
  <c r="CY293" i="24"/>
  <c r="CL262" i="24"/>
  <c r="DQ262" i="24"/>
  <c r="CW262" i="24"/>
  <c r="CX262" i="24" s="1"/>
  <c r="CU262" i="24"/>
  <c r="CY262" i="24"/>
  <c r="CL311" i="24"/>
  <c r="DQ311" i="24"/>
  <c r="CY311" i="24"/>
  <c r="CW311" i="24"/>
  <c r="CX311" i="24" s="1"/>
  <c r="CU311" i="24"/>
  <c r="ES204" i="24"/>
  <c r="EV204" i="24" s="1"/>
  <c r="CW204" i="24"/>
  <c r="CX204" i="24" s="1"/>
  <c r="CY204" i="24"/>
  <c r="CL204" i="24"/>
  <c r="DQ204" i="24"/>
  <c r="CU204" i="24"/>
  <c r="CL278" i="24"/>
  <c r="DQ278" i="24"/>
  <c r="CW278" i="24"/>
  <c r="CX278" i="24" s="1"/>
  <c r="CY278" i="24"/>
  <c r="CU278" i="24"/>
  <c r="CY280" i="24"/>
  <c r="CL280" i="24"/>
  <c r="CW280" i="24"/>
  <c r="CX280" i="24" s="1"/>
  <c r="CU280" i="24"/>
  <c r="DQ280" i="24"/>
  <c r="ES17" i="24"/>
  <c r="EV17" i="24" s="1"/>
  <c r="CW17" i="24"/>
  <c r="CX17" i="24" s="1"/>
  <c r="DQ17" i="24"/>
  <c r="CL17" i="24"/>
  <c r="CU17" i="24"/>
  <c r="CV17" i="24" s="1"/>
  <c r="CY17" i="24"/>
  <c r="ES57" i="24"/>
  <c r="EV57" i="24" s="1"/>
  <c r="DQ57" i="24"/>
  <c r="CW57" i="24"/>
  <c r="CX57" i="24" s="1"/>
  <c r="CL57" i="24"/>
  <c r="CY57" i="24"/>
  <c r="CU57" i="24"/>
  <c r="CV57" i="24" s="1"/>
  <c r="CL10" i="24"/>
  <c r="ES10" i="24"/>
  <c r="EV10" i="24" s="1"/>
  <c r="CW10" i="24"/>
  <c r="CX10" i="24" s="1"/>
  <c r="DQ10" i="24"/>
  <c r="CU10" i="24"/>
  <c r="CV10" i="24" s="1"/>
  <c r="CY10" i="24"/>
  <c r="DQ84" i="24"/>
  <c r="ES84" i="24"/>
  <c r="EV84" i="24" s="1"/>
  <c r="CU84" i="24"/>
  <c r="CV84" i="24" s="1"/>
  <c r="CW84" i="24"/>
  <c r="CX84" i="24" s="1"/>
  <c r="CL84" i="24"/>
  <c r="CY84" i="24"/>
  <c r="DQ58" i="24"/>
  <c r="ES58" i="24"/>
  <c r="EV58" i="24" s="1"/>
  <c r="CL58" i="24"/>
  <c r="CY58" i="24"/>
  <c r="CU58" i="24"/>
  <c r="CV58" i="24" s="1"/>
  <c r="CW58" i="24"/>
  <c r="CX58" i="24" s="1"/>
  <c r="ES62" i="24"/>
  <c r="EV62" i="24" s="1"/>
  <c r="CL62" i="24"/>
  <c r="CW62" i="24"/>
  <c r="CX62" i="24" s="1"/>
  <c r="CU62" i="24"/>
  <c r="CV62" i="24" s="1"/>
  <c r="CY62" i="24"/>
  <c r="DQ62" i="24"/>
  <c r="ES29" i="24"/>
  <c r="EV29" i="24" s="1"/>
  <c r="CL29" i="24"/>
  <c r="CW29" i="24"/>
  <c r="CX29" i="24" s="1"/>
  <c r="CY29" i="24"/>
  <c r="CU29" i="24"/>
  <c r="CV29" i="24" s="1"/>
  <c r="DQ29" i="24"/>
  <c r="CY60" i="24"/>
  <c r="CW60" i="24"/>
  <c r="CX60" i="24" s="1"/>
  <c r="ES60" i="24"/>
  <c r="EV60" i="24" s="1"/>
  <c r="DQ60" i="24"/>
  <c r="CL60" i="24"/>
  <c r="CU60" i="24"/>
  <c r="CV60" i="24" s="1"/>
  <c r="CY20" i="24"/>
  <c r="CU20" i="24"/>
  <c r="CV20" i="24" s="1"/>
  <c r="CL20" i="24"/>
  <c r="CW20" i="24"/>
  <c r="CX20" i="24" s="1"/>
  <c r="ES20" i="24"/>
  <c r="EV20" i="24" s="1"/>
  <c r="DQ20" i="24"/>
  <c r="DQ103" i="24"/>
  <c r="ES103" i="24"/>
  <c r="EV103" i="24" s="1"/>
  <c r="CL103" i="24"/>
  <c r="CW103" i="24"/>
  <c r="CX103" i="24" s="1"/>
  <c r="CY103" i="24"/>
  <c r="CU103" i="24"/>
  <c r="CV103" i="24" s="1"/>
  <c r="ES156" i="24"/>
  <c r="EV156" i="24" s="1"/>
  <c r="DQ156" i="24"/>
  <c r="CW156" i="24"/>
  <c r="CX156" i="24" s="1"/>
  <c r="CL156" i="24"/>
  <c r="CY156" i="24"/>
  <c r="CU156" i="24"/>
  <c r="CU89" i="24"/>
  <c r="CV89" i="24" s="1"/>
  <c r="DQ89" i="24"/>
  <c r="CL89" i="24"/>
  <c r="ES89" i="24"/>
  <c r="EV89" i="24" s="1"/>
  <c r="CW89" i="24"/>
  <c r="CX89" i="24" s="1"/>
  <c r="CY89" i="24"/>
  <c r="CZ89" i="24" s="1"/>
  <c r="ES193" i="24"/>
  <c r="EV193" i="24" s="1"/>
  <c r="DQ193" i="24"/>
  <c r="CW193" i="24"/>
  <c r="CX193" i="24" s="1"/>
  <c r="CL193" i="24"/>
  <c r="CY193" i="24"/>
  <c r="CU193" i="24"/>
  <c r="ES38" i="24"/>
  <c r="EV38" i="24" s="1"/>
  <c r="DQ38" i="24"/>
  <c r="CW38" i="24"/>
  <c r="CX38" i="24" s="1"/>
  <c r="CU38" i="24"/>
  <c r="CV38" i="24" s="1"/>
  <c r="CY38" i="24"/>
  <c r="CL38" i="24"/>
  <c r="DQ111" i="24"/>
  <c r="CW111" i="24"/>
  <c r="CX111" i="24" s="1"/>
  <c r="ES111" i="24"/>
  <c r="EV111" i="24" s="1"/>
  <c r="CY111" i="24"/>
  <c r="CL111" i="24"/>
  <c r="CU111" i="24"/>
  <c r="ES172" i="24"/>
  <c r="EV172" i="24" s="1"/>
  <c r="CW172" i="24"/>
  <c r="CX172" i="24" s="1"/>
  <c r="CU172" i="24"/>
  <c r="CL172" i="24"/>
  <c r="DQ172" i="24"/>
  <c r="CY172" i="24"/>
  <c r="ES133" i="24"/>
  <c r="EV133" i="24" s="1"/>
  <c r="DQ133" i="24"/>
  <c r="CL133" i="24"/>
  <c r="CW133" i="24"/>
  <c r="CX133" i="24" s="1"/>
  <c r="CY133" i="24"/>
  <c r="CU133" i="24"/>
  <c r="CW242" i="24"/>
  <c r="CX242" i="24" s="1"/>
  <c r="DQ242" i="24"/>
  <c r="CL242" i="24"/>
  <c r="CY242" i="24"/>
  <c r="CU242" i="24"/>
  <c r="ES164" i="24"/>
  <c r="EV164" i="24" s="1"/>
  <c r="CL164" i="24"/>
  <c r="DQ164" i="24"/>
  <c r="CW164" i="24"/>
  <c r="CX164" i="24" s="1"/>
  <c r="CU164" i="24"/>
  <c r="CY164" i="24"/>
  <c r="CL116" i="24"/>
  <c r="ES116" i="24"/>
  <c r="EV116" i="24" s="1"/>
  <c r="CW116" i="24"/>
  <c r="CX116" i="24" s="1"/>
  <c r="DQ116" i="24"/>
  <c r="CY116" i="24"/>
  <c r="CU116" i="24"/>
  <c r="CW194" i="24"/>
  <c r="CX194" i="24" s="1"/>
  <c r="CY194" i="24"/>
  <c r="CZ194" i="24" s="1"/>
  <c r="DQ194" i="24"/>
  <c r="CU194" i="24"/>
  <c r="ES194" i="24"/>
  <c r="EV194" i="24" s="1"/>
  <c r="CL194" i="24"/>
  <c r="CY115" i="24"/>
  <c r="CZ115" i="24" s="1"/>
  <c r="CW115" i="24"/>
  <c r="CX115" i="24" s="1"/>
  <c r="CU115" i="24"/>
  <c r="DQ115" i="24"/>
  <c r="ES115" i="24"/>
  <c r="EV115" i="24" s="1"/>
  <c r="CL115" i="24"/>
  <c r="DQ250" i="24"/>
  <c r="CY250" i="24"/>
  <c r="CZ250" i="24" s="1"/>
  <c r="CW250" i="24"/>
  <c r="CX250" i="24" s="1"/>
  <c r="CL250" i="24"/>
  <c r="CU250" i="24"/>
  <c r="ES150" i="24"/>
  <c r="EV150" i="24" s="1"/>
  <c r="CL150" i="24"/>
  <c r="DQ150" i="24"/>
  <c r="CU150" i="24"/>
  <c r="CW150" i="24"/>
  <c r="CX150" i="24" s="1"/>
  <c r="CY150" i="24"/>
  <c r="DQ291" i="24"/>
  <c r="CL291" i="24"/>
  <c r="CW291" i="24"/>
  <c r="CX291" i="24" s="1"/>
  <c r="CY291" i="24"/>
  <c r="CU291" i="24"/>
  <c r="CL240" i="24"/>
  <c r="CW240" i="24"/>
  <c r="CX240" i="24" s="1"/>
  <c r="DQ240" i="24"/>
  <c r="CY240" i="24"/>
  <c r="CU240" i="24"/>
  <c r="ES192" i="24"/>
  <c r="EV192" i="24" s="1"/>
  <c r="CW192" i="24"/>
  <c r="CX192" i="24" s="1"/>
  <c r="CL192" i="24"/>
  <c r="DQ192" i="24"/>
  <c r="CY192" i="24"/>
  <c r="CU192" i="24"/>
  <c r="DQ286" i="24"/>
  <c r="CY286" i="24"/>
  <c r="CL286" i="24"/>
  <c r="CW286" i="24"/>
  <c r="CX286" i="24" s="1"/>
  <c r="CU286" i="24"/>
  <c r="CL224" i="24"/>
  <c r="DQ224" i="24"/>
  <c r="CW224" i="24"/>
  <c r="CX224" i="24" s="1"/>
  <c r="CU224" i="24"/>
  <c r="CY224" i="24"/>
  <c r="DQ277" i="24"/>
  <c r="CY277" i="24"/>
  <c r="CL277" i="24"/>
  <c r="CW277" i="24"/>
  <c r="CX277" i="24" s="1"/>
  <c r="CU277" i="24"/>
  <c r="CL187" i="24"/>
  <c r="CY187" i="24"/>
  <c r="ES187" i="24"/>
  <c r="EV187" i="24" s="1"/>
  <c r="CU187" i="24"/>
  <c r="CW187" i="24"/>
  <c r="CX187" i="24" s="1"/>
  <c r="DQ187" i="24"/>
  <c r="CY253" i="24"/>
  <c r="DQ253" i="24"/>
  <c r="CW253" i="24"/>
  <c r="CX253" i="24" s="1"/>
  <c r="CL253" i="24"/>
  <c r="CU253" i="24"/>
  <c r="CL200" i="24"/>
  <c r="CW200" i="24"/>
  <c r="CX200" i="24" s="1"/>
  <c r="DQ200" i="24"/>
  <c r="ES200" i="24"/>
  <c r="EV200" i="24" s="1"/>
  <c r="CY200" i="24"/>
  <c r="CU200" i="24"/>
  <c r="CL282" i="24"/>
  <c r="CY282" i="24"/>
  <c r="CU282" i="24"/>
  <c r="CW282" i="24"/>
  <c r="CX282" i="24" s="1"/>
  <c r="DQ282" i="24"/>
  <c r="CW314" i="24"/>
  <c r="CX314" i="24" s="1"/>
  <c r="CU314" i="24"/>
  <c r="CL314" i="24"/>
  <c r="CY314" i="24"/>
  <c r="DQ314" i="24"/>
  <c r="CW205" i="24"/>
  <c r="CX205" i="24" s="1"/>
  <c r="CY205" i="24"/>
  <c r="DQ205" i="24"/>
  <c r="CU205" i="24"/>
  <c r="CL205" i="24"/>
  <c r="ES205" i="24"/>
  <c r="EV205" i="24" s="1"/>
  <c r="CL281" i="24"/>
  <c r="DQ281" i="24"/>
  <c r="CW281" i="24"/>
  <c r="CX281" i="24" s="1"/>
  <c r="CU281" i="24"/>
  <c r="CY281" i="24"/>
  <c r="CU289" i="24"/>
  <c r="CL289" i="24"/>
  <c r="CY289" i="24"/>
  <c r="DQ289" i="24"/>
  <c r="CW289" i="24"/>
  <c r="CX289" i="24" s="1"/>
  <c r="ES30" i="24"/>
  <c r="EV30" i="24" s="1"/>
  <c r="DQ30" i="24"/>
  <c r="CY30" i="24"/>
  <c r="CW30" i="24"/>
  <c r="CX30" i="24" s="1"/>
  <c r="CL30" i="24"/>
  <c r="CU30" i="24"/>
  <c r="CV30" i="24" s="1"/>
  <c r="CY72" i="24"/>
  <c r="ES72" i="24"/>
  <c r="EV72" i="24" s="1"/>
  <c r="DQ72" i="24"/>
  <c r="CW72" i="24"/>
  <c r="CX72" i="24" s="1"/>
  <c r="CL72" i="24"/>
  <c r="CU72" i="24"/>
  <c r="CV72" i="24" s="1"/>
  <c r="CL18" i="24"/>
  <c r="ES18" i="24"/>
  <c r="EV18" i="24" s="1"/>
  <c r="CW18" i="24"/>
  <c r="CX18" i="24" s="1"/>
  <c r="DQ18" i="24"/>
  <c r="CY18" i="24"/>
  <c r="CZ18" i="24" s="1"/>
  <c r="CU18" i="24"/>
  <c r="CV18" i="24" s="1"/>
  <c r="ES52" i="24"/>
  <c r="EV52" i="24" s="1"/>
  <c r="DQ52" i="24"/>
  <c r="CW52" i="24"/>
  <c r="CX52" i="24" s="1"/>
  <c r="CU52" i="24"/>
  <c r="CV52" i="24" s="1"/>
  <c r="CL52" i="24"/>
  <c r="CY52" i="24"/>
  <c r="CZ52" i="24" s="1"/>
  <c r="DQ6" i="24"/>
  <c r="CY6" i="24"/>
  <c r="CU6" i="24"/>
  <c r="CV6" i="24" s="1"/>
  <c r="CL6" i="24"/>
  <c r="CW6" i="24"/>
  <c r="CX6" i="24" s="1"/>
  <c r="ES6" i="24"/>
  <c r="EV6" i="24" s="1"/>
  <c r="ES73" i="24"/>
  <c r="EV73" i="24" s="1"/>
  <c r="DQ73" i="24"/>
  <c r="CU73" i="24"/>
  <c r="CV73" i="24" s="1"/>
  <c r="CW73" i="24"/>
  <c r="CX73" i="24" s="1"/>
  <c r="CY73" i="24"/>
  <c r="CL73" i="24"/>
  <c r="ES14" i="24"/>
  <c r="EV14" i="24" s="1"/>
  <c r="DQ14" i="24"/>
  <c r="CY14" i="24"/>
  <c r="CZ14" i="24" s="1"/>
  <c r="CW14" i="24"/>
  <c r="CX14" i="24" s="1"/>
  <c r="CL14" i="24"/>
  <c r="CU14" i="24"/>
  <c r="CV14" i="24" s="1"/>
  <c r="CL64" i="24"/>
  <c r="DQ64" i="24"/>
  <c r="CY64" i="24"/>
  <c r="CW64" i="24"/>
  <c r="CX64" i="24" s="1"/>
  <c r="ES64" i="24"/>
  <c r="EV64" i="24" s="1"/>
  <c r="CU64" i="24"/>
  <c r="CV64" i="24" s="1"/>
  <c r="CL70" i="24"/>
  <c r="DQ70" i="24"/>
  <c r="CY70" i="24"/>
  <c r="CZ70" i="24" s="1"/>
  <c r="CW70" i="24"/>
  <c r="CX70" i="24" s="1"/>
  <c r="CU70" i="24"/>
  <c r="CV70" i="24" s="1"/>
  <c r="ES70" i="24"/>
  <c r="EV70" i="24" s="1"/>
  <c r="DQ118" i="24"/>
  <c r="CU118" i="24"/>
  <c r="CL118" i="24"/>
  <c r="CY118" i="24"/>
  <c r="CW118" i="24"/>
  <c r="CX118" i="24" s="1"/>
  <c r="ES118" i="24"/>
  <c r="EV118" i="24" s="1"/>
  <c r="DQ162" i="24"/>
  <c r="CL162" i="24"/>
  <c r="CW162" i="24"/>
  <c r="CX162" i="24" s="1"/>
  <c r="CY162" i="24"/>
  <c r="CU162" i="24"/>
  <c r="ES162" i="24"/>
  <c r="EV162" i="24" s="1"/>
  <c r="ES113" i="24"/>
  <c r="EV113" i="24" s="1"/>
  <c r="CU113" i="24"/>
  <c r="CW113" i="24"/>
  <c r="CX113" i="24" s="1"/>
  <c r="DQ113" i="24"/>
  <c r="CL113" i="24"/>
  <c r="CY113" i="24"/>
  <c r="DQ234" i="24"/>
  <c r="CL234" i="24"/>
  <c r="CY234" i="24"/>
  <c r="CW234" i="24"/>
  <c r="CX234" i="24" s="1"/>
  <c r="CU234" i="24"/>
  <c r="ES40" i="24"/>
  <c r="EV40" i="24" s="1"/>
  <c r="DQ40" i="24"/>
  <c r="CY40" i="24"/>
  <c r="CU40" i="24"/>
  <c r="CV40" i="24" s="1"/>
  <c r="CL40" i="24"/>
  <c r="CW40" i="24"/>
  <c r="CX40" i="24" s="1"/>
  <c r="ES136" i="24"/>
  <c r="EV136" i="24" s="1"/>
  <c r="CU136" i="24"/>
  <c r="CL136" i="24"/>
  <c r="DQ136" i="24"/>
  <c r="CW136" i="24"/>
  <c r="CX136" i="24" s="1"/>
  <c r="CY136" i="24"/>
  <c r="CY217" i="24"/>
  <c r="CW217" i="24"/>
  <c r="CX217" i="24" s="1"/>
  <c r="CU217" i="24"/>
  <c r="CL217" i="24"/>
  <c r="DQ217" i="24"/>
  <c r="ES146" i="24"/>
  <c r="EV146" i="24" s="1"/>
  <c r="CL146" i="24"/>
  <c r="DQ146" i="24"/>
  <c r="CW146" i="24"/>
  <c r="CX146" i="24" s="1"/>
  <c r="CU146" i="24"/>
  <c r="CY146" i="24"/>
  <c r="DQ244" i="24"/>
  <c r="CY244" i="24"/>
  <c r="CW244" i="24"/>
  <c r="CX244" i="24" s="1"/>
  <c r="CU244" i="24"/>
  <c r="CL244" i="24"/>
  <c r="DQ177" i="24"/>
  <c r="CW177" i="24"/>
  <c r="CX177" i="24" s="1"/>
  <c r="CY177" i="24"/>
  <c r="CL177" i="24"/>
  <c r="ES177" i="24"/>
  <c r="EV177" i="24" s="1"/>
  <c r="CU177" i="24"/>
  <c r="CY123" i="24"/>
  <c r="CU123" i="24"/>
  <c r="CL123" i="24"/>
  <c r="DQ123" i="24"/>
  <c r="ES123" i="24"/>
  <c r="EV123" i="24" s="1"/>
  <c r="CW123" i="24"/>
  <c r="CX123" i="24" s="1"/>
  <c r="DQ209" i="24"/>
  <c r="CL209" i="24"/>
  <c r="ES209" i="24"/>
  <c r="EV209" i="24" s="1"/>
  <c r="CW209" i="24"/>
  <c r="CX209" i="24" s="1"/>
  <c r="CY209" i="24"/>
  <c r="CU209" i="24"/>
  <c r="CL153" i="24"/>
  <c r="ES153" i="24"/>
  <c r="EV153" i="24" s="1"/>
  <c r="DQ153" i="24"/>
  <c r="CW153" i="24"/>
  <c r="CX153" i="24" s="1"/>
  <c r="CU153" i="24"/>
  <c r="CY153" i="24"/>
  <c r="ES83" i="24"/>
  <c r="EV83" i="24" s="1"/>
  <c r="CL83" i="24"/>
  <c r="DQ83" i="24"/>
  <c r="CW83" i="24"/>
  <c r="CX83" i="24" s="1"/>
  <c r="CY83" i="24"/>
  <c r="CZ83" i="24" s="1"/>
  <c r="CU83" i="24"/>
  <c r="CV83" i="24" s="1"/>
  <c r="ES157" i="24"/>
  <c r="EV157" i="24" s="1"/>
  <c r="CY157" i="24"/>
  <c r="CW157" i="24"/>
  <c r="CX157" i="24" s="1"/>
  <c r="DQ157" i="24"/>
  <c r="CL157" i="24"/>
  <c r="CU157" i="24"/>
  <c r="DQ298" i="24"/>
  <c r="CW298" i="24"/>
  <c r="CX298" i="24" s="1"/>
  <c r="CL298" i="24"/>
  <c r="CU298" i="24"/>
  <c r="CY298" i="24"/>
  <c r="DQ263" i="24"/>
  <c r="CL263" i="24"/>
  <c r="CW263" i="24"/>
  <c r="CX263" i="24" s="1"/>
  <c r="CU263" i="24"/>
  <c r="CY263" i="24"/>
  <c r="CL221" i="24"/>
  <c r="CY221" i="24"/>
  <c r="CU221" i="24"/>
  <c r="CW221" i="24"/>
  <c r="CX221" i="24" s="1"/>
  <c r="DQ221" i="24"/>
  <c r="CW294" i="24"/>
  <c r="CX294" i="24" s="1"/>
  <c r="DQ294" i="24"/>
  <c r="CY294" i="24"/>
  <c r="CL294" i="24"/>
  <c r="CU294" i="24"/>
  <c r="CL226" i="24"/>
  <c r="CW226" i="24"/>
  <c r="CX226" i="24" s="1"/>
  <c r="DQ226" i="24"/>
  <c r="CU226" i="24"/>
  <c r="CY226" i="24"/>
  <c r="CL285" i="24"/>
  <c r="DQ285" i="24"/>
  <c r="CW285" i="24"/>
  <c r="CX285" i="24" s="1"/>
  <c r="CY285" i="24"/>
  <c r="CU285" i="24"/>
  <c r="ES203" i="24"/>
  <c r="EV203" i="24" s="1"/>
  <c r="DQ203" i="24"/>
  <c r="CL203" i="24"/>
  <c r="CW203" i="24"/>
  <c r="CX203" i="24" s="1"/>
  <c r="CY203" i="24"/>
  <c r="CU203" i="24"/>
  <c r="DQ255" i="24"/>
  <c r="CL255" i="24"/>
  <c r="CY255" i="24"/>
  <c r="CU255" i="24"/>
  <c r="CW255" i="24"/>
  <c r="CX255" i="24" s="1"/>
  <c r="ES206" i="24"/>
  <c r="EV206" i="24" s="1"/>
  <c r="CL206" i="24"/>
  <c r="DQ206" i="24"/>
  <c r="CW206" i="24"/>
  <c r="CX206" i="24" s="1"/>
  <c r="CY206" i="24"/>
  <c r="CU206" i="24"/>
  <c r="CL284" i="24"/>
  <c r="CW284" i="24"/>
  <c r="CX284" i="24" s="1"/>
  <c r="CY284" i="24"/>
  <c r="DQ284" i="24"/>
  <c r="CU284" i="24"/>
  <c r="DQ189" i="24"/>
  <c r="CU189" i="24"/>
  <c r="CL189" i="24"/>
  <c r="CY189" i="24"/>
  <c r="CZ189" i="24" s="1"/>
  <c r="CW189" i="24"/>
  <c r="CX189" i="24" s="1"/>
  <c r="ES189" i="24"/>
  <c r="EV189" i="24" s="1"/>
  <c r="DQ236" i="24"/>
  <c r="CL236" i="24"/>
  <c r="CW236" i="24"/>
  <c r="CX236" i="24" s="1"/>
  <c r="CY236" i="24"/>
  <c r="CU236" i="24"/>
  <c r="CL283" i="24"/>
  <c r="DQ283" i="24"/>
  <c r="CW283" i="24"/>
  <c r="CX283" i="24" s="1"/>
  <c r="CY283" i="24"/>
  <c r="CU283" i="24"/>
  <c r="DQ296" i="24"/>
  <c r="CL296" i="24"/>
  <c r="CY296" i="24"/>
  <c r="CW296" i="24"/>
  <c r="CX296" i="24" s="1"/>
  <c r="CU296" i="24"/>
  <c r="DQ15" i="24"/>
  <c r="ES15" i="24"/>
  <c r="EV15" i="24" s="1"/>
  <c r="CL15" i="24"/>
  <c r="CW15" i="24"/>
  <c r="CX15" i="24" s="1"/>
  <c r="CY15" i="24"/>
  <c r="CU15" i="24"/>
  <c r="CV15" i="24" s="1"/>
  <c r="CW86" i="24"/>
  <c r="CX86" i="24" s="1"/>
  <c r="ES86" i="24"/>
  <c r="EV86" i="24" s="1"/>
  <c r="DQ86" i="24"/>
  <c r="CL86" i="24"/>
  <c r="CU86" i="24"/>
  <c r="CV86" i="24" s="1"/>
  <c r="CY86" i="24"/>
  <c r="CW45" i="24"/>
  <c r="CX45" i="24" s="1"/>
  <c r="DQ45" i="24"/>
  <c r="CL45" i="24"/>
  <c r="ES45" i="24"/>
  <c r="EV45" i="24" s="1"/>
  <c r="CY45" i="24"/>
  <c r="CU45" i="24"/>
  <c r="CV45" i="24" s="1"/>
  <c r="ES21" i="24"/>
  <c r="EV21" i="24" s="1"/>
  <c r="CL21" i="24"/>
  <c r="CY21" i="24"/>
  <c r="CW21" i="24"/>
  <c r="CX21" i="24" s="1"/>
  <c r="CU21" i="24"/>
  <c r="CV21" i="24" s="1"/>
  <c r="DQ21" i="24"/>
  <c r="DQ9" i="24"/>
  <c r="CL9" i="24"/>
  <c r="CU9" i="24"/>
  <c r="CV9" i="24" s="1"/>
  <c r="CW9" i="24"/>
  <c r="CX9" i="24" s="1"/>
  <c r="ES9" i="24"/>
  <c r="EV9" i="24" s="1"/>
  <c r="CY9" i="24"/>
  <c r="ES75" i="24"/>
  <c r="EV75" i="24" s="1"/>
  <c r="CL75" i="24"/>
  <c r="DQ75" i="24"/>
  <c r="CW75" i="24"/>
  <c r="CX75" i="24" s="1"/>
  <c r="CY75" i="24"/>
  <c r="CU75" i="24"/>
  <c r="CV75" i="24" s="1"/>
  <c r="DQ36" i="24"/>
  <c r="CU36" i="24"/>
  <c r="CV36" i="24" s="1"/>
  <c r="ES36" i="24"/>
  <c r="EV36" i="24" s="1"/>
  <c r="CW36" i="24"/>
  <c r="CX36" i="24" s="1"/>
  <c r="CL36" i="24"/>
  <c r="CY36" i="24"/>
  <c r="CL66" i="24"/>
  <c r="ES66" i="24"/>
  <c r="EV66" i="24" s="1"/>
  <c r="DQ66" i="24"/>
  <c r="CW66" i="24"/>
  <c r="CX66" i="24" s="1"/>
  <c r="CY66" i="24"/>
  <c r="CU66" i="24"/>
  <c r="CV66" i="24" s="1"/>
  <c r="DQ41" i="24"/>
  <c r="ES41" i="24"/>
  <c r="EV41" i="24" s="1"/>
  <c r="CL41" i="24"/>
  <c r="CW41" i="24"/>
  <c r="CX41" i="24" s="1"/>
  <c r="CY41" i="24"/>
  <c r="CU41" i="24"/>
  <c r="CV41" i="24" s="1"/>
  <c r="DQ119" i="24"/>
  <c r="CY119" i="24"/>
  <c r="CU119" i="24"/>
  <c r="CL119" i="24"/>
  <c r="ES119" i="24"/>
  <c r="EV119" i="24" s="1"/>
  <c r="CW119" i="24"/>
  <c r="CX119" i="24" s="1"/>
  <c r="DQ167" i="24"/>
  <c r="CY167" i="24"/>
  <c r="CW167" i="24"/>
  <c r="CX167" i="24" s="1"/>
  <c r="CU167" i="24"/>
  <c r="ES167" i="24"/>
  <c r="EV167" i="24" s="1"/>
  <c r="CL167" i="24"/>
  <c r="DQ120" i="24"/>
  <c r="ES120" i="24"/>
  <c r="EV120" i="24" s="1"/>
  <c r="CW120" i="24"/>
  <c r="CX120" i="24" s="1"/>
  <c r="CL120" i="24"/>
  <c r="CY120" i="24"/>
  <c r="CU120" i="24"/>
  <c r="DQ258" i="24"/>
  <c r="CW258" i="24"/>
  <c r="CX258" i="24" s="1"/>
  <c r="CL258" i="24"/>
  <c r="CY258" i="24"/>
  <c r="CU258" i="24"/>
  <c r="CW47" i="24"/>
  <c r="CX47" i="24" s="1"/>
  <c r="DQ47" i="24"/>
  <c r="CL47" i="24"/>
  <c r="CY47" i="24"/>
  <c r="ES47" i="24"/>
  <c r="EV47" i="24" s="1"/>
  <c r="CU47" i="24"/>
  <c r="CV47" i="24" s="1"/>
  <c r="CU139" i="24"/>
  <c r="CL139" i="24"/>
  <c r="ES139" i="24"/>
  <c r="EV139" i="24" s="1"/>
  <c r="CY139" i="24"/>
  <c r="CW139" i="24"/>
  <c r="CX139" i="24" s="1"/>
  <c r="DQ139" i="24"/>
  <c r="CU264" i="24"/>
  <c r="CL264" i="24"/>
  <c r="CW264" i="24"/>
  <c r="CX264" i="24" s="1"/>
  <c r="CY264" i="24"/>
  <c r="DQ264" i="24"/>
  <c r="ES148" i="24"/>
  <c r="EV148" i="24" s="1"/>
  <c r="CL148" i="24"/>
  <c r="CW148" i="24"/>
  <c r="CX148" i="24" s="1"/>
  <c r="DQ148" i="24"/>
  <c r="CY148" i="24"/>
  <c r="CU148" i="24"/>
  <c r="DQ81" i="24"/>
  <c r="ES81" i="24"/>
  <c r="EV81" i="24" s="1"/>
  <c r="CY81" i="24"/>
  <c r="CZ81" i="24" s="1"/>
  <c r="CU81" i="24"/>
  <c r="CV81" i="24" s="1"/>
  <c r="CL81" i="24"/>
  <c r="CW81" i="24"/>
  <c r="CX81" i="24" s="1"/>
  <c r="ES179" i="24"/>
  <c r="EV179" i="24" s="1"/>
  <c r="CL179" i="24"/>
  <c r="CY179" i="24"/>
  <c r="DQ179" i="24"/>
  <c r="CW179" i="24"/>
  <c r="CX179" i="24" s="1"/>
  <c r="CU179" i="24"/>
  <c r="CL132" i="24"/>
  <c r="ES132" i="24"/>
  <c r="EV132" i="24" s="1"/>
  <c r="CW132" i="24"/>
  <c r="CX132" i="24" s="1"/>
  <c r="DQ132" i="24"/>
  <c r="CY132" i="24"/>
  <c r="CU132" i="24"/>
  <c r="DQ307" i="24"/>
  <c r="CW307" i="24"/>
  <c r="CX307" i="24" s="1"/>
  <c r="CL307" i="24"/>
  <c r="CY307" i="24"/>
  <c r="CU307" i="24"/>
  <c r="ES161" i="24"/>
  <c r="EV161" i="24" s="1"/>
  <c r="CY161" i="24"/>
  <c r="DQ161" i="24"/>
  <c r="CL161" i="24"/>
  <c r="CW161" i="24"/>
  <c r="CX161" i="24" s="1"/>
  <c r="CU161" i="24"/>
  <c r="ES98" i="24"/>
  <c r="EV98" i="24" s="1"/>
  <c r="CL98" i="24"/>
  <c r="DQ98" i="24"/>
  <c r="CW98" i="24"/>
  <c r="CX98" i="24" s="1"/>
  <c r="CY98" i="24"/>
  <c r="CU98" i="24"/>
  <c r="CV98" i="24" s="1"/>
  <c r="DQ171" i="24"/>
  <c r="CL171" i="24"/>
  <c r="ES171" i="24"/>
  <c r="EV171" i="24" s="1"/>
  <c r="CY171" i="24"/>
  <c r="CZ171" i="24" s="1"/>
  <c r="CW171" i="24"/>
  <c r="CX171" i="24" s="1"/>
  <c r="CU171" i="24"/>
  <c r="CW306" i="24"/>
  <c r="CX306" i="24" s="1"/>
  <c r="CL306" i="24"/>
  <c r="CU306" i="24"/>
  <c r="CY306" i="24"/>
  <c r="DQ306" i="24"/>
  <c r="DQ267" i="24"/>
  <c r="CL267" i="24"/>
  <c r="CY267" i="24"/>
  <c r="CU267" i="24"/>
  <c r="CW267" i="24"/>
  <c r="CX267" i="24" s="1"/>
  <c r="CW233" i="24"/>
  <c r="CX233" i="24" s="1"/>
  <c r="CU233" i="24"/>
  <c r="CL233" i="24"/>
  <c r="DQ233" i="24"/>
  <c r="CY233" i="24"/>
  <c r="DQ309" i="24"/>
  <c r="CY309" i="24"/>
  <c r="CL309" i="24"/>
  <c r="CW309" i="24"/>
  <c r="CX309" i="24" s="1"/>
  <c r="CU309" i="24"/>
  <c r="CL232" i="24"/>
  <c r="DQ232" i="24"/>
  <c r="CY232" i="24"/>
  <c r="CZ232" i="24" s="1"/>
  <c r="CW232" i="24"/>
  <c r="CX232" i="24" s="1"/>
  <c r="CU232" i="24"/>
  <c r="CL297" i="24"/>
  <c r="CU297" i="24"/>
  <c r="DQ297" i="24"/>
  <c r="CY297" i="24"/>
  <c r="CW297" i="24"/>
  <c r="CX297" i="24" s="1"/>
  <c r="CL208" i="24"/>
  <c r="CW208" i="24"/>
  <c r="CX208" i="24" s="1"/>
  <c r="DQ208" i="24"/>
  <c r="ES208" i="24"/>
  <c r="EV208" i="24" s="1"/>
  <c r="CY208" i="24"/>
  <c r="CU208" i="24"/>
  <c r="CL259" i="24"/>
  <c r="DQ259" i="24"/>
  <c r="CY259" i="24"/>
  <c r="CW259" i="24"/>
  <c r="CX259" i="24" s="1"/>
  <c r="CU259" i="24"/>
  <c r="DQ219" i="24"/>
  <c r="CU219" i="24"/>
  <c r="CL219" i="24"/>
  <c r="CW219" i="24"/>
  <c r="CX219" i="24" s="1"/>
  <c r="CY219" i="24"/>
  <c r="CL287" i="24"/>
  <c r="CW287" i="24"/>
  <c r="CX287" i="24" s="1"/>
  <c r="DQ287" i="24"/>
  <c r="CY287" i="24"/>
  <c r="CU287" i="24"/>
  <c r="CW190" i="24"/>
  <c r="CX190" i="24" s="1"/>
  <c r="CL190" i="24"/>
  <c r="DQ190" i="24"/>
  <c r="ES190" i="24"/>
  <c r="EV190" i="24" s="1"/>
  <c r="CU190" i="24"/>
  <c r="CY190" i="24"/>
  <c r="CW238" i="24"/>
  <c r="CX238" i="24" s="1"/>
  <c r="CL238" i="24"/>
  <c r="DQ238" i="24"/>
  <c r="CU238" i="24"/>
  <c r="CY238" i="24"/>
  <c r="CU302" i="24"/>
  <c r="DQ302" i="24"/>
  <c r="CW302" i="24"/>
  <c r="CX302" i="24" s="1"/>
  <c r="CL302" i="24"/>
  <c r="CY302" i="24"/>
  <c r="DQ300" i="24"/>
  <c r="CL300" i="24"/>
  <c r="CW300" i="24"/>
  <c r="CX300" i="24" s="1"/>
  <c r="CY300" i="24"/>
  <c r="CU300" i="24"/>
  <c r="J77" i="23"/>
  <c r="L77" i="23" s="1"/>
  <c r="B25" i="2"/>
  <c r="AY7" i="19"/>
  <c r="BD7" i="19" s="1"/>
  <c r="BN7" i="19"/>
  <c r="AY8" i="19"/>
  <c r="BC8" i="19" s="1"/>
  <c r="BN8" i="19"/>
  <c r="AY6" i="19"/>
  <c r="BJ6" i="19" s="1"/>
  <c r="BN6" i="19"/>
  <c r="AY9" i="19"/>
  <c r="BN9" i="19"/>
  <c r="J67" i="23"/>
  <c r="L67" i="23" s="1"/>
  <c r="G71" i="23"/>
  <c r="H71" i="23" s="1"/>
  <c r="G17" i="23"/>
  <c r="H17" i="23" s="1"/>
  <c r="G32" i="23"/>
  <c r="H32" i="23" s="1"/>
  <c r="G54" i="23"/>
  <c r="H54" i="23" s="1"/>
  <c r="G101" i="23"/>
  <c r="H101" i="23" s="1"/>
  <c r="G30" i="23"/>
  <c r="H30" i="23" s="1"/>
  <c r="G51" i="23"/>
  <c r="H51" i="23" s="1"/>
  <c r="J103" i="23"/>
  <c r="K103" i="23" s="1"/>
  <c r="G25" i="23"/>
  <c r="H25" i="23" s="1"/>
  <c r="G80" i="23"/>
  <c r="H80" i="23" s="1"/>
  <c r="G21" i="23"/>
  <c r="H21" i="23" s="1"/>
  <c r="G105" i="23"/>
  <c r="H105" i="23" s="1"/>
  <c r="J63" i="23"/>
  <c r="L63" i="23" s="1"/>
  <c r="J88" i="23"/>
  <c r="K88" i="23" s="1"/>
  <c r="J49" i="23"/>
  <c r="K49" i="23" s="1"/>
  <c r="G92" i="23"/>
  <c r="H92" i="23" s="1"/>
  <c r="G22" i="23"/>
  <c r="H22" i="23" s="1"/>
  <c r="J20" i="23"/>
  <c r="L20" i="23" s="1"/>
  <c r="G53" i="23"/>
  <c r="H53" i="23" s="1"/>
  <c r="G73" i="23"/>
  <c r="H73" i="23" s="1"/>
  <c r="G46" i="23"/>
  <c r="H46" i="23" s="1"/>
  <c r="G6" i="23"/>
  <c r="H6" i="23" s="1"/>
  <c r="G94" i="23"/>
  <c r="H94" i="23" s="1"/>
  <c r="G90" i="23"/>
  <c r="H90" i="23" s="1"/>
  <c r="G14" i="23"/>
  <c r="H14" i="23" s="1"/>
  <c r="J60" i="23"/>
  <c r="K60" i="23" s="1"/>
  <c r="J10" i="8"/>
  <c r="B195" i="2" s="1"/>
  <c r="B259" i="2" s="1"/>
  <c r="J84" i="23"/>
  <c r="L84" i="23" s="1"/>
  <c r="G81" i="23"/>
  <c r="H81" i="23" s="1"/>
  <c r="G52" i="23"/>
  <c r="H52" i="23" s="1"/>
  <c r="G87" i="23"/>
  <c r="H87" i="23" s="1"/>
  <c r="G47" i="23"/>
  <c r="H47" i="23" s="1"/>
  <c r="G15" i="23"/>
  <c r="H15" i="23" s="1"/>
  <c r="G34" i="23"/>
  <c r="H34" i="23" s="1"/>
  <c r="Q34" i="23"/>
  <c r="Q44" i="23"/>
  <c r="Q106" i="23"/>
  <c r="Q14" i="23"/>
  <c r="Q81" i="23"/>
  <c r="Q91" i="23"/>
  <c r="Q6" i="23"/>
  <c r="Q48" i="23"/>
  <c r="Q82" i="23"/>
  <c r="Q93" i="23"/>
  <c r="Q22" i="23"/>
  <c r="Q99" i="23"/>
  <c r="Q42" i="23"/>
  <c r="Q35" i="23"/>
  <c r="Q9" i="23"/>
  <c r="Q78" i="23"/>
  <c r="Q75" i="23"/>
  <c r="Q88" i="23"/>
  <c r="Q63" i="23"/>
  <c r="Q101" i="23"/>
  <c r="Q29" i="23"/>
  <c r="Q98" i="23"/>
  <c r="Q19" i="23"/>
  <c r="Q12" i="23"/>
  <c r="Q89" i="23"/>
  <c r="Q33" i="23"/>
  <c r="Q38" i="23"/>
  <c r="Q102" i="23"/>
  <c r="Q27" i="23"/>
  <c r="Q95" i="23"/>
  <c r="Q37" i="23"/>
  <c r="Q58" i="23"/>
  <c r="Q7" i="23"/>
  <c r="Q28" i="23"/>
  <c r="Q47" i="23"/>
  <c r="J24" i="23"/>
  <c r="K24" i="23" s="1"/>
  <c r="J97" i="23"/>
  <c r="K97" i="23" s="1"/>
  <c r="H5" i="24"/>
  <c r="Q23" i="23"/>
  <c r="Q59" i="23"/>
  <c r="Q13" i="23"/>
  <c r="Q76" i="23"/>
  <c r="Q17" i="23"/>
  <c r="Q96" i="23"/>
  <c r="Q21" i="23"/>
  <c r="Q87" i="23"/>
  <c r="Q94" i="23"/>
  <c r="Q71" i="23"/>
  <c r="Q84" i="23"/>
  <c r="Q24" i="23"/>
  <c r="Q97" i="23"/>
  <c r="Q54" i="23"/>
  <c r="Q103" i="23"/>
  <c r="Q20" i="23"/>
  <c r="Q31" i="23"/>
  <c r="Q10" i="23"/>
  <c r="Q40" i="23"/>
  <c r="Q64" i="23"/>
  <c r="Q61" i="23"/>
  <c r="Q57" i="23"/>
  <c r="Q62" i="23"/>
  <c r="Q67" i="23"/>
  <c r="Q36" i="23"/>
  <c r="Q85" i="23"/>
  <c r="Q68" i="23"/>
  <c r="Q86" i="23"/>
  <c r="Q73" i="23"/>
  <c r="Q104" i="23"/>
  <c r="Q100" i="23"/>
  <c r="Q25" i="23"/>
  <c r="Q30" i="23"/>
  <c r="Q11" i="23"/>
  <c r="Q45" i="23"/>
  <c r="Q50" i="23"/>
  <c r="Q51" i="23"/>
  <c r="Q15" i="23"/>
  <c r="Q49" i="23"/>
  <c r="Q32" i="23"/>
  <c r="Q56" i="23"/>
  <c r="Q74" i="23"/>
  <c r="G82" i="23"/>
  <c r="H82" i="23" s="1"/>
  <c r="G102" i="23"/>
  <c r="H102" i="23" s="1"/>
  <c r="G13" i="23"/>
  <c r="H13" i="23" s="1"/>
  <c r="G104" i="23"/>
  <c r="H104" i="23" s="1"/>
  <c r="Q41" i="23"/>
  <c r="Q46" i="23"/>
  <c r="Q16" i="23"/>
  <c r="Q92" i="23"/>
  <c r="Q43" i="23"/>
  <c r="Q105" i="23"/>
  <c r="Q18" i="23"/>
  <c r="Q66" i="23"/>
  <c r="Q55" i="23"/>
  <c r="Q39" i="23"/>
  <c r="Q72" i="23"/>
  <c r="Q69" i="23"/>
  <c r="Q70" i="23"/>
  <c r="Q60" i="23"/>
  <c r="Q53" i="23"/>
  <c r="Q77" i="23"/>
  <c r="Q52" i="23"/>
  <c r="Q80" i="23"/>
  <c r="Q26" i="23"/>
  <c r="Q90" i="23"/>
  <c r="Q65" i="23"/>
  <c r="Q8" i="23"/>
  <c r="Q83" i="23"/>
  <c r="Q79" i="23"/>
  <c r="G85" i="23"/>
  <c r="H85" i="23" s="1"/>
  <c r="J83" i="23"/>
  <c r="L83" i="23" s="1"/>
  <c r="G12" i="23"/>
  <c r="H12" i="23" s="1"/>
  <c r="J65" i="23"/>
  <c r="L65" i="23" s="1"/>
  <c r="G61" i="23"/>
  <c r="H61" i="23" s="1"/>
  <c r="J58" i="23"/>
  <c r="L58" i="23" s="1"/>
  <c r="J100" i="23"/>
  <c r="K100" i="23" s="1"/>
  <c r="G26" i="23"/>
  <c r="H26" i="23" s="1"/>
  <c r="G91" i="23"/>
  <c r="H91" i="23" s="1"/>
  <c r="G40" i="23"/>
  <c r="H40" i="23" s="1"/>
  <c r="G55" i="23"/>
  <c r="H55" i="23" s="1"/>
  <c r="J74" i="23"/>
  <c r="L74" i="23" s="1"/>
  <c r="G35" i="23"/>
  <c r="H35" i="23" s="1"/>
  <c r="G68" i="23"/>
  <c r="H68" i="23" s="1"/>
  <c r="G29" i="23"/>
  <c r="H29" i="23" s="1"/>
  <c r="J72" i="23"/>
  <c r="K72" i="23" s="1"/>
  <c r="G45" i="23"/>
  <c r="H45" i="23" s="1"/>
  <c r="J66" i="23"/>
  <c r="L66" i="23" s="1"/>
  <c r="J95" i="23"/>
  <c r="K95" i="23" s="1"/>
  <c r="J93" i="23"/>
  <c r="L93" i="23" s="1"/>
  <c r="J42" i="23"/>
  <c r="L42" i="23" s="1"/>
  <c r="J57" i="23"/>
  <c r="K57" i="23" s="1"/>
  <c r="G37" i="23"/>
  <c r="H37" i="23" s="1"/>
  <c r="G50" i="23"/>
  <c r="H50" i="23" s="1"/>
  <c r="G64" i="23"/>
  <c r="H64" i="23" s="1"/>
  <c r="G18" i="23"/>
  <c r="H18" i="23" s="1"/>
  <c r="G10" i="23"/>
  <c r="H10" i="23" s="1"/>
  <c r="G28" i="23"/>
  <c r="H28" i="23" s="1"/>
  <c r="G8" i="23"/>
  <c r="H8" i="23" s="1"/>
  <c r="G19" i="23"/>
  <c r="H19" i="23" s="1"/>
  <c r="K26" i="23"/>
  <c r="L26" i="23"/>
  <c r="K44" i="23"/>
  <c r="L44" i="23"/>
  <c r="K102" i="23"/>
  <c r="L102" i="23"/>
  <c r="L56" i="23"/>
  <c r="K56" i="23"/>
  <c r="L35" i="23"/>
  <c r="K35" i="23"/>
  <c r="K13" i="23"/>
  <c r="L13" i="23"/>
  <c r="K30" i="23"/>
  <c r="L30" i="23"/>
  <c r="K73" i="23"/>
  <c r="L73" i="23"/>
  <c r="L16" i="23"/>
  <c r="K16" i="23"/>
  <c r="L43" i="23"/>
  <c r="K43" i="23"/>
  <c r="K33" i="23"/>
  <c r="L33" i="23"/>
  <c r="K92" i="23"/>
  <c r="L92" i="23"/>
  <c r="L59" i="23"/>
  <c r="K59" i="23"/>
  <c r="L104" i="23"/>
  <c r="K104" i="23"/>
  <c r="L47" i="23"/>
  <c r="K47" i="23"/>
  <c r="K45" i="23"/>
  <c r="L45" i="23"/>
  <c r="K101" i="23"/>
  <c r="L101" i="23"/>
  <c r="K37" i="23"/>
  <c r="L37" i="23"/>
  <c r="L79" i="23"/>
  <c r="K79" i="23"/>
  <c r="K22" i="23"/>
  <c r="L22" i="23"/>
  <c r="L12" i="23"/>
  <c r="K12" i="23"/>
  <c r="L39" i="23"/>
  <c r="K39" i="23"/>
  <c r="K21" i="23"/>
  <c r="L21" i="23"/>
  <c r="L75" i="23"/>
  <c r="K75" i="23"/>
  <c r="K17" i="23"/>
  <c r="L17" i="23"/>
  <c r="L71" i="23"/>
  <c r="K71" i="23"/>
  <c r="K69" i="23"/>
  <c r="L69" i="23"/>
  <c r="K9" i="23"/>
  <c r="L9" i="23"/>
  <c r="K29" i="23"/>
  <c r="L29" i="23"/>
  <c r="K14" i="23"/>
  <c r="L14" i="23"/>
  <c r="K53" i="23"/>
  <c r="L53" i="23"/>
  <c r="L55" i="23"/>
  <c r="K55" i="23"/>
  <c r="L51" i="23"/>
  <c r="K51" i="23"/>
  <c r="K41" i="23"/>
  <c r="L41" i="23"/>
  <c r="L96" i="23"/>
  <c r="K96" i="23"/>
  <c r="K82" i="23"/>
  <c r="L82" i="23"/>
  <c r="K50" i="23"/>
  <c r="L50" i="23"/>
  <c r="L6" i="23"/>
  <c r="K6" i="23"/>
  <c r="K61" i="23"/>
  <c r="L61" i="23"/>
  <c r="L7" i="23"/>
  <c r="K7" i="23"/>
  <c r="L87" i="23"/>
  <c r="K87" i="23"/>
  <c r="K85" i="23"/>
  <c r="L85" i="23"/>
  <c r="K25" i="23"/>
  <c r="L25" i="23"/>
  <c r="L91" i="23"/>
  <c r="K91" i="23"/>
  <c r="K38" i="23"/>
  <c r="L38" i="23"/>
  <c r="K81" i="23"/>
  <c r="L81" i="23"/>
  <c r="L31" i="23"/>
  <c r="K31" i="23"/>
  <c r="K106" i="23"/>
  <c r="L106" i="23"/>
  <c r="L80" i="23"/>
  <c r="K80" i="23"/>
  <c r="L8" i="23"/>
  <c r="K8" i="23"/>
  <c r="K54" i="23"/>
  <c r="L54" i="23"/>
  <c r="K28" i="23"/>
  <c r="L28" i="23"/>
  <c r="K70" i="23"/>
  <c r="L70" i="23"/>
  <c r="L40" i="23"/>
  <c r="K40" i="23"/>
  <c r="L19" i="23"/>
  <c r="K19" i="23"/>
  <c r="K78" i="23"/>
  <c r="L78" i="23"/>
  <c r="K68" i="23"/>
  <c r="L68" i="23"/>
  <c r="L15" i="23"/>
  <c r="K15" i="23"/>
  <c r="L64" i="23"/>
  <c r="K64" i="23"/>
  <c r="L27" i="23"/>
  <c r="K27" i="23"/>
  <c r="K76" i="23"/>
  <c r="L76" i="23"/>
  <c r="L99" i="23"/>
  <c r="K99" i="23"/>
  <c r="K46" i="23"/>
  <c r="L46" i="23"/>
  <c r="K89" i="23"/>
  <c r="L89" i="23"/>
  <c r="K94" i="23"/>
  <c r="L94" i="23"/>
  <c r="K52" i="23"/>
  <c r="L52" i="23"/>
  <c r="L48" i="23"/>
  <c r="K48" i="23"/>
  <c r="L11" i="23"/>
  <c r="K11" i="23"/>
  <c r="K62" i="23"/>
  <c r="L62" i="23"/>
  <c r="L23" i="23"/>
  <c r="K23" i="23"/>
  <c r="K86" i="23"/>
  <c r="L86" i="23"/>
  <c r="K10" i="23"/>
  <c r="L10" i="23"/>
  <c r="K36" i="23"/>
  <c r="L36" i="23"/>
  <c r="K105" i="23"/>
  <c r="L105" i="23"/>
  <c r="L32" i="23"/>
  <c r="K32" i="23"/>
  <c r="K18" i="23"/>
  <c r="L18" i="23"/>
  <c r="K98" i="23"/>
  <c r="L98" i="23"/>
  <c r="K90" i="23"/>
  <c r="L90" i="23"/>
  <c r="K34" i="23"/>
  <c r="L34" i="23"/>
  <c r="C269" i="2"/>
  <c r="B269" i="2"/>
  <c r="B185" i="2"/>
  <c r="A228" i="2"/>
  <c r="F269" i="2"/>
  <c r="B270" i="2"/>
  <c r="H270" i="2"/>
  <c r="C49" i="16" s="1"/>
  <c r="F182" i="2"/>
  <c r="E51" i="1" s="1"/>
  <c r="A229" i="2" s="1"/>
  <c r="G182" i="2"/>
  <c r="G270" i="2"/>
  <c r="C270" i="2"/>
  <c r="A270" i="2" s="1"/>
  <c r="B184" i="2"/>
  <c r="AO2" i="19"/>
  <c r="H273" i="2"/>
  <c r="F273" i="2"/>
  <c r="K57" i="16"/>
  <c r="M57" i="16" s="1"/>
  <c r="B235" i="2"/>
  <c r="A235" i="2"/>
  <c r="E43" i="1"/>
  <c r="A2" i="21"/>
  <c r="K70" i="2"/>
  <c r="G89" i="19"/>
  <c r="G64" i="19"/>
  <c r="G65" i="19"/>
  <c r="G90" i="19"/>
  <c r="G91" i="19"/>
  <c r="AY106" i="19"/>
  <c r="G66" i="19"/>
  <c r="BN106" i="19"/>
  <c r="FD233" i="25" l="1"/>
  <c r="DB212" i="25"/>
  <c r="CV110" i="25"/>
  <c r="B47" i="2"/>
  <c r="CW110" i="25"/>
  <c r="CO110" i="25" s="1"/>
  <c r="DH110" i="25" s="1"/>
  <c r="CU110" i="25"/>
  <c r="FD110" i="25"/>
  <c r="B112" i="2"/>
  <c r="B113" i="2" s="1"/>
  <c r="L6" i="1"/>
  <c r="M76" i="1"/>
  <c r="L76" i="1"/>
  <c r="L77" i="1" s="1"/>
  <c r="E75" i="1"/>
  <c r="B43" i="2"/>
  <c r="D25" i="29"/>
  <c r="Q3" i="29" s="1"/>
  <c r="B27" i="29"/>
  <c r="D27" i="29" s="1"/>
  <c r="DH212" i="25"/>
  <c r="DA212" i="25"/>
  <c r="DD212" i="25" s="1"/>
  <c r="DE212" i="25" s="1"/>
  <c r="DF212" i="25" s="1"/>
  <c r="DM212" i="25" s="1"/>
  <c r="DW212" i="25" s="1"/>
  <c r="DS193" i="25"/>
  <c r="DS204" i="25"/>
  <c r="DS203" i="25"/>
  <c r="DS99" i="25"/>
  <c r="DS96" i="25"/>
  <c r="DS194" i="25"/>
  <c r="DS206" i="25"/>
  <c r="DS209" i="25"/>
  <c r="DS100" i="25"/>
  <c r="DS201" i="25"/>
  <c r="DS205" i="25"/>
  <c r="DS105" i="25"/>
  <c r="DS103" i="25"/>
  <c r="DS198" i="25"/>
  <c r="DS102" i="25"/>
  <c r="DS202" i="25"/>
  <c r="DS200" i="25"/>
  <c r="DS199" i="25"/>
  <c r="DS196" i="25"/>
  <c r="DS97" i="25"/>
  <c r="DS197" i="25"/>
  <c r="DS208" i="25"/>
  <c r="DS101" i="25"/>
  <c r="DS207" i="25"/>
  <c r="DS210" i="25"/>
  <c r="DS98" i="25"/>
  <c r="DS104" i="25"/>
  <c r="DS195" i="25"/>
  <c r="DS91" i="25"/>
  <c r="DS94" i="25"/>
  <c r="DS93" i="25"/>
  <c r="DS95" i="25"/>
  <c r="DS92" i="25"/>
  <c r="DT120" i="24"/>
  <c r="DT189" i="24"/>
  <c r="DT157" i="24"/>
  <c r="DT153" i="24"/>
  <c r="DT193" i="24"/>
  <c r="DT204" i="24"/>
  <c r="DT202" i="24"/>
  <c r="DT155" i="24"/>
  <c r="DT198" i="24"/>
  <c r="DT180" i="24"/>
  <c r="DT117" i="24"/>
  <c r="DT174" i="24"/>
  <c r="DT139" i="24"/>
  <c r="DT192" i="24"/>
  <c r="DT115" i="24"/>
  <c r="DT133" i="24"/>
  <c r="DT143" i="24"/>
  <c r="DT129" i="24"/>
  <c r="DT183" i="24"/>
  <c r="DT134" i="24"/>
  <c r="DT184" i="24"/>
  <c r="DT137" i="24"/>
  <c r="DT195" i="24"/>
  <c r="DT128" i="24"/>
  <c r="DT140" i="24"/>
  <c r="DT122" i="24"/>
  <c r="DT208" i="24"/>
  <c r="DT179" i="24"/>
  <c r="DT123" i="24"/>
  <c r="DT150" i="24"/>
  <c r="DT116" i="24"/>
  <c r="DT191" i="24"/>
  <c r="DT112" i="24"/>
  <c r="DT170" i="24"/>
  <c r="DT169" i="24"/>
  <c r="DT126" i="24"/>
  <c r="DT163" i="24"/>
  <c r="DT197" i="24"/>
  <c r="DT121" i="24"/>
  <c r="DT159" i="24"/>
  <c r="DT141" i="24"/>
  <c r="DT201" i="24"/>
  <c r="DT138" i="24"/>
  <c r="DT118" i="24"/>
  <c r="DT200" i="24"/>
  <c r="DT111" i="24"/>
  <c r="DT182" i="24"/>
  <c r="DT152" i="24"/>
  <c r="DT210" i="24"/>
  <c r="H83" i="2" s="1"/>
  <c r="DT147" i="24"/>
  <c r="DT149" i="24"/>
  <c r="DT181" i="24"/>
  <c r="DT135" i="24"/>
  <c r="DT144" i="24"/>
  <c r="DT158" i="24"/>
  <c r="DT130" i="24"/>
  <c r="DT190" i="24"/>
  <c r="DT167" i="24"/>
  <c r="DT119" i="24"/>
  <c r="DT206" i="24"/>
  <c r="DT146" i="24"/>
  <c r="DT156" i="24"/>
  <c r="DT185" i="24"/>
  <c r="DT199" i="24"/>
  <c r="DT131" i="24"/>
  <c r="DT207" i="24"/>
  <c r="DT176" i="24"/>
  <c r="DT124" i="24"/>
  <c r="DT151" i="24"/>
  <c r="DT171" i="24"/>
  <c r="DT132" i="24"/>
  <c r="DT209" i="24"/>
  <c r="DT113" i="24"/>
  <c r="DT173" i="24"/>
  <c r="DT188" i="24"/>
  <c r="DT148" i="24"/>
  <c r="DT203" i="24"/>
  <c r="DT136" i="24"/>
  <c r="DT162" i="24"/>
  <c r="DT187" i="24"/>
  <c r="DT172" i="24"/>
  <c r="DT154" i="24"/>
  <c r="DT186" i="24"/>
  <c r="DT165" i="24"/>
  <c r="DT178" i="24"/>
  <c r="DT142" i="24"/>
  <c r="DT196" i="24"/>
  <c r="DT161" i="24"/>
  <c r="DT177" i="24"/>
  <c r="DT205" i="24"/>
  <c r="DT194" i="24"/>
  <c r="DT164" i="24"/>
  <c r="DT175" i="24"/>
  <c r="DT166" i="24"/>
  <c r="DT160" i="24"/>
  <c r="DT125" i="24"/>
  <c r="DT145" i="24"/>
  <c r="DT114" i="24"/>
  <c r="DT127" i="24"/>
  <c r="DT168" i="24"/>
  <c r="FD266" i="25"/>
  <c r="FD232" i="25"/>
  <c r="FD305" i="25"/>
  <c r="FD235" i="25"/>
  <c r="FD216" i="25"/>
  <c r="FD241" i="25"/>
  <c r="FD269" i="25"/>
  <c r="FD277" i="25"/>
  <c r="FD237" i="25"/>
  <c r="FD276" i="25"/>
  <c r="FD307" i="25"/>
  <c r="FD238" i="25"/>
  <c r="FD242" i="25"/>
  <c r="FD226" i="25"/>
  <c r="FD294" i="25"/>
  <c r="FD275" i="25"/>
  <c r="FD295" i="25"/>
  <c r="FD154" i="25"/>
  <c r="FD250" i="25"/>
  <c r="FD306" i="25"/>
  <c r="FD262" i="25"/>
  <c r="FD280" i="25"/>
  <c r="FD244" i="25"/>
  <c r="FD285" i="25"/>
  <c r="FD283" i="25"/>
  <c r="FD234" i="25"/>
  <c r="FD274" i="25"/>
  <c r="FD230" i="25"/>
  <c r="FD259" i="25"/>
  <c r="FD300" i="25"/>
  <c r="FD292" i="25"/>
  <c r="FD249" i="25"/>
  <c r="FD314" i="25"/>
  <c r="FD248" i="25"/>
  <c r="FD222" i="25"/>
  <c r="FD291" i="25"/>
  <c r="FD281" i="25"/>
  <c r="FD279" i="25"/>
  <c r="FD299" i="25"/>
  <c r="FD217" i="25"/>
  <c r="FD229" i="25"/>
  <c r="FD296" i="25"/>
  <c r="FD264" i="25"/>
  <c r="FD272" i="25"/>
  <c r="FD270" i="25"/>
  <c r="FD255" i="25"/>
  <c r="FD219" i="25"/>
  <c r="FD312" i="25"/>
  <c r="FD287" i="25"/>
  <c r="FD289" i="25"/>
  <c r="FD223" i="25"/>
  <c r="FD302" i="25"/>
  <c r="FD290" i="25"/>
  <c r="FD254" i="25"/>
  <c r="FD227" i="25"/>
  <c r="FD245" i="25"/>
  <c r="FD231" i="25"/>
  <c r="FD282" i="25"/>
  <c r="FD261" i="25"/>
  <c r="FD288" i="25"/>
  <c r="FD304" i="25"/>
  <c r="FD268" i="25"/>
  <c r="FD310" i="25"/>
  <c r="FD253" i="25"/>
  <c r="FD278" i="25"/>
  <c r="FD303" i="25"/>
  <c r="FD256" i="25"/>
  <c r="FD284" i="25"/>
  <c r="FD221" i="25"/>
  <c r="FD308" i="25"/>
  <c r="FD228" i="25"/>
  <c r="FD313" i="25"/>
  <c r="FD301" i="25"/>
  <c r="FD267" i="25"/>
  <c r="FD240" i="25"/>
  <c r="FD239" i="25"/>
  <c r="FD293" i="25"/>
  <c r="FD263" i="25"/>
  <c r="FD316" i="25"/>
  <c r="FD252" i="25"/>
  <c r="FD286" i="25"/>
  <c r="FD246" i="25"/>
  <c r="FD224" i="25"/>
  <c r="FD273" i="25"/>
  <c r="FD311" i="25"/>
  <c r="FD257" i="25"/>
  <c r="FD265" i="25"/>
  <c r="FD258" i="25"/>
  <c r="FD297" i="25"/>
  <c r="FD271" i="25"/>
  <c r="FD236" i="25"/>
  <c r="FD218" i="25"/>
  <c r="FD220" i="25"/>
  <c r="FD298" i="25"/>
  <c r="FD260" i="25"/>
  <c r="FD309" i="25"/>
  <c r="FD315" i="25"/>
  <c r="FD247" i="25"/>
  <c r="FD251" i="25"/>
  <c r="B45" i="2"/>
  <c r="FD112" i="25"/>
  <c r="DL112" i="25"/>
  <c r="DS112" i="25"/>
  <c r="DA112" i="25"/>
  <c r="DD112" i="25" s="1"/>
  <c r="DE112" i="25" s="1"/>
  <c r="DF112" i="25" s="1"/>
  <c r="DH112" i="25"/>
  <c r="CY112" i="25"/>
  <c r="CZ112" i="25"/>
  <c r="CZ110" i="24"/>
  <c r="DC110" i="24" s="1"/>
  <c r="DN5" i="24"/>
  <c r="DZ5" i="24" s="1"/>
  <c r="FD27" i="25"/>
  <c r="CW216" i="25"/>
  <c r="FD51" i="25"/>
  <c r="DS24" i="25"/>
  <c r="FD31" i="25"/>
  <c r="CV216" i="25"/>
  <c r="CU216" i="25"/>
  <c r="DS87" i="25"/>
  <c r="DN110" i="24"/>
  <c r="DX110" i="24" s="1"/>
  <c r="DJ5" i="24"/>
  <c r="DK5" i="24"/>
  <c r="DJ110" i="24"/>
  <c r="DK110" i="24"/>
  <c r="DI216" i="24"/>
  <c r="DM216" i="24"/>
  <c r="DB216" i="24"/>
  <c r="DE216" i="24" s="1"/>
  <c r="DF216" i="24" s="1"/>
  <c r="DG216" i="24" s="1"/>
  <c r="DA216" i="24"/>
  <c r="CZ216" i="24"/>
  <c r="DT35" i="24"/>
  <c r="DT289" i="24"/>
  <c r="DT221" i="24"/>
  <c r="DT37" i="24"/>
  <c r="DT50" i="24"/>
  <c r="FD19" i="25"/>
  <c r="DS9" i="25"/>
  <c r="DS83" i="25"/>
  <c r="DS49" i="25"/>
  <c r="DS245" i="25"/>
  <c r="DA180" i="25"/>
  <c r="DD180" i="25" s="1"/>
  <c r="DE180" i="25" s="1"/>
  <c r="DF180" i="25" s="1"/>
  <c r="DH180" i="25"/>
  <c r="DA122" i="25"/>
  <c r="DD122" i="25" s="1"/>
  <c r="DE122" i="25" s="1"/>
  <c r="DF122" i="25" s="1"/>
  <c r="DH122" i="25"/>
  <c r="DL271" i="25"/>
  <c r="DS271" i="25"/>
  <c r="DL231" i="25"/>
  <c r="DS231" i="25"/>
  <c r="DS166" i="25"/>
  <c r="FD166" i="25"/>
  <c r="DL166" i="25"/>
  <c r="DS279" i="25"/>
  <c r="DL279" i="25"/>
  <c r="CY204" i="25"/>
  <c r="CZ204" i="25"/>
  <c r="CY165" i="25"/>
  <c r="CZ165" i="25"/>
  <c r="DL274" i="25"/>
  <c r="DS274" i="25"/>
  <c r="CY32" i="25"/>
  <c r="CZ32" i="25"/>
  <c r="CZ101" i="25"/>
  <c r="CY101" i="25"/>
  <c r="DL36" i="25"/>
  <c r="FD36" i="25"/>
  <c r="DS36" i="25"/>
  <c r="DA203" i="25"/>
  <c r="DD203" i="25" s="1"/>
  <c r="DE203" i="25" s="1"/>
  <c r="DF203" i="25" s="1"/>
  <c r="DH203" i="25"/>
  <c r="CY315" i="25"/>
  <c r="CZ315" i="25"/>
  <c r="DA233" i="25"/>
  <c r="DD233" i="25" s="1"/>
  <c r="DE233" i="25" s="1"/>
  <c r="DF233" i="25" s="1"/>
  <c r="DH233" i="25"/>
  <c r="DA241" i="25"/>
  <c r="DD241" i="25" s="1"/>
  <c r="DE241" i="25" s="1"/>
  <c r="DF241" i="25" s="1"/>
  <c r="DH241" i="25"/>
  <c r="DA57" i="25"/>
  <c r="DD57" i="25" s="1"/>
  <c r="DE57" i="25" s="1"/>
  <c r="DF57" i="25" s="1"/>
  <c r="DH57" i="25"/>
  <c r="DH276" i="25"/>
  <c r="DA276" i="25"/>
  <c r="DD276" i="25" s="1"/>
  <c r="DE276" i="25" s="1"/>
  <c r="DF276" i="25" s="1"/>
  <c r="CZ7" i="25"/>
  <c r="DB7" i="25" s="1"/>
  <c r="DH7" i="25"/>
  <c r="DA7" i="25"/>
  <c r="DD7" i="25" s="1"/>
  <c r="DE7" i="25" s="1"/>
  <c r="DF7" i="25" s="1"/>
  <c r="DM7" i="25" s="1"/>
  <c r="CZ278" i="25"/>
  <c r="CY278" i="25"/>
  <c r="CY221" i="25"/>
  <c r="CZ221" i="25"/>
  <c r="DL297" i="25"/>
  <c r="DS264" i="25"/>
  <c r="DL264" i="25"/>
  <c r="CY304" i="25"/>
  <c r="CZ304" i="25"/>
  <c r="DL127" i="25"/>
  <c r="FD127" i="25"/>
  <c r="DS127" i="25"/>
  <c r="CZ201" i="25"/>
  <c r="CY201" i="25"/>
  <c r="CY99" i="25"/>
  <c r="CZ99" i="25"/>
  <c r="DL62" i="25"/>
  <c r="DS62" i="25"/>
  <c r="FD62" i="25"/>
  <c r="CZ144" i="25"/>
  <c r="CY144" i="25"/>
  <c r="FD116" i="25"/>
  <c r="DS116" i="25"/>
  <c r="DL116" i="25"/>
  <c r="DS113" i="25"/>
  <c r="FD113" i="25"/>
  <c r="DL113" i="25"/>
  <c r="CY160" i="25"/>
  <c r="CZ160" i="25"/>
  <c r="FD26" i="25"/>
  <c r="DS26" i="25"/>
  <c r="DL26" i="25"/>
  <c r="DL240" i="25"/>
  <c r="DS240" i="25"/>
  <c r="DH206" i="25"/>
  <c r="DA206" i="25"/>
  <c r="DD206" i="25" s="1"/>
  <c r="DE206" i="25" s="1"/>
  <c r="DF206" i="25" s="1"/>
  <c r="DA60" i="25"/>
  <c r="DD60" i="25" s="1"/>
  <c r="DE60" i="25" s="1"/>
  <c r="DF60" i="25" s="1"/>
  <c r="DH60" i="25"/>
  <c r="DH269" i="25"/>
  <c r="DA269" i="25"/>
  <c r="DD269" i="25" s="1"/>
  <c r="DE269" i="25" s="1"/>
  <c r="DF269" i="25" s="1"/>
  <c r="DH14" i="25"/>
  <c r="DA14" i="25"/>
  <c r="DD14" i="25" s="1"/>
  <c r="DE14" i="25" s="1"/>
  <c r="DF14" i="25" s="1"/>
  <c r="FD50" i="25"/>
  <c r="DL50" i="25"/>
  <c r="DS50" i="25"/>
  <c r="DH174" i="25"/>
  <c r="DA174" i="25"/>
  <c r="DD174" i="25" s="1"/>
  <c r="DE174" i="25" s="1"/>
  <c r="DF174" i="25" s="1"/>
  <c r="DH92" i="25"/>
  <c r="DA92" i="25"/>
  <c r="DD92" i="25" s="1"/>
  <c r="DE92" i="25" s="1"/>
  <c r="DF92" i="25" s="1"/>
  <c r="DA239" i="25"/>
  <c r="DD239" i="25" s="1"/>
  <c r="DE239" i="25" s="1"/>
  <c r="DF239" i="25" s="1"/>
  <c r="DH239" i="25"/>
  <c r="CZ164" i="25"/>
  <c r="DB164" i="25" s="1"/>
  <c r="DH164" i="25"/>
  <c r="DA164" i="25"/>
  <c r="DD164" i="25" s="1"/>
  <c r="DE164" i="25" s="1"/>
  <c r="DF164" i="25" s="1"/>
  <c r="DL220" i="25"/>
  <c r="DS220" i="25"/>
  <c r="CY186" i="25"/>
  <c r="CZ186" i="25"/>
  <c r="CY271" i="25"/>
  <c r="CZ271" i="25"/>
  <c r="DS311" i="25"/>
  <c r="DL311" i="25"/>
  <c r="DL261" i="25"/>
  <c r="DS261" i="25"/>
  <c r="DS282" i="25"/>
  <c r="DL282" i="25"/>
  <c r="CZ134" i="25"/>
  <c r="CY134" i="25"/>
  <c r="CZ312" i="25"/>
  <c r="CY312" i="25"/>
  <c r="CZ196" i="25"/>
  <c r="CY196" i="25"/>
  <c r="CY61" i="25"/>
  <c r="CZ61" i="25"/>
  <c r="DH56" i="25"/>
  <c r="DA56" i="25"/>
  <c r="DD56" i="25" s="1"/>
  <c r="DE56" i="25" s="1"/>
  <c r="DF56" i="25" s="1"/>
  <c r="DA190" i="25"/>
  <c r="DD190" i="25" s="1"/>
  <c r="DE190" i="25" s="1"/>
  <c r="DF190" i="25" s="1"/>
  <c r="DH190" i="25"/>
  <c r="DH147" i="25"/>
  <c r="DA147" i="25"/>
  <c r="DD147" i="25" s="1"/>
  <c r="DE147" i="25" s="1"/>
  <c r="DF147" i="25" s="1"/>
  <c r="DA32" i="25"/>
  <c r="DD32" i="25" s="1"/>
  <c r="DE32" i="25" s="1"/>
  <c r="DF32" i="25" s="1"/>
  <c r="DH32" i="25"/>
  <c r="DA210" i="25"/>
  <c r="DD210" i="25" s="1"/>
  <c r="DE210" i="25" s="1"/>
  <c r="DF210" i="25" s="1"/>
  <c r="DH210" i="25"/>
  <c r="DA78" i="25"/>
  <c r="DD78" i="25" s="1"/>
  <c r="DE78" i="25" s="1"/>
  <c r="DF78" i="25" s="1"/>
  <c r="DH78" i="25"/>
  <c r="DL221" i="25"/>
  <c r="DS221" i="25"/>
  <c r="CZ206" i="25"/>
  <c r="CY206" i="25"/>
  <c r="DL304" i="25"/>
  <c r="DS304" i="25"/>
  <c r="CY62" i="25"/>
  <c r="CZ62" i="25"/>
  <c r="CY35" i="25"/>
  <c r="CZ35" i="25"/>
  <c r="CY31" i="25"/>
  <c r="CZ31" i="25"/>
  <c r="DL160" i="25"/>
  <c r="FD160" i="25"/>
  <c r="DS160" i="25"/>
  <c r="DH105" i="25"/>
  <c r="DA105" i="25"/>
  <c r="DD105" i="25" s="1"/>
  <c r="DE105" i="25" s="1"/>
  <c r="DF105" i="25" s="1"/>
  <c r="DH15" i="25"/>
  <c r="DA15" i="25"/>
  <c r="DD15" i="25" s="1"/>
  <c r="DE15" i="25" s="1"/>
  <c r="DF15" i="25" s="1"/>
  <c r="DL219" i="25"/>
  <c r="DS219" i="25"/>
  <c r="CY16" i="25"/>
  <c r="CZ16" i="25"/>
  <c r="CZ226" i="25"/>
  <c r="DB226" i="25" s="1"/>
  <c r="DH226" i="25"/>
  <c r="DA226" i="25"/>
  <c r="DD226" i="25" s="1"/>
  <c r="DE226" i="25" s="1"/>
  <c r="DF226" i="25" s="1"/>
  <c r="DH59" i="25"/>
  <c r="DA59" i="25"/>
  <c r="DD59" i="25" s="1"/>
  <c r="DE59" i="25" s="1"/>
  <c r="DF59" i="25" s="1"/>
  <c r="CY167" i="25"/>
  <c r="CZ167" i="25"/>
  <c r="CZ229" i="25"/>
  <c r="CY229" i="25"/>
  <c r="DL202" i="25"/>
  <c r="FD202" i="25"/>
  <c r="DL224" i="25"/>
  <c r="DS224" i="25"/>
  <c r="DS123" i="25"/>
  <c r="DL123" i="25"/>
  <c r="FD123" i="25"/>
  <c r="DL150" i="25"/>
  <c r="DS150" i="25"/>
  <c r="FD150" i="25"/>
  <c r="DL41" i="25"/>
  <c r="FD41" i="25"/>
  <c r="DS41" i="25"/>
  <c r="DH191" i="25"/>
  <c r="DA191" i="25"/>
  <c r="DD191" i="25" s="1"/>
  <c r="DE191" i="25" s="1"/>
  <c r="DF191" i="25" s="1"/>
  <c r="DA275" i="25"/>
  <c r="DD275" i="25" s="1"/>
  <c r="DE275" i="25" s="1"/>
  <c r="DF275" i="25" s="1"/>
  <c r="DH275" i="25"/>
  <c r="DH45" i="25"/>
  <c r="DA45" i="25"/>
  <c r="DD45" i="25" s="1"/>
  <c r="DE45" i="25" s="1"/>
  <c r="DF45" i="25" s="1"/>
  <c r="DS299" i="25"/>
  <c r="DL299" i="25"/>
  <c r="DL291" i="25"/>
  <c r="DS291" i="25"/>
  <c r="DS124" i="25"/>
  <c r="FD124" i="25"/>
  <c r="DL124" i="25"/>
  <c r="DL32" i="25"/>
  <c r="DS32" i="25"/>
  <c r="FD32" i="25"/>
  <c r="DS134" i="25"/>
  <c r="FD134" i="25"/>
  <c r="DL134" i="25"/>
  <c r="DL312" i="25"/>
  <c r="DS312" i="25"/>
  <c r="DL286" i="25"/>
  <c r="DS286" i="25"/>
  <c r="FD196" i="25"/>
  <c r="DL196" i="25"/>
  <c r="CZ67" i="25"/>
  <c r="CY67" i="25"/>
  <c r="CY103" i="25"/>
  <c r="CZ103" i="25"/>
  <c r="DL131" i="25"/>
  <c r="DS131" i="25"/>
  <c r="FD131" i="25"/>
  <c r="DH67" i="25"/>
  <c r="DA67" i="25"/>
  <c r="DD67" i="25" s="1"/>
  <c r="DE67" i="25" s="1"/>
  <c r="DF67" i="25" s="1"/>
  <c r="DL236" i="25"/>
  <c r="DS236" i="25"/>
  <c r="CY234" i="25"/>
  <c r="CZ234" i="25"/>
  <c r="DH83" i="25"/>
  <c r="DA83" i="25"/>
  <c r="DD83" i="25" s="1"/>
  <c r="DE83" i="25" s="1"/>
  <c r="DF83" i="25" s="1"/>
  <c r="DA80" i="25"/>
  <c r="DD80" i="25" s="1"/>
  <c r="DE80" i="25" s="1"/>
  <c r="DF80" i="25" s="1"/>
  <c r="DH80" i="25"/>
  <c r="DH42" i="25"/>
  <c r="DA42" i="25"/>
  <c r="DD42" i="25" s="1"/>
  <c r="DE42" i="25" s="1"/>
  <c r="DF42" i="25" s="1"/>
  <c r="DH302" i="25"/>
  <c r="DA302" i="25"/>
  <c r="DD302" i="25" s="1"/>
  <c r="DE302" i="25" s="1"/>
  <c r="DF302" i="25" s="1"/>
  <c r="DS303" i="25"/>
  <c r="DL303" i="25"/>
  <c r="CY264" i="25"/>
  <c r="CZ264" i="25"/>
  <c r="FD201" i="25"/>
  <c r="DL201" i="25"/>
  <c r="FD54" i="25"/>
  <c r="DS54" i="25"/>
  <c r="DL54" i="25"/>
  <c r="DL265" i="25"/>
  <c r="DS265" i="25"/>
  <c r="FD144" i="25"/>
  <c r="DS144" i="25"/>
  <c r="DL144" i="25"/>
  <c r="CY97" i="25"/>
  <c r="CZ97" i="25"/>
  <c r="CZ26" i="25"/>
  <c r="CY26" i="25"/>
  <c r="DH277" i="25"/>
  <c r="DA277" i="25"/>
  <c r="DD277" i="25" s="1"/>
  <c r="DE277" i="25" s="1"/>
  <c r="DF277" i="25" s="1"/>
  <c r="DH304" i="25"/>
  <c r="DA304" i="25"/>
  <c r="DD304" i="25" s="1"/>
  <c r="DE304" i="25" s="1"/>
  <c r="DF304" i="25" s="1"/>
  <c r="DA97" i="25"/>
  <c r="DD97" i="25" s="1"/>
  <c r="DE97" i="25" s="1"/>
  <c r="DF97" i="25" s="1"/>
  <c r="DH97" i="25"/>
  <c r="DH98" i="25"/>
  <c r="DA98" i="25"/>
  <c r="DD98" i="25" s="1"/>
  <c r="DE98" i="25" s="1"/>
  <c r="DF98" i="25" s="1"/>
  <c r="DH35" i="25"/>
  <c r="DA35" i="25"/>
  <c r="DD35" i="25" s="1"/>
  <c r="DE35" i="25" s="1"/>
  <c r="DF35" i="25" s="1"/>
  <c r="DH158" i="25"/>
  <c r="DA158" i="25"/>
  <c r="DD158" i="25" s="1"/>
  <c r="DE158" i="25" s="1"/>
  <c r="DF158" i="25" s="1"/>
  <c r="CZ299" i="25"/>
  <c r="CY299" i="25"/>
  <c r="CY311" i="25"/>
  <c r="CZ311" i="25"/>
  <c r="CY291" i="25"/>
  <c r="CZ291" i="25"/>
  <c r="DL56" i="25"/>
  <c r="DS56" i="25"/>
  <c r="FD56" i="25"/>
  <c r="CY286" i="25"/>
  <c r="CZ286" i="25"/>
  <c r="CZ131" i="25"/>
  <c r="CY131" i="25"/>
  <c r="CZ132" i="25"/>
  <c r="CY132" i="25"/>
  <c r="CY163" i="25"/>
  <c r="CZ163" i="25"/>
  <c r="CZ259" i="25"/>
  <c r="DB259" i="25" s="1"/>
  <c r="DH259" i="25"/>
  <c r="DA259" i="25"/>
  <c r="DD259" i="25" s="1"/>
  <c r="DE259" i="25" s="1"/>
  <c r="DF259" i="25" s="1"/>
  <c r="DL234" i="25"/>
  <c r="DS234" i="25"/>
  <c r="DL18" i="25"/>
  <c r="DS18" i="25"/>
  <c r="FD18" i="25"/>
  <c r="DH173" i="25"/>
  <c r="DA173" i="25"/>
  <c r="DD173" i="25" s="1"/>
  <c r="DE173" i="25" s="1"/>
  <c r="DF173" i="25" s="1"/>
  <c r="DH231" i="25"/>
  <c r="DA231" i="25"/>
  <c r="DD231" i="25" s="1"/>
  <c r="DE231" i="25" s="1"/>
  <c r="DF231" i="25" s="1"/>
  <c r="DA120" i="25"/>
  <c r="DD120" i="25" s="1"/>
  <c r="DE120" i="25" s="1"/>
  <c r="DF120" i="25" s="1"/>
  <c r="DH120" i="25"/>
  <c r="DH267" i="25"/>
  <c r="DA267" i="25"/>
  <c r="DD267" i="25" s="1"/>
  <c r="DE267" i="25" s="1"/>
  <c r="DF267" i="25" s="1"/>
  <c r="DH47" i="25"/>
  <c r="DA47" i="25"/>
  <c r="DD47" i="25" s="1"/>
  <c r="DE47" i="25" s="1"/>
  <c r="DF47" i="25" s="1"/>
  <c r="DH314" i="25"/>
  <c r="DA314" i="25"/>
  <c r="DD314" i="25" s="1"/>
  <c r="DE314" i="25" s="1"/>
  <c r="DF314" i="25" s="1"/>
  <c r="CZ158" i="25"/>
  <c r="CY158" i="25"/>
  <c r="DS268" i="25"/>
  <c r="DL268" i="25"/>
  <c r="CY273" i="25"/>
  <c r="CZ273" i="25"/>
  <c r="FD206" i="25"/>
  <c r="DL206" i="25"/>
  <c r="DL249" i="25"/>
  <c r="DS249" i="25"/>
  <c r="FD120" i="25"/>
  <c r="DS120" i="25"/>
  <c r="DL120" i="25"/>
  <c r="DS35" i="25"/>
  <c r="DL35" i="25"/>
  <c r="FD35" i="25"/>
  <c r="CZ83" i="25"/>
  <c r="CY83" i="25"/>
  <c r="DH91" i="25"/>
  <c r="DA91" i="25"/>
  <c r="DD91" i="25" s="1"/>
  <c r="DE91" i="25" s="1"/>
  <c r="DF91" i="25" s="1"/>
  <c r="DH41" i="25"/>
  <c r="DA41" i="25"/>
  <c r="DD41" i="25" s="1"/>
  <c r="DE41" i="25" s="1"/>
  <c r="DF41" i="25" s="1"/>
  <c r="CY152" i="25"/>
  <c r="CZ152" i="25"/>
  <c r="DA257" i="25"/>
  <c r="DD257" i="25" s="1"/>
  <c r="DE257" i="25" s="1"/>
  <c r="DF257" i="25" s="1"/>
  <c r="DH257" i="25"/>
  <c r="DH244" i="25"/>
  <c r="DA244" i="25"/>
  <c r="DD244" i="25" s="1"/>
  <c r="DE244" i="25" s="1"/>
  <c r="DF244" i="25" s="1"/>
  <c r="DH292" i="25"/>
  <c r="DA292" i="25"/>
  <c r="DD292" i="25" s="1"/>
  <c r="DE292" i="25" s="1"/>
  <c r="DF292" i="25" s="1"/>
  <c r="DH251" i="25"/>
  <c r="DA251" i="25"/>
  <c r="DD251" i="25" s="1"/>
  <c r="DE251" i="25" s="1"/>
  <c r="DF251" i="25" s="1"/>
  <c r="DH202" i="25"/>
  <c r="DA202" i="25"/>
  <c r="DD202" i="25" s="1"/>
  <c r="DE202" i="25" s="1"/>
  <c r="DF202" i="25" s="1"/>
  <c r="DA65" i="25"/>
  <c r="DD65" i="25" s="1"/>
  <c r="DE65" i="25" s="1"/>
  <c r="DF65" i="25" s="1"/>
  <c r="DH65" i="25"/>
  <c r="DH144" i="25"/>
  <c r="DA144" i="25"/>
  <c r="DD144" i="25" s="1"/>
  <c r="DE144" i="25" s="1"/>
  <c r="DF144" i="25" s="1"/>
  <c r="DA280" i="25"/>
  <c r="DD280" i="25" s="1"/>
  <c r="DE280" i="25" s="1"/>
  <c r="DF280" i="25" s="1"/>
  <c r="DH280" i="25"/>
  <c r="DH103" i="25"/>
  <c r="DA103" i="25"/>
  <c r="DD103" i="25" s="1"/>
  <c r="DE103" i="25" s="1"/>
  <c r="DF103" i="25" s="1"/>
  <c r="DA187" i="25"/>
  <c r="DD187" i="25" s="1"/>
  <c r="DE187" i="25" s="1"/>
  <c r="DF187" i="25" s="1"/>
  <c r="DH187" i="25"/>
  <c r="DH99" i="25"/>
  <c r="DA99" i="25"/>
  <c r="DD99" i="25" s="1"/>
  <c r="DE99" i="25" s="1"/>
  <c r="DF99" i="25" s="1"/>
  <c r="DL223" i="25"/>
  <c r="DS223" i="25"/>
  <c r="FD101" i="25"/>
  <c r="DL101" i="25"/>
  <c r="CY56" i="25"/>
  <c r="CZ56" i="25"/>
  <c r="DL63" i="25"/>
  <c r="DS63" i="25"/>
  <c r="FD63" i="25"/>
  <c r="CZ84" i="25"/>
  <c r="CY84" i="25"/>
  <c r="CY11" i="25"/>
  <c r="CZ11" i="25"/>
  <c r="CZ135" i="25"/>
  <c r="CY135" i="25"/>
  <c r="DL103" i="25"/>
  <c r="FD103" i="25"/>
  <c r="DS132" i="25"/>
  <c r="DL132" i="25"/>
  <c r="FD132" i="25"/>
  <c r="DS76" i="25"/>
  <c r="DL76" i="25"/>
  <c r="FD76" i="25"/>
  <c r="DH9" i="25"/>
  <c r="DA9" i="25"/>
  <c r="DD9" i="25" s="1"/>
  <c r="DE9" i="25" s="1"/>
  <c r="DF9" i="25" s="1"/>
  <c r="CY44" i="25"/>
  <c r="CZ44" i="25"/>
  <c r="DA179" i="25"/>
  <c r="DD179" i="25" s="1"/>
  <c r="DE179" i="25" s="1"/>
  <c r="DF179" i="25" s="1"/>
  <c r="DH179" i="25"/>
  <c r="DA84" i="25"/>
  <c r="DD84" i="25" s="1"/>
  <c r="DE84" i="25" s="1"/>
  <c r="DF84" i="25" s="1"/>
  <c r="DH84" i="25"/>
  <c r="DA79" i="25"/>
  <c r="DD79" i="25" s="1"/>
  <c r="DE79" i="25" s="1"/>
  <c r="DF79" i="25" s="1"/>
  <c r="DH79" i="25"/>
  <c r="DL218" i="25"/>
  <c r="DS218" i="25"/>
  <c r="CY268" i="25"/>
  <c r="CZ268" i="25"/>
  <c r="DL203" i="25"/>
  <c r="FD203" i="25"/>
  <c r="CY303" i="25"/>
  <c r="CZ303" i="25"/>
  <c r="CY248" i="25"/>
  <c r="CZ248" i="25"/>
  <c r="CY249" i="25"/>
  <c r="CZ249" i="25"/>
  <c r="CZ120" i="25"/>
  <c r="CY120" i="25"/>
  <c r="DL99" i="25"/>
  <c r="FD99" i="25"/>
  <c r="CY54" i="25"/>
  <c r="CZ54" i="25"/>
  <c r="CY53" i="25"/>
  <c r="CZ53" i="25"/>
  <c r="CY80" i="25"/>
  <c r="CZ80" i="25"/>
  <c r="DL31" i="25"/>
  <c r="DS31" i="25"/>
  <c r="DH166" i="25"/>
  <c r="DA166" i="25"/>
  <c r="DD166" i="25" s="1"/>
  <c r="DE166" i="25" s="1"/>
  <c r="DF166" i="25" s="1"/>
  <c r="DH132" i="25"/>
  <c r="DA132" i="25"/>
  <c r="DD132" i="25" s="1"/>
  <c r="DE132" i="25" s="1"/>
  <c r="DF132" i="25" s="1"/>
  <c r="DA58" i="25"/>
  <c r="DD58" i="25" s="1"/>
  <c r="DE58" i="25" s="1"/>
  <c r="DF58" i="25" s="1"/>
  <c r="DH58" i="25"/>
  <c r="DS192" i="25"/>
  <c r="FD192" i="25"/>
  <c r="DL192" i="25"/>
  <c r="DL91" i="25"/>
  <c r="DH299" i="25"/>
  <c r="DA299" i="25"/>
  <c r="DD299" i="25" s="1"/>
  <c r="DE299" i="25" s="1"/>
  <c r="DF299" i="25" s="1"/>
  <c r="DA289" i="25"/>
  <c r="DD289" i="25" s="1"/>
  <c r="DE289" i="25" s="1"/>
  <c r="DF289" i="25" s="1"/>
  <c r="DH289" i="25"/>
  <c r="DH286" i="25"/>
  <c r="DA286" i="25"/>
  <c r="DD286" i="25" s="1"/>
  <c r="DE286" i="25" s="1"/>
  <c r="DF286" i="25" s="1"/>
  <c r="DH234" i="25"/>
  <c r="DA234" i="25"/>
  <c r="DD234" i="25" s="1"/>
  <c r="DE234" i="25" s="1"/>
  <c r="DF234" i="25" s="1"/>
  <c r="DA232" i="25"/>
  <c r="DD232" i="25" s="1"/>
  <c r="DE232" i="25" s="1"/>
  <c r="DF232" i="25" s="1"/>
  <c r="DH232" i="25"/>
  <c r="DL270" i="25"/>
  <c r="DS270" i="25"/>
  <c r="DL293" i="25"/>
  <c r="DS138" i="25"/>
  <c r="DL138" i="25"/>
  <c r="FD138" i="25"/>
  <c r="DH175" i="25"/>
  <c r="DA175" i="25"/>
  <c r="DD175" i="25" s="1"/>
  <c r="DE175" i="25" s="1"/>
  <c r="DF175" i="25" s="1"/>
  <c r="DA64" i="25"/>
  <c r="DD64" i="25" s="1"/>
  <c r="DE64" i="25" s="1"/>
  <c r="DF64" i="25" s="1"/>
  <c r="DH64" i="25"/>
  <c r="DH283" i="25"/>
  <c r="DA283" i="25"/>
  <c r="DD283" i="25" s="1"/>
  <c r="DE283" i="25" s="1"/>
  <c r="DF283" i="25" s="1"/>
  <c r="DA76" i="25"/>
  <c r="DD76" i="25" s="1"/>
  <c r="DE76" i="25" s="1"/>
  <c r="DF76" i="25" s="1"/>
  <c r="DH76" i="25"/>
  <c r="DA31" i="25"/>
  <c r="DD31" i="25" s="1"/>
  <c r="DE31" i="25" s="1"/>
  <c r="DF31" i="25" s="1"/>
  <c r="DH31" i="25"/>
  <c r="CY310" i="25"/>
  <c r="CZ310" i="25"/>
  <c r="CZ223" i="25"/>
  <c r="CY223" i="25"/>
  <c r="CY217" i="25"/>
  <c r="CZ217" i="25"/>
  <c r="DL67" i="25"/>
  <c r="DS67" i="25"/>
  <c r="FD67" i="25"/>
  <c r="DS84" i="25"/>
  <c r="FD84" i="25"/>
  <c r="DL84" i="25"/>
  <c r="DS281" i="25"/>
  <c r="DL281" i="25"/>
  <c r="DL44" i="25"/>
  <c r="DS44" i="25"/>
  <c r="DS316" i="25"/>
  <c r="DL316" i="25"/>
  <c r="CZ18" i="25"/>
  <c r="CY18" i="25"/>
  <c r="DH306" i="25"/>
  <c r="DA306" i="25"/>
  <c r="DD306" i="25" s="1"/>
  <c r="DE306" i="25" s="1"/>
  <c r="DF306" i="25" s="1"/>
  <c r="DH34" i="25"/>
  <c r="DA34" i="25"/>
  <c r="DD34" i="25" s="1"/>
  <c r="DE34" i="25" s="1"/>
  <c r="DF34" i="25" s="1"/>
  <c r="DA199" i="25"/>
  <c r="DD199" i="25" s="1"/>
  <c r="DE199" i="25" s="1"/>
  <c r="DF199" i="25" s="1"/>
  <c r="DH199" i="25"/>
  <c r="DH27" i="25"/>
  <c r="DA27" i="25"/>
  <c r="DD27" i="25" s="1"/>
  <c r="DE27" i="25" s="1"/>
  <c r="DF27" i="25" s="1"/>
  <c r="CY210" i="25"/>
  <c r="CZ210" i="25"/>
  <c r="CY178" i="25"/>
  <c r="CZ178" i="25"/>
  <c r="DL273" i="25"/>
  <c r="DS273" i="25"/>
  <c r="CZ127" i="25"/>
  <c r="CY127" i="25"/>
  <c r="DH102" i="25"/>
  <c r="DA102" i="25"/>
  <c r="DD102" i="25" s="1"/>
  <c r="DE102" i="25" s="1"/>
  <c r="DF102" i="25" s="1"/>
  <c r="CZ192" i="25"/>
  <c r="CY192" i="25"/>
  <c r="DH249" i="25"/>
  <c r="DA249" i="25"/>
  <c r="DD249" i="25" s="1"/>
  <c r="DE249" i="25" s="1"/>
  <c r="DF249" i="25" s="1"/>
  <c r="DH217" i="25"/>
  <c r="DA217" i="25"/>
  <c r="DD217" i="25" s="1"/>
  <c r="DE217" i="25" s="1"/>
  <c r="DF217" i="25" s="1"/>
  <c r="CY205" i="25"/>
  <c r="CZ205" i="25"/>
  <c r="DH143" i="25"/>
  <c r="DA143" i="25"/>
  <c r="DD143" i="25" s="1"/>
  <c r="DE143" i="25" s="1"/>
  <c r="DF143" i="25" s="1"/>
  <c r="DA168" i="25"/>
  <c r="DD168" i="25" s="1"/>
  <c r="DE168" i="25" s="1"/>
  <c r="DF168" i="25" s="1"/>
  <c r="DH168" i="25"/>
  <c r="DH284" i="25"/>
  <c r="DA284" i="25"/>
  <c r="DD284" i="25" s="1"/>
  <c r="DE284" i="25" s="1"/>
  <c r="DF284" i="25" s="1"/>
  <c r="DH156" i="25"/>
  <c r="DA156" i="25"/>
  <c r="DD156" i="25" s="1"/>
  <c r="DE156" i="25" s="1"/>
  <c r="DF156" i="25" s="1"/>
  <c r="CY279" i="25"/>
  <c r="CZ279" i="25"/>
  <c r="CY274" i="25"/>
  <c r="CZ274" i="25"/>
  <c r="DL217" i="25"/>
  <c r="DS217" i="25"/>
  <c r="DL11" i="25"/>
  <c r="DS11" i="25"/>
  <c r="FD11" i="25"/>
  <c r="DL163" i="25"/>
  <c r="FD163" i="25"/>
  <c r="DS163" i="25"/>
  <c r="CY76" i="25"/>
  <c r="CZ76" i="25"/>
  <c r="DH311" i="25"/>
  <c r="DA311" i="25"/>
  <c r="DD311" i="25" s="1"/>
  <c r="DE311" i="25" s="1"/>
  <c r="DF311" i="25" s="1"/>
  <c r="CZ281" i="25"/>
  <c r="CY281" i="25"/>
  <c r="CY316" i="25"/>
  <c r="CZ316" i="25"/>
  <c r="DA87" i="25"/>
  <c r="DD87" i="25" s="1"/>
  <c r="DE87" i="25" s="1"/>
  <c r="DF87" i="25" s="1"/>
  <c r="DH87" i="25"/>
  <c r="DH138" i="25"/>
  <c r="DA138" i="25"/>
  <c r="DD138" i="25" s="1"/>
  <c r="DE138" i="25" s="1"/>
  <c r="DF138" i="25" s="1"/>
  <c r="DH200" i="25"/>
  <c r="DA200" i="25"/>
  <c r="DD200" i="25" s="1"/>
  <c r="DE200" i="25" s="1"/>
  <c r="DF200" i="25" s="1"/>
  <c r="CZ220" i="25"/>
  <c r="DB220" i="25" s="1"/>
  <c r="DH220" i="25"/>
  <c r="DA220" i="25"/>
  <c r="DD220" i="25" s="1"/>
  <c r="DE220" i="25" s="1"/>
  <c r="DF220" i="25" s="1"/>
  <c r="DH40" i="25"/>
  <c r="DA40" i="25"/>
  <c r="DD40" i="25" s="1"/>
  <c r="DE40" i="25" s="1"/>
  <c r="DF40" i="25" s="1"/>
  <c r="DH228" i="25"/>
  <c r="DA228" i="25"/>
  <c r="DD228" i="25" s="1"/>
  <c r="DE228" i="25" s="1"/>
  <c r="DF228" i="25" s="1"/>
  <c r="DL278" i="25"/>
  <c r="DS278" i="25"/>
  <c r="DL210" i="25"/>
  <c r="FD210" i="25"/>
  <c r="CY267" i="25"/>
  <c r="CZ267" i="25"/>
  <c r="CY218" i="25"/>
  <c r="CZ218" i="25"/>
  <c r="DL158" i="25"/>
  <c r="DS158" i="25"/>
  <c r="FD158" i="25"/>
  <c r="CZ203" i="25"/>
  <c r="CY203" i="25"/>
  <c r="DS297" i="25"/>
  <c r="DL248" i="25"/>
  <c r="DS248" i="25"/>
  <c r="DL162" i="25"/>
  <c r="DS162" i="25"/>
  <c r="FD162" i="25"/>
  <c r="DS53" i="25"/>
  <c r="FD53" i="25"/>
  <c r="DL53" i="25"/>
  <c r="DS80" i="25"/>
  <c r="FD80" i="25"/>
  <c r="DL80" i="25"/>
  <c r="CY10" i="25"/>
  <c r="CZ10" i="25"/>
  <c r="CY116" i="25"/>
  <c r="CZ116" i="25"/>
  <c r="DL97" i="25"/>
  <c r="FD97" i="25"/>
  <c r="DL83" i="25"/>
  <c r="FD83" i="25"/>
  <c r="CY113" i="25"/>
  <c r="CZ113" i="25"/>
  <c r="CY288" i="25"/>
  <c r="CZ288" i="25"/>
  <c r="DS191" i="25"/>
  <c r="FD191" i="25"/>
  <c r="DL191" i="25"/>
  <c r="CY118" i="25"/>
  <c r="CZ118" i="25"/>
  <c r="CZ174" i="25"/>
  <c r="CY174" i="25"/>
  <c r="CY133" i="25"/>
  <c r="CZ133" i="25"/>
  <c r="DA111" i="25"/>
  <c r="DD111" i="25" s="1"/>
  <c r="DE111" i="25" s="1"/>
  <c r="DF111" i="25" s="1"/>
  <c r="DH111" i="25"/>
  <c r="DH70" i="25"/>
  <c r="DA70" i="25"/>
  <c r="DD70" i="25" s="1"/>
  <c r="DE70" i="25" s="1"/>
  <c r="DF70" i="25" s="1"/>
  <c r="DA295" i="25"/>
  <c r="DD295" i="25" s="1"/>
  <c r="DE295" i="25" s="1"/>
  <c r="DF295" i="25" s="1"/>
  <c r="DH295" i="25"/>
  <c r="DH44" i="25"/>
  <c r="DA44" i="25"/>
  <c r="DD44" i="25" s="1"/>
  <c r="DE44" i="25" s="1"/>
  <c r="DF44" i="25" s="1"/>
  <c r="DH37" i="25"/>
  <c r="DA37" i="25"/>
  <c r="DD37" i="25" s="1"/>
  <c r="DE37" i="25" s="1"/>
  <c r="DF37" i="25" s="1"/>
  <c r="DH100" i="25"/>
  <c r="DA100" i="25"/>
  <c r="DD100" i="25" s="1"/>
  <c r="DE100" i="25" s="1"/>
  <c r="DF100" i="25" s="1"/>
  <c r="DL186" i="25"/>
  <c r="FD186" i="25"/>
  <c r="DS186" i="25"/>
  <c r="CZ231" i="25"/>
  <c r="CY231" i="25"/>
  <c r="CZ166" i="25"/>
  <c r="CY166" i="25"/>
  <c r="DL204" i="25"/>
  <c r="FD204" i="25"/>
  <c r="DL310" i="25"/>
  <c r="DS310" i="25"/>
  <c r="CY261" i="25"/>
  <c r="CZ261" i="25"/>
  <c r="DL165" i="25"/>
  <c r="DS165" i="25"/>
  <c r="FD165" i="25"/>
  <c r="CY282" i="25"/>
  <c r="CZ282" i="25"/>
  <c r="CZ124" i="25"/>
  <c r="CY124" i="25"/>
  <c r="DL135" i="25"/>
  <c r="FD135" i="25"/>
  <c r="DS135" i="25"/>
  <c r="CY36" i="25"/>
  <c r="CZ36" i="25"/>
  <c r="DS61" i="25"/>
  <c r="DL61" i="25"/>
  <c r="FD61" i="25"/>
  <c r="DL315" i="25"/>
  <c r="DS315" i="25"/>
  <c r="DH262" i="25"/>
  <c r="DA262" i="25"/>
  <c r="DD262" i="25" s="1"/>
  <c r="DE262" i="25" s="1"/>
  <c r="DF262" i="25" s="1"/>
  <c r="DA294" i="25"/>
  <c r="DD294" i="25" s="1"/>
  <c r="DE294" i="25" s="1"/>
  <c r="DF294" i="25" s="1"/>
  <c r="DH294" i="25"/>
  <c r="DA254" i="25"/>
  <c r="DD254" i="25" s="1"/>
  <c r="DE254" i="25" s="1"/>
  <c r="DF254" i="25" s="1"/>
  <c r="DH254" i="25"/>
  <c r="DH308" i="25"/>
  <c r="DA308" i="25"/>
  <c r="DD308" i="25" s="1"/>
  <c r="DE308" i="25" s="1"/>
  <c r="DF308" i="25" s="1"/>
  <c r="DS178" i="25"/>
  <c r="FD178" i="25"/>
  <c r="DL178" i="25"/>
  <c r="DL267" i="25"/>
  <c r="DS267" i="25"/>
  <c r="CY297" i="25"/>
  <c r="CZ297" i="25"/>
  <c r="FD10" i="25"/>
  <c r="DS10" i="25"/>
  <c r="DL10" i="25"/>
  <c r="DA95" i="25"/>
  <c r="DD95" i="25" s="1"/>
  <c r="DE95" i="25" s="1"/>
  <c r="DF95" i="25" s="1"/>
  <c r="DH95" i="25"/>
  <c r="DH23" i="25"/>
  <c r="DA23" i="25"/>
  <c r="DD23" i="25" s="1"/>
  <c r="DE23" i="25" s="1"/>
  <c r="DF23" i="25" s="1"/>
  <c r="DL152" i="25"/>
  <c r="FD152" i="25"/>
  <c r="DS152" i="25"/>
  <c r="DL288" i="25"/>
  <c r="DS288" i="25"/>
  <c r="FD102" i="25"/>
  <c r="DL102" i="25"/>
  <c r="DA266" i="25"/>
  <c r="DD266" i="25" s="1"/>
  <c r="DE266" i="25" s="1"/>
  <c r="DF266" i="25" s="1"/>
  <c r="DH266" i="25"/>
  <c r="CZ157" i="25"/>
  <c r="DB157" i="25" s="1"/>
  <c r="DH157" i="25"/>
  <c r="DA157" i="25"/>
  <c r="DD157" i="25" s="1"/>
  <c r="DE157" i="25" s="1"/>
  <c r="DF157" i="25" s="1"/>
  <c r="CZ91" i="25"/>
  <c r="CY91" i="25"/>
  <c r="DL16" i="25"/>
  <c r="DS16" i="25"/>
  <c r="FD16" i="25"/>
  <c r="CY240" i="25"/>
  <c r="CZ240" i="25"/>
  <c r="DH38" i="25"/>
  <c r="DA38" i="25"/>
  <c r="DD38" i="25" s="1"/>
  <c r="DE38" i="25" s="1"/>
  <c r="DF38" i="25" s="1"/>
  <c r="DA53" i="25"/>
  <c r="DD53" i="25" s="1"/>
  <c r="DE53" i="25" s="1"/>
  <c r="DF53" i="25" s="1"/>
  <c r="DH53" i="25"/>
  <c r="DH29" i="25"/>
  <c r="DA29" i="25"/>
  <c r="DD29" i="25" s="1"/>
  <c r="DE29" i="25" s="1"/>
  <c r="DF29" i="25" s="1"/>
  <c r="DA248" i="25"/>
  <c r="DD248" i="25" s="1"/>
  <c r="DE248" i="25" s="1"/>
  <c r="DF248" i="25" s="1"/>
  <c r="DH248" i="25"/>
  <c r="CY202" i="25"/>
  <c r="CZ202" i="25"/>
  <c r="DL222" i="25"/>
  <c r="DS222" i="25"/>
  <c r="DL94" i="25"/>
  <c r="FD94" i="25"/>
  <c r="CY50" i="25"/>
  <c r="CZ50" i="25"/>
  <c r="CZ111" i="25"/>
  <c r="CY111" i="25"/>
  <c r="DS133" i="25"/>
  <c r="DL133" i="25"/>
  <c r="FD133" i="25"/>
  <c r="DH141" i="25"/>
  <c r="DA141" i="25"/>
  <c r="DD141" i="25" s="1"/>
  <c r="DE141" i="25" s="1"/>
  <c r="DF141" i="25" s="1"/>
  <c r="DL147" i="25"/>
  <c r="DS147" i="25"/>
  <c r="FD198" i="25"/>
  <c r="DL198" i="25"/>
  <c r="FD149" i="25"/>
  <c r="DL149" i="25"/>
  <c r="DS149" i="25"/>
  <c r="DS247" i="25"/>
  <c r="CY193" i="25"/>
  <c r="CZ193" i="25"/>
  <c r="DL209" i="25"/>
  <c r="FD209" i="25"/>
  <c r="CY122" i="25"/>
  <c r="CZ122" i="25"/>
  <c r="CZ142" i="25"/>
  <c r="CY142" i="25"/>
  <c r="CY46" i="25"/>
  <c r="CZ46" i="25"/>
  <c r="DS115" i="25"/>
  <c r="DL115" i="25"/>
  <c r="FD115" i="25"/>
  <c r="CY105" i="25"/>
  <c r="CZ105" i="25"/>
  <c r="FD30" i="25"/>
  <c r="DL30" i="25"/>
  <c r="DS30" i="25"/>
  <c r="CY114" i="25"/>
  <c r="CZ114" i="25"/>
  <c r="CZ23" i="25"/>
  <c r="CY23" i="25"/>
  <c r="DH268" i="25"/>
  <c r="DA268" i="25"/>
  <c r="DD268" i="25" s="1"/>
  <c r="DE268" i="25" s="1"/>
  <c r="DF268" i="25" s="1"/>
  <c r="DH43" i="25"/>
  <c r="DA43" i="25"/>
  <c r="DD43" i="25" s="1"/>
  <c r="DE43" i="25" s="1"/>
  <c r="DF43" i="25" s="1"/>
  <c r="DH134" i="25"/>
  <c r="DA134" i="25"/>
  <c r="DD134" i="25" s="1"/>
  <c r="DE134" i="25" s="1"/>
  <c r="DF134" i="25" s="1"/>
  <c r="DA316" i="25"/>
  <c r="DD316" i="25" s="1"/>
  <c r="DE316" i="25" s="1"/>
  <c r="DF316" i="25" s="1"/>
  <c r="DH316" i="25"/>
  <c r="CZ251" i="25"/>
  <c r="CY251" i="25"/>
  <c r="CZ95" i="25"/>
  <c r="CY95" i="25"/>
  <c r="FD92" i="25"/>
  <c r="DL92" i="25"/>
  <c r="DL28" i="25"/>
  <c r="DS28" i="25"/>
  <c r="CZ9" i="25"/>
  <c r="CY9" i="25"/>
  <c r="DS29" i="25"/>
  <c r="FD29" i="25"/>
  <c r="DL29" i="25"/>
  <c r="CY24" i="25"/>
  <c r="CZ24" i="25"/>
  <c r="CZ269" i="25"/>
  <c r="CY269" i="25"/>
  <c r="DA208" i="25"/>
  <c r="DD208" i="25" s="1"/>
  <c r="DE208" i="25" s="1"/>
  <c r="DF208" i="25" s="1"/>
  <c r="DH208" i="25"/>
  <c r="DH170" i="25"/>
  <c r="DA170" i="25"/>
  <c r="DD170" i="25" s="1"/>
  <c r="DE170" i="25" s="1"/>
  <c r="DF170" i="25" s="1"/>
  <c r="DA224" i="25"/>
  <c r="DD224" i="25" s="1"/>
  <c r="DE224" i="25" s="1"/>
  <c r="DF224" i="25" s="1"/>
  <c r="DH224" i="25"/>
  <c r="DH90" i="25"/>
  <c r="DA90" i="25"/>
  <c r="DD90" i="25" s="1"/>
  <c r="DE90" i="25" s="1"/>
  <c r="DF90" i="25" s="1"/>
  <c r="CY307" i="25"/>
  <c r="CZ307" i="25"/>
  <c r="CZ188" i="25"/>
  <c r="CY188" i="25"/>
  <c r="CY14" i="25"/>
  <c r="CZ14" i="25"/>
  <c r="CY37" i="25"/>
  <c r="CZ37" i="25"/>
  <c r="DS128" i="25"/>
  <c r="DL128" i="25"/>
  <c r="FD128" i="25"/>
  <c r="DS64" i="25"/>
  <c r="DL64" i="25"/>
  <c r="FD64" i="25"/>
  <c r="CY68" i="25"/>
  <c r="CZ68" i="25"/>
  <c r="DS305" i="25"/>
  <c r="DL305" i="25"/>
  <c r="DA178" i="25"/>
  <c r="DD178" i="25" s="1"/>
  <c r="DE178" i="25" s="1"/>
  <c r="DF178" i="25" s="1"/>
  <c r="DH178" i="25"/>
  <c r="DH123" i="25"/>
  <c r="DA123" i="25"/>
  <c r="DD123" i="25" s="1"/>
  <c r="DE123" i="25" s="1"/>
  <c r="DF123" i="25" s="1"/>
  <c r="DH54" i="25"/>
  <c r="DA54" i="25"/>
  <c r="DD54" i="25" s="1"/>
  <c r="DE54" i="25" s="1"/>
  <c r="DF54" i="25" s="1"/>
  <c r="DA296" i="25"/>
  <c r="DD296" i="25" s="1"/>
  <c r="DE296" i="25" s="1"/>
  <c r="DF296" i="25" s="1"/>
  <c r="DH296" i="25"/>
  <c r="DA189" i="25"/>
  <c r="DD189" i="25" s="1"/>
  <c r="DE189" i="25" s="1"/>
  <c r="DF189" i="25" s="1"/>
  <c r="DH189" i="25"/>
  <c r="DH225" i="25"/>
  <c r="DA225" i="25"/>
  <c r="DD225" i="25" s="1"/>
  <c r="DE225" i="25" s="1"/>
  <c r="DF225" i="25" s="1"/>
  <c r="DS306" i="25"/>
  <c r="DL306" i="25"/>
  <c r="CY235" i="25"/>
  <c r="CZ235" i="25"/>
  <c r="CY194" i="25"/>
  <c r="CZ194" i="25"/>
  <c r="DS180" i="25"/>
  <c r="FD180" i="25"/>
  <c r="DL180" i="25"/>
  <c r="CY237" i="25"/>
  <c r="CZ237" i="25"/>
  <c r="DL238" i="25"/>
  <c r="DS238" i="25"/>
  <c r="CY148" i="25"/>
  <c r="CZ148" i="25"/>
  <c r="DL85" i="25"/>
  <c r="FD85" i="25"/>
  <c r="DS85" i="25"/>
  <c r="DS125" i="25"/>
  <c r="FD125" i="25"/>
  <c r="DL125" i="25"/>
  <c r="CY33" i="25"/>
  <c r="CZ33" i="25"/>
  <c r="DS119" i="25"/>
  <c r="FD119" i="25"/>
  <c r="DL119" i="25"/>
  <c r="CY117" i="25"/>
  <c r="CZ117" i="25"/>
  <c r="CY258" i="25"/>
  <c r="CZ258" i="25"/>
  <c r="CY41" i="25"/>
  <c r="CZ41" i="25"/>
  <c r="CY141" i="25"/>
  <c r="CZ141" i="25"/>
  <c r="CZ98" i="25"/>
  <c r="CY98" i="25"/>
  <c r="DA11" i="25"/>
  <c r="DD11" i="25" s="1"/>
  <c r="DE11" i="25" s="1"/>
  <c r="DF11" i="25" s="1"/>
  <c r="DH11" i="25"/>
  <c r="DA256" i="25"/>
  <c r="DD256" i="25" s="1"/>
  <c r="DE256" i="25" s="1"/>
  <c r="DF256" i="25" s="1"/>
  <c r="DH256" i="25"/>
  <c r="DH279" i="25"/>
  <c r="DA279" i="25"/>
  <c r="DD279" i="25" s="1"/>
  <c r="DE279" i="25" s="1"/>
  <c r="DF279" i="25" s="1"/>
  <c r="DA6" i="25"/>
  <c r="DD6" i="25" s="1"/>
  <c r="DE6" i="25" s="1"/>
  <c r="DF6" i="25" s="1"/>
  <c r="DM6" i="25" s="1"/>
  <c r="DH6" i="25"/>
  <c r="CZ6" i="25"/>
  <c r="DB6" i="25" s="1"/>
  <c r="DH121" i="25"/>
  <c r="DA121" i="25"/>
  <c r="DD121" i="25" s="1"/>
  <c r="DE121" i="25" s="1"/>
  <c r="DF121" i="25" s="1"/>
  <c r="DH305" i="25"/>
  <c r="DA305" i="25"/>
  <c r="DD305" i="25" s="1"/>
  <c r="DE305" i="25" s="1"/>
  <c r="DF305" i="25" s="1"/>
  <c r="DA307" i="25"/>
  <c r="DD307" i="25" s="1"/>
  <c r="DE307" i="25" s="1"/>
  <c r="DF307" i="25" s="1"/>
  <c r="DH307" i="25"/>
  <c r="DL247" i="25"/>
  <c r="DL172" i="25"/>
  <c r="DS172" i="25"/>
  <c r="FD172" i="25"/>
  <c r="CZ209" i="25"/>
  <c r="CY209" i="25"/>
  <c r="CY78" i="25"/>
  <c r="CZ78" i="25"/>
  <c r="CZ257" i="25"/>
  <c r="CY257" i="25"/>
  <c r="DS46" i="25"/>
  <c r="DL46" i="25"/>
  <c r="FD46" i="25"/>
  <c r="DL104" i="25"/>
  <c r="FD104" i="25"/>
  <c r="CY39" i="25"/>
  <c r="CZ39" i="25"/>
  <c r="DA201" i="25"/>
  <c r="DD201" i="25" s="1"/>
  <c r="DE201" i="25" s="1"/>
  <c r="DF201" i="25" s="1"/>
  <c r="DH201" i="25"/>
  <c r="DA131" i="25"/>
  <c r="DD131" i="25" s="1"/>
  <c r="DE131" i="25" s="1"/>
  <c r="DF131" i="25" s="1"/>
  <c r="DH131" i="25"/>
  <c r="DH119" i="25"/>
  <c r="DA119" i="25"/>
  <c r="DD119" i="25" s="1"/>
  <c r="DE119" i="25" s="1"/>
  <c r="DF119" i="25" s="1"/>
  <c r="DH89" i="25"/>
  <c r="DA89" i="25"/>
  <c r="DD89" i="25" s="1"/>
  <c r="DE89" i="25" s="1"/>
  <c r="DF89" i="25" s="1"/>
  <c r="DH153" i="25"/>
  <c r="DA153" i="25"/>
  <c r="DD153" i="25" s="1"/>
  <c r="DE153" i="25" s="1"/>
  <c r="DF153" i="25" s="1"/>
  <c r="CY197" i="25"/>
  <c r="CZ197" i="25"/>
  <c r="CZ309" i="25"/>
  <c r="CY309" i="25"/>
  <c r="DS251" i="25"/>
  <c r="DL251" i="25"/>
  <c r="DL314" i="25"/>
  <c r="DS314" i="25"/>
  <c r="CY140" i="25"/>
  <c r="CZ140" i="25"/>
  <c r="CY28" i="25"/>
  <c r="CZ28" i="25"/>
  <c r="DS42" i="25"/>
  <c r="FD42" i="25"/>
  <c r="DL42" i="25"/>
  <c r="DL225" i="25"/>
  <c r="DA128" i="25"/>
  <c r="DD128" i="25" s="1"/>
  <c r="DE128" i="25" s="1"/>
  <c r="DF128" i="25" s="1"/>
  <c r="DH128" i="25"/>
  <c r="DH46" i="25"/>
  <c r="DA46" i="25"/>
  <c r="DD46" i="25" s="1"/>
  <c r="DE46" i="25" s="1"/>
  <c r="DF46" i="25" s="1"/>
  <c r="DH135" i="25"/>
  <c r="DA135" i="25"/>
  <c r="DD135" i="25" s="1"/>
  <c r="DE135" i="25" s="1"/>
  <c r="DF135" i="25" s="1"/>
  <c r="DH263" i="25"/>
  <c r="DA263" i="25"/>
  <c r="DD263" i="25" s="1"/>
  <c r="DE263" i="25" s="1"/>
  <c r="DF263" i="25" s="1"/>
  <c r="DA310" i="25"/>
  <c r="DD310" i="25" s="1"/>
  <c r="DE310" i="25" s="1"/>
  <c r="DF310" i="25" s="1"/>
  <c r="DH310" i="25"/>
  <c r="DH36" i="25"/>
  <c r="DA36" i="25"/>
  <c r="DD36" i="25" s="1"/>
  <c r="DE36" i="25" s="1"/>
  <c r="DF36" i="25" s="1"/>
  <c r="DH152" i="25"/>
  <c r="DA152" i="25"/>
  <c r="DD152" i="25" s="1"/>
  <c r="DE152" i="25" s="1"/>
  <c r="DF152" i="25" s="1"/>
  <c r="CZ250" i="25"/>
  <c r="CY250" i="25"/>
  <c r="CY156" i="25"/>
  <c r="CZ156" i="25"/>
  <c r="CY280" i="25"/>
  <c r="CZ280" i="25"/>
  <c r="FD188" i="25"/>
  <c r="DS188" i="25"/>
  <c r="DL188" i="25"/>
  <c r="CY285" i="25"/>
  <c r="CZ285" i="25"/>
  <c r="CZ233" i="25"/>
  <c r="CY233" i="25"/>
  <c r="DL153" i="25"/>
  <c r="FD153" i="25"/>
  <c r="DS153" i="25"/>
  <c r="CY151" i="25"/>
  <c r="CZ151" i="25"/>
  <c r="DL86" i="25"/>
  <c r="DS86" i="25"/>
  <c r="FD86" i="25"/>
  <c r="CZ34" i="25"/>
  <c r="CY34" i="25"/>
  <c r="CY87" i="25"/>
  <c r="CZ87" i="25"/>
  <c r="DS277" i="25"/>
  <c r="DL277" i="25"/>
  <c r="CY90" i="25"/>
  <c r="CZ90" i="25"/>
  <c r="CY266" i="25"/>
  <c r="CZ266" i="25"/>
  <c r="CZ27" i="25"/>
  <c r="CY27" i="25"/>
  <c r="DL37" i="25"/>
  <c r="DS37" i="25"/>
  <c r="FD37" i="25"/>
  <c r="DH250" i="25"/>
  <c r="DA250" i="25"/>
  <c r="DD250" i="25" s="1"/>
  <c r="DE250" i="25" s="1"/>
  <c r="DF250" i="25" s="1"/>
  <c r="CZ179" i="25"/>
  <c r="CY179" i="25"/>
  <c r="DL232" i="25"/>
  <c r="DS232" i="25"/>
  <c r="CZ305" i="25"/>
  <c r="CY305" i="25"/>
  <c r="DA49" i="25"/>
  <c r="DD49" i="25" s="1"/>
  <c r="DE49" i="25" s="1"/>
  <c r="DF49" i="25" s="1"/>
  <c r="DH49" i="25"/>
  <c r="DH253" i="25"/>
  <c r="DA253" i="25"/>
  <c r="DD253" i="25" s="1"/>
  <c r="DE253" i="25" s="1"/>
  <c r="DF253" i="25" s="1"/>
  <c r="DA285" i="25"/>
  <c r="DD285" i="25" s="1"/>
  <c r="DE285" i="25" s="1"/>
  <c r="DF285" i="25" s="1"/>
  <c r="DH285" i="25"/>
  <c r="DH33" i="25"/>
  <c r="DA33" i="25"/>
  <c r="DD33" i="25" s="1"/>
  <c r="DE33" i="25" s="1"/>
  <c r="DF33" i="25" s="1"/>
  <c r="DH12" i="25"/>
  <c r="DA12" i="25"/>
  <c r="DD12" i="25" s="1"/>
  <c r="DE12" i="25" s="1"/>
  <c r="DF12" i="25" s="1"/>
  <c r="DL294" i="25"/>
  <c r="DS294" i="25"/>
  <c r="DL237" i="25"/>
  <c r="DS237" i="25"/>
  <c r="CY143" i="25"/>
  <c r="CZ143" i="25"/>
  <c r="CY79" i="25"/>
  <c r="CZ79" i="25"/>
  <c r="CY74" i="25"/>
  <c r="CZ74" i="25"/>
  <c r="DL262" i="25"/>
  <c r="DS262" i="25"/>
  <c r="DS22" i="25"/>
  <c r="DL22" i="25"/>
  <c r="FD22" i="25"/>
  <c r="DL15" i="25"/>
  <c r="FD15" i="25"/>
  <c r="DS15" i="25"/>
  <c r="DL8" i="25"/>
  <c r="FD8" i="25"/>
  <c r="DS8" i="25"/>
  <c r="CY187" i="25"/>
  <c r="CZ187" i="25"/>
  <c r="CZ301" i="25"/>
  <c r="CY301" i="25"/>
  <c r="DL296" i="25"/>
  <c r="DS296" i="25"/>
  <c r="DL229" i="25"/>
  <c r="DS229" i="25"/>
  <c r="DL159" i="25"/>
  <c r="DS159" i="25"/>
  <c r="FD159" i="25"/>
  <c r="DS293" i="25"/>
  <c r="DL52" i="25"/>
  <c r="DS52" i="25"/>
  <c r="FD52" i="25"/>
  <c r="FD75" i="25"/>
  <c r="DS75" i="25"/>
  <c r="DL75" i="25"/>
  <c r="DS258" i="25"/>
  <c r="DL258" i="25"/>
  <c r="DL111" i="25"/>
  <c r="DS111" i="25"/>
  <c r="FD111" i="25"/>
  <c r="DH30" i="25"/>
  <c r="DA30" i="25"/>
  <c r="DD30" i="25" s="1"/>
  <c r="DE30" i="25" s="1"/>
  <c r="DF30" i="25" s="1"/>
  <c r="CZ137" i="25"/>
  <c r="CY137" i="25"/>
  <c r="DA130" i="25"/>
  <c r="DD130" i="25" s="1"/>
  <c r="DE130" i="25" s="1"/>
  <c r="DF130" i="25" s="1"/>
  <c r="DH130" i="25"/>
  <c r="DH149" i="25"/>
  <c r="DA149" i="25"/>
  <c r="DD149" i="25" s="1"/>
  <c r="DE149" i="25" s="1"/>
  <c r="DF149" i="25" s="1"/>
  <c r="CZ66" i="25"/>
  <c r="DB66" i="25" s="1"/>
  <c r="DA66" i="25"/>
  <c r="DD66" i="25" s="1"/>
  <c r="DE66" i="25" s="1"/>
  <c r="DF66" i="25" s="1"/>
  <c r="DH66" i="25"/>
  <c r="DH312" i="25"/>
  <c r="DA312" i="25"/>
  <c r="DD312" i="25" s="1"/>
  <c r="DE312" i="25" s="1"/>
  <c r="DF312" i="25" s="1"/>
  <c r="DH86" i="25"/>
  <c r="DA86" i="25"/>
  <c r="DD86" i="25" s="1"/>
  <c r="DE86" i="25" s="1"/>
  <c r="DF86" i="25" s="1"/>
  <c r="DH301" i="25"/>
  <c r="DA301" i="25"/>
  <c r="DD301" i="25" s="1"/>
  <c r="DE301" i="25" s="1"/>
  <c r="DF301" i="25" s="1"/>
  <c r="CY190" i="25"/>
  <c r="CZ190" i="25"/>
  <c r="CY308" i="25"/>
  <c r="CZ308" i="25"/>
  <c r="FD193" i="25"/>
  <c r="DL193" i="25"/>
  <c r="DL257" i="25"/>
  <c r="DS257" i="25"/>
  <c r="DS122" i="25"/>
  <c r="FD122" i="25"/>
  <c r="DL122" i="25"/>
  <c r="CZ93" i="25"/>
  <c r="CY93" i="25"/>
  <c r="CY115" i="25"/>
  <c r="CZ115" i="25"/>
  <c r="CY13" i="25"/>
  <c r="CZ13" i="25"/>
  <c r="FD114" i="25"/>
  <c r="DS114" i="25"/>
  <c r="DL114" i="25"/>
  <c r="DS184" i="25"/>
  <c r="DL184" i="25"/>
  <c r="FD184" i="25"/>
  <c r="CY302" i="25"/>
  <c r="CZ302" i="25"/>
  <c r="CY73" i="25"/>
  <c r="CZ73" i="25"/>
  <c r="CY49" i="25"/>
  <c r="CZ49" i="25"/>
  <c r="DH271" i="25"/>
  <c r="DA271" i="25"/>
  <c r="DD271" i="25" s="1"/>
  <c r="DE271" i="25" s="1"/>
  <c r="DF271" i="25" s="1"/>
  <c r="DH22" i="25"/>
  <c r="DA22" i="25"/>
  <c r="DD22" i="25" s="1"/>
  <c r="DE22" i="25" s="1"/>
  <c r="DF22" i="25" s="1"/>
  <c r="DH72" i="25"/>
  <c r="DA72" i="25"/>
  <c r="DD72" i="25" s="1"/>
  <c r="DE72" i="25" s="1"/>
  <c r="DF72" i="25" s="1"/>
  <c r="DA193" i="25"/>
  <c r="DD193" i="25" s="1"/>
  <c r="DE193" i="25" s="1"/>
  <c r="DF193" i="25" s="1"/>
  <c r="DH193" i="25"/>
  <c r="DA240" i="25"/>
  <c r="DD240" i="25" s="1"/>
  <c r="DE240" i="25" s="1"/>
  <c r="DF240" i="25" s="1"/>
  <c r="DH240" i="25"/>
  <c r="DH150" i="25"/>
  <c r="DA150" i="25"/>
  <c r="DD150" i="25" s="1"/>
  <c r="DE150" i="25" s="1"/>
  <c r="DF150" i="25" s="1"/>
  <c r="CZ256" i="25"/>
  <c r="CY256" i="25"/>
  <c r="FD197" i="25"/>
  <c r="DL197" i="25"/>
  <c r="DL309" i="25"/>
  <c r="DS309" i="25"/>
  <c r="FD182" i="25"/>
  <c r="DL182" i="25"/>
  <c r="DS182" i="25"/>
  <c r="CZ239" i="25"/>
  <c r="CY239" i="25"/>
  <c r="CY171" i="25"/>
  <c r="CZ171" i="25"/>
  <c r="DS173" i="25"/>
  <c r="FD173" i="25"/>
  <c r="DL173" i="25"/>
  <c r="DS69" i="25"/>
  <c r="FD69" i="25"/>
  <c r="DL69" i="25"/>
  <c r="CZ139" i="25"/>
  <c r="CY139" i="25"/>
  <c r="DL95" i="25"/>
  <c r="CY92" i="25"/>
  <c r="CZ92" i="25"/>
  <c r="CY81" i="25"/>
  <c r="CZ81" i="25"/>
  <c r="DA96" i="25"/>
  <c r="DD96" i="25" s="1"/>
  <c r="DE96" i="25" s="1"/>
  <c r="DF96" i="25" s="1"/>
  <c r="DH96" i="25"/>
  <c r="DA127" i="25"/>
  <c r="DD127" i="25" s="1"/>
  <c r="DE127" i="25" s="1"/>
  <c r="DF127" i="25" s="1"/>
  <c r="DH127" i="25"/>
  <c r="CZ154" i="25"/>
  <c r="DB154" i="25" s="1"/>
  <c r="DH154" i="25"/>
  <c r="DA154" i="25"/>
  <c r="DD154" i="25" s="1"/>
  <c r="DE154" i="25" s="1"/>
  <c r="DF154" i="25" s="1"/>
  <c r="DL250" i="25"/>
  <c r="DS250" i="25"/>
  <c r="FD195" i="25"/>
  <c r="DL195" i="25"/>
  <c r="DL307" i="25"/>
  <c r="DS307" i="25"/>
  <c r="CZ243" i="25"/>
  <c r="CY243" i="25"/>
  <c r="DS285" i="25"/>
  <c r="DL285" i="25"/>
  <c r="DL151" i="25"/>
  <c r="DS151" i="25"/>
  <c r="FD151" i="25"/>
  <c r="CZ130" i="25"/>
  <c r="CY130" i="25"/>
  <c r="CY65" i="25"/>
  <c r="CZ65" i="25"/>
  <c r="CY277" i="25"/>
  <c r="CZ277" i="25"/>
  <c r="DL90" i="25"/>
  <c r="FD90" i="25"/>
  <c r="DS90" i="25"/>
  <c r="CZ38" i="25"/>
  <c r="CY38" i="25"/>
  <c r="DH145" i="25"/>
  <c r="DA145" i="25"/>
  <c r="DD145" i="25" s="1"/>
  <c r="DE145" i="25" s="1"/>
  <c r="DF145" i="25" s="1"/>
  <c r="DL154" i="25"/>
  <c r="DS154" i="25"/>
  <c r="DH258" i="25"/>
  <c r="DA258" i="25"/>
  <c r="DD258" i="25" s="1"/>
  <c r="DE258" i="25" s="1"/>
  <c r="DF258" i="25" s="1"/>
  <c r="DH125" i="25"/>
  <c r="DA125" i="25"/>
  <c r="DD125" i="25" s="1"/>
  <c r="DE125" i="25" s="1"/>
  <c r="DF125" i="25" s="1"/>
  <c r="DA197" i="25"/>
  <c r="DD197" i="25" s="1"/>
  <c r="DE197" i="25" s="1"/>
  <c r="DF197" i="25" s="1"/>
  <c r="DH197" i="25"/>
  <c r="CY180" i="25"/>
  <c r="CZ180" i="25"/>
  <c r="CZ294" i="25"/>
  <c r="CY294" i="25"/>
  <c r="DL161" i="25"/>
  <c r="DS161" i="25"/>
  <c r="FD161" i="25"/>
  <c r="DS148" i="25"/>
  <c r="DL148" i="25"/>
  <c r="FD148" i="25"/>
  <c r="CZ129" i="25"/>
  <c r="CY129" i="25"/>
  <c r="CZ125" i="25"/>
  <c r="CY125" i="25"/>
  <c r="CY119" i="25"/>
  <c r="CZ119" i="25"/>
  <c r="CZ43" i="25"/>
  <c r="CY43" i="25"/>
  <c r="DL157" i="25"/>
  <c r="DS157" i="25"/>
  <c r="FD157" i="25"/>
  <c r="CZ208" i="25"/>
  <c r="CY208" i="25"/>
  <c r="CY8" i="25"/>
  <c r="CZ8" i="25"/>
  <c r="CY20" i="25"/>
  <c r="CZ20" i="25"/>
  <c r="CZ219" i="25"/>
  <c r="CY219" i="25"/>
  <c r="DH26" i="25"/>
  <c r="DA26" i="25"/>
  <c r="DD26" i="25" s="1"/>
  <c r="DE26" i="25" s="1"/>
  <c r="DF26" i="25" s="1"/>
  <c r="DH282" i="25"/>
  <c r="DA282" i="25"/>
  <c r="DD282" i="25" s="1"/>
  <c r="DE282" i="25" s="1"/>
  <c r="DF282" i="25" s="1"/>
  <c r="DH290" i="25"/>
  <c r="DA290" i="25"/>
  <c r="DD290" i="25" s="1"/>
  <c r="DE290" i="25" s="1"/>
  <c r="DF290" i="25" s="1"/>
  <c r="CZ51" i="25"/>
  <c r="DB51" i="25" s="1"/>
  <c r="DA51" i="25"/>
  <c r="DD51" i="25" s="1"/>
  <c r="DE51" i="25" s="1"/>
  <c r="DF51" i="25" s="1"/>
  <c r="DH51" i="25"/>
  <c r="DH85" i="25"/>
  <c r="DA85" i="25"/>
  <c r="DD85" i="25" s="1"/>
  <c r="DE85" i="25" s="1"/>
  <c r="DF85" i="25" s="1"/>
  <c r="DH93" i="25"/>
  <c r="DA93" i="25"/>
  <c r="DD93" i="25" s="1"/>
  <c r="DE93" i="25" s="1"/>
  <c r="DF93" i="25" s="1"/>
  <c r="DL263" i="25"/>
  <c r="DS263" i="25"/>
  <c r="DL255" i="25"/>
  <c r="DL205" i="25"/>
  <c r="FD205" i="25"/>
  <c r="DS260" i="25"/>
  <c r="DL260" i="25"/>
  <c r="DL187" i="25"/>
  <c r="FD187" i="25"/>
  <c r="DS187" i="25"/>
  <c r="CY191" i="25"/>
  <c r="CZ191" i="25"/>
  <c r="CY296" i="25"/>
  <c r="CZ296" i="25"/>
  <c r="CZ293" i="25"/>
  <c r="CY293" i="25"/>
  <c r="CY123" i="25"/>
  <c r="CZ123" i="25"/>
  <c r="DL174" i="25"/>
  <c r="DS174" i="25"/>
  <c r="FD174" i="25"/>
  <c r="DL51" i="25"/>
  <c r="DS51" i="25"/>
  <c r="CZ75" i="25"/>
  <c r="CY75" i="25"/>
  <c r="DS141" i="25"/>
  <c r="FD141" i="25"/>
  <c r="DL141" i="25"/>
  <c r="CY77" i="25"/>
  <c r="CZ77" i="25"/>
  <c r="DL19" i="25"/>
  <c r="DS19" i="25"/>
  <c r="CY230" i="25"/>
  <c r="CZ230" i="25"/>
  <c r="DH247" i="25"/>
  <c r="DA247" i="25"/>
  <c r="DD247" i="25" s="1"/>
  <c r="DE247" i="25" s="1"/>
  <c r="DF247" i="25" s="1"/>
  <c r="DH18" i="25"/>
  <c r="DA18" i="25"/>
  <c r="DD18" i="25" s="1"/>
  <c r="DE18" i="25" s="1"/>
  <c r="DF18" i="25" s="1"/>
  <c r="DA68" i="25"/>
  <c r="DD68" i="25" s="1"/>
  <c r="DE68" i="25" s="1"/>
  <c r="DF68" i="25" s="1"/>
  <c r="DH68" i="25"/>
  <c r="DA298" i="25"/>
  <c r="DD298" i="25" s="1"/>
  <c r="DE298" i="25" s="1"/>
  <c r="DF298" i="25" s="1"/>
  <c r="DH298" i="25"/>
  <c r="CZ270" i="25"/>
  <c r="DB270" i="25" s="1"/>
  <c r="DA270" i="25"/>
  <c r="DD270" i="25" s="1"/>
  <c r="DE270" i="25" s="1"/>
  <c r="DF270" i="25" s="1"/>
  <c r="DH270" i="25"/>
  <c r="CY198" i="25"/>
  <c r="CZ198" i="25"/>
  <c r="CY246" i="25"/>
  <c r="CZ246" i="25"/>
  <c r="CZ292" i="25"/>
  <c r="CY292" i="25"/>
  <c r="DL308" i="25"/>
  <c r="DS308" i="25"/>
  <c r="DL78" i="25"/>
  <c r="FD78" i="25"/>
  <c r="DS78" i="25"/>
  <c r="DL142" i="25"/>
  <c r="DS142" i="25"/>
  <c r="FD142" i="25"/>
  <c r="CY45" i="25"/>
  <c r="CZ45" i="25"/>
  <c r="FD105" i="25"/>
  <c r="DL105" i="25"/>
  <c r="CZ30" i="25"/>
  <c r="CY30" i="25"/>
  <c r="DS13" i="25"/>
  <c r="CZ21" i="25"/>
  <c r="CY21" i="25"/>
  <c r="DH160" i="25"/>
  <c r="DA160" i="25"/>
  <c r="DD160" i="25" s="1"/>
  <c r="DE160" i="25" s="1"/>
  <c r="DF160" i="25" s="1"/>
  <c r="DL289" i="25"/>
  <c r="DS289" i="25"/>
  <c r="DL302" i="25"/>
  <c r="DS302" i="25"/>
  <c r="DA235" i="25"/>
  <c r="DD235" i="25" s="1"/>
  <c r="DE235" i="25" s="1"/>
  <c r="DF235" i="25" s="1"/>
  <c r="DH235" i="25"/>
  <c r="CZ300" i="25"/>
  <c r="DB300" i="25" s="1"/>
  <c r="DH300" i="25"/>
  <c r="DA300" i="25"/>
  <c r="DD300" i="25" s="1"/>
  <c r="DE300" i="25" s="1"/>
  <c r="DF300" i="25" s="1"/>
  <c r="DH39" i="25"/>
  <c r="DA39" i="25"/>
  <c r="DD39" i="25" s="1"/>
  <c r="DE39" i="25" s="1"/>
  <c r="DF39" i="25" s="1"/>
  <c r="DS256" i="25"/>
  <c r="DL256" i="25"/>
  <c r="DL239" i="25"/>
  <c r="DS239" i="25"/>
  <c r="DS171" i="25"/>
  <c r="DL171" i="25"/>
  <c r="FD171" i="25"/>
  <c r="CZ173" i="25"/>
  <c r="CY173" i="25"/>
  <c r="DL227" i="25"/>
  <c r="DS227" i="25"/>
  <c r="CY121" i="25"/>
  <c r="CZ121" i="25"/>
  <c r="CY42" i="25"/>
  <c r="CZ42" i="25"/>
  <c r="FD28" i="25"/>
  <c r="FD44" i="25"/>
  <c r="DA185" i="25"/>
  <c r="DD185" i="25" s="1"/>
  <c r="DE185" i="25" s="1"/>
  <c r="DF185" i="25" s="1"/>
  <c r="DH185" i="25"/>
  <c r="DH293" i="25"/>
  <c r="DA293" i="25"/>
  <c r="DD293" i="25" s="1"/>
  <c r="DE293" i="25" s="1"/>
  <c r="DF293" i="25" s="1"/>
  <c r="DH163" i="25"/>
  <c r="DA163" i="25"/>
  <c r="DD163" i="25" s="1"/>
  <c r="DE163" i="25" s="1"/>
  <c r="DF163" i="25" s="1"/>
  <c r="CY195" i="25"/>
  <c r="CZ195" i="25"/>
  <c r="CZ244" i="25"/>
  <c r="CY244" i="25"/>
  <c r="DS243" i="25"/>
  <c r="DL280" i="25"/>
  <c r="DS280" i="25"/>
  <c r="FD65" i="25"/>
  <c r="DL65" i="25"/>
  <c r="DS65" i="25"/>
  <c r="FD87" i="25"/>
  <c r="DL87" i="25"/>
  <c r="DL55" i="25"/>
  <c r="DS55" i="25"/>
  <c r="DL82" i="25"/>
  <c r="FD82" i="25"/>
  <c r="DS82" i="25"/>
  <c r="DL27" i="25"/>
  <c r="DS27" i="25"/>
  <c r="DS175" i="25"/>
  <c r="DL175" i="25"/>
  <c r="FD175" i="25"/>
  <c r="DS17" i="25"/>
  <c r="DA177" i="25"/>
  <c r="DD177" i="25" s="1"/>
  <c r="DE177" i="25" s="1"/>
  <c r="DF177" i="25" s="1"/>
  <c r="DH177" i="25"/>
  <c r="DH55" i="25"/>
  <c r="DA55" i="25"/>
  <c r="DD55" i="25" s="1"/>
  <c r="DE55" i="25" s="1"/>
  <c r="DF55" i="25" s="1"/>
  <c r="DL68" i="25"/>
  <c r="FD68" i="25"/>
  <c r="DS68" i="25"/>
  <c r="DH182" i="25"/>
  <c r="DA182" i="25"/>
  <c r="DD182" i="25" s="1"/>
  <c r="DE182" i="25" s="1"/>
  <c r="DF182" i="25" s="1"/>
  <c r="DH133" i="25"/>
  <c r="DA133" i="25"/>
  <c r="DD133" i="25" s="1"/>
  <c r="DE133" i="25" s="1"/>
  <c r="DF133" i="25" s="1"/>
  <c r="DH273" i="25"/>
  <c r="DA273" i="25"/>
  <c r="DD273" i="25" s="1"/>
  <c r="DE273" i="25" s="1"/>
  <c r="DF273" i="25" s="1"/>
  <c r="DS225" i="25"/>
  <c r="CZ63" i="25"/>
  <c r="DB63" i="25" s="1"/>
  <c r="DH63" i="25"/>
  <c r="DA63" i="25"/>
  <c r="DD63" i="25" s="1"/>
  <c r="DE63" i="25" s="1"/>
  <c r="DF63" i="25" s="1"/>
  <c r="DL226" i="25"/>
  <c r="DS226" i="25"/>
  <c r="FD143" i="25"/>
  <c r="DS143" i="25"/>
  <c r="DL143" i="25"/>
  <c r="DL89" i="25"/>
  <c r="DS89" i="25"/>
  <c r="FD89" i="25"/>
  <c r="CY59" i="25"/>
  <c r="CZ59" i="25"/>
  <c r="DL208" i="25"/>
  <c r="FD208" i="25"/>
  <c r="FD20" i="25"/>
  <c r="DL20" i="25"/>
  <c r="DS20" i="25"/>
  <c r="DA237" i="25"/>
  <c r="DD237" i="25" s="1"/>
  <c r="DE237" i="25" s="1"/>
  <c r="DF237" i="25" s="1"/>
  <c r="DH237" i="25"/>
  <c r="DH188" i="25"/>
  <c r="DA188" i="25"/>
  <c r="DD188" i="25" s="1"/>
  <c r="DE188" i="25" s="1"/>
  <c r="DF188" i="25" s="1"/>
  <c r="DH252" i="25"/>
  <c r="DA252" i="25"/>
  <c r="DD252" i="25" s="1"/>
  <c r="DE252" i="25" s="1"/>
  <c r="DF252" i="25" s="1"/>
  <c r="DH24" i="25"/>
  <c r="DA24" i="25"/>
  <c r="DD24" i="25" s="1"/>
  <c r="DE24" i="25" s="1"/>
  <c r="DF24" i="25" s="1"/>
  <c r="CY263" i="25"/>
  <c r="CZ263" i="25"/>
  <c r="DL207" i="25"/>
  <c r="FD207" i="25"/>
  <c r="CY255" i="25"/>
  <c r="CZ255" i="25"/>
  <c r="CZ260" i="25"/>
  <c r="CY260" i="25"/>
  <c r="DL301" i="25"/>
  <c r="DS301" i="25"/>
  <c r="CZ224" i="25"/>
  <c r="CY224" i="25"/>
  <c r="FD118" i="25"/>
  <c r="DS118" i="25"/>
  <c r="DL118" i="25"/>
  <c r="CZ94" i="25"/>
  <c r="CY94" i="25"/>
  <c r="CY72" i="25"/>
  <c r="CZ72" i="25"/>
  <c r="DH227" i="25"/>
  <c r="DA227" i="25"/>
  <c r="DD227" i="25" s="1"/>
  <c r="DE227" i="25" s="1"/>
  <c r="DF227" i="25" s="1"/>
  <c r="CY228" i="25"/>
  <c r="CZ228" i="25"/>
  <c r="DL230" i="25"/>
  <c r="DS230" i="25"/>
  <c r="DH209" i="25"/>
  <c r="DA209" i="25"/>
  <c r="DD209" i="25" s="1"/>
  <c r="DE209" i="25" s="1"/>
  <c r="DF209" i="25" s="1"/>
  <c r="DH184" i="25"/>
  <c r="DA184" i="25"/>
  <c r="DD184" i="25" s="1"/>
  <c r="DE184" i="25" s="1"/>
  <c r="DF184" i="25" s="1"/>
  <c r="DH148" i="25"/>
  <c r="DA148" i="25"/>
  <c r="DD148" i="25" s="1"/>
  <c r="DE148" i="25" s="1"/>
  <c r="DF148" i="25" s="1"/>
  <c r="DH161" i="25"/>
  <c r="DA161" i="25"/>
  <c r="DD161" i="25" s="1"/>
  <c r="DE161" i="25" s="1"/>
  <c r="DF161" i="25" s="1"/>
  <c r="DH218" i="25"/>
  <c r="DA218" i="25"/>
  <c r="DD218" i="25" s="1"/>
  <c r="DE218" i="25" s="1"/>
  <c r="DF218" i="25" s="1"/>
  <c r="DL183" i="25"/>
  <c r="FD183" i="25"/>
  <c r="DS183" i="25"/>
  <c r="CY170" i="25"/>
  <c r="CZ170" i="25"/>
  <c r="DS292" i="25"/>
  <c r="DL292" i="25"/>
  <c r="DL190" i="25"/>
  <c r="DS190" i="25"/>
  <c r="FD190" i="25"/>
  <c r="CY136" i="25"/>
  <c r="CZ136" i="25"/>
  <c r="DL13" i="25"/>
  <c r="FD13" i="25"/>
  <c r="DL23" i="25"/>
  <c r="FD23" i="25"/>
  <c r="DS23" i="25"/>
  <c r="DH181" i="25"/>
  <c r="DA181" i="25"/>
  <c r="DD181" i="25" s="1"/>
  <c r="DE181" i="25" s="1"/>
  <c r="DF181" i="25" s="1"/>
  <c r="CY272" i="25"/>
  <c r="CZ272" i="25"/>
  <c r="CZ289" i="25"/>
  <c r="CY289" i="25"/>
  <c r="DL39" i="25"/>
  <c r="FD39" i="25"/>
  <c r="DS39" i="25"/>
  <c r="DL73" i="25"/>
  <c r="DS73" i="25"/>
  <c r="FD73" i="25"/>
  <c r="DA129" i="25"/>
  <c r="DD129" i="25" s="1"/>
  <c r="DE129" i="25" s="1"/>
  <c r="DF129" i="25" s="1"/>
  <c r="DH129" i="25"/>
  <c r="DH137" i="25"/>
  <c r="DA137" i="25"/>
  <c r="DD137" i="25" s="1"/>
  <c r="DE137" i="25" s="1"/>
  <c r="DF137" i="25" s="1"/>
  <c r="DH48" i="25"/>
  <c r="DA48" i="25"/>
  <c r="DD48" i="25" s="1"/>
  <c r="DE48" i="25" s="1"/>
  <c r="DF48" i="25" s="1"/>
  <c r="DH52" i="25"/>
  <c r="DA52" i="25"/>
  <c r="DD52" i="25" s="1"/>
  <c r="DE52" i="25" s="1"/>
  <c r="DF52" i="25" s="1"/>
  <c r="CY290" i="25"/>
  <c r="CZ290" i="25"/>
  <c r="CY287" i="25"/>
  <c r="CZ287" i="25"/>
  <c r="FD140" i="25"/>
  <c r="DS140" i="25"/>
  <c r="DL140" i="25"/>
  <c r="CY227" i="25"/>
  <c r="CZ227" i="25"/>
  <c r="CY284" i="25"/>
  <c r="CZ284" i="25"/>
  <c r="FD9" i="25"/>
  <c r="DL9" i="25"/>
  <c r="DH171" i="25"/>
  <c r="DA171" i="25"/>
  <c r="DD171" i="25" s="1"/>
  <c r="DE171" i="25" s="1"/>
  <c r="DF171" i="25" s="1"/>
  <c r="DH126" i="25"/>
  <c r="DA126" i="25"/>
  <c r="DD126" i="25" s="1"/>
  <c r="DE126" i="25" s="1"/>
  <c r="DF126" i="25" s="1"/>
  <c r="DH13" i="25"/>
  <c r="DA13" i="25"/>
  <c r="DD13" i="25" s="1"/>
  <c r="DE13" i="25" s="1"/>
  <c r="DF13" i="25" s="1"/>
  <c r="DH17" i="25"/>
  <c r="DA17" i="25"/>
  <c r="DD17" i="25" s="1"/>
  <c r="DE17" i="25" s="1"/>
  <c r="DF17" i="25" s="1"/>
  <c r="DH278" i="25"/>
  <c r="DA278" i="25"/>
  <c r="DD278" i="25" s="1"/>
  <c r="DE278" i="25" s="1"/>
  <c r="DF278" i="25" s="1"/>
  <c r="DA281" i="25"/>
  <c r="DD281" i="25" s="1"/>
  <c r="DE281" i="25" s="1"/>
  <c r="DF281" i="25" s="1"/>
  <c r="DH281" i="25"/>
  <c r="CZ236" i="25"/>
  <c r="DB236" i="25" s="1"/>
  <c r="DH236" i="25"/>
  <c r="DA236" i="25"/>
  <c r="DD236" i="25" s="1"/>
  <c r="DE236" i="25" s="1"/>
  <c r="DF236" i="25" s="1"/>
  <c r="DH159" i="25"/>
  <c r="DA159" i="25"/>
  <c r="DD159" i="25" s="1"/>
  <c r="DE159" i="25" s="1"/>
  <c r="DF159" i="25" s="1"/>
  <c r="DL243" i="25"/>
  <c r="CY177" i="25"/>
  <c r="CZ177" i="25"/>
  <c r="CY100" i="25"/>
  <c r="CZ100" i="25"/>
  <c r="CY126" i="25"/>
  <c r="CZ126" i="25"/>
  <c r="CY17" i="25"/>
  <c r="CZ17" i="25"/>
  <c r="DS176" i="25"/>
  <c r="FD176" i="25"/>
  <c r="DL176" i="25"/>
  <c r="DH139" i="25"/>
  <c r="DA139" i="25"/>
  <c r="DD139" i="25" s="1"/>
  <c r="DE139" i="25" s="1"/>
  <c r="DF139" i="25" s="1"/>
  <c r="DH124" i="25"/>
  <c r="DA124" i="25"/>
  <c r="DD124" i="25" s="1"/>
  <c r="DE124" i="25" s="1"/>
  <c r="DF124" i="25" s="1"/>
  <c r="FD55" i="25"/>
  <c r="DA192" i="25"/>
  <c r="DD192" i="25" s="1"/>
  <c r="DE192" i="25" s="1"/>
  <c r="DF192" i="25" s="1"/>
  <c r="DH192" i="25"/>
  <c r="DA204" i="25"/>
  <c r="DD204" i="25" s="1"/>
  <c r="DE204" i="25" s="1"/>
  <c r="DF204" i="25" s="1"/>
  <c r="DH204" i="25"/>
  <c r="DH115" i="25"/>
  <c r="DA115" i="25"/>
  <c r="DD115" i="25" s="1"/>
  <c r="DE115" i="25" s="1"/>
  <c r="DF115" i="25" s="1"/>
  <c r="DH245" i="25"/>
  <c r="DA245" i="25"/>
  <c r="DD245" i="25" s="1"/>
  <c r="DE245" i="25" s="1"/>
  <c r="DF245" i="25" s="1"/>
  <c r="DH140" i="25"/>
  <c r="DA140" i="25"/>
  <c r="DD140" i="25" s="1"/>
  <c r="DE140" i="25" s="1"/>
  <c r="DF140" i="25" s="1"/>
  <c r="DH297" i="25"/>
  <c r="DA297" i="25"/>
  <c r="DD297" i="25" s="1"/>
  <c r="DE297" i="25" s="1"/>
  <c r="DF297" i="25" s="1"/>
  <c r="DH223" i="25"/>
  <c r="DA223" i="25"/>
  <c r="DD223" i="25" s="1"/>
  <c r="DE223" i="25" s="1"/>
  <c r="DF223" i="25" s="1"/>
  <c r="DH222" i="25"/>
  <c r="DA222" i="25"/>
  <c r="DD222" i="25" s="1"/>
  <c r="DE222" i="25" s="1"/>
  <c r="DF222" i="25" s="1"/>
  <c r="CZ241" i="25"/>
  <c r="CY241" i="25"/>
  <c r="CY146" i="25"/>
  <c r="CZ146" i="25"/>
  <c r="CY185" i="25"/>
  <c r="CZ185" i="25"/>
  <c r="CZ283" i="25"/>
  <c r="CY283" i="25"/>
  <c r="DS129" i="25"/>
  <c r="DL129" i="25"/>
  <c r="FD129" i="25"/>
  <c r="DL57" i="25"/>
  <c r="DS57" i="25"/>
  <c r="FD57" i="25"/>
  <c r="CZ145" i="25"/>
  <c r="CY145" i="25"/>
  <c r="DL33" i="25"/>
  <c r="FD33" i="25"/>
  <c r="DS33" i="25"/>
  <c r="CY22" i="25"/>
  <c r="CZ22" i="25"/>
  <c r="DS25" i="25"/>
  <c r="DA196" i="25"/>
  <c r="DD196" i="25" s="1"/>
  <c r="DE196" i="25" s="1"/>
  <c r="DF196" i="25" s="1"/>
  <c r="DH196" i="25"/>
  <c r="DA229" i="25"/>
  <c r="DD229" i="25" s="1"/>
  <c r="DE229" i="25" s="1"/>
  <c r="DF229" i="25" s="1"/>
  <c r="DH229" i="25"/>
  <c r="DH136" i="25"/>
  <c r="DA136" i="25"/>
  <c r="DD136" i="25" s="1"/>
  <c r="DE136" i="25" s="1"/>
  <c r="DF136" i="25" s="1"/>
  <c r="DA287" i="25"/>
  <c r="DD287" i="25" s="1"/>
  <c r="DE287" i="25" s="1"/>
  <c r="DF287" i="25" s="1"/>
  <c r="DH287" i="25"/>
  <c r="DA255" i="25"/>
  <c r="DD255" i="25" s="1"/>
  <c r="DE255" i="25" s="1"/>
  <c r="DF255" i="25" s="1"/>
  <c r="DH255" i="25"/>
  <c r="DH151" i="25"/>
  <c r="DA151" i="25"/>
  <c r="DD151" i="25" s="1"/>
  <c r="DE151" i="25" s="1"/>
  <c r="DF151" i="25" s="1"/>
  <c r="DA186" i="25"/>
  <c r="DD186" i="25" s="1"/>
  <c r="DE186" i="25" s="1"/>
  <c r="DF186" i="25" s="1"/>
  <c r="DH186" i="25"/>
  <c r="DH272" i="25"/>
  <c r="DA272" i="25"/>
  <c r="DD272" i="25" s="1"/>
  <c r="DE272" i="25" s="1"/>
  <c r="DF272" i="25" s="1"/>
  <c r="CY200" i="25"/>
  <c r="CZ200" i="25"/>
  <c r="CY147" i="25"/>
  <c r="CZ147" i="25"/>
  <c r="CY254" i="25"/>
  <c r="CZ254" i="25"/>
  <c r="CY253" i="25"/>
  <c r="CZ253" i="25"/>
  <c r="CZ183" i="25"/>
  <c r="CY183" i="25"/>
  <c r="DL246" i="25"/>
  <c r="DS246" i="25"/>
  <c r="FD70" i="25"/>
  <c r="DS70" i="25"/>
  <c r="DL70" i="25"/>
  <c r="DL21" i="25"/>
  <c r="FD21" i="25"/>
  <c r="DS21" i="25"/>
  <c r="DS66" i="25"/>
  <c r="DL66" i="25"/>
  <c r="FD66" i="25"/>
  <c r="CZ184" i="25"/>
  <c r="CY184" i="25"/>
  <c r="FD199" i="25"/>
  <c r="DL199" i="25"/>
  <c r="DH169" i="25"/>
  <c r="DA169" i="25"/>
  <c r="DD169" i="25" s="1"/>
  <c r="DE169" i="25" s="1"/>
  <c r="DF169" i="25" s="1"/>
  <c r="DA61" i="25"/>
  <c r="DD61" i="25" s="1"/>
  <c r="DE61" i="25" s="1"/>
  <c r="DF61" i="25" s="1"/>
  <c r="DH61" i="25"/>
  <c r="DH116" i="25"/>
  <c r="DA116" i="25"/>
  <c r="DD116" i="25" s="1"/>
  <c r="DE116" i="25" s="1"/>
  <c r="DF116" i="25" s="1"/>
  <c r="CZ265" i="25"/>
  <c r="DB265" i="25" s="1"/>
  <c r="DA265" i="25"/>
  <c r="DD265" i="25" s="1"/>
  <c r="DE265" i="25" s="1"/>
  <c r="DF265" i="25" s="1"/>
  <c r="DH265" i="25"/>
  <c r="DH242" i="25"/>
  <c r="DA242" i="25"/>
  <c r="DD242" i="25" s="1"/>
  <c r="DE242" i="25" s="1"/>
  <c r="DF242" i="25" s="1"/>
  <c r="DA71" i="25"/>
  <c r="DD71" i="25" s="1"/>
  <c r="DE71" i="25" s="1"/>
  <c r="DF71" i="25" s="1"/>
  <c r="DH71" i="25"/>
  <c r="DH77" i="25"/>
  <c r="DA77" i="25"/>
  <c r="DD77" i="25" s="1"/>
  <c r="DE77" i="25" s="1"/>
  <c r="DF77" i="25" s="1"/>
  <c r="FD168" i="25"/>
  <c r="DS168" i="25"/>
  <c r="DL168" i="25"/>
  <c r="CY169" i="25"/>
  <c r="CZ169" i="25"/>
  <c r="DS290" i="25"/>
  <c r="DL290" i="25"/>
  <c r="CZ189" i="25"/>
  <c r="CY189" i="25"/>
  <c r="DS287" i="25"/>
  <c r="DL287" i="25"/>
  <c r="FD121" i="25"/>
  <c r="DS121" i="25"/>
  <c r="DL121" i="25"/>
  <c r="CY88" i="25"/>
  <c r="CZ88" i="25"/>
  <c r="FD96" i="25"/>
  <c r="DL96" i="25"/>
  <c r="CY71" i="25"/>
  <c r="CZ71" i="25"/>
  <c r="CY58" i="25"/>
  <c r="CZ58" i="25"/>
  <c r="FD91" i="25"/>
  <c r="FD147" i="25"/>
  <c r="CY12" i="25"/>
  <c r="CZ12" i="25"/>
  <c r="DA195" i="25"/>
  <c r="DD195" i="25" s="1"/>
  <c r="DE195" i="25" s="1"/>
  <c r="DF195" i="25" s="1"/>
  <c r="DH195" i="25"/>
  <c r="DA198" i="25"/>
  <c r="DD198" i="25" s="1"/>
  <c r="DE198" i="25" s="1"/>
  <c r="DF198" i="25" s="1"/>
  <c r="DH198" i="25"/>
  <c r="DH142" i="25"/>
  <c r="DA142" i="25"/>
  <c r="DD142" i="25" s="1"/>
  <c r="DE142" i="25" s="1"/>
  <c r="DF142" i="25" s="1"/>
  <c r="DH221" i="25"/>
  <c r="DA221" i="25"/>
  <c r="DD221" i="25" s="1"/>
  <c r="DE221" i="25" s="1"/>
  <c r="DF221" i="25" s="1"/>
  <c r="CY181" i="25"/>
  <c r="CZ181" i="25"/>
  <c r="DS295" i="25"/>
  <c r="DL244" i="25"/>
  <c r="DS244" i="25"/>
  <c r="DL164" i="25"/>
  <c r="FD164" i="25"/>
  <c r="DS164" i="25"/>
  <c r="DL156" i="25"/>
  <c r="DS156" i="25"/>
  <c r="FD156" i="25"/>
  <c r="DL177" i="25"/>
  <c r="DS177" i="25"/>
  <c r="FD177" i="25"/>
  <c r="DL100" i="25"/>
  <c r="FD100" i="25"/>
  <c r="CZ175" i="25"/>
  <c r="CY175" i="25"/>
  <c r="CZ176" i="25"/>
  <c r="CY176" i="25"/>
  <c r="CZ128" i="25"/>
  <c r="CY128" i="25"/>
  <c r="DA73" i="25"/>
  <c r="DD73" i="25" s="1"/>
  <c r="DE73" i="25" s="1"/>
  <c r="DF73" i="25" s="1"/>
  <c r="DH73" i="25"/>
  <c r="CZ238" i="25"/>
  <c r="DB238" i="25" s="1"/>
  <c r="DH238" i="25"/>
  <c r="DA238" i="25"/>
  <c r="DD238" i="25" s="1"/>
  <c r="DE238" i="25" s="1"/>
  <c r="DF238" i="25" s="1"/>
  <c r="DA230" i="25"/>
  <c r="DD230" i="25" s="1"/>
  <c r="DE230" i="25" s="1"/>
  <c r="DF230" i="25" s="1"/>
  <c r="DH230" i="25"/>
  <c r="CY275" i="25"/>
  <c r="CZ275" i="25"/>
  <c r="DL241" i="25"/>
  <c r="DS241" i="25"/>
  <c r="DS283" i="25"/>
  <c r="DL283" i="25"/>
  <c r="CY57" i="25"/>
  <c r="CZ57" i="25"/>
  <c r="CY85" i="25"/>
  <c r="CZ85" i="25"/>
  <c r="DL74" i="25"/>
  <c r="FD74" i="25"/>
  <c r="DS74" i="25"/>
  <c r="DL43" i="25"/>
  <c r="FD43" i="25"/>
  <c r="DS43" i="25"/>
  <c r="DL59" i="25"/>
  <c r="DS59" i="25"/>
  <c r="FD59" i="25"/>
  <c r="CY102" i="25"/>
  <c r="CZ102" i="25"/>
  <c r="DH81" i="25"/>
  <c r="DA81" i="25"/>
  <c r="DD81" i="25" s="1"/>
  <c r="DE81" i="25" s="1"/>
  <c r="DF81" i="25" s="1"/>
  <c r="CZ207" i="25"/>
  <c r="DB207" i="25" s="1"/>
  <c r="DH207" i="25"/>
  <c r="DA207" i="25"/>
  <c r="DD207" i="25" s="1"/>
  <c r="DE207" i="25" s="1"/>
  <c r="DF207" i="25" s="1"/>
  <c r="DH50" i="25"/>
  <c r="DA50" i="25"/>
  <c r="DD50" i="25" s="1"/>
  <c r="DE50" i="25" s="1"/>
  <c r="DF50" i="25" s="1"/>
  <c r="DH104" i="25"/>
  <c r="DA104" i="25"/>
  <c r="DD104" i="25" s="1"/>
  <c r="DE104" i="25" s="1"/>
  <c r="DF104" i="25" s="1"/>
  <c r="DS167" i="25"/>
  <c r="DL167" i="25"/>
  <c r="FD167" i="25"/>
  <c r="DL155" i="25"/>
  <c r="DS155" i="25"/>
  <c r="FD155" i="25"/>
  <c r="CY222" i="25"/>
  <c r="CZ222" i="25"/>
  <c r="CZ150" i="25"/>
  <c r="CY150" i="25"/>
  <c r="CZ138" i="25"/>
  <c r="CY138" i="25"/>
  <c r="DL77" i="25"/>
  <c r="DS77" i="25"/>
  <c r="FD77" i="25"/>
  <c r="DL228" i="25"/>
  <c r="DS228" i="25"/>
  <c r="DS137" i="25"/>
  <c r="FD137" i="25"/>
  <c r="DL137" i="25"/>
  <c r="DH264" i="25"/>
  <c r="DA264" i="25"/>
  <c r="DD264" i="25" s="1"/>
  <c r="DE264" i="25" s="1"/>
  <c r="DF264" i="25" s="1"/>
  <c r="DH165" i="25"/>
  <c r="DA165" i="25"/>
  <c r="DD165" i="25" s="1"/>
  <c r="DE165" i="25" s="1"/>
  <c r="DF165" i="25" s="1"/>
  <c r="DA75" i="25"/>
  <c r="DD75" i="25" s="1"/>
  <c r="DE75" i="25" s="1"/>
  <c r="DF75" i="25" s="1"/>
  <c r="DH75" i="25"/>
  <c r="DH16" i="25"/>
  <c r="DA16" i="25"/>
  <c r="DD16" i="25" s="1"/>
  <c r="DE16" i="25" s="1"/>
  <c r="DF16" i="25" s="1"/>
  <c r="DS255" i="25"/>
  <c r="DH28" i="25"/>
  <c r="DA28" i="25"/>
  <c r="DD28" i="25" s="1"/>
  <c r="DE28" i="25" s="1"/>
  <c r="DF28" i="25" s="1"/>
  <c r="DL254" i="25"/>
  <c r="DS254" i="25"/>
  <c r="CZ149" i="25"/>
  <c r="CY149" i="25"/>
  <c r="DS170" i="25"/>
  <c r="FD170" i="25"/>
  <c r="DL170" i="25"/>
  <c r="DL93" i="25"/>
  <c r="FD93" i="25"/>
  <c r="CY104" i="25"/>
  <c r="CZ104" i="25"/>
  <c r="CY313" i="25"/>
  <c r="CZ313" i="25"/>
  <c r="CY70" i="25"/>
  <c r="CZ70" i="25"/>
  <c r="FD60" i="25"/>
  <c r="DL60" i="25"/>
  <c r="DS60" i="25"/>
  <c r="DL272" i="25"/>
  <c r="DS272" i="25"/>
  <c r="DL49" i="25"/>
  <c r="FD49" i="25"/>
  <c r="CZ199" i="25"/>
  <c r="CY199" i="25"/>
  <c r="DH205" i="25"/>
  <c r="DA205" i="25"/>
  <c r="DD205" i="25" s="1"/>
  <c r="DE205" i="25" s="1"/>
  <c r="DF205" i="25" s="1"/>
  <c r="DH10" i="25"/>
  <c r="DA10" i="25"/>
  <c r="DD10" i="25" s="1"/>
  <c r="DE10" i="25" s="1"/>
  <c r="DF10" i="25" s="1"/>
  <c r="DS252" i="25"/>
  <c r="DL252" i="25"/>
  <c r="CZ168" i="25"/>
  <c r="CY168" i="25"/>
  <c r="CY245" i="25"/>
  <c r="CZ245" i="25"/>
  <c r="DL189" i="25"/>
  <c r="FD189" i="25"/>
  <c r="DS189" i="25"/>
  <c r="CY69" i="25"/>
  <c r="CZ69" i="25"/>
  <c r="DS139" i="25"/>
  <c r="DL139" i="25"/>
  <c r="FD139" i="25"/>
  <c r="DL40" i="25"/>
  <c r="FD40" i="25"/>
  <c r="DS40" i="25"/>
  <c r="CY298" i="25"/>
  <c r="CZ298" i="25"/>
  <c r="DS284" i="25"/>
  <c r="DL284" i="25"/>
  <c r="DL48" i="25"/>
  <c r="DS48" i="25"/>
  <c r="FD71" i="25"/>
  <c r="DL71" i="25"/>
  <c r="DS71" i="25"/>
  <c r="DL81" i="25"/>
  <c r="DS81" i="25"/>
  <c r="FD81" i="25"/>
  <c r="CZ29" i="25"/>
  <c r="CY29" i="25"/>
  <c r="DS58" i="25"/>
  <c r="DL58" i="25"/>
  <c r="FD58" i="25"/>
  <c r="DL12" i="25"/>
  <c r="DS12" i="25"/>
  <c r="FD12" i="25"/>
  <c r="DH243" i="25"/>
  <c r="DA243" i="25"/>
  <c r="DD243" i="25" s="1"/>
  <c r="DE243" i="25" s="1"/>
  <c r="DF243" i="25" s="1"/>
  <c r="DA117" i="25"/>
  <c r="DD117" i="25" s="1"/>
  <c r="DE117" i="25" s="1"/>
  <c r="DF117" i="25" s="1"/>
  <c r="DH117" i="25"/>
  <c r="DH101" i="25"/>
  <c r="DA101" i="25"/>
  <c r="DD101" i="25" s="1"/>
  <c r="DE101" i="25" s="1"/>
  <c r="DF101" i="25" s="1"/>
  <c r="DH313" i="25"/>
  <c r="DA313" i="25"/>
  <c r="DD313" i="25" s="1"/>
  <c r="DE313" i="25" s="1"/>
  <c r="DF313" i="25" s="1"/>
  <c r="CY242" i="25"/>
  <c r="CZ242" i="25"/>
  <c r="DS181" i="25"/>
  <c r="FD181" i="25"/>
  <c r="DL181" i="25"/>
  <c r="CY295" i="25"/>
  <c r="CZ295" i="25"/>
  <c r="CY153" i="25"/>
  <c r="CZ153" i="25"/>
  <c r="CY47" i="25"/>
  <c r="CZ47" i="25"/>
  <c r="FD17" i="25"/>
  <c r="DL17" i="25"/>
  <c r="DA69" i="25"/>
  <c r="DD69" i="25" s="1"/>
  <c r="DE69" i="25" s="1"/>
  <c r="DF69" i="25" s="1"/>
  <c r="DH69" i="25"/>
  <c r="DH260" i="25"/>
  <c r="DA260" i="25"/>
  <c r="DD260" i="25" s="1"/>
  <c r="DE260" i="25" s="1"/>
  <c r="DF260" i="25" s="1"/>
  <c r="DH94" i="25"/>
  <c r="DA94" i="25"/>
  <c r="DD94" i="25" s="1"/>
  <c r="DE94" i="25" s="1"/>
  <c r="DF94" i="25" s="1"/>
  <c r="DH118" i="25"/>
  <c r="DA118" i="25"/>
  <c r="DD118" i="25" s="1"/>
  <c r="DE118" i="25" s="1"/>
  <c r="DF118" i="25" s="1"/>
  <c r="DH309" i="25"/>
  <c r="DA309" i="25"/>
  <c r="DD309" i="25" s="1"/>
  <c r="DE309" i="25" s="1"/>
  <c r="DF309" i="25" s="1"/>
  <c r="DA291" i="25"/>
  <c r="DD291" i="25" s="1"/>
  <c r="DE291" i="25" s="1"/>
  <c r="DF291" i="25" s="1"/>
  <c r="DH291" i="25"/>
  <c r="DH74" i="25"/>
  <c r="DA74" i="25"/>
  <c r="DD74" i="25" s="1"/>
  <c r="DE74" i="25" s="1"/>
  <c r="DF74" i="25" s="1"/>
  <c r="DH8" i="25"/>
  <c r="DA8" i="25"/>
  <c r="DD8" i="25" s="1"/>
  <c r="DE8" i="25" s="1"/>
  <c r="DF8" i="25" s="1"/>
  <c r="FD194" i="25"/>
  <c r="DL194" i="25"/>
  <c r="CZ161" i="25"/>
  <c r="CY161" i="25"/>
  <c r="CY276" i="25"/>
  <c r="CZ276" i="25"/>
  <c r="DL185" i="25"/>
  <c r="DS185" i="25"/>
  <c r="FD185" i="25"/>
  <c r="DS145" i="25"/>
  <c r="DL145" i="25"/>
  <c r="FD145" i="25"/>
  <c r="CY25" i="25"/>
  <c r="CZ25" i="25"/>
  <c r="DS117" i="25"/>
  <c r="DL117" i="25"/>
  <c r="FD117" i="25"/>
  <c r="CY15" i="25"/>
  <c r="CZ15" i="25"/>
  <c r="CY159" i="25"/>
  <c r="CZ159" i="25"/>
  <c r="CY52" i="25"/>
  <c r="CZ52" i="25"/>
  <c r="DL72" i="25"/>
  <c r="DS72" i="25"/>
  <c r="FD72" i="25"/>
  <c r="FD98" i="25"/>
  <c r="DL98" i="25"/>
  <c r="DS300" i="25"/>
  <c r="DL300" i="25"/>
  <c r="DH274" i="25"/>
  <c r="DA274" i="25"/>
  <c r="DD274" i="25" s="1"/>
  <c r="DE274" i="25" s="1"/>
  <c r="DF274" i="25" s="1"/>
  <c r="CZ19" i="25"/>
  <c r="DB19" i="25" s="1"/>
  <c r="DH19" i="25"/>
  <c r="DA19" i="25"/>
  <c r="DD19" i="25" s="1"/>
  <c r="DE19" i="25" s="1"/>
  <c r="DF19" i="25" s="1"/>
  <c r="DL259" i="25"/>
  <c r="DS259" i="25"/>
  <c r="DL200" i="25"/>
  <c r="FD200" i="25"/>
  <c r="DL253" i="25"/>
  <c r="DS253" i="25"/>
  <c r="CY247" i="25"/>
  <c r="CZ247" i="25"/>
  <c r="CZ172" i="25"/>
  <c r="CY172" i="25"/>
  <c r="DL45" i="25"/>
  <c r="DS45" i="25"/>
  <c r="FD45" i="25"/>
  <c r="FD136" i="25"/>
  <c r="DS136" i="25"/>
  <c r="DL136" i="25"/>
  <c r="DL313" i="25"/>
  <c r="DS313" i="25"/>
  <c r="CY60" i="25"/>
  <c r="CZ60" i="25"/>
  <c r="DH88" i="25"/>
  <c r="DA88" i="25"/>
  <c r="DD88" i="25" s="1"/>
  <c r="DE88" i="25" s="1"/>
  <c r="DF88" i="25" s="1"/>
  <c r="DA172" i="25"/>
  <c r="DD172" i="25" s="1"/>
  <c r="DE172" i="25" s="1"/>
  <c r="DF172" i="25" s="1"/>
  <c r="DH172" i="25"/>
  <c r="DH183" i="25"/>
  <c r="DA183" i="25"/>
  <c r="DD183" i="25" s="1"/>
  <c r="DE183" i="25" s="1"/>
  <c r="DF183" i="25" s="1"/>
  <c r="DH25" i="25"/>
  <c r="DA25" i="25"/>
  <c r="DD25" i="25" s="1"/>
  <c r="DE25" i="25" s="1"/>
  <c r="DF25" i="25" s="1"/>
  <c r="DH146" i="25"/>
  <c r="DA146" i="25"/>
  <c r="DD146" i="25" s="1"/>
  <c r="DE146" i="25" s="1"/>
  <c r="DF146" i="25" s="1"/>
  <c r="DA114" i="25"/>
  <c r="DD114" i="25" s="1"/>
  <c r="DE114" i="25" s="1"/>
  <c r="DF114" i="25" s="1"/>
  <c r="DH114" i="25"/>
  <c r="DH303" i="25"/>
  <c r="DA303" i="25"/>
  <c r="DD303" i="25" s="1"/>
  <c r="DE303" i="25" s="1"/>
  <c r="DF303" i="25" s="1"/>
  <c r="DH20" i="25"/>
  <c r="DA20" i="25"/>
  <c r="DD20" i="25" s="1"/>
  <c r="DE20" i="25" s="1"/>
  <c r="DF20" i="25" s="1"/>
  <c r="CZ162" i="25"/>
  <c r="DB162" i="25" s="1"/>
  <c r="DH162" i="25"/>
  <c r="DA162" i="25"/>
  <c r="DD162" i="25" s="1"/>
  <c r="DE162" i="25" s="1"/>
  <c r="DF162" i="25" s="1"/>
  <c r="DH246" i="25"/>
  <c r="DA246" i="25"/>
  <c r="DD246" i="25" s="1"/>
  <c r="DE246" i="25" s="1"/>
  <c r="DF246" i="25" s="1"/>
  <c r="CY182" i="25"/>
  <c r="CZ182" i="25"/>
  <c r="CY314" i="25"/>
  <c r="CZ314" i="25"/>
  <c r="CZ252" i="25"/>
  <c r="CY252" i="25"/>
  <c r="DL245" i="25"/>
  <c r="FD169" i="25"/>
  <c r="DS169" i="25"/>
  <c r="DL169" i="25"/>
  <c r="DL88" i="25"/>
  <c r="DS88" i="25"/>
  <c r="FD88" i="25"/>
  <c r="CY40" i="25"/>
  <c r="CZ40" i="25"/>
  <c r="DL298" i="25"/>
  <c r="DS298" i="25"/>
  <c r="CZ96" i="25"/>
  <c r="CY96" i="25"/>
  <c r="CY48" i="25"/>
  <c r="CZ48" i="25"/>
  <c r="DL24" i="25"/>
  <c r="FD24" i="25"/>
  <c r="FD48" i="25"/>
  <c r="FD95" i="25"/>
  <c r="DH176" i="25"/>
  <c r="DA176" i="25"/>
  <c r="DD176" i="25" s="1"/>
  <c r="DE176" i="25" s="1"/>
  <c r="DF176" i="25" s="1"/>
  <c r="CY225" i="25"/>
  <c r="CZ225" i="25"/>
  <c r="DL269" i="25"/>
  <c r="DS269" i="25"/>
  <c r="DH21" i="25"/>
  <c r="DA21" i="25"/>
  <c r="DD21" i="25" s="1"/>
  <c r="DE21" i="25" s="1"/>
  <c r="DF21" i="25" s="1"/>
  <c r="DH167" i="25"/>
  <c r="DA167" i="25"/>
  <c r="DD167" i="25" s="1"/>
  <c r="DE167" i="25" s="1"/>
  <c r="DF167" i="25" s="1"/>
  <c r="DA194" i="25"/>
  <c r="DD194" i="25" s="1"/>
  <c r="DE194" i="25" s="1"/>
  <c r="DF194" i="25" s="1"/>
  <c r="DH194" i="25"/>
  <c r="CZ155" i="25"/>
  <c r="DB155" i="25" s="1"/>
  <c r="DH155" i="25"/>
  <c r="DA155" i="25"/>
  <c r="DD155" i="25" s="1"/>
  <c r="DE155" i="25" s="1"/>
  <c r="DF155" i="25" s="1"/>
  <c r="DH288" i="25"/>
  <c r="DA288" i="25"/>
  <c r="DD288" i="25" s="1"/>
  <c r="DE288" i="25" s="1"/>
  <c r="DF288" i="25" s="1"/>
  <c r="CZ82" i="25"/>
  <c r="DB82" i="25" s="1"/>
  <c r="DH82" i="25"/>
  <c r="DA82" i="25"/>
  <c r="DD82" i="25" s="1"/>
  <c r="DE82" i="25" s="1"/>
  <c r="DF82" i="25" s="1"/>
  <c r="DL242" i="25"/>
  <c r="DS242" i="25"/>
  <c r="DL295" i="25"/>
  <c r="DS233" i="25"/>
  <c r="DL233" i="25"/>
  <c r="FD130" i="25"/>
  <c r="DL130" i="25"/>
  <c r="DS130" i="25"/>
  <c r="DS126" i="25"/>
  <c r="FD126" i="25"/>
  <c r="DL126" i="25"/>
  <c r="CY86" i="25"/>
  <c r="CZ86" i="25"/>
  <c r="FD34" i="25"/>
  <c r="DL34" i="25"/>
  <c r="DS34" i="25"/>
  <c r="DS266" i="25"/>
  <c r="DL266" i="25"/>
  <c r="DL47" i="25"/>
  <c r="DS47" i="25"/>
  <c r="FD47" i="25"/>
  <c r="CY55" i="25"/>
  <c r="CZ55" i="25"/>
  <c r="DL14" i="25"/>
  <c r="DS14" i="25"/>
  <c r="FD14" i="25"/>
  <c r="DS38" i="25"/>
  <c r="FD38" i="25"/>
  <c r="DL38" i="25"/>
  <c r="DH315" i="25"/>
  <c r="DA315" i="25"/>
  <c r="DD315" i="25" s="1"/>
  <c r="DE315" i="25" s="1"/>
  <c r="DF315" i="25" s="1"/>
  <c r="DA62" i="25"/>
  <c r="DD62" i="25" s="1"/>
  <c r="DE62" i="25" s="1"/>
  <c r="DF62" i="25" s="1"/>
  <c r="DH62" i="25"/>
  <c r="DL179" i="25"/>
  <c r="FD179" i="25"/>
  <c r="DS179" i="25"/>
  <c r="CY232" i="25"/>
  <c r="CZ232" i="25"/>
  <c r="CY64" i="25"/>
  <c r="CZ64" i="25"/>
  <c r="DH219" i="25"/>
  <c r="DA219" i="25"/>
  <c r="DD219" i="25" s="1"/>
  <c r="DE219" i="25" s="1"/>
  <c r="DF219" i="25" s="1"/>
  <c r="DA261" i="25"/>
  <c r="DD261" i="25" s="1"/>
  <c r="DE261" i="25" s="1"/>
  <c r="DF261" i="25" s="1"/>
  <c r="DH261" i="25"/>
  <c r="CZ306" i="25"/>
  <c r="CY306" i="25"/>
  <c r="DL235" i="25"/>
  <c r="DS235" i="25"/>
  <c r="DL275" i="25"/>
  <c r="DS275" i="25"/>
  <c r="DS146" i="25"/>
  <c r="FD146" i="25"/>
  <c r="DL146" i="25"/>
  <c r="DL276" i="25"/>
  <c r="DS276" i="25"/>
  <c r="DS79" i="25"/>
  <c r="DL79" i="25"/>
  <c r="FD79" i="25"/>
  <c r="CY262" i="25"/>
  <c r="CZ262" i="25"/>
  <c r="CY89" i="25"/>
  <c r="CZ89" i="25"/>
  <c r="DL25" i="25"/>
  <c r="FD25" i="25"/>
  <c r="DH113" i="25"/>
  <c r="DA113" i="25"/>
  <c r="DD113" i="25" s="1"/>
  <c r="DE113" i="25" s="1"/>
  <c r="DF113" i="25" s="1"/>
  <c r="DT43" i="24"/>
  <c r="DT282" i="24"/>
  <c r="DT29" i="24"/>
  <c r="DT11" i="24"/>
  <c r="CN302" i="24"/>
  <c r="DA302" i="24" s="1"/>
  <c r="CS302" i="24"/>
  <c r="FD302" i="24" s="1"/>
  <c r="DT287" i="24"/>
  <c r="DT219" i="24"/>
  <c r="CS267" i="24"/>
  <c r="FD267" i="24" s="1"/>
  <c r="CN267" i="24"/>
  <c r="DA267" i="24" s="1"/>
  <c r="CZ47" i="24"/>
  <c r="DT66" i="24"/>
  <c r="DT36" i="24"/>
  <c r="CS9" i="24"/>
  <c r="FD9" i="24" s="1"/>
  <c r="CN9" i="24"/>
  <c r="DA9" i="24" s="1"/>
  <c r="CZ86" i="24"/>
  <c r="DT15" i="24"/>
  <c r="CS236" i="24"/>
  <c r="FD236" i="24" s="1"/>
  <c r="CN236" i="24"/>
  <c r="DA236" i="24" s="1"/>
  <c r="CN206" i="24"/>
  <c r="DA206" i="24" s="1"/>
  <c r="CS206" i="24"/>
  <c r="FD206" i="24" s="1"/>
  <c r="CZ226" i="24"/>
  <c r="DT263" i="24"/>
  <c r="DT83" i="24"/>
  <c r="CZ153" i="24"/>
  <c r="CN73" i="24"/>
  <c r="DA73" i="24" s="1"/>
  <c r="CS73" i="24"/>
  <c r="FD73" i="24" s="1"/>
  <c r="CS52" i="24"/>
  <c r="FD52" i="24" s="1"/>
  <c r="CN52" i="24"/>
  <c r="CZ72" i="24"/>
  <c r="CS30" i="24"/>
  <c r="FD30" i="24" s="1"/>
  <c r="CN30" i="24"/>
  <c r="DA30" i="24" s="1"/>
  <c r="DT281" i="24"/>
  <c r="DT277" i="24"/>
  <c r="CN192" i="24"/>
  <c r="DA192" i="24" s="1"/>
  <c r="CS192" i="24"/>
  <c r="FD192" i="24" s="1"/>
  <c r="CZ240" i="24"/>
  <c r="CN116" i="24"/>
  <c r="DA116" i="24" s="1"/>
  <c r="CS116" i="24"/>
  <c r="FD116" i="24" s="1"/>
  <c r="CN133" i="24"/>
  <c r="DA133" i="24" s="1"/>
  <c r="CS133" i="24"/>
  <c r="FD133" i="24" s="1"/>
  <c r="CZ172" i="24"/>
  <c r="DT38" i="24"/>
  <c r="DT103" i="24"/>
  <c r="CN20" i="24"/>
  <c r="DA20" i="24" s="1"/>
  <c r="CS20" i="24"/>
  <c r="FD20" i="24" s="1"/>
  <c r="CN311" i="24"/>
  <c r="DA311" i="24" s="1"/>
  <c r="CS311" i="24"/>
  <c r="FD311" i="24" s="1"/>
  <c r="DT238" i="24"/>
  <c r="CS259" i="24"/>
  <c r="FD259" i="24" s="1"/>
  <c r="CN259" i="24"/>
  <c r="DA259" i="24" s="1"/>
  <c r="CS232" i="24"/>
  <c r="FD232" i="24" s="1"/>
  <c r="CN232" i="24"/>
  <c r="CN233" i="24"/>
  <c r="DA233" i="24" s="1"/>
  <c r="CS233" i="24"/>
  <c r="FD233" i="24" s="1"/>
  <c r="DT306" i="24"/>
  <c r="DT98" i="24"/>
  <c r="CS161" i="24"/>
  <c r="FD161" i="24" s="1"/>
  <c r="CN161" i="24"/>
  <c r="DA161" i="24" s="1"/>
  <c r="CS132" i="24"/>
  <c r="FD132" i="24" s="1"/>
  <c r="CN132" i="24"/>
  <c r="DA132" i="24" s="1"/>
  <c r="CZ148" i="24"/>
  <c r="DT47" i="24"/>
  <c r="CS120" i="24"/>
  <c r="FD120" i="24" s="1"/>
  <c r="CN120" i="24"/>
  <c r="DA120" i="24" s="1"/>
  <c r="CZ119" i="24"/>
  <c r="CZ41" i="24"/>
  <c r="CZ66" i="24"/>
  <c r="CS36" i="24"/>
  <c r="FD36" i="24" s="1"/>
  <c r="CN36" i="24"/>
  <c r="DA36" i="24" s="1"/>
  <c r="DT21" i="24"/>
  <c r="DT45" i="24"/>
  <c r="DT236" i="24"/>
  <c r="CS189" i="24"/>
  <c r="FD189" i="24" s="1"/>
  <c r="CN189" i="24"/>
  <c r="CS255" i="24"/>
  <c r="FD255" i="24" s="1"/>
  <c r="CN255" i="24"/>
  <c r="DA255" i="24" s="1"/>
  <c r="DT285" i="24"/>
  <c r="DT298" i="24"/>
  <c r="CS146" i="24"/>
  <c r="FD146" i="24" s="1"/>
  <c r="CN146" i="24"/>
  <c r="DA146" i="24" s="1"/>
  <c r="DT217" i="24"/>
  <c r="CZ40" i="24"/>
  <c r="DT70" i="24"/>
  <c r="CZ30" i="24"/>
  <c r="CZ314" i="24"/>
  <c r="CN200" i="24"/>
  <c r="DA200" i="24" s="1"/>
  <c r="CS200" i="24"/>
  <c r="FD200" i="24" s="1"/>
  <c r="CZ277" i="24"/>
  <c r="CN224" i="24"/>
  <c r="DA224" i="24" s="1"/>
  <c r="CS224" i="24"/>
  <c r="FD224" i="24" s="1"/>
  <c r="DT242" i="24"/>
  <c r="CS29" i="24"/>
  <c r="FD29" i="24" s="1"/>
  <c r="CN29" i="24"/>
  <c r="DA29" i="24" s="1"/>
  <c r="CZ259" i="24"/>
  <c r="CZ208" i="24"/>
  <c r="DT297" i="24"/>
  <c r="CZ267" i="24"/>
  <c r="CN179" i="24"/>
  <c r="DA179" i="24" s="1"/>
  <c r="CS179" i="24"/>
  <c r="FD179" i="24" s="1"/>
  <c r="CN41" i="24"/>
  <c r="CS41" i="24"/>
  <c r="FD41" i="24" s="1"/>
  <c r="DT9" i="24"/>
  <c r="CN296" i="24"/>
  <c r="DA296" i="24" s="1"/>
  <c r="CS296" i="24"/>
  <c r="FD296" i="24" s="1"/>
  <c r="CS298" i="24"/>
  <c r="FD298" i="24" s="1"/>
  <c r="CN298" i="24"/>
  <c r="DA298" i="24" s="1"/>
  <c r="CS153" i="24"/>
  <c r="FD153" i="24" s="1"/>
  <c r="CN153" i="24"/>
  <c r="DA153" i="24" s="1"/>
  <c r="CS234" i="24"/>
  <c r="FD234" i="24" s="1"/>
  <c r="CN234" i="24"/>
  <c r="DA234" i="24" s="1"/>
  <c r="CN118" i="24"/>
  <c r="DA118" i="24" s="1"/>
  <c r="CS118" i="24"/>
  <c r="FD118" i="24" s="1"/>
  <c r="CS64" i="24"/>
  <c r="FD64" i="24" s="1"/>
  <c r="CN64" i="24"/>
  <c r="CS6" i="24"/>
  <c r="FD6" i="24" s="1"/>
  <c r="CN6" i="24"/>
  <c r="DA6" i="24" s="1"/>
  <c r="DT18" i="24"/>
  <c r="CN289" i="24"/>
  <c r="DA289" i="24" s="1"/>
  <c r="CS289" i="24"/>
  <c r="FD289" i="24" s="1"/>
  <c r="CZ205" i="24"/>
  <c r="DT314" i="24"/>
  <c r="DT253" i="24"/>
  <c r="CN240" i="24"/>
  <c r="DA240" i="24" s="1"/>
  <c r="CS240" i="24"/>
  <c r="FD240" i="24" s="1"/>
  <c r="CZ111" i="24"/>
  <c r="DT58" i="24"/>
  <c r="CN238" i="24"/>
  <c r="DA238" i="24" s="1"/>
  <c r="CS238" i="24"/>
  <c r="FD238" i="24" s="1"/>
  <c r="DT267" i="24"/>
  <c r="CN306" i="24"/>
  <c r="DA306" i="24" s="1"/>
  <c r="CS306" i="24"/>
  <c r="FD306" i="24" s="1"/>
  <c r="CS171" i="24"/>
  <c r="FD171" i="24" s="1"/>
  <c r="CN171" i="24"/>
  <c r="CS148" i="24"/>
  <c r="FD148" i="24" s="1"/>
  <c r="CN148" i="24"/>
  <c r="DA148" i="24" s="1"/>
  <c r="CZ258" i="24"/>
  <c r="DT41" i="24"/>
  <c r="CS45" i="24"/>
  <c r="FD45" i="24" s="1"/>
  <c r="CN45" i="24"/>
  <c r="DA45" i="24" s="1"/>
  <c r="DT86" i="24"/>
  <c r="CZ296" i="24"/>
  <c r="CZ255" i="24"/>
  <c r="CZ285" i="24"/>
  <c r="CS226" i="24"/>
  <c r="FD226" i="24" s="1"/>
  <c r="CN226" i="24"/>
  <c r="DT294" i="24"/>
  <c r="CZ123" i="24"/>
  <c r="CZ136" i="24"/>
  <c r="CZ234" i="24"/>
  <c r="CZ113" i="24"/>
  <c r="CZ118" i="24"/>
  <c r="CZ64" i="24"/>
  <c r="DT6" i="24"/>
  <c r="CS18" i="24"/>
  <c r="FD18" i="24" s="1"/>
  <c r="CN18" i="24"/>
  <c r="CS205" i="24"/>
  <c r="FD205" i="24" s="1"/>
  <c r="CN205" i="24"/>
  <c r="CN253" i="24"/>
  <c r="DA253" i="24" s="1"/>
  <c r="CS253" i="24"/>
  <c r="FD253" i="24" s="1"/>
  <c r="DT224" i="24"/>
  <c r="CS286" i="24"/>
  <c r="FD286" i="24" s="1"/>
  <c r="CN286" i="24"/>
  <c r="DA286" i="24" s="1"/>
  <c r="DT240" i="24"/>
  <c r="CZ150" i="24"/>
  <c r="CN242" i="24"/>
  <c r="DA242" i="24" s="1"/>
  <c r="CS242" i="24"/>
  <c r="FD242" i="24" s="1"/>
  <c r="CN89" i="24"/>
  <c r="CS89" i="24"/>
  <c r="FD89" i="24" s="1"/>
  <c r="CZ20" i="24"/>
  <c r="DT280" i="24"/>
  <c r="DT311" i="24"/>
  <c r="CZ300" i="24"/>
  <c r="DT259" i="24"/>
  <c r="DT232" i="24"/>
  <c r="CS309" i="24"/>
  <c r="FD309" i="24" s="1"/>
  <c r="CN309" i="24"/>
  <c r="DA309" i="24" s="1"/>
  <c r="CZ161" i="24"/>
  <c r="CZ307" i="24"/>
  <c r="CZ179" i="24"/>
  <c r="CS81" i="24"/>
  <c r="FD81" i="24" s="1"/>
  <c r="CN81" i="24"/>
  <c r="CZ264" i="24"/>
  <c r="CN47" i="24"/>
  <c r="DA47" i="24" s="1"/>
  <c r="CS47" i="24"/>
  <c r="FD47" i="24" s="1"/>
  <c r="CS167" i="24"/>
  <c r="FD167" i="24" s="1"/>
  <c r="CN167" i="24"/>
  <c r="DA167" i="24" s="1"/>
  <c r="CZ75" i="24"/>
  <c r="CN21" i="24"/>
  <c r="DA21" i="24" s="1"/>
  <c r="CS21" i="24"/>
  <c r="FD21" i="24" s="1"/>
  <c r="DT296" i="24"/>
  <c r="CZ283" i="24"/>
  <c r="DT255" i="24"/>
  <c r="CZ203" i="24"/>
  <c r="DT226" i="24"/>
  <c r="CZ294" i="24"/>
  <c r="CS221" i="24"/>
  <c r="FD221" i="24" s="1"/>
  <c r="CN221" i="24"/>
  <c r="DA221" i="24" s="1"/>
  <c r="CS157" i="24"/>
  <c r="FD157" i="24" s="1"/>
  <c r="CN157" i="24"/>
  <c r="DA157" i="24" s="1"/>
  <c r="CZ209" i="24"/>
  <c r="CZ177" i="24"/>
  <c r="DT244" i="24"/>
  <c r="CS217" i="24"/>
  <c r="FD217" i="24" s="1"/>
  <c r="CN217" i="24"/>
  <c r="DA217" i="24" s="1"/>
  <c r="CS136" i="24"/>
  <c r="FD136" i="24" s="1"/>
  <c r="CN136" i="24"/>
  <c r="DT234" i="24"/>
  <c r="DT14" i="24"/>
  <c r="DT72" i="24"/>
  <c r="CZ289" i="24"/>
  <c r="CZ281" i="24"/>
  <c r="CS282" i="24"/>
  <c r="FD282" i="24" s="1"/>
  <c r="CN282" i="24"/>
  <c r="DA282" i="24" s="1"/>
  <c r="CN187" i="24"/>
  <c r="DA187" i="24" s="1"/>
  <c r="CS187" i="24"/>
  <c r="FD187" i="24" s="1"/>
  <c r="DT286" i="24"/>
  <c r="CN291" i="24"/>
  <c r="DA291" i="24" s="1"/>
  <c r="CS291" i="24"/>
  <c r="FD291" i="24" s="1"/>
  <c r="CN150" i="24"/>
  <c r="CS150" i="24"/>
  <c r="FD150" i="24" s="1"/>
  <c r="CN115" i="24"/>
  <c r="CS115" i="24"/>
  <c r="FD115" i="24" s="1"/>
  <c r="CS172" i="24"/>
  <c r="FD172" i="24" s="1"/>
  <c r="CN172" i="24"/>
  <c r="DA172" i="24" s="1"/>
  <c r="CZ17" i="24"/>
  <c r="CS300" i="24"/>
  <c r="FD300" i="24" s="1"/>
  <c r="CN300" i="24"/>
  <c r="DA300" i="24" s="1"/>
  <c r="CZ238" i="24"/>
  <c r="CS190" i="24"/>
  <c r="FD190" i="24" s="1"/>
  <c r="CN190" i="24"/>
  <c r="DA190" i="24" s="1"/>
  <c r="CZ287" i="24"/>
  <c r="DT309" i="24"/>
  <c r="CZ233" i="24"/>
  <c r="DT307" i="24"/>
  <c r="DT81" i="24"/>
  <c r="CN264" i="24"/>
  <c r="DA264" i="24" s="1"/>
  <c r="CS264" i="24"/>
  <c r="FD264" i="24" s="1"/>
  <c r="DT258" i="24"/>
  <c r="CZ167" i="24"/>
  <c r="CN119" i="24"/>
  <c r="DA119" i="24" s="1"/>
  <c r="CS119" i="24"/>
  <c r="FD119" i="24" s="1"/>
  <c r="CN66" i="24"/>
  <c r="CS66" i="24"/>
  <c r="FD66" i="24" s="1"/>
  <c r="CN75" i="24"/>
  <c r="DA75" i="24" s="1"/>
  <c r="CS75" i="24"/>
  <c r="FD75" i="24" s="1"/>
  <c r="CZ21" i="24"/>
  <c r="CS283" i="24"/>
  <c r="FD283" i="24" s="1"/>
  <c r="CN283" i="24"/>
  <c r="DA283" i="24" s="1"/>
  <c r="DT284" i="24"/>
  <c r="CS203" i="24"/>
  <c r="FD203" i="24" s="1"/>
  <c r="CN203" i="24"/>
  <c r="DA203" i="24" s="1"/>
  <c r="CZ263" i="24"/>
  <c r="CZ157" i="24"/>
  <c r="CN209" i="24"/>
  <c r="DA209" i="24" s="1"/>
  <c r="CS209" i="24"/>
  <c r="FD209" i="24" s="1"/>
  <c r="CS177" i="24"/>
  <c r="FD177" i="24" s="1"/>
  <c r="CN177" i="24"/>
  <c r="CZ217" i="24"/>
  <c r="DT64" i="24"/>
  <c r="CS14" i="24"/>
  <c r="FD14" i="24" s="1"/>
  <c r="CN14" i="24"/>
  <c r="CZ6" i="24"/>
  <c r="CN72" i="24"/>
  <c r="CS72" i="24"/>
  <c r="FD72" i="24" s="1"/>
  <c r="CS314" i="24"/>
  <c r="FD314" i="24" s="1"/>
  <c r="CN314" i="24"/>
  <c r="CZ253" i="24"/>
  <c r="CZ286" i="24"/>
  <c r="CZ192" i="24"/>
  <c r="DT291" i="24"/>
  <c r="CZ116" i="24"/>
  <c r="CS193" i="24"/>
  <c r="FD193" i="24" s="1"/>
  <c r="CN193" i="24"/>
  <c r="DA193" i="24" s="1"/>
  <c r="CZ156" i="24"/>
  <c r="DT300" i="24"/>
  <c r="CZ302" i="24"/>
  <c r="CZ190" i="24"/>
  <c r="CZ219" i="24"/>
  <c r="CN208" i="24"/>
  <c r="CS208" i="24"/>
  <c r="FD208" i="24" s="1"/>
  <c r="CN297" i="24"/>
  <c r="DA297" i="24" s="1"/>
  <c r="CS297" i="24"/>
  <c r="FD297" i="24" s="1"/>
  <c r="CZ309" i="24"/>
  <c r="CZ98" i="24"/>
  <c r="CN307" i="24"/>
  <c r="DA307" i="24" s="1"/>
  <c r="CS307" i="24"/>
  <c r="FD307" i="24" s="1"/>
  <c r="DT264" i="24"/>
  <c r="CN139" i="24"/>
  <c r="DA139" i="24" s="1"/>
  <c r="CS139" i="24"/>
  <c r="FD139" i="24" s="1"/>
  <c r="CS258" i="24"/>
  <c r="FD258" i="24" s="1"/>
  <c r="CN258" i="24"/>
  <c r="CZ9" i="24"/>
  <c r="CS86" i="24"/>
  <c r="FD86" i="24" s="1"/>
  <c r="CN86" i="24"/>
  <c r="DA86" i="24" s="1"/>
  <c r="CZ15" i="24"/>
  <c r="CZ284" i="24"/>
  <c r="CN294" i="24"/>
  <c r="DA294" i="24" s="1"/>
  <c r="CS294" i="24"/>
  <c r="FD294" i="24" s="1"/>
  <c r="CZ221" i="24"/>
  <c r="CS83" i="24"/>
  <c r="FD83" i="24" s="1"/>
  <c r="CN83" i="24"/>
  <c r="CS123" i="24"/>
  <c r="FD123" i="24" s="1"/>
  <c r="CN123" i="24"/>
  <c r="CS244" i="24"/>
  <c r="FD244" i="24" s="1"/>
  <c r="CN244" i="24"/>
  <c r="DA244" i="24" s="1"/>
  <c r="CZ146" i="24"/>
  <c r="CN40" i="24"/>
  <c r="CS40" i="24"/>
  <c r="FD40" i="24" s="1"/>
  <c r="CN113" i="24"/>
  <c r="DA113" i="24" s="1"/>
  <c r="CS113" i="24"/>
  <c r="FD113" i="24" s="1"/>
  <c r="CZ162" i="24"/>
  <c r="CS70" i="24"/>
  <c r="FD70" i="24" s="1"/>
  <c r="CN70" i="24"/>
  <c r="DT73" i="24"/>
  <c r="DT52" i="24"/>
  <c r="CS281" i="24"/>
  <c r="FD281" i="24" s="1"/>
  <c r="CN281" i="24"/>
  <c r="DA281" i="24" s="1"/>
  <c r="CZ282" i="24"/>
  <c r="CZ200" i="24"/>
  <c r="CZ224" i="24"/>
  <c r="DT250" i="24"/>
  <c r="CZ103" i="24"/>
  <c r="CZ57" i="24"/>
  <c r="CN262" i="24"/>
  <c r="DA262" i="24" s="1"/>
  <c r="CS262" i="24"/>
  <c r="FD262" i="24" s="1"/>
  <c r="DT302" i="24"/>
  <c r="CN287" i="24"/>
  <c r="DA287" i="24" s="1"/>
  <c r="CS287" i="24"/>
  <c r="FD287" i="24" s="1"/>
  <c r="CN219" i="24"/>
  <c r="CS219" i="24"/>
  <c r="FD219" i="24" s="1"/>
  <c r="CZ297" i="24"/>
  <c r="DT233" i="24"/>
  <c r="CZ306" i="24"/>
  <c r="CS98" i="24"/>
  <c r="FD98" i="24" s="1"/>
  <c r="CN98" i="24"/>
  <c r="CZ132" i="24"/>
  <c r="CZ139" i="24"/>
  <c r="CZ120" i="24"/>
  <c r="CZ36" i="24"/>
  <c r="DT75" i="24"/>
  <c r="CZ45" i="24"/>
  <c r="CN15" i="24"/>
  <c r="CS15" i="24"/>
  <c r="FD15" i="24" s="1"/>
  <c r="DT283" i="24"/>
  <c r="CZ236" i="24"/>
  <c r="CS284" i="24"/>
  <c r="FD284" i="24" s="1"/>
  <c r="CN284" i="24"/>
  <c r="CZ206" i="24"/>
  <c r="CS285" i="24"/>
  <c r="FD285" i="24" s="1"/>
  <c r="CN285" i="24"/>
  <c r="DA285" i="24" s="1"/>
  <c r="CS263" i="24"/>
  <c r="FD263" i="24" s="1"/>
  <c r="CN263" i="24"/>
  <c r="CZ298" i="24"/>
  <c r="CZ244" i="24"/>
  <c r="DT40" i="24"/>
  <c r="CN162" i="24"/>
  <c r="DA162" i="24" s="1"/>
  <c r="CS162" i="24"/>
  <c r="FD162" i="24" s="1"/>
  <c r="CZ73" i="24"/>
  <c r="DT30" i="24"/>
  <c r="CZ187" i="24"/>
  <c r="CN277" i="24"/>
  <c r="DA277" i="24" s="1"/>
  <c r="CS277" i="24"/>
  <c r="FD277" i="24" s="1"/>
  <c r="CS250" i="24"/>
  <c r="FD250" i="24" s="1"/>
  <c r="CN250" i="24"/>
  <c r="CN194" i="24"/>
  <c r="CS194" i="24"/>
  <c r="FD194" i="24" s="1"/>
  <c r="CZ164" i="24"/>
  <c r="CZ242" i="24"/>
  <c r="CZ133" i="24"/>
  <c r="CS103" i="24"/>
  <c r="FD103" i="24" s="1"/>
  <c r="CN103" i="24"/>
  <c r="DA103" i="24" s="1"/>
  <c r="DT60" i="24"/>
  <c r="CS58" i="24"/>
  <c r="FD58" i="24" s="1"/>
  <c r="CN58" i="24"/>
  <c r="DA58" i="24" s="1"/>
  <c r="CZ84" i="24"/>
  <c r="CZ185" i="24"/>
  <c r="CZ222" i="24"/>
  <c r="CZ235" i="24"/>
  <c r="DT228" i="24"/>
  <c r="CZ112" i="24"/>
  <c r="CS104" i="24"/>
  <c r="FD104" i="24" s="1"/>
  <c r="CN104" i="24"/>
  <c r="DA104" i="24" s="1"/>
  <c r="DT82" i="24"/>
  <c r="CS67" i="24"/>
  <c r="FD67" i="24" s="1"/>
  <c r="CN67" i="24"/>
  <c r="DA67" i="24" s="1"/>
  <c r="CN50" i="24"/>
  <c r="CS50" i="24"/>
  <c r="FD50" i="24" s="1"/>
  <c r="DT22" i="24"/>
  <c r="DT274" i="24"/>
  <c r="CN248" i="24"/>
  <c r="CS248" i="24"/>
  <c r="FD248" i="24" s="1"/>
  <c r="CZ183" i="24"/>
  <c r="CN186" i="24"/>
  <c r="DA186" i="24" s="1"/>
  <c r="CS186" i="24"/>
  <c r="FD186" i="24" s="1"/>
  <c r="CZ105" i="24"/>
  <c r="CN102" i="24"/>
  <c r="DA102" i="24" s="1"/>
  <c r="CS102" i="24"/>
  <c r="FD102" i="24" s="1"/>
  <c r="DT80" i="24"/>
  <c r="CS163" i="24"/>
  <c r="FD163" i="24" s="1"/>
  <c r="CN163" i="24"/>
  <c r="DT54" i="24"/>
  <c r="CZ8" i="24"/>
  <c r="CN25" i="24"/>
  <c r="DA25" i="24" s="1"/>
  <c r="CS25" i="24"/>
  <c r="FD25" i="24" s="1"/>
  <c r="CS269" i="24"/>
  <c r="FD269" i="24" s="1"/>
  <c r="CN269" i="24"/>
  <c r="DA269" i="24" s="1"/>
  <c r="CZ252" i="24"/>
  <c r="CS247" i="24"/>
  <c r="FD247" i="24" s="1"/>
  <c r="CN247" i="24"/>
  <c r="DA247" i="24" s="1"/>
  <c r="CN303" i="24"/>
  <c r="DA303" i="24" s="1"/>
  <c r="CS303" i="24"/>
  <c r="FD303" i="24" s="1"/>
  <c r="CZ288" i="24"/>
  <c r="CN160" i="24"/>
  <c r="DA160" i="24" s="1"/>
  <c r="CS160" i="24"/>
  <c r="FD160" i="24" s="1"/>
  <c r="CZ135" i="24"/>
  <c r="CZ144" i="24"/>
  <c r="CN78" i="24"/>
  <c r="DA78" i="24" s="1"/>
  <c r="CS78" i="24"/>
  <c r="FD78" i="24" s="1"/>
  <c r="CZ32" i="24"/>
  <c r="CS68" i="24"/>
  <c r="FD68" i="24" s="1"/>
  <c r="CN68" i="24"/>
  <c r="DA68" i="24" s="1"/>
  <c r="CZ94" i="24"/>
  <c r="CS268" i="24"/>
  <c r="FD268" i="24" s="1"/>
  <c r="CN268" i="24"/>
  <c r="DA268" i="24" s="1"/>
  <c r="CN257" i="24"/>
  <c r="DA257" i="24" s="1"/>
  <c r="CS257" i="24"/>
  <c r="FD257" i="24" s="1"/>
  <c r="DT272" i="24"/>
  <c r="CS125" i="24"/>
  <c r="FD125" i="24" s="1"/>
  <c r="CN125" i="24"/>
  <c r="DA125" i="24" s="1"/>
  <c r="CZ141" i="24"/>
  <c r="CZ158" i="24"/>
  <c r="CN142" i="24"/>
  <c r="DA142" i="24" s="1"/>
  <c r="CS142" i="24"/>
  <c r="FD142" i="24" s="1"/>
  <c r="CS74" i="24"/>
  <c r="FD74" i="24" s="1"/>
  <c r="CN74" i="24"/>
  <c r="DA74" i="24" s="1"/>
  <c r="DT218" i="24"/>
  <c r="DT44" i="24"/>
  <c r="CS59" i="24"/>
  <c r="FD59" i="24" s="1"/>
  <c r="CN59" i="24"/>
  <c r="DA59" i="24" s="1"/>
  <c r="DT26" i="24"/>
  <c r="CS313" i="24"/>
  <c r="FD313" i="24" s="1"/>
  <c r="CN313" i="24"/>
  <c r="DA313" i="24" s="1"/>
  <c r="CN290" i="24"/>
  <c r="DA290" i="24" s="1"/>
  <c r="CS290" i="24"/>
  <c r="FD290" i="24" s="1"/>
  <c r="CS225" i="24"/>
  <c r="FD225" i="24" s="1"/>
  <c r="CN225" i="24"/>
  <c r="DA225" i="24" s="1"/>
  <c r="CN237" i="24"/>
  <c r="DA237" i="24" s="1"/>
  <c r="CS237" i="24"/>
  <c r="FD237" i="24" s="1"/>
  <c r="CZ271" i="24"/>
  <c r="CZ114" i="24"/>
  <c r="CZ310" i="24"/>
  <c r="CZ188" i="24"/>
  <c r="DT69" i="24"/>
  <c r="CZ266" i="24"/>
  <c r="CS122" i="24"/>
  <c r="FD122" i="24" s="1"/>
  <c r="CN122" i="24"/>
  <c r="CS43" i="24"/>
  <c r="FD43" i="24" s="1"/>
  <c r="CN43" i="24"/>
  <c r="DA43" i="24" s="1"/>
  <c r="DT71" i="24"/>
  <c r="DT91" i="24"/>
  <c r="DT53" i="24"/>
  <c r="CS60" i="24"/>
  <c r="FD60" i="24" s="1"/>
  <c r="CN60" i="24"/>
  <c r="DA60" i="24" s="1"/>
  <c r="CS17" i="24"/>
  <c r="FD17" i="24" s="1"/>
  <c r="CN17" i="24"/>
  <c r="CZ311" i="24"/>
  <c r="CZ262" i="24"/>
  <c r="DT222" i="24"/>
  <c r="CZ279" i="24"/>
  <c r="DT235" i="24"/>
  <c r="DT243" i="24"/>
  <c r="CN37" i="24"/>
  <c r="DA37" i="24" s="1"/>
  <c r="CS37" i="24"/>
  <c r="FD37" i="24" s="1"/>
  <c r="CS152" i="24"/>
  <c r="FD152" i="24" s="1"/>
  <c r="CN152" i="24"/>
  <c r="DA152" i="24" s="1"/>
  <c r="DT7" i="24"/>
  <c r="CZ55" i="24"/>
  <c r="DT67" i="24"/>
  <c r="CZ254" i="24"/>
  <c r="DT308" i="24"/>
  <c r="CS305" i="24"/>
  <c r="FD305" i="24" s="1"/>
  <c r="CN305" i="24"/>
  <c r="CZ265" i="24"/>
  <c r="CS275" i="24"/>
  <c r="FD275" i="24" s="1"/>
  <c r="CN275" i="24"/>
  <c r="DA275" i="24" s="1"/>
  <c r="CN173" i="24"/>
  <c r="DA173" i="24" s="1"/>
  <c r="CS173" i="24"/>
  <c r="FD173" i="24" s="1"/>
  <c r="CZ149" i="24"/>
  <c r="CS93" i="24"/>
  <c r="FD93" i="24" s="1"/>
  <c r="CN93" i="24"/>
  <c r="DA93" i="24" s="1"/>
  <c r="CZ90" i="24"/>
  <c r="CZ54" i="24"/>
  <c r="CS16" i="24"/>
  <c r="FD16" i="24" s="1"/>
  <c r="CN16" i="24"/>
  <c r="DA16" i="24" s="1"/>
  <c r="DT304" i="24"/>
  <c r="CZ273" i="24"/>
  <c r="CZ197" i="24"/>
  <c r="CS220" i="24"/>
  <c r="FD220" i="24" s="1"/>
  <c r="CN220" i="24"/>
  <c r="DA220" i="24" s="1"/>
  <c r="CZ131" i="24"/>
  <c r="CZ101" i="24"/>
  <c r="CS32" i="24"/>
  <c r="FD32" i="24" s="1"/>
  <c r="CN32" i="24"/>
  <c r="DA32" i="24" s="1"/>
  <c r="DT68" i="24"/>
  <c r="DT94" i="24"/>
  <c r="CS28" i="24"/>
  <c r="FD28" i="24" s="1"/>
  <c r="CN28" i="24"/>
  <c r="CZ198" i="24"/>
  <c r="DT268" i="24"/>
  <c r="DT257" i="24"/>
  <c r="CN272" i="24"/>
  <c r="DA272" i="24" s="1"/>
  <c r="CS272" i="24"/>
  <c r="FD272" i="24" s="1"/>
  <c r="CN207" i="24"/>
  <c r="DA207" i="24" s="1"/>
  <c r="CS207" i="24"/>
  <c r="FD207" i="24" s="1"/>
  <c r="CN141" i="24"/>
  <c r="CS141" i="24"/>
  <c r="FD141" i="24" s="1"/>
  <c r="CZ128" i="24"/>
  <c r="CZ117" i="24"/>
  <c r="DT74" i="24"/>
  <c r="DT31" i="24"/>
  <c r="CZ145" i="24"/>
  <c r="CS218" i="24"/>
  <c r="FD218" i="24" s="1"/>
  <c r="CN218" i="24"/>
  <c r="DA218" i="24" s="1"/>
  <c r="CZ130" i="24"/>
  <c r="CN44" i="24"/>
  <c r="DA44" i="24" s="1"/>
  <c r="CS44" i="24"/>
  <c r="FD44" i="24" s="1"/>
  <c r="DT96" i="24"/>
  <c r="DT12" i="24"/>
  <c r="CN77" i="24"/>
  <c r="DA77" i="24" s="1"/>
  <c r="CS77" i="24"/>
  <c r="FD77" i="24" s="1"/>
  <c r="DT59" i="24"/>
  <c r="CZ313" i="24"/>
  <c r="CZ246" i="24"/>
  <c r="DT290" i="24"/>
  <c r="DT223" i="24"/>
  <c r="CZ260" i="24"/>
  <c r="CZ225" i="24"/>
  <c r="CN299" i="24"/>
  <c r="CS299" i="24"/>
  <c r="FD299" i="24" s="1"/>
  <c r="DT237" i="24"/>
  <c r="CN124" i="24"/>
  <c r="DA124" i="24" s="1"/>
  <c r="CS124" i="24"/>
  <c r="FD124" i="24" s="1"/>
  <c r="CZ99" i="24"/>
  <c r="CN69" i="24"/>
  <c r="DA69" i="24" s="1"/>
  <c r="CS69" i="24"/>
  <c r="FD69" i="24" s="1"/>
  <c r="CZ127" i="24"/>
  <c r="CN39" i="24"/>
  <c r="DA39" i="24" s="1"/>
  <c r="CS39" i="24"/>
  <c r="FD39" i="24" s="1"/>
  <c r="CS87" i="24"/>
  <c r="FD87" i="24" s="1"/>
  <c r="CN87" i="24"/>
  <c r="DA87" i="24" s="1"/>
  <c r="CZ291" i="24"/>
  <c r="CS111" i="24"/>
  <c r="FD111" i="24" s="1"/>
  <c r="CN111" i="24"/>
  <c r="DA111" i="24" s="1"/>
  <c r="CZ38" i="24"/>
  <c r="DT89" i="24"/>
  <c r="CZ60" i="24"/>
  <c r="CZ29" i="24"/>
  <c r="CZ58" i="24"/>
  <c r="CN10" i="24"/>
  <c r="DA10" i="24" s="1"/>
  <c r="CS10" i="24"/>
  <c r="FD10" i="24" s="1"/>
  <c r="CN280" i="24"/>
  <c r="DA280" i="24" s="1"/>
  <c r="CS280" i="24"/>
  <c r="FD280" i="24" s="1"/>
  <c r="CZ293" i="24"/>
  <c r="DT245" i="24"/>
  <c r="CS222" i="24"/>
  <c r="FD222" i="24" s="1"/>
  <c r="CN222" i="24"/>
  <c r="CS243" i="24"/>
  <c r="FD243" i="24" s="1"/>
  <c r="CN243" i="24"/>
  <c r="DA243" i="24" s="1"/>
  <c r="CZ143" i="24"/>
  <c r="CZ37" i="24"/>
  <c r="CZ170" i="24"/>
  <c r="CZ152" i="24"/>
  <c r="CZ27" i="24"/>
  <c r="DT254" i="24"/>
  <c r="CS292" i="24"/>
  <c r="FD292" i="24" s="1"/>
  <c r="CN292" i="24"/>
  <c r="DA292" i="24" s="1"/>
  <c r="CN265" i="24"/>
  <c r="CS265" i="24"/>
  <c r="FD265" i="24" s="1"/>
  <c r="CN312" i="24"/>
  <c r="DA312" i="24" s="1"/>
  <c r="CS312" i="24"/>
  <c r="FD312" i="24" s="1"/>
  <c r="CZ134" i="24"/>
  <c r="CS105" i="24"/>
  <c r="FD105" i="24" s="1"/>
  <c r="CN105" i="24"/>
  <c r="CZ169" i="24"/>
  <c r="DT102" i="24"/>
  <c r="DT93" i="24"/>
  <c r="CZ24" i="24"/>
  <c r="CZ46" i="24"/>
  <c r="DT269" i="24"/>
  <c r="CZ199" i="24"/>
  <c r="DT247" i="24"/>
  <c r="DT273" i="24"/>
  <c r="CS231" i="24"/>
  <c r="FD231" i="24" s="1"/>
  <c r="CN231" i="24"/>
  <c r="DA231" i="24" s="1"/>
  <c r="CN261" i="24"/>
  <c r="CS261" i="24"/>
  <c r="FD261" i="24" s="1"/>
  <c r="CZ220" i="24"/>
  <c r="CS184" i="24"/>
  <c r="FD184" i="24" s="1"/>
  <c r="CN184" i="24"/>
  <c r="CS100" i="24"/>
  <c r="FD100" i="24" s="1"/>
  <c r="CN100" i="24"/>
  <c r="DA100" i="24" s="1"/>
  <c r="CN165" i="24"/>
  <c r="DA165" i="24" s="1"/>
  <c r="CS165" i="24"/>
  <c r="FD165" i="24" s="1"/>
  <c r="CZ78" i="24"/>
  <c r="CN137" i="24"/>
  <c r="DA137" i="24" s="1"/>
  <c r="CS137" i="24"/>
  <c r="FD137" i="24" s="1"/>
  <c r="CN85" i="24"/>
  <c r="DA85" i="24" s="1"/>
  <c r="CS85" i="24"/>
  <c r="FD85" i="24" s="1"/>
  <c r="DT23" i="24"/>
  <c r="CN229" i="24"/>
  <c r="CS229" i="24"/>
  <c r="FD229" i="24" s="1"/>
  <c r="CZ195" i="24"/>
  <c r="CZ207" i="24"/>
  <c r="DT256" i="24"/>
  <c r="CN130" i="24"/>
  <c r="DA130" i="24" s="1"/>
  <c r="CS130" i="24"/>
  <c r="FD130" i="24" s="1"/>
  <c r="CZ79" i="24"/>
  <c r="CZ92" i="24"/>
  <c r="CN246" i="24"/>
  <c r="DA246" i="24" s="1"/>
  <c r="CS246" i="24"/>
  <c r="FD246" i="24" s="1"/>
  <c r="CS310" i="24"/>
  <c r="FD310" i="24" s="1"/>
  <c r="CN310" i="24"/>
  <c r="CS138" i="24"/>
  <c r="FD138" i="24" s="1"/>
  <c r="CN138" i="24"/>
  <c r="CN99" i="24"/>
  <c r="CS99" i="24"/>
  <c r="FD99" i="24" s="1"/>
  <c r="DT266" i="24"/>
  <c r="CZ39" i="24"/>
  <c r="DT293" i="24"/>
  <c r="CS185" i="24"/>
  <c r="FD185" i="24" s="1"/>
  <c r="CN185" i="24"/>
  <c r="DA185" i="24" s="1"/>
  <c r="CS279" i="24"/>
  <c r="FD279" i="24" s="1"/>
  <c r="CN279" i="24"/>
  <c r="CN112" i="24"/>
  <c r="CS112" i="24"/>
  <c r="FD112" i="24" s="1"/>
  <c r="CZ154" i="24"/>
  <c r="CS129" i="24"/>
  <c r="FD129" i="24" s="1"/>
  <c r="CN129" i="24"/>
  <c r="DA129" i="24" s="1"/>
  <c r="CZ166" i="24"/>
  <c r="CZ88" i="24"/>
  <c r="CZ97" i="24"/>
  <c r="CS56" i="24"/>
  <c r="FD56" i="24" s="1"/>
  <c r="CN56" i="24"/>
  <c r="DA56" i="24" s="1"/>
  <c r="CN55" i="24"/>
  <c r="CS55" i="24"/>
  <c r="FD55" i="24" s="1"/>
  <c r="CZ48" i="24"/>
  <c r="CZ22" i="24"/>
  <c r="CS254" i="24"/>
  <c r="FD254" i="24" s="1"/>
  <c r="CN254" i="24"/>
  <c r="CZ292" i="24"/>
  <c r="CZ241" i="24"/>
  <c r="DT275" i="24"/>
  <c r="CZ312" i="24"/>
  <c r="CS134" i="24"/>
  <c r="FD134" i="24" s="1"/>
  <c r="CN134" i="24"/>
  <c r="CN147" i="24"/>
  <c r="DA147" i="24" s="1"/>
  <c r="CS147" i="24"/>
  <c r="FD147" i="24" s="1"/>
  <c r="CS126" i="24"/>
  <c r="FD126" i="24" s="1"/>
  <c r="CN126" i="24"/>
  <c r="DA126" i="24" s="1"/>
  <c r="CN80" i="24"/>
  <c r="DA80" i="24" s="1"/>
  <c r="CS80" i="24"/>
  <c r="FD80" i="24" s="1"/>
  <c r="CS76" i="24"/>
  <c r="FD76" i="24" s="1"/>
  <c r="CN76" i="24"/>
  <c r="CZ93" i="24"/>
  <c r="CN8" i="24"/>
  <c r="DA8" i="24" s="1"/>
  <c r="CS8" i="24"/>
  <c r="FD8" i="24" s="1"/>
  <c r="CS24" i="24"/>
  <c r="FD24" i="24" s="1"/>
  <c r="CN24" i="24"/>
  <c r="DA24" i="24" s="1"/>
  <c r="DT46" i="24"/>
  <c r="DT252" i="24"/>
  <c r="CN273" i="24"/>
  <c r="DA273" i="24" s="1"/>
  <c r="CS273" i="24"/>
  <c r="FD273" i="24" s="1"/>
  <c r="DT231" i="24"/>
  <c r="CS270" i="24"/>
  <c r="FD270" i="24" s="1"/>
  <c r="CN270" i="24"/>
  <c r="DA270" i="24" s="1"/>
  <c r="CZ100" i="24"/>
  <c r="DT32" i="24"/>
  <c r="CZ63" i="24"/>
  <c r="DT85" i="24"/>
  <c r="DT51" i="24"/>
  <c r="DT13" i="24"/>
  <c r="CN23" i="24"/>
  <c r="DA23" i="24" s="1"/>
  <c r="CS23" i="24"/>
  <c r="FD23" i="24" s="1"/>
  <c r="DT61" i="24"/>
  <c r="CN316" i="24"/>
  <c r="DA316" i="24" s="1"/>
  <c r="CS316" i="24"/>
  <c r="FD316" i="24" s="1"/>
  <c r="DT295" i="24"/>
  <c r="DT229" i="24"/>
  <c r="CS180" i="24"/>
  <c r="FD180" i="24" s="1"/>
  <c r="CN180" i="24"/>
  <c r="DA180" i="24" s="1"/>
  <c r="CZ178" i="24"/>
  <c r="CS117" i="24"/>
  <c r="FD117" i="24" s="1"/>
  <c r="CN117" i="24"/>
  <c r="CZ142" i="24"/>
  <c r="CN31" i="24"/>
  <c r="DA31" i="24" s="1"/>
  <c r="CS31" i="24"/>
  <c r="FD31" i="24" s="1"/>
  <c r="CN79" i="24"/>
  <c r="CS79" i="24"/>
  <c r="FD79" i="24" s="1"/>
  <c r="CS92" i="24"/>
  <c r="FD92" i="24" s="1"/>
  <c r="CN92" i="24"/>
  <c r="DA92" i="24" s="1"/>
  <c r="DT313" i="24"/>
  <c r="DT246" i="24"/>
  <c r="CZ223" i="24"/>
  <c r="DT260" i="24"/>
  <c r="DT299" i="24"/>
  <c r="CZ239" i="24"/>
  <c r="DT271" i="24"/>
  <c r="DT310" i="24"/>
  <c r="CZ138" i="24"/>
  <c r="CZ140" i="24"/>
  <c r="CZ43" i="24"/>
  <c r="CN71" i="24"/>
  <c r="DA71" i="24" s="1"/>
  <c r="CS71" i="24"/>
  <c r="FD71" i="24" s="1"/>
  <c r="CZ42" i="24"/>
  <c r="DT87" i="24"/>
  <c r="CZ34" i="24"/>
  <c r="CS38" i="24"/>
  <c r="FD38" i="24" s="1"/>
  <c r="CN38" i="24"/>
  <c r="DA38" i="24" s="1"/>
  <c r="DT20" i="24"/>
  <c r="DT62" i="24"/>
  <c r="DT84" i="24"/>
  <c r="DT10" i="24"/>
  <c r="DT57" i="24"/>
  <c r="CZ280" i="24"/>
  <c r="CZ278" i="24"/>
  <c r="DT279" i="24"/>
  <c r="CN191" i="24"/>
  <c r="DA191" i="24" s="1"/>
  <c r="CS191" i="24"/>
  <c r="FD191" i="24" s="1"/>
  <c r="DT104" i="24"/>
  <c r="CS154" i="24"/>
  <c r="FD154" i="24" s="1"/>
  <c r="CN154" i="24"/>
  <c r="DA154" i="24" s="1"/>
  <c r="CZ182" i="24"/>
  <c r="CS166" i="24"/>
  <c r="FD166" i="24" s="1"/>
  <c r="CN166" i="24"/>
  <c r="DA166" i="24" s="1"/>
  <c r="CN97" i="24"/>
  <c r="CS97" i="24"/>
  <c r="FD97" i="24" s="1"/>
  <c r="CZ7" i="24"/>
  <c r="CZ56" i="24"/>
  <c r="CN19" i="24"/>
  <c r="DA19" i="24" s="1"/>
  <c r="CS19" i="24"/>
  <c r="FD19" i="24" s="1"/>
  <c r="DT55" i="24"/>
  <c r="DT48" i="24"/>
  <c r="CS22" i="24"/>
  <c r="FD22" i="24" s="1"/>
  <c r="CN22" i="24"/>
  <c r="DA22" i="24" s="1"/>
  <c r="DT265" i="24"/>
  <c r="DT312" i="24"/>
  <c r="CZ230" i="24"/>
  <c r="CZ155" i="24"/>
  <c r="CS33" i="24"/>
  <c r="FD33" i="24" s="1"/>
  <c r="CN33" i="24"/>
  <c r="DA33" i="24" s="1"/>
  <c r="DT16" i="24"/>
  <c r="CS46" i="24"/>
  <c r="FD46" i="24" s="1"/>
  <c r="CN46" i="24"/>
  <c r="CS252" i="24"/>
  <c r="FD252" i="24" s="1"/>
  <c r="CN252" i="24"/>
  <c r="DA252" i="24" s="1"/>
  <c r="CZ247" i="24"/>
  <c r="CZ231" i="24"/>
  <c r="CS197" i="24"/>
  <c r="FD197" i="24" s="1"/>
  <c r="CN197" i="24"/>
  <c r="DT220" i="24"/>
  <c r="CN101" i="24"/>
  <c r="CS101" i="24"/>
  <c r="FD101" i="24" s="1"/>
  <c r="CZ165" i="24"/>
  <c r="CN51" i="24"/>
  <c r="DA51" i="24" s="1"/>
  <c r="CS51" i="24"/>
  <c r="FD51" i="24" s="1"/>
  <c r="CZ23" i="24"/>
  <c r="CN61" i="24"/>
  <c r="DA61" i="24" s="1"/>
  <c r="CS61" i="24"/>
  <c r="FD61" i="24" s="1"/>
  <c r="DT28" i="24"/>
  <c r="DT316" i="24"/>
  <c r="CN295" i="24"/>
  <c r="DA295" i="24" s="1"/>
  <c r="CS295" i="24"/>
  <c r="FD295" i="24" s="1"/>
  <c r="CS195" i="24"/>
  <c r="FD195" i="24" s="1"/>
  <c r="CN195" i="24"/>
  <c r="DA195" i="24" s="1"/>
  <c r="CZ249" i="24"/>
  <c r="CZ180" i="24"/>
  <c r="CS178" i="24"/>
  <c r="FD178" i="24" s="1"/>
  <c r="CN178" i="24"/>
  <c r="DA178" i="24" s="1"/>
  <c r="CZ95" i="24"/>
  <c r="CZ256" i="24"/>
  <c r="CZ74" i="24"/>
  <c r="CZ31" i="24"/>
  <c r="CZ44" i="24"/>
  <c r="CZ96" i="24"/>
  <c r="CN12" i="24"/>
  <c r="DA12" i="24" s="1"/>
  <c r="CS12" i="24"/>
  <c r="FD12" i="24" s="1"/>
  <c r="DT92" i="24"/>
  <c r="CS196" i="24"/>
  <c r="FD196" i="24" s="1"/>
  <c r="CN196" i="24"/>
  <c r="DA196" i="24" s="1"/>
  <c r="CS223" i="24"/>
  <c r="FD223" i="24" s="1"/>
  <c r="CN223" i="24"/>
  <c r="DT225" i="24"/>
  <c r="DT239" i="24"/>
  <c r="CN271" i="24"/>
  <c r="CS271" i="24"/>
  <c r="FD271" i="24" s="1"/>
  <c r="CZ174" i="24"/>
  <c r="CS188" i="24"/>
  <c r="FD188" i="24" s="1"/>
  <c r="CN188" i="24"/>
  <c r="CZ151" i="24"/>
  <c r="CS140" i="24"/>
  <c r="FD140" i="24" s="1"/>
  <c r="CN140" i="24"/>
  <c r="DA140" i="24" s="1"/>
  <c r="CS266" i="24"/>
  <c r="FD266" i="24" s="1"/>
  <c r="CN266" i="24"/>
  <c r="CN127" i="24"/>
  <c r="DA127" i="24" s="1"/>
  <c r="CS127" i="24"/>
  <c r="FD127" i="24" s="1"/>
  <c r="CS42" i="24"/>
  <c r="FD42" i="24" s="1"/>
  <c r="CN42" i="24"/>
  <c r="DA42" i="24" s="1"/>
  <c r="CZ87" i="24"/>
  <c r="CN164" i="24"/>
  <c r="DA164" i="24" s="1"/>
  <c r="CS164" i="24"/>
  <c r="FD164" i="24" s="1"/>
  <c r="CZ193" i="24"/>
  <c r="CS156" i="24"/>
  <c r="FD156" i="24" s="1"/>
  <c r="CN156" i="24"/>
  <c r="CZ62" i="24"/>
  <c r="CS84" i="24"/>
  <c r="FD84" i="24" s="1"/>
  <c r="CN84" i="24"/>
  <c r="CS57" i="24"/>
  <c r="FD57" i="24" s="1"/>
  <c r="CN57" i="24"/>
  <c r="DA57" i="24" s="1"/>
  <c r="CS278" i="24"/>
  <c r="FD278" i="24" s="1"/>
  <c r="CN278" i="24"/>
  <c r="DA278" i="24" s="1"/>
  <c r="DT262" i="24"/>
  <c r="DT276" i="24"/>
  <c r="CS143" i="24"/>
  <c r="FD143" i="24" s="1"/>
  <c r="CN143" i="24"/>
  <c r="CS175" i="24"/>
  <c r="FD175" i="24" s="1"/>
  <c r="CN175" i="24"/>
  <c r="DA175" i="24" s="1"/>
  <c r="CN170" i="24"/>
  <c r="CS170" i="24"/>
  <c r="FD170" i="24" s="1"/>
  <c r="DT19" i="24"/>
  <c r="CS27" i="24"/>
  <c r="FD27" i="24" s="1"/>
  <c r="CN27" i="24"/>
  <c r="CZ274" i="24"/>
  <c r="CS202" i="24"/>
  <c r="FD202" i="24" s="1"/>
  <c r="CN202" i="24"/>
  <c r="CS308" i="24"/>
  <c r="FD308" i="24" s="1"/>
  <c r="CN308" i="24"/>
  <c r="DA308" i="24" s="1"/>
  <c r="DT292" i="24"/>
  <c r="DT241" i="24"/>
  <c r="DT230" i="24"/>
  <c r="CZ186" i="24"/>
  <c r="DT105" i="24"/>
  <c r="CZ173" i="24"/>
  <c r="CN155" i="24"/>
  <c r="DA155" i="24" s="1"/>
  <c r="CS155" i="24"/>
  <c r="FD155" i="24" s="1"/>
  <c r="DT33" i="24"/>
  <c r="CS54" i="24"/>
  <c r="FD54" i="24" s="1"/>
  <c r="CN54" i="24"/>
  <c r="CS65" i="24"/>
  <c r="FD65" i="24" s="1"/>
  <c r="CN65" i="24"/>
  <c r="CZ304" i="24"/>
  <c r="CZ303" i="24"/>
  <c r="DT270" i="24"/>
  <c r="CN288" i="24"/>
  <c r="DA288" i="24" s="1"/>
  <c r="CS288" i="24"/>
  <c r="FD288" i="24" s="1"/>
  <c r="CZ181" i="24"/>
  <c r="DT101" i="24"/>
  <c r="CS144" i="24"/>
  <c r="FD144" i="24" s="1"/>
  <c r="CN144" i="24"/>
  <c r="CZ159" i="24"/>
  <c r="CZ68" i="24"/>
  <c r="CZ137" i="24"/>
  <c r="DT63" i="24"/>
  <c r="CZ51" i="24"/>
  <c r="CZ13" i="24"/>
  <c r="CS35" i="24"/>
  <c r="FD35" i="24" s="1"/>
  <c r="CN35" i="24"/>
  <c r="DA35" i="24" s="1"/>
  <c r="CZ61" i="24"/>
  <c r="CZ316" i="24"/>
  <c r="CS251" i="24"/>
  <c r="FD251" i="24" s="1"/>
  <c r="CN251" i="24"/>
  <c r="DA251" i="24" s="1"/>
  <c r="CZ295" i="24"/>
  <c r="CN227" i="24"/>
  <c r="CS227" i="24"/>
  <c r="FD227" i="24" s="1"/>
  <c r="CZ301" i="24"/>
  <c r="CS95" i="24"/>
  <c r="FD95" i="24" s="1"/>
  <c r="CN95" i="24"/>
  <c r="CZ49" i="24"/>
  <c r="CN239" i="24"/>
  <c r="CS239" i="24"/>
  <c r="FD239" i="24" s="1"/>
  <c r="CZ315" i="24"/>
  <c r="CS201" i="24"/>
  <c r="FD201" i="24" s="1"/>
  <c r="CN201" i="24"/>
  <c r="CZ176" i="24"/>
  <c r="CN114" i="24"/>
  <c r="CS114" i="24"/>
  <c r="FD114" i="24" s="1"/>
  <c r="CS174" i="24"/>
  <c r="FD174" i="24" s="1"/>
  <c r="CN174" i="24"/>
  <c r="CZ124" i="24"/>
  <c r="CZ69" i="24"/>
  <c r="DT39" i="24"/>
  <c r="CN91" i="24"/>
  <c r="CS91" i="24"/>
  <c r="FD91" i="24" s="1"/>
  <c r="DT42" i="24"/>
  <c r="CZ53" i="24"/>
  <c r="DT34" i="24"/>
  <c r="CZ204" i="24"/>
  <c r="CS293" i="24"/>
  <c r="FD293" i="24" s="1"/>
  <c r="CN293" i="24"/>
  <c r="DA293" i="24" s="1"/>
  <c r="CS276" i="24"/>
  <c r="FD276" i="24" s="1"/>
  <c r="CN276" i="24"/>
  <c r="CZ191" i="24"/>
  <c r="CZ228" i="24"/>
  <c r="CS182" i="24"/>
  <c r="FD182" i="24" s="1"/>
  <c r="CN182" i="24"/>
  <c r="CZ129" i="24"/>
  <c r="CN82" i="24"/>
  <c r="DA82" i="24" s="1"/>
  <c r="CS82" i="24"/>
  <c r="FD82" i="24" s="1"/>
  <c r="CN88" i="24"/>
  <c r="CS88" i="24"/>
  <c r="FD88" i="24" s="1"/>
  <c r="DT97" i="24"/>
  <c r="DT56" i="24"/>
  <c r="CZ308" i="24"/>
  <c r="CS241" i="24"/>
  <c r="FD241" i="24" s="1"/>
  <c r="CN241" i="24"/>
  <c r="CZ210" i="24"/>
  <c r="CN230" i="24"/>
  <c r="DA230" i="24" s="1"/>
  <c r="CS230" i="24"/>
  <c r="FD230" i="24" s="1"/>
  <c r="CN183" i="24"/>
  <c r="DA183" i="24" s="1"/>
  <c r="CS183" i="24"/>
  <c r="FD183" i="24" s="1"/>
  <c r="CZ147" i="24"/>
  <c r="CZ33" i="24"/>
  <c r="DT76" i="24"/>
  <c r="CN90" i="24"/>
  <c r="CS90" i="24"/>
  <c r="FD90" i="24" s="1"/>
  <c r="DT8" i="24"/>
  <c r="CZ25" i="24"/>
  <c r="DT24" i="24"/>
  <c r="DT65" i="24"/>
  <c r="CZ269" i="24"/>
  <c r="CN199" i="24"/>
  <c r="DA199" i="24" s="1"/>
  <c r="CS199" i="24"/>
  <c r="FD199" i="24" s="1"/>
  <c r="DT303" i="24"/>
  <c r="CN181" i="24"/>
  <c r="CS181" i="24"/>
  <c r="FD181" i="24" s="1"/>
  <c r="CN131" i="24"/>
  <c r="DA131" i="24" s="1"/>
  <c r="CS131" i="24"/>
  <c r="FD131" i="24" s="1"/>
  <c r="DT100" i="24"/>
  <c r="CN121" i="24"/>
  <c r="DA121" i="24" s="1"/>
  <c r="CS121" i="24"/>
  <c r="FD121" i="24" s="1"/>
  <c r="DT78" i="24"/>
  <c r="CS159" i="24"/>
  <c r="FD159" i="24" s="1"/>
  <c r="CN159" i="24"/>
  <c r="CS63" i="24"/>
  <c r="FD63" i="24" s="1"/>
  <c r="CN63" i="24"/>
  <c r="CZ35" i="24"/>
  <c r="DT251" i="24"/>
  <c r="CS301" i="24"/>
  <c r="FD301" i="24" s="1"/>
  <c r="CN301" i="24"/>
  <c r="DA301" i="24" s="1"/>
  <c r="CN249" i="24"/>
  <c r="CS249" i="24"/>
  <c r="FD249" i="24" s="1"/>
  <c r="CN256" i="24"/>
  <c r="CS256" i="24"/>
  <c r="FD256" i="24" s="1"/>
  <c r="CS49" i="24"/>
  <c r="FD49" i="24" s="1"/>
  <c r="CN49" i="24"/>
  <c r="DA49" i="24" s="1"/>
  <c r="CZ12" i="24"/>
  <c r="CZ77" i="24"/>
  <c r="CZ26" i="24"/>
  <c r="CZ196" i="24"/>
  <c r="CN260" i="24"/>
  <c r="DA260" i="24" s="1"/>
  <c r="CS260" i="24"/>
  <c r="FD260" i="24" s="1"/>
  <c r="CN315" i="24"/>
  <c r="CS315" i="24"/>
  <c r="FD315" i="24" s="1"/>
  <c r="CZ237" i="24"/>
  <c r="CS151" i="24"/>
  <c r="FD151" i="24" s="1"/>
  <c r="CN151" i="24"/>
  <c r="DA151" i="24" s="1"/>
  <c r="CN168" i="24"/>
  <c r="CS168" i="24"/>
  <c r="FD168" i="24" s="1"/>
  <c r="CN53" i="24"/>
  <c r="DA53" i="24" s="1"/>
  <c r="CS53" i="24"/>
  <c r="FD53" i="24" s="1"/>
  <c r="CS34" i="24"/>
  <c r="FD34" i="24" s="1"/>
  <c r="CN34" i="24"/>
  <c r="DA34" i="24" s="1"/>
  <c r="CN62" i="24"/>
  <c r="DA62" i="24" s="1"/>
  <c r="CS62" i="24"/>
  <c r="FD62" i="24" s="1"/>
  <c r="CZ10" i="24"/>
  <c r="DT17" i="24"/>
  <c r="DT278" i="24"/>
  <c r="CS204" i="24"/>
  <c r="FD204" i="24" s="1"/>
  <c r="CN204" i="24"/>
  <c r="DA204" i="24" s="1"/>
  <c r="CN245" i="24"/>
  <c r="CS245" i="24"/>
  <c r="FD245" i="24" s="1"/>
  <c r="CN235" i="24"/>
  <c r="CS235" i="24"/>
  <c r="FD235" i="24" s="1"/>
  <c r="CZ243" i="24"/>
  <c r="CS228" i="24"/>
  <c r="FD228" i="24" s="1"/>
  <c r="CN228" i="24"/>
  <c r="CZ175" i="24"/>
  <c r="CZ104" i="24"/>
  <c r="CZ82" i="24"/>
  <c r="DT88" i="24"/>
  <c r="CS7" i="24"/>
  <c r="FD7" i="24" s="1"/>
  <c r="CN7" i="24"/>
  <c r="DA7" i="24" s="1"/>
  <c r="CZ19" i="24"/>
  <c r="DT27" i="24"/>
  <c r="CZ67" i="24"/>
  <c r="CS48" i="24"/>
  <c r="FD48" i="24" s="1"/>
  <c r="CN48" i="24"/>
  <c r="DA48" i="24" s="1"/>
  <c r="CS274" i="24"/>
  <c r="FD274" i="24" s="1"/>
  <c r="CN274" i="24"/>
  <c r="DT248" i="24"/>
  <c r="DT305" i="24"/>
  <c r="CN210" i="24"/>
  <c r="CS210" i="24"/>
  <c r="FD210" i="24" s="1"/>
  <c r="CZ275" i="24"/>
  <c r="CN169" i="24"/>
  <c r="DA169" i="24" s="1"/>
  <c r="CS169" i="24"/>
  <c r="FD169" i="24" s="1"/>
  <c r="CZ102" i="24"/>
  <c r="CZ126" i="24"/>
  <c r="CZ80" i="24"/>
  <c r="CS149" i="24"/>
  <c r="FD149" i="24" s="1"/>
  <c r="CN149" i="24"/>
  <c r="DA149" i="24" s="1"/>
  <c r="DT90" i="24"/>
  <c r="DT25" i="24"/>
  <c r="CZ16" i="24"/>
  <c r="CS304" i="24"/>
  <c r="FD304" i="24" s="1"/>
  <c r="CN304" i="24"/>
  <c r="DT261" i="24"/>
  <c r="CZ270" i="24"/>
  <c r="DT288" i="24"/>
  <c r="CZ160" i="24"/>
  <c r="CS135" i="24"/>
  <c r="FD135" i="24" s="1"/>
  <c r="CN135" i="24"/>
  <c r="DA135" i="24" s="1"/>
  <c r="CZ121" i="24"/>
  <c r="CZ85" i="24"/>
  <c r="CN13" i="24"/>
  <c r="DA13" i="24" s="1"/>
  <c r="CS13" i="24"/>
  <c r="FD13" i="24" s="1"/>
  <c r="CS94" i="24"/>
  <c r="FD94" i="24" s="1"/>
  <c r="CN94" i="24"/>
  <c r="CZ251" i="24"/>
  <c r="CS198" i="24"/>
  <c r="FD198" i="24" s="1"/>
  <c r="CN198" i="24"/>
  <c r="DA198" i="24" s="1"/>
  <c r="DT227" i="24"/>
  <c r="CZ268" i="24"/>
  <c r="DT301" i="24"/>
  <c r="CZ257" i="24"/>
  <c r="DT249" i="24"/>
  <c r="CZ272" i="24"/>
  <c r="CZ125" i="24"/>
  <c r="DT95" i="24"/>
  <c r="CN128" i="24"/>
  <c r="DA128" i="24" s="1"/>
  <c r="CS128" i="24"/>
  <c r="FD128" i="24" s="1"/>
  <c r="CN158" i="24"/>
  <c r="CS158" i="24"/>
  <c r="FD158" i="24" s="1"/>
  <c r="CS145" i="24"/>
  <c r="FD145" i="24" s="1"/>
  <c r="CN145" i="24"/>
  <c r="CZ218" i="24"/>
  <c r="DT79" i="24"/>
  <c r="DT49" i="24"/>
  <c r="CN96" i="24"/>
  <c r="CS96" i="24"/>
  <c r="FD96" i="24" s="1"/>
  <c r="DT77" i="24"/>
  <c r="CZ59" i="24"/>
  <c r="CN26" i="24"/>
  <c r="DA26" i="24" s="1"/>
  <c r="CS26" i="24"/>
  <c r="FD26" i="24" s="1"/>
  <c r="CZ290" i="24"/>
  <c r="DT315" i="24"/>
  <c r="CN176" i="24"/>
  <c r="DA176" i="24" s="1"/>
  <c r="CS176" i="24"/>
  <c r="FD176" i="24" s="1"/>
  <c r="DT99" i="24"/>
  <c r="CZ71" i="24"/>
  <c r="CS11" i="24"/>
  <c r="FD11" i="24" s="1"/>
  <c r="CN11" i="24"/>
  <c r="Q5" i="29"/>
  <c r="BC7" i="19"/>
  <c r="K77" i="23"/>
  <c r="M77" i="23" s="1"/>
  <c r="B233" i="2"/>
  <c r="BK6" i="19"/>
  <c r="BB6" i="19"/>
  <c r="BH7" i="19"/>
  <c r="BF6" i="19"/>
  <c r="BK7" i="19"/>
  <c r="BS7" i="19"/>
  <c r="BF9" i="19"/>
  <c r="BH9" i="19"/>
  <c r="BD9" i="19"/>
  <c r="BA6" i="19"/>
  <c r="BI6" i="19"/>
  <c r="BD6" i="19"/>
  <c r="AZ7" i="19"/>
  <c r="BL7" i="19" s="1"/>
  <c r="BM7" i="19" s="1"/>
  <c r="BZ7" i="19" s="1"/>
  <c r="BG7" i="19"/>
  <c r="BJ7" i="19"/>
  <c r="BS6" i="19"/>
  <c r="AZ6" i="19"/>
  <c r="BL6" i="19" s="1"/>
  <c r="BM6" i="19" s="1"/>
  <c r="BZ6" i="19" s="1"/>
  <c r="BG6" i="19"/>
  <c r="BB7" i="19"/>
  <c r="BF7" i="19"/>
  <c r="BA7" i="19"/>
  <c r="BC6" i="19"/>
  <c r="BH6" i="19"/>
  <c r="BE6" i="19"/>
  <c r="BE7" i="19"/>
  <c r="BI7" i="19"/>
  <c r="BB9" i="19"/>
  <c r="BI9" i="19"/>
  <c r="BB8" i="19"/>
  <c r="BS8" i="19"/>
  <c r="BJ9" i="19"/>
  <c r="BS9" i="19"/>
  <c r="BK8" i="19"/>
  <c r="AZ9" i="19"/>
  <c r="BL9" i="19" s="1"/>
  <c r="BM9" i="19" s="1"/>
  <c r="BZ9" i="19" s="1"/>
  <c r="BD8" i="19"/>
  <c r="BE8" i="19"/>
  <c r="BG8" i="19"/>
  <c r="BE9" i="19"/>
  <c r="BA9" i="19"/>
  <c r="BG9" i="19"/>
  <c r="BH8" i="19"/>
  <c r="BI8" i="19"/>
  <c r="BF8" i="19"/>
  <c r="AZ8" i="19"/>
  <c r="BL8" i="19" s="1"/>
  <c r="BM8" i="19" s="1"/>
  <c r="BZ8" i="19" s="1"/>
  <c r="BK9" i="19"/>
  <c r="BC9" i="19"/>
  <c r="BA8" i="19"/>
  <c r="BJ8" i="19"/>
  <c r="K67" i="23"/>
  <c r="M67" i="23" s="1"/>
  <c r="L103" i="23"/>
  <c r="M103" i="23" s="1"/>
  <c r="L88" i="23"/>
  <c r="M88" i="23" s="1"/>
  <c r="K20" i="23"/>
  <c r="M20" i="23" s="1"/>
  <c r="K63" i="23"/>
  <c r="M63" i="23" s="1"/>
  <c r="L49" i="23"/>
  <c r="M49" i="23" s="1"/>
  <c r="K84" i="23"/>
  <c r="M84" i="23" s="1"/>
  <c r="L60" i="23"/>
  <c r="M60" i="23" s="1"/>
  <c r="L100" i="23"/>
  <c r="M100" i="23" s="1"/>
  <c r="L24" i="23"/>
  <c r="M24" i="23" s="1"/>
  <c r="K42" i="23"/>
  <c r="M42" i="23" s="1"/>
  <c r="K66" i="23"/>
  <c r="M66" i="23" s="1"/>
  <c r="K74" i="23"/>
  <c r="M74" i="23" s="1"/>
  <c r="K58" i="23"/>
  <c r="M58" i="23" s="1"/>
  <c r="K93" i="23"/>
  <c r="M93" i="23" s="1"/>
  <c r="L57" i="23"/>
  <c r="M57" i="23" s="1"/>
  <c r="L72" i="23"/>
  <c r="M72" i="23" s="1"/>
  <c r="K65" i="23"/>
  <c r="M65" i="23" s="1"/>
  <c r="L95" i="23"/>
  <c r="M95" i="23" s="1"/>
  <c r="M11" i="23"/>
  <c r="M99" i="23"/>
  <c r="M27" i="23"/>
  <c r="M19" i="23"/>
  <c r="M56" i="23"/>
  <c r="M8" i="23"/>
  <c r="M87" i="23"/>
  <c r="M55" i="23"/>
  <c r="M75" i="23"/>
  <c r="M12" i="23"/>
  <c r="M47" i="23"/>
  <c r="M43" i="23"/>
  <c r="M6" i="23"/>
  <c r="L97" i="23"/>
  <c r="M97" i="23" s="1"/>
  <c r="K83" i="23"/>
  <c r="M83" i="23" s="1"/>
  <c r="M98" i="23"/>
  <c r="M62" i="23"/>
  <c r="M46" i="23"/>
  <c r="M76" i="23"/>
  <c r="M78" i="23"/>
  <c r="M54" i="23"/>
  <c r="M81" i="23"/>
  <c r="M85" i="23"/>
  <c r="M50" i="23"/>
  <c r="M53" i="23"/>
  <c r="M101" i="23"/>
  <c r="M45" i="23"/>
  <c r="M34" i="23"/>
  <c r="M36" i="23"/>
  <c r="M28" i="23"/>
  <c r="M9" i="23"/>
  <c r="M33" i="23"/>
  <c r="M30" i="23"/>
  <c r="M90" i="23"/>
  <c r="M10" i="23"/>
  <c r="M94" i="23"/>
  <c r="M68" i="23"/>
  <c r="M70" i="23"/>
  <c r="M106" i="23"/>
  <c r="M41" i="23"/>
  <c r="M37" i="23"/>
  <c r="M44" i="23"/>
  <c r="M32" i="23"/>
  <c r="M23" i="23"/>
  <c r="M48" i="23"/>
  <c r="M64" i="23"/>
  <c r="M15" i="23"/>
  <c r="M40" i="23"/>
  <c r="M80" i="23"/>
  <c r="M31" i="23"/>
  <c r="M91" i="23"/>
  <c r="M7" i="23"/>
  <c r="M96" i="23"/>
  <c r="M51" i="23"/>
  <c r="M71" i="23"/>
  <c r="M39" i="23"/>
  <c r="M79" i="23"/>
  <c r="M104" i="23"/>
  <c r="M59" i="23"/>
  <c r="M16" i="23"/>
  <c r="M35" i="23"/>
  <c r="M18" i="23"/>
  <c r="M105" i="23"/>
  <c r="M86" i="23"/>
  <c r="M52" i="23"/>
  <c r="M89" i="23"/>
  <c r="M38" i="23"/>
  <c r="M25" i="23"/>
  <c r="M61" i="23"/>
  <c r="M82" i="23"/>
  <c r="M14" i="23"/>
  <c r="M29" i="23"/>
  <c r="M69" i="23"/>
  <c r="M17" i="23"/>
  <c r="M21" i="23"/>
  <c r="M22" i="23"/>
  <c r="M92" i="23"/>
  <c r="M73" i="23"/>
  <c r="M13" i="23"/>
  <c r="M102" i="23"/>
  <c r="M26" i="23"/>
  <c r="B228" i="2"/>
  <c r="A269" i="2"/>
  <c r="D48" i="16"/>
  <c r="B229" i="2"/>
  <c r="D49" i="16"/>
  <c r="DC85" i="24" l="1"/>
  <c r="DC58" i="24"/>
  <c r="DC29" i="24"/>
  <c r="E76" i="1"/>
  <c r="E77" i="1" s="1"/>
  <c r="F76" i="1"/>
  <c r="DC25" i="24"/>
  <c r="DC87" i="24"/>
  <c r="DC74" i="24"/>
  <c r="DC19" i="24"/>
  <c r="DC45" i="24"/>
  <c r="DC82" i="24"/>
  <c r="DC73" i="24"/>
  <c r="DC77" i="24"/>
  <c r="DC67" i="24"/>
  <c r="DB210" i="25"/>
  <c r="DC43" i="24"/>
  <c r="DC23" i="24"/>
  <c r="DC35" i="24"/>
  <c r="DC80" i="24"/>
  <c r="DC93" i="24"/>
  <c r="DC16" i="24"/>
  <c r="DC9" i="24"/>
  <c r="DC104" i="24"/>
  <c r="DC12" i="24"/>
  <c r="DC33" i="24"/>
  <c r="DC102" i="24"/>
  <c r="DC10" i="24"/>
  <c r="DC31" i="24"/>
  <c r="DC61" i="24"/>
  <c r="DC32" i="24"/>
  <c r="DC59" i="24"/>
  <c r="DC60" i="24"/>
  <c r="DC30" i="24"/>
  <c r="DC20" i="24"/>
  <c r="DC51" i="24"/>
  <c r="DC44" i="24"/>
  <c r="DC6" i="24"/>
  <c r="DC21" i="24"/>
  <c r="DC68" i="24"/>
  <c r="DC24" i="24"/>
  <c r="DC36" i="24"/>
  <c r="DC75" i="24"/>
  <c r="DC22" i="24"/>
  <c r="DC86" i="24"/>
  <c r="DC53" i="24"/>
  <c r="DC62" i="24"/>
  <c r="DC48" i="24"/>
  <c r="DC13" i="24"/>
  <c r="DC26" i="24"/>
  <c r="DC49" i="24"/>
  <c r="DC34" i="24"/>
  <c r="DC100" i="24"/>
  <c r="DC39" i="24"/>
  <c r="DC78" i="24"/>
  <c r="DC57" i="24"/>
  <c r="CZ110" i="25"/>
  <c r="DB110" i="25" s="1"/>
  <c r="DC56" i="24"/>
  <c r="DC42" i="24"/>
  <c r="DC92" i="24"/>
  <c r="DC37" i="24"/>
  <c r="DC38" i="24"/>
  <c r="DC8" i="24"/>
  <c r="DC103" i="24"/>
  <c r="DC47" i="24"/>
  <c r="DA110" i="25"/>
  <c r="DD110" i="25" s="1"/>
  <c r="DE110" i="25" s="1"/>
  <c r="DF110" i="25" s="1"/>
  <c r="DM110" i="25" s="1"/>
  <c r="DW110" i="25" s="1"/>
  <c r="DC71" i="24"/>
  <c r="DC69" i="24"/>
  <c r="DC7" i="24"/>
  <c r="DM101" i="25"/>
  <c r="DW101" i="25" s="1"/>
  <c r="K345" i="29"/>
  <c r="K107" i="29"/>
  <c r="K578" i="29"/>
  <c r="L563" i="29"/>
  <c r="L532" i="29"/>
  <c r="K493" i="29"/>
  <c r="K433" i="29"/>
  <c r="K405" i="29"/>
  <c r="L438" i="29"/>
  <c r="L23" i="29"/>
  <c r="L603" i="29"/>
  <c r="L566" i="29"/>
  <c r="K503" i="29"/>
  <c r="L482" i="29"/>
  <c r="K492" i="29"/>
  <c r="K411" i="29"/>
  <c r="L429" i="29"/>
  <c r="L344" i="29"/>
  <c r="L601" i="29"/>
  <c r="K575" i="29"/>
  <c r="K565" i="29"/>
  <c r="L536" i="29"/>
  <c r="L485" i="29"/>
  <c r="L31" i="29"/>
  <c r="L607" i="29"/>
  <c r="L571" i="29"/>
  <c r="K543" i="29"/>
  <c r="K526" i="29"/>
  <c r="K474" i="29"/>
  <c r="L443" i="29"/>
  <c r="K396" i="29"/>
  <c r="K386" i="29"/>
  <c r="K79" i="29"/>
  <c r="K582" i="29"/>
  <c r="K555" i="29"/>
  <c r="K522" i="29"/>
  <c r="L476" i="29"/>
  <c r="K449" i="29"/>
  <c r="L424" i="29"/>
  <c r="K383" i="29"/>
  <c r="K336" i="29"/>
  <c r="L600" i="29"/>
  <c r="K574" i="29"/>
  <c r="L539" i="29"/>
  <c r="L500" i="29"/>
  <c r="K467" i="29"/>
  <c r="K428" i="29"/>
  <c r="L442" i="29"/>
  <c r="L410" i="29"/>
  <c r="K126" i="29"/>
  <c r="K604" i="29"/>
  <c r="K547" i="29"/>
  <c r="K514" i="29"/>
  <c r="L468" i="29"/>
  <c r="K441" i="29"/>
  <c r="K414" i="29"/>
  <c r="K375" i="29"/>
  <c r="K328" i="29"/>
  <c r="K442" i="29"/>
  <c r="L314" i="29"/>
  <c r="K317" i="29"/>
  <c r="L249" i="29"/>
  <c r="K271" i="29"/>
  <c r="K217" i="29"/>
  <c r="K183" i="29"/>
  <c r="L188" i="29"/>
  <c r="K154" i="29"/>
  <c r="K26" i="29"/>
  <c r="K451" i="29"/>
  <c r="K319" i="29"/>
  <c r="L332" i="29"/>
  <c r="K234" i="29"/>
  <c r="L278" i="29"/>
  <c r="L217" i="29"/>
  <c r="L183" i="29"/>
  <c r="L194" i="29"/>
  <c r="L97" i="29"/>
  <c r="L99" i="29"/>
  <c r="K516" i="29"/>
  <c r="L343" i="29"/>
  <c r="K296" i="29"/>
  <c r="L277" i="29"/>
  <c r="K243" i="29"/>
  <c r="L609" i="29"/>
  <c r="K596" i="29"/>
  <c r="K525" i="29"/>
  <c r="K513" i="29"/>
  <c r="K500" i="29"/>
  <c r="L456" i="29"/>
  <c r="K373" i="29"/>
  <c r="L398" i="29"/>
  <c r="L52" i="29"/>
  <c r="L593" i="29"/>
  <c r="L547" i="29"/>
  <c r="L510" i="29"/>
  <c r="K497" i="29"/>
  <c r="K461" i="29"/>
  <c r="L433" i="29"/>
  <c r="K395" i="29"/>
  <c r="K348" i="29"/>
  <c r="L612" i="29"/>
  <c r="L574" i="29"/>
  <c r="K524" i="29"/>
  <c r="L515" i="29"/>
  <c r="K485" i="29"/>
  <c r="K54" i="29"/>
  <c r="K599" i="29"/>
  <c r="L567" i="29"/>
  <c r="K530" i="29"/>
  <c r="K506" i="29"/>
  <c r="K478" i="29"/>
  <c r="L411" i="29"/>
  <c r="L412" i="29"/>
  <c r="L397" i="29"/>
  <c r="K602" i="29"/>
  <c r="L568" i="29"/>
  <c r="K541" i="29"/>
  <c r="L509" i="29"/>
  <c r="K472" i="29"/>
  <c r="K417" i="29"/>
  <c r="K389" i="29"/>
  <c r="K416" i="29"/>
  <c r="L39" i="29"/>
  <c r="L599" i="29"/>
  <c r="K568" i="29"/>
  <c r="K535" i="29"/>
  <c r="K508" i="29"/>
  <c r="K466" i="29"/>
  <c r="L435" i="29"/>
  <c r="K388" i="29"/>
  <c r="K378" i="29"/>
  <c r="K594" i="29"/>
  <c r="L560" i="29"/>
  <c r="K533" i="29"/>
  <c r="K521" i="29"/>
  <c r="K464" i="29"/>
  <c r="K409" i="29"/>
  <c r="K381" i="29"/>
  <c r="K404" i="29"/>
  <c r="L581" i="29"/>
  <c r="L422" i="29"/>
  <c r="L341" i="29"/>
  <c r="K314" i="29"/>
  <c r="K275" i="29"/>
  <c r="K239" i="29"/>
  <c r="K185" i="29"/>
  <c r="K162" i="29"/>
  <c r="L142" i="29"/>
  <c r="L116" i="29"/>
  <c r="L24" i="29"/>
  <c r="K377" i="29"/>
  <c r="L342" i="29"/>
  <c r="K303" i="29"/>
  <c r="L275" i="29"/>
  <c r="L243" i="29"/>
  <c r="L185" i="29"/>
  <c r="K211" i="29"/>
  <c r="K147" i="29"/>
  <c r="L65" i="29"/>
  <c r="L67" i="29"/>
  <c r="L448" i="29"/>
  <c r="K85" i="29"/>
  <c r="K189" i="29"/>
  <c r="K142" i="29"/>
  <c r="K597" i="29"/>
  <c r="K585" i="29"/>
  <c r="K532" i="29"/>
  <c r="L504" i="29"/>
  <c r="K502" i="29"/>
  <c r="K448" i="29"/>
  <c r="L392" i="29"/>
  <c r="K454" i="29"/>
  <c r="K44" i="29"/>
  <c r="K577" i="29"/>
  <c r="K561" i="29"/>
  <c r="L521" i="29"/>
  <c r="L489" i="29"/>
  <c r="K429" i="29"/>
  <c r="K401" i="29"/>
  <c r="L430" i="29"/>
  <c r="L43" i="29"/>
  <c r="K627" i="29"/>
  <c r="K572" i="29"/>
  <c r="L545" i="29"/>
  <c r="L480" i="29"/>
  <c r="L478" i="29"/>
  <c r="K101" i="29"/>
  <c r="L591" i="29"/>
  <c r="L558" i="29"/>
  <c r="L534" i="29"/>
  <c r="K512" i="29"/>
  <c r="K480" i="29"/>
  <c r="K435" i="29"/>
  <c r="L379" i="29"/>
  <c r="L368" i="29"/>
  <c r="K613" i="29"/>
  <c r="K567" i="29"/>
  <c r="L549" i="29"/>
  <c r="L520" i="29"/>
  <c r="L471" i="29"/>
  <c r="L474" i="29"/>
  <c r="K418" i="29"/>
  <c r="L382" i="29"/>
  <c r="K86" i="29"/>
  <c r="K588" i="29"/>
  <c r="K553" i="29"/>
  <c r="L541" i="29"/>
  <c r="K499" i="29"/>
  <c r="L473" i="29"/>
  <c r="K459" i="29"/>
  <c r="L403" i="29"/>
  <c r="L389" i="29"/>
  <c r="K605" i="29"/>
  <c r="K559" i="29"/>
  <c r="K540" i="29"/>
  <c r="L512" i="29"/>
  <c r="L463" i="29"/>
  <c r="K456" i="29"/>
  <c r="L400" i="29"/>
  <c r="L374" i="29"/>
  <c r="L589" i="29"/>
  <c r="L401" i="29"/>
  <c r="K329" i="29"/>
  <c r="K286" i="29"/>
  <c r="K241" i="29"/>
  <c r="L242" i="29"/>
  <c r="L220" i="29"/>
  <c r="K157" i="29"/>
  <c r="L110" i="29"/>
  <c r="L84" i="29"/>
  <c r="L613" i="29"/>
  <c r="L395" i="29"/>
  <c r="L369" i="29"/>
  <c r="K311" i="29"/>
  <c r="L245" i="29"/>
  <c r="K267" i="29"/>
  <c r="K213" i="29"/>
  <c r="K179" i="29"/>
  <c r="L170" i="29"/>
  <c r="K146" i="29"/>
  <c r="K38" i="29"/>
  <c r="K439" i="29"/>
  <c r="K315" i="29"/>
  <c r="L331" i="29"/>
  <c r="K230" i="29"/>
  <c r="K45" i="29"/>
  <c r="K81" i="29"/>
  <c r="K446" i="29"/>
  <c r="L35" i="29"/>
  <c r="I633" i="29"/>
  <c r="K562" i="29"/>
  <c r="L527" i="29"/>
  <c r="L488" i="29"/>
  <c r="L505" i="29"/>
  <c r="L455" i="29"/>
  <c r="L417" i="29"/>
  <c r="K398" i="29"/>
  <c r="L605" i="29"/>
  <c r="L585" i="29"/>
  <c r="L578" i="29"/>
  <c r="K509" i="29"/>
  <c r="K489" i="29"/>
  <c r="L452" i="29"/>
  <c r="K450" i="29"/>
  <c r="L394" i="29"/>
  <c r="K70" i="29"/>
  <c r="K607" i="29"/>
  <c r="L573" i="29"/>
  <c r="K534" i="29"/>
  <c r="L487" i="29"/>
  <c r="L479" i="29"/>
  <c r="K20" i="29"/>
  <c r="L595" i="29"/>
  <c r="K556" i="29"/>
  <c r="L544" i="29"/>
  <c r="L502" i="29"/>
  <c r="L457" i="29"/>
  <c r="L470" i="29"/>
  <c r="L421" i="29"/>
  <c r="L372" i="29"/>
  <c r="L604" i="29"/>
  <c r="K583" i="29"/>
  <c r="L543" i="29"/>
  <c r="L503" i="29"/>
  <c r="K471" i="29"/>
  <c r="K432" i="29"/>
  <c r="L376" i="29"/>
  <c r="K420" i="29"/>
  <c r="K103" i="29"/>
  <c r="K591" i="29"/>
  <c r="L548" i="29"/>
  <c r="K519" i="29"/>
  <c r="L498" i="29"/>
  <c r="K477" i="29"/>
  <c r="K427" i="29"/>
  <c r="L371" i="29"/>
  <c r="L360" i="29"/>
  <c r="L596" i="29"/>
  <c r="K570" i="29"/>
  <c r="L535" i="29"/>
  <c r="L496" i="29"/>
  <c r="K463" i="29"/>
  <c r="K424" i="29"/>
  <c r="K434" i="29"/>
  <c r="K406" i="29"/>
  <c r="K510" i="29"/>
  <c r="K324" i="29"/>
  <c r="L284" i="29"/>
  <c r="K318" i="29"/>
  <c r="L252" i="29"/>
  <c r="L214" i="29"/>
  <c r="K220" i="29"/>
  <c r="K125" i="29"/>
  <c r="L78" i="29"/>
  <c r="K116" i="29"/>
  <c r="L556" i="29"/>
  <c r="L402" i="29"/>
  <c r="L337" i="29"/>
  <c r="L312" i="29"/>
  <c r="K269" i="29"/>
  <c r="L270" i="29"/>
  <c r="K181" i="29"/>
  <c r="K158" i="29"/>
  <c r="L138" i="29"/>
  <c r="L112" i="29"/>
  <c r="K36" i="29"/>
  <c r="L434" i="29"/>
  <c r="L338" i="29"/>
  <c r="K362" i="29"/>
  <c r="L274" i="29"/>
  <c r="E55" i="1"/>
  <c r="L21" i="29"/>
  <c r="K60" i="29"/>
  <c r="K59" i="29"/>
  <c r="L584" i="29"/>
  <c r="K550" i="29"/>
  <c r="K542" i="29"/>
  <c r="L495" i="29"/>
  <c r="K484" i="29"/>
  <c r="L423" i="29"/>
  <c r="K376" i="29"/>
  <c r="K410" i="29"/>
  <c r="K593" i="29"/>
  <c r="L583" i="29"/>
  <c r="K528" i="29"/>
  <c r="K520" i="29"/>
  <c r="K496" i="29"/>
  <c r="K444" i="29"/>
  <c r="L388" i="29"/>
  <c r="K438" i="29"/>
  <c r="K32" i="29"/>
  <c r="K600" i="29"/>
  <c r="L562" i="29"/>
  <c r="L569" i="29"/>
  <c r="L530" i="29"/>
  <c r="L497" i="29"/>
  <c r="L54" i="29"/>
  <c r="K586" i="29"/>
  <c r="L561" i="29"/>
  <c r="L538" i="29"/>
  <c r="L481" i="29"/>
  <c r="K453" i="29"/>
  <c r="L425" i="29"/>
  <c r="K387" i="29"/>
  <c r="K340" i="29"/>
  <c r="L606" i="29"/>
  <c r="K569" i="29"/>
  <c r="K539" i="29"/>
  <c r="L519" i="29"/>
  <c r="K470" i="29"/>
  <c r="L439" i="29"/>
  <c r="K392" i="29"/>
  <c r="K382" i="29"/>
  <c r="K28" i="29"/>
  <c r="L590" i="29"/>
  <c r="K548" i="29"/>
  <c r="K523" i="29"/>
  <c r="K494" i="29"/>
  <c r="L449" i="29"/>
  <c r="L458" i="29"/>
  <c r="K412" i="29"/>
  <c r="K364" i="29"/>
  <c r="L598" i="29"/>
  <c r="L557" i="29"/>
  <c r="K531" i="29"/>
  <c r="L506" i="29"/>
  <c r="K462" i="29"/>
  <c r="L431" i="29"/>
  <c r="K384" i="29"/>
  <c r="K374" i="29"/>
  <c r="L464" i="29"/>
  <c r="L351" i="29"/>
  <c r="K304" i="29"/>
  <c r="L285" i="29"/>
  <c r="K285" i="29"/>
  <c r="K222" i="29"/>
  <c r="K188" i="29"/>
  <c r="L160" i="29"/>
  <c r="K168" i="29"/>
  <c r="K84" i="29"/>
  <c r="K529" i="29"/>
  <c r="L381" i="29"/>
  <c r="K321" i="29"/>
  <c r="K282" i="29"/>
  <c r="L327" i="29"/>
  <c r="L238" i="29"/>
  <c r="L216" i="29"/>
  <c r="K153" i="29"/>
  <c r="L106" i="29"/>
  <c r="L80" i="29"/>
  <c r="K601" i="29"/>
  <c r="L383" i="29"/>
  <c r="L365" i="29"/>
  <c r="L310" i="29"/>
  <c r="K62" i="29"/>
  <c r="K113" i="29"/>
  <c r="K166" i="29"/>
  <c r="L345" i="29"/>
  <c r="L68" i="29"/>
  <c r="G623" i="29"/>
  <c r="K581" i="29"/>
  <c r="L529" i="29"/>
  <c r="K487" i="29"/>
  <c r="L577" i="29"/>
  <c r="K447" i="29"/>
  <c r="L391" i="29"/>
  <c r="L377" i="29"/>
  <c r="L627" i="29"/>
  <c r="K589" i="29"/>
  <c r="L553" i="29"/>
  <c r="L484" i="29"/>
  <c r="K488" i="29"/>
  <c r="L451" i="29"/>
  <c r="L408" i="29"/>
  <c r="K394" i="29"/>
  <c r="K61" i="29"/>
  <c r="L602" i="29"/>
  <c r="K558" i="29"/>
  <c r="L546" i="29"/>
  <c r="L524" i="29"/>
  <c r="L461" i="29"/>
  <c r="K606" i="29"/>
  <c r="L572" i="29"/>
  <c r="L550" i="29"/>
  <c r="L513" i="29"/>
  <c r="K476" i="29"/>
  <c r="K421" i="29"/>
  <c r="K393" i="29"/>
  <c r="L420" i="29"/>
  <c r="L19" i="29"/>
  <c r="K592" i="29"/>
  <c r="K560" i="29"/>
  <c r="K557" i="29"/>
  <c r="K504" i="29"/>
  <c r="L477" i="29"/>
  <c r="L407" i="29"/>
  <c r="K408" i="29"/>
  <c r="L393" i="29"/>
  <c r="K56" i="29"/>
  <c r="K612" i="29"/>
  <c r="K551" i="29"/>
  <c r="K518" i="29"/>
  <c r="L472" i="29"/>
  <c r="K445" i="29"/>
  <c r="L418" i="29"/>
  <c r="K379" i="29"/>
  <c r="L27" i="29"/>
  <c r="K584" i="29"/>
  <c r="K549" i="29"/>
  <c r="L537" i="29"/>
  <c r="K495" i="29"/>
  <c r="L469" i="29"/>
  <c r="K455" i="29"/>
  <c r="L399" i="29"/>
  <c r="L385" i="29"/>
  <c r="K437" i="29"/>
  <c r="K355" i="29"/>
  <c r="K358" i="29"/>
  <c r="K270" i="29"/>
  <c r="K248" i="29"/>
  <c r="K190" i="29"/>
  <c r="L219" i="29"/>
  <c r="L151" i="29"/>
  <c r="K128" i="29"/>
  <c r="K140" i="29"/>
  <c r="K517" i="29"/>
  <c r="K320" i="29"/>
  <c r="L280" i="29"/>
  <c r="K312" i="29"/>
  <c r="L248" i="29"/>
  <c r="L210" i="29"/>
  <c r="K216" i="29"/>
  <c r="K121" i="29"/>
  <c r="L169" i="29"/>
  <c r="K112" i="29"/>
  <c r="L586" i="29"/>
  <c r="L390" i="29"/>
  <c r="L333" i="29"/>
  <c r="K310" i="29"/>
  <c r="K603" i="29"/>
  <c r="K13" i="29"/>
  <c r="K24" i="29"/>
  <c r="L610" i="29"/>
  <c r="L575" i="29"/>
  <c r="K507" i="29"/>
  <c r="L486" i="29"/>
  <c r="K465" i="29"/>
  <c r="K415" i="29"/>
  <c r="L436" i="29"/>
  <c r="L348" i="29"/>
  <c r="L580" i="29"/>
  <c r="K546" i="29"/>
  <c r="K538" i="29"/>
  <c r="L491" i="29"/>
  <c r="L483" i="29"/>
  <c r="L419" i="29"/>
  <c r="K458" i="29"/>
  <c r="L405" i="29"/>
  <c r="L70" i="29"/>
  <c r="K590" i="29"/>
  <c r="L565" i="29"/>
  <c r="K564" i="29"/>
  <c r="L493" i="29"/>
  <c r="K457" i="29"/>
  <c r="L597" i="29"/>
  <c r="K571" i="29"/>
  <c r="L554" i="29"/>
  <c r="L526" i="29"/>
  <c r="L475" i="29"/>
  <c r="L444" i="29"/>
  <c r="L426" i="29"/>
  <c r="L386" i="29"/>
  <c r="K40" i="29"/>
  <c r="L587" i="29"/>
  <c r="L552" i="29"/>
  <c r="L523" i="29"/>
  <c r="L507" i="29"/>
  <c r="K479" i="29"/>
  <c r="K431" i="29"/>
  <c r="L375" i="29"/>
  <c r="L364" i="29"/>
  <c r="K598" i="29"/>
  <c r="L564" i="29"/>
  <c r="K537" i="29"/>
  <c r="L542" i="29"/>
  <c r="K468" i="29"/>
  <c r="K413" i="29"/>
  <c r="K385" i="29"/>
  <c r="L406" i="29"/>
  <c r="K16" i="29"/>
  <c r="K587" i="29"/>
  <c r="L579" i="29"/>
  <c r="K515" i="29"/>
  <c r="L494" i="29"/>
  <c r="K473" i="29"/>
  <c r="K423" i="29"/>
  <c r="L446" i="29"/>
  <c r="L356" i="29"/>
  <c r="L415" i="29"/>
  <c r="K323" i="29"/>
  <c r="K341" i="29"/>
  <c r="K238" i="29"/>
  <c r="L279" i="29"/>
  <c r="L221" i="29"/>
  <c r="L187" i="29"/>
  <c r="L119" i="29"/>
  <c r="L101" i="29"/>
  <c r="L103" i="29"/>
  <c r="L511" i="29"/>
  <c r="L347" i="29"/>
  <c r="K300" i="29"/>
  <c r="L281" i="29"/>
  <c r="K277" i="29"/>
  <c r="K218" i="29"/>
  <c r="K184" i="29"/>
  <c r="L156" i="29"/>
  <c r="L153" i="29"/>
  <c r="K80" i="29"/>
  <c r="K536" i="29"/>
  <c r="K371" i="29"/>
  <c r="L308" i="29"/>
  <c r="K278" i="29"/>
  <c r="L146" i="29"/>
  <c r="K283" i="29"/>
  <c r="K90" i="29"/>
  <c r="K595" i="29"/>
  <c r="L551" i="29"/>
  <c r="L514" i="29"/>
  <c r="K482" i="29"/>
  <c r="L466" i="29"/>
  <c r="L440" i="29"/>
  <c r="K399" i="29"/>
  <c r="K352" i="29"/>
  <c r="K608" i="29"/>
  <c r="K573" i="29"/>
  <c r="L525" i="29"/>
  <c r="K483" i="29"/>
  <c r="K501" i="29"/>
  <c r="K443" i="29"/>
  <c r="L387" i="29"/>
  <c r="L373" i="29"/>
  <c r="K610" i="29"/>
  <c r="L576" i="29"/>
  <c r="L559" i="29"/>
  <c r="L517" i="29"/>
  <c r="K481" i="29"/>
  <c r="K425" i="29"/>
  <c r="L608" i="29"/>
  <c r="L570" i="29"/>
  <c r="L582" i="29"/>
  <c r="K505" i="29"/>
  <c r="K475" i="29"/>
  <c r="K436" i="29"/>
  <c r="L380" i="29"/>
  <c r="K422" i="29"/>
  <c r="K72" i="29"/>
  <c r="L594" i="29"/>
  <c r="K552" i="29"/>
  <c r="L528" i="29"/>
  <c r="K498" i="29"/>
  <c r="L453" i="29"/>
  <c r="L462" i="29"/>
  <c r="L416" i="29"/>
  <c r="K368" i="29"/>
  <c r="K609" i="29"/>
  <c r="K563" i="29"/>
  <c r="K544" i="29"/>
  <c r="L516" i="29"/>
  <c r="L467" i="29"/>
  <c r="K460" i="29"/>
  <c r="L413" i="29"/>
  <c r="L378" i="29"/>
  <c r="K105" i="29"/>
  <c r="K611" i="29"/>
  <c r="K579" i="29"/>
  <c r="L522" i="29"/>
  <c r="K490" i="29"/>
  <c r="L445" i="29"/>
  <c r="L454" i="29"/>
  <c r="L404" i="29"/>
  <c r="K360" i="29"/>
  <c r="K397" i="29"/>
  <c r="L346" i="29"/>
  <c r="K307" i="29"/>
  <c r="L282" i="29"/>
  <c r="L247" i="29"/>
  <c r="L189" i="29"/>
  <c r="K215" i="29"/>
  <c r="K151" i="29"/>
  <c r="L69" i="29"/>
  <c r="L71" i="29"/>
  <c r="L460" i="29"/>
  <c r="K351" i="29"/>
  <c r="K342" i="29"/>
  <c r="K266" i="29"/>
  <c r="K365" i="29"/>
  <c r="K186" i="29"/>
  <c r="L215" i="29"/>
  <c r="L147" i="29"/>
  <c r="L121" i="29"/>
  <c r="L133" i="29"/>
  <c r="L508" i="29"/>
  <c r="K316" i="29"/>
  <c r="L276" i="29"/>
  <c r="L309" i="29"/>
  <c r="K347" i="29"/>
  <c r="L328" i="29"/>
  <c r="K182" i="29"/>
  <c r="L211" i="29"/>
  <c r="L143" i="29"/>
  <c r="L120" i="29"/>
  <c r="K132" i="29"/>
  <c r="K566" i="29"/>
  <c r="L370" i="29"/>
  <c r="L329" i="29"/>
  <c r="K306" i="29"/>
  <c r="K261" i="29"/>
  <c r="L262" i="29"/>
  <c r="K173" i="29"/>
  <c r="L186" i="29"/>
  <c r="L130" i="29"/>
  <c r="L104" i="29"/>
  <c r="L588" i="29"/>
  <c r="L428" i="29"/>
  <c r="L357" i="29"/>
  <c r="L302" i="29"/>
  <c r="K299" i="29"/>
  <c r="K255" i="29"/>
  <c r="K201" i="29"/>
  <c r="L182" i="29"/>
  <c r="L158" i="29"/>
  <c r="K122" i="29"/>
  <c r="K48" i="29"/>
  <c r="K426" i="29"/>
  <c r="L326" i="29"/>
  <c r="L336" i="29"/>
  <c r="L261" i="29"/>
  <c r="K295" i="29"/>
  <c r="K229" i="29"/>
  <c r="K195" i="29"/>
  <c r="K131" i="29"/>
  <c r="L49" i="29"/>
  <c r="L51" i="29"/>
  <c r="L447" i="29"/>
  <c r="K331" i="29"/>
  <c r="L303" i="29"/>
  <c r="K246" i="29"/>
  <c r="L287" i="29"/>
  <c r="L229" i="29"/>
  <c r="L195" i="29"/>
  <c r="L127" i="29"/>
  <c r="L109" i="29"/>
  <c r="L111" i="29"/>
  <c r="K94" i="29"/>
  <c r="K325" i="29"/>
  <c r="K49" i="29"/>
  <c r="L193" i="29"/>
  <c r="K65" i="29"/>
  <c r="L286" i="29"/>
  <c r="L72" i="29"/>
  <c r="K252" i="29"/>
  <c r="K69" i="29"/>
  <c r="K308" i="29"/>
  <c r="K119" i="29"/>
  <c r="K332" i="29"/>
  <c r="K33" i="29"/>
  <c r="K290" i="29"/>
  <c r="L48" i="29"/>
  <c r="K134" i="29"/>
  <c r="K31" i="29"/>
  <c r="L34" i="29"/>
  <c r="L38" i="29"/>
  <c r="K68" i="29"/>
  <c r="L492" i="29"/>
  <c r="L144" i="29"/>
  <c r="K366" i="29"/>
  <c r="L94" i="29"/>
  <c r="L321" i="29"/>
  <c r="L254" i="29"/>
  <c r="L96" i="29"/>
  <c r="L322" i="29"/>
  <c r="K225" i="29"/>
  <c r="K127" i="29"/>
  <c r="L157" i="29"/>
  <c r="L283" i="29"/>
  <c r="K276" i="29"/>
  <c r="K129" i="29"/>
  <c r="K330" i="29"/>
  <c r="L271" i="29"/>
  <c r="L213" i="29"/>
  <c r="L179" i="29"/>
  <c r="L178" i="29"/>
  <c r="L93" i="29"/>
  <c r="L95" i="29"/>
  <c r="L531" i="29"/>
  <c r="L352" i="29"/>
  <c r="L304" i="29"/>
  <c r="K274" i="29"/>
  <c r="L272" i="29"/>
  <c r="L230" i="29"/>
  <c r="L208" i="29"/>
  <c r="K145" i="29"/>
  <c r="L98" i="29"/>
  <c r="L148" i="29"/>
  <c r="K554" i="29"/>
  <c r="K430" i="29"/>
  <c r="L325" i="29"/>
  <c r="K302" i="29"/>
  <c r="K257" i="29"/>
  <c r="L258" i="29"/>
  <c r="K244" i="29"/>
  <c r="L174" i="29"/>
  <c r="L126" i="29"/>
  <c r="L100" i="29"/>
  <c r="K580" i="29"/>
  <c r="K403" i="29"/>
  <c r="L353" i="29"/>
  <c r="L298" i="29"/>
  <c r="K297" i="29"/>
  <c r="K251" i="29"/>
  <c r="K197" i="29"/>
  <c r="L171" i="29"/>
  <c r="L154" i="29"/>
  <c r="K120" i="29"/>
  <c r="K64" i="29"/>
  <c r="L432" i="29"/>
  <c r="L354" i="29"/>
  <c r="L315" i="29"/>
  <c r="L290" i="29"/>
  <c r="L255" i="29"/>
  <c r="L197" i="29"/>
  <c r="K223" i="29"/>
  <c r="K159" i="29"/>
  <c r="L77" i="29"/>
  <c r="L79" i="29"/>
  <c r="K58" i="29"/>
  <c r="L318" i="29"/>
  <c r="K37" i="29"/>
  <c r="L251" i="29"/>
  <c r="K17" i="29"/>
  <c r="K242" i="29"/>
  <c r="K63" i="29"/>
  <c r="K281" i="29"/>
  <c r="K88" i="29"/>
  <c r="L355" i="29"/>
  <c r="L82" i="29"/>
  <c r="L518" i="29"/>
  <c r="L44" i="29"/>
  <c r="K354" i="29"/>
  <c r="L46" i="29"/>
  <c r="K73" i="29"/>
  <c r="K115" i="29"/>
  <c r="K97" i="29"/>
  <c r="K34" i="29"/>
  <c r="K43" i="29"/>
  <c r="K372" i="29"/>
  <c r="K104" i="29"/>
  <c r="L300" i="29"/>
  <c r="L204" i="29"/>
  <c r="L140" i="29"/>
  <c r="K298" i="29"/>
  <c r="K169" i="29"/>
  <c r="L15" i="29"/>
  <c r="L257" i="29"/>
  <c r="K191" i="29"/>
  <c r="K380" i="29"/>
  <c r="K109" i="29"/>
  <c r="K114" i="29"/>
  <c r="K67" i="29"/>
  <c r="K262" i="29"/>
  <c r="L239" i="29"/>
  <c r="L181" i="29"/>
  <c r="K207" i="29"/>
  <c r="K143" i="29"/>
  <c r="L61" i="29"/>
  <c r="K370" i="29"/>
  <c r="L305" i="29"/>
  <c r="L240" i="29"/>
  <c r="L202" i="29"/>
  <c r="L196" i="29"/>
  <c r="L340" i="29"/>
  <c r="K237" i="29"/>
  <c r="K545" i="29"/>
  <c r="K233" i="29"/>
  <c r="K333" i="29"/>
  <c r="L47" i="29"/>
  <c r="L40" i="29"/>
  <c r="K349" i="29"/>
  <c r="K263" i="29"/>
  <c r="K209" i="29"/>
  <c r="K175" i="29"/>
  <c r="L166" i="29"/>
  <c r="K138" i="29"/>
  <c r="K42" i="29"/>
  <c r="L540" i="29"/>
  <c r="L339" i="29"/>
  <c r="K292" i="29"/>
  <c r="L273" i="29"/>
  <c r="K268" i="29"/>
  <c r="K210" i="29"/>
  <c r="K176" i="29"/>
  <c r="L184" i="29"/>
  <c r="L145" i="29"/>
  <c r="L173" i="29"/>
  <c r="L499" i="29"/>
  <c r="L367" i="29"/>
  <c r="K369" i="29"/>
  <c r="L301" i="29"/>
  <c r="L236" i="29"/>
  <c r="L198" i="29"/>
  <c r="K204" i="29"/>
  <c r="L180" i="29"/>
  <c r="L136" i="29"/>
  <c r="K100" i="29"/>
  <c r="L533" i="29"/>
  <c r="K356" i="29"/>
  <c r="L296" i="29"/>
  <c r="K350" i="29"/>
  <c r="L264" i="29"/>
  <c r="L226" i="29"/>
  <c r="K235" i="29"/>
  <c r="K137" i="29"/>
  <c r="L90" i="29"/>
  <c r="L132" i="29"/>
  <c r="L611" i="29"/>
  <c r="K391" i="29"/>
  <c r="L349" i="29"/>
  <c r="K361" i="29"/>
  <c r="K291" i="29"/>
  <c r="K247" i="29"/>
  <c r="K193" i="29"/>
  <c r="K170" i="29"/>
  <c r="L150" i="29"/>
  <c r="K117" i="29"/>
  <c r="L56" i="29"/>
  <c r="K123" i="29"/>
  <c r="K77" i="29"/>
  <c r="K74" i="29"/>
  <c r="L311" i="29"/>
  <c r="L107" i="29"/>
  <c r="K327" i="29"/>
  <c r="L141" i="29"/>
  <c r="K359" i="29"/>
  <c r="L164" i="29"/>
  <c r="L29" i="29"/>
  <c r="K224" i="29"/>
  <c r="L17" i="29"/>
  <c r="L114" i="29"/>
  <c r="L555" i="29"/>
  <c r="L66" i="29"/>
  <c r="K75" i="29"/>
  <c r="L14" i="29"/>
  <c r="K30" i="29"/>
  <c r="K82" i="29"/>
  <c r="K71" i="29"/>
  <c r="L626" i="29"/>
  <c r="L152" i="29"/>
  <c r="L235" i="29"/>
  <c r="K139" i="29"/>
  <c r="L362" i="29"/>
  <c r="L205" i="29"/>
  <c r="L85" i="29"/>
  <c r="K335" i="29"/>
  <c r="L294" i="29"/>
  <c r="L113" i="29"/>
  <c r="L359" i="29"/>
  <c r="K231" i="29"/>
  <c r="L118" i="29"/>
  <c r="L45" i="29"/>
  <c r="L191" i="29"/>
  <c r="K293" i="29"/>
  <c r="L41" i="29"/>
  <c r="K265" i="29"/>
  <c r="L266" i="29"/>
  <c r="K177" i="29"/>
  <c r="L192" i="29"/>
  <c r="L134" i="29"/>
  <c r="L108" i="29"/>
  <c r="L28" i="29"/>
  <c r="K452" i="29"/>
  <c r="K343" i="29"/>
  <c r="K322" i="29"/>
  <c r="K258" i="29"/>
  <c r="K309" i="29"/>
  <c r="K178" i="29"/>
  <c r="L207" i="29"/>
  <c r="L139" i="29"/>
  <c r="K118" i="29"/>
  <c r="L125" i="29"/>
  <c r="L501" i="29"/>
  <c r="L335" i="29"/>
  <c r="K288" i="29"/>
  <c r="L319" i="29"/>
  <c r="K264" i="29"/>
  <c r="K206" i="29"/>
  <c r="K172" i="29"/>
  <c r="L167" i="29"/>
  <c r="K144" i="29"/>
  <c r="K160" i="29"/>
  <c r="K491" i="29"/>
  <c r="L363" i="29"/>
  <c r="K353" i="29"/>
  <c r="L297" i="29"/>
  <c r="L232" i="29"/>
  <c r="L241" i="29"/>
  <c r="K200" i="29"/>
  <c r="K174" i="29"/>
  <c r="L128" i="29"/>
  <c r="K96" i="29"/>
  <c r="K576" i="29"/>
  <c r="K390" i="29"/>
  <c r="L317" i="29"/>
  <c r="K294" i="29"/>
  <c r="K249" i="29"/>
  <c r="L250" i="29"/>
  <c r="L228" i="29"/>
  <c r="K165" i="29"/>
  <c r="K164" i="29"/>
  <c r="L92" i="29"/>
  <c r="L33" i="29"/>
  <c r="K187" i="29"/>
  <c r="L60" i="29"/>
  <c r="L75" i="29"/>
  <c r="L350" i="29"/>
  <c r="L105" i="29"/>
  <c r="L427" i="29"/>
  <c r="L129" i="29"/>
  <c r="L441" i="29"/>
  <c r="K192" i="29"/>
  <c r="L13" i="29"/>
  <c r="L218" i="29"/>
  <c r="K87" i="29"/>
  <c r="K161" i="29"/>
  <c r="K19" i="29"/>
  <c r="K57" i="29"/>
  <c r="K52" i="29"/>
  <c r="K23" i="29"/>
  <c r="K27" i="29"/>
  <c r="K39" i="29"/>
  <c r="L22" i="29"/>
  <c r="K626" i="29"/>
  <c r="K108" i="29"/>
  <c r="L177" i="29"/>
  <c r="L59" i="29"/>
  <c r="L323" i="29"/>
  <c r="L237" i="29"/>
  <c r="L87" i="29"/>
  <c r="K250" i="29"/>
  <c r="L131" i="29"/>
  <c r="L490" i="29"/>
  <c r="K337" i="29"/>
  <c r="L168" i="29"/>
  <c r="K279" i="29"/>
  <c r="L76" i="29"/>
  <c r="K18" i="29"/>
  <c r="K326" i="29"/>
  <c r="K273" i="29"/>
  <c r="L234" i="29"/>
  <c r="L212" i="29"/>
  <c r="K149" i="29"/>
  <c r="L102" i="29"/>
  <c r="L161" i="29"/>
  <c r="K78" i="29"/>
  <c r="K419" i="29"/>
  <c r="L366" i="29"/>
  <c r="L324" i="29"/>
  <c r="K301" i="29"/>
  <c r="L267" i="29"/>
  <c r="L209" i="29"/>
  <c r="L175" i="29"/>
  <c r="L172" i="29"/>
  <c r="L89" i="29"/>
  <c r="L91" i="29"/>
  <c r="K440" i="29"/>
  <c r="K339" i="29"/>
  <c r="K313" i="29"/>
  <c r="K254" i="29"/>
  <c r="L295" i="29"/>
  <c r="K240" i="29"/>
  <c r="L203" i="29"/>
  <c r="L135" i="29"/>
  <c r="L117" i="29"/>
  <c r="K124" i="29"/>
  <c r="L465" i="29"/>
  <c r="K367" i="29"/>
  <c r="K284" i="29"/>
  <c r="K305" i="29"/>
  <c r="K260" i="29"/>
  <c r="K202" i="29"/>
  <c r="K236" i="29"/>
  <c r="L163" i="29"/>
  <c r="L137" i="29"/>
  <c r="L149" i="29"/>
  <c r="K511" i="29"/>
  <c r="K344" i="29"/>
  <c r="L292" i="29"/>
  <c r="K334" i="29"/>
  <c r="L260" i="29"/>
  <c r="L222" i="29"/>
  <c r="K228" i="29"/>
  <c r="K133" i="29"/>
  <c r="L86" i="29"/>
  <c r="L124" i="29"/>
  <c r="K25" i="29"/>
  <c r="K221" i="29"/>
  <c r="K51" i="29"/>
  <c r="L73" i="29"/>
  <c r="L409" i="29"/>
  <c r="L123" i="29"/>
  <c r="L37" i="29"/>
  <c r="L155" i="29"/>
  <c r="L25" i="29"/>
  <c r="K226" i="29"/>
  <c r="K83" i="29"/>
  <c r="L256" i="29"/>
  <c r="K102" i="29"/>
  <c r="L224" i="29"/>
  <c r="K106" i="29"/>
  <c r="K47" i="29"/>
  <c r="K35" i="29"/>
  <c r="L62" i="29"/>
  <c r="K46" i="29"/>
  <c r="K110" i="29"/>
  <c r="K150" i="29"/>
  <c r="L396" i="29"/>
  <c r="L57" i="29"/>
  <c r="L299" i="29"/>
  <c r="K167" i="29"/>
  <c r="L307" i="29"/>
  <c r="K232" i="29"/>
  <c r="L115" i="29"/>
  <c r="L293" i="29"/>
  <c r="K196" i="29"/>
  <c r="L20" i="29"/>
  <c r="K155" i="29"/>
  <c r="L223" i="29"/>
  <c r="K21" i="29"/>
  <c r="L244" i="29"/>
  <c r="L206" i="29"/>
  <c r="K212" i="29"/>
  <c r="L200" i="29"/>
  <c r="L36" i="29"/>
  <c r="L334" i="29"/>
  <c r="K346" i="29"/>
  <c r="L269" i="29"/>
  <c r="K203" i="29"/>
  <c r="K407" i="29"/>
  <c r="L263" i="29"/>
  <c r="L459" i="29"/>
  <c r="L199" i="29"/>
  <c r="L313" i="29"/>
  <c r="K92" i="29"/>
  <c r="K22" i="29"/>
  <c r="K272" i="29"/>
  <c r="K214" i="29"/>
  <c r="K180" i="29"/>
  <c r="L190" i="29"/>
  <c r="K152" i="29"/>
  <c r="K76" i="29"/>
  <c r="L592" i="29"/>
  <c r="L437" i="29"/>
  <c r="L361" i="29"/>
  <c r="L306" i="29"/>
  <c r="L320" i="29"/>
  <c r="K259" i="29"/>
  <c r="K205" i="29"/>
  <c r="K171" i="29"/>
  <c r="L162" i="29"/>
  <c r="K130" i="29"/>
  <c r="L16" i="29"/>
  <c r="L384" i="29"/>
  <c r="L330" i="29"/>
  <c r="K338" i="29"/>
  <c r="L265" i="29"/>
  <c r="L231" i="29"/>
  <c r="L233" i="29"/>
  <c r="K199" i="29"/>
  <c r="K135" i="29"/>
  <c r="L53" i="29"/>
  <c r="L55" i="29"/>
  <c r="L450" i="29"/>
  <c r="L358" i="29"/>
  <c r="L316" i="29"/>
  <c r="L291" i="29"/>
  <c r="L259" i="29"/>
  <c r="L201" i="29"/>
  <c r="K227" i="29"/>
  <c r="K163" i="29"/>
  <c r="L81" i="29"/>
  <c r="L83" i="29"/>
  <c r="K469" i="29"/>
  <c r="K363" i="29"/>
  <c r="K280" i="29"/>
  <c r="K289" i="29"/>
  <c r="K256" i="29"/>
  <c r="K198" i="29"/>
  <c r="L227" i="29"/>
  <c r="L159" i="29"/>
  <c r="K136" i="29"/>
  <c r="K148" i="29"/>
  <c r="K111" i="29"/>
  <c r="L253" i="29"/>
  <c r="L58" i="29"/>
  <c r="K219" i="29"/>
  <c r="L74" i="29"/>
  <c r="L225" i="29"/>
  <c r="K29" i="29"/>
  <c r="K194" i="29"/>
  <c r="K41" i="29"/>
  <c r="L289" i="29"/>
  <c r="K53" i="29"/>
  <c r="L288" i="29"/>
  <c r="K98" i="29"/>
  <c r="K245" i="29"/>
  <c r="K15" i="29"/>
  <c r="L30" i="29"/>
  <c r="L165" i="29"/>
  <c r="K55" i="29"/>
  <c r="K50" i="29"/>
  <c r="L18" i="29"/>
  <c r="L63" i="29"/>
  <c r="K208" i="29"/>
  <c r="K527" i="29"/>
  <c r="L268" i="29"/>
  <c r="K141" i="29"/>
  <c r="K402" i="29"/>
  <c r="K253" i="29"/>
  <c r="L122" i="29"/>
  <c r="K400" i="29"/>
  <c r="K287" i="29"/>
  <c r="L176" i="29"/>
  <c r="L32" i="29"/>
  <c r="K357" i="29"/>
  <c r="K486" i="29"/>
  <c r="L88" i="29"/>
  <c r="L246" i="29"/>
  <c r="L64" i="29"/>
  <c r="L414" i="29"/>
  <c r="L50" i="29"/>
  <c r="K91" i="29"/>
  <c r="K95" i="29"/>
  <c r="K89" i="29"/>
  <c r="K99" i="29"/>
  <c r="K93" i="29"/>
  <c r="K66" i="29"/>
  <c r="K14" i="29"/>
  <c r="K156" i="29"/>
  <c r="L26" i="29"/>
  <c r="L42" i="29"/>
  <c r="K624" i="29"/>
  <c r="K625" i="29"/>
  <c r="L624" i="29"/>
  <c r="L625" i="29"/>
  <c r="Q4" i="29"/>
  <c r="EB212" i="25"/>
  <c r="EA212" i="25"/>
  <c r="DJ212" i="25"/>
  <c r="DI212" i="25"/>
  <c r="DM112" i="25"/>
  <c r="DW112" i="25" s="1"/>
  <c r="EB112" i="25" s="1"/>
  <c r="DB112" i="25"/>
  <c r="DI112" i="25"/>
  <c r="DJ112" i="25"/>
  <c r="CO216" i="25"/>
  <c r="DA216" i="25" s="1"/>
  <c r="DD216" i="25" s="1"/>
  <c r="DE216" i="25" s="1"/>
  <c r="DF216" i="25" s="1"/>
  <c r="DM216" i="25" s="1"/>
  <c r="DW216" i="25" s="1"/>
  <c r="DM219" i="25"/>
  <c r="DW219" i="25" s="1"/>
  <c r="DM229" i="25"/>
  <c r="DW229" i="25" s="1"/>
  <c r="DM163" i="25"/>
  <c r="DW163" i="25" s="1"/>
  <c r="DM184" i="25"/>
  <c r="DW184" i="25" s="1"/>
  <c r="DM297" i="25"/>
  <c r="DW297" i="25" s="1"/>
  <c r="DM224" i="25"/>
  <c r="DW224" i="25" s="1"/>
  <c r="DM152" i="25"/>
  <c r="DW152" i="25" s="1"/>
  <c r="DM135" i="25"/>
  <c r="DW135" i="25" s="1"/>
  <c r="DM166" i="25"/>
  <c r="DW166" i="25" s="1"/>
  <c r="DM69" i="25"/>
  <c r="DW69" i="25" s="1"/>
  <c r="DX5" i="24"/>
  <c r="EE5" i="24" s="1"/>
  <c r="DM207" i="25"/>
  <c r="DW207" i="25" s="1"/>
  <c r="DM192" i="25"/>
  <c r="DW192" i="25" s="1"/>
  <c r="DM204" i="25"/>
  <c r="DW204" i="25" s="1"/>
  <c r="DM201" i="25"/>
  <c r="DW201" i="25" s="1"/>
  <c r="DM142" i="25"/>
  <c r="DW142" i="25" s="1"/>
  <c r="DM151" i="25"/>
  <c r="DW151" i="25" s="1"/>
  <c r="DM209" i="25"/>
  <c r="DW209" i="25" s="1"/>
  <c r="DM237" i="25"/>
  <c r="DW237" i="25" s="1"/>
  <c r="DM196" i="25"/>
  <c r="DW196" i="25" s="1"/>
  <c r="DM76" i="25"/>
  <c r="DW76" i="25" s="1"/>
  <c r="DM61" i="25"/>
  <c r="DW61" i="25" s="1"/>
  <c r="DM240" i="25"/>
  <c r="DW240" i="25" s="1"/>
  <c r="DM221" i="25"/>
  <c r="DW221" i="25" s="1"/>
  <c r="DM222" i="25"/>
  <c r="DW222" i="25" s="1"/>
  <c r="DM53" i="25"/>
  <c r="DW53" i="25" s="1"/>
  <c r="DM238" i="25"/>
  <c r="DW238" i="25" s="1"/>
  <c r="DM273" i="25"/>
  <c r="DW273" i="25" s="1"/>
  <c r="DM270" i="25"/>
  <c r="DW270" i="25" s="1"/>
  <c r="DM288" i="25"/>
  <c r="DW288" i="25" s="1"/>
  <c r="DM104" i="25"/>
  <c r="DW104" i="25" s="1"/>
  <c r="DM183" i="25"/>
  <c r="DW183" i="25" s="1"/>
  <c r="DM75" i="25"/>
  <c r="DW75" i="25" s="1"/>
  <c r="DM149" i="25"/>
  <c r="DW149" i="25" s="1"/>
  <c r="DM125" i="25"/>
  <c r="DW125" i="25" s="1"/>
  <c r="DM223" i="25"/>
  <c r="DW223" i="25" s="1"/>
  <c r="DM165" i="25"/>
  <c r="DW165" i="25" s="1"/>
  <c r="DM162" i="25"/>
  <c r="DW162" i="25" s="1"/>
  <c r="DM188" i="25"/>
  <c r="DW188" i="25" s="1"/>
  <c r="DM182" i="25"/>
  <c r="DW182" i="25" s="1"/>
  <c r="DM274" i="25"/>
  <c r="DW274" i="25" s="1"/>
  <c r="DM255" i="25"/>
  <c r="DW255" i="25" s="1"/>
  <c r="DM62" i="25"/>
  <c r="DW62" i="25" s="1"/>
  <c r="DM268" i="25"/>
  <c r="DW268" i="25" s="1"/>
  <c r="DM303" i="25"/>
  <c r="DW303" i="25" s="1"/>
  <c r="DM113" i="25"/>
  <c r="DW113" i="25" s="1"/>
  <c r="DM159" i="25"/>
  <c r="DW159" i="25" s="1"/>
  <c r="DM63" i="25"/>
  <c r="DW63" i="25" s="1"/>
  <c r="DM10" i="25"/>
  <c r="DW10" i="25" s="1"/>
  <c r="DM312" i="25"/>
  <c r="DW312" i="25" s="1"/>
  <c r="DM282" i="25"/>
  <c r="DW282" i="25" s="1"/>
  <c r="DM57" i="25"/>
  <c r="DW57" i="25" s="1"/>
  <c r="DM54" i="25"/>
  <c r="DW54" i="25" s="1"/>
  <c r="DM246" i="25"/>
  <c r="DW246" i="25" s="1"/>
  <c r="DM260" i="25"/>
  <c r="DW260" i="25" s="1"/>
  <c r="DB10" i="25"/>
  <c r="DB186" i="25"/>
  <c r="DN216" i="24"/>
  <c r="DM315" i="25"/>
  <c r="DW315" i="25" s="1"/>
  <c r="DM197" i="25"/>
  <c r="DW197" i="25" s="1"/>
  <c r="DC198" i="24"/>
  <c r="DM16" i="25"/>
  <c r="DW16" i="25" s="1"/>
  <c r="DM20" i="25"/>
  <c r="DW20" i="25" s="1"/>
  <c r="EE110" i="24"/>
  <c r="DO110" i="24"/>
  <c r="DR110" i="24"/>
  <c r="DO5" i="24"/>
  <c r="DR5" i="24"/>
  <c r="DC216" i="24"/>
  <c r="DB278" i="25"/>
  <c r="DB304" i="25"/>
  <c r="DJ216" i="24"/>
  <c r="DK216" i="24"/>
  <c r="DM205" i="25"/>
  <c r="DW205" i="25" s="1"/>
  <c r="DM85" i="25"/>
  <c r="DW85" i="25" s="1"/>
  <c r="DM150" i="25"/>
  <c r="DW150" i="25" s="1"/>
  <c r="DM309" i="25"/>
  <c r="DW309" i="25" s="1"/>
  <c r="DM195" i="25"/>
  <c r="DW195" i="25" s="1"/>
  <c r="DM186" i="25"/>
  <c r="DW186" i="25" s="1"/>
  <c r="DM281" i="25"/>
  <c r="DW281" i="25" s="1"/>
  <c r="DM28" i="25"/>
  <c r="DW28" i="25" s="1"/>
  <c r="DM134" i="25"/>
  <c r="DW134" i="25" s="1"/>
  <c r="DM202" i="25"/>
  <c r="DW202" i="25" s="1"/>
  <c r="DM41" i="25"/>
  <c r="DW41" i="25" s="1"/>
  <c r="DM234" i="25"/>
  <c r="DW234" i="25" s="1"/>
  <c r="DM160" i="25"/>
  <c r="DW160" i="25" s="1"/>
  <c r="DM316" i="25"/>
  <c r="DW316" i="25" s="1"/>
  <c r="DM286" i="25"/>
  <c r="DW286" i="25" s="1"/>
  <c r="DM304" i="25"/>
  <c r="DW304" i="25" s="1"/>
  <c r="DM130" i="25"/>
  <c r="DW130" i="25" s="1"/>
  <c r="DM231" i="25"/>
  <c r="DW231" i="25" s="1"/>
  <c r="DC183" i="24"/>
  <c r="DC149" i="24"/>
  <c r="DM248" i="25"/>
  <c r="DW248" i="25" s="1"/>
  <c r="DM19" i="25"/>
  <c r="DW19" i="25" s="1"/>
  <c r="DM161" i="25"/>
  <c r="DW161" i="25" s="1"/>
  <c r="DM82" i="25"/>
  <c r="DW82" i="25" s="1"/>
  <c r="DC292" i="24"/>
  <c r="DM155" i="25"/>
  <c r="DW155" i="25" s="1"/>
  <c r="DM30" i="25"/>
  <c r="DW30" i="25" s="1"/>
  <c r="DB310" i="25"/>
  <c r="DB101" i="25"/>
  <c r="DC217" i="24"/>
  <c r="DM46" i="25"/>
  <c r="DW46" i="25" s="1"/>
  <c r="DC165" i="24"/>
  <c r="DB143" i="25"/>
  <c r="DB156" i="25"/>
  <c r="DB140" i="25"/>
  <c r="DB41" i="25"/>
  <c r="DB24" i="25"/>
  <c r="DC288" i="24"/>
  <c r="DB148" i="25"/>
  <c r="DC186" i="24"/>
  <c r="DB279" i="25"/>
  <c r="DM249" i="25"/>
  <c r="DW249" i="25" s="1"/>
  <c r="DM198" i="25"/>
  <c r="DW198" i="25" s="1"/>
  <c r="DM293" i="25"/>
  <c r="DW293" i="25" s="1"/>
  <c r="DM18" i="25"/>
  <c r="DW18" i="25" s="1"/>
  <c r="DM36" i="25"/>
  <c r="DW36" i="25" s="1"/>
  <c r="DM206" i="25"/>
  <c r="DW206" i="25" s="1"/>
  <c r="DM261" i="25"/>
  <c r="DW261" i="25" s="1"/>
  <c r="DB295" i="25"/>
  <c r="DB181" i="25"/>
  <c r="DB71" i="25"/>
  <c r="DB169" i="25"/>
  <c r="DB284" i="25"/>
  <c r="DM218" i="25"/>
  <c r="DW218" i="25" s="1"/>
  <c r="DM31" i="25"/>
  <c r="DW31" i="25" s="1"/>
  <c r="DM118" i="25"/>
  <c r="DW118" i="25" s="1"/>
  <c r="DM73" i="25"/>
  <c r="DW73" i="25" s="1"/>
  <c r="DM220" i="25"/>
  <c r="DW220" i="25" s="1"/>
  <c r="DM114" i="25"/>
  <c r="DW114" i="25" s="1"/>
  <c r="DM172" i="25"/>
  <c r="DW172" i="25" s="1"/>
  <c r="DM52" i="25"/>
  <c r="DW52" i="25" s="1"/>
  <c r="DM133" i="25"/>
  <c r="DW133" i="25" s="1"/>
  <c r="DM94" i="25"/>
  <c r="DW94" i="25" s="1"/>
  <c r="DM264" i="25"/>
  <c r="DW264" i="25" s="1"/>
  <c r="DM278" i="25"/>
  <c r="DW278" i="25" s="1"/>
  <c r="DB27" i="25"/>
  <c r="DB166" i="25"/>
  <c r="DB223" i="25"/>
  <c r="DB44" i="25"/>
  <c r="DB83" i="25"/>
  <c r="DB103" i="25"/>
  <c r="DM258" i="25"/>
  <c r="DW258" i="25" s="1"/>
  <c r="DB73" i="25"/>
  <c r="DB117" i="25"/>
  <c r="DB235" i="25"/>
  <c r="DM21" i="25"/>
  <c r="DW21" i="25" s="1"/>
  <c r="DB150" i="25"/>
  <c r="DB72" i="25"/>
  <c r="DB244" i="25"/>
  <c r="DM247" i="25"/>
  <c r="DW247" i="25" s="1"/>
  <c r="DB268" i="25"/>
  <c r="DB219" i="25"/>
  <c r="DB179" i="25"/>
  <c r="DM243" i="25"/>
  <c r="DW243" i="25" s="1"/>
  <c r="DB200" i="25"/>
  <c r="DB65" i="25"/>
  <c r="DB243" i="25"/>
  <c r="DB218" i="25"/>
  <c r="DB281" i="25"/>
  <c r="DB86" i="25"/>
  <c r="DM116" i="25"/>
  <c r="DW116" i="25" s="1"/>
  <c r="DM115" i="25"/>
  <c r="DW115" i="25" s="1"/>
  <c r="DB255" i="25"/>
  <c r="DM154" i="25"/>
  <c r="DW154" i="25" s="1"/>
  <c r="DM120" i="25"/>
  <c r="DW120" i="25" s="1"/>
  <c r="DM291" i="25"/>
  <c r="DW291" i="25" s="1"/>
  <c r="DM44" i="25"/>
  <c r="DW44" i="25" s="1"/>
  <c r="DM22" i="25"/>
  <c r="DW22" i="25" s="1"/>
  <c r="DB302" i="25"/>
  <c r="DB187" i="25"/>
  <c r="DB90" i="25"/>
  <c r="DB280" i="25"/>
  <c r="DB237" i="25"/>
  <c r="DB269" i="25"/>
  <c r="DB251" i="25"/>
  <c r="DB203" i="25"/>
  <c r="DB192" i="25"/>
  <c r="DM132" i="25"/>
  <c r="DW132" i="25" s="1"/>
  <c r="DM144" i="25"/>
  <c r="DW144" i="25" s="1"/>
  <c r="DM32" i="25"/>
  <c r="DW32" i="25" s="1"/>
  <c r="DB221" i="25"/>
  <c r="DB315" i="25"/>
  <c r="DB32" i="25"/>
  <c r="DM8" i="25"/>
  <c r="DW8" i="25" s="1"/>
  <c r="DM140" i="25"/>
  <c r="DW140" i="25" s="1"/>
  <c r="DM123" i="25"/>
  <c r="DW123" i="25" s="1"/>
  <c r="DB105" i="25"/>
  <c r="DB48" i="25"/>
  <c r="DB276" i="25"/>
  <c r="DB69" i="25"/>
  <c r="DB70" i="25"/>
  <c r="DB222" i="25"/>
  <c r="DB147" i="25"/>
  <c r="DB177" i="25"/>
  <c r="DB263" i="25"/>
  <c r="DB173" i="25"/>
  <c r="DM26" i="25"/>
  <c r="DW26" i="25" s="1"/>
  <c r="DB119" i="25"/>
  <c r="DB277" i="25"/>
  <c r="DB247" i="25"/>
  <c r="DB12" i="25"/>
  <c r="DB241" i="25"/>
  <c r="DM55" i="25"/>
  <c r="DW55" i="25" s="1"/>
  <c r="DB292" i="25"/>
  <c r="DB282" i="25"/>
  <c r="DB76" i="25"/>
  <c r="DB178" i="25"/>
  <c r="DB53" i="25"/>
  <c r="DM84" i="25"/>
  <c r="DW84" i="25" s="1"/>
  <c r="DB135" i="25"/>
  <c r="DB273" i="25"/>
  <c r="DM67" i="25"/>
  <c r="DW67" i="25" s="1"/>
  <c r="DB271" i="25"/>
  <c r="DM146" i="25"/>
  <c r="DW146" i="25" s="1"/>
  <c r="DM271" i="25"/>
  <c r="DW271" i="25" s="1"/>
  <c r="DM310" i="25"/>
  <c r="DW310" i="25" s="1"/>
  <c r="DM102" i="25"/>
  <c r="DW102" i="25" s="1"/>
  <c r="DB306" i="25"/>
  <c r="DB64" i="25"/>
  <c r="DM117" i="25"/>
  <c r="DW117" i="25" s="1"/>
  <c r="DB313" i="25"/>
  <c r="DB189" i="25"/>
  <c r="DM265" i="25"/>
  <c r="DW265" i="25" s="1"/>
  <c r="DB145" i="25"/>
  <c r="DB283" i="25"/>
  <c r="DB260" i="25"/>
  <c r="DB195" i="25"/>
  <c r="DM39" i="25"/>
  <c r="DW39" i="25" s="1"/>
  <c r="DB246" i="25"/>
  <c r="DB230" i="25"/>
  <c r="DB75" i="25"/>
  <c r="DB125" i="25"/>
  <c r="DM153" i="25"/>
  <c r="DW153" i="25" s="1"/>
  <c r="DB33" i="25"/>
  <c r="DB14" i="25"/>
  <c r="DB122" i="25"/>
  <c r="DB316" i="25"/>
  <c r="DB248" i="25"/>
  <c r="DB56" i="25"/>
  <c r="DB97" i="25"/>
  <c r="DM167" i="25"/>
  <c r="DW167" i="25" s="1"/>
  <c r="DM176" i="25"/>
  <c r="DW176" i="25" s="1"/>
  <c r="DM50" i="25"/>
  <c r="DW50" i="25" s="1"/>
  <c r="DM124" i="25"/>
  <c r="DW124" i="25" s="1"/>
  <c r="DM148" i="25"/>
  <c r="DW148" i="25" s="1"/>
  <c r="DB239" i="25"/>
  <c r="DB88" i="25"/>
  <c r="DB228" i="25"/>
  <c r="DM68" i="25"/>
  <c r="DW68" i="25" s="1"/>
  <c r="DB87" i="25"/>
  <c r="DM11" i="25"/>
  <c r="DW11" i="25" s="1"/>
  <c r="DB194" i="25"/>
  <c r="DB114" i="25"/>
  <c r="DB132" i="25"/>
  <c r="DM299" i="25"/>
  <c r="DW299" i="25" s="1"/>
  <c r="DB165" i="25"/>
  <c r="DM307" i="25"/>
  <c r="DW307" i="25" s="1"/>
  <c r="DB182" i="25"/>
  <c r="DB245" i="25"/>
  <c r="DB275" i="25"/>
  <c r="DB175" i="25"/>
  <c r="DB184" i="25"/>
  <c r="DB185" i="25"/>
  <c r="DB126" i="25"/>
  <c r="DM236" i="25"/>
  <c r="DW236" i="25" s="1"/>
  <c r="DB294" i="25"/>
  <c r="DB301" i="25"/>
  <c r="DB39" i="25"/>
  <c r="DB307" i="25"/>
  <c r="DB297" i="25"/>
  <c r="DB261" i="25"/>
  <c r="DB231" i="25"/>
  <c r="DB80" i="25"/>
  <c r="DM71" i="25"/>
  <c r="DW71" i="25" s="1"/>
  <c r="DB224" i="25"/>
  <c r="DB92" i="25"/>
  <c r="DB137" i="25"/>
  <c r="DB78" i="25"/>
  <c r="DM296" i="25"/>
  <c r="DW296" i="25" s="1"/>
  <c r="DB9" i="25"/>
  <c r="DB204" i="25"/>
  <c r="DC308" i="24"/>
  <c r="DC121" i="24"/>
  <c r="DC119" i="24"/>
  <c r="DC173" i="24"/>
  <c r="DC230" i="24"/>
  <c r="DC309" i="24"/>
  <c r="DC298" i="24"/>
  <c r="DC116" i="24"/>
  <c r="DC157" i="24"/>
  <c r="DC272" i="24"/>
  <c r="DJ219" i="25"/>
  <c r="DI219" i="25"/>
  <c r="DJ167" i="25"/>
  <c r="DI167" i="25"/>
  <c r="DJ303" i="25"/>
  <c r="DI303" i="25"/>
  <c r="DJ183" i="25"/>
  <c r="DI183" i="25"/>
  <c r="DJ8" i="25"/>
  <c r="DI8" i="25"/>
  <c r="DJ118" i="25"/>
  <c r="DI118" i="25"/>
  <c r="DJ104" i="25"/>
  <c r="DI104" i="25"/>
  <c r="DJ238" i="25"/>
  <c r="DI238" i="25"/>
  <c r="DM77" i="25"/>
  <c r="DJ186" i="25"/>
  <c r="DI186" i="25"/>
  <c r="DM136" i="25"/>
  <c r="DB22" i="25"/>
  <c r="DJ222" i="25"/>
  <c r="DI222" i="25"/>
  <c r="DJ245" i="25"/>
  <c r="DI245" i="25"/>
  <c r="DJ126" i="25"/>
  <c r="DI126" i="25"/>
  <c r="DJ129" i="25"/>
  <c r="DI129" i="25"/>
  <c r="DJ218" i="25"/>
  <c r="DI218" i="25"/>
  <c r="DJ209" i="25"/>
  <c r="DI209" i="25"/>
  <c r="DJ24" i="25"/>
  <c r="DI24" i="25"/>
  <c r="DB59" i="25"/>
  <c r="DJ185" i="25"/>
  <c r="DI185" i="25"/>
  <c r="DJ39" i="25"/>
  <c r="DI39" i="25"/>
  <c r="DB198" i="25"/>
  <c r="DM290" i="25"/>
  <c r="DW290" i="25" s="1"/>
  <c r="DB180" i="25"/>
  <c r="DM193" i="25"/>
  <c r="DB49" i="25"/>
  <c r="DB115" i="25"/>
  <c r="DJ66" i="25"/>
  <c r="DI66" i="25"/>
  <c r="DJ285" i="25"/>
  <c r="DI285" i="25"/>
  <c r="DJ131" i="25"/>
  <c r="DI131" i="25"/>
  <c r="DB258" i="25"/>
  <c r="DM141" i="25"/>
  <c r="DJ53" i="25"/>
  <c r="DI53" i="25"/>
  <c r="DM266" i="25"/>
  <c r="DW266" i="25" s="1"/>
  <c r="DM254" i="25"/>
  <c r="DW254" i="25" s="1"/>
  <c r="DJ44" i="25"/>
  <c r="DI44" i="25"/>
  <c r="DB133" i="25"/>
  <c r="DB267" i="25"/>
  <c r="DM228" i="25"/>
  <c r="DW228" i="25" s="1"/>
  <c r="DJ200" i="25"/>
  <c r="DI200" i="25"/>
  <c r="DJ168" i="25"/>
  <c r="DI168" i="25"/>
  <c r="DB205" i="25"/>
  <c r="DJ102" i="25"/>
  <c r="DI102" i="25"/>
  <c r="DM306" i="25"/>
  <c r="DW306" i="25" s="1"/>
  <c r="DJ283" i="25"/>
  <c r="DI283" i="25"/>
  <c r="DB303" i="25"/>
  <c r="DJ280" i="25"/>
  <c r="DI280" i="25"/>
  <c r="DM251" i="25"/>
  <c r="DW251" i="25" s="1"/>
  <c r="DM257" i="25"/>
  <c r="DW257" i="25" s="1"/>
  <c r="DM314" i="25"/>
  <c r="DW314" i="25" s="1"/>
  <c r="DM158" i="25"/>
  <c r="DB264" i="25"/>
  <c r="DJ80" i="25"/>
  <c r="DI80" i="25"/>
  <c r="DM226" i="25"/>
  <c r="DW226" i="25" s="1"/>
  <c r="DM15" i="25"/>
  <c r="DM78" i="25"/>
  <c r="DM190" i="25"/>
  <c r="DM164" i="25"/>
  <c r="DJ174" i="25"/>
  <c r="DI174" i="25"/>
  <c r="DJ269" i="25"/>
  <c r="DI269" i="25"/>
  <c r="DJ7" i="25"/>
  <c r="DI7" i="25"/>
  <c r="DJ233" i="25"/>
  <c r="DI233" i="25"/>
  <c r="DJ113" i="25"/>
  <c r="DI113" i="25"/>
  <c r="DB262" i="25"/>
  <c r="DJ288" i="25"/>
  <c r="DI288" i="25"/>
  <c r="DJ176" i="25"/>
  <c r="DI176" i="25"/>
  <c r="DB96" i="25"/>
  <c r="DJ246" i="25"/>
  <c r="DI246" i="25"/>
  <c r="DJ114" i="25"/>
  <c r="DI114" i="25"/>
  <c r="DJ172" i="25"/>
  <c r="DI172" i="25"/>
  <c r="DJ19" i="25"/>
  <c r="DI19" i="25"/>
  <c r="DB52" i="25"/>
  <c r="DB161" i="25"/>
  <c r="DM74" i="25"/>
  <c r="DJ101" i="25"/>
  <c r="DI101" i="25"/>
  <c r="DB168" i="25"/>
  <c r="DJ205" i="25"/>
  <c r="DI205" i="25"/>
  <c r="DB138" i="25"/>
  <c r="DB102" i="25"/>
  <c r="DB57" i="25"/>
  <c r="DJ221" i="25"/>
  <c r="DI221" i="25"/>
  <c r="DJ77" i="25"/>
  <c r="DI77" i="25"/>
  <c r="DB254" i="25"/>
  <c r="DJ136" i="25"/>
  <c r="DI136" i="25"/>
  <c r="DJ124" i="25"/>
  <c r="DI124" i="25"/>
  <c r="DB17" i="25"/>
  <c r="DM171" i="25"/>
  <c r="DB227" i="25"/>
  <c r="DB290" i="25"/>
  <c r="DM129" i="25"/>
  <c r="DB136" i="25"/>
  <c r="DB170" i="25"/>
  <c r="DM252" i="25"/>
  <c r="DW252" i="25" s="1"/>
  <c r="DJ273" i="25"/>
  <c r="DI273" i="25"/>
  <c r="DM185" i="25"/>
  <c r="DM300" i="25"/>
  <c r="DW300" i="25" s="1"/>
  <c r="DB30" i="25"/>
  <c r="DJ270" i="25"/>
  <c r="DI270" i="25"/>
  <c r="DJ18" i="25"/>
  <c r="DI18" i="25"/>
  <c r="DB77" i="25"/>
  <c r="DB123" i="25"/>
  <c r="DM93" i="25"/>
  <c r="DJ290" i="25"/>
  <c r="DI290" i="25"/>
  <c r="DJ197" i="25"/>
  <c r="DI197" i="25"/>
  <c r="DJ96" i="25"/>
  <c r="DI96" i="25"/>
  <c r="DB139" i="25"/>
  <c r="DB256" i="25"/>
  <c r="DM72" i="25"/>
  <c r="DB93" i="25"/>
  <c r="DB190" i="25"/>
  <c r="DM66" i="25"/>
  <c r="DB74" i="25"/>
  <c r="DM285" i="25"/>
  <c r="DW285" i="25" s="1"/>
  <c r="DJ152" i="25"/>
  <c r="DI152" i="25"/>
  <c r="DJ135" i="25"/>
  <c r="DI135" i="25"/>
  <c r="DB197" i="25"/>
  <c r="DJ6" i="25"/>
  <c r="DI6" i="25"/>
  <c r="DB98" i="25"/>
  <c r="DB188" i="25"/>
  <c r="DM170" i="25"/>
  <c r="DJ268" i="25"/>
  <c r="DI268" i="25"/>
  <c r="DB46" i="25"/>
  <c r="DJ141" i="25"/>
  <c r="DI141" i="25"/>
  <c r="DB50" i="25"/>
  <c r="DJ294" i="25"/>
  <c r="DI294" i="25"/>
  <c r="DJ295" i="25"/>
  <c r="DI295" i="25"/>
  <c r="DB174" i="25"/>
  <c r="DB288" i="25"/>
  <c r="DJ228" i="25"/>
  <c r="DI228" i="25"/>
  <c r="DM138" i="25"/>
  <c r="DM311" i="25"/>
  <c r="DW311" i="25" s="1"/>
  <c r="DB274" i="25"/>
  <c r="DM168" i="25"/>
  <c r="DM217" i="25"/>
  <c r="DW217" i="25" s="1"/>
  <c r="DB127" i="25"/>
  <c r="DJ306" i="25"/>
  <c r="DI306" i="25"/>
  <c r="DJ64" i="25"/>
  <c r="DI64" i="25"/>
  <c r="DJ234" i="25"/>
  <c r="DI234" i="25"/>
  <c r="DI132" i="25"/>
  <c r="DJ132" i="25"/>
  <c r="DB120" i="25"/>
  <c r="DM280" i="25"/>
  <c r="DW280" i="25" s="1"/>
  <c r="DJ251" i="25"/>
  <c r="DI251" i="25"/>
  <c r="DB152" i="25"/>
  <c r="DJ314" i="25"/>
  <c r="DI314" i="25"/>
  <c r="DJ231" i="25"/>
  <c r="DI231" i="25"/>
  <c r="DJ158" i="25"/>
  <c r="DI158" i="25"/>
  <c r="DJ304" i="25"/>
  <c r="DI304" i="25"/>
  <c r="DM80" i="25"/>
  <c r="DM45" i="25"/>
  <c r="DJ226" i="25"/>
  <c r="DI226" i="25"/>
  <c r="DJ15" i="25"/>
  <c r="DI15" i="25"/>
  <c r="DB31" i="25"/>
  <c r="DJ210" i="25"/>
  <c r="DI210" i="25"/>
  <c r="DM56" i="25"/>
  <c r="DB61" i="25"/>
  <c r="DJ164" i="25"/>
  <c r="DI164" i="25"/>
  <c r="DJ60" i="25"/>
  <c r="DI60" i="25"/>
  <c r="DM233" i="25"/>
  <c r="DW233" i="25" s="1"/>
  <c r="DJ62" i="25"/>
  <c r="DI62" i="25"/>
  <c r="DJ21" i="25"/>
  <c r="DI21" i="25"/>
  <c r="DB252" i="25"/>
  <c r="DB172" i="25"/>
  <c r="DJ74" i="25"/>
  <c r="DI74" i="25"/>
  <c r="DJ94" i="25"/>
  <c r="DI94" i="25"/>
  <c r="DB47" i="25"/>
  <c r="DJ117" i="25"/>
  <c r="DI117" i="25"/>
  <c r="DB199" i="25"/>
  <c r="DB104" i="25"/>
  <c r="DJ165" i="25"/>
  <c r="DI165" i="25"/>
  <c r="DJ50" i="25"/>
  <c r="DI50" i="25"/>
  <c r="DJ73" i="25"/>
  <c r="DI73" i="25"/>
  <c r="DJ71" i="25"/>
  <c r="DI71" i="25"/>
  <c r="DJ116" i="25"/>
  <c r="DI116" i="25"/>
  <c r="DJ229" i="25"/>
  <c r="DI229" i="25"/>
  <c r="DJ223" i="25"/>
  <c r="DI223" i="25"/>
  <c r="DJ115" i="25"/>
  <c r="DI115" i="25"/>
  <c r="DM139" i="25"/>
  <c r="DJ278" i="25"/>
  <c r="DI278" i="25"/>
  <c r="DJ171" i="25"/>
  <c r="DI171" i="25"/>
  <c r="DB289" i="25"/>
  <c r="DJ161" i="25"/>
  <c r="DI161" i="25"/>
  <c r="DB94" i="25"/>
  <c r="DJ252" i="25"/>
  <c r="DI252" i="25"/>
  <c r="DJ300" i="25"/>
  <c r="DI300" i="25"/>
  <c r="DB293" i="25"/>
  <c r="DJ93" i="25"/>
  <c r="DI93" i="25"/>
  <c r="DB20" i="25"/>
  <c r="DB129" i="25"/>
  <c r="DM145" i="25"/>
  <c r="DM96" i="25"/>
  <c r="DJ72" i="25"/>
  <c r="DI72" i="25"/>
  <c r="DM301" i="25"/>
  <c r="DW301" i="25" s="1"/>
  <c r="DJ30" i="25"/>
  <c r="DI30" i="25"/>
  <c r="DB79" i="25"/>
  <c r="DM253" i="25"/>
  <c r="DW253" i="25" s="1"/>
  <c r="DB233" i="25"/>
  <c r="DJ201" i="25"/>
  <c r="DI201" i="25"/>
  <c r="DB209" i="25"/>
  <c r="DJ307" i="25"/>
  <c r="DI307" i="25"/>
  <c r="DW6" i="25"/>
  <c r="DJ54" i="25"/>
  <c r="DI54" i="25"/>
  <c r="DB68" i="25"/>
  <c r="DM128" i="25"/>
  <c r="DJ170" i="25"/>
  <c r="DI170" i="25"/>
  <c r="DJ316" i="25"/>
  <c r="DI316" i="25"/>
  <c r="DB23" i="25"/>
  <c r="DB142" i="25"/>
  <c r="DB193" i="25"/>
  <c r="DB202" i="25"/>
  <c r="DM38" i="25"/>
  <c r="DB91" i="25"/>
  <c r="DM294" i="25"/>
  <c r="DW294" i="25" s="1"/>
  <c r="DB124" i="25"/>
  <c r="DM295" i="25"/>
  <c r="DW295" i="25" s="1"/>
  <c r="DM40" i="25"/>
  <c r="DJ138" i="25"/>
  <c r="DI138" i="25"/>
  <c r="DJ311" i="25"/>
  <c r="DI311" i="25"/>
  <c r="DM143" i="25"/>
  <c r="DJ217" i="25"/>
  <c r="DI217" i="25"/>
  <c r="DM27" i="25"/>
  <c r="DB18" i="25"/>
  <c r="DM64" i="25"/>
  <c r="DJ79" i="25"/>
  <c r="DI79" i="25"/>
  <c r="DM9" i="25"/>
  <c r="DB11" i="25"/>
  <c r="DM99" i="25"/>
  <c r="DM292" i="25"/>
  <c r="DW292" i="25" s="1"/>
  <c r="DM47" i="25"/>
  <c r="DM173" i="25"/>
  <c r="DB131" i="25"/>
  <c r="DB291" i="25"/>
  <c r="DM35" i="25"/>
  <c r="DM277" i="25"/>
  <c r="DW277" i="25" s="1"/>
  <c r="DM83" i="25"/>
  <c r="DB67" i="25"/>
  <c r="DJ45" i="25"/>
  <c r="DI45" i="25"/>
  <c r="DB229" i="25"/>
  <c r="DM105" i="25"/>
  <c r="DB35" i="25"/>
  <c r="DB206" i="25"/>
  <c r="DM210" i="25"/>
  <c r="DJ56" i="25"/>
  <c r="DI56" i="25"/>
  <c r="DB196" i="25"/>
  <c r="DM60" i="25"/>
  <c r="DM276" i="25"/>
  <c r="DW276" i="25" s="1"/>
  <c r="DJ155" i="25"/>
  <c r="DI155" i="25"/>
  <c r="DJ162" i="25"/>
  <c r="DI162" i="25"/>
  <c r="DM88" i="25"/>
  <c r="DJ291" i="25"/>
  <c r="DI291" i="25"/>
  <c r="DJ28" i="25"/>
  <c r="DI28" i="25"/>
  <c r="DJ142" i="25"/>
  <c r="DI142" i="25"/>
  <c r="DJ61" i="25"/>
  <c r="DI61" i="25"/>
  <c r="DJ151" i="25"/>
  <c r="DI151" i="25"/>
  <c r="DJ204" i="25"/>
  <c r="DI204" i="25"/>
  <c r="DJ139" i="25"/>
  <c r="DI139" i="25"/>
  <c r="DJ159" i="25"/>
  <c r="DI159" i="25"/>
  <c r="DM17" i="25"/>
  <c r="DJ52" i="25"/>
  <c r="DI52" i="25"/>
  <c r="DJ133" i="25"/>
  <c r="DI133" i="25"/>
  <c r="DJ55" i="25"/>
  <c r="DI55" i="25"/>
  <c r="DJ247" i="25"/>
  <c r="DI247" i="25"/>
  <c r="DJ282" i="25"/>
  <c r="DI282" i="25"/>
  <c r="DI145" i="25"/>
  <c r="DJ145" i="25"/>
  <c r="DJ301" i="25"/>
  <c r="DI301" i="25"/>
  <c r="DJ253" i="25"/>
  <c r="DI253" i="25"/>
  <c r="DJ36" i="25"/>
  <c r="DI36" i="25"/>
  <c r="DJ46" i="25"/>
  <c r="DI46" i="25"/>
  <c r="DJ153" i="25"/>
  <c r="DI153" i="25"/>
  <c r="DM225" i="25"/>
  <c r="DW225" i="25" s="1"/>
  <c r="DJ208" i="25"/>
  <c r="DI208" i="25"/>
  <c r="DJ38" i="25"/>
  <c r="DI38" i="25"/>
  <c r="DM262" i="25"/>
  <c r="DW262" i="25" s="1"/>
  <c r="DM100" i="25"/>
  <c r="DM70" i="25"/>
  <c r="DJ40" i="25"/>
  <c r="DI40" i="25"/>
  <c r="DJ87" i="25"/>
  <c r="DI87" i="25"/>
  <c r="DJ143" i="25"/>
  <c r="DI143" i="25"/>
  <c r="DJ27" i="25"/>
  <c r="DI27" i="25"/>
  <c r="DJ31" i="25"/>
  <c r="DI31" i="25"/>
  <c r="DM175" i="25"/>
  <c r="DI286" i="25"/>
  <c r="DJ286" i="25"/>
  <c r="DJ166" i="25"/>
  <c r="DI166" i="25"/>
  <c r="DM79" i="25"/>
  <c r="DJ9" i="25"/>
  <c r="DI9" i="25"/>
  <c r="DJ99" i="25"/>
  <c r="DI99" i="25"/>
  <c r="DJ144" i="25"/>
  <c r="DI144" i="25"/>
  <c r="DJ292" i="25"/>
  <c r="DI292" i="25"/>
  <c r="DJ47" i="25"/>
  <c r="DI47" i="25"/>
  <c r="DJ173" i="25"/>
  <c r="DI173" i="25"/>
  <c r="DM259" i="25"/>
  <c r="DW259" i="25" s="1"/>
  <c r="DJ35" i="25"/>
  <c r="DI35" i="25"/>
  <c r="DJ277" i="25"/>
  <c r="DI277" i="25"/>
  <c r="DJ83" i="25"/>
  <c r="DI83" i="25"/>
  <c r="DJ275" i="25"/>
  <c r="DI275" i="25"/>
  <c r="DJ105" i="25"/>
  <c r="DI105" i="25"/>
  <c r="DJ32" i="25"/>
  <c r="DI32" i="25"/>
  <c r="DJ239" i="25"/>
  <c r="DI239" i="25"/>
  <c r="DM127" i="25"/>
  <c r="DJ276" i="25"/>
  <c r="DI276" i="25"/>
  <c r="DB232" i="25"/>
  <c r="DB314" i="25"/>
  <c r="DJ146" i="25"/>
  <c r="DI146" i="25"/>
  <c r="DJ88" i="25"/>
  <c r="DI88" i="25"/>
  <c r="DJ274" i="25"/>
  <c r="DI274" i="25"/>
  <c r="DB159" i="25"/>
  <c r="DB25" i="25"/>
  <c r="DJ260" i="25"/>
  <c r="DI260" i="25"/>
  <c r="DB153" i="25"/>
  <c r="DB242" i="25"/>
  <c r="DB149" i="25"/>
  <c r="DJ264" i="25"/>
  <c r="DI264" i="25"/>
  <c r="DJ207" i="25"/>
  <c r="DI207" i="25"/>
  <c r="DB128" i="25"/>
  <c r="DJ198" i="25"/>
  <c r="DI198" i="25"/>
  <c r="DB58" i="25"/>
  <c r="DM242" i="25"/>
  <c r="DW242" i="25" s="1"/>
  <c r="DB183" i="25"/>
  <c r="DJ255" i="25"/>
  <c r="DI255" i="25"/>
  <c r="DJ196" i="25"/>
  <c r="DI196" i="25"/>
  <c r="DB146" i="25"/>
  <c r="DJ297" i="25"/>
  <c r="DI297" i="25"/>
  <c r="DB100" i="25"/>
  <c r="DJ17" i="25"/>
  <c r="DI17" i="25"/>
  <c r="DM48" i="25"/>
  <c r="DB272" i="25"/>
  <c r="DJ148" i="25"/>
  <c r="DI148" i="25"/>
  <c r="DJ188" i="25"/>
  <c r="DI188" i="25"/>
  <c r="DJ177" i="25"/>
  <c r="DI177" i="25"/>
  <c r="DB42" i="25"/>
  <c r="DJ235" i="25"/>
  <c r="DI235" i="25"/>
  <c r="DJ298" i="25"/>
  <c r="DI298" i="25"/>
  <c r="DB296" i="25"/>
  <c r="DJ85" i="25"/>
  <c r="DI85" i="25"/>
  <c r="DB8" i="25"/>
  <c r="DB43" i="25"/>
  <c r="DJ125" i="25"/>
  <c r="DI125" i="25"/>
  <c r="DB38" i="25"/>
  <c r="DB81" i="25"/>
  <c r="DB171" i="25"/>
  <c r="DJ150" i="25"/>
  <c r="DI150" i="25"/>
  <c r="DJ22" i="25"/>
  <c r="DI22" i="25"/>
  <c r="DM86" i="25"/>
  <c r="DJ149" i="25"/>
  <c r="DI149" i="25"/>
  <c r="DM12" i="25"/>
  <c r="DJ49" i="25"/>
  <c r="DI49" i="25"/>
  <c r="DB151" i="25"/>
  <c r="DB285" i="25"/>
  <c r="DJ310" i="25"/>
  <c r="DI310" i="25"/>
  <c r="DJ128" i="25"/>
  <c r="DI128" i="25"/>
  <c r="DB28" i="25"/>
  <c r="DM89" i="25"/>
  <c r="DM305" i="25"/>
  <c r="DW305" i="25" s="1"/>
  <c r="DJ279" i="25"/>
  <c r="DI279" i="25"/>
  <c r="DB141" i="25"/>
  <c r="DJ225" i="25"/>
  <c r="DI225" i="25"/>
  <c r="DJ123" i="25"/>
  <c r="DI123" i="25"/>
  <c r="DB37" i="25"/>
  <c r="DM208" i="25"/>
  <c r="DJ248" i="25"/>
  <c r="DI248" i="25"/>
  <c r="DB240" i="25"/>
  <c r="DM157" i="25"/>
  <c r="DM23" i="25"/>
  <c r="DJ262" i="25"/>
  <c r="DI262" i="25"/>
  <c r="DB36" i="25"/>
  <c r="DJ100" i="25"/>
  <c r="DI100" i="25"/>
  <c r="DJ70" i="25"/>
  <c r="DI70" i="25"/>
  <c r="DB118" i="25"/>
  <c r="DB113" i="25"/>
  <c r="DB116" i="25"/>
  <c r="DM87" i="25"/>
  <c r="DM156" i="25"/>
  <c r="DJ249" i="25"/>
  <c r="DI249" i="25"/>
  <c r="DJ199" i="25"/>
  <c r="DI199" i="25"/>
  <c r="DJ175" i="25"/>
  <c r="DI175" i="25"/>
  <c r="DJ289" i="25"/>
  <c r="DI289" i="25"/>
  <c r="DB54" i="25"/>
  <c r="DB249" i="25"/>
  <c r="DJ84" i="25"/>
  <c r="DI84" i="25"/>
  <c r="DB84" i="25"/>
  <c r="DJ187" i="25"/>
  <c r="DI187" i="25"/>
  <c r="DJ65" i="25"/>
  <c r="DI65" i="25"/>
  <c r="DJ41" i="25"/>
  <c r="DI41" i="25"/>
  <c r="DM267" i="25"/>
  <c r="DW267" i="25" s="1"/>
  <c r="DJ259" i="25"/>
  <c r="DI259" i="25"/>
  <c r="DM98" i="25"/>
  <c r="DB26" i="25"/>
  <c r="DM302" i="25"/>
  <c r="DW302" i="25" s="1"/>
  <c r="DJ67" i="25"/>
  <c r="DI67" i="25"/>
  <c r="DM275" i="25"/>
  <c r="DW275" i="25" s="1"/>
  <c r="DB167" i="25"/>
  <c r="DB16" i="25"/>
  <c r="DB62" i="25"/>
  <c r="DB312" i="25"/>
  <c r="DM239" i="25"/>
  <c r="DW239" i="25" s="1"/>
  <c r="DJ206" i="25"/>
  <c r="DI206" i="25"/>
  <c r="DB160" i="25"/>
  <c r="DB99" i="25"/>
  <c r="DJ57" i="25"/>
  <c r="DI57" i="25"/>
  <c r="DJ203" i="25"/>
  <c r="DI203" i="25"/>
  <c r="DJ122" i="25"/>
  <c r="DI122" i="25"/>
  <c r="DJ261" i="25"/>
  <c r="DI261" i="25"/>
  <c r="DJ315" i="25"/>
  <c r="DI315" i="25"/>
  <c r="DJ194" i="25"/>
  <c r="DI194" i="25"/>
  <c r="DM25" i="25"/>
  <c r="DJ69" i="25"/>
  <c r="DI69" i="25"/>
  <c r="DJ243" i="25"/>
  <c r="DI243" i="25"/>
  <c r="DJ230" i="25"/>
  <c r="DI230" i="25"/>
  <c r="DJ242" i="25"/>
  <c r="DI242" i="25"/>
  <c r="DM169" i="25"/>
  <c r="DJ192" i="25"/>
  <c r="DI192" i="25"/>
  <c r="DJ236" i="25"/>
  <c r="DI236" i="25"/>
  <c r="DM13" i="25"/>
  <c r="DJ48" i="25"/>
  <c r="DI48" i="25"/>
  <c r="DJ237" i="25"/>
  <c r="DI237" i="25"/>
  <c r="DJ63" i="25"/>
  <c r="DI63" i="25"/>
  <c r="DJ182" i="25"/>
  <c r="DI182" i="25"/>
  <c r="DM177" i="25"/>
  <c r="DJ163" i="25"/>
  <c r="DI163" i="25"/>
  <c r="DM235" i="25"/>
  <c r="DW235" i="25" s="1"/>
  <c r="DJ160" i="25"/>
  <c r="DI160" i="25"/>
  <c r="DM298" i="25"/>
  <c r="DW298" i="25" s="1"/>
  <c r="DJ51" i="25"/>
  <c r="DI51" i="25"/>
  <c r="DJ154" i="25"/>
  <c r="DI154" i="25"/>
  <c r="DJ240" i="25"/>
  <c r="DI240" i="25"/>
  <c r="DJ86" i="25"/>
  <c r="DI86" i="25"/>
  <c r="DJ130" i="25"/>
  <c r="DI130" i="25"/>
  <c r="DJ12" i="25"/>
  <c r="DI12" i="25"/>
  <c r="DM49" i="25"/>
  <c r="DM250" i="25"/>
  <c r="DW250" i="25" s="1"/>
  <c r="DJ89" i="25"/>
  <c r="DI89" i="25"/>
  <c r="DJ305" i="25"/>
  <c r="DI305" i="25"/>
  <c r="DJ256" i="25"/>
  <c r="DI256" i="25"/>
  <c r="DJ189" i="25"/>
  <c r="DI189" i="25"/>
  <c r="DJ178" i="25"/>
  <c r="DI178" i="25"/>
  <c r="DM90" i="25"/>
  <c r="DJ134" i="25"/>
  <c r="DI134" i="25"/>
  <c r="DJ157" i="25"/>
  <c r="DI157" i="25"/>
  <c r="DJ23" i="25"/>
  <c r="DI23" i="25"/>
  <c r="DM308" i="25"/>
  <c r="DW308" i="25" s="1"/>
  <c r="DM37" i="25"/>
  <c r="DJ111" i="25"/>
  <c r="DI111" i="25"/>
  <c r="DJ220" i="25"/>
  <c r="DI220" i="25"/>
  <c r="DJ156" i="25"/>
  <c r="DI156" i="25"/>
  <c r="DM199" i="25"/>
  <c r="DJ76" i="25"/>
  <c r="DI76" i="25"/>
  <c r="DM289" i="25"/>
  <c r="DW289" i="25" s="1"/>
  <c r="DM187" i="25"/>
  <c r="DM65" i="25"/>
  <c r="DM244" i="25"/>
  <c r="DW244" i="25" s="1"/>
  <c r="DM91" i="25"/>
  <c r="DJ267" i="25"/>
  <c r="DI267" i="25"/>
  <c r="DB286" i="25"/>
  <c r="DB311" i="25"/>
  <c r="DJ98" i="25"/>
  <c r="DI98" i="25"/>
  <c r="DJ302" i="25"/>
  <c r="DI302" i="25"/>
  <c r="DM191" i="25"/>
  <c r="DM147" i="25"/>
  <c r="DM92" i="25"/>
  <c r="DM14" i="25"/>
  <c r="DM203" i="25"/>
  <c r="DM122" i="25"/>
  <c r="DB89" i="25"/>
  <c r="DB55" i="25"/>
  <c r="DJ82" i="25"/>
  <c r="DI82" i="25"/>
  <c r="DM194" i="25"/>
  <c r="DB225" i="25"/>
  <c r="DB40" i="25"/>
  <c r="DJ20" i="25"/>
  <c r="DI20" i="25"/>
  <c r="DJ25" i="25"/>
  <c r="DI25" i="25"/>
  <c r="DB60" i="25"/>
  <c r="DB15" i="25"/>
  <c r="DJ309" i="25"/>
  <c r="DI309" i="25"/>
  <c r="DM313" i="25"/>
  <c r="DW313" i="25" s="1"/>
  <c r="DB29" i="25"/>
  <c r="DB298" i="25"/>
  <c r="DJ16" i="25"/>
  <c r="DI16" i="25"/>
  <c r="DM81" i="25"/>
  <c r="DB85" i="25"/>
  <c r="DM230" i="25"/>
  <c r="DW230" i="25" s="1"/>
  <c r="DB176" i="25"/>
  <c r="DJ195" i="25"/>
  <c r="DI195" i="25"/>
  <c r="DJ265" i="25"/>
  <c r="DI265" i="25"/>
  <c r="DJ169" i="25"/>
  <c r="DI169" i="25"/>
  <c r="DB253" i="25"/>
  <c r="DM272" i="25"/>
  <c r="DW272" i="25" s="1"/>
  <c r="DJ287" i="25"/>
  <c r="DI287" i="25"/>
  <c r="DJ140" i="25"/>
  <c r="DI140" i="25"/>
  <c r="DJ13" i="25"/>
  <c r="DI13" i="25"/>
  <c r="DB287" i="25"/>
  <c r="DM137" i="25"/>
  <c r="DM181" i="25"/>
  <c r="DJ184" i="25"/>
  <c r="DI184" i="25"/>
  <c r="DM227" i="25"/>
  <c r="DW227" i="25" s="1"/>
  <c r="DB121" i="25"/>
  <c r="DB21" i="25"/>
  <c r="DB45" i="25"/>
  <c r="DJ68" i="25"/>
  <c r="DI68" i="25"/>
  <c r="DB191" i="25"/>
  <c r="DM51" i="25"/>
  <c r="DB208" i="25"/>
  <c r="DJ258" i="25"/>
  <c r="DI258" i="25"/>
  <c r="DB130" i="25"/>
  <c r="DJ271" i="25"/>
  <c r="DI271" i="25"/>
  <c r="DB13" i="25"/>
  <c r="DB308" i="25"/>
  <c r="DM33" i="25"/>
  <c r="DB305" i="25"/>
  <c r="DJ250" i="25"/>
  <c r="DI250" i="25"/>
  <c r="DB266" i="25"/>
  <c r="DB34" i="25"/>
  <c r="DB250" i="25"/>
  <c r="DM263" i="25"/>
  <c r="DW263" i="25" s="1"/>
  <c r="DB309" i="25"/>
  <c r="DM119" i="25"/>
  <c r="DB257" i="25"/>
  <c r="DM121" i="25"/>
  <c r="DM256" i="25"/>
  <c r="DW256" i="25" s="1"/>
  <c r="DM189" i="25"/>
  <c r="DM178" i="25"/>
  <c r="DJ90" i="25"/>
  <c r="DI90" i="25"/>
  <c r="DB95" i="25"/>
  <c r="DM43" i="25"/>
  <c r="DB111" i="25"/>
  <c r="DM29" i="25"/>
  <c r="DJ95" i="25"/>
  <c r="DI95" i="25"/>
  <c r="DJ308" i="25"/>
  <c r="DI308" i="25"/>
  <c r="DJ37" i="25"/>
  <c r="DI37" i="25"/>
  <c r="DM111" i="25"/>
  <c r="DM284" i="25"/>
  <c r="DW284" i="25" s="1"/>
  <c r="DI110" i="25"/>
  <c r="DM34" i="25"/>
  <c r="DB217" i="25"/>
  <c r="DJ232" i="25"/>
  <c r="DI232" i="25"/>
  <c r="DJ58" i="25"/>
  <c r="DI58" i="25"/>
  <c r="DJ179" i="25"/>
  <c r="DI179" i="25"/>
  <c r="DM103" i="25"/>
  <c r="DJ244" i="25"/>
  <c r="DI244" i="25"/>
  <c r="DJ91" i="25"/>
  <c r="DI91" i="25"/>
  <c r="DB158" i="25"/>
  <c r="DJ120" i="25"/>
  <c r="DI120" i="25"/>
  <c r="DB163" i="25"/>
  <c r="DB299" i="25"/>
  <c r="DJ97" i="25"/>
  <c r="DI97" i="25"/>
  <c r="DM42" i="25"/>
  <c r="DB234" i="25"/>
  <c r="DJ191" i="25"/>
  <c r="DI191" i="25"/>
  <c r="DM59" i="25"/>
  <c r="DI147" i="25"/>
  <c r="DJ147" i="25"/>
  <c r="DB134" i="25"/>
  <c r="DJ92" i="25"/>
  <c r="DI92" i="25"/>
  <c r="DJ14" i="25"/>
  <c r="DI14" i="25"/>
  <c r="DB144" i="25"/>
  <c r="DB201" i="25"/>
  <c r="DJ241" i="25"/>
  <c r="DI241" i="25"/>
  <c r="DJ180" i="25"/>
  <c r="DI180" i="25"/>
  <c r="DJ313" i="25"/>
  <c r="DI313" i="25"/>
  <c r="DJ10" i="25"/>
  <c r="DI10" i="25"/>
  <c r="DJ75" i="25"/>
  <c r="DI75" i="25"/>
  <c r="DJ81" i="25"/>
  <c r="DI81" i="25"/>
  <c r="DJ272" i="25"/>
  <c r="DI272" i="25"/>
  <c r="DM287" i="25"/>
  <c r="DW287" i="25" s="1"/>
  <c r="DM245" i="25"/>
  <c r="DW245" i="25" s="1"/>
  <c r="DJ281" i="25"/>
  <c r="DI281" i="25"/>
  <c r="DM126" i="25"/>
  <c r="DJ137" i="25"/>
  <c r="DI137" i="25"/>
  <c r="DJ181" i="25"/>
  <c r="DI181" i="25"/>
  <c r="DJ227" i="25"/>
  <c r="DI227" i="25"/>
  <c r="DM24" i="25"/>
  <c r="DJ293" i="25"/>
  <c r="DI293" i="25"/>
  <c r="DJ26" i="25"/>
  <c r="DI26" i="25"/>
  <c r="DJ127" i="25"/>
  <c r="DI127" i="25"/>
  <c r="DJ193" i="25"/>
  <c r="DI193" i="25"/>
  <c r="DJ312" i="25"/>
  <c r="DI312" i="25"/>
  <c r="DJ33" i="25"/>
  <c r="DI33" i="25"/>
  <c r="DJ263" i="25"/>
  <c r="DI263" i="25"/>
  <c r="DJ119" i="25"/>
  <c r="DI119" i="25"/>
  <c r="DJ121" i="25"/>
  <c r="DI121" i="25"/>
  <c r="DJ11" i="25"/>
  <c r="DI11" i="25"/>
  <c r="DJ296" i="25"/>
  <c r="DI296" i="25"/>
  <c r="DJ224" i="25"/>
  <c r="DI224" i="25"/>
  <c r="DJ43" i="25"/>
  <c r="DI43" i="25"/>
  <c r="DJ29" i="25"/>
  <c r="DI29" i="25"/>
  <c r="DJ266" i="25"/>
  <c r="DI266" i="25"/>
  <c r="DM95" i="25"/>
  <c r="DJ254" i="25"/>
  <c r="DI254" i="25"/>
  <c r="DM200" i="25"/>
  <c r="DJ284" i="25"/>
  <c r="DI284" i="25"/>
  <c r="DJ34" i="25"/>
  <c r="DI34" i="25"/>
  <c r="DM283" i="25"/>
  <c r="DW283" i="25" s="1"/>
  <c r="DM232" i="25"/>
  <c r="DW232" i="25" s="1"/>
  <c r="DJ299" i="25"/>
  <c r="DI299" i="25"/>
  <c r="DM58" i="25"/>
  <c r="DM179" i="25"/>
  <c r="DJ103" i="25"/>
  <c r="DI103" i="25"/>
  <c r="DJ202" i="25"/>
  <c r="DI202" i="25"/>
  <c r="DJ257" i="25"/>
  <c r="DI257" i="25"/>
  <c r="DM97" i="25"/>
  <c r="DJ42" i="25"/>
  <c r="DI42" i="25"/>
  <c r="DM131" i="25"/>
  <c r="DJ59" i="25"/>
  <c r="DI59" i="25"/>
  <c r="DJ78" i="25"/>
  <c r="DI78" i="25"/>
  <c r="DJ190" i="25"/>
  <c r="DI190" i="25"/>
  <c r="DM174" i="25"/>
  <c r="DM269" i="25"/>
  <c r="DW269" i="25" s="1"/>
  <c r="DW7" i="25"/>
  <c r="DM241" i="25"/>
  <c r="DW241" i="25" s="1"/>
  <c r="DM279" i="25"/>
  <c r="DW279" i="25" s="1"/>
  <c r="DM180" i="25"/>
  <c r="DC251" i="24"/>
  <c r="DC196" i="24"/>
  <c r="DC191" i="24"/>
  <c r="DC297" i="24"/>
  <c r="DC237" i="24"/>
  <c r="DC220" i="24"/>
  <c r="DC313" i="24"/>
  <c r="DC282" i="24"/>
  <c r="DC286" i="24"/>
  <c r="DC290" i="24"/>
  <c r="DC244" i="24"/>
  <c r="DC306" i="24"/>
  <c r="DC224" i="24"/>
  <c r="DC233" i="24"/>
  <c r="DC126" i="24"/>
  <c r="DC147" i="24"/>
  <c r="DC137" i="24"/>
  <c r="DC193" i="24"/>
  <c r="DC247" i="24"/>
  <c r="DC118" i="24"/>
  <c r="DC312" i="24"/>
  <c r="DC225" i="24"/>
  <c r="DC218" i="24"/>
  <c r="DC270" i="24"/>
  <c r="DC175" i="24"/>
  <c r="DC295" i="24"/>
  <c r="DC207" i="24"/>
  <c r="DC311" i="24"/>
  <c r="DC167" i="24"/>
  <c r="DC179" i="24"/>
  <c r="DC180" i="24"/>
  <c r="DC125" i="24"/>
  <c r="DC303" i="24"/>
  <c r="DC231" i="24"/>
  <c r="DB210" i="24"/>
  <c r="DE210" i="24" s="1"/>
  <c r="DF210" i="24" s="1"/>
  <c r="DG210" i="24" s="1"/>
  <c r="DI210" i="24"/>
  <c r="DM210" i="24"/>
  <c r="DB181" i="24"/>
  <c r="DE181" i="24" s="1"/>
  <c r="DF181" i="24" s="1"/>
  <c r="DG181" i="24" s="1"/>
  <c r="DI181" i="24"/>
  <c r="DM181" i="24"/>
  <c r="DC204" i="24"/>
  <c r="DA91" i="24"/>
  <c r="DC91" i="24" s="1"/>
  <c r="DI91" i="24"/>
  <c r="DB91" i="24"/>
  <c r="DE91" i="24" s="1"/>
  <c r="DF91" i="24" s="1"/>
  <c r="DG91" i="24" s="1"/>
  <c r="DM91" i="24"/>
  <c r="DI27" i="24"/>
  <c r="DB27" i="24"/>
  <c r="DE27" i="24" s="1"/>
  <c r="DF27" i="24" s="1"/>
  <c r="DG27" i="24" s="1"/>
  <c r="DM27" i="24"/>
  <c r="DB271" i="24"/>
  <c r="DE271" i="24" s="1"/>
  <c r="DF271" i="24" s="1"/>
  <c r="DG271" i="24" s="1"/>
  <c r="DI271" i="24"/>
  <c r="DM271" i="24"/>
  <c r="DI197" i="24"/>
  <c r="DB197" i="24"/>
  <c r="DE197" i="24" s="1"/>
  <c r="DF197" i="24" s="1"/>
  <c r="DG197" i="24" s="1"/>
  <c r="DM197" i="24"/>
  <c r="DI79" i="24"/>
  <c r="DB79" i="24"/>
  <c r="DE79" i="24" s="1"/>
  <c r="DF79" i="24" s="1"/>
  <c r="DG79" i="24" s="1"/>
  <c r="DM79" i="24"/>
  <c r="DB80" i="24"/>
  <c r="DE80" i="24" s="1"/>
  <c r="DF80" i="24" s="1"/>
  <c r="DG80" i="24" s="1"/>
  <c r="DI80" i="24"/>
  <c r="DM80" i="24"/>
  <c r="DI254" i="24"/>
  <c r="DB254" i="24"/>
  <c r="DE254" i="24" s="1"/>
  <c r="DF254" i="24" s="1"/>
  <c r="DG254" i="24" s="1"/>
  <c r="DM254" i="24"/>
  <c r="DB56" i="24"/>
  <c r="DE56" i="24" s="1"/>
  <c r="DF56" i="24" s="1"/>
  <c r="DG56" i="24" s="1"/>
  <c r="DI56" i="24"/>
  <c r="DM56" i="24"/>
  <c r="DI112" i="24"/>
  <c r="DB112" i="24"/>
  <c r="DE112" i="24" s="1"/>
  <c r="DF112" i="24" s="1"/>
  <c r="DG112" i="24" s="1"/>
  <c r="DM112" i="24"/>
  <c r="DI137" i="24"/>
  <c r="DB137" i="24"/>
  <c r="DE137" i="24" s="1"/>
  <c r="DF137" i="24" s="1"/>
  <c r="DG137" i="24" s="1"/>
  <c r="DM137" i="24"/>
  <c r="DI100" i="24"/>
  <c r="DB100" i="24"/>
  <c r="DE100" i="24" s="1"/>
  <c r="DF100" i="24" s="1"/>
  <c r="DG100" i="24" s="1"/>
  <c r="DM100" i="24"/>
  <c r="DI312" i="24"/>
  <c r="DB312" i="24"/>
  <c r="DE312" i="24" s="1"/>
  <c r="DF312" i="24" s="1"/>
  <c r="DG312" i="24" s="1"/>
  <c r="DM312" i="24"/>
  <c r="DI222" i="24"/>
  <c r="DB222" i="24"/>
  <c r="DE222" i="24" s="1"/>
  <c r="DF222" i="24" s="1"/>
  <c r="DG222" i="24" s="1"/>
  <c r="DM222" i="24"/>
  <c r="DI207" i="24"/>
  <c r="DB207" i="24"/>
  <c r="DE207" i="24" s="1"/>
  <c r="DF207" i="24" s="1"/>
  <c r="DG207" i="24" s="1"/>
  <c r="DM207" i="24"/>
  <c r="DC131" i="24"/>
  <c r="DI173" i="24"/>
  <c r="DB173" i="24"/>
  <c r="DE173" i="24" s="1"/>
  <c r="DF173" i="24" s="1"/>
  <c r="DG173" i="24" s="1"/>
  <c r="DM173" i="24"/>
  <c r="DI60" i="24"/>
  <c r="DB60" i="24"/>
  <c r="DE60" i="24" s="1"/>
  <c r="DF60" i="24" s="1"/>
  <c r="DG60" i="24" s="1"/>
  <c r="DM60" i="24"/>
  <c r="DB290" i="24"/>
  <c r="DE290" i="24" s="1"/>
  <c r="DF290" i="24" s="1"/>
  <c r="DG290" i="24" s="1"/>
  <c r="DI290" i="24"/>
  <c r="DM290" i="24"/>
  <c r="DA222" i="24"/>
  <c r="DC222" i="24" s="1"/>
  <c r="DC242" i="24"/>
  <c r="DC132" i="24"/>
  <c r="DI123" i="24"/>
  <c r="DB123" i="24"/>
  <c r="DE123" i="24" s="1"/>
  <c r="DF123" i="24" s="1"/>
  <c r="DG123" i="24" s="1"/>
  <c r="DM123" i="24"/>
  <c r="DI72" i="24"/>
  <c r="DB72" i="24"/>
  <c r="DE72" i="24" s="1"/>
  <c r="DF72" i="24" s="1"/>
  <c r="DG72" i="24" s="1"/>
  <c r="DM72" i="24"/>
  <c r="DC283" i="24"/>
  <c r="DI309" i="24"/>
  <c r="DB309" i="24"/>
  <c r="DE309" i="24" s="1"/>
  <c r="DF309" i="24" s="1"/>
  <c r="DG309" i="24" s="1"/>
  <c r="DM309" i="24"/>
  <c r="DA89" i="24"/>
  <c r="DC89" i="24" s="1"/>
  <c r="DB89" i="24"/>
  <c r="DE89" i="24" s="1"/>
  <c r="DF89" i="24" s="1"/>
  <c r="DG89" i="24" s="1"/>
  <c r="DI89" i="24"/>
  <c r="DM89" i="24"/>
  <c r="DB205" i="24"/>
  <c r="DE205" i="24" s="1"/>
  <c r="DF205" i="24" s="1"/>
  <c r="DG205" i="24" s="1"/>
  <c r="DI205" i="24"/>
  <c r="DM205" i="24"/>
  <c r="DB289" i="24"/>
  <c r="DE289" i="24" s="1"/>
  <c r="DF289" i="24" s="1"/>
  <c r="DG289" i="24" s="1"/>
  <c r="DI289" i="24"/>
  <c r="DM289" i="24"/>
  <c r="DI234" i="24"/>
  <c r="DB234" i="24"/>
  <c r="DE234" i="24" s="1"/>
  <c r="DF234" i="24" s="1"/>
  <c r="DG234" i="24" s="1"/>
  <c r="DM234" i="24"/>
  <c r="DC267" i="24"/>
  <c r="DI29" i="24"/>
  <c r="DB29" i="24"/>
  <c r="DE29" i="24" s="1"/>
  <c r="DF29" i="24" s="1"/>
  <c r="DG29" i="24" s="1"/>
  <c r="DM29" i="24"/>
  <c r="DI224" i="24"/>
  <c r="DB224" i="24"/>
  <c r="DE224" i="24" s="1"/>
  <c r="DF224" i="24" s="1"/>
  <c r="DG224" i="24" s="1"/>
  <c r="DM224" i="24"/>
  <c r="DB20" i="24"/>
  <c r="DE20" i="24" s="1"/>
  <c r="DF20" i="24" s="1"/>
  <c r="DG20" i="24" s="1"/>
  <c r="DI20" i="24"/>
  <c r="DM20" i="24"/>
  <c r="DI73" i="24"/>
  <c r="DB73" i="24"/>
  <c r="DE73" i="24" s="1"/>
  <c r="DF73" i="24" s="1"/>
  <c r="DG73" i="24" s="1"/>
  <c r="DM73" i="24"/>
  <c r="DB267" i="24"/>
  <c r="DE267" i="24" s="1"/>
  <c r="DF267" i="24" s="1"/>
  <c r="DG267" i="24" s="1"/>
  <c r="DI267" i="24"/>
  <c r="DM267" i="24"/>
  <c r="DI158" i="24"/>
  <c r="DB158" i="24"/>
  <c r="DE158" i="24" s="1"/>
  <c r="DF158" i="24" s="1"/>
  <c r="DG158" i="24" s="1"/>
  <c r="DM158" i="24"/>
  <c r="DI94" i="24"/>
  <c r="DB94" i="24"/>
  <c r="DE94" i="24" s="1"/>
  <c r="DF94" i="24" s="1"/>
  <c r="DG94" i="24" s="1"/>
  <c r="DM94" i="24"/>
  <c r="DI135" i="24"/>
  <c r="DB135" i="24"/>
  <c r="DE135" i="24" s="1"/>
  <c r="DF135" i="24" s="1"/>
  <c r="DG135" i="24" s="1"/>
  <c r="DM135" i="24"/>
  <c r="DB235" i="24"/>
  <c r="DE235" i="24" s="1"/>
  <c r="DF235" i="24" s="1"/>
  <c r="DG235" i="24" s="1"/>
  <c r="DI235" i="24"/>
  <c r="DM235" i="24"/>
  <c r="DI256" i="24"/>
  <c r="DB256" i="24"/>
  <c r="DE256" i="24" s="1"/>
  <c r="DF256" i="24" s="1"/>
  <c r="DG256" i="24" s="1"/>
  <c r="DM256" i="24"/>
  <c r="DI241" i="24"/>
  <c r="DB241" i="24"/>
  <c r="DE241" i="24" s="1"/>
  <c r="DF241" i="24" s="1"/>
  <c r="DG241" i="24" s="1"/>
  <c r="DM241" i="24"/>
  <c r="DI82" i="24"/>
  <c r="DB82" i="24"/>
  <c r="DE82" i="24" s="1"/>
  <c r="DF82" i="24" s="1"/>
  <c r="DG82" i="24" s="1"/>
  <c r="DM82" i="24"/>
  <c r="DA201" i="24"/>
  <c r="DC201" i="24" s="1"/>
  <c r="DB201" i="24"/>
  <c r="DE201" i="24" s="1"/>
  <c r="DF201" i="24" s="1"/>
  <c r="DG201" i="24" s="1"/>
  <c r="DI201" i="24"/>
  <c r="DM201" i="24"/>
  <c r="DB251" i="24"/>
  <c r="DE251" i="24" s="1"/>
  <c r="DF251" i="24" s="1"/>
  <c r="DG251" i="24" s="1"/>
  <c r="DI251" i="24"/>
  <c r="DM251" i="24"/>
  <c r="DB84" i="24"/>
  <c r="DE84" i="24" s="1"/>
  <c r="DF84" i="24" s="1"/>
  <c r="DG84" i="24" s="1"/>
  <c r="DI84" i="24"/>
  <c r="DM84" i="24"/>
  <c r="DC151" i="24"/>
  <c r="DB61" i="24"/>
  <c r="DE61" i="24" s="1"/>
  <c r="DF61" i="24" s="1"/>
  <c r="DG61" i="24" s="1"/>
  <c r="DI61" i="24"/>
  <c r="DM61" i="24"/>
  <c r="DB46" i="24"/>
  <c r="DE46" i="24" s="1"/>
  <c r="DF46" i="24" s="1"/>
  <c r="DG46" i="24" s="1"/>
  <c r="DI46" i="24"/>
  <c r="DM46" i="24"/>
  <c r="DC155" i="24"/>
  <c r="DI273" i="24"/>
  <c r="DB273" i="24"/>
  <c r="DE273" i="24" s="1"/>
  <c r="DF273" i="24" s="1"/>
  <c r="DG273" i="24" s="1"/>
  <c r="DM273" i="24"/>
  <c r="DB126" i="24"/>
  <c r="DE126" i="24" s="1"/>
  <c r="DF126" i="24" s="1"/>
  <c r="DG126" i="24" s="1"/>
  <c r="DI126" i="24"/>
  <c r="DM126" i="24"/>
  <c r="DB129" i="24"/>
  <c r="DE129" i="24" s="1"/>
  <c r="DF129" i="24" s="1"/>
  <c r="DG129" i="24" s="1"/>
  <c r="DI129" i="24"/>
  <c r="DM129" i="24"/>
  <c r="DI99" i="24"/>
  <c r="DB99" i="24"/>
  <c r="DE99" i="24" s="1"/>
  <c r="DF99" i="24" s="1"/>
  <c r="DG99" i="24" s="1"/>
  <c r="DM99" i="24"/>
  <c r="DC199" i="24"/>
  <c r="DC169" i="24"/>
  <c r="DB10" i="24"/>
  <c r="DE10" i="24" s="1"/>
  <c r="DF10" i="24" s="1"/>
  <c r="DG10" i="24" s="1"/>
  <c r="DI10" i="24"/>
  <c r="DM10" i="24"/>
  <c r="DC291" i="24"/>
  <c r="DC128" i="24"/>
  <c r="DB93" i="24"/>
  <c r="DE93" i="24" s="1"/>
  <c r="DF93" i="24" s="1"/>
  <c r="DG93" i="24" s="1"/>
  <c r="DI93" i="24"/>
  <c r="DM93" i="24"/>
  <c r="DB43" i="24"/>
  <c r="DE43" i="24" s="1"/>
  <c r="DF43" i="24" s="1"/>
  <c r="DG43" i="24" s="1"/>
  <c r="DI43" i="24"/>
  <c r="DM43" i="24"/>
  <c r="DB313" i="24"/>
  <c r="DE313" i="24" s="1"/>
  <c r="DF313" i="24" s="1"/>
  <c r="DG313" i="24" s="1"/>
  <c r="DI313" i="24"/>
  <c r="DM313" i="24"/>
  <c r="DA158" i="24"/>
  <c r="DC158" i="24" s="1"/>
  <c r="DA94" i="24"/>
  <c r="DC94" i="24" s="1"/>
  <c r="DC252" i="24"/>
  <c r="DB186" i="24"/>
  <c r="DE186" i="24" s="1"/>
  <c r="DF186" i="24" s="1"/>
  <c r="DG186" i="24" s="1"/>
  <c r="DI186" i="24"/>
  <c r="DM186" i="24"/>
  <c r="DA112" i="24"/>
  <c r="DC112" i="24" s="1"/>
  <c r="DC164" i="24"/>
  <c r="DI162" i="24"/>
  <c r="DB162" i="24"/>
  <c r="DE162" i="24" s="1"/>
  <c r="DF162" i="24" s="1"/>
  <c r="DG162" i="24" s="1"/>
  <c r="DM162" i="24"/>
  <c r="DC206" i="24"/>
  <c r="DI15" i="24"/>
  <c r="DB15" i="24"/>
  <c r="DE15" i="24" s="1"/>
  <c r="DF15" i="24" s="1"/>
  <c r="DG15" i="24" s="1"/>
  <c r="DM15" i="24"/>
  <c r="DI98" i="24"/>
  <c r="DB98" i="24"/>
  <c r="DE98" i="24" s="1"/>
  <c r="DF98" i="24" s="1"/>
  <c r="DG98" i="24" s="1"/>
  <c r="DM98" i="24"/>
  <c r="DI40" i="24"/>
  <c r="DB40" i="24"/>
  <c r="DE40" i="24" s="1"/>
  <c r="DF40" i="24" s="1"/>
  <c r="DG40" i="24" s="1"/>
  <c r="DM40" i="24"/>
  <c r="DI66" i="24"/>
  <c r="DB66" i="24"/>
  <c r="DE66" i="24" s="1"/>
  <c r="DF66" i="24" s="1"/>
  <c r="DG66" i="24" s="1"/>
  <c r="DM66" i="24"/>
  <c r="DI264" i="24"/>
  <c r="DB264" i="24"/>
  <c r="DE264" i="24" s="1"/>
  <c r="DF264" i="24" s="1"/>
  <c r="DG264" i="24" s="1"/>
  <c r="DM264" i="24"/>
  <c r="DI291" i="24"/>
  <c r="DB291" i="24"/>
  <c r="DE291" i="24" s="1"/>
  <c r="DF291" i="24" s="1"/>
  <c r="DG291" i="24" s="1"/>
  <c r="DM291" i="24"/>
  <c r="DC281" i="24"/>
  <c r="DB136" i="24"/>
  <c r="DE136" i="24" s="1"/>
  <c r="DF136" i="24" s="1"/>
  <c r="DG136" i="24" s="1"/>
  <c r="DI136" i="24"/>
  <c r="DM136" i="24"/>
  <c r="DC209" i="24"/>
  <c r="DB226" i="24"/>
  <c r="DE226" i="24" s="1"/>
  <c r="DF226" i="24" s="1"/>
  <c r="DG226" i="24" s="1"/>
  <c r="DI226" i="24"/>
  <c r="DM226" i="24"/>
  <c r="DA171" i="24"/>
  <c r="DC171" i="24" s="1"/>
  <c r="DI171" i="24"/>
  <c r="DB171" i="24"/>
  <c r="DE171" i="24" s="1"/>
  <c r="DF171" i="24" s="1"/>
  <c r="DG171" i="24" s="1"/>
  <c r="DM171" i="24"/>
  <c r="DI41" i="24"/>
  <c r="DB41" i="24"/>
  <c r="DE41" i="24" s="1"/>
  <c r="DF41" i="24" s="1"/>
  <c r="DG41" i="24" s="1"/>
  <c r="DM41" i="24"/>
  <c r="DI146" i="24"/>
  <c r="DB146" i="24"/>
  <c r="DE146" i="24" s="1"/>
  <c r="DF146" i="24" s="1"/>
  <c r="DG146" i="24" s="1"/>
  <c r="DM146" i="24"/>
  <c r="DM255" i="24"/>
  <c r="DB255" i="24"/>
  <c r="DE255" i="24" s="1"/>
  <c r="DF255" i="24" s="1"/>
  <c r="DG255" i="24" s="1"/>
  <c r="DI255" i="24"/>
  <c r="DB259" i="24"/>
  <c r="DE259" i="24" s="1"/>
  <c r="DF259" i="24" s="1"/>
  <c r="DG259" i="24" s="1"/>
  <c r="DI259" i="24"/>
  <c r="DM259" i="24"/>
  <c r="DB133" i="24"/>
  <c r="DE133" i="24" s="1"/>
  <c r="DF133" i="24" s="1"/>
  <c r="DG133" i="24" s="1"/>
  <c r="DI133" i="24"/>
  <c r="DM133" i="24"/>
  <c r="DB30" i="24"/>
  <c r="DE30" i="24" s="1"/>
  <c r="DF30" i="24" s="1"/>
  <c r="DG30" i="24" s="1"/>
  <c r="DI30" i="24"/>
  <c r="DM30" i="24"/>
  <c r="DC268" i="24"/>
  <c r="DI53" i="24"/>
  <c r="DB53" i="24"/>
  <c r="DE53" i="24" s="1"/>
  <c r="DF53" i="24" s="1"/>
  <c r="DG53" i="24" s="1"/>
  <c r="DM53" i="24"/>
  <c r="DI121" i="24"/>
  <c r="DB121" i="24"/>
  <c r="DE121" i="24" s="1"/>
  <c r="DF121" i="24" s="1"/>
  <c r="DG121" i="24" s="1"/>
  <c r="DM121" i="24"/>
  <c r="DI90" i="24"/>
  <c r="DB90" i="24"/>
  <c r="DE90" i="24" s="1"/>
  <c r="DF90" i="24" s="1"/>
  <c r="DG90" i="24" s="1"/>
  <c r="DM90" i="24"/>
  <c r="DC129" i="24"/>
  <c r="DI308" i="24"/>
  <c r="DB308" i="24"/>
  <c r="DE308" i="24" s="1"/>
  <c r="DF308" i="24" s="1"/>
  <c r="DG308" i="24" s="1"/>
  <c r="DM308" i="24"/>
  <c r="DA256" i="24"/>
  <c r="DC256" i="24" s="1"/>
  <c r="DI295" i="24"/>
  <c r="DB295" i="24"/>
  <c r="DE295" i="24" s="1"/>
  <c r="DF295" i="24" s="1"/>
  <c r="DG295" i="24" s="1"/>
  <c r="DM295" i="24"/>
  <c r="DI97" i="24"/>
  <c r="DB97" i="24"/>
  <c r="DE97" i="24" s="1"/>
  <c r="DF97" i="24" s="1"/>
  <c r="DG97" i="24" s="1"/>
  <c r="DM97" i="24"/>
  <c r="DI31" i="24"/>
  <c r="DB31" i="24"/>
  <c r="DE31" i="24" s="1"/>
  <c r="DF31" i="24" s="1"/>
  <c r="DG31" i="24" s="1"/>
  <c r="DM31" i="24"/>
  <c r="DC178" i="24"/>
  <c r="DI8" i="24"/>
  <c r="DB8" i="24"/>
  <c r="DE8" i="24" s="1"/>
  <c r="DF8" i="24" s="1"/>
  <c r="DG8" i="24" s="1"/>
  <c r="DM8" i="24"/>
  <c r="DB279" i="24"/>
  <c r="DE279" i="24" s="1"/>
  <c r="DF279" i="24" s="1"/>
  <c r="DG279" i="24" s="1"/>
  <c r="DI279" i="24"/>
  <c r="DM279" i="24"/>
  <c r="DA79" i="24"/>
  <c r="DC79" i="24" s="1"/>
  <c r="DA184" i="24"/>
  <c r="DC184" i="24" s="1"/>
  <c r="DI184" i="24"/>
  <c r="DB184" i="24"/>
  <c r="DE184" i="24" s="1"/>
  <c r="DF184" i="24" s="1"/>
  <c r="DG184" i="24" s="1"/>
  <c r="DM184" i="24"/>
  <c r="DA261" i="24"/>
  <c r="DC261" i="24" s="1"/>
  <c r="DI261" i="24"/>
  <c r="DB261" i="24"/>
  <c r="DE261" i="24" s="1"/>
  <c r="DF261" i="24" s="1"/>
  <c r="DG261" i="24" s="1"/>
  <c r="DM261" i="24"/>
  <c r="DI265" i="24"/>
  <c r="DB265" i="24"/>
  <c r="DE265" i="24" s="1"/>
  <c r="DF265" i="24" s="1"/>
  <c r="DG265" i="24" s="1"/>
  <c r="DM265" i="24"/>
  <c r="DA27" i="24"/>
  <c r="DC27" i="24" s="1"/>
  <c r="DI69" i="24"/>
  <c r="DB69" i="24"/>
  <c r="DE69" i="24" s="1"/>
  <c r="DF69" i="24" s="1"/>
  <c r="DG69" i="24" s="1"/>
  <c r="DM69" i="24"/>
  <c r="DI44" i="24"/>
  <c r="DB44" i="24"/>
  <c r="DE44" i="24" s="1"/>
  <c r="DF44" i="24" s="1"/>
  <c r="DG44" i="24" s="1"/>
  <c r="DM44" i="24"/>
  <c r="DB272" i="24"/>
  <c r="DE272" i="24" s="1"/>
  <c r="DF272" i="24" s="1"/>
  <c r="DG272" i="24" s="1"/>
  <c r="DI272" i="24"/>
  <c r="DM272" i="24"/>
  <c r="DI220" i="24"/>
  <c r="DB220" i="24"/>
  <c r="DE220" i="24" s="1"/>
  <c r="DF220" i="24" s="1"/>
  <c r="DG220" i="24" s="1"/>
  <c r="DM220" i="24"/>
  <c r="DC262" i="24"/>
  <c r="DA271" i="24"/>
  <c r="DC271" i="24" s="1"/>
  <c r="DB160" i="24"/>
  <c r="DE160" i="24" s="1"/>
  <c r="DF160" i="24" s="1"/>
  <c r="DG160" i="24" s="1"/>
  <c r="DI160" i="24"/>
  <c r="DM160" i="24"/>
  <c r="DB284" i="24"/>
  <c r="DE284" i="24" s="1"/>
  <c r="DF284" i="24" s="1"/>
  <c r="DG284" i="24" s="1"/>
  <c r="DI284" i="24"/>
  <c r="DM284" i="24"/>
  <c r="DC120" i="24"/>
  <c r="DI281" i="24"/>
  <c r="DB281" i="24"/>
  <c r="DE281" i="24" s="1"/>
  <c r="DF281" i="24" s="1"/>
  <c r="DG281" i="24" s="1"/>
  <c r="DM281" i="24"/>
  <c r="DA70" i="24"/>
  <c r="DC70" i="24" s="1"/>
  <c r="DI70" i="24"/>
  <c r="DB70" i="24"/>
  <c r="DE70" i="24" s="1"/>
  <c r="DF70" i="24" s="1"/>
  <c r="DG70" i="24" s="1"/>
  <c r="DM70" i="24"/>
  <c r="DA83" i="24"/>
  <c r="DC83" i="24" s="1"/>
  <c r="DI83" i="24"/>
  <c r="DB83" i="24"/>
  <c r="DE83" i="24" s="1"/>
  <c r="DF83" i="24" s="1"/>
  <c r="DG83" i="24" s="1"/>
  <c r="DM83" i="24"/>
  <c r="DA284" i="24"/>
  <c r="DC284" i="24" s="1"/>
  <c r="DI307" i="24"/>
  <c r="DB307" i="24"/>
  <c r="DE307" i="24" s="1"/>
  <c r="DF307" i="24" s="1"/>
  <c r="DG307" i="24" s="1"/>
  <c r="DM307" i="24"/>
  <c r="DI297" i="24"/>
  <c r="DB297" i="24"/>
  <c r="DE297" i="24" s="1"/>
  <c r="DF297" i="24" s="1"/>
  <c r="DG297" i="24" s="1"/>
  <c r="DM297" i="24"/>
  <c r="DC302" i="24"/>
  <c r="DC253" i="24"/>
  <c r="DB283" i="24"/>
  <c r="DE283" i="24" s="1"/>
  <c r="DF283" i="24" s="1"/>
  <c r="DG283" i="24" s="1"/>
  <c r="DI283" i="24"/>
  <c r="DM283" i="24"/>
  <c r="DC238" i="24"/>
  <c r="DB172" i="24"/>
  <c r="DE172" i="24" s="1"/>
  <c r="DF172" i="24" s="1"/>
  <c r="DG172" i="24" s="1"/>
  <c r="DI172" i="24"/>
  <c r="DM172" i="24"/>
  <c r="DC289" i="24"/>
  <c r="DI47" i="24"/>
  <c r="DB47" i="24"/>
  <c r="DE47" i="24" s="1"/>
  <c r="DF47" i="24" s="1"/>
  <c r="DG47" i="24" s="1"/>
  <c r="DM47" i="24"/>
  <c r="DM242" i="24"/>
  <c r="DI242" i="24"/>
  <c r="DB242" i="24"/>
  <c r="DE242" i="24" s="1"/>
  <c r="DF242" i="24" s="1"/>
  <c r="DG242" i="24" s="1"/>
  <c r="DI286" i="24"/>
  <c r="DB286" i="24"/>
  <c r="DE286" i="24" s="1"/>
  <c r="DF286" i="24" s="1"/>
  <c r="DG286" i="24" s="1"/>
  <c r="DM286" i="24"/>
  <c r="DA18" i="24"/>
  <c r="DC18" i="24" s="1"/>
  <c r="DI18" i="24"/>
  <c r="DB18" i="24"/>
  <c r="DE18" i="24" s="1"/>
  <c r="DF18" i="24" s="1"/>
  <c r="DG18" i="24" s="1"/>
  <c r="DM18" i="24"/>
  <c r="DC113" i="24"/>
  <c r="DC296" i="24"/>
  <c r="DI6" i="24"/>
  <c r="DB6" i="24"/>
  <c r="DE6" i="24" s="1"/>
  <c r="DF6" i="24" s="1"/>
  <c r="DG6" i="24" s="1"/>
  <c r="DM6" i="24"/>
  <c r="DI153" i="24"/>
  <c r="DB153" i="24"/>
  <c r="DE153" i="24" s="1"/>
  <c r="DF153" i="24" s="1"/>
  <c r="DG153" i="24" s="1"/>
  <c r="DM153" i="24"/>
  <c r="DC277" i="24"/>
  <c r="DI36" i="24"/>
  <c r="DB36" i="24"/>
  <c r="DE36" i="24" s="1"/>
  <c r="DF36" i="24" s="1"/>
  <c r="DG36" i="24" s="1"/>
  <c r="DM36" i="24"/>
  <c r="DB192" i="24"/>
  <c r="DE192" i="24" s="1"/>
  <c r="DF192" i="24" s="1"/>
  <c r="DG192" i="24" s="1"/>
  <c r="DI192" i="24"/>
  <c r="DM192" i="24"/>
  <c r="DA226" i="24"/>
  <c r="DC226" i="24" s="1"/>
  <c r="DI96" i="24"/>
  <c r="DB96" i="24"/>
  <c r="DE96" i="24" s="1"/>
  <c r="DF96" i="24" s="1"/>
  <c r="DG96" i="24" s="1"/>
  <c r="DM96" i="24"/>
  <c r="DI145" i="24"/>
  <c r="DB145" i="24"/>
  <c r="DE145" i="24" s="1"/>
  <c r="DF145" i="24" s="1"/>
  <c r="DG145" i="24" s="1"/>
  <c r="DM145" i="24"/>
  <c r="DM128" i="24"/>
  <c r="DI128" i="24"/>
  <c r="DB128" i="24"/>
  <c r="DE128" i="24" s="1"/>
  <c r="DF128" i="24" s="1"/>
  <c r="DG128" i="24" s="1"/>
  <c r="DC160" i="24"/>
  <c r="DI304" i="24"/>
  <c r="DB304" i="24"/>
  <c r="DE304" i="24" s="1"/>
  <c r="DF304" i="24" s="1"/>
  <c r="DG304" i="24" s="1"/>
  <c r="DM304" i="24"/>
  <c r="DA245" i="24"/>
  <c r="DC245" i="24" s="1"/>
  <c r="DI245" i="24"/>
  <c r="DB245" i="24"/>
  <c r="DE245" i="24" s="1"/>
  <c r="DF245" i="24" s="1"/>
  <c r="DG245" i="24" s="1"/>
  <c r="DM245" i="24"/>
  <c r="DI315" i="24"/>
  <c r="DB315" i="24"/>
  <c r="DE315" i="24" s="1"/>
  <c r="DF315" i="24" s="1"/>
  <c r="DG315" i="24" s="1"/>
  <c r="DM315" i="24"/>
  <c r="DI249" i="24"/>
  <c r="DB249" i="24"/>
  <c r="DE249" i="24" s="1"/>
  <c r="DF249" i="24" s="1"/>
  <c r="DG249" i="24" s="1"/>
  <c r="DM249" i="24"/>
  <c r="DI63" i="24"/>
  <c r="DB63" i="24"/>
  <c r="DE63" i="24" s="1"/>
  <c r="DF63" i="24" s="1"/>
  <c r="DG63" i="24" s="1"/>
  <c r="DM63" i="24"/>
  <c r="DI174" i="24"/>
  <c r="DB174" i="24"/>
  <c r="DE174" i="24" s="1"/>
  <c r="DF174" i="24" s="1"/>
  <c r="DG174" i="24" s="1"/>
  <c r="DM174" i="24"/>
  <c r="DA315" i="24"/>
  <c r="DC315" i="24" s="1"/>
  <c r="DC316" i="24"/>
  <c r="DA65" i="24"/>
  <c r="DC65" i="24" s="1"/>
  <c r="DI65" i="24"/>
  <c r="DB65" i="24"/>
  <c r="DE65" i="24" s="1"/>
  <c r="DF65" i="24" s="1"/>
  <c r="DG65" i="24" s="1"/>
  <c r="DM65" i="24"/>
  <c r="DB175" i="24"/>
  <c r="DE175" i="24" s="1"/>
  <c r="DF175" i="24" s="1"/>
  <c r="DG175" i="24" s="1"/>
  <c r="DI175" i="24"/>
  <c r="DM175" i="24"/>
  <c r="DI188" i="24"/>
  <c r="DB188" i="24"/>
  <c r="DE188" i="24" s="1"/>
  <c r="DF188" i="24" s="1"/>
  <c r="DG188" i="24" s="1"/>
  <c r="DM188" i="24"/>
  <c r="DI101" i="24"/>
  <c r="DB101" i="24"/>
  <c r="DE101" i="24" s="1"/>
  <c r="DF101" i="24" s="1"/>
  <c r="DG101" i="24" s="1"/>
  <c r="DM101" i="24"/>
  <c r="DB166" i="24"/>
  <c r="DE166" i="24" s="1"/>
  <c r="DF166" i="24" s="1"/>
  <c r="DG166" i="24" s="1"/>
  <c r="DI166" i="24"/>
  <c r="DM166" i="24"/>
  <c r="DC140" i="24"/>
  <c r="DC142" i="24"/>
  <c r="DI316" i="24"/>
  <c r="DB316" i="24"/>
  <c r="DE316" i="24" s="1"/>
  <c r="DF316" i="24" s="1"/>
  <c r="DG316" i="24" s="1"/>
  <c r="DM316" i="24"/>
  <c r="DA97" i="24"/>
  <c r="DC97" i="24" s="1"/>
  <c r="DC154" i="24"/>
  <c r="DI231" i="24"/>
  <c r="DB231" i="24"/>
  <c r="DE231" i="24" s="1"/>
  <c r="DF231" i="24" s="1"/>
  <c r="DG231" i="24" s="1"/>
  <c r="DM231" i="24"/>
  <c r="DI105" i="24"/>
  <c r="DB105" i="24"/>
  <c r="DE105" i="24" s="1"/>
  <c r="DF105" i="24" s="1"/>
  <c r="DG105" i="24" s="1"/>
  <c r="DM105" i="24"/>
  <c r="DI292" i="24"/>
  <c r="DB292" i="24"/>
  <c r="DE292" i="24" s="1"/>
  <c r="DF292" i="24" s="1"/>
  <c r="DG292" i="24" s="1"/>
  <c r="DM292" i="24"/>
  <c r="DC152" i="24"/>
  <c r="DI87" i="24"/>
  <c r="DB87" i="24"/>
  <c r="DE87" i="24" s="1"/>
  <c r="DF87" i="24" s="1"/>
  <c r="DG87" i="24" s="1"/>
  <c r="DM87" i="24"/>
  <c r="DA99" i="24"/>
  <c r="DC99" i="24" s="1"/>
  <c r="DA28" i="24"/>
  <c r="DC28" i="24" s="1"/>
  <c r="DI28" i="24"/>
  <c r="DB28" i="24"/>
  <c r="DE28" i="24" s="1"/>
  <c r="DF28" i="24" s="1"/>
  <c r="DG28" i="24" s="1"/>
  <c r="DM28" i="24"/>
  <c r="DI32" i="24"/>
  <c r="DB32" i="24"/>
  <c r="DE32" i="24" s="1"/>
  <c r="DF32" i="24" s="1"/>
  <c r="DG32" i="24" s="1"/>
  <c r="DM32" i="24"/>
  <c r="DI16" i="24"/>
  <c r="DB16" i="24"/>
  <c r="DE16" i="24" s="1"/>
  <c r="DF16" i="24" s="1"/>
  <c r="DG16" i="24" s="1"/>
  <c r="DM16" i="24"/>
  <c r="DB275" i="24"/>
  <c r="DE275" i="24" s="1"/>
  <c r="DF275" i="24" s="1"/>
  <c r="DG275" i="24" s="1"/>
  <c r="DI275" i="24"/>
  <c r="DM275" i="24"/>
  <c r="DI152" i="24"/>
  <c r="DB152" i="24"/>
  <c r="DE152" i="24" s="1"/>
  <c r="DF152" i="24" s="1"/>
  <c r="DG152" i="24" s="1"/>
  <c r="DM152" i="24"/>
  <c r="DA122" i="24"/>
  <c r="DC122" i="24" s="1"/>
  <c r="DI122" i="24"/>
  <c r="DB122" i="24"/>
  <c r="DE122" i="24" s="1"/>
  <c r="DF122" i="24" s="1"/>
  <c r="DG122" i="24" s="1"/>
  <c r="DM122" i="24"/>
  <c r="DA188" i="24"/>
  <c r="DC188" i="24" s="1"/>
  <c r="DI269" i="24"/>
  <c r="DB269" i="24"/>
  <c r="DE269" i="24" s="1"/>
  <c r="DF269" i="24" s="1"/>
  <c r="DG269" i="24" s="1"/>
  <c r="DM269" i="24"/>
  <c r="DC185" i="24"/>
  <c r="DI103" i="24"/>
  <c r="DB103" i="24"/>
  <c r="DE103" i="24" s="1"/>
  <c r="DF103" i="24" s="1"/>
  <c r="DG103" i="24" s="1"/>
  <c r="DM103" i="24"/>
  <c r="DB263" i="24"/>
  <c r="DE263" i="24" s="1"/>
  <c r="DF263" i="24" s="1"/>
  <c r="DG263" i="24" s="1"/>
  <c r="DI263" i="24"/>
  <c r="DM263" i="24"/>
  <c r="DI262" i="24"/>
  <c r="DB262" i="24"/>
  <c r="DE262" i="24" s="1"/>
  <c r="DF262" i="24" s="1"/>
  <c r="DG262" i="24" s="1"/>
  <c r="DM262" i="24"/>
  <c r="DB258" i="24"/>
  <c r="DE258" i="24" s="1"/>
  <c r="DF258" i="24" s="1"/>
  <c r="DG258" i="24" s="1"/>
  <c r="DI258" i="24"/>
  <c r="DM258" i="24"/>
  <c r="DA98" i="24"/>
  <c r="DC98" i="24" s="1"/>
  <c r="DI119" i="24"/>
  <c r="DB119" i="24"/>
  <c r="DE119" i="24" s="1"/>
  <c r="DF119" i="24" s="1"/>
  <c r="DG119" i="24" s="1"/>
  <c r="DM119" i="24"/>
  <c r="DB300" i="24"/>
  <c r="DE300" i="24" s="1"/>
  <c r="DF300" i="24" s="1"/>
  <c r="DG300" i="24" s="1"/>
  <c r="DI300" i="24"/>
  <c r="DM300" i="24"/>
  <c r="DI217" i="24"/>
  <c r="DB217" i="24"/>
  <c r="DE217" i="24" s="1"/>
  <c r="DF217" i="24" s="1"/>
  <c r="DG217" i="24" s="1"/>
  <c r="DM217" i="24"/>
  <c r="DI157" i="24"/>
  <c r="DB157" i="24"/>
  <c r="DE157" i="24" s="1"/>
  <c r="DF157" i="24" s="1"/>
  <c r="DG157" i="24" s="1"/>
  <c r="DM157" i="24"/>
  <c r="DC203" i="24"/>
  <c r="DC264" i="24"/>
  <c r="DC307" i="24"/>
  <c r="DC285" i="24"/>
  <c r="DA258" i="24"/>
  <c r="DC258" i="24" s="1"/>
  <c r="DI238" i="24"/>
  <c r="DB238" i="24"/>
  <c r="DE238" i="24" s="1"/>
  <c r="DF238" i="24" s="1"/>
  <c r="DG238" i="24" s="1"/>
  <c r="DM238" i="24"/>
  <c r="DI179" i="24"/>
  <c r="DB179" i="24"/>
  <c r="DE179" i="24" s="1"/>
  <c r="DF179" i="24" s="1"/>
  <c r="DG179" i="24" s="1"/>
  <c r="DM179" i="24"/>
  <c r="DA189" i="24"/>
  <c r="DC189" i="24" s="1"/>
  <c r="DI189" i="24"/>
  <c r="DB189" i="24"/>
  <c r="DE189" i="24" s="1"/>
  <c r="DF189" i="24" s="1"/>
  <c r="DG189" i="24" s="1"/>
  <c r="DM189" i="24"/>
  <c r="DC148" i="24"/>
  <c r="DB116" i="24"/>
  <c r="DE116" i="24" s="1"/>
  <c r="DF116" i="24" s="1"/>
  <c r="DG116" i="24" s="1"/>
  <c r="DI116" i="24"/>
  <c r="DM116" i="24"/>
  <c r="DC153" i="24"/>
  <c r="DI13" i="24"/>
  <c r="DB13" i="24"/>
  <c r="DE13" i="24" s="1"/>
  <c r="DF13" i="24" s="1"/>
  <c r="DG13" i="24" s="1"/>
  <c r="DM13" i="24"/>
  <c r="DI228" i="24"/>
  <c r="DB228" i="24"/>
  <c r="DE228" i="24" s="1"/>
  <c r="DF228" i="24" s="1"/>
  <c r="DG228" i="24" s="1"/>
  <c r="DM228" i="24"/>
  <c r="DI204" i="24"/>
  <c r="DB204" i="24"/>
  <c r="DE204" i="24" s="1"/>
  <c r="DF204" i="24" s="1"/>
  <c r="DG204" i="24" s="1"/>
  <c r="DM204" i="24"/>
  <c r="DI301" i="24"/>
  <c r="DB301" i="24"/>
  <c r="DE301" i="24" s="1"/>
  <c r="DF301" i="24" s="1"/>
  <c r="DG301" i="24" s="1"/>
  <c r="DM301" i="24"/>
  <c r="DB183" i="24"/>
  <c r="DE183" i="24" s="1"/>
  <c r="DF183" i="24" s="1"/>
  <c r="DG183" i="24" s="1"/>
  <c r="DI183" i="24"/>
  <c r="DM183" i="24"/>
  <c r="DB88" i="24"/>
  <c r="DE88" i="24" s="1"/>
  <c r="DF88" i="24" s="1"/>
  <c r="DG88" i="24" s="1"/>
  <c r="DI88" i="24"/>
  <c r="DM88" i="24"/>
  <c r="DI182" i="24"/>
  <c r="DB182" i="24"/>
  <c r="DE182" i="24" s="1"/>
  <c r="DF182" i="24" s="1"/>
  <c r="DG182" i="24" s="1"/>
  <c r="DM182" i="24"/>
  <c r="DA276" i="24"/>
  <c r="DC276" i="24" s="1"/>
  <c r="DI276" i="24"/>
  <c r="DB276" i="24"/>
  <c r="DE276" i="24" s="1"/>
  <c r="DF276" i="24" s="1"/>
  <c r="DG276" i="24" s="1"/>
  <c r="DM276" i="24"/>
  <c r="DI95" i="24"/>
  <c r="DB95" i="24"/>
  <c r="DE95" i="24" s="1"/>
  <c r="DF95" i="24" s="1"/>
  <c r="DG95" i="24" s="1"/>
  <c r="DM95" i="24"/>
  <c r="DC301" i="24"/>
  <c r="DA202" i="24"/>
  <c r="DC202" i="24" s="1"/>
  <c r="DI202" i="24"/>
  <c r="DB202" i="24"/>
  <c r="DE202" i="24" s="1"/>
  <c r="DF202" i="24" s="1"/>
  <c r="DG202" i="24" s="1"/>
  <c r="DM202" i="24"/>
  <c r="DB170" i="24"/>
  <c r="DE170" i="24" s="1"/>
  <c r="DF170" i="24" s="1"/>
  <c r="DG170" i="24" s="1"/>
  <c r="DI170" i="24"/>
  <c r="DM170" i="24"/>
  <c r="DB164" i="24"/>
  <c r="DE164" i="24" s="1"/>
  <c r="DF164" i="24" s="1"/>
  <c r="DG164" i="24" s="1"/>
  <c r="DI164" i="24"/>
  <c r="DM164" i="24"/>
  <c r="DI127" i="24"/>
  <c r="DB127" i="24"/>
  <c r="DE127" i="24" s="1"/>
  <c r="DF127" i="24" s="1"/>
  <c r="DG127" i="24" s="1"/>
  <c r="DM127" i="24"/>
  <c r="DA95" i="24"/>
  <c r="DC95" i="24" s="1"/>
  <c r="DA249" i="24"/>
  <c r="DC249" i="24" s="1"/>
  <c r="DB22" i="24"/>
  <c r="DE22" i="24" s="1"/>
  <c r="DF22" i="24" s="1"/>
  <c r="DG22" i="24" s="1"/>
  <c r="DI22" i="24"/>
  <c r="DM22" i="24"/>
  <c r="DI19" i="24"/>
  <c r="DB19" i="24"/>
  <c r="DE19" i="24" s="1"/>
  <c r="DF19" i="24" s="1"/>
  <c r="DG19" i="24" s="1"/>
  <c r="DM19" i="24"/>
  <c r="DC278" i="24"/>
  <c r="DB180" i="24"/>
  <c r="DE180" i="24" s="1"/>
  <c r="DF180" i="24" s="1"/>
  <c r="DG180" i="24" s="1"/>
  <c r="DI180" i="24"/>
  <c r="DM180" i="24"/>
  <c r="DI147" i="24"/>
  <c r="DB147" i="24"/>
  <c r="DE147" i="24" s="1"/>
  <c r="DF147" i="24" s="1"/>
  <c r="DG147" i="24" s="1"/>
  <c r="DM147" i="24"/>
  <c r="DA241" i="24"/>
  <c r="DC241" i="24" s="1"/>
  <c r="DI185" i="24"/>
  <c r="DB185" i="24"/>
  <c r="DE185" i="24" s="1"/>
  <c r="DF185" i="24" s="1"/>
  <c r="DG185" i="24" s="1"/>
  <c r="DM185" i="24"/>
  <c r="DB138" i="24"/>
  <c r="DE138" i="24" s="1"/>
  <c r="DF138" i="24" s="1"/>
  <c r="DG138" i="24" s="1"/>
  <c r="DI138" i="24"/>
  <c r="DM138" i="24"/>
  <c r="DA46" i="24"/>
  <c r="DC46" i="24" s="1"/>
  <c r="DI111" i="24"/>
  <c r="DB111" i="24"/>
  <c r="DE111" i="24" s="1"/>
  <c r="DF111" i="24" s="1"/>
  <c r="DG111" i="24" s="1"/>
  <c r="DM111" i="24"/>
  <c r="DA299" i="24"/>
  <c r="DC299" i="24" s="1"/>
  <c r="DB299" i="24"/>
  <c r="DE299" i="24" s="1"/>
  <c r="DF299" i="24" s="1"/>
  <c r="DG299" i="24" s="1"/>
  <c r="DI299" i="24"/>
  <c r="DM299" i="24"/>
  <c r="DI77" i="24"/>
  <c r="DB77" i="24"/>
  <c r="DE77" i="24" s="1"/>
  <c r="DF77" i="24" s="1"/>
  <c r="DG77" i="24" s="1"/>
  <c r="DM77" i="24"/>
  <c r="DC130" i="24"/>
  <c r="DB141" i="24"/>
  <c r="DE141" i="24" s="1"/>
  <c r="DF141" i="24" s="1"/>
  <c r="DG141" i="24" s="1"/>
  <c r="DI141" i="24"/>
  <c r="DM141" i="24"/>
  <c r="DA254" i="24"/>
  <c r="DC254" i="24" s="1"/>
  <c r="DI237" i="24"/>
  <c r="DB237" i="24"/>
  <c r="DE237" i="24" s="1"/>
  <c r="DF237" i="24" s="1"/>
  <c r="DG237" i="24" s="1"/>
  <c r="DM237" i="24"/>
  <c r="DI74" i="24"/>
  <c r="DB74" i="24"/>
  <c r="DE74" i="24" s="1"/>
  <c r="DF74" i="24" s="1"/>
  <c r="DG74" i="24" s="1"/>
  <c r="DM74" i="24"/>
  <c r="DI257" i="24"/>
  <c r="DB257" i="24"/>
  <c r="DE257" i="24" s="1"/>
  <c r="DF257" i="24" s="1"/>
  <c r="DG257" i="24" s="1"/>
  <c r="DM257" i="24"/>
  <c r="DB78" i="24"/>
  <c r="DE78" i="24" s="1"/>
  <c r="DF78" i="24" s="1"/>
  <c r="DG78" i="24" s="1"/>
  <c r="DI78" i="24"/>
  <c r="DM78" i="24"/>
  <c r="DA163" i="24"/>
  <c r="DC163" i="24" s="1"/>
  <c r="DB163" i="24"/>
  <c r="DE163" i="24" s="1"/>
  <c r="DF163" i="24" s="1"/>
  <c r="DG163" i="24" s="1"/>
  <c r="DI163" i="24"/>
  <c r="DM163" i="24"/>
  <c r="DA194" i="24"/>
  <c r="DC194" i="24" s="1"/>
  <c r="DI194" i="24"/>
  <c r="DB194" i="24"/>
  <c r="DE194" i="24" s="1"/>
  <c r="DF194" i="24" s="1"/>
  <c r="DG194" i="24" s="1"/>
  <c r="DM194" i="24"/>
  <c r="DB277" i="24"/>
  <c r="DE277" i="24" s="1"/>
  <c r="DF277" i="24" s="1"/>
  <c r="DG277" i="24" s="1"/>
  <c r="DI277" i="24"/>
  <c r="DM277" i="24"/>
  <c r="DB208" i="24"/>
  <c r="DE208" i="24" s="1"/>
  <c r="DF208" i="24" s="1"/>
  <c r="DG208" i="24" s="1"/>
  <c r="DI208" i="24"/>
  <c r="DM208" i="24"/>
  <c r="DB314" i="24"/>
  <c r="DE314" i="24" s="1"/>
  <c r="DF314" i="24" s="1"/>
  <c r="DG314" i="24" s="1"/>
  <c r="DI314" i="24"/>
  <c r="DM314" i="24"/>
  <c r="DB177" i="24"/>
  <c r="DE177" i="24" s="1"/>
  <c r="DF177" i="24" s="1"/>
  <c r="DG177" i="24" s="1"/>
  <c r="DI177" i="24"/>
  <c r="DM177" i="24"/>
  <c r="DI21" i="24"/>
  <c r="DB21" i="24"/>
  <c r="DE21" i="24" s="1"/>
  <c r="DF21" i="24" s="1"/>
  <c r="DG21" i="24" s="1"/>
  <c r="DM21" i="24"/>
  <c r="DB306" i="24"/>
  <c r="DE306" i="24" s="1"/>
  <c r="DF306" i="24" s="1"/>
  <c r="DG306" i="24" s="1"/>
  <c r="DI306" i="24"/>
  <c r="DM306" i="24"/>
  <c r="DI64" i="24"/>
  <c r="DB64" i="24"/>
  <c r="DE64" i="24" s="1"/>
  <c r="DF64" i="24" s="1"/>
  <c r="DG64" i="24" s="1"/>
  <c r="DM64" i="24"/>
  <c r="DI296" i="24"/>
  <c r="DB296" i="24"/>
  <c r="DE296" i="24" s="1"/>
  <c r="DF296" i="24" s="1"/>
  <c r="DG296" i="24" s="1"/>
  <c r="DM296" i="24"/>
  <c r="DI200" i="24"/>
  <c r="DB200" i="24"/>
  <c r="DE200" i="24" s="1"/>
  <c r="DF200" i="24" s="1"/>
  <c r="DG200" i="24" s="1"/>
  <c r="DM200" i="24"/>
  <c r="DA66" i="24"/>
  <c r="DC66" i="24" s="1"/>
  <c r="DA72" i="24"/>
  <c r="DC72" i="24" s="1"/>
  <c r="DB206" i="24"/>
  <c r="DE206" i="24" s="1"/>
  <c r="DF206" i="24" s="1"/>
  <c r="DG206" i="24" s="1"/>
  <c r="DI206" i="24"/>
  <c r="DM206" i="24"/>
  <c r="DB9" i="24"/>
  <c r="DE9" i="24" s="1"/>
  <c r="DF9" i="24" s="1"/>
  <c r="DG9" i="24" s="1"/>
  <c r="DI9" i="24"/>
  <c r="DM9" i="24"/>
  <c r="DI26" i="24"/>
  <c r="DB26" i="24"/>
  <c r="DE26" i="24" s="1"/>
  <c r="DF26" i="24" s="1"/>
  <c r="DG26" i="24" s="1"/>
  <c r="DM26" i="24"/>
  <c r="DI198" i="24"/>
  <c r="DB198" i="24"/>
  <c r="DE198" i="24" s="1"/>
  <c r="DF198" i="24" s="1"/>
  <c r="DG198" i="24" s="1"/>
  <c r="DM198" i="24"/>
  <c r="DI149" i="24"/>
  <c r="DB149" i="24"/>
  <c r="DE149" i="24" s="1"/>
  <c r="DF149" i="24" s="1"/>
  <c r="DG149" i="24" s="1"/>
  <c r="DM149" i="24"/>
  <c r="DC275" i="24"/>
  <c r="DI274" i="24"/>
  <c r="DB274" i="24"/>
  <c r="DE274" i="24" s="1"/>
  <c r="DF274" i="24" s="1"/>
  <c r="DG274" i="24" s="1"/>
  <c r="DM274" i="24"/>
  <c r="DA168" i="24"/>
  <c r="DC168" i="24" s="1"/>
  <c r="DB168" i="24"/>
  <c r="DE168" i="24" s="1"/>
  <c r="DF168" i="24" s="1"/>
  <c r="DG168" i="24" s="1"/>
  <c r="DI168" i="24"/>
  <c r="DM168" i="24"/>
  <c r="DI260" i="24"/>
  <c r="DB260" i="24"/>
  <c r="DE260" i="24" s="1"/>
  <c r="DF260" i="24" s="1"/>
  <c r="DG260" i="24" s="1"/>
  <c r="DM260" i="24"/>
  <c r="DI159" i="24"/>
  <c r="DB159" i="24"/>
  <c r="DE159" i="24" s="1"/>
  <c r="DF159" i="24" s="1"/>
  <c r="DG159" i="24" s="1"/>
  <c r="DM159" i="24"/>
  <c r="DM199" i="24"/>
  <c r="DB199" i="24"/>
  <c r="DE199" i="24" s="1"/>
  <c r="DF199" i="24" s="1"/>
  <c r="DG199" i="24" s="1"/>
  <c r="DI199" i="24"/>
  <c r="DA159" i="24"/>
  <c r="DC159" i="24" s="1"/>
  <c r="DA181" i="24"/>
  <c r="DC181" i="24" s="1"/>
  <c r="DB54" i="24"/>
  <c r="DE54" i="24" s="1"/>
  <c r="DF54" i="24" s="1"/>
  <c r="DG54" i="24" s="1"/>
  <c r="DI54" i="24"/>
  <c r="DM54" i="24"/>
  <c r="DB155" i="24"/>
  <c r="DE155" i="24" s="1"/>
  <c r="DF155" i="24" s="1"/>
  <c r="DG155" i="24" s="1"/>
  <c r="DI155" i="24"/>
  <c r="DM155" i="24"/>
  <c r="DI143" i="24"/>
  <c r="DB143" i="24"/>
  <c r="DE143" i="24" s="1"/>
  <c r="DF143" i="24" s="1"/>
  <c r="DG143" i="24" s="1"/>
  <c r="DM143" i="24"/>
  <c r="DI278" i="24"/>
  <c r="DB278" i="24"/>
  <c r="DE278" i="24" s="1"/>
  <c r="DF278" i="24" s="1"/>
  <c r="DG278" i="24" s="1"/>
  <c r="DM278" i="24"/>
  <c r="DB156" i="24"/>
  <c r="DE156" i="24" s="1"/>
  <c r="DF156" i="24" s="1"/>
  <c r="DG156" i="24" s="1"/>
  <c r="DI156" i="24"/>
  <c r="DM156" i="24"/>
  <c r="DB266" i="24"/>
  <c r="DE266" i="24" s="1"/>
  <c r="DF266" i="24" s="1"/>
  <c r="DG266" i="24" s="1"/>
  <c r="DI266" i="24"/>
  <c r="DM266" i="24"/>
  <c r="DA174" i="24"/>
  <c r="DC174" i="24" s="1"/>
  <c r="DB223" i="24"/>
  <c r="DE223" i="24" s="1"/>
  <c r="DF223" i="24" s="1"/>
  <c r="DG223" i="24" s="1"/>
  <c r="DI223" i="24"/>
  <c r="DM223" i="24"/>
  <c r="DB12" i="24"/>
  <c r="DE12" i="24" s="1"/>
  <c r="DF12" i="24" s="1"/>
  <c r="DG12" i="24" s="1"/>
  <c r="DI12" i="24"/>
  <c r="DM12" i="24"/>
  <c r="DB51" i="24"/>
  <c r="DE51" i="24" s="1"/>
  <c r="DF51" i="24" s="1"/>
  <c r="DG51" i="24" s="1"/>
  <c r="DI51" i="24"/>
  <c r="DM51" i="24"/>
  <c r="DA182" i="24"/>
  <c r="DC182" i="24" s="1"/>
  <c r="DI191" i="24"/>
  <c r="DB191" i="24"/>
  <c r="DE191" i="24" s="1"/>
  <c r="DF191" i="24" s="1"/>
  <c r="DG191" i="24" s="1"/>
  <c r="DM191" i="24"/>
  <c r="DA138" i="24"/>
  <c r="DC138" i="24" s="1"/>
  <c r="DA223" i="24"/>
  <c r="DC223" i="24" s="1"/>
  <c r="DB92" i="24"/>
  <c r="DE92" i="24" s="1"/>
  <c r="DF92" i="24" s="1"/>
  <c r="DG92" i="24" s="1"/>
  <c r="DI92" i="24"/>
  <c r="DM92" i="24"/>
  <c r="DI117" i="24"/>
  <c r="DB117" i="24"/>
  <c r="DE117" i="24" s="1"/>
  <c r="DF117" i="24" s="1"/>
  <c r="DG117" i="24" s="1"/>
  <c r="DM117" i="24"/>
  <c r="DA63" i="24"/>
  <c r="DC63" i="24" s="1"/>
  <c r="DI270" i="24"/>
  <c r="DB270" i="24"/>
  <c r="DE270" i="24" s="1"/>
  <c r="DF270" i="24" s="1"/>
  <c r="DG270" i="24" s="1"/>
  <c r="DM270" i="24"/>
  <c r="DA76" i="24"/>
  <c r="DC76" i="24" s="1"/>
  <c r="DI76" i="24"/>
  <c r="DB76" i="24"/>
  <c r="DE76" i="24" s="1"/>
  <c r="DF76" i="24" s="1"/>
  <c r="DG76" i="24" s="1"/>
  <c r="DM76" i="24"/>
  <c r="DI134" i="24"/>
  <c r="DB134" i="24"/>
  <c r="DE134" i="24" s="1"/>
  <c r="DF134" i="24" s="1"/>
  <c r="DG134" i="24" s="1"/>
  <c r="DM134" i="24"/>
  <c r="DA88" i="24"/>
  <c r="DC88" i="24" s="1"/>
  <c r="DI130" i="24"/>
  <c r="DB130" i="24"/>
  <c r="DE130" i="24" s="1"/>
  <c r="DF130" i="24" s="1"/>
  <c r="DG130" i="24" s="1"/>
  <c r="DM130" i="24"/>
  <c r="DC195" i="24"/>
  <c r="DA170" i="24"/>
  <c r="DC170" i="24" s="1"/>
  <c r="DA143" i="24"/>
  <c r="DC143" i="24" s="1"/>
  <c r="DC293" i="24"/>
  <c r="DC246" i="24"/>
  <c r="DB218" i="24"/>
  <c r="DE218" i="24" s="1"/>
  <c r="DF218" i="24" s="1"/>
  <c r="DG218" i="24" s="1"/>
  <c r="DI218" i="24"/>
  <c r="DM218" i="24"/>
  <c r="DA101" i="24"/>
  <c r="DC101" i="24" s="1"/>
  <c r="DA197" i="24"/>
  <c r="DC197" i="24" s="1"/>
  <c r="DA54" i="24"/>
  <c r="DC54" i="24" s="1"/>
  <c r="DA265" i="24"/>
  <c r="DC265" i="24" s="1"/>
  <c r="DA279" i="24"/>
  <c r="DC279" i="24" s="1"/>
  <c r="DB225" i="24"/>
  <c r="DE225" i="24" s="1"/>
  <c r="DF225" i="24" s="1"/>
  <c r="DG225" i="24" s="1"/>
  <c r="DI225" i="24"/>
  <c r="DM225" i="24"/>
  <c r="DM59" i="24"/>
  <c r="DI59" i="24"/>
  <c r="DB59" i="24"/>
  <c r="DE59" i="24" s="1"/>
  <c r="DF59" i="24" s="1"/>
  <c r="DG59" i="24" s="1"/>
  <c r="DA141" i="24"/>
  <c r="DC141" i="24" s="1"/>
  <c r="DI268" i="24"/>
  <c r="DB268" i="24"/>
  <c r="DE268" i="24" s="1"/>
  <c r="DF268" i="24" s="1"/>
  <c r="DG268" i="24" s="1"/>
  <c r="DM268" i="24"/>
  <c r="DI102" i="24"/>
  <c r="DB102" i="24"/>
  <c r="DE102" i="24" s="1"/>
  <c r="DF102" i="24" s="1"/>
  <c r="DG102" i="24" s="1"/>
  <c r="DM102" i="24"/>
  <c r="DA50" i="24"/>
  <c r="DC50" i="24" s="1"/>
  <c r="DI50" i="24"/>
  <c r="DB50" i="24"/>
  <c r="DE50" i="24" s="1"/>
  <c r="DF50" i="24" s="1"/>
  <c r="DG50" i="24" s="1"/>
  <c r="DM50" i="24"/>
  <c r="DA235" i="24"/>
  <c r="DC235" i="24" s="1"/>
  <c r="DA84" i="24"/>
  <c r="DC84" i="24" s="1"/>
  <c r="DC133" i="24"/>
  <c r="DA250" i="24"/>
  <c r="DC250" i="24" s="1"/>
  <c r="DB250" i="24"/>
  <c r="DE250" i="24" s="1"/>
  <c r="DF250" i="24" s="1"/>
  <c r="DG250" i="24" s="1"/>
  <c r="DI250" i="24"/>
  <c r="DM250" i="24"/>
  <c r="DC187" i="24"/>
  <c r="DC236" i="24"/>
  <c r="DC139" i="24"/>
  <c r="DI219" i="24"/>
  <c r="DB219" i="24"/>
  <c r="DE219" i="24" s="1"/>
  <c r="DF219" i="24" s="1"/>
  <c r="DG219" i="24" s="1"/>
  <c r="DM219" i="24"/>
  <c r="DC162" i="24"/>
  <c r="DC146" i="24"/>
  <c r="DC221" i="24"/>
  <c r="DA15" i="24"/>
  <c r="DC15" i="24" s="1"/>
  <c r="DA219" i="24"/>
  <c r="DC219" i="24" s="1"/>
  <c r="DA14" i="24"/>
  <c r="DC14" i="24" s="1"/>
  <c r="DB14" i="24"/>
  <c r="DE14" i="24" s="1"/>
  <c r="DF14" i="24" s="1"/>
  <c r="DG14" i="24" s="1"/>
  <c r="DI14" i="24"/>
  <c r="DM14" i="24"/>
  <c r="DC287" i="24"/>
  <c r="DA115" i="24"/>
  <c r="DC115" i="24" s="1"/>
  <c r="DI115" i="24"/>
  <c r="DB115" i="24"/>
  <c r="DE115" i="24" s="1"/>
  <c r="DF115" i="24" s="1"/>
  <c r="DG115" i="24" s="1"/>
  <c r="DM115" i="24"/>
  <c r="DI187" i="24"/>
  <c r="DB187" i="24"/>
  <c r="DE187" i="24" s="1"/>
  <c r="DF187" i="24" s="1"/>
  <c r="DG187" i="24" s="1"/>
  <c r="DM187" i="24"/>
  <c r="DI221" i="24"/>
  <c r="DB221" i="24"/>
  <c r="DE221" i="24" s="1"/>
  <c r="DF221" i="24" s="1"/>
  <c r="DG221" i="24" s="1"/>
  <c r="DM221" i="24"/>
  <c r="DC161" i="24"/>
  <c r="DC234" i="24"/>
  <c r="DA123" i="24"/>
  <c r="DC123" i="24" s="1"/>
  <c r="DC255" i="24"/>
  <c r="DI148" i="24"/>
  <c r="DB148" i="24"/>
  <c r="DE148" i="24" s="1"/>
  <c r="DF148" i="24" s="1"/>
  <c r="DG148" i="24" s="1"/>
  <c r="DM148" i="24"/>
  <c r="DA205" i="24"/>
  <c r="DC205" i="24" s="1"/>
  <c r="DA208" i="24"/>
  <c r="DC208" i="24" s="1"/>
  <c r="DA314" i="24"/>
  <c r="DC314" i="24" s="1"/>
  <c r="DA40" i="24"/>
  <c r="DC40" i="24" s="1"/>
  <c r="DI120" i="24"/>
  <c r="DB120" i="24"/>
  <c r="DE120" i="24" s="1"/>
  <c r="DF120" i="24" s="1"/>
  <c r="DG120" i="24" s="1"/>
  <c r="DM120" i="24"/>
  <c r="DI132" i="24"/>
  <c r="DB132" i="24"/>
  <c r="DE132" i="24" s="1"/>
  <c r="DF132" i="24" s="1"/>
  <c r="DG132" i="24" s="1"/>
  <c r="DM132" i="24"/>
  <c r="DA52" i="24"/>
  <c r="DC52" i="24" s="1"/>
  <c r="DB52" i="24"/>
  <c r="DE52" i="24" s="1"/>
  <c r="DF52" i="24" s="1"/>
  <c r="DG52" i="24" s="1"/>
  <c r="DI52" i="24"/>
  <c r="DM52" i="24"/>
  <c r="DC257" i="24"/>
  <c r="DC243" i="24"/>
  <c r="DB62" i="24"/>
  <c r="DE62" i="24" s="1"/>
  <c r="DF62" i="24" s="1"/>
  <c r="DG62" i="24" s="1"/>
  <c r="DI62" i="24"/>
  <c r="DM62" i="24"/>
  <c r="DI151" i="24"/>
  <c r="DB151" i="24"/>
  <c r="DE151" i="24" s="1"/>
  <c r="DF151" i="24" s="1"/>
  <c r="DG151" i="24" s="1"/>
  <c r="DM151" i="24"/>
  <c r="DI49" i="24"/>
  <c r="DB49" i="24"/>
  <c r="DE49" i="24" s="1"/>
  <c r="DF49" i="24" s="1"/>
  <c r="DG49" i="24" s="1"/>
  <c r="DM49" i="24"/>
  <c r="DI131" i="24"/>
  <c r="DB131" i="24"/>
  <c r="DE131" i="24" s="1"/>
  <c r="DF131" i="24" s="1"/>
  <c r="DG131" i="24" s="1"/>
  <c r="DM131" i="24"/>
  <c r="DC269" i="24"/>
  <c r="DI230" i="24"/>
  <c r="DB230" i="24"/>
  <c r="DE230" i="24" s="1"/>
  <c r="DF230" i="24" s="1"/>
  <c r="DG230" i="24" s="1"/>
  <c r="DM230" i="24"/>
  <c r="DI293" i="24"/>
  <c r="DB293" i="24"/>
  <c r="DE293" i="24" s="1"/>
  <c r="DF293" i="24" s="1"/>
  <c r="DG293" i="24" s="1"/>
  <c r="DM293" i="24"/>
  <c r="DC124" i="24"/>
  <c r="DI114" i="24"/>
  <c r="DB114" i="24"/>
  <c r="DE114" i="24" s="1"/>
  <c r="DF114" i="24" s="1"/>
  <c r="DG114" i="24" s="1"/>
  <c r="DM114" i="24"/>
  <c r="DI239" i="24"/>
  <c r="DB239" i="24"/>
  <c r="DE239" i="24" s="1"/>
  <c r="DF239" i="24" s="1"/>
  <c r="DG239" i="24" s="1"/>
  <c r="DM239" i="24"/>
  <c r="DA227" i="24"/>
  <c r="DC227" i="24" s="1"/>
  <c r="DI227" i="24"/>
  <c r="DB227" i="24"/>
  <c r="DE227" i="24" s="1"/>
  <c r="DF227" i="24" s="1"/>
  <c r="DG227" i="24" s="1"/>
  <c r="DM227" i="24"/>
  <c r="DB144" i="24"/>
  <c r="DE144" i="24" s="1"/>
  <c r="DF144" i="24" s="1"/>
  <c r="DG144" i="24" s="1"/>
  <c r="DI144" i="24"/>
  <c r="DM144" i="24"/>
  <c r="DA304" i="24"/>
  <c r="DC304" i="24" s="1"/>
  <c r="DA96" i="24"/>
  <c r="DC96" i="24" s="1"/>
  <c r="DB178" i="24"/>
  <c r="DE178" i="24" s="1"/>
  <c r="DF178" i="24" s="1"/>
  <c r="DG178" i="24" s="1"/>
  <c r="DI178" i="24"/>
  <c r="DM178" i="24"/>
  <c r="DB195" i="24"/>
  <c r="DE195" i="24" s="1"/>
  <c r="DF195" i="24" s="1"/>
  <c r="DG195" i="24" s="1"/>
  <c r="DI195" i="24"/>
  <c r="DM195" i="24"/>
  <c r="DC280" i="24"/>
  <c r="DI38" i="24"/>
  <c r="DB38" i="24"/>
  <c r="DE38" i="24" s="1"/>
  <c r="DF38" i="24" s="1"/>
  <c r="DG38" i="24" s="1"/>
  <c r="DM38" i="24"/>
  <c r="DI23" i="24"/>
  <c r="DB23" i="24"/>
  <c r="DE23" i="24" s="1"/>
  <c r="DF23" i="24" s="1"/>
  <c r="DG23" i="24" s="1"/>
  <c r="DM23" i="24"/>
  <c r="DB310" i="24"/>
  <c r="DE310" i="24" s="1"/>
  <c r="DF310" i="24" s="1"/>
  <c r="DG310" i="24" s="1"/>
  <c r="DI310" i="24"/>
  <c r="DM310" i="24"/>
  <c r="DI85" i="24"/>
  <c r="DB85" i="24"/>
  <c r="DE85" i="24" s="1"/>
  <c r="DF85" i="24" s="1"/>
  <c r="DG85" i="24" s="1"/>
  <c r="DM85" i="24"/>
  <c r="DA134" i="24"/>
  <c r="DC134" i="24" s="1"/>
  <c r="DI243" i="24"/>
  <c r="DB243" i="24"/>
  <c r="DE243" i="24" s="1"/>
  <c r="DF243" i="24" s="1"/>
  <c r="DG243" i="24" s="1"/>
  <c r="DM243" i="24"/>
  <c r="DM39" i="24"/>
  <c r="DB39" i="24"/>
  <c r="DE39" i="24" s="1"/>
  <c r="DF39" i="24" s="1"/>
  <c r="DG39" i="24" s="1"/>
  <c r="DI39" i="24"/>
  <c r="DB124" i="24"/>
  <c r="DE124" i="24" s="1"/>
  <c r="DF124" i="24" s="1"/>
  <c r="DG124" i="24" s="1"/>
  <c r="DI124" i="24"/>
  <c r="DM124" i="24"/>
  <c r="DI37" i="24"/>
  <c r="DB37" i="24"/>
  <c r="DE37" i="24" s="1"/>
  <c r="DF37" i="24" s="1"/>
  <c r="DG37" i="24" s="1"/>
  <c r="DM37" i="24"/>
  <c r="DI17" i="24"/>
  <c r="DB17" i="24"/>
  <c r="DE17" i="24" s="1"/>
  <c r="DF17" i="24" s="1"/>
  <c r="DG17" i="24" s="1"/>
  <c r="DM17" i="24"/>
  <c r="DA310" i="24"/>
  <c r="DC310" i="24" s="1"/>
  <c r="DA144" i="24"/>
  <c r="DC144" i="24" s="1"/>
  <c r="DI303" i="24"/>
  <c r="DB303" i="24"/>
  <c r="DE303" i="24" s="1"/>
  <c r="DF303" i="24" s="1"/>
  <c r="DG303" i="24" s="1"/>
  <c r="DM303" i="24"/>
  <c r="DI25" i="24"/>
  <c r="DB25" i="24"/>
  <c r="DE25" i="24" s="1"/>
  <c r="DF25" i="24" s="1"/>
  <c r="DG25" i="24" s="1"/>
  <c r="DM25" i="24"/>
  <c r="DA248" i="24"/>
  <c r="DC248" i="24" s="1"/>
  <c r="DI248" i="24"/>
  <c r="DB248" i="24"/>
  <c r="DE248" i="24" s="1"/>
  <c r="DF248" i="24" s="1"/>
  <c r="DG248" i="24" s="1"/>
  <c r="DM248" i="24"/>
  <c r="DB67" i="24"/>
  <c r="DE67" i="24" s="1"/>
  <c r="DF67" i="24" s="1"/>
  <c r="DG67" i="24" s="1"/>
  <c r="DI67" i="24"/>
  <c r="DM67" i="24"/>
  <c r="DI104" i="24"/>
  <c r="DB104" i="24"/>
  <c r="DE104" i="24" s="1"/>
  <c r="DF104" i="24" s="1"/>
  <c r="DG104" i="24" s="1"/>
  <c r="DM104" i="24"/>
  <c r="DI58" i="24"/>
  <c r="DB58" i="24"/>
  <c r="DE58" i="24" s="1"/>
  <c r="DF58" i="24" s="1"/>
  <c r="DG58" i="24" s="1"/>
  <c r="DM58" i="24"/>
  <c r="DI285" i="24"/>
  <c r="DB285" i="24"/>
  <c r="DE285" i="24" s="1"/>
  <c r="DF285" i="24" s="1"/>
  <c r="DG285" i="24" s="1"/>
  <c r="DM285" i="24"/>
  <c r="DC200" i="24"/>
  <c r="DI244" i="24"/>
  <c r="DB244" i="24"/>
  <c r="DE244" i="24" s="1"/>
  <c r="DF244" i="24" s="1"/>
  <c r="DG244" i="24" s="1"/>
  <c r="DM244" i="24"/>
  <c r="DB86" i="24"/>
  <c r="DE86" i="24" s="1"/>
  <c r="DF86" i="24" s="1"/>
  <c r="DG86" i="24" s="1"/>
  <c r="DI86" i="24"/>
  <c r="DM86" i="24"/>
  <c r="DI139" i="24"/>
  <c r="DB139" i="24"/>
  <c r="DE139" i="24" s="1"/>
  <c r="DF139" i="24" s="1"/>
  <c r="DG139" i="24" s="1"/>
  <c r="DM139" i="24"/>
  <c r="DA156" i="24"/>
  <c r="DC156" i="24" s="1"/>
  <c r="DC192" i="24"/>
  <c r="DA263" i="24"/>
  <c r="DC263" i="24" s="1"/>
  <c r="DA17" i="24"/>
  <c r="DC17" i="24" s="1"/>
  <c r="DB282" i="24"/>
  <c r="DE282" i="24" s="1"/>
  <c r="DF282" i="24" s="1"/>
  <c r="DG282" i="24" s="1"/>
  <c r="DI282" i="24"/>
  <c r="DM282" i="24"/>
  <c r="DC300" i="24"/>
  <c r="DA64" i="24"/>
  <c r="DC64" i="24" s="1"/>
  <c r="DA136" i="24"/>
  <c r="DC136" i="24" s="1"/>
  <c r="DI45" i="24"/>
  <c r="DB45" i="24"/>
  <c r="DE45" i="24" s="1"/>
  <c r="DF45" i="24" s="1"/>
  <c r="DG45" i="24" s="1"/>
  <c r="DM45" i="24"/>
  <c r="DI240" i="24"/>
  <c r="DB240" i="24"/>
  <c r="DE240" i="24" s="1"/>
  <c r="DF240" i="24" s="1"/>
  <c r="DG240" i="24" s="1"/>
  <c r="DM240" i="24"/>
  <c r="DB298" i="24"/>
  <c r="DE298" i="24" s="1"/>
  <c r="DF298" i="24" s="1"/>
  <c r="DG298" i="24" s="1"/>
  <c r="DI298" i="24"/>
  <c r="DM298" i="24"/>
  <c r="DC259" i="24"/>
  <c r="DA41" i="24"/>
  <c r="DC41" i="24" s="1"/>
  <c r="DB233" i="24"/>
  <c r="DE233" i="24" s="1"/>
  <c r="DF233" i="24" s="1"/>
  <c r="DG233" i="24" s="1"/>
  <c r="DI233" i="24"/>
  <c r="DM233" i="24"/>
  <c r="DI311" i="24"/>
  <c r="DB311" i="24"/>
  <c r="DE311" i="24" s="1"/>
  <c r="DF311" i="24" s="1"/>
  <c r="DG311" i="24" s="1"/>
  <c r="DM311" i="24"/>
  <c r="DC172" i="24"/>
  <c r="DB236" i="24"/>
  <c r="DE236" i="24" s="1"/>
  <c r="DF236" i="24" s="1"/>
  <c r="DG236" i="24" s="1"/>
  <c r="DI236" i="24"/>
  <c r="DM236" i="24"/>
  <c r="DA11" i="24"/>
  <c r="DC11" i="24" s="1"/>
  <c r="DB11" i="24"/>
  <c r="DE11" i="24" s="1"/>
  <c r="DF11" i="24" s="1"/>
  <c r="DG11" i="24" s="1"/>
  <c r="DI11" i="24"/>
  <c r="DM11" i="24"/>
  <c r="DI176" i="24"/>
  <c r="DB176" i="24"/>
  <c r="DE176" i="24" s="1"/>
  <c r="DF176" i="24" s="1"/>
  <c r="DG176" i="24" s="1"/>
  <c r="DM176" i="24"/>
  <c r="DI169" i="24"/>
  <c r="DB169" i="24"/>
  <c r="DE169" i="24" s="1"/>
  <c r="DF169" i="24" s="1"/>
  <c r="DG169" i="24" s="1"/>
  <c r="DM169" i="24"/>
  <c r="DB48" i="24"/>
  <c r="DE48" i="24" s="1"/>
  <c r="DF48" i="24" s="1"/>
  <c r="DG48" i="24" s="1"/>
  <c r="DI48" i="24"/>
  <c r="DM48" i="24"/>
  <c r="DI7" i="24"/>
  <c r="DB7" i="24"/>
  <c r="DE7" i="24" s="1"/>
  <c r="DF7" i="24" s="1"/>
  <c r="DG7" i="24" s="1"/>
  <c r="DM7" i="24"/>
  <c r="DI34" i="24"/>
  <c r="DB34" i="24"/>
  <c r="DE34" i="24" s="1"/>
  <c r="DF34" i="24" s="1"/>
  <c r="DG34" i="24" s="1"/>
  <c r="DM34" i="24"/>
  <c r="DA210" i="24"/>
  <c r="DC210" i="24" s="1"/>
  <c r="DA228" i="24"/>
  <c r="DC228" i="24" s="1"/>
  <c r="DC176" i="24"/>
  <c r="DB35" i="24"/>
  <c r="DE35" i="24" s="1"/>
  <c r="DF35" i="24" s="1"/>
  <c r="DG35" i="24" s="1"/>
  <c r="DI35" i="24"/>
  <c r="DM35" i="24"/>
  <c r="DI288" i="24"/>
  <c r="DB288" i="24"/>
  <c r="DE288" i="24" s="1"/>
  <c r="DF288" i="24" s="1"/>
  <c r="DG288" i="24" s="1"/>
  <c r="DM288" i="24"/>
  <c r="DA274" i="24"/>
  <c r="DC274" i="24" s="1"/>
  <c r="DI57" i="24"/>
  <c r="DB57" i="24"/>
  <c r="DE57" i="24" s="1"/>
  <c r="DF57" i="24" s="1"/>
  <c r="DG57" i="24" s="1"/>
  <c r="DM57" i="24"/>
  <c r="DI42" i="24"/>
  <c r="DB42" i="24"/>
  <c r="DE42" i="24" s="1"/>
  <c r="DF42" i="24" s="1"/>
  <c r="DG42" i="24" s="1"/>
  <c r="DM42" i="24"/>
  <c r="DI140" i="24"/>
  <c r="DB140" i="24"/>
  <c r="DE140" i="24" s="1"/>
  <c r="DF140" i="24" s="1"/>
  <c r="DG140" i="24" s="1"/>
  <c r="DM140" i="24"/>
  <c r="DI196" i="24"/>
  <c r="DB196" i="24"/>
  <c r="DE196" i="24" s="1"/>
  <c r="DF196" i="24" s="1"/>
  <c r="DG196" i="24" s="1"/>
  <c r="DM196" i="24"/>
  <c r="DI252" i="24"/>
  <c r="DB252" i="24"/>
  <c r="DE252" i="24" s="1"/>
  <c r="DF252" i="24" s="1"/>
  <c r="DG252" i="24" s="1"/>
  <c r="DM252" i="24"/>
  <c r="DB33" i="24"/>
  <c r="DE33" i="24" s="1"/>
  <c r="DF33" i="24" s="1"/>
  <c r="DG33" i="24" s="1"/>
  <c r="DI33" i="24"/>
  <c r="DM33" i="24"/>
  <c r="DI154" i="24"/>
  <c r="DB154" i="24"/>
  <c r="DE154" i="24" s="1"/>
  <c r="DF154" i="24" s="1"/>
  <c r="DG154" i="24" s="1"/>
  <c r="DM154" i="24"/>
  <c r="DI71" i="24"/>
  <c r="DB71" i="24"/>
  <c r="DE71" i="24" s="1"/>
  <c r="DF71" i="24" s="1"/>
  <c r="DG71" i="24" s="1"/>
  <c r="DM71" i="24"/>
  <c r="DA239" i="24"/>
  <c r="DC239" i="24" s="1"/>
  <c r="DI24" i="24"/>
  <c r="DB24" i="24"/>
  <c r="DE24" i="24" s="1"/>
  <c r="DF24" i="24" s="1"/>
  <c r="DG24" i="24" s="1"/>
  <c r="DM24" i="24"/>
  <c r="DI55" i="24"/>
  <c r="DB55" i="24"/>
  <c r="DE55" i="24" s="1"/>
  <c r="DF55" i="24" s="1"/>
  <c r="DG55" i="24" s="1"/>
  <c r="DM55" i="24"/>
  <c r="DC166" i="24"/>
  <c r="DI246" i="24"/>
  <c r="DB246" i="24"/>
  <c r="DE246" i="24" s="1"/>
  <c r="DF246" i="24" s="1"/>
  <c r="DG246" i="24" s="1"/>
  <c r="DM246" i="24"/>
  <c r="DA229" i="24"/>
  <c r="DC229" i="24" s="1"/>
  <c r="DB229" i="24"/>
  <c r="DE229" i="24" s="1"/>
  <c r="DF229" i="24" s="1"/>
  <c r="DG229" i="24" s="1"/>
  <c r="DI229" i="24"/>
  <c r="DM229" i="24"/>
  <c r="DI165" i="24"/>
  <c r="DB165" i="24"/>
  <c r="DE165" i="24" s="1"/>
  <c r="DF165" i="24" s="1"/>
  <c r="DG165" i="24" s="1"/>
  <c r="DM165" i="24"/>
  <c r="DI280" i="24"/>
  <c r="DB280" i="24"/>
  <c r="DE280" i="24" s="1"/>
  <c r="DF280" i="24" s="1"/>
  <c r="DG280" i="24" s="1"/>
  <c r="DM280" i="24"/>
  <c r="DC127" i="24"/>
  <c r="DC260" i="24"/>
  <c r="DA145" i="24"/>
  <c r="DC145" i="24" s="1"/>
  <c r="DA117" i="24"/>
  <c r="DC117" i="24" s="1"/>
  <c r="DC273" i="24"/>
  <c r="DA90" i="24"/>
  <c r="DC90" i="24" s="1"/>
  <c r="DA305" i="24"/>
  <c r="DC305" i="24" s="1"/>
  <c r="DB305" i="24"/>
  <c r="DE305" i="24" s="1"/>
  <c r="DF305" i="24" s="1"/>
  <c r="DG305" i="24" s="1"/>
  <c r="DI305" i="24"/>
  <c r="DM305" i="24"/>
  <c r="DA55" i="24"/>
  <c r="DC55" i="24" s="1"/>
  <c r="DA266" i="24"/>
  <c r="DC266" i="24" s="1"/>
  <c r="DA114" i="24"/>
  <c r="DC114" i="24" s="1"/>
  <c r="DB142" i="24"/>
  <c r="DE142" i="24" s="1"/>
  <c r="DF142" i="24" s="1"/>
  <c r="DG142" i="24" s="1"/>
  <c r="DI142" i="24"/>
  <c r="DM142" i="24"/>
  <c r="DI125" i="24"/>
  <c r="DB125" i="24"/>
  <c r="DE125" i="24" s="1"/>
  <c r="DF125" i="24" s="1"/>
  <c r="DG125" i="24" s="1"/>
  <c r="DM125" i="24"/>
  <c r="DI68" i="24"/>
  <c r="DB68" i="24"/>
  <c r="DE68" i="24" s="1"/>
  <c r="DF68" i="24" s="1"/>
  <c r="DG68" i="24" s="1"/>
  <c r="DM68" i="24"/>
  <c r="DC135" i="24"/>
  <c r="DB247" i="24"/>
  <c r="DE247" i="24" s="1"/>
  <c r="DF247" i="24" s="1"/>
  <c r="DG247" i="24" s="1"/>
  <c r="DI247" i="24"/>
  <c r="DM247" i="24"/>
  <c r="DA105" i="24"/>
  <c r="DC105" i="24" s="1"/>
  <c r="DI287" i="24"/>
  <c r="DB287" i="24"/>
  <c r="DE287" i="24" s="1"/>
  <c r="DF287" i="24" s="1"/>
  <c r="DG287" i="24" s="1"/>
  <c r="DM287" i="24"/>
  <c r="DI113" i="24"/>
  <c r="DB113" i="24"/>
  <c r="DE113" i="24" s="1"/>
  <c r="DF113" i="24" s="1"/>
  <c r="DG113" i="24" s="1"/>
  <c r="DM113" i="24"/>
  <c r="DB294" i="24"/>
  <c r="DE294" i="24" s="1"/>
  <c r="DF294" i="24" s="1"/>
  <c r="DG294" i="24" s="1"/>
  <c r="DI294" i="24"/>
  <c r="DM294" i="24"/>
  <c r="DC190" i="24"/>
  <c r="DB193" i="24"/>
  <c r="DE193" i="24" s="1"/>
  <c r="DF193" i="24" s="1"/>
  <c r="DG193" i="24" s="1"/>
  <c r="DI193" i="24"/>
  <c r="DM193" i="24"/>
  <c r="DI209" i="24"/>
  <c r="DB209" i="24"/>
  <c r="DE209" i="24" s="1"/>
  <c r="DF209" i="24" s="1"/>
  <c r="DG209" i="24" s="1"/>
  <c r="DM209" i="24"/>
  <c r="DI203" i="24"/>
  <c r="DB203" i="24"/>
  <c r="DE203" i="24" s="1"/>
  <c r="DF203" i="24" s="1"/>
  <c r="DG203" i="24" s="1"/>
  <c r="DM203" i="24"/>
  <c r="DI75" i="24"/>
  <c r="DB75" i="24"/>
  <c r="DE75" i="24" s="1"/>
  <c r="DF75" i="24" s="1"/>
  <c r="DG75" i="24" s="1"/>
  <c r="DM75" i="24"/>
  <c r="DI190" i="24"/>
  <c r="DB190" i="24"/>
  <c r="DE190" i="24" s="1"/>
  <c r="DF190" i="24" s="1"/>
  <c r="DG190" i="24" s="1"/>
  <c r="DM190" i="24"/>
  <c r="DI150" i="24"/>
  <c r="DB150" i="24"/>
  <c r="DE150" i="24" s="1"/>
  <c r="DF150" i="24" s="1"/>
  <c r="DG150" i="24" s="1"/>
  <c r="DM150" i="24"/>
  <c r="DA177" i="24"/>
  <c r="DC177" i="24" s="1"/>
  <c r="DC294" i="24"/>
  <c r="DB167" i="24"/>
  <c r="DE167" i="24" s="1"/>
  <c r="DF167" i="24" s="1"/>
  <c r="DG167" i="24" s="1"/>
  <c r="DI167" i="24"/>
  <c r="DM167" i="24"/>
  <c r="DA81" i="24"/>
  <c r="DC81" i="24" s="1"/>
  <c r="DB81" i="24"/>
  <c r="DE81" i="24" s="1"/>
  <c r="DF81" i="24" s="1"/>
  <c r="DG81" i="24" s="1"/>
  <c r="DI81" i="24"/>
  <c r="DM81" i="24"/>
  <c r="DA150" i="24"/>
  <c r="DC150" i="24" s="1"/>
  <c r="DI253" i="24"/>
  <c r="DB253" i="24"/>
  <c r="DE253" i="24" s="1"/>
  <c r="DF253" i="24" s="1"/>
  <c r="DG253" i="24" s="1"/>
  <c r="DM253" i="24"/>
  <c r="DC111" i="24"/>
  <c r="DI118" i="24"/>
  <c r="DB118" i="24"/>
  <c r="DE118" i="24" s="1"/>
  <c r="DF118" i="24" s="1"/>
  <c r="DG118" i="24" s="1"/>
  <c r="DM118" i="24"/>
  <c r="DB161" i="24"/>
  <c r="DE161" i="24" s="1"/>
  <c r="DF161" i="24" s="1"/>
  <c r="DG161" i="24" s="1"/>
  <c r="DI161" i="24"/>
  <c r="DM161" i="24"/>
  <c r="DA232" i="24"/>
  <c r="DC232" i="24" s="1"/>
  <c r="DB232" i="24"/>
  <c r="DE232" i="24" s="1"/>
  <c r="DF232" i="24" s="1"/>
  <c r="DG232" i="24" s="1"/>
  <c r="DI232" i="24"/>
  <c r="DM232" i="24"/>
  <c r="DC240" i="24"/>
  <c r="DI302" i="24"/>
  <c r="DB302" i="24"/>
  <c r="DE302" i="24" s="1"/>
  <c r="DF302" i="24" s="1"/>
  <c r="DG302" i="24" s="1"/>
  <c r="DM302" i="24"/>
  <c r="E56" i="1"/>
  <c r="N53" i="29"/>
  <c r="N309" i="29"/>
  <c r="M226" i="29"/>
  <c r="N150" i="29"/>
  <c r="M67" i="29"/>
  <c r="M323" i="29"/>
  <c r="N239" i="29"/>
  <c r="M160" i="29"/>
  <c r="N185" i="29"/>
  <c r="M102" i="29"/>
  <c r="N26" i="29"/>
  <c r="N282" i="29"/>
  <c r="M199" i="29"/>
  <c r="N115" i="29"/>
  <c r="M36" i="29"/>
  <c r="M292" i="29"/>
  <c r="N212" i="29"/>
  <c r="N101" i="29"/>
  <c r="M18" i="29"/>
  <c r="M274" i="29"/>
  <c r="N198" i="29"/>
  <c r="M115" i="29"/>
  <c r="N31" i="29"/>
  <c r="N287" i="29"/>
  <c r="M208" i="29"/>
  <c r="N128" i="29"/>
  <c r="M285" i="29"/>
  <c r="M54" i="29"/>
  <c r="N130" i="29"/>
  <c r="M203" i="29"/>
  <c r="N267" i="29"/>
  <c r="M328" i="29"/>
  <c r="N332" i="29"/>
  <c r="M562" i="29"/>
  <c r="N486" i="29"/>
  <c r="M407" i="29"/>
  <c r="M233" i="29"/>
  <c r="N209" i="29"/>
  <c r="M342" i="29"/>
  <c r="M139" i="29"/>
  <c r="N263" i="29"/>
  <c r="N40" i="29"/>
  <c r="M378" i="29"/>
  <c r="M257" i="29"/>
  <c r="N384" i="29"/>
  <c r="M587" i="29"/>
  <c r="N543" i="29"/>
  <c r="M468" i="29"/>
  <c r="M74" i="29"/>
  <c r="N206" i="29"/>
  <c r="M335" i="29"/>
  <c r="M124" i="29"/>
  <c r="N200" i="29"/>
  <c r="M502" i="29"/>
  <c r="N462" i="29"/>
  <c r="M419" i="29"/>
  <c r="N383" i="29"/>
  <c r="M109" i="29"/>
  <c r="N169" i="29"/>
  <c r="N114" i="29"/>
  <c r="N71" i="29"/>
  <c r="M340" i="29"/>
  <c r="M446" i="29"/>
  <c r="N506" i="29"/>
  <c r="M559" i="29"/>
  <c r="N603" i="29"/>
  <c r="M592" i="29"/>
  <c r="M513" i="29"/>
  <c r="N105" i="29"/>
  <c r="N50" i="29"/>
  <c r="M343" i="29"/>
  <c r="M280" i="29"/>
  <c r="N109" i="29"/>
  <c r="N62" i="29"/>
  <c r="M347" i="29"/>
  <c r="M288" i="29"/>
  <c r="M410" i="29"/>
  <c r="N470" i="29"/>
  <c r="M523" i="29"/>
  <c r="N571" i="29"/>
  <c r="M568" i="29"/>
  <c r="M489" i="29"/>
  <c r="N437" i="29"/>
  <c r="M22" i="29"/>
  <c r="N306" i="29"/>
  <c r="N85" i="29"/>
  <c r="N341" i="29"/>
  <c r="M258" i="29"/>
  <c r="N182" i="29"/>
  <c r="M99" i="29"/>
  <c r="N15" i="29"/>
  <c r="N271" i="29"/>
  <c r="M192" i="29"/>
  <c r="N217" i="29"/>
  <c r="M134" i="29"/>
  <c r="N58" i="29"/>
  <c r="N314" i="29"/>
  <c r="M231" i="29"/>
  <c r="N147" i="29"/>
  <c r="M68" i="29"/>
  <c r="M324" i="29"/>
  <c r="N244" i="29"/>
  <c r="N133" i="29"/>
  <c r="M50" i="29"/>
  <c r="M306" i="29"/>
  <c r="N230" i="29"/>
  <c r="M147" i="29"/>
  <c r="N63" i="29"/>
  <c r="N319" i="29"/>
  <c r="M240" i="29"/>
  <c r="N160" i="29"/>
  <c r="N33" i="29"/>
  <c r="M106" i="29"/>
  <c r="N178" i="29"/>
  <c r="M251" i="29"/>
  <c r="N323" i="29"/>
  <c r="N36" i="29"/>
  <c r="M221" i="29"/>
  <c r="M594" i="29"/>
  <c r="N518" i="29"/>
  <c r="M439" i="29"/>
  <c r="N367" i="29"/>
  <c r="N269" i="29"/>
  <c r="N66" i="29"/>
  <c r="M191" i="29"/>
  <c r="N327" i="29"/>
  <c r="N88" i="29"/>
  <c r="M414" i="29"/>
  <c r="N374" i="29"/>
  <c r="M197" i="29"/>
  <c r="N392" i="29"/>
  <c r="N575" i="29"/>
  <c r="M500" i="29"/>
  <c r="M126" i="29"/>
  <c r="N266" i="29"/>
  <c r="N55" i="29"/>
  <c r="M184" i="29"/>
  <c r="N252" i="29"/>
  <c r="M538" i="29"/>
  <c r="N498" i="29"/>
  <c r="M455" i="29"/>
  <c r="N419" i="29"/>
  <c r="M352" i="29"/>
  <c r="N253" i="29"/>
  <c r="N202" i="29"/>
  <c r="N139" i="29"/>
  <c r="N68" i="29"/>
  <c r="M494" i="29"/>
  <c r="N554" i="29"/>
  <c r="M611" i="29"/>
  <c r="M77" i="29"/>
  <c r="M273" i="29"/>
  <c r="M545" i="29"/>
  <c r="N177" i="29"/>
  <c r="N138" i="29"/>
  <c r="N75" i="29"/>
  <c r="M348" i="29"/>
  <c r="N193" i="29"/>
  <c r="N142" i="29"/>
  <c r="N87" i="29"/>
  <c r="N16" i="29"/>
  <c r="M458" i="29"/>
  <c r="N514" i="29"/>
  <c r="M575" i="29"/>
  <c r="M49" i="29"/>
  <c r="M600" i="29"/>
  <c r="M521" i="29"/>
  <c r="N469" i="29"/>
  <c r="M90" i="29"/>
  <c r="N117" i="29"/>
  <c r="M34" i="29"/>
  <c r="M290" i="29"/>
  <c r="N214" i="29"/>
  <c r="M131" i="29"/>
  <c r="N47" i="29"/>
  <c r="N303" i="29"/>
  <c r="M224" i="29"/>
  <c r="N249" i="29"/>
  <c r="M166" i="29"/>
  <c r="N90" i="29"/>
  <c r="N346" i="29"/>
  <c r="M263" i="29"/>
  <c r="N179" i="29"/>
  <c r="M100" i="29"/>
  <c r="N20" i="29"/>
  <c r="N276" i="29"/>
  <c r="N165" i="29"/>
  <c r="M82" i="29"/>
  <c r="M338" i="29"/>
  <c r="N262" i="29"/>
  <c r="M179" i="29"/>
  <c r="N95" i="29"/>
  <c r="M16" i="29"/>
  <c r="M272" i="29"/>
  <c r="N192" i="29"/>
  <c r="N81" i="29"/>
  <c r="M154" i="29"/>
  <c r="N234" i="29"/>
  <c r="M303" i="29"/>
  <c r="M40" i="29"/>
  <c r="N76" i="29"/>
  <c r="M370" i="29"/>
  <c r="N388" i="29"/>
  <c r="N550" i="29"/>
  <c r="M471" i="29"/>
  <c r="N399" i="29"/>
  <c r="N329" i="29"/>
  <c r="N126" i="29"/>
  <c r="M255" i="29"/>
  <c r="M52" i="29"/>
  <c r="N136" i="29"/>
  <c r="M450" i="29"/>
  <c r="N410" i="29"/>
  <c r="M367" i="29"/>
  <c r="M201" i="29"/>
  <c r="N607" i="29"/>
  <c r="N61" i="29"/>
  <c r="M186" i="29"/>
  <c r="N322" i="29"/>
  <c r="N107" i="29"/>
  <c r="M248" i="29"/>
  <c r="N300" i="29"/>
  <c r="M574" i="29"/>
  <c r="N534" i="29"/>
  <c r="M491" i="29"/>
  <c r="N455" i="29"/>
  <c r="M384" i="29"/>
  <c r="N321" i="29"/>
  <c r="N274" i="29"/>
  <c r="N227" i="29"/>
  <c r="N132" i="29"/>
  <c r="M546" i="29"/>
  <c r="N602" i="29"/>
  <c r="M169" i="29"/>
  <c r="M360" i="29"/>
  <c r="M117" i="29"/>
  <c r="M577" i="29"/>
  <c r="N257" i="29"/>
  <c r="N210" i="29"/>
  <c r="N155" i="29"/>
  <c r="N72" i="29"/>
  <c r="N265" i="29"/>
  <c r="N222" i="29"/>
  <c r="N163" i="29"/>
  <c r="N80" i="29"/>
  <c r="M510" i="29"/>
  <c r="N566" i="29"/>
  <c r="M337" i="29"/>
  <c r="M173" i="29"/>
  <c r="N376" i="29"/>
  <c r="M553" i="29"/>
  <c r="N501" i="29"/>
  <c r="M174" i="29"/>
  <c r="N149" i="29"/>
  <c r="M66" i="29"/>
  <c r="M322" i="29"/>
  <c r="N246" i="29"/>
  <c r="M163" i="29"/>
  <c r="N79" i="29"/>
  <c r="N335" i="29"/>
  <c r="N25" i="29"/>
  <c r="N281" i="29"/>
  <c r="M198" i="29"/>
  <c r="N122" i="29"/>
  <c r="M39" i="29"/>
  <c r="M295" i="29"/>
  <c r="N211" i="29"/>
  <c r="M132" i="29"/>
  <c r="N52" i="29"/>
  <c r="N308" i="29"/>
  <c r="N197" i="29"/>
  <c r="M114" i="29"/>
  <c r="N38" i="29"/>
  <c r="N294" i="29"/>
  <c r="M211" i="29"/>
  <c r="N127" i="29"/>
  <c r="M48" i="29"/>
  <c r="M304" i="29"/>
  <c r="N224" i="29"/>
  <c r="N137" i="29"/>
  <c r="M206" i="29"/>
  <c r="N286" i="29"/>
  <c r="M351" i="29"/>
  <c r="M88" i="29"/>
  <c r="N120" i="29"/>
  <c r="M402" i="29"/>
  <c r="M161" i="29"/>
  <c r="N582" i="29"/>
  <c r="M503" i="29"/>
  <c r="N431" i="29"/>
  <c r="M46" i="29"/>
  <c r="N190" i="29"/>
  <c r="M315" i="29"/>
  <c r="M108" i="29"/>
  <c r="N184" i="29"/>
  <c r="M486" i="29"/>
  <c r="N446" i="29"/>
  <c r="M403" i="29"/>
  <c r="N371" i="29"/>
  <c r="N468" i="29"/>
  <c r="N113" i="29"/>
  <c r="M246" i="29"/>
  <c r="M43" i="29"/>
  <c r="N171" i="29"/>
  <c r="M296" i="29"/>
  <c r="N348" i="29"/>
  <c r="M610" i="29"/>
  <c r="N570" i="29"/>
  <c r="M527" i="29"/>
  <c r="N491" i="29"/>
  <c r="M416" i="29"/>
  <c r="M62" i="29"/>
  <c r="M15" i="29"/>
  <c r="N299" i="29"/>
  <c r="N196" i="29"/>
  <c r="M590" i="29"/>
  <c r="M101" i="29"/>
  <c r="N379" i="29"/>
  <c r="M400" i="29"/>
  <c r="M353" i="29"/>
  <c r="M609" i="29"/>
  <c r="N333" i="29"/>
  <c r="N290" i="29"/>
  <c r="N235" i="29"/>
  <c r="N140" i="29"/>
  <c r="N349" i="29"/>
  <c r="N298" i="29"/>
  <c r="N247" i="29"/>
  <c r="N144" i="29"/>
  <c r="M554" i="29"/>
  <c r="M145" i="29"/>
  <c r="M297" i="29"/>
  <c r="M368" i="29"/>
  <c r="M181" i="29"/>
  <c r="M585" i="29"/>
  <c r="N533" i="29"/>
  <c r="M250" i="29"/>
  <c r="N181" i="29"/>
  <c r="M98" i="29"/>
  <c r="N22" i="29"/>
  <c r="N278" i="29"/>
  <c r="M195" i="29"/>
  <c r="N111" i="29"/>
  <c r="M32" i="29"/>
  <c r="N57" i="29"/>
  <c r="N313" i="29"/>
  <c r="M230" i="29"/>
  <c r="N154" i="29"/>
  <c r="M71" i="29"/>
  <c r="M327" i="29"/>
  <c r="N243" i="29"/>
  <c r="M164" i="29"/>
  <c r="N84" i="29"/>
  <c r="N340" i="29"/>
  <c r="N229" i="29"/>
  <c r="M146" i="29"/>
  <c r="N70" i="29"/>
  <c r="N326" i="29"/>
  <c r="M243" i="29"/>
  <c r="N159" i="29"/>
  <c r="M80" i="29"/>
  <c r="M336" i="29"/>
  <c r="N256" i="29"/>
  <c r="N189" i="29"/>
  <c r="M254" i="29"/>
  <c r="N334" i="29"/>
  <c r="N67" i="29"/>
  <c r="M140" i="29"/>
  <c r="N164" i="29"/>
  <c r="M434" i="29"/>
  <c r="N358" i="29"/>
  <c r="M13" i="29"/>
  <c r="M535" i="29"/>
  <c r="N463" i="29"/>
  <c r="M110" i="29"/>
  <c r="N242" i="29"/>
  <c r="N35" i="29"/>
  <c r="M168" i="29"/>
  <c r="N232" i="29"/>
  <c r="M522" i="29"/>
  <c r="N482" i="29"/>
  <c r="M443" i="29"/>
  <c r="N407" i="29"/>
  <c r="M269" i="29"/>
  <c r="N173" i="29"/>
  <c r="M302" i="29"/>
  <c r="M107" i="29"/>
  <c r="N231" i="29"/>
  <c r="M344" i="29"/>
  <c r="M354" i="29"/>
  <c r="M65" i="29"/>
  <c r="N606" i="29"/>
  <c r="M563" i="29"/>
  <c r="N523" i="29"/>
  <c r="M448" i="29"/>
  <c r="M142" i="29"/>
  <c r="M91" i="29"/>
  <c r="M44" i="29"/>
  <c r="N264" i="29"/>
  <c r="M33" i="29"/>
  <c r="M363" i="29"/>
  <c r="N427" i="29"/>
  <c r="M444" i="29"/>
  <c r="M385" i="29"/>
  <c r="M217" i="29"/>
  <c r="M78" i="29"/>
  <c r="M27" i="29"/>
  <c r="N311" i="29"/>
  <c r="N208" i="29"/>
  <c r="M86" i="29"/>
  <c r="M31" i="29"/>
  <c r="N315" i="29"/>
  <c r="N216" i="29"/>
  <c r="M606" i="29"/>
  <c r="M165" i="29"/>
  <c r="N391" i="29"/>
  <c r="M412" i="29"/>
  <c r="M361" i="29"/>
  <c r="M25" i="29"/>
  <c r="N45" i="29"/>
  <c r="M330" i="29"/>
  <c r="N213" i="29"/>
  <c r="M130" i="29"/>
  <c r="N54" i="29"/>
  <c r="N310" i="29"/>
  <c r="M227" i="29"/>
  <c r="N143" i="29"/>
  <c r="M64" i="29"/>
  <c r="N89" i="29"/>
  <c r="N345" i="29"/>
  <c r="M262" i="29"/>
  <c r="N186" i="29"/>
  <c r="M103" i="29"/>
  <c r="N19" i="29"/>
  <c r="N275" i="29"/>
  <c r="M196" i="29"/>
  <c r="N116" i="29"/>
  <c r="M189" i="29"/>
  <c r="N261" i="29"/>
  <c r="M178" i="29"/>
  <c r="N102" i="29"/>
  <c r="M19" i="29"/>
  <c r="M275" i="29"/>
  <c r="N191" i="29"/>
  <c r="M112" i="29"/>
  <c r="N32" i="29"/>
  <c r="N288" i="29"/>
  <c r="N237" i="29"/>
  <c r="M310" i="29"/>
  <c r="M47" i="29"/>
  <c r="N119" i="29"/>
  <c r="M188" i="29"/>
  <c r="N204" i="29"/>
  <c r="M466" i="29"/>
  <c r="N390" i="29"/>
  <c r="M37" i="29"/>
  <c r="M567" i="29"/>
  <c r="N41" i="29"/>
  <c r="M170" i="29"/>
  <c r="N302" i="29"/>
  <c r="N91" i="29"/>
  <c r="M220" i="29"/>
  <c r="N280" i="29"/>
  <c r="M558" i="29"/>
  <c r="N522" i="29"/>
  <c r="M479" i="29"/>
  <c r="N443" i="29"/>
  <c r="M372" i="29"/>
  <c r="N233" i="29"/>
  <c r="N34" i="29"/>
  <c r="M159" i="29"/>
  <c r="N291" i="29"/>
  <c r="N56" i="29"/>
  <c r="M390" i="29"/>
  <c r="M349" i="29"/>
  <c r="N448" i="29"/>
  <c r="M603" i="29"/>
  <c r="N555" i="29"/>
  <c r="M480" i="29"/>
  <c r="M218" i="29"/>
  <c r="M175" i="29"/>
  <c r="M120" i="29"/>
  <c r="N324" i="29"/>
  <c r="N362" i="29"/>
  <c r="M415" i="29"/>
  <c r="N475" i="29"/>
  <c r="M488" i="29"/>
  <c r="M417" i="29"/>
  <c r="N365" i="29"/>
  <c r="M150" i="29"/>
  <c r="M111" i="29"/>
  <c r="M56" i="29"/>
  <c r="N268" i="29"/>
  <c r="M158" i="29"/>
  <c r="M119" i="29"/>
  <c r="M60" i="29"/>
  <c r="N272" i="29"/>
  <c r="M129" i="29"/>
  <c r="M379" i="29"/>
  <c r="N439" i="29"/>
  <c r="M456" i="29"/>
  <c r="M393" i="29"/>
  <c r="M281" i="29"/>
  <c r="N125" i="29"/>
  <c r="N74" i="29"/>
  <c r="N245" i="29"/>
  <c r="M162" i="29"/>
  <c r="N86" i="29"/>
  <c r="N342" i="29"/>
  <c r="M259" i="29"/>
  <c r="N175" i="29"/>
  <c r="M96" i="29"/>
  <c r="N121" i="29"/>
  <c r="M38" i="29"/>
  <c r="M294" i="29"/>
  <c r="N218" i="29"/>
  <c r="M135" i="29"/>
  <c r="N51" i="29"/>
  <c r="N307" i="29"/>
  <c r="M228" i="29"/>
  <c r="N148" i="29"/>
  <c r="N37" i="29"/>
  <c r="N293" i="29"/>
  <c r="M210" i="29"/>
  <c r="N134" i="29"/>
  <c r="M51" i="29"/>
  <c r="M307" i="29"/>
  <c r="N223" i="29"/>
  <c r="M144" i="29"/>
  <c r="N64" i="29"/>
  <c r="N320" i="29"/>
  <c r="N289" i="29"/>
  <c r="N30" i="29"/>
  <c r="M95" i="29"/>
  <c r="N167" i="29"/>
  <c r="M244" i="29"/>
  <c r="N248" i="29"/>
  <c r="M498" i="29"/>
  <c r="N422" i="29"/>
  <c r="M293" i="29"/>
  <c r="M599" i="29"/>
  <c r="N97" i="29"/>
  <c r="M222" i="29"/>
  <c r="M23" i="29"/>
  <c r="N151" i="29"/>
  <c r="M276" i="29"/>
  <c r="N328" i="29"/>
  <c r="M598" i="29"/>
  <c r="N558" i="29"/>
  <c r="M515" i="29"/>
  <c r="N479" i="29"/>
  <c r="M404" i="29"/>
  <c r="N297" i="29"/>
  <c r="N94" i="29"/>
  <c r="M219" i="29"/>
  <c r="N347" i="29"/>
  <c r="N104" i="29"/>
  <c r="M426" i="29"/>
  <c r="N386" i="29"/>
  <c r="M325" i="29"/>
  <c r="M41" i="29"/>
  <c r="N587" i="29"/>
  <c r="M512" i="29"/>
  <c r="M298" i="29"/>
  <c r="M247" i="29"/>
  <c r="M204" i="29"/>
  <c r="M346" i="29"/>
  <c r="N406" i="29"/>
  <c r="M463" i="29"/>
  <c r="N519" i="29"/>
  <c r="M528" i="29"/>
  <c r="M449" i="29"/>
  <c r="N397" i="29"/>
  <c r="M234" i="29"/>
  <c r="M183" i="29"/>
  <c r="M136" i="29"/>
  <c r="N336" i="29"/>
  <c r="M238" i="29"/>
  <c r="M187" i="29"/>
  <c r="M148" i="29"/>
  <c r="N344" i="29"/>
  <c r="N370" i="29"/>
  <c r="M427" i="29"/>
  <c r="N487" i="29"/>
  <c r="M496" i="29"/>
  <c r="M425" i="29"/>
  <c r="N373" i="29"/>
  <c r="N201" i="29"/>
  <c r="N158" i="29"/>
  <c r="N21" i="29"/>
  <c r="N277" i="29"/>
  <c r="M194" i="29"/>
  <c r="N118" i="29"/>
  <c r="M35" i="29"/>
  <c r="M291" i="29"/>
  <c r="N207" i="29"/>
  <c r="M128" i="29"/>
  <c r="N153" i="29"/>
  <c r="M70" i="29"/>
  <c r="M326" i="29"/>
  <c r="N250" i="29"/>
  <c r="M167" i="29"/>
  <c r="N83" i="29"/>
  <c r="N339" i="29"/>
  <c r="M260" i="29"/>
  <c r="N180" i="29"/>
  <c r="N69" i="29"/>
  <c r="N325" i="29"/>
  <c r="M242" i="29"/>
  <c r="N166" i="29"/>
  <c r="M83" i="29"/>
  <c r="M339" i="29"/>
  <c r="N255" i="29"/>
  <c r="M176" i="29"/>
  <c r="N96" i="29"/>
  <c r="M29" i="29"/>
  <c r="N337" i="29"/>
  <c r="N78" i="29"/>
  <c r="M151" i="29"/>
  <c r="N219" i="29"/>
  <c r="M284" i="29"/>
  <c r="N292" i="29"/>
  <c r="M530" i="29"/>
  <c r="N454" i="29"/>
  <c r="M375" i="29"/>
  <c r="N440" i="29"/>
  <c r="N157" i="29"/>
  <c r="M282" i="29"/>
  <c r="M79" i="29"/>
  <c r="N203" i="29"/>
  <c r="M320" i="29"/>
  <c r="M253" i="29"/>
  <c r="N436" i="29"/>
  <c r="N594" i="29"/>
  <c r="M551" i="29"/>
  <c r="N511" i="29"/>
  <c r="M436" i="29"/>
  <c r="M14" i="29"/>
  <c r="N146" i="29"/>
  <c r="M279" i="29"/>
  <c r="M72" i="29"/>
  <c r="N152" i="29"/>
  <c r="M462" i="29"/>
  <c r="N426" i="29"/>
  <c r="M383" i="29"/>
  <c r="M329" i="29"/>
  <c r="N360" i="29"/>
  <c r="N93" i="29"/>
  <c r="N46" i="29"/>
  <c r="M331" i="29"/>
  <c r="M268" i="29"/>
  <c r="M398" i="29"/>
  <c r="N458" i="29"/>
  <c r="M511" i="29"/>
  <c r="N563" i="29"/>
  <c r="M560" i="29"/>
  <c r="M481" i="29"/>
  <c r="N17" i="29"/>
  <c r="M314" i="29"/>
  <c r="M267" i="29"/>
  <c r="M212" i="29"/>
  <c r="N29" i="29"/>
  <c r="M318" i="29"/>
  <c r="M271" i="29"/>
  <c r="M216" i="29"/>
  <c r="M362" i="29"/>
  <c r="N418" i="29"/>
  <c r="M475" i="29"/>
  <c r="N531" i="29"/>
  <c r="M536" i="29"/>
  <c r="M457" i="29"/>
  <c r="N405" i="29"/>
  <c r="N273" i="29"/>
  <c r="N226" i="29"/>
  <c r="N251" i="29"/>
  <c r="N156" i="29"/>
  <c r="M566" i="29"/>
  <c r="M305" i="29"/>
  <c r="N351" i="29"/>
  <c r="M376" i="29"/>
  <c r="M213" i="29"/>
  <c r="M589" i="29"/>
  <c r="M42" i="29"/>
  <c r="N338" i="29"/>
  <c r="N283" i="29"/>
  <c r="N176" i="29"/>
  <c r="M582" i="29"/>
  <c r="N428" i="29"/>
  <c r="N363" i="29"/>
  <c r="M392" i="29"/>
  <c r="M309" i="29"/>
  <c r="M601" i="29"/>
  <c r="N350" i="29"/>
  <c r="M430" i="29"/>
  <c r="M543" i="29"/>
  <c r="M580" i="29"/>
  <c r="N429" i="29"/>
  <c r="N552" i="29"/>
  <c r="N361" i="29"/>
  <c r="N364" i="29"/>
  <c r="M59" i="29"/>
  <c r="M442" i="29"/>
  <c r="M555" i="29"/>
  <c r="M588" i="29"/>
  <c r="N433" i="29"/>
  <c r="N584" i="29"/>
  <c r="N241" i="29"/>
  <c r="M236" i="29"/>
  <c r="N510" i="29"/>
  <c r="N611" i="29"/>
  <c r="M517" i="29"/>
  <c r="N581" i="29"/>
  <c r="N354" i="29"/>
  <c r="M116" i="29"/>
  <c r="N285" i="29"/>
  <c r="M252" i="29"/>
  <c r="N530" i="29"/>
  <c r="N404" i="29"/>
  <c r="M529" i="29"/>
  <c r="N585" i="29"/>
  <c r="N27" i="29"/>
  <c r="N318" i="29"/>
  <c r="N77" i="29"/>
  <c r="M84" i="29"/>
  <c r="N438" i="29"/>
  <c r="N547" i="29"/>
  <c r="M469" i="29"/>
  <c r="N557" i="29"/>
  <c r="N270" i="29"/>
  <c r="N168" i="29"/>
  <c r="N546" i="29"/>
  <c r="N493" i="29"/>
  <c r="N59" i="29"/>
  <c r="M81" i="29"/>
  <c r="N403" i="29"/>
  <c r="M369" i="29"/>
  <c r="N497" i="29"/>
  <c r="N504" i="29"/>
  <c r="N417" i="29"/>
  <c r="N597" i="29"/>
  <c r="M55" i="29"/>
  <c r="N331" i="29"/>
  <c r="N220" i="29"/>
  <c r="N13" i="29"/>
  <c r="M229" i="29"/>
  <c r="N395" i="29"/>
  <c r="M420" i="29"/>
  <c r="M365" i="29"/>
  <c r="M57" i="29"/>
  <c r="M122" i="29"/>
  <c r="M75" i="29"/>
  <c r="M24" i="29"/>
  <c r="N240" i="29"/>
  <c r="N408" i="29"/>
  <c r="M355" i="29"/>
  <c r="N415" i="29"/>
  <c r="M432" i="29"/>
  <c r="M377" i="29"/>
  <c r="M153" i="29"/>
  <c r="M223" i="29"/>
  <c r="M526" i="29"/>
  <c r="M73" i="29"/>
  <c r="M21" i="29"/>
  <c r="N465" i="29"/>
  <c r="N496" i="29"/>
  <c r="N561" i="29"/>
  <c r="N369" i="29"/>
  <c r="M239" i="29"/>
  <c r="M542" i="29"/>
  <c r="M137" i="29"/>
  <c r="M85" i="29"/>
  <c r="N473" i="29"/>
  <c r="N528" i="29"/>
  <c r="M118" i="29"/>
  <c r="N60" i="29"/>
  <c r="N610" i="29"/>
  <c r="M364" i="29"/>
  <c r="M581" i="29"/>
  <c r="N613" i="29"/>
  <c r="M607" i="29"/>
  <c r="M602" i="29"/>
  <c r="M138" i="29"/>
  <c r="N100" i="29"/>
  <c r="N368" i="29"/>
  <c r="M380" i="29"/>
  <c r="M593" i="29"/>
  <c r="M177" i="29"/>
  <c r="M394" i="29"/>
  <c r="M312" i="29"/>
  <c r="N301" i="29"/>
  <c r="M264" i="29"/>
  <c r="N538" i="29"/>
  <c r="N424" i="29"/>
  <c r="M533" i="29"/>
  <c r="N589" i="29"/>
  <c r="M308" i="29"/>
  <c r="N562" i="29"/>
  <c r="N559" i="29"/>
  <c r="N488" i="29"/>
  <c r="N279" i="29"/>
  <c r="N382" i="29"/>
  <c r="N499" i="29"/>
  <c r="M433" i="29"/>
  <c r="N537" i="29"/>
  <c r="N604" i="29"/>
  <c r="N544" i="29"/>
  <c r="N572" i="29"/>
  <c r="M123" i="29"/>
  <c r="M76" i="29"/>
  <c r="N284" i="29"/>
  <c r="M193" i="29"/>
  <c r="M387" i="29"/>
  <c r="N447" i="29"/>
  <c r="M460" i="29"/>
  <c r="M397" i="29"/>
  <c r="M313" i="29"/>
  <c r="M202" i="29"/>
  <c r="M155" i="29"/>
  <c r="M104" i="29"/>
  <c r="N312" i="29"/>
  <c r="M321" i="29"/>
  <c r="M399" i="29"/>
  <c r="N467" i="29"/>
  <c r="M476" i="29"/>
  <c r="M409" i="29"/>
  <c r="N357" i="29"/>
  <c r="N103" i="29"/>
  <c r="N352" i="29"/>
  <c r="N411" i="29"/>
  <c r="M373" i="29"/>
  <c r="N505" i="29"/>
  <c r="N536" i="29"/>
  <c r="N556" i="29"/>
  <c r="N565" i="29"/>
  <c r="N123" i="29"/>
  <c r="N464" i="29"/>
  <c r="N423" i="29"/>
  <c r="M381" i="29"/>
  <c r="N509" i="29"/>
  <c r="N568" i="29"/>
  <c r="M334" i="29"/>
  <c r="N236" i="29"/>
  <c r="M371" i="29"/>
  <c r="M452" i="29"/>
  <c r="M249" i="29"/>
  <c r="N456" i="29"/>
  <c r="M484" i="29"/>
  <c r="M423" i="29"/>
  <c r="N14" i="29"/>
  <c r="N260" i="29"/>
  <c r="M391" i="29"/>
  <c r="M464" i="29"/>
  <c r="M345" i="29"/>
  <c r="N480" i="29"/>
  <c r="M411" i="29"/>
  <c r="N366" i="29"/>
  <c r="M182" i="29"/>
  <c r="N108" i="29"/>
  <c r="N400" i="29"/>
  <c r="M388" i="29"/>
  <c r="M597" i="29"/>
  <c r="M241" i="29"/>
  <c r="N450" i="29"/>
  <c r="N567" i="29"/>
  <c r="M413" i="29"/>
  <c r="N161" i="29"/>
  <c r="M156" i="29"/>
  <c r="N478" i="29"/>
  <c r="N583" i="29"/>
  <c r="M497" i="29"/>
  <c r="N569" i="29"/>
  <c r="M190" i="29"/>
  <c r="N39" i="29"/>
  <c r="M207" i="29"/>
  <c r="M152" i="29"/>
  <c r="M61" i="29"/>
  <c r="N378" i="29"/>
  <c r="M431" i="29"/>
  <c r="N495" i="29"/>
  <c r="M504" i="29"/>
  <c r="M429" i="29"/>
  <c r="N377" i="29"/>
  <c r="M278" i="29"/>
  <c r="M235" i="29"/>
  <c r="M180" i="29"/>
  <c r="M157" i="29"/>
  <c r="N398" i="29"/>
  <c r="M451" i="29"/>
  <c r="N507" i="29"/>
  <c r="M520" i="29"/>
  <c r="M441" i="29"/>
  <c r="N389" i="29"/>
  <c r="N295" i="29"/>
  <c r="N394" i="29"/>
  <c r="N503" i="29"/>
  <c r="M437" i="29"/>
  <c r="N541" i="29"/>
  <c r="M143" i="29"/>
  <c r="M214" i="29"/>
  <c r="N588" i="29"/>
  <c r="N343" i="29"/>
  <c r="N402" i="29"/>
  <c r="N515" i="29"/>
  <c r="M445" i="29"/>
  <c r="N545" i="29"/>
  <c r="N317" i="29"/>
  <c r="N194" i="29"/>
  <c r="M358" i="29"/>
  <c r="M467" i="29"/>
  <c r="M532" i="29"/>
  <c r="N401" i="29"/>
  <c r="N548" i="29"/>
  <c r="M605" i="29"/>
  <c r="M141" i="29"/>
  <c r="N238" i="29"/>
  <c r="M374" i="29"/>
  <c r="M487" i="29"/>
  <c r="M544" i="29"/>
  <c r="N409" i="29"/>
  <c r="N580" i="29"/>
  <c r="M45" i="29"/>
  <c r="M519" i="29"/>
  <c r="N42" i="29"/>
  <c r="N296" i="29"/>
  <c r="M395" i="29"/>
  <c r="M472" i="29"/>
  <c r="N353" i="29"/>
  <c r="N512" i="29"/>
  <c r="N375" i="29"/>
  <c r="M421" i="29"/>
  <c r="N593" i="29"/>
  <c r="M30" i="29"/>
  <c r="M332" i="29"/>
  <c r="N578" i="29"/>
  <c r="M237" i="29"/>
  <c r="M561" i="29"/>
  <c r="N601" i="29"/>
  <c r="M92" i="29"/>
  <c r="N316" i="29"/>
  <c r="M283" i="29"/>
  <c r="M232" i="29"/>
  <c r="M366" i="29"/>
  <c r="N430" i="29"/>
  <c r="M483" i="29"/>
  <c r="N535" i="29"/>
  <c r="M540" i="29"/>
  <c r="M461" i="29"/>
  <c r="N73" i="29"/>
  <c r="N18" i="29"/>
  <c r="M311" i="29"/>
  <c r="M256" i="29"/>
  <c r="M386" i="29"/>
  <c r="N442" i="29"/>
  <c r="M499" i="29"/>
  <c r="N551" i="29"/>
  <c r="M552" i="29"/>
  <c r="M473" i="29"/>
  <c r="N205" i="29"/>
  <c r="M172" i="29"/>
  <c r="N490" i="29"/>
  <c r="N591" i="29"/>
  <c r="M501" i="29"/>
  <c r="N573" i="29"/>
  <c r="N304" i="29"/>
  <c r="N259" i="29"/>
  <c r="N221" i="29"/>
  <c r="M200" i="29"/>
  <c r="N502" i="29"/>
  <c r="N599" i="29"/>
  <c r="M509" i="29"/>
  <c r="N577" i="29"/>
  <c r="M490" i="29"/>
  <c r="M63" i="29"/>
  <c r="M454" i="29"/>
  <c r="M571" i="29"/>
  <c r="M596" i="29"/>
  <c r="N441" i="29"/>
  <c r="N532" i="29"/>
  <c r="N453" i="29"/>
  <c r="M357" i="29"/>
  <c r="M87" i="29"/>
  <c r="M474" i="29"/>
  <c r="M583" i="29"/>
  <c r="M608" i="29"/>
  <c r="N445" i="29"/>
  <c r="N492" i="29"/>
  <c r="M477" i="29"/>
  <c r="M408" i="29"/>
  <c r="N254" i="29"/>
  <c r="M382" i="29"/>
  <c r="M495" i="29"/>
  <c r="M548" i="29"/>
  <c r="N413" i="29"/>
  <c r="N612" i="29"/>
  <c r="M341" i="29"/>
  <c r="N457" i="29"/>
  <c r="M506" i="29"/>
  <c r="M266" i="29"/>
  <c r="N172" i="29"/>
  <c r="M261" i="29"/>
  <c r="M424" i="29"/>
  <c r="M89" i="29"/>
  <c r="N396" i="29"/>
  <c r="M586" i="29"/>
  <c r="N466" i="29"/>
  <c r="N23" i="29"/>
  <c r="M300" i="29"/>
  <c r="M418" i="29"/>
  <c r="N474" i="29"/>
  <c r="M531" i="29"/>
  <c r="N579" i="29"/>
  <c r="M572" i="29"/>
  <c r="M493" i="29"/>
  <c r="N145" i="29"/>
  <c r="N106" i="29"/>
  <c r="N43" i="29"/>
  <c r="M316" i="29"/>
  <c r="M438" i="29"/>
  <c r="N494" i="29"/>
  <c r="M547" i="29"/>
  <c r="N595" i="29"/>
  <c r="M584" i="29"/>
  <c r="M505" i="29"/>
  <c r="M58" i="29"/>
  <c r="N28" i="29"/>
  <c r="N586" i="29"/>
  <c r="M301" i="29"/>
  <c r="M565" i="29"/>
  <c r="N605" i="29"/>
  <c r="M69" i="29"/>
  <c r="M406" i="29"/>
  <c r="M94" i="29"/>
  <c r="N44" i="29"/>
  <c r="N598" i="29"/>
  <c r="M356" i="29"/>
  <c r="M573" i="29"/>
  <c r="N609" i="29"/>
  <c r="M556" i="29"/>
  <c r="M287" i="29"/>
  <c r="M550" i="29"/>
  <c r="M265" i="29"/>
  <c r="M149" i="29"/>
  <c r="N477" i="29"/>
  <c r="N560" i="29"/>
  <c r="N356" i="29"/>
  <c r="N421" i="29"/>
  <c r="M299" i="29"/>
  <c r="M570" i="29"/>
  <c r="N355" i="29"/>
  <c r="M245" i="29"/>
  <c r="N481" i="29"/>
  <c r="N592" i="29"/>
  <c r="N489" i="29"/>
  <c r="M485" i="29"/>
  <c r="M127" i="29"/>
  <c r="M478" i="29"/>
  <c r="M591" i="29"/>
  <c r="M612" i="29"/>
  <c r="N449" i="29"/>
  <c r="N524" i="29"/>
  <c r="N525" i="29"/>
  <c r="N576" i="29"/>
  <c r="M17" i="29"/>
  <c r="N110" i="29"/>
  <c r="M93" i="29"/>
  <c r="M435" i="29"/>
  <c r="M508" i="29"/>
  <c r="N381" i="29"/>
  <c r="N608" i="29"/>
  <c r="M507" i="29"/>
  <c r="N387" i="29"/>
  <c r="N99" i="29"/>
  <c r="N24" i="29"/>
  <c r="M470" i="29"/>
  <c r="N526" i="29"/>
  <c r="M579" i="29"/>
  <c r="N380" i="29"/>
  <c r="M604" i="29"/>
  <c r="M525" i="29"/>
  <c r="N225" i="29"/>
  <c r="N174" i="29"/>
  <c r="N131" i="29"/>
  <c r="N48" i="29"/>
  <c r="M482" i="29"/>
  <c r="N542" i="29"/>
  <c r="M595" i="29"/>
  <c r="N444" i="29"/>
  <c r="G628" i="29"/>
  <c r="M537" i="29"/>
  <c r="M270" i="29"/>
  <c r="N188" i="29"/>
  <c r="M350" i="29"/>
  <c r="M428" i="29"/>
  <c r="M121" i="29"/>
  <c r="N412" i="29"/>
  <c r="N471" i="29"/>
  <c r="M133" i="29"/>
  <c r="M286" i="29"/>
  <c r="N228" i="29"/>
  <c r="M359" i="29"/>
  <c r="M440" i="29"/>
  <c r="M185" i="29"/>
  <c r="N432" i="29"/>
  <c r="M209" i="29"/>
  <c r="N135" i="29"/>
  <c r="M97" i="29"/>
  <c r="N435" i="29"/>
  <c r="M389" i="29"/>
  <c r="N513" i="29"/>
  <c r="N600" i="29"/>
  <c r="N540" i="29"/>
  <c r="N372" i="29"/>
  <c r="N187" i="29"/>
  <c r="M225" i="29"/>
  <c r="N451" i="29"/>
  <c r="M401" i="29"/>
  <c r="N517" i="29"/>
  <c r="N476" i="29"/>
  <c r="N596" i="29"/>
  <c r="N529" i="29"/>
  <c r="M319" i="29"/>
  <c r="M578" i="29"/>
  <c r="N359" i="29"/>
  <c r="M277" i="29"/>
  <c r="N485" i="29"/>
  <c r="N500" i="29"/>
  <c r="M26" i="29"/>
  <c r="N82" i="29"/>
  <c r="M492" i="29"/>
  <c r="N330" i="29"/>
  <c r="M422" i="29"/>
  <c r="M539" i="29"/>
  <c r="M576" i="29"/>
  <c r="N425" i="29"/>
  <c r="N520" i="29"/>
  <c r="M396" i="29"/>
  <c r="M564" i="29"/>
  <c r="N183" i="29"/>
  <c r="N92" i="29"/>
  <c r="M514" i="29"/>
  <c r="N574" i="29"/>
  <c r="N416" i="29"/>
  <c r="M205" i="29"/>
  <c r="N420" i="29"/>
  <c r="M557" i="29"/>
  <c r="N305" i="29"/>
  <c r="N258" i="29"/>
  <c r="N199" i="29"/>
  <c r="N112" i="29"/>
  <c r="M534" i="29"/>
  <c r="N590" i="29"/>
  <c r="M105" i="29"/>
  <c r="M333" i="29"/>
  <c r="M53" i="29"/>
  <c r="M569" i="29"/>
  <c r="N162" i="29"/>
  <c r="M125" i="29"/>
  <c r="M447" i="29"/>
  <c r="M516" i="29"/>
  <c r="N385" i="29"/>
  <c r="N484" i="29"/>
  <c r="M113" i="29"/>
  <c r="N483" i="29"/>
  <c r="N170" i="29"/>
  <c r="M317" i="29"/>
  <c r="M459" i="29"/>
  <c r="M524" i="29"/>
  <c r="N393" i="29"/>
  <c r="N516" i="29"/>
  <c r="N49" i="29"/>
  <c r="M20" i="29"/>
  <c r="N414" i="29"/>
  <c r="N527" i="29"/>
  <c r="M453" i="29"/>
  <c r="N549" i="29"/>
  <c r="N215" i="29"/>
  <c r="N98" i="29"/>
  <c r="N65" i="29"/>
  <c r="M28" i="29"/>
  <c r="N434" i="29"/>
  <c r="N539" i="29"/>
  <c r="M465" i="29"/>
  <c r="N553" i="29"/>
  <c r="N129" i="29"/>
  <c r="N141" i="29"/>
  <c r="N472" i="29"/>
  <c r="N195" i="29"/>
  <c r="M289" i="29"/>
  <c r="N459" i="29"/>
  <c r="M405" i="29"/>
  <c r="N521" i="29"/>
  <c r="N508" i="29"/>
  <c r="M171" i="29"/>
  <c r="N124" i="29"/>
  <c r="M549" i="29"/>
  <c r="M215" i="29"/>
  <c r="M518" i="29"/>
  <c r="N460" i="29"/>
  <c r="N452" i="29"/>
  <c r="N461" i="29"/>
  <c r="N564" i="29"/>
  <c r="M541" i="29"/>
  <c r="M613" i="29"/>
  <c r="DJ110" i="25" l="1"/>
  <c r="DQ110" i="25" s="1"/>
  <c r="CZ216" i="25"/>
  <c r="DB216" i="25" s="1"/>
  <c r="T623" i="29"/>
  <c r="O623" i="29"/>
  <c r="K623" i="29"/>
  <c r="L623" i="29"/>
  <c r="P623" i="29"/>
  <c r="U623" i="29"/>
  <c r="S623" i="29"/>
  <c r="V623" i="29"/>
  <c r="Q623" i="29"/>
  <c r="R623" i="29"/>
  <c r="DQ212" i="25"/>
  <c r="DN212" i="25"/>
  <c r="DX216" i="24"/>
  <c r="EE216" i="24" s="1"/>
  <c r="DH216" i="25"/>
  <c r="DJ216" i="25" s="1"/>
  <c r="EB269" i="25"/>
  <c r="EA269" i="25"/>
  <c r="EB245" i="25"/>
  <c r="EA245" i="25"/>
  <c r="EB289" i="25"/>
  <c r="EA289" i="25"/>
  <c r="EB280" i="25"/>
  <c r="EA280" i="25"/>
  <c r="EB285" i="25"/>
  <c r="EA285" i="25"/>
  <c r="EB257" i="25"/>
  <c r="EA257" i="25"/>
  <c r="EB243" i="25"/>
  <c r="EA243" i="25"/>
  <c r="EB293" i="25"/>
  <c r="EA293" i="25"/>
  <c r="EB286" i="25"/>
  <c r="EA286" i="25"/>
  <c r="EB281" i="25"/>
  <c r="EA281" i="25"/>
  <c r="EB274" i="25"/>
  <c r="EA274" i="25"/>
  <c r="EB222" i="25"/>
  <c r="EA222" i="25"/>
  <c r="EB237" i="25"/>
  <c r="EA237" i="25"/>
  <c r="EB287" i="25"/>
  <c r="EA287" i="25"/>
  <c r="EB227" i="25"/>
  <c r="EA227" i="25"/>
  <c r="EB225" i="25"/>
  <c r="EA225" i="25"/>
  <c r="EB251" i="25"/>
  <c r="EA251" i="25"/>
  <c r="EB236" i="25"/>
  <c r="EA236" i="25"/>
  <c r="EB307" i="25"/>
  <c r="EA307" i="25"/>
  <c r="EB316" i="25"/>
  <c r="EA316" i="25"/>
  <c r="EB221" i="25"/>
  <c r="EA221" i="25"/>
  <c r="EB229" i="25"/>
  <c r="EA229" i="25"/>
  <c r="EB263" i="25"/>
  <c r="EA263" i="25"/>
  <c r="EB239" i="25"/>
  <c r="EA239" i="25"/>
  <c r="EB302" i="25"/>
  <c r="EA302" i="25"/>
  <c r="EB292" i="25"/>
  <c r="EA292" i="25"/>
  <c r="EB252" i="25"/>
  <c r="EA252" i="25"/>
  <c r="EB226" i="25"/>
  <c r="EA226" i="25"/>
  <c r="EB310" i="25"/>
  <c r="EA310" i="25"/>
  <c r="EB220" i="25"/>
  <c r="EA220" i="25"/>
  <c r="EB249" i="25"/>
  <c r="EA249" i="25"/>
  <c r="EB248" i="25"/>
  <c r="EA248" i="25"/>
  <c r="EB260" i="25"/>
  <c r="EA260" i="25"/>
  <c r="EB219" i="25"/>
  <c r="EA219" i="25"/>
  <c r="EB295" i="25"/>
  <c r="EA295" i="25"/>
  <c r="EB253" i="25"/>
  <c r="EA253" i="25"/>
  <c r="EB217" i="25"/>
  <c r="EA217" i="25"/>
  <c r="EB296" i="25"/>
  <c r="EA296" i="25"/>
  <c r="EB299" i="25"/>
  <c r="EA299" i="25"/>
  <c r="EB265" i="25"/>
  <c r="EA265" i="25"/>
  <c r="EB271" i="25"/>
  <c r="EA271" i="25"/>
  <c r="EB278" i="25"/>
  <c r="EA278" i="25"/>
  <c r="EB234" i="25"/>
  <c r="EA234" i="25"/>
  <c r="EB309" i="25"/>
  <c r="EA309" i="25"/>
  <c r="EB246" i="25"/>
  <c r="EA246" i="25"/>
  <c r="EB288" i="25"/>
  <c r="EA288" i="25"/>
  <c r="EA216" i="25"/>
  <c r="EB216" i="25"/>
  <c r="EB308" i="25"/>
  <c r="EA308" i="25"/>
  <c r="EB298" i="25"/>
  <c r="EA298" i="25"/>
  <c r="EB242" i="25"/>
  <c r="EA242" i="25"/>
  <c r="EB262" i="25"/>
  <c r="EA262" i="25"/>
  <c r="EB277" i="25"/>
  <c r="EA277" i="25"/>
  <c r="EB254" i="25"/>
  <c r="EA254" i="25"/>
  <c r="EB290" i="25"/>
  <c r="EA290" i="25"/>
  <c r="EB291" i="25"/>
  <c r="EA291" i="25"/>
  <c r="EB247" i="25"/>
  <c r="EA247" i="25"/>
  <c r="EB258" i="25"/>
  <c r="EA258" i="25"/>
  <c r="EB264" i="25"/>
  <c r="EA264" i="25"/>
  <c r="EB261" i="25"/>
  <c r="EA261" i="25"/>
  <c r="EB303" i="25"/>
  <c r="EA303" i="25"/>
  <c r="EB270" i="25"/>
  <c r="EA270" i="25"/>
  <c r="EB240" i="25"/>
  <c r="EA240" i="25"/>
  <c r="EB279" i="25"/>
  <c r="EA279" i="25"/>
  <c r="EB284" i="25"/>
  <c r="EA284" i="25"/>
  <c r="EB256" i="25"/>
  <c r="EA256" i="25"/>
  <c r="EB244" i="25"/>
  <c r="EA244" i="25"/>
  <c r="EB305" i="25"/>
  <c r="EA305" i="25"/>
  <c r="EB259" i="25"/>
  <c r="EA259" i="25"/>
  <c r="EB294" i="25"/>
  <c r="EA294" i="25"/>
  <c r="EB233" i="25"/>
  <c r="EA233" i="25"/>
  <c r="EB266" i="25"/>
  <c r="EA266" i="25"/>
  <c r="EB231" i="25"/>
  <c r="EA231" i="25"/>
  <c r="EB268" i="25"/>
  <c r="EA268" i="25"/>
  <c r="EB223" i="25"/>
  <c r="EA223" i="25"/>
  <c r="EB273" i="25"/>
  <c r="EA273" i="25"/>
  <c r="EB224" i="25"/>
  <c r="EA224" i="25"/>
  <c r="EB241" i="25"/>
  <c r="EA241" i="25"/>
  <c r="EB232" i="25"/>
  <c r="EA232" i="25"/>
  <c r="EB272" i="25"/>
  <c r="EA272" i="25"/>
  <c r="EB313" i="25"/>
  <c r="EA313" i="25"/>
  <c r="EB250" i="25"/>
  <c r="EA250" i="25"/>
  <c r="EB276" i="25"/>
  <c r="EA276" i="25"/>
  <c r="EB311" i="25"/>
  <c r="EA311" i="25"/>
  <c r="EB300" i="25"/>
  <c r="EA300" i="25"/>
  <c r="EB218" i="25"/>
  <c r="EA218" i="25"/>
  <c r="EB315" i="25"/>
  <c r="EA315" i="25"/>
  <c r="EB282" i="25"/>
  <c r="EA282" i="25"/>
  <c r="EB238" i="25"/>
  <c r="EA238" i="25"/>
  <c r="EB297" i="25"/>
  <c r="EA297" i="25"/>
  <c r="EB283" i="25"/>
  <c r="EA283" i="25"/>
  <c r="EB230" i="25"/>
  <c r="EA230" i="25"/>
  <c r="EB235" i="25"/>
  <c r="EA235" i="25"/>
  <c r="EB275" i="25"/>
  <c r="EA275" i="25"/>
  <c r="EB267" i="25"/>
  <c r="EA267" i="25"/>
  <c r="EB301" i="25"/>
  <c r="EA301" i="25"/>
  <c r="EB314" i="25"/>
  <c r="EA314" i="25"/>
  <c r="EB306" i="25"/>
  <c r="EA306" i="25"/>
  <c r="EB228" i="25"/>
  <c r="EA228" i="25"/>
  <c r="EB304" i="25"/>
  <c r="EA304" i="25"/>
  <c r="EB312" i="25"/>
  <c r="EA312" i="25"/>
  <c r="EB255" i="25"/>
  <c r="EA255" i="25"/>
  <c r="EA112" i="25"/>
  <c r="DQ112" i="25"/>
  <c r="DN112" i="25"/>
  <c r="DN183" i="25"/>
  <c r="DN206" i="25"/>
  <c r="DN203" i="24"/>
  <c r="DX203" i="24" s="1"/>
  <c r="DN146" i="24"/>
  <c r="DX146" i="24" s="1"/>
  <c r="DN86" i="24"/>
  <c r="DX86" i="24" s="1"/>
  <c r="DN66" i="24"/>
  <c r="DX66" i="24" s="1"/>
  <c r="DN137" i="24"/>
  <c r="DX137" i="24" s="1"/>
  <c r="DN127" i="25"/>
  <c r="DN187" i="24"/>
  <c r="DX187" i="24" s="1"/>
  <c r="DN207" i="24"/>
  <c r="DX207" i="24" s="1"/>
  <c r="DW110" i="24"/>
  <c r="EN110" i="24"/>
  <c r="EM110" i="24"/>
  <c r="EP110" i="24" s="1"/>
  <c r="DU110" i="24"/>
  <c r="FA110" i="24"/>
  <c r="EL110" i="24"/>
  <c r="EY110" i="24"/>
  <c r="EB110" i="24"/>
  <c r="DN79" i="24"/>
  <c r="DZ79" i="24" s="1"/>
  <c r="DW5" i="24"/>
  <c r="EN5" i="24"/>
  <c r="EM5" i="24"/>
  <c r="EP5" i="24" s="1"/>
  <c r="DU5" i="24"/>
  <c r="FA5" i="24"/>
  <c r="EB5" i="24"/>
  <c r="EL5" i="24"/>
  <c r="EY5" i="24"/>
  <c r="DN234" i="24"/>
  <c r="DO216" i="24"/>
  <c r="DR216" i="24"/>
  <c r="EY216" i="24" s="1"/>
  <c r="DN182" i="25"/>
  <c r="DN69" i="25"/>
  <c r="DN93" i="24"/>
  <c r="DZ93" i="24" s="1"/>
  <c r="DN73" i="25"/>
  <c r="DN139" i="24"/>
  <c r="DX139" i="24" s="1"/>
  <c r="DN248" i="24"/>
  <c r="DN78" i="24"/>
  <c r="DZ78" i="24" s="1"/>
  <c r="DN57" i="25"/>
  <c r="DN196" i="25"/>
  <c r="DN198" i="25"/>
  <c r="DN262" i="25"/>
  <c r="DN94" i="24"/>
  <c r="DZ94" i="24" s="1"/>
  <c r="DN181" i="24"/>
  <c r="DX181" i="24" s="1"/>
  <c r="DN75" i="24"/>
  <c r="DZ75" i="24" s="1"/>
  <c r="DN168" i="24"/>
  <c r="DX168" i="24" s="1"/>
  <c r="DN165" i="24"/>
  <c r="DX165" i="24" s="1"/>
  <c r="DN131" i="24"/>
  <c r="DX131" i="24" s="1"/>
  <c r="DN113" i="24"/>
  <c r="DX113" i="24" s="1"/>
  <c r="DN237" i="24"/>
  <c r="DN116" i="24"/>
  <c r="DX116" i="24" s="1"/>
  <c r="DN291" i="24"/>
  <c r="DN273" i="24"/>
  <c r="DN312" i="24"/>
  <c r="DN254" i="24"/>
  <c r="DN27" i="24"/>
  <c r="DZ27" i="24" s="1"/>
  <c r="DN275" i="24"/>
  <c r="DN284" i="24"/>
  <c r="DN143" i="25"/>
  <c r="DN221" i="24"/>
  <c r="DN16" i="24"/>
  <c r="DZ16" i="24" s="1"/>
  <c r="DN255" i="24"/>
  <c r="DN264" i="24"/>
  <c r="DN162" i="24"/>
  <c r="DX162" i="24" s="1"/>
  <c r="DN310" i="24"/>
  <c r="DN163" i="24"/>
  <c r="DX163" i="24" s="1"/>
  <c r="DN299" i="24"/>
  <c r="DN139" i="25"/>
  <c r="DQ183" i="25"/>
  <c r="DT183" i="25" s="1"/>
  <c r="DN138" i="25"/>
  <c r="DN181" i="25"/>
  <c r="DN179" i="25"/>
  <c r="DN299" i="25"/>
  <c r="DQ73" i="25"/>
  <c r="DQ143" i="25"/>
  <c r="DT143" i="25" s="1"/>
  <c r="DQ138" i="25"/>
  <c r="DV138" i="25" s="1"/>
  <c r="DQ181" i="25"/>
  <c r="EJ181" i="25" s="1"/>
  <c r="DQ182" i="25"/>
  <c r="DV182" i="25" s="1"/>
  <c r="DN178" i="25"/>
  <c r="DN85" i="24"/>
  <c r="DX85" i="24" s="1"/>
  <c r="DN219" i="24"/>
  <c r="DN206" i="24"/>
  <c r="DX206" i="24" s="1"/>
  <c r="DN179" i="24"/>
  <c r="DX179" i="24" s="1"/>
  <c r="DN254" i="25"/>
  <c r="DQ254" i="25"/>
  <c r="DQ137" i="25"/>
  <c r="FA137" i="25" s="1"/>
  <c r="DN137" i="25"/>
  <c r="DW97" i="25"/>
  <c r="EB68" i="25"/>
  <c r="EA68" i="25"/>
  <c r="DN227" i="25"/>
  <c r="DQ227" i="25"/>
  <c r="EB195" i="25"/>
  <c r="EA195" i="25"/>
  <c r="DN115" i="24"/>
  <c r="DX115" i="24" s="1"/>
  <c r="DN95" i="24"/>
  <c r="DZ95" i="24" s="1"/>
  <c r="DN301" i="24"/>
  <c r="DN69" i="24"/>
  <c r="DX69" i="24" s="1"/>
  <c r="DN78" i="25"/>
  <c r="DQ78" i="25"/>
  <c r="DW200" i="25"/>
  <c r="DN196" i="24"/>
  <c r="DX196" i="24" s="1"/>
  <c r="DN169" i="24"/>
  <c r="DX169" i="24" s="1"/>
  <c r="DN243" i="24"/>
  <c r="DN151" i="24"/>
  <c r="DX151" i="24" s="1"/>
  <c r="DN278" i="24"/>
  <c r="DN149" i="24"/>
  <c r="DX149" i="24" s="1"/>
  <c r="DN208" i="24"/>
  <c r="DX208" i="24" s="1"/>
  <c r="DN103" i="25"/>
  <c r="DQ103" i="25"/>
  <c r="DT103" i="25" s="1"/>
  <c r="DN34" i="25"/>
  <c r="DQ34" i="25"/>
  <c r="DN266" i="25"/>
  <c r="DQ266" i="25"/>
  <c r="DN296" i="25"/>
  <c r="DQ296" i="25"/>
  <c r="DQ263" i="25"/>
  <c r="DN263" i="25"/>
  <c r="DQ81" i="25"/>
  <c r="DN81" i="25"/>
  <c r="DN184" i="24"/>
  <c r="DX184" i="24" s="1"/>
  <c r="DN97" i="24"/>
  <c r="DZ97" i="24" s="1"/>
  <c r="DQ241" i="25"/>
  <c r="DN241" i="25"/>
  <c r="DN176" i="24"/>
  <c r="DX176" i="24" s="1"/>
  <c r="DN130" i="24"/>
  <c r="DX130" i="24" s="1"/>
  <c r="DN76" i="24"/>
  <c r="DZ76" i="24" s="1"/>
  <c r="DN117" i="24"/>
  <c r="DX117" i="24" s="1"/>
  <c r="DN191" i="24"/>
  <c r="DX191" i="24" s="1"/>
  <c r="DN198" i="24"/>
  <c r="DX198" i="24" s="1"/>
  <c r="DN306" i="24"/>
  <c r="DN74" i="24"/>
  <c r="DX74" i="24" s="1"/>
  <c r="DN217" i="24"/>
  <c r="DN84" i="24"/>
  <c r="DX84" i="24" s="1"/>
  <c r="DN256" i="24"/>
  <c r="DN135" i="24"/>
  <c r="DX135" i="24" s="1"/>
  <c r="DN205" i="24"/>
  <c r="DX205" i="24" s="1"/>
  <c r="DW174" i="25"/>
  <c r="DW131" i="25"/>
  <c r="EB118" i="25"/>
  <c r="EA118" i="25"/>
  <c r="DN156" i="24"/>
  <c r="DX156" i="24" s="1"/>
  <c r="DN257" i="25"/>
  <c r="DQ257" i="25"/>
  <c r="EB102" i="25"/>
  <c r="EA102" i="25"/>
  <c r="DQ43" i="25"/>
  <c r="DN43" i="25"/>
  <c r="DQ121" i="25"/>
  <c r="FA121" i="25" s="1"/>
  <c r="DN121" i="25"/>
  <c r="DN312" i="25"/>
  <c r="DQ312" i="25"/>
  <c r="DN272" i="25"/>
  <c r="DQ272" i="25"/>
  <c r="DN91" i="24"/>
  <c r="DZ91" i="24" s="1"/>
  <c r="DW180" i="25"/>
  <c r="DW95" i="25"/>
  <c r="DQ224" i="25"/>
  <c r="DN224" i="25"/>
  <c r="DQ119" i="25"/>
  <c r="EJ119" i="25" s="1"/>
  <c r="DN119" i="25"/>
  <c r="DQ193" i="25"/>
  <c r="EJ193" i="25" s="1"/>
  <c r="DN193" i="25"/>
  <c r="DN75" i="25"/>
  <c r="DQ75" i="25"/>
  <c r="DQ299" i="25"/>
  <c r="DQ244" i="25"/>
  <c r="DN244" i="25"/>
  <c r="DW103" i="25"/>
  <c r="DW178" i="25"/>
  <c r="DW51" i="25"/>
  <c r="DN13" i="25"/>
  <c r="DQ13" i="25"/>
  <c r="EB10" i="25"/>
  <c r="EA10" i="25"/>
  <c r="DW91" i="25"/>
  <c r="DN237" i="25"/>
  <c r="DQ237" i="25"/>
  <c r="DN242" i="25"/>
  <c r="DQ242" i="25"/>
  <c r="EB16" i="25"/>
  <c r="EA16" i="25"/>
  <c r="DQ315" i="25"/>
  <c r="DN315" i="25"/>
  <c r="DQ187" i="25"/>
  <c r="EY187" i="25" s="1"/>
  <c r="DN187" i="25"/>
  <c r="EB31" i="25"/>
  <c r="EA31" i="25"/>
  <c r="DW89" i="25"/>
  <c r="DN85" i="25"/>
  <c r="DQ85" i="25"/>
  <c r="DQ148" i="25"/>
  <c r="DN148" i="25"/>
  <c r="DQ35" i="25"/>
  <c r="DN35" i="25"/>
  <c r="DQ144" i="25"/>
  <c r="DN144" i="25"/>
  <c r="DN286" i="25"/>
  <c r="DQ286" i="25"/>
  <c r="DN282" i="25"/>
  <c r="DQ282" i="25"/>
  <c r="DN159" i="25"/>
  <c r="DQ159" i="25"/>
  <c r="DQ151" i="25"/>
  <c r="DN151" i="25"/>
  <c r="EB146" i="25"/>
  <c r="EA146" i="25"/>
  <c r="DQ206" i="25"/>
  <c r="DT206" i="25" s="1"/>
  <c r="DW9" i="25"/>
  <c r="DW143" i="25"/>
  <c r="DQ316" i="25"/>
  <c r="DN316" i="25"/>
  <c r="EB46" i="25"/>
  <c r="EA46" i="25"/>
  <c r="DN72" i="25"/>
  <c r="DQ72" i="25"/>
  <c r="DN171" i="25"/>
  <c r="DQ171" i="25"/>
  <c r="EY171" i="25" s="1"/>
  <c r="DQ116" i="25"/>
  <c r="DN116" i="25"/>
  <c r="EB142" i="25"/>
  <c r="EA142" i="25"/>
  <c r="DQ69" i="25"/>
  <c r="DQ21" i="25"/>
  <c r="DN21" i="25"/>
  <c r="DW56" i="25"/>
  <c r="DW45" i="25"/>
  <c r="DN268" i="25"/>
  <c r="DQ268" i="25"/>
  <c r="DQ139" i="25"/>
  <c r="EJ139" i="25" s="1"/>
  <c r="DW185" i="25"/>
  <c r="DW171" i="25"/>
  <c r="DN113" i="25"/>
  <c r="DQ113" i="25"/>
  <c r="DQ174" i="25"/>
  <c r="FA174" i="25" s="1"/>
  <c r="DN174" i="25"/>
  <c r="DN280" i="25"/>
  <c r="DQ280" i="25"/>
  <c r="DQ168" i="25"/>
  <c r="FA168" i="25" s="1"/>
  <c r="DN168" i="25"/>
  <c r="EB135" i="25"/>
  <c r="EA135" i="25"/>
  <c r="DQ198" i="25"/>
  <c r="DT198" i="25" s="1"/>
  <c r="DQ24" i="25"/>
  <c r="DN24" i="25"/>
  <c r="DN126" i="25"/>
  <c r="DQ126" i="25"/>
  <c r="EJ126" i="25" s="1"/>
  <c r="EB124" i="25"/>
  <c r="EA124" i="25"/>
  <c r="DQ186" i="25"/>
  <c r="DN186" i="25"/>
  <c r="DN210" i="24"/>
  <c r="DX210" i="24" s="1"/>
  <c r="EB7" i="25"/>
  <c r="EA7" i="25"/>
  <c r="DN59" i="25"/>
  <c r="DQ59" i="25"/>
  <c r="DN202" i="25"/>
  <c r="DQ202" i="25"/>
  <c r="DT202" i="25" s="1"/>
  <c r="EB183" i="25"/>
  <c r="EA183" i="25"/>
  <c r="DW59" i="25"/>
  <c r="DN95" i="25"/>
  <c r="DQ95" i="25"/>
  <c r="DT95" i="25" s="1"/>
  <c r="DW189" i="25"/>
  <c r="DQ140" i="25"/>
  <c r="DN140" i="25"/>
  <c r="DN265" i="25"/>
  <c r="DQ265" i="25"/>
  <c r="DQ16" i="25"/>
  <c r="DN16" i="25"/>
  <c r="EB69" i="25"/>
  <c r="EA69" i="25"/>
  <c r="DN20" i="25"/>
  <c r="DQ20" i="25"/>
  <c r="DN302" i="25"/>
  <c r="DQ302" i="25"/>
  <c r="DQ220" i="25"/>
  <c r="DN220" i="25"/>
  <c r="DN157" i="25"/>
  <c r="DQ157" i="25"/>
  <c r="EJ157" i="25" s="1"/>
  <c r="DN189" i="25"/>
  <c r="DQ189" i="25"/>
  <c r="FA189" i="25" s="1"/>
  <c r="DQ86" i="25"/>
  <c r="DN86" i="25"/>
  <c r="DN163" i="25"/>
  <c r="DQ163" i="25"/>
  <c r="DN48" i="25"/>
  <c r="DQ48" i="25"/>
  <c r="DQ230" i="25"/>
  <c r="DN230" i="25"/>
  <c r="DN259" i="25"/>
  <c r="DQ259" i="25"/>
  <c r="DN175" i="25"/>
  <c r="DQ175" i="25"/>
  <c r="EJ175" i="25" s="1"/>
  <c r="DN123" i="25"/>
  <c r="DQ123" i="25"/>
  <c r="DQ49" i="25"/>
  <c r="DN49" i="25"/>
  <c r="DN150" i="25"/>
  <c r="DQ150" i="25"/>
  <c r="DQ105" i="25"/>
  <c r="DT105" i="25" s="1"/>
  <c r="DN105" i="25"/>
  <c r="DQ46" i="25"/>
  <c r="DN46" i="25"/>
  <c r="DN247" i="25"/>
  <c r="DQ247" i="25"/>
  <c r="EB71" i="25"/>
  <c r="EA71" i="25"/>
  <c r="DW88" i="25"/>
  <c r="EB62" i="25"/>
  <c r="EA62" i="25"/>
  <c r="DW35" i="25"/>
  <c r="EB166" i="25"/>
  <c r="EA166" i="25"/>
  <c r="EB153" i="25"/>
  <c r="EA153" i="25"/>
  <c r="DW96" i="25"/>
  <c r="EB197" i="25"/>
  <c r="EA197" i="25"/>
  <c r="EB133" i="25"/>
  <c r="EA133" i="25"/>
  <c r="EB159" i="25"/>
  <c r="EA159" i="25"/>
  <c r="DN62" i="25"/>
  <c r="DQ62" i="25"/>
  <c r="DW80" i="25"/>
  <c r="DQ314" i="25"/>
  <c r="DN314" i="25"/>
  <c r="DW168" i="25"/>
  <c r="DW170" i="25"/>
  <c r="EB54" i="25"/>
  <c r="EA54" i="25"/>
  <c r="DN152" i="25"/>
  <c r="DQ152" i="25"/>
  <c r="DN221" i="25"/>
  <c r="DQ221" i="25"/>
  <c r="DQ246" i="25"/>
  <c r="DN246" i="25"/>
  <c r="DW164" i="25"/>
  <c r="DN131" i="25"/>
  <c r="DQ131" i="25"/>
  <c r="DN285" i="25"/>
  <c r="DQ285" i="25"/>
  <c r="DW77" i="25"/>
  <c r="EB39" i="25"/>
  <c r="EA39" i="25"/>
  <c r="DQ10" i="25"/>
  <c r="DN10" i="25"/>
  <c r="EB8" i="25"/>
  <c r="EA8" i="25"/>
  <c r="EB167" i="25"/>
  <c r="EA167" i="25"/>
  <c r="DW29" i="25"/>
  <c r="DW122" i="25"/>
  <c r="DW65" i="25"/>
  <c r="EB84" i="25"/>
  <c r="EA84" i="25"/>
  <c r="DW49" i="25"/>
  <c r="DW177" i="25"/>
  <c r="DW13" i="25"/>
  <c r="DQ243" i="25"/>
  <c r="DN243" i="25"/>
  <c r="DN261" i="25"/>
  <c r="DQ261" i="25"/>
  <c r="DN199" i="25"/>
  <c r="DQ199" i="25"/>
  <c r="DT199" i="25" s="1"/>
  <c r="DW23" i="25"/>
  <c r="DW12" i="25"/>
  <c r="EB154" i="25"/>
  <c r="EA154" i="25"/>
  <c r="EB160" i="25"/>
  <c r="EA160" i="25"/>
  <c r="DW48" i="25"/>
  <c r="DN274" i="25"/>
  <c r="DQ274" i="25"/>
  <c r="EB206" i="25"/>
  <c r="EA206" i="25"/>
  <c r="EB67" i="25"/>
  <c r="EA67" i="25"/>
  <c r="DQ99" i="25"/>
  <c r="DT99" i="25" s="1"/>
  <c r="DN99" i="25"/>
  <c r="DW175" i="25"/>
  <c r="DN38" i="25"/>
  <c r="DQ38" i="25"/>
  <c r="DN61" i="25"/>
  <c r="DQ61" i="25"/>
  <c r="EB73" i="25"/>
  <c r="EA73" i="25"/>
  <c r="EB207" i="25"/>
  <c r="EA207" i="25"/>
  <c r="DN162" i="25"/>
  <c r="DQ162" i="25"/>
  <c r="EB130" i="25"/>
  <c r="EA130" i="25"/>
  <c r="DW105" i="25"/>
  <c r="DN79" i="25"/>
  <c r="DQ79" i="25"/>
  <c r="DQ311" i="25"/>
  <c r="DN311" i="25"/>
  <c r="DW38" i="25"/>
  <c r="DN170" i="25"/>
  <c r="DQ170" i="25"/>
  <c r="FA170" i="25" s="1"/>
  <c r="DN201" i="25"/>
  <c r="DQ201" i="25"/>
  <c r="DT201" i="25" s="1"/>
  <c r="DW145" i="25"/>
  <c r="EB55" i="25"/>
  <c r="EA55" i="25"/>
  <c r="DN278" i="25"/>
  <c r="DQ278" i="25"/>
  <c r="DW139" i="25"/>
  <c r="DQ71" i="25"/>
  <c r="DN71" i="25"/>
  <c r="DQ117" i="25"/>
  <c r="DN117" i="25"/>
  <c r="DN210" i="25"/>
  <c r="DQ210" i="25"/>
  <c r="DT210" i="25" s="1"/>
  <c r="DN234" i="25"/>
  <c r="DQ234" i="25"/>
  <c r="DN295" i="25"/>
  <c r="DQ295" i="25"/>
  <c r="EB53" i="25"/>
  <c r="EA53" i="25"/>
  <c r="EB30" i="25"/>
  <c r="EA30" i="25"/>
  <c r="DQ96" i="25"/>
  <c r="DT96" i="25" s="1"/>
  <c r="DN96" i="25"/>
  <c r="DN273" i="25"/>
  <c r="DQ273" i="25"/>
  <c r="EB161" i="25"/>
  <c r="EA161" i="25"/>
  <c r="DQ57" i="25"/>
  <c r="EB50" i="25"/>
  <c r="EA50" i="25"/>
  <c r="EB165" i="25"/>
  <c r="EA165" i="25"/>
  <c r="DN233" i="25"/>
  <c r="DQ233" i="25"/>
  <c r="DW190" i="25"/>
  <c r="DW158" i="25"/>
  <c r="DQ283" i="25"/>
  <c r="DN283" i="25"/>
  <c r="DN200" i="25"/>
  <c r="DQ200" i="25"/>
  <c r="DT200" i="25" s="1"/>
  <c r="DN39" i="25"/>
  <c r="DQ39" i="25"/>
  <c r="DQ209" i="25"/>
  <c r="DT209" i="25" s="1"/>
  <c r="DN209" i="25"/>
  <c r="DN245" i="25"/>
  <c r="DQ245" i="25"/>
  <c r="DQ303" i="25"/>
  <c r="DN303" i="25"/>
  <c r="EB176" i="25"/>
  <c r="EA176" i="25"/>
  <c r="DQ14" i="25"/>
  <c r="DN14" i="25"/>
  <c r="DQ191" i="25"/>
  <c r="EJ191" i="25" s="1"/>
  <c r="DN191" i="25"/>
  <c r="DN120" i="25"/>
  <c r="DQ120" i="25"/>
  <c r="DW111" i="25"/>
  <c r="DW121" i="25"/>
  <c r="DN271" i="25"/>
  <c r="DQ271" i="25"/>
  <c r="DN68" i="25"/>
  <c r="DQ68" i="25"/>
  <c r="DN184" i="25"/>
  <c r="DQ184" i="25"/>
  <c r="DQ287" i="25"/>
  <c r="DN287" i="25"/>
  <c r="DQ195" i="25"/>
  <c r="DT195" i="25" s="1"/>
  <c r="DN195" i="25"/>
  <c r="DN309" i="25"/>
  <c r="DQ309" i="25"/>
  <c r="DW203" i="25"/>
  <c r="DN98" i="25"/>
  <c r="DQ98" i="25"/>
  <c r="DT98" i="25" s="1"/>
  <c r="DW187" i="25"/>
  <c r="DQ111" i="25"/>
  <c r="DN111" i="25"/>
  <c r="DN256" i="25"/>
  <c r="DQ256" i="25"/>
  <c r="DQ51" i="25"/>
  <c r="DN51" i="25"/>
  <c r="EB196" i="25"/>
  <c r="EA196" i="25"/>
  <c r="DN67" i="25"/>
  <c r="DQ67" i="25"/>
  <c r="DQ84" i="25"/>
  <c r="DN84" i="25"/>
  <c r="DW157" i="25"/>
  <c r="DN225" i="25"/>
  <c r="DQ225" i="25"/>
  <c r="DQ128" i="25"/>
  <c r="EJ128" i="25" s="1"/>
  <c r="DN128" i="25"/>
  <c r="DN298" i="25"/>
  <c r="DQ298" i="25"/>
  <c r="DN276" i="25"/>
  <c r="DQ276" i="25"/>
  <c r="DQ275" i="25"/>
  <c r="DN275" i="25"/>
  <c r="DN173" i="25"/>
  <c r="DQ173" i="25"/>
  <c r="EJ173" i="25" s="1"/>
  <c r="DN87" i="25"/>
  <c r="DQ87" i="25"/>
  <c r="DQ36" i="25"/>
  <c r="DN36" i="25"/>
  <c r="DQ55" i="25"/>
  <c r="DN55" i="25"/>
  <c r="EB148" i="25"/>
  <c r="EA148" i="25"/>
  <c r="DN142" i="25"/>
  <c r="DQ142" i="25"/>
  <c r="DW60" i="25"/>
  <c r="DW64" i="25"/>
  <c r="DW128" i="25"/>
  <c r="DQ300" i="25"/>
  <c r="DN300" i="25"/>
  <c r="DQ252" i="25"/>
  <c r="DN252" i="25"/>
  <c r="DN304" i="25"/>
  <c r="DQ304" i="25"/>
  <c r="DW66" i="25"/>
  <c r="DQ18" i="25"/>
  <c r="DN18" i="25"/>
  <c r="EB115" i="25"/>
  <c r="EA115" i="25"/>
  <c r="DN19" i="25"/>
  <c r="DQ19" i="25"/>
  <c r="EB21" i="25"/>
  <c r="EA21" i="25"/>
  <c r="DW78" i="25"/>
  <c r="DN53" i="25"/>
  <c r="DQ53" i="25"/>
  <c r="DN66" i="25"/>
  <c r="DQ66" i="25"/>
  <c r="EB101" i="25"/>
  <c r="EA101" i="25"/>
  <c r="EB120" i="25"/>
  <c r="EA120" i="25"/>
  <c r="DW179" i="25"/>
  <c r="DQ178" i="25"/>
  <c r="DQ29" i="25"/>
  <c r="DN29" i="25"/>
  <c r="DN11" i="25"/>
  <c r="DQ11" i="25"/>
  <c r="DN33" i="25"/>
  <c r="DQ33" i="25"/>
  <c r="DQ26" i="25"/>
  <c r="DN26" i="25"/>
  <c r="DN293" i="25"/>
  <c r="DQ293" i="25"/>
  <c r="DW126" i="25"/>
  <c r="DQ313" i="25"/>
  <c r="DN313" i="25"/>
  <c r="DQ58" i="25"/>
  <c r="DN58" i="25"/>
  <c r="DW43" i="25"/>
  <c r="DQ250" i="25"/>
  <c r="DN250" i="25"/>
  <c r="DW181" i="25"/>
  <c r="DW194" i="25"/>
  <c r="DW14" i="25"/>
  <c r="DW37" i="25"/>
  <c r="DN134" i="25"/>
  <c r="DQ134" i="25"/>
  <c r="DN12" i="25"/>
  <c r="DQ12" i="25"/>
  <c r="DN240" i="25"/>
  <c r="DQ240" i="25"/>
  <c r="DN236" i="25"/>
  <c r="DQ236" i="25"/>
  <c r="DQ122" i="25"/>
  <c r="EY122" i="25" s="1"/>
  <c r="DN122" i="25"/>
  <c r="DN41" i="25"/>
  <c r="DQ41" i="25"/>
  <c r="DN249" i="25"/>
  <c r="DQ249" i="25"/>
  <c r="DN70" i="25"/>
  <c r="DQ70" i="25"/>
  <c r="EB134" i="25"/>
  <c r="EA134" i="25"/>
  <c r="DQ149" i="25"/>
  <c r="DN149" i="25"/>
  <c r="DN235" i="25"/>
  <c r="DQ235" i="25"/>
  <c r="EB163" i="25"/>
  <c r="EA163" i="25"/>
  <c r="EB63" i="25"/>
  <c r="EA63" i="25"/>
  <c r="DN17" i="25"/>
  <c r="DQ17" i="25"/>
  <c r="DQ255" i="25"/>
  <c r="DN255" i="25"/>
  <c r="EB61" i="25"/>
  <c r="EA61" i="25"/>
  <c r="DQ88" i="25"/>
  <c r="DN88" i="25"/>
  <c r="DW127" i="25"/>
  <c r="DN83" i="25"/>
  <c r="DQ83" i="25"/>
  <c r="EB41" i="25"/>
  <c r="EA41" i="25"/>
  <c r="DN9" i="25"/>
  <c r="DQ9" i="25"/>
  <c r="DN31" i="25"/>
  <c r="DQ31" i="25"/>
  <c r="EB123" i="25"/>
  <c r="EA123" i="25"/>
  <c r="DQ179" i="25"/>
  <c r="EY179" i="25" s="1"/>
  <c r="EB188" i="25"/>
  <c r="EA188" i="25"/>
  <c r="DQ204" i="25"/>
  <c r="DT204" i="25" s="1"/>
  <c r="DN204" i="25"/>
  <c r="EB117" i="25"/>
  <c r="EA117" i="25"/>
  <c r="DQ155" i="25"/>
  <c r="DN155" i="25"/>
  <c r="DQ196" i="25"/>
  <c r="DT196" i="25" s="1"/>
  <c r="DW173" i="25"/>
  <c r="DN30" i="25"/>
  <c r="DQ30" i="25"/>
  <c r="DQ115" i="25"/>
  <c r="DN115" i="25"/>
  <c r="DQ50" i="25"/>
  <c r="DN50" i="25"/>
  <c r="DN60" i="25"/>
  <c r="DQ60" i="25"/>
  <c r="DN251" i="25"/>
  <c r="DQ251" i="25"/>
  <c r="DN64" i="25"/>
  <c r="DQ64" i="25"/>
  <c r="DW138" i="25"/>
  <c r="DN294" i="25"/>
  <c r="DQ294" i="25"/>
  <c r="DQ6" i="25"/>
  <c r="DN6" i="25"/>
  <c r="DN197" i="25"/>
  <c r="DQ197" i="25"/>
  <c r="DT197" i="25" s="1"/>
  <c r="DQ124" i="25"/>
  <c r="DN124" i="25"/>
  <c r="DN205" i="25"/>
  <c r="DQ205" i="25"/>
  <c r="DT205" i="25" s="1"/>
  <c r="DN176" i="25"/>
  <c r="DQ176" i="25"/>
  <c r="DN7" i="25"/>
  <c r="DQ7" i="25"/>
  <c r="DW15" i="25"/>
  <c r="DW141" i="25"/>
  <c r="DN185" i="25"/>
  <c r="DQ185" i="25"/>
  <c r="DQ218" i="25"/>
  <c r="DN218" i="25"/>
  <c r="DN222" i="25"/>
  <c r="DQ222" i="25"/>
  <c r="DQ238" i="25"/>
  <c r="DN238" i="25"/>
  <c r="EB205" i="25"/>
  <c r="EA205" i="25"/>
  <c r="DN167" i="25"/>
  <c r="DQ167" i="25"/>
  <c r="DN190" i="25"/>
  <c r="DQ190" i="25"/>
  <c r="FA190" i="25" s="1"/>
  <c r="DQ42" i="25"/>
  <c r="DN42" i="25"/>
  <c r="DW58" i="25"/>
  <c r="DQ284" i="25"/>
  <c r="DN284" i="25"/>
  <c r="EB44" i="25"/>
  <c r="EA44" i="25"/>
  <c r="DW24" i="25"/>
  <c r="DN180" i="25"/>
  <c r="DQ92" i="25"/>
  <c r="DT92" i="25" s="1"/>
  <c r="DN92" i="25"/>
  <c r="DW42" i="25"/>
  <c r="EB76" i="25"/>
  <c r="EA76" i="25"/>
  <c r="DN37" i="25"/>
  <c r="DQ37" i="25"/>
  <c r="DW119" i="25"/>
  <c r="DW137" i="25"/>
  <c r="DW92" i="25"/>
  <c r="DQ76" i="25"/>
  <c r="DN76" i="25"/>
  <c r="EA110" i="25"/>
  <c r="EB110" i="25"/>
  <c r="DW90" i="25"/>
  <c r="DQ305" i="25"/>
  <c r="DN305" i="25"/>
  <c r="EB140" i="25"/>
  <c r="EA140" i="25"/>
  <c r="EB20" i="25"/>
  <c r="EA20" i="25"/>
  <c r="EB32" i="25"/>
  <c r="EA32" i="25"/>
  <c r="DW156" i="25"/>
  <c r="DQ310" i="25"/>
  <c r="DN310" i="25"/>
  <c r="DW86" i="25"/>
  <c r="DQ125" i="25"/>
  <c r="DN125" i="25"/>
  <c r="EB182" i="25"/>
  <c r="EA182" i="25"/>
  <c r="EB204" i="25"/>
  <c r="EA204" i="25"/>
  <c r="DQ207" i="25"/>
  <c r="DT207" i="25" s="1"/>
  <c r="DN207" i="25"/>
  <c r="DN260" i="25"/>
  <c r="DQ260" i="25"/>
  <c r="DN239" i="25"/>
  <c r="DQ239" i="25"/>
  <c r="DQ47" i="25"/>
  <c r="DN47" i="25"/>
  <c r="DW79" i="25"/>
  <c r="DN40" i="25"/>
  <c r="DQ40" i="25"/>
  <c r="DQ208" i="25"/>
  <c r="DT208" i="25" s="1"/>
  <c r="DN208" i="25"/>
  <c r="EB201" i="25"/>
  <c r="EA201" i="25"/>
  <c r="EB149" i="25"/>
  <c r="EA149" i="25"/>
  <c r="EB150" i="25"/>
  <c r="EA150" i="25"/>
  <c r="DQ133" i="25"/>
  <c r="DN133" i="25"/>
  <c r="DN52" i="25"/>
  <c r="DQ52" i="25"/>
  <c r="DQ28" i="25"/>
  <c r="DN28" i="25"/>
  <c r="DN45" i="25"/>
  <c r="DQ45" i="25"/>
  <c r="DW47" i="25"/>
  <c r="EB144" i="25"/>
  <c r="EA144" i="25"/>
  <c r="DW27" i="25"/>
  <c r="DW40" i="25"/>
  <c r="EB6" i="25"/>
  <c r="EA6" i="25"/>
  <c r="EB57" i="25"/>
  <c r="EA57" i="25"/>
  <c r="EB28" i="25"/>
  <c r="EA28" i="25"/>
  <c r="DQ94" i="25"/>
  <c r="DT94" i="25" s="1"/>
  <c r="DN94" i="25"/>
  <c r="EB162" i="25"/>
  <c r="EA162" i="25"/>
  <c r="DN15" i="25"/>
  <c r="DQ15" i="25"/>
  <c r="DN158" i="25"/>
  <c r="DQ158" i="25"/>
  <c r="EJ158" i="25" s="1"/>
  <c r="DQ141" i="25"/>
  <c r="DN141" i="25"/>
  <c r="DN270" i="25"/>
  <c r="DQ270" i="25"/>
  <c r="DW129" i="25"/>
  <c r="EB186" i="25"/>
  <c r="EA186" i="25"/>
  <c r="EB116" i="25"/>
  <c r="EA116" i="25"/>
  <c r="DN172" i="25"/>
  <c r="DQ172" i="25"/>
  <c r="DN288" i="25"/>
  <c r="DQ288" i="25"/>
  <c r="DQ102" i="25"/>
  <c r="DT102" i="25" s="1"/>
  <c r="DN102" i="25"/>
  <c r="EB75" i="25"/>
  <c r="EA75" i="25"/>
  <c r="DN118" i="25"/>
  <c r="DQ118" i="25"/>
  <c r="EB113" i="25"/>
  <c r="EA113" i="25"/>
  <c r="EB209" i="25"/>
  <c r="EA209" i="25"/>
  <c r="DQ281" i="25"/>
  <c r="DN281" i="25"/>
  <c r="EB104" i="25"/>
  <c r="EA104" i="25"/>
  <c r="DN91" i="25"/>
  <c r="DQ91" i="25"/>
  <c r="DT91" i="25" s="1"/>
  <c r="DQ232" i="25"/>
  <c r="DN232" i="25"/>
  <c r="DW33" i="25"/>
  <c r="DQ82" i="25"/>
  <c r="DN82" i="25"/>
  <c r="DW147" i="25"/>
  <c r="DW199" i="25"/>
  <c r="DQ154" i="25"/>
  <c r="DN154" i="25"/>
  <c r="DN160" i="25"/>
  <c r="DQ160" i="25"/>
  <c r="DQ63" i="25"/>
  <c r="DN63" i="25"/>
  <c r="EB184" i="25"/>
  <c r="EA184" i="25"/>
  <c r="DQ192" i="25"/>
  <c r="DN192" i="25"/>
  <c r="DW169" i="25"/>
  <c r="DW25" i="25"/>
  <c r="EB82" i="25"/>
  <c r="EA82" i="25"/>
  <c r="DQ203" i="25"/>
  <c r="DT203" i="25" s="1"/>
  <c r="DN203" i="25"/>
  <c r="DQ65" i="25"/>
  <c r="DN65" i="25"/>
  <c r="DW87" i="25"/>
  <c r="DN100" i="25"/>
  <c r="DQ100" i="25"/>
  <c r="DT100" i="25" s="1"/>
  <c r="DQ248" i="25"/>
  <c r="DN248" i="25"/>
  <c r="DW208" i="25"/>
  <c r="DQ279" i="25"/>
  <c r="DN279" i="25"/>
  <c r="DN177" i="25"/>
  <c r="DQ177" i="25"/>
  <c r="EJ177" i="25" s="1"/>
  <c r="DQ188" i="25"/>
  <c r="DN188" i="25"/>
  <c r="DQ146" i="25"/>
  <c r="DN146" i="25"/>
  <c r="DN277" i="25"/>
  <c r="DQ277" i="25"/>
  <c r="DN292" i="25"/>
  <c r="DQ292" i="25"/>
  <c r="DN27" i="25"/>
  <c r="DQ27" i="25"/>
  <c r="DW70" i="25"/>
  <c r="DN253" i="25"/>
  <c r="DQ253" i="25"/>
  <c r="EB22" i="25"/>
  <c r="EA22" i="25"/>
  <c r="DQ145" i="25"/>
  <c r="EJ145" i="25" s="1"/>
  <c r="DN145" i="25"/>
  <c r="EB125" i="25"/>
  <c r="EA125" i="25"/>
  <c r="DW17" i="25"/>
  <c r="DQ56" i="25"/>
  <c r="DN56" i="25"/>
  <c r="DW99" i="25"/>
  <c r="DN54" i="25"/>
  <c r="DQ54" i="25"/>
  <c r="DQ93" i="25"/>
  <c r="DT93" i="25" s="1"/>
  <c r="DN93" i="25"/>
  <c r="DQ161" i="25"/>
  <c r="DN161" i="25"/>
  <c r="EB52" i="25"/>
  <c r="EA52" i="25"/>
  <c r="DN223" i="25"/>
  <c r="DQ223" i="25"/>
  <c r="EB151" i="25"/>
  <c r="EA151" i="25"/>
  <c r="DN165" i="25"/>
  <c r="DQ165" i="25"/>
  <c r="EB114" i="25"/>
  <c r="EA114" i="25"/>
  <c r="DQ164" i="25"/>
  <c r="DN164" i="25"/>
  <c r="DQ306" i="25"/>
  <c r="DN306" i="25"/>
  <c r="DQ228" i="25"/>
  <c r="DN228" i="25"/>
  <c r="DW72" i="25"/>
  <c r="DQ290" i="25"/>
  <c r="DN290" i="25"/>
  <c r="DQ136" i="25"/>
  <c r="DN136" i="25"/>
  <c r="EB94" i="25"/>
  <c r="EA94" i="25"/>
  <c r="DQ262" i="25"/>
  <c r="DN269" i="25"/>
  <c r="DQ269" i="25"/>
  <c r="DW193" i="25"/>
  <c r="DQ129" i="25"/>
  <c r="DN129" i="25"/>
  <c r="DW136" i="25"/>
  <c r="DQ104" i="25"/>
  <c r="DT104" i="25" s="1"/>
  <c r="DN104" i="25"/>
  <c r="EB19" i="25"/>
  <c r="EA19" i="25"/>
  <c r="DQ147" i="25"/>
  <c r="EJ147" i="25" s="1"/>
  <c r="DN147" i="25"/>
  <c r="DN97" i="25"/>
  <c r="DQ97" i="25"/>
  <c r="DT97" i="25" s="1"/>
  <c r="EB202" i="25"/>
  <c r="EA202" i="25"/>
  <c r="DW34" i="25"/>
  <c r="DQ308" i="25"/>
  <c r="DN308" i="25"/>
  <c r="DN90" i="25"/>
  <c r="DQ90" i="25"/>
  <c r="DQ258" i="25"/>
  <c r="DN258" i="25"/>
  <c r="EB26" i="25"/>
  <c r="EA26" i="25"/>
  <c r="EB192" i="25"/>
  <c r="EA192" i="25"/>
  <c r="DQ169" i="25"/>
  <c r="DN169" i="25"/>
  <c r="DW81" i="25"/>
  <c r="DQ25" i="25"/>
  <c r="DN25" i="25"/>
  <c r="DW191" i="25"/>
  <c r="DN267" i="25"/>
  <c r="DQ267" i="25"/>
  <c r="DN156" i="25"/>
  <c r="DQ156" i="25"/>
  <c r="DN23" i="25"/>
  <c r="DQ23" i="25"/>
  <c r="DN89" i="25"/>
  <c r="DQ89" i="25"/>
  <c r="DN130" i="25"/>
  <c r="DQ130" i="25"/>
  <c r="EB198" i="25"/>
  <c r="EA198" i="25"/>
  <c r="DQ194" i="25"/>
  <c r="DT194" i="25" s="1"/>
  <c r="DN194" i="25"/>
  <c r="DW98" i="25"/>
  <c r="DN289" i="25"/>
  <c r="DQ289" i="25"/>
  <c r="DN22" i="25"/>
  <c r="DQ22" i="25"/>
  <c r="DQ297" i="25"/>
  <c r="DN297" i="25"/>
  <c r="DN264" i="25"/>
  <c r="DQ264" i="25"/>
  <c r="DQ32" i="25"/>
  <c r="DN32" i="25"/>
  <c r="DN166" i="25"/>
  <c r="DQ166" i="25"/>
  <c r="DW100" i="25"/>
  <c r="DQ153" i="25"/>
  <c r="DN153" i="25"/>
  <c r="DN301" i="25"/>
  <c r="DQ301" i="25"/>
  <c r="EB85" i="25"/>
  <c r="EA85" i="25"/>
  <c r="DN291" i="25"/>
  <c r="DQ291" i="25"/>
  <c r="DW210" i="25"/>
  <c r="DW83" i="25"/>
  <c r="DN217" i="25"/>
  <c r="DQ217" i="25"/>
  <c r="DQ307" i="25"/>
  <c r="DN307" i="25"/>
  <c r="EB36" i="25"/>
  <c r="EA36" i="25"/>
  <c r="DN229" i="25"/>
  <c r="DQ229" i="25"/>
  <c r="DQ74" i="25"/>
  <c r="DN74" i="25"/>
  <c r="EB172" i="25"/>
  <c r="EA172" i="25"/>
  <c r="EB155" i="25"/>
  <c r="EA155" i="25"/>
  <c r="DQ226" i="25"/>
  <c r="DN226" i="25"/>
  <c r="DN231" i="25"/>
  <c r="DQ231" i="25"/>
  <c r="DQ132" i="25"/>
  <c r="DN132" i="25"/>
  <c r="DQ127" i="25"/>
  <c r="FA127" i="25" s="1"/>
  <c r="DQ135" i="25"/>
  <c r="DN135" i="25"/>
  <c r="DW93" i="25"/>
  <c r="DQ77" i="25"/>
  <c r="DN77" i="25"/>
  <c r="DQ101" i="25"/>
  <c r="DT101" i="25" s="1"/>
  <c r="DN101" i="25"/>
  <c r="DW74" i="25"/>
  <c r="DQ114" i="25"/>
  <c r="DN114" i="25"/>
  <c r="DN80" i="25"/>
  <c r="DQ80" i="25"/>
  <c r="EB132" i="25"/>
  <c r="EA132" i="25"/>
  <c r="DQ44" i="25"/>
  <c r="DN44" i="25"/>
  <c r="EB11" i="25"/>
  <c r="EA11" i="25"/>
  <c r="EB152" i="25"/>
  <c r="EA152" i="25"/>
  <c r="DQ180" i="25"/>
  <c r="EB18" i="25"/>
  <c r="EA18" i="25"/>
  <c r="DN8" i="25"/>
  <c r="DQ8" i="25"/>
  <c r="DQ219" i="25"/>
  <c r="DN219" i="25"/>
  <c r="DN72" i="24"/>
  <c r="DX72" i="24" s="1"/>
  <c r="DN64" i="24"/>
  <c r="DZ64" i="24" s="1"/>
  <c r="DN57" i="24"/>
  <c r="DZ57" i="24" s="1"/>
  <c r="DN46" i="24"/>
  <c r="DX46" i="24" s="1"/>
  <c r="DN9" i="24"/>
  <c r="DZ9" i="24" s="1"/>
  <c r="DN45" i="24"/>
  <c r="DZ45" i="24" s="1"/>
  <c r="DN7" i="24"/>
  <c r="DZ7" i="24" s="1"/>
  <c r="DN59" i="24"/>
  <c r="DX59" i="24" s="1"/>
  <c r="DN20" i="24"/>
  <c r="DX20" i="24" s="1"/>
  <c r="DN140" i="24"/>
  <c r="DX140" i="24" s="1"/>
  <c r="DN233" i="24"/>
  <c r="DN19" i="24"/>
  <c r="DX19" i="24" s="1"/>
  <c r="DN58" i="24"/>
  <c r="DX58" i="24" s="1"/>
  <c r="DN303" i="24"/>
  <c r="DN49" i="24"/>
  <c r="DX49" i="24" s="1"/>
  <c r="DN143" i="24"/>
  <c r="DX143" i="24" s="1"/>
  <c r="DN245" i="24"/>
  <c r="DN297" i="24"/>
  <c r="DN12" i="24"/>
  <c r="DX12" i="24" s="1"/>
  <c r="DN295" i="24"/>
  <c r="DN125" i="24"/>
  <c r="DX125" i="24" s="1"/>
  <c r="DN313" i="24"/>
  <c r="DN28" i="24"/>
  <c r="DX28" i="24" s="1"/>
  <c r="DN166" i="24"/>
  <c r="DX166" i="24" s="1"/>
  <c r="DN315" i="24"/>
  <c r="DN36" i="24"/>
  <c r="DZ36" i="24" s="1"/>
  <c r="DN286" i="24"/>
  <c r="DN31" i="24"/>
  <c r="DZ31" i="24" s="1"/>
  <c r="DN246" i="24"/>
  <c r="DN34" i="24"/>
  <c r="DX34" i="24" s="1"/>
  <c r="DN11" i="24"/>
  <c r="DZ11" i="24" s="1"/>
  <c r="DN311" i="24"/>
  <c r="DN282" i="24"/>
  <c r="DN38" i="24"/>
  <c r="DX38" i="24" s="1"/>
  <c r="DN178" i="24"/>
  <c r="DX178" i="24" s="1"/>
  <c r="DN144" i="24"/>
  <c r="DX144" i="24" s="1"/>
  <c r="DN266" i="24"/>
  <c r="DN200" i="24"/>
  <c r="DX200" i="24" s="1"/>
  <c r="DN105" i="24"/>
  <c r="DZ105" i="24" s="1"/>
  <c r="DN316" i="24"/>
  <c r="DN101" i="24"/>
  <c r="DZ101" i="24" s="1"/>
  <c r="DN153" i="24"/>
  <c r="DX153" i="24" s="1"/>
  <c r="DN18" i="24"/>
  <c r="DZ18" i="24" s="1"/>
  <c r="DN265" i="24"/>
  <c r="DN182" i="24"/>
  <c r="DX182" i="24" s="1"/>
  <c r="DN263" i="24"/>
  <c r="DN32" i="24"/>
  <c r="DX32" i="24" s="1"/>
  <c r="DN87" i="24"/>
  <c r="DZ87" i="24" s="1"/>
  <c r="DN232" i="24"/>
  <c r="DN118" i="24"/>
  <c r="DX118" i="24" s="1"/>
  <c r="DN247" i="24"/>
  <c r="DN141" i="24"/>
  <c r="DX141" i="24" s="1"/>
  <c r="DN251" i="24"/>
  <c r="DN82" i="24"/>
  <c r="DX82" i="24" s="1"/>
  <c r="DN285" i="24"/>
  <c r="DN17" i="24"/>
  <c r="DZ17" i="24" s="1"/>
  <c r="DN120" i="24"/>
  <c r="DX120" i="24" s="1"/>
  <c r="DN148" i="24"/>
  <c r="DX148" i="24" s="1"/>
  <c r="DN102" i="24"/>
  <c r="DX102" i="24" s="1"/>
  <c r="DN274" i="24"/>
  <c r="DN238" i="24"/>
  <c r="DN188" i="24"/>
  <c r="DX188" i="24" s="1"/>
  <c r="DN304" i="24"/>
  <c r="DN6" i="24"/>
  <c r="DX6" i="24" s="1"/>
  <c r="DN220" i="24"/>
  <c r="DN261" i="24"/>
  <c r="DN90" i="24"/>
  <c r="DX90" i="24" s="1"/>
  <c r="DN259" i="24"/>
  <c r="DN15" i="24"/>
  <c r="DX15" i="24" s="1"/>
  <c r="DN222" i="24"/>
  <c r="DN56" i="24"/>
  <c r="DZ56" i="24" s="1"/>
  <c r="DN294" i="24"/>
  <c r="DN287" i="24"/>
  <c r="DN280" i="24"/>
  <c r="DN229" i="24"/>
  <c r="DN252" i="24"/>
  <c r="DN236" i="24"/>
  <c r="DN195" i="24"/>
  <c r="DX195" i="24" s="1"/>
  <c r="DN293" i="24"/>
  <c r="DN92" i="24"/>
  <c r="DZ92" i="24" s="1"/>
  <c r="DN21" i="24"/>
  <c r="DZ21" i="24" s="1"/>
  <c r="DN194" i="24"/>
  <c r="DX194" i="24" s="1"/>
  <c r="DN276" i="24"/>
  <c r="DN88" i="24"/>
  <c r="DZ88" i="24" s="1"/>
  <c r="DN204" i="24"/>
  <c r="DX204" i="24" s="1"/>
  <c r="DN189" i="24"/>
  <c r="DX189" i="24" s="1"/>
  <c r="DN119" i="24"/>
  <c r="DX119" i="24" s="1"/>
  <c r="DN262" i="24"/>
  <c r="DN292" i="24"/>
  <c r="DN96" i="24"/>
  <c r="DX96" i="24" s="1"/>
  <c r="DN241" i="24"/>
  <c r="DN73" i="24"/>
  <c r="DX73" i="24" s="1"/>
  <c r="DN225" i="24"/>
  <c r="DN51" i="24"/>
  <c r="DX51" i="24" s="1"/>
  <c r="DN180" i="24"/>
  <c r="DX180" i="24" s="1"/>
  <c r="DN22" i="24"/>
  <c r="DX22" i="24" s="1"/>
  <c r="DN308" i="24"/>
  <c r="DN121" i="24"/>
  <c r="DX121" i="24" s="1"/>
  <c r="DN235" i="24"/>
  <c r="DN289" i="24"/>
  <c r="DK165" i="24"/>
  <c r="DJ165" i="24"/>
  <c r="DK33" i="24"/>
  <c r="DJ33" i="24"/>
  <c r="DK34" i="24"/>
  <c r="DJ34" i="24"/>
  <c r="DK303" i="24"/>
  <c r="DJ303" i="24"/>
  <c r="DK226" i="24"/>
  <c r="DJ226" i="24"/>
  <c r="DK186" i="24"/>
  <c r="DJ186" i="24"/>
  <c r="DK135" i="24"/>
  <c r="DJ135" i="24"/>
  <c r="DN81" i="24"/>
  <c r="DN150" i="24"/>
  <c r="DN193" i="24"/>
  <c r="DK247" i="24"/>
  <c r="DJ247" i="24"/>
  <c r="DK125" i="24"/>
  <c r="DJ125" i="24"/>
  <c r="DK305" i="24"/>
  <c r="DJ305" i="24"/>
  <c r="DN71" i="24"/>
  <c r="DN33" i="24"/>
  <c r="DK57" i="24"/>
  <c r="DJ57" i="24"/>
  <c r="DN35" i="24"/>
  <c r="DK169" i="24"/>
  <c r="DJ169" i="24"/>
  <c r="DK298" i="24"/>
  <c r="DJ298" i="24"/>
  <c r="DK45" i="24"/>
  <c r="DJ45" i="24"/>
  <c r="DN104" i="24"/>
  <c r="DN37" i="24"/>
  <c r="DN239" i="24"/>
  <c r="DK293" i="24"/>
  <c r="DJ293" i="24"/>
  <c r="DK131" i="24"/>
  <c r="DJ131" i="24"/>
  <c r="DK62" i="24"/>
  <c r="DJ62" i="24"/>
  <c r="DN52" i="24"/>
  <c r="DK221" i="24"/>
  <c r="DJ221" i="24"/>
  <c r="DK102" i="24"/>
  <c r="DJ102" i="24"/>
  <c r="DK130" i="24"/>
  <c r="DJ130" i="24"/>
  <c r="DK76" i="24"/>
  <c r="DJ76" i="24"/>
  <c r="DK117" i="24"/>
  <c r="DJ117" i="24"/>
  <c r="DK191" i="24"/>
  <c r="DJ191" i="24"/>
  <c r="DK266" i="24"/>
  <c r="DJ266" i="24"/>
  <c r="DN54" i="24"/>
  <c r="DN159" i="24"/>
  <c r="DK200" i="24"/>
  <c r="DJ200" i="24"/>
  <c r="DK177" i="24"/>
  <c r="DJ177" i="24"/>
  <c r="DK194" i="24"/>
  <c r="DJ194" i="24"/>
  <c r="DK74" i="24"/>
  <c r="DJ74" i="24"/>
  <c r="DK138" i="24"/>
  <c r="DJ138" i="24"/>
  <c r="DN147" i="24"/>
  <c r="DN127" i="24"/>
  <c r="DK170" i="24"/>
  <c r="DJ170" i="24"/>
  <c r="DN183" i="24"/>
  <c r="DN228" i="24"/>
  <c r="DK217" i="24"/>
  <c r="DJ217" i="24"/>
  <c r="DN269" i="24"/>
  <c r="DN152" i="24"/>
  <c r="DK16" i="24"/>
  <c r="DJ16" i="24"/>
  <c r="DK175" i="24"/>
  <c r="DJ175" i="24"/>
  <c r="DN63" i="24"/>
  <c r="DN128" i="24"/>
  <c r="DK96" i="24"/>
  <c r="DJ96" i="24"/>
  <c r="DN242" i="24"/>
  <c r="DK172" i="24"/>
  <c r="DJ172" i="24"/>
  <c r="DN83" i="24"/>
  <c r="DN281" i="24"/>
  <c r="DK160" i="24"/>
  <c r="DJ160" i="24"/>
  <c r="DK272" i="24"/>
  <c r="DJ272" i="24"/>
  <c r="DN279" i="24"/>
  <c r="DK31" i="24"/>
  <c r="DJ31" i="24"/>
  <c r="DN30" i="24"/>
  <c r="DN41" i="24"/>
  <c r="DN226" i="24"/>
  <c r="DK291" i="24"/>
  <c r="DJ291" i="24"/>
  <c r="DN40" i="24"/>
  <c r="DN186" i="24"/>
  <c r="DN99" i="24"/>
  <c r="DK61" i="24"/>
  <c r="DJ61" i="24"/>
  <c r="DK251" i="24"/>
  <c r="DJ251" i="24"/>
  <c r="DK82" i="24"/>
  <c r="DJ82" i="24"/>
  <c r="DN267" i="24"/>
  <c r="DN224" i="24"/>
  <c r="DK234" i="24"/>
  <c r="DJ234" i="24"/>
  <c r="DK89" i="24"/>
  <c r="DJ89" i="24"/>
  <c r="DN60" i="24"/>
  <c r="DK137" i="24"/>
  <c r="DJ137" i="24"/>
  <c r="DK79" i="24"/>
  <c r="DJ79" i="24"/>
  <c r="DK81" i="24"/>
  <c r="DJ81" i="24"/>
  <c r="DK248" i="24"/>
  <c r="DJ248" i="24"/>
  <c r="DK85" i="24"/>
  <c r="DJ85" i="24"/>
  <c r="DK148" i="24"/>
  <c r="DJ148" i="24"/>
  <c r="DK219" i="24"/>
  <c r="DJ219" i="24"/>
  <c r="DK183" i="24"/>
  <c r="DJ183" i="24"/>
  <c r="DK166" i="24"/>
  <c r="DJ166" i="24"/>
  <c r="DK150" i="24"/>
  <c r="DJ150" i="24"/>
  <c r="DN142" i="24"/>
  <c r="DN305" i="24"/>
  <c r="DK229" i="24"/>
  <c r="DJ229" i="24"/>
  <c r="DN55" i="24"/>
  <c r="DK71" i="24"/>
  <c r="DJ71" i="24"/>
  <c r="DK233" i="24"/>
  <c r="DJ233" i="24"/>
  <c r="DN298" i="24"/>
  <c r="DK86" i="24"/>
  <c r="DJ86" i="24"/>
  <c r="DK104" i="24"/>
  <c r="DJ104" i="24"/>
  <c r="DJ37" i="24"/>
  <c r="DK37" i="24"/>
  <c r="DK310" i="24"/>
  <c r="DJ310" i="24"/>
  <c r="DK178" i="24"/>
  <c r="DJ178" i="24"/>
  <c r="DK144" i="24"/>
  <c r="DJ144" i="24"/>
  <c r="DK239" i="24"/>
  <c r="DJ239" i="24"/>
  <c r="DN62" i="24"/>
  <c r="DK12" i="24"/>
  <c r="DJ12" i="24"/>
  <c r="DK159" i="24"/>
  <c r="DJ159" i="24"/>
  <c r="DK306" i="24"/>
  <c r="DJ306" i="24"/>
  <c r="DN177" i="24"/>
  <c r="DK78" i="24"/>
  <c r="DJ78" i="24"/>
  <c r="DN138" i="24"/>
  <c r="DK147" i="24"/>
  <c r="DJ147" i="24"/>
  <c r="DN170" i="24"/>
  <c r="DK228" i="24"/>
  <c r="DJ228" i="24"/>
  <c r="DK116" i="24"/>
  <c r="DJ116" i="24"/>
  <c r="DK263" i="24"/>
  <c r="DJ263" i="24"/>
  <c r="DK269" i="24"/>
  <c r="DJ269" i="24"/>
  <c r="DK152" i="24"/>
  <c r="DJ152" i="24"/>
  <c r="DN175" i="24"/>
  <c r="DK63" i="24"/>
  <c r="DJ63" i="24"/>
  <c r="DK128" i="24"/>
  <c r="DJ128" i="24"/>
  <c r="DK242" i="24"/>
  <c r="DJ242" i="24"/>
  <c r="DN172" i="24"/>
  <c r="DK83" i="24"/>
  <c r="DJ83" i="24"/>
  <c r="DK281" i="24"/>
  <c r="DJ281" i="24"/>
  <c r="DN160" i="24"/>
  <c r="DN272" i="24"/>
  <c r="DK30" i="24"/>
  <c r="DJ30" i="24"/>
  <c r="DK255" i="24"/>
  <c r="DJ255" i="24"/>
  <c r="DK41" i="24"/>
  <c r="DJ41" i="24"/>
  <c r="DK40" i="24"/>
  <c r="DJ40" i="24"/>
  <c r="DK99" i="24"/>
  <c r="DJ99" i="24"/>
  <c r="DN61" i="24"/>
  <c r="DJ224" i="24"/>
  <c r="DK224" i="24"/>
  <c r="DN89" i="24"/>
  <c r="DK60" i="24"/>
  <c r="DJ60" i="24"/>
  <c r="DK232" i="24"/>
  <c r="DJ232" i="24"/>
  <c r="DK59" i="24"/>
  <c r="DJ59" i="24"/>
  <c r="DK262" i="24"/>
  <c r="DJ262" i="24"/>
  <c r="DK286" i="24"/>
  <c r="DJ286" i="24"/>
  <c r="DK90" i="24"/>
  <c r="DJ90" i="24"/>
  <c r="DK203" i="24"/>
  <c r="DJ203" i="24"/>
  <c r="DK142" i="24"/>
  <c r="DJ142" i="24"/>
  <c r="DK55" i="24"/>
  <c r="DJ55" i="24"/>
  <c r="DK140" i="24"/>
  <c r="DJ140" i="24"/>
  <c r="DK7" i="24"/>
  <c r="DJ7" i="24"/>
  <c r="DK236" i="24"/>
  <c r="DJ236" i="24"/>
  <c r="DK243" i="24"/>
  <c r="DJ243" i="24"/>
  <c r="DK38" i="24"/>
  <c r="DJ38" i="24"/>
  <c r="DK225" i="24"/>
  <c r="DJ225" i="24"/>
  <c r="DK92" i="24"/>
  <c r="DJ92" i="24"/>
  <c r="DK143" i="24"/>
  <c r="DJ143" i="24"/>
  <c r="DK198" i="24"/>
  <c r="DJ198" i="24"/>
  <c r="DK206" i="24"/>
  <c r="DJ206" i="24"/>
  <c r="DK19" i="24"/>
  <c r="DJ19" i="24"/>
  <c r="DK127" i="24"/>
  <c r="DJ127" i="24"/>
  <c r="DK182" i="24"/>
  <c r="DJ182" i="24"/>
  <c r="DK179" i="24"/>
  <c r="DJ179" i="24"/>
  <c r="DK300" i="24"/>
  <c r="DJ300" i="24"/>
  <c r="DK258" i="24"/>
  <c r="DJ258" i="24"/>
  <c r="DK105" i="24"/>
  <c r="DJ105" i="24"/>
  <c r="DK245" i="24"/>
  <c r="DJ245" i="24"/>
  <c r="DK297" i="24"/>
  <c r="DJ297" i="24"/>
  <c r="DK184" i="24"/>
  <c r="DJ184" i="24"/>
  <c r="DK308" i="24"/>
  <c r="DJ308" i="24"/>
  <c r="DK121" i="24"/>
  <c r="DJ121" i="24"/>
  <c r="DK43" i="24"/>
  <c r="DJ43" i="24"/>
  <c r="DK10" i="24"/>
  <c r="DJ10" i="24"/>
  <c r="DK273" i="24"/>
  <c r="DJ273" i="24"/>
  <c r="DK235" i="24"/>
  <c r="DJ235" i="24"/>
  <c r="DK94" i="24"/>
  <c r="DJ94" i="24"/>
  <c r="DK289" i="24"/>
  <c r="DJ289" i="24"/>
  <c r="DK72" i="24"/>
  <c r="DJ72" i="24"/>
  <c r="DK207" i="24"/>
  <c r="DJ207" i="24"/>
  <c r="DK312" i="24"/>
  <c r="DJ312" i="24"/>
  <c r="DK254" i="24"/>
  <c r="DJ254" i="24"/>
  <c r="DK27" i="24"/>
  <c r="DJ27" i="24"/>
  <c r="DK181" i="24"/>
  <c r="DJ181" i="24"/>
  <c r="DK118" i="24"/>
  <c r="DJ118" i="24"/>
  <c r="DK193" i="24"/>
  <c r="DJ193" i="24"/>
  <c r="DK139" i="24"/>
  <c r="DJ139" i="24"/>
  <c r="DK120" i="24"/>
  <c r="DJ120" i="24"/>
  <c r="DK54" i="24"/>
  <c r="DJ54" i="24"/>
  <c r="DK149" i="24"/>
  <c r="DJ149" i="24"/>
  <c r="DK9" i="24"/>
  <c r="DJ9" i="24"/>
  <c r="DK64" i="24"/>
  <c r="DJ64" i="24"/>
  <c r="DK292" i="24"/>
  <c r="DJ292" i="24"/>
  <c r="DK315" i="24"/>
  <c r="DJ315" i="24"/>
  <c r="DN302" i="24"/>
  <c r="DK161" i="24"/>
  <c r="DJ161" i="24"/>
  <c r="DN253" i="24"/>
  <c r="DK167" i="24"/>
  <c r="DJ167" i="24"/>
  <c r="DN190" i="24"/>
  <c r="DK294" i="24"/>
  <c r="DJ294" i="24"/>
  <c r="DK287" i="24"/>
  <c r="DJ287" i="24"/>
  <c r="DK280" i="24"/>
  <c r="DJ280" i="24"/>
  <c r="DN154" i="24"/>
  <c r="DK252" i="24"/>
  <c r="DJ252" i="24"/>
  <c r="DK176" i="24"/>
  <c r="DJ176" i="24"/>
  <c r="DK285" i="24"/>
  <c r="DJ285" i="24"/>
  <c r="DK67" i="24"/>
  <c r="DJ67" i="24"/>
  <c r="DN25" i="24"/>
  <c r="DK124" i="24"/>
  <c r="DJ124" i="24"/>
  <c r="DN114" i="24"/>
  <c r="DN230" i="24"/>
  <c r="DK49" i="24"/>
  <c r="DJ49" i="24"/>
  <c r="DN132" i="24"/>
  <c r="DK187" i="24"/>
  <c r="DJ187" i="24"/>
  <c r="DN50" i="24"/>
  <c r="DN268" i="24"/>
  <c r="DK218" i="24"/>
  <c r="DJ218" i="24"/>
  <c r="DN270" i="24"/>
  <c r="DK156" i="24"/>
  <c r="DJ156" i="24"/>
  <c r="DN260" i="24"/>
  <c r="DK274" i="24"/>
  <c r="DJ274" i="24"/>
  <c r="DN296" i="24"/>
  <c r="DK314" i="24"/>
  <c r="DJ314" i="24"/>
  <c r="DK237" i="24"/>
  <c r="DJ237" i="24"/>
  <c r="DN77" i="24"/>
  <c r="DN111" i="24"/>
  <c r="DN185" i="24"/>
  <c r="DN164" i="24"/>
  <c r="DN202" i="24"/>
  <c r="DK95" i="24"/>
  <c r="DJ95" i="24"/>
  <c r="DK301" i="24"/>
  <c r="DJ301" i="24"/>
  <c r="DN13" i="24"/>
  <c r="DN300" i="24"/>
  <c r="DN258" i="24"/>
  <c r="DK32" i="24"/>
  <c r="DJ32" i="24"/>
  <c r="DK87" i="24"/>
  <c r="DJ87" i="24"/>
  <c r="DK316" i="24"/>
  <c r="DJ316" i="24"/>
  <c r="DK101" i="24"/>
  <c r="DJ101" i="24"/>
  <c r="DN65" i="24"/>
  <c r="DN174" i="24"/>
  <c r="DN249" i="24"/>
  <c r="DK192" i="24"/>
  <c r="DJ192" i="24"/>
  <c r="DK153" i="24"/>
  <c r="DJ153" i="24"/>
  <c r="DK18" i="24"/>
  <c r="DJ18" i="24"/>
  <c r="DN44" i="24"/>
  <c r="DK265" i="24"/>
  <c r="DJ265" i="24"/>
  <c r="DN8" i="24"/>
  <c r="DK97" i="24"/>
  <c r="DJ97" i="24"/>
  <c r="DN171" i="24"/>
  <c r="DK136" i="24"/>
  <c r="DJ136" i="24"/>
  <c r="DK264" i="24"/>
  <c r="DJ264" i="24"/>
  <c r="DN98" i="24"/>
  <c r="DJ162" i="24"/>
  <c r="DK162" i="24"/>
  <c r="DN43" i="24"/>
  <c r="DN10" i="24"/>
  <c r="DK129" i="24"/>
  <c r="DJ129" i="24"/>
  <c r="DK201" i="24"/>
  <c r="DJ201" i="24"/>
  <c r="DK241" i="24"/>
  <c r="DJ241" i="24"/>
  <c r="DK73" i="24"/>
  <c r="DJ73" i="24"/>
  <c r="DN29" i="24"/>
  <c r="DN112" i="24"/>
  <c r="DN197" i="24"/>
  <c r="DK75" i="24"/>
  <c r="DJ75" i="24"/>
  <c r="DK52" i="24"/>
  <c r="DJ52" i="24"/>
  <c r="DK69" i="24"/>
  <c r="DJ69" i="24"/>
  <c r="DK302" i="24"/>
  <c r="DJ302" i="24"/>
  <c r="DN161" i="24"/>
  <c r="DK253" i="24"/>
  <c r="DJ253" i="24"/>
  <c r="DN167" i="24"/>
  <c r="DK190" i="24"/>
  <c r="DJ190" i="24"/>
  <c r="DN209" i="24"/>
  <c r="DN68" i="24"/>
  <c r="DN24" i="24"/>
  <c r="DK154" i="24"/>
  <c r="DJ154" i="24"/>
  <c r="DN42" i="24"/>
  <c r="DN288" i="24"/>
  <c r="DK48" i="24"/>
  <c r="DJ48" i="24"/>
  <c r="DN240" i="24"/>
  <c r="DN244" i="24"/>
  <c r="DN67" i="24"/>
  <c r="DK25" i="24"/>
  <c r="DJ25" i="24"/>
  <c r="DN124" i="24"/>
  <c r="DN23" i="24"/>
  <c r="DN227" i="24"/>
  <c r="DK114" i="24"/>
  <c r="DJ114" i="24"/>
  <c r="DK230" i="24"/>
  <c r="DJ230" i="24"/>
  <c r="DK132" i="24"/>
  <c r="DJ132" i="24"/>
  <c r="DK14" i="24"/>
  <c r="DJ14" i="24"/>
  <c r="DK250" i="24"/>
  <c r="DJ250" i="24"/>
  <c r="DK50" i="24"/>
  <c r="DJ50" i="24"/>
  <c r="DK268" i="24"/>
  <c r="DJ268" i="24"/>
  <c r="DN218" i="24"/>
  <c r="DN134" i="24"/>
  <c r="DK270" i="24"/>
  <c r="DJ270" i="24"/>
  <c r="DK51" i="24"/>
  <c r="DJ51" i="24"/>
  <c r="DK223" i="24"/>
  <c r="DJ223" i="24"/>
  <c r="DK155" i="24"/>
  <c r="DJ155" i="24"/>
  <c r="DK199" i="24"/>
  <c r="DJ199" i="24"/>
  <c r="DK260" i="24"/>
  <c r="DJ260" i="24"/>
  <c r="DN26" i="24"/>
  <c r="DK296" i="24"/>
  <c r="DJ296" i="24"/>
  <c r="DN314" i="24"/>
  <c r="DK277" i="24"/>
  <c r="DJ277" i="24"/>
  <c r="DN257" i="24"/>
  <c r="DK77" i="24"/>
  <c r="DJ77" i="24"/>
  <c r="DK111" i="24"/>
  <c r="DJ111" i="24"/>
  <c r="DK185" i="24"/>
  <c r="DJ185" i="24"/>
  <c r="DK180" i="24"/>
  <c r="DJ180" i="24"/>
  <c r="DK22" i="24"/>
  <c r="DJ22" i="24"/>
  <c r="DK164" i="24"/>
  <c r="DJ164" i="24"/>
  <c r="DK202" i="24"/>
  <c r="DJ202" i="24"/>
  <c r="DJ88" i="24"/>
  <c r="DK88" i="24"/>
  <c r="DK13" i="24"/>
  <c r="DJ13" i="24"/>
  <c r="DN157" i="24"/>
  <c r="DN103" i="24"/>
  <c r="DN122" i="24"/>
  <c r="DK275" i="24"/>
  <c r="DJ275" i="24"/>
  <c r="DN231" i="24"/>
  <c r="DK65" i="24"/>
  <c r="DJ65" i="24"/>
  <c r="DK174" i="24"/>
  <c r="DJ174" i="24"/>
  <c r="DK249" i="24"/>
  <c r="DJ249" i="24"/>
  <c r="DN145" i="24"/>
  <c r="DN192" i="24"/>
  <c r="DN47" i="24"/>
  <c r="DK283" i="24"/>
  <c r="DJ283" i="24"/>
  <c r="DN307" i="24"/>
  <c r="DN70" i="24"/>
  <c r="DK44" i="24"/>
  <c r="DJ44" i="24"/>
  <c r="DK8" i="24"/>
  <c r="DJ8" i="24"/>
  <c r="DN53" i="24"/>
  <c r="DK133" i="24"/>
  <c r="DJ133" i="24"/>
  <c r="DK171" i="24"/>
  <c r="DJ171" i="24"/>
  <c r="DN136" i="24"/>
  <c r="DK98" i="24"/>
  <c r="DJ98" i="24"/>
  <c r="DN129" i="24"/>
  <c r="DN201" i="24"/>
  <c r="DN158" i="24"/>
  <c r="DK29" i="24"/>
  <c r="DJ29" i="24"/>
  <c r="DN309" i="24"/>
  <c r="DN123" i="24"/>
  <c r="DK290" i="24"/>
  <c r="DJ290" i="24"/>
  <c r="DN173" i="24"/>
  <c r="DN100" i="24"/>
  <c r="DK112" i="24"/>
  <c r="DJ112" i="24"/>
  <c r="DK80" i="24"/>
  <c r="DJ80" i="24"/>
  <c r="DK197" i="24"/>
  <c r="DJ197" i="24"/>
  <c r="DK113" i="24"/>
  <c r="DJ113" i="24"/>
  <c r="DK35" i="24"/>
  <c r="DJ35" i="24"/>
  <c r="DK311" i="24"/>
  <c r="DJ311" i="24"/>
  <c r="DK278" i="24"/>
  <c r="DJ278" i="24"/>
  <c r="DK36" i="24"/>
  <c r="DJ36" i="24"/>
  <c r="DK256" i="24"/>
  <c r="DJ256" i="24"/>
  <c r="DK267" i="24"/>
  <c r="DJ267" i="24"/>
  <c r="DK209" i="24"/>
  <c r="DJ209" i="24"/>
  <c r="DK68" i="24"/>
  <c r="DJ68" i="24"/>
  <c r="DK24" i="24"/>
  <c r="DJ24" i="24"/>
  <c r="DK42" i="24"/>
  <c r="DJ42" i="24"/>
  <c r="DK288" i="24"/>
  <c r="DJ288" i="24"/>
  <c r="DN48" i="24"/>
  <c r="DK11" i="24"/>
  <c r="DJ11" i="24"/>
  <c r="DK240" i="24"/>
  <c r="DJ240" i="24"/>
  <c r="DK244" i="24"/>
  <c r="DJ244" i="24"/>
  <c r="DK17" i="24"/>
  <c r="DJ17" i="24"/>
  <c r="DK39" i="24"/>
  <c r="DJ39" i="24"/>
  <c r="DK23" i="24"/>
  <c r="DJ23" i="24"/>
  <c r="DK227" i="24"/>
  <c r="DJ227" i="24"/>
  <c r="DN14" i="24"/>
  <c r="DN250" i="24"/>
  <c r="DK134" i="24"/>
  <c r="DJ134" i="24"/>
  <c r="DN223" i="24"/>
  <c r="DN155" i="24"/>
  <c r="DN199" i="24"/>
  <c r="DK26" i="24"/>
  <c r="DJ26" i="24"/>
  <c r="DN277" i="24"/>
  <c r="DK163" i="24"/>
  <c r="DJ163" i="24"/>
  <c r="DK257" i="24"/>
  <c r="DJ257" i="24"/>
  <c r="DK238" i="24"/>
  <c r="DJ238" i="24"/>
  <c r="DK157" i="24"/>
  <c r="DJ157" i="24"/>
  <c r="DK103" i="24"/>
  <c r="DJ103" i="24"/>
  <c r="DK122" i="24"/>
  <c r="DJ122" i="24"/>
  <c r="DK231" i="24"/>
  <c r="DJ231" i="24"/>
  <c r="DK145" i="24"/>
  <c r="DJ145" i="24"/>
  <c r="DK47" i="24"/>
  <c r="DJ47" i="24"/>
  <c r="DN283" i="24"/>
  <c r="DJ307" i="24"/>
  <c r="DK307" i="24"/>
  <c r="DK70" i="24"/>
  <c r="DJ70" i="24"/>
  <c r="DK284" i="24"/>
  <c r="DJ284" i="24"/>
  <c r="DK53" i="24"/>
  <c r="DJ53" i="24"/>
  <c r="DN133" i="24"/>
  <c r="DK93" i="24"/>
  <c r="DJ93" i="24"/>
  <c r="DN126" i="24"/>
  <c r="DK46" i="24"/>
  <c r="DJ46" i="24"/>
  <c r="DK84" i="24"/>
  <c r="DJ84" i="24"/>
  <c r="DK158" i="24"/>
  <c r="DJ158" i="24"/>
  <c r="DK20" i="24"/>
  <c r="DJ20" i="24"/>
  <c r="DK205" i="24"/>
  <c r="DJ205" i="24"/>
  <c r="DK309" i="24"/>
  <c r="DJ309" i="24"/>
  <c r="DK123" i="24"/>
  <c r="DJ123" i="24"/>
  <c r="DN290" i="24"/>
  <c r="DK173" i="24"/>
  <c r="DJ173" i="24"/>
  <c r="DK100" i="24"/>
  <c r="DJ100" i="24"/>
  <c r="DN80" i="24"/>
  <c r="DN271" i="24"/>
  <c r="DK210" i="24"/>
  <c r="DJ210" i="24"/>
  <c r="DK196" i="24"/>
  <c r="DJ196" i="24"/>
  <c r="DK141" i="24"/>
  <c r="DJ141" i="24"/>
  <c r="DK279" i="24"/>
  <c r="DJ279" i="24"/>
  <c r="DK259" i="24"/>
  <c r="DJ259" i="24"/>
  <c r="DK15" i="24"/>
  <c r="DJ15" i="24"/>
  <c r="DK222" i="24"/>
  <c r="DJ222" i="24"/>
  <c r="DK246" i="24"/>
  <c r="DJ246" i="24"/>
  <c r="DK282" i="24"/>
  <c r="DJ282" i="24"/>
  <c r="DK58" i="24"/>
  <c r="DJ58" i="24"/>
  <c r="DN39" i="24"/>
  <c r="DK195" i="24"/>
  <c r="DJ195" i="24"/>
  <c r="DK151" i="24"/>
  <c r="DJ151" i="24"/>
  <c r="DK115" i="24"/>
  <c r="DJ115" i="24"/>
  <c r="DK168" i="24"/>
  <c r="DJ168" i="24"/>
  <c r="DK21" i="24"/>
  <c r="DJ21" i="24"/>
  <c r="DK208" i="24"/>
  <c r="DJ208" i="24"/>
  <c r="DK299" i="24"/>
  <c r="DJ299" i="24"/>
  <c r="DK276" i="24"/>
  <c r="DJ276" i="24"/>
  <c r="DJ204" i="24"/>
  <c r="DK204" i="24"/>
  <c r="DK189" i="24"/>
  <c r="DJ189" i="24"/>
  <c r="DK119" i="24"/>
  <c r="DJ119" i="24"/>
  <c r="DK28" i="24"/>
  <c r="DJ28" i="24"/>
  <c r="DK188" i="24"/>
  <c r="DJ188" i="24"/>
  <c r="DK304" i="24"/>
  <c r="DJ304" i="24"/>
  <c r="DK6" i="24"/>
  <c r="DJ6" i="24"/>
  <c r="DK220" i="24"/>
  <c r="DJ220" i="24"/>
  <c r="DK261" i="24"/>
  <c r="DJ261" i="24"/>
  <c r="DK295" i="24"/>
  <c r="DJ295" i="24"/>
  <c r="DK146" i="24"/>
  <c r="DJ146" i="24"/>
  <c r="DK66" i="24"/>
  <c r="DJ66" i="24"/>
  <c r="DK313" i="24"/>
  <c r="DJ313" i="24"/>
  <c r="DK126" i="24"/>
  <c r="DJ126" i="24"/>
  <c r="DK56" i="24"/>
  <c r="DJ56" i="24"/>
  <c r="DK271" i="24"/>
  <c r="DJ271" i="24"/>
  <c r="DK91" i="24"/>
  <c r="DJ91" i="24"/>
  <c r="O628" i="29"/>
  <c r="R628" i="29"/>
  <c r="L628" i="29"/>
  <c r="Q628" i="29"/>
  <c r="S628" i="29"/>
  <c r="K628" i="29"/>
  <c r="T628" i="29"/>
  <c r="P628" i="29"/>
  <c r="BQ106" i="19"/>
  <c r="DN110" i="25" l="1"/>
  <c r="DX79" i="24"/>
  <c r="EE79" i="24" s="1"/>
  <c r="AE623" i="29"/>
  <c r="AD623" i="29"/>
  <c r="EJ212" i="25"/>
  <c r="EY212" i="25"/>
  <c r="EL212" i="25"/>
  <c r="DV212" i="25"/>
  <c r="EK212" i="25"/>
  <c r="EN212" i="25" s="1"/>
  <c r="DT212" i="25"/>
  <c r="FA212" i="25"/>
  <c r="EY199" i="25"/>
  <c r="FA200" i="25"/>
  <c r="EY208" i="25"/>
  <c r="EJ210" i="25"/>
  <c r="DZ6" i="24"/>
  <c r="DI216" i="25"/>
  <c r="DN216" i="25" s="1"/>
  <c r="EB216" i="24"/>
  <c r="EL216" i="24"/>
  <c r="EM216" i="24"/>
  <c r="EP216" i="24" s="1"/>
  <c r="EN216" i="24"/>
  <c r="FA216" i="24"/>
  <c r="DX94" i="24"/>
  <c r="EE94" i="24" s="1"/>
  <c r="DX91" i="24"/>
  <c r="EE91" i="24" s="1"/>
  <c r="DX290" i="24"/>
  <c r="EE290" i="24" s="1"/>
  <c r="DX258" i="24"/>
  <c r="EE258" i="24" s="1"/>
  <c r="DX296" i="24"/>
  <c r="EE296" i="24" s="1"/>
  <c r="DX230" i="24"/>
  <c r="DX298" i="24"/>
  <c r="EE298" i="24" s="1"/>
  <c r="DX305" i="24"/>
  <c r="EE305" i="24" s="1"/>
  <c r="DX279" i="24"/>
  <c r="EE279" i="24" s="1"/>
  <c r="DX222" i="24"/>
  <c r="EE222" i="24" s="1"/>
  <c r="DX263" i="24"/>
  <c r="EE263" i="24" s="1"/>
  <c r="DX313" i="24"/>
  <c r="EE313" i="24" s="1"/>
  <c r="DX303" i="24"/>
  <c r="EE303" i="24" s="1"/>
  <c r="DX278" i="24"/>
  <c r="EE278" i="24" s="1"/>
  <c r="DX284" i="24"/>
  <c r="EE284" i="24" s="1"/>
  <c r="DX237" i="24"/>
  <c r="EE237" i="24" s="1"/>
  <c r="DX300" i="24"/>
  <c r="EE300" i="24" s="1"/>
  <c r="DX268" i="24"/>
  <c r="EE268" i="24" s="1"/>
  <c r="DX242" i="24"/>
  <c r="EE242" i="24" s="1"/>
  <c r="DX225" i="24"/>
  <c r="EE225" i="24" s="1"/>
  <c r="DX236" i="24"/>
  <c r="EE236" i="24" s="1"/>
  <c r="DX238" i="24"/>
  <c r="EE238" i="24" s="1"/>
  <c r="DX251" i="24"/>
  <c r="EE251" i="24" s="1"/>
  <c r="DX266" i="24"/>
  <c r="EE266" i="24" s="1"/>
  <c r="DX246" i="24"/>
  <c r="EE246" i="24" s="1"/>
  <c r="DX301" i="24"/>
  <c r="EE301" i="24" s="1"/>
  <c r="DX219" i="24"/>
  <c r="EE219" i="24" s="1"/>
  <c r="DX310" i="24"/>
  <c r="EE310" i="24" s="1"/>
  <c r="DX275" i="24"/>
  <c r="EE275" i="24" s="1"/>
  <c r="DX271" i="24"/>
  <c r="EE271" i="24" s="1"/>
  <c r="DX231" i="24"/>
  <c r="EE231" i="24" s="1"/>
  <c r="DX257" i="24"/>
  <c r="EE257" i="24" s="1"/>
  <c r="DX302" i="24"/>
  <c r="EE302" i="24" s="1"/>
  <c r="DX289" i="24"/>
  <c r="EE289" i="24" s="1"/>
  <c r="DX252" i="24"/>
  <c r="EE252" i="24" s="1"/>
  <c r="DX259" i="24"/>
  <c r="EE259" i="24" s="1"/>
  <c r="DX274" i="24"/>
  <c r="EE274" i="24" s="1"/>
  <c r="DX265" i="24"/>
  <c r="EE265" i="24" s="1"/>
  <c r="DX295" i="24"/>
  <c r="EE295" i="24" s="1"/>
  <c r="DX243" i="24"/>
  <c r="EE243" i="24" s="1"/>
  <c r="DX283" i="24"/>
  <c r="EE283" i="24" s="1"/>
  <c r="DX309" i="24"/>
  <c r="EE309" i="24" s="1"/>
  <c r="DX244" i="24"/>
  <c r="EE244" i="24" s="1"/>
  <c r="DX260" i="24"/>
  <c r="EE260" i="24" s="1"/>
  <c r="DX226" i="24"/>
  <c r="EE226" i="24" s="1"/>
  <c r="DX269" i="24"/>
  <c r="EE269" i="24" s="1"/>
  <c r="DX235" i="24"/>
  <c r="EE235" i="24" s="1"/>
  <c r="DX241" i="24"/>
  <c r="EE241" i="24" s="1"/>
  <c r="DX276" i="24"/>
  <c r="EE276" i="24" s="1"/>
  <c r="DX229" i="24"/>
  <c r="EE229" i="24" s="1"/>
  <c r="DX247" i="24"/>
  <c r="EE247" i="24" s="1"/>
  <c r="DX286" i="24"/>
  <c r="EE286" i="24" s="1"/>
  <c r="DX233" i="24"/>
  <c r="EE233" i="24" s="1"/>
  <c r="DX256" i="24"/>
  <c r="EE256" i="24" s="1"/>
  <c r="DX264" i="24"/>
  <c r="EE264" i="24" s="1"/>
  <c r="DX254" i="24"/>
  <c r="EE254" i="24" s="1"/>
  <c r="DX223" i="24"/>
  <c r="EE223" i="24" s="1"/>
  <c r="DX240" i="24"/>
  <c r="EE240" i="24" s="1"/>
  <c r="DX272" i="24"/>
  <c r="EE272" i="24" s="1"/>
  <c r="DX280" i="24"/>
  <c r="EE280" i="24" s="1"/>
  <c r="DX261" i="24"/>
  <c r="EE261" i="24" s="1"/>
  <c r="DX297" i="24"/>
  <c r="EE297" i="24" s="1"/>
  <c r="DX255" i="24"/>
  <c r="EE255" i="24" s="1"/>
  <c r="DX312" i="24"/>
  <c r="EE312" i="24" s="1"/>
  <c r="DX314" i="24"/>
  <c r="EE314" i="24" s="1"/>
  <c r="DX227" i="24"/>
  <c r="EE227" i="24" s="1"/>
  <c r="DX249" i="24"/>
  <c r="EE249" i="24" s="1"/>
  <c r="DX281" i="24"/>
  <c r="EE281" i="24" s="1"/>
  <c r="DX239" i="24"/>
  <c r="EE239" i="24" s="1"/>
  <c r="DX308" i="24"/>
  <c r="EE308" i="24" s="1"/>
  <c r="DX292" i="24"/>
  <c r="EE292" i="24" s="1"/>
  <c r="DX287" i="24"/>
  <c r="EE287" i="24" s="1"/>
  <c r="DX220" i="24"/>
  <c r="EE220" i="24" s="1"/>
  <c r="DX232" i="24"/>
  <c r="EE232" i="24" s="1"/>
  <c r="DX282" i="24"/>
  <c r="EE282" i="24" s="1"/>
  <c r="DX315" i="24"/>
  <c r="EE315" i="24" s="1"/>
  <c r="DX245" i="24"/>
  <c r="EE245" i="24" s="1"/>
  <c r="DX217" i="24"/>
  <c r="EE217" i="24" s="1"/>
  <c r="DX273" i="24"/>
  <c r="EE273" i="24" s="1"/>
  <c r="DX248" i="24"/>
  <c r="EE248" i="24" s="1"/>
  <c r="DX234" i="24"/>
  <c r="EE234" i="24" s="1"/>
  <c r="DX307" i="24"/>
  <c r="EE307" i="24" s="1"/>
  <c r="DX218" i="24"/>
  <c r="EE218" i="24" s="1"/>
  <c r="DX270" i="24"/>
  <c r="EE270" i="24" s="1"/>
  <c r="DX224" i="24"/>
  <c r="EE224" i="24" s="1"/>
  <c r="DX228" i="24"/>
  <c r="EE228" i="24" s="1"/>
  <c r="DX262" i="24"/>
  <c r="EE262" i="24" s="1"/>
  <c r="DX294" i="24"/>
  <c r="EE294" i="24" s="1"/>
  <c r="DX316" i="24"/>
  <c r="EE316" i="24" s="1"/>
  <c r="DX311" i="24"/>
  <c r="EE311" i="24" s="1"/>
  <c r="DX221" i="24"/>
  <c r="EE221" i="24" s="1"/>
  <c r="DX291" i="24"/>
  <c r="EE291" i="24" s="1"/>
  <c r="DX277" i="24"/>
  <c r="EE277" i="24" s="1"/>
  <c r="DX250" i="24"/>
  <c r="EE250" i="24" s="1"/>
  <c r="DX288" i="24"/>
  <c r="EE288" i="24" s="1"/>
  <c r="DX253" i="24"/>
  <c r="EE253" i="24" s="1"/>
  <c r="DX267" i="24"/>
  <c r="EE267" i="24" s="1"/>
  <c r="DX293" i="24"/>
  <c r="EE293" i="24" s="1"/>
  <c r="DX304" i="24"/>
  <c r="EE304" i="24" s="1"/>
  <c r="DX285" i="24"/>
  <c r="EE285" i="24" s="1"/>
  <c r="DX306" i="24"/>
  <c r="EE306" i="24" s="1"/>
  <c r="DX299" i="24"/>
  <c r="EE299" i="24" s="1"/>
  <c r="EJ229" i="25"/>
  <c r="EK229" i="25"/>
  <c r="EN229" i="25" s="1"/>
  <c r="EY229" i="25"/>
  <c r="FA229" i="25"/>
  <c r="EL229" i="25"/>
  <c r="EJ228" i="25"/>
  <c r="EY228" i="25"/>
  <c r="EK228" i="25"/>
  <c r="EN228" i="25" s="1"/>
  <c r="FA228" i="25"/>
  <c r="EL228" i="25"/>
  <c r="EJ270" i="25"/>
  <c r="FA270" i="25"/>
  <c r="EK270" i="25"/>
  <c r="EN270" i="25" s="1"/>
  <c r="EY270" i="25"/>
  <c r="EL270" i="25"/>
  <c r="EJ284" i="25"/>
  <c r="EY284" i="25"/>
  <c r="EK284" i="25"/>
  <c r="EN284" i="25" s="1"/>
  <c r="FA284" i="25"/>
  <c r="EL284" i="25"/>
  <c r="EJ294" i="25"/>
  <c r="FA294" i="25"/>
  <c r="EY294" i="25"/>
  <c r="EK294" i="25"/>
  <c r="EN294" i="25" s="1"/>
  <c r="EL294" i="25"/>
  <c r="EJ276" i="25"/>
  <c r="EY276" i="25"/>
  <c r="EK276" i="25"/>
  <c r="EN276" i="25" s="1"/>
  <c r="FA276" i="25"/>
  <c r="EL276" i="25"/>
  <c r="EY303" i="25"/>
  <c r="EJ303" i="25"/>
  <c r="FA303" i="25"/>
  <c r="EK303" i="25"/>
  <c r="EN303" i="25" s="1"/>
  <c r="EL303" i="25"/>
  <c r="EJ234" i="25"/>
  <c r="EY234" i="25"/>
  <c r="EK234" i="25"/>
  <c r="EN234" i="25" s="1"/>
  <c r="FA234" i="25"/>
  <c r="EL234" i="25"/>
  <c r="EY247" i="25"/>
  <c r="EJ247" i="25"/>
  <c r="FA247" i="25"/>
  <c r="EK247" i="25"/>
  <c r="EN247" i="25" s="1"/>
  <c r="EL247" i="25"/>
  <c r="EK242" i="25"/>
  <c r="EN242" i="25" s="1"/>
  <c r="EY242" i="25"/>
  <c r="FA242" i="25"/>
  <c r="EJ242" i="25"/>
  <c r="EL242" i="25"/>
  <c r="EJ296" i="25"/>
  <c r="EK296" i="25"/>
  <c r="EN296" i="25" s="1"/>
  <c r="EY296" i="25"/>
  <c r="FA296" i="25"/>
  <c r="EL296" i="25"/>
  <c r="EJ227" i="25"/>
  <c r="EK227" i="25"/>
  <c r="EN227" i="25" s="1"/>
  <c r="EY227" i="25"/>
  <c r="FA227" i="25"/>
  <c r="EL227" i="25"/>
  <c r="EJ219" i="25"/>
  <c r="EK219" i="25"/>
  <c r="EN219" i="25" s="1"/>
  <c r="EY219" i="25"/>
  <c r="FA219" i="25"/>
  <c r="EL219" i="25"/>
  <c r="EJ226" i="25"/>
  <c r="EK226" i="25"/>
  <c r="EN226" i="25" s="1"/>
  <c r="EY226" i="25"/>
  <c r="FA226" i="25"/>
  <c r="EL226" i="25"/>
  <c r="EJ258" i="25"/>
  <c r="EY258" i="25"/>
  <c r="FA258" i="25"/>
  <c r="EK258" i="25"/>
  <c r="EN258" i="25" s="1"/>
  <c r="EL258" i="25"/>
  <c r="EJ235" i="25"/>
  <c r="EK235" i="25"/>
  <c r="EN235" i="25" s="1"/>
  <c r="EY235" i="25"/>
  <c r="FA235" i="25"/>
  <c r="EL235" i="25"/>
  <c r="EY249" i="25"/>
  <c r="EJ249" i="25"/>
  <c r="FA249" i="25"/>
  <c r="EK249" i="25"/>
  <c r="EN249" i="25" s="1"/>
  <c r="EL249" i="25"/>
  <c r="EJ240" i="25"/>
  <c r="EK240" i="25"/>
  <c r="EN240" i="25" s="1"/>
  <c r="EY240" i="25"/>
  <c r="FA240" i="25"/>
  <c r="EL240" i="25"/>
  <c r="EJ313" i="25"/>
  <c r="EY313" i="25"/>
  <c r="EK313" i="25"/>
  <c r="EN313" i="25" s="1"/>
  <c r="FA313" i="25"/>
  <c r="EL313" i="25"/>
  <c r="EJ304" i="25"/>
  <c r="EK304" i="25"/>
  <c r="EN304" i="25" s="1"/>
  <c r="EY304" i="25"/>
  <c r="FA304" i="25"/>
  <c r="EL304" i="25"/>
  <c r="EY256" i="25"/>
  <c r="FA256" i="25"/>
  <c r="EJ256" i="25"/>
  <c r="EK256" i="25"/>
  <c r="EN256" i="25" s="1"/>
  <c r="EL256" i="25"/>
  <c r="EY309" i="25"/>
  <c r="EJ309" i="25"/>
  <c r="FA309" i="25"/>
  <c r="EK309" i="25"/>
  <c r="EN309" i="25" s="1"/>
  <c r="EL309" i="25"/>
  <c r="EJ245" i="25"/>
  <c r="EY245" i="25"/>
  <c r="EK245" i="25"/>
  <c r="EN245" i="25" s="1"/>
  <c r="FA245" i="25"/>
  <c r="EL245" i="25"/>
  <c r="EK278" i="25"/>
  <c r="EN278" i="25" s="1"/>
  <c r="FA278" i="25"/>
  <c r="EY278" i="25"/>
  <c r="EJ278" i="25"/>
  <c r="EL278" i="25"/>
  <c r="EJ243" i="25"/>
  <c r="EK243" i="25"/>
  <c r="EN243" i="25" s="1"/>
  <c r="EY243" i="25"/>
  <c r="FA243" i="25"/>
  <c r="EL243" i="25"/>
  <c r="EY246" i="25"/>
  <c r="EJ246" i="25"/>
  <c r="FA246" i="25"/>
  <c r="EK246" i="25"/>
  <c r="EN246" i="25" s="1"/>
  <c r="EL246" i="25"/>
  <c r="EK230" i="25"/>
  <c r="EN230" i="25" s="1"/>
  <c r="FA230" i="25"/>
  <c r="EJ230" i="25"/>
  <c r="EY230" i="25"/>
  <c r="EL230" i="25"/>
  <c r="EY316" i="25"/>
  <c r="EJ316" i="25"/>
  <c r="FA316" i="25"/>
  <c r="EK316" i="25"/>
  <c r="EN316" i="25" s="1"/>
  <c r="EL316" i="25"/>
  <c r="EJ241" i="25"/>
  <c r="EY241" i="25"/>
  <c r="EK241" i="25"/>
  <c r="EN241" i="25" s="1"/>
  <c r="FA241" i="25"/>
  <c r="EL241" i="25"/>
  <c r="EJ291" i="25"/>
  <c r="EY291" i="25"/>
  <c r="EK291" i="25"/>
  <c r="EN291" i="25" s="1"/>
  <c r="FA291" i="25"/>
  <c r="EL291" i="25"/>
  <c r="FA297" i="25"/>
  <c r="EJ297" i="25"/>
  <c r="EK297" i="25"/>
  <c r="EN297" i="25" s="1"/>
  <c r="EY297" i="25"/>
  <c r="EL297" i="25"/>
  <c r="EJ306" i="25"/>
  <c r="EY306" i="25"/>
  <c r="EK306" i="25"/>
  <c r="EN306" i="25" s="1"/>
  <c r="FA306" i="25"/>
  <c r="EL306" i="25"/>
  <c r="EK248" i="25"/>
  <c r="EN248" i="25" s="1"/>
  <c r="EY248" i="25"/>
  <c r="FA248" i="25"/>
  <c r="EJ248" i="25"/>
  <c r="EL248" i="25"/>
  <c r="EJ310" i="25"/>
  <c r="EK310" i="25"/>
  <c r="EN310" i="25" s="1"/>
  <c r="EY310" i="25"/>
  <c r="FA310" i="25"/>
  <c r="EL310" i="25"/>
  <c r="EY255" i="25"/>
  <c r="EJ255" i="25"/>
  <c r="FA255" i="25"/>
  <c r="EK255" i="25"/>
  <c r="EN255" i="25" s="1"/>
  <c r="EL255" i="25"/>
  <c r="EJ298" i="25"/>
  <c r="EY298" i="25"/>
  <c r="EK298" i="25"/>
  <c r="EN298" i="25" s="1"/>
  <c r="FA298" i="25"/>
  <c r="EL298" i="25"/>
  <c r="EK283" i="25"/>
  <c r="EN283" i="25" s="1"/>
  <c r="FA283" i="25"/>
  <c r="EY283" i="25"/>
  <c r="EJ283" i="25"/>
  <c r="EL283" i="25"/>
  <c r="EJ221" i="25"/>
  <c r="EK221" i="25"/>
  <c r="EN221" i="25" s="1"/>
  <c r="EY221" i="25"/>
  <c r="FA221" i="25"/>
  <c r="EL221" i="25"/>
  <c r="EJ237" i="25"/>
  <c r="EY237" i="25"/>
  <c r="EK237" i="25"/>
  <c r="EN237" i="25" s="1"/>
  <c r="FA237" i="25"/>
  <c r="EL237" i="25"/>
  <c r="EJ272" i="25"/>
  <c r="EK272" i="25"/>
  <c r="EN272" i="25" s="1"/>
  <c r="EY272" i="25"/>
  <c r="FA272" i="25"/>
  <c r="EL272" i="25"/>
  <c r="EJ266" i="25"/>
  <c r="EY266" i="25"/>
  <c r="EK266" i="25"/>
  <c r="EN266" i="25" s="1"/>
  <c r="FA266" i="25"/>
  <c r="EL266" i="25"/>
  <c r="EJ223" i="25"/>
  <c r="FA223" i="25"/>
  <c r="EK223" i="25"/>
  <c r="EN223" i="25" s="1"/>
  <c r="EY223" i="25"/>
  <c r="EL223" i="25"/>
  <c r="EJ305" i="25"/>
  <c r="EY305" i="25"/>
  <c r="EK305" i="25"/>
  <c r="EN305" i="25" s="1"/>
  <c r="FA305" i="25"/>
  <c r="EL305" i="25"/>
  <c r="EY238" i="25"/>
  <c r="EJ238" i="25"/>
  <c r="FA238" i="25"/>
  <c r="EK238" i="25"/>
  <c r="EN238" i="25" s="1"/>
  <c r="EL238" i="25"/>
  <c r="EJ293" i="25"/>
  <c r="EY293" i="25"/>
  <c r="EK293" i="25"/>
  <c r="EN293" i="25" s="1"/>
  <c r="FA293" i="25"/>
  <c r="EL293" i="25"/>
  <c r="EK271" i="25"/>
  <c r="EN271" i="25" s="1"/>
  <c r="EY271" i="25"/>
  <c r="EJ271" i="25"/>
  <c r="FA271" i="25"/>
  <c r="EL271" i="25"/>
  <c r="EK274" i="25"/>
  <c r="EN274" i="25" s="1"/>
  <c r="FA274" i="25"/>
  <c r="EJ274" i="25"/>
  <c r="EY274" i="25"/>
  <c r="EL274" i="25"/>
  <c r="EJ285" i="25"/>
  <c r="EY285" i="25"/>
  <c r="EK285" i="25"/>
  <c r="EN285" i="25" s="1"/>
  <c r="FA285" i="25"/>
  <c r="EL285" i="25"/>
  <c r="EJ314" i="25"/>
  <c r="EY314" i="25"/>
  <c r="EK314" i="25"/>
  <c r="EN314" i="25" s="1"/>
  <c r="FA314" i="25"/>
  <c r="EL314" i="25"/>
  <c r="EY282" i="25"/>
  <c r="EJ282" i="25"/>
  <c r="FA282" i="25"/>
  <c r="EK282" i="25"/>
  <c r="EN282" i="25" s="1"/>
  <c r="EL282" i="25"/>
  <c r="FA267" i="25"/>
  <c r="EJ267" i="25"/>
  <c r="EK267" i="25"/>
  <c r="EN267" i="25" s="1"/>
  <c r="EY267" i="25"/>
  <c r="EL267" i="25"/>
  <c r="EK292" i="25"/>
  <c r="EN292" i="25" s="1"/>
  <c r="FA292" i="25"/>
  <c r="EJ292" i="25"/>
  <c r="EY292" i="25"/>
  <c r="EL292" i="25"/>
  <c r="EK281" i="25"/>
  <c r="EN281" i="25" s="1"/>
  <c r="EY281" i="25"/>
  <c r="FA281" i="25"/>
  <c r="EJ281" i="25"/>
  <c r="EL281" i="25"/>
  <c r="EY239" i="25"/>
  <c r="EJ239" i="25"/>
  <c r="FA239" i="25"/>
  <c r="EK239" i="25"/>
  <c r="EN239" i="25" s="1"/>
  <c r="EL239" i="25"/>
  <c r="EJ222" i="25"/>
  <c r="EK222" i="25"/>
  <c r="EN222" i="25" s="1"/>
  <c r="EY222" i="25"/>
  <c r="FA222" i="25"/>
  <c r="EL222" i="25"/>
  <c r="EJ250" i="25"/>
  <c r="EY250" i="25"/>
  <c r="EK250" i="25"/>
  <c r="EN250" i="25" s="1"/>
  <c r="FA250" i="25"/>
  <c r="EL250" i="25"/>
  <c r="EJ252" i="25"/>
  <c r="EY252" i="25"/>
  <c r="EK252" i="25"/>
  <c r="EN252" i="25" s="1"/>
  <c r="FA252" i="25"/>
  <c r="EL252" i="25"/>
  <c r="EK311" i="25"/>
  <c r="EN311" i="25" s="1"/>
  <c r="FA311" i="25"/>
  <c r="EJ311" i="25"/>
  <c r="EY311" i="25"/>
  <c r="EL311" i="25"/>
  <c r="EJ312" i="25"/>
  <c r="EK312" i="25"/>
  <c r="EN312" i="25" s="1"/>
  <c r="EY312" i="25"/>
  <c r="FA312" i="25"/>
  <c r="EL312" i="25"/>
  <c r="EY257" i="25"/>
  <c r="EJ257" i="25"/>
  <c r="FA257" i="25"/>
  <c r="EK257" i="25"/>
  <c r="EN257" i="25" s="1"/>
  <c r="EL257" i="25"/>
  <c r="EJ307" i="25"/>
  <c r="EY307" i="25"/>
  <c r="EK307" i="25"/>
  <c r="EN307" i="25" s="1"/>
  <c r="FA307" i="25"/>
  <c r="EL307" i="25"/>
  <c r="FA289" i="25"/>
  <c r="EJ289" i="25"/>
  <c r="EK289" i="25"/>
  <c r="EN289" i="25" s="1"/>
  <c r="EY289" i="25"/>
  <c r="EL289" i="25"/>
  <c r="EY308" i="25"/>
  <c r="EJ308" i="25"/>
  <c r="FA308" i="25"/>
  <c r="EK308" i="25"/>
  <c r="EN308" i="25" s="1"/>
  <c r="EL308" i="25"/>
  <c r="EJ269" i="25"/>
  <c r="EY269" i="25"/>
  <c r="EK269" i="25"/>
  <c r="EN269" i="25" s="1"/>
  <c r="FA269" i="25"/>
  <c r="EL269" i="25"/>
  <c r="EJ290" i="25"/>
  <c r="EY290" i="25"/>
  <c r="EK290" i="25"/>
  <c r="EN290" i="25" s="1"/>
  <c r="FA290" i="25"/>
  <c r="EL290" i="25"/>
  <c r="EJ251" i="25"/>
  <c r="EK251" i="25"/>
  <c r="EN251" i="25" s="1"/>
  <c r="EY251" i="25"/>
  <c r="FA251" i="25"/>
  <c r="EL251" i="25"/>
  <c r="EK233" i="25"/>
  <c r="EN233" i="25" s="1"/>
  <c r="EY233" i="25"/>
  <c r="EJ233" i="25"/>
  <c r="FA233" i="25"/>
  <c r="EL233" i="25"/>
  <c r="EY220" i="25"/>
  <c r="EJ220" i="25"/>
  <c r="FA220" i="25"/>
  <c r="EK220" i="25"/>
  <c r="EN220" i="25" s="1"/>
  <c r="EL220" i="25"/>
  <c r="EK286" i="25"/>
  <c r="EN286" i="25" s="1"/>
  <c r="EY286" i="25"/>
  <c r="FA286" i="25"/>
  <c r="EJ286" i="25"/>
  <c r="EL286" i="25"/>
  <c r="EJ315" i="25"/>
  <c r="EY315" i="25"/>
  <c r="EK315" i="25"/>
  <c r="EN315" i="25" s="1"/>
  <c r="FA315" i="25"/>
  <c r="EL315" i="25"/>
  <c r="EK244" i="25"/>
  <c r="EN244" i="25" s="1"/>
  <c r="FA244" i="25"/>
  <c r="EJ244" i="25"/>
  <c r="EY244" i="25"/>
  <c r="EL244" i="25"/>
  <c r="EY231" i="25"/>
  <c r="EJ231" i="25"/>
  <c r="FA231" i="25"/>
  <c r="EK231" i="25"/>
  <c r="EN231" i="25" s="1"/>
  <c r="EL231" i="25"/>
  <c r="EJ217" i="25"/>
  <c r="EY217" i="25"/>
  <c r="EK217" i="25"/>
  <c r="EN217" i="25" s="1"/>
  <c r="FA217" i="25"/>
  <c r="EL217" i="25"/>
  <c r="EJ301" i="25"/>
  <c r="EY301" i="25"/>
  <c r="EK301" i="25"/>
  <c r="EN301" i="25" s="1"/>
  <c r="FA301" i="25"/>
  <c r="EL301" i="25"/>
  <c r="EJ277" i="25"/>
  <c r="EK277" i="25"/>
  <c r="EN277" i="25" s="1"/>
  <c r="EY277" i="25"/>
  <c r="FA277" i="25"/>
  <c r="EL277" i="25"/>
  <c r="EJ232" i="25"/>
  <c r="EK232" i="25"/>
  <c r="EN232" i="25" s="1"/>
  <c r="EY232" i="25"/>
  <c r="FA232" i="25"/>
  <c r="EL232" i="25"/>
  <c r="EY260" i="25"/>
  <c r="EJ260" i="25"/>
  <c r="FA260" i="25"/>
  <c r="EK260" i="25"/>
  <c r="EN260" i="25" s="1"/>
  <c r="EL260" i="25"/>
  <c r="EJ300" i="25"/>
  <c r="EY300" i="25"/>
  <c r="EK300" i="25"/>
  <c r="EN300" i="25" s="1"/>
  <c r="FA300" i="25"/>
  <c r="EL300" i="25"/>
  <c r="EJ225" i="25"/>
  <c r="EK225" i="25"/>
  <c r="EN225" i="25" s="1"/>
  <c r="EY225" i="25"/>
  <c r="FA225" i="25"/>
  <c r="EL225" i="25"/>
  <c r="EJ287" i="25"/>
  <c r="EY287" i="25"/>
  <c r="EK287" i="25"/>
  <c r="EN287" i="25" s="1"/>
  <c r="FA287" i="25"/>
  <c r="EL287" i="25"/>
  <c r="EK273" i="25"/>
  <c r="EN273" i="25" s="1"/>
  <c r="FA273" i="25"/>
  <c r="EY273" i="25"/>
  <c r="EJ273" i="25"/>
  <c r="EL273" i="25"/>
  <c r="EK295" i="25"/>
  <c r="EN295" i="25" s="1"/>
  <c r="EY295" i="25"/>
  <c r="FA295" i="25"/>
  <c r="EJ295" i="25"/>
  <c r="EL295" i="25"/>
  <c r="EK261" i="25"/>
  <c r="EN261" i="25" s="1"/>
  <c r="EY261" i="25"/>
  <c r="FA261" i="25"/>
  <c r="EJ261" i="25"/>
  <c r="EL261" i="25"/>
  <c r="EK259" i="25"/>
  <c r="EN259" i="25" s="1"/>
  <c r="EY259" i="25"/>
  <c r="FA259" i="25"/>
  <c r="EJ259" i="25"/>
  <c r="EL259" i="25"/>
  <c r="EK302" i="25"/>
  <c r="EN302" i="25" s="1"/>
  <c r="EY302" i="25"/>
  <c r="FA302" i="25"/>
  <c r="EJ302" i="25"/>
  <c r="EL302" i="25"/>
  <c r="EY265" i="25"/>
  <c r="EJ265" i="25"/>
  <c r="FA265" i="25"/>
  <c r="EK265" i="25"/>
  <c r="EN265" i="25" s="1"/>
  <c r="EL265" i="25"/>
  <c r="EJ280" i="25"/>
  <c r="FA280" i="25"/>
  <c r="EY280" i="25"/>
  <c r="EK280" i="25"/>
  <c r="EN280" i="25" s="1"/>
  <c r="EL280" i="25"/>
  <c r="EK299" i="25"/>
  <c r="EN299" i="25" s="1"/>
  <c r="EY299" i="25"/>
  <c r="FA299" i="25"/>
  <c r="EJ299" i="25"/>
  <c r="EL299" i="25"/>
  <c r="EJ224" i="25"/>
  <c r="EK224" i="25"/>
  <c r="EN224" i="25" s="1"/>
  <c r="EY224" i="25"/>
  <c r="FA224" i="25"/>
  <c r="EL224" i="25"/>
  <c r="EK264" i="25"/>
  <c r="EN264" i="25" s="1"/>
  <c r="EY264" i="25"/>
  <c r="FA264" i="25"/>
  <c r="EJ264" i="25"/>
  <c r="EL264" i="25"/>
  <c r="EJ262" i="25"/>
  <c r="EY262" i="25"/>
  <c r="EK262" i="25"/>
  <c r="EN262" i="25" s="1"/>
  <c r="FA262" i="25"/>
  <c r="EL262" i="25"/>
  <c r="FA253" i="25"/>
  <c r="EJ253" i="25"/>
  <c r="EK253" i="25"/>
  <c r="EN253" i="25" s="1"/>
  <c r="EY253" i="25"/>
  <c r="EL253" i="25"/>
  <c r="EJ279" i="25"/>
  <c r="EK279" i="25"/>
  <c r="EN279" i="25" s="1"/>
  <c r="EY279" i="25"/>
  <c r="FA279" i="25"/>
  <c r="EL279" i="25"/>
  <c r="EJ288" i="25"/>
  <c r="EK288" i="25"/>
  <c r="EN288" i="25" s="1"/>
  <c r="EY288" i="25"/>
  <c r="FA288" i="25"/>
  <c r="EL288" i="25"/>
  <c r="EJ218" i="25"/>
  <c r="EY218" i="25"/>
  <c r="EK218" i="25"/>
  <c r="EN218" i="25" s="1"/>
  <c r="FA218" i="25"/>
  <c r="EL218" i="25"/>
  <c r="EJ236" i="25"/>
  <c r="EY236" i="25"/>
  <c r="EK236" i="25"/>
  <c r="EN236" i="25" s="1"/>
  <c r="FA236" i="25"/>
  <c r="EL236" i="25"/>
  <c r="EJ275" i="25"/>
  <c r="EK275" i="25"/>
  <c r="EN275" i="25" s="1"/>
  <c r="EY275" i="25"/>
  <c r="FA275" i="25"/>
  <c r="EL275" i="25"/>
  <c r="EY268" i="25"/>
  <c r="EJ268" i="25"/>
  <c r="FA268" i="25"/>
  <c r="EK268" i="25"/>
  <c r="EN268" i="25" s="1"/>
  <c r="EL268" i="25"/>
  <c r="EY263" i="25"/>
  <c r="EJ263" i="25"/>
  <c r="FA263" i="25"/>
  <c r="EK263" i="25"/>
  <c r="EN263" i="25" s="1"/>
  <c r="EL263" i="25"/>
  <c r="EY254" i="25"/>
  <c r="EJ254" i="25"/>
  <c r="FA254" i="25"/>
  <c r="EK254" i="25"/>
  <c r="EN254" i="25" s="1"/>
  <c r="EL254" i="25"/>
  <c r="EL112" i="25"/>
  <c r="DT112" i="25"/>
  <c r="EY112" i="25"/>
  <c r="EJ112" i="25"/>
  <c r="DV112" i="25"/>
  <c r="FA112" i="25"/>
  <c r="EK112" i="25"/>
  <c r="EN112" i="25" s="1"/>
  <c r="FA15" i="25"/>
  <c r="EY65" i="25"/>
  <c r="FA91" i="25"/>
  <c r="EY40" i="25"/>
  <c r="EY60" i="25"/>
  <c r="EY70" i="25"/>
  <c r="EY58" i="25"/>
  <c r="EY33" i="25"/>
  <c r="EJ81" i="25"/>
  <c r="EJ25" i="25"/>
  <c r="EY93" i="25"/>
  <c r="FA27" i="25"/>
  <c r="EY51" i="25"/>
  <c r="FA49" i="25"/>
  <c r="EJ86" i="25"/>
  <c r="EJ13" i="25"/>
  <c r="FA98" i="25"/>
  <c r="EJ99" i="25"/>
  <c r="FA59" i="25"/>
  <c r="FA72" i="25"/>
  <c r="EJ34" i="25"/>
  <c r="EJ92" i="25"/>
  <c r="EJ83" i="25"/>
  <c r="EJ87" i="25"/>
  <c r="EY38" i="25"/>
  <c r="EJ48" i="25"/>
  <c r="EY24" i="25"/>
  <c r="EJ78" i="25"/>
  <c r="EJ47" i="25"/>
  <c r="EY42" i="25"/>
  <c r="EJ17" i="25"/>
  <c r="EJ12" i="25"/>
  <c r="EY66" i="25"/>
  <c r="FA43" i="25"/>
  <c r="EY89" i="25"/>
  <c r="FA37" i="25"/>
  <c r="FA29" i="25"/>
  <c r="FA14" i="25"/>
  <c r="FA35" i="25"/>
  <c r="EJ73" i="25"/>
  <c r="EJ88" i="25"/>
  <c r="EJ80" i="25"/>
  <c r="EJ74" i="25"/>
  <c r="EY79" i="25"/>
  <c r="DX76" i="24"/>
  <c r="EE76" i="24" s="1"/>
  <c r="DX16" i="24"/>
  <c r="EE16" i="24" s="1"/>
  <c r="DZ66" i="24"/>
  <c r="DX78" i="24"/>
  <c r="EE78" i="24" s="1"/>
  <c r="DX75" i="24"/>
  <c r="EE75" i="24" s="1"/>
  <c r="DZ84" i="24"/>
  <c r="DZ86" i="24"/>
  <c r="DZ59" i="24"/>
  <c r="DZ22" i="24"/>
  <c r="EL183" i="25"/>
  <c r="DX18" i="24"/>
  <c r="EE18" i="24" s="1"/>
  <c r="DZ85" i="24"/>
  <c r="DX92" i="24"/>
  <c r="EE92" i="24" s="1"/>
  <c r="DX87" i="24"/>
  <c r="EE87" i="24" s="1"/>
  <c r="DX17" i="24"/>
  <c r="EE17" i="24" s="1"/>
  <c r="DZ82" i="24"/>
  <c r="DZ34" i="24"/>
  <c r="DZ51" i="24"/>
  <c r="DX45" i="24"/>
  <c r="EE45" i="24" s="1"/>
  <c r="FA81" i="25"/>
  <c r="EY81" i="25"/>
  <c r="DZ46" i="24"/>
  <c r="EK143" i="25"/>
  <c r="EN143" i="25" s="1"/>
  <c r="EJ72" i="25"/>
  <c r="EJ100" i="25"/>
  <c r="EY103" i="25"/>
  <c r="EY105" i="25"/>
  <c r="DZ38" i="24"/>
  <c r="EK183" i="25"/>
  <c r="EN183" i="25" s="1"/>
  <c r="DZ20" i="24"/>
  <c r="DR74" i="24"/>
  <c r="DR169" i="24"/>
  <c r="DU169" i="24" s="1"/>
  <c r="DZ32" i="24"/>
  <c r="DV183" i="25"/>
  <c r="DX183" i="25" s="1"/>
  <c r="EC183" i="25" s="1"/>
  <c r="EJ14" i="25"/>
  <c r="DX88" i="24"/>
  <c r="EE88" i="24" s="1"/>
  <c r="EY181" i="25"/>
  <c r="EJ168" i="25"/>
  <c r="DZ73" i="24"/>
  <c r="DX21" i="24"/>
  <c r="EE21" i="24" s="1"/>
  <c r="DX101" i="24"/>
  <c r="EE101" i="24" s="1"/>
  <c r="DZ72" i="24"/>
  <c r="FA193" i="25"/>
  <c r="EJ79" i="25"/>
  <c r="DX97" i="24"/>
  <c r="EE97" i="24" s="1"/>
  <c r="DX93" i="24"/>
  <c r="EE93" i="24" s="1"/>
  <c r="DZ90" i="24"/>
  <c r="DX57" i="24"/>
  <c r="EE57" i="24" s="1"/>
  <c r="EJ98" i="25"/>
  <c r="DZ19" i="24"/>
  <c r="DX95" i="24"/>
  <c r="EE95" i="24" s="1"/>
  <c r="DZ12" i="24"/>
  <c r="DX27" i="24"/>
  <c r="EE27" i="24" s="1"/>
  <c r="FA208" i="25"/>
  <c r="EY72" i="25"/>
  <c r="FA119" i="25"/>
  <c r="FA24" i="25"/>
  <c r="EJ24" i="25"/>
  <c r="EJ70" i="25"/>
  <c r="DY5" i="24"/>
  <c r="EF5" i="24" s="1"/>
  <c r="EA5" i="24"/>
  <c r="DR96" i="24"/>
  <c r="DY110" i="24"/>
  <c r="EF110" i="24" s="1"/>
  <c r="EA110" i="24"/>
  <c r="DR190" i="24"/>
  <c r="EY190" i="24" s="1"/>
  <c r="DR39" i="24"/>
  <c r="DR242" i="24"/>
  <c r="DR243" i="24"/>
  <c r="DW216" i="24"/>
  <c r="DU216" i="24"/>
  <c r="DR92" i="24"/>
  <c r="DT182" i="25"/>
  <c r="EY128" i="25"/>
  <c r="EY49" i="25"/>
  <c r="EJ137" i="25"/>
  <c r="DZ28" i="24"/>
  <c r="DZ74" i="24"/>
  <c r="DX105" i="24"/>
  <c r="EE105" i="24" s="1"/>
  <c r="DX7" i="24"/>
  <c r="EE7" i="24" s="1"/>
  <c r="EY98" i="25"/>
  <c r="EY35" i="25"/>
  <c r="EJ43" i="25"/>
  <c r="DZ49" i="24"/>
  <c r="FA70" i="25"/>
  <c r="DT138" i="25"/>
  <c r="DX56" i="24"/>
  <c r="EE56" i="24" s="1"/>
  <c r="EY138" i="25"/>
  <c r="DX11" i="24"/>
  <c r="EE11" i="24" s="1"/>
  <c r="EY78" i="25"/>
  <c r="DZ69" i="24"/>
  <c r="EJ33" i="25"/>
  <c r="EY119" i="25"/>
  <c r="FA173" i="25"/>
  <c r="DX9" i="24"/>
  <c r="EE9" i="24" s="1"/>
  <c r="EY173" i="25"/>
  <c r="EJ187" i="25"/>
  <c r="DO128" i="24"/>
  <c r="DR78" i="24"/>
  <c r="EY210" i="25"/>
  <c r="EJ105" i="25"/>
  <c r="EJ93" i="25"/>
  <c r="EJ121" i="25"/>
  <c r="FA79" i="25"/>
  <c r="EY121" i="25"/>
  <c r="EY48" i="25"/>
  <c r="EK182" i="25"/>
  <c r="EN182" i="25" s="1"/>
  <c r="EY14" i="25"/>
  <c r="FA38" i="25"/>
  <c r="DZ102" i="24"/>
  <c r="EY175" i="25"/>
  <c r="FA175" i="25"/>
  <c r="DX36" i="24"/>
  <c r="EE36" i="24" s="1"/>
  <c r="DZ96" i="24"/>
  <c r="DX64" i="24"/>
  <c r="EE64" i="24" s="1"/>
  <c r="DR90" i="24"/>
  <c r="EY92" i="25"/>
  <c r="FA210" i="25"/>
  <c r="EY86" i="25"/>
  <c r="DV143" i="25"/>
  <c r="DY143" i="25" s="1"/>
  <c r="CH143" i="25" s="1"/>
  <c r="DT73" i="25"/>
  <c r="FA86" i="25"/>
  <c r="EY191" i="25"/>
  <c r="EL73" i="25"/>
  <c r="EJ143" i="25"/>
  <c r="EY83" i="25"/>
  <c r="FA191" i="25"/>
  <c r="EK73" i="25"/>
  <c r="EN73" i="25" s="1"/>
  <c r="EY143" i="25"/>
  <c r="EL143" i="25"/>
  <c r="FA83" i="25"/>
  <c r="DV73" i="25"/>
  <c r="DX73" i="25" s="1"/>
  <c r="EC73" i="25" s="1"/>
  <c r="FA187" i="25"/>
  <c r="FA143" i="25"/>
  <c r="FA42" i="25"/>
  <c r="FA138" i="25"/>
  <c r="FA78" i="25"/>
  <c r="EL138" i="25"/>
  <c r="FA128" i="25"/>
  <c r="EJ199" i="25"/>
  <c r="EJ138" i="25"/>
  <c r="EK138" i="25"/>
  <c r="EN138" i="25" s="1"/>
  <c r="FA199" i="25"/>
  <c r="EY139" i="25"/>
  <c r="FA139" i="25"/>
  <c r="EY193" i="25"/>
  <c r="EJ40" i="25"/>
  <c r="EJ38" i="25"/>
  <c r="EY183" i="25"/>
  <c r="EJ183" i="25"/>
  <c r="FA183" i="25"/>
  <c r="DX182" i="25"/>
  <c r="EC182" i="25" s="1"/>
  <c r="DY182" i="25"/>
  <c r="FA58" i="25"/>
  <c r="FA181" i="25"/>
  <c r="EY182" i="25"/>
  <c r="EY99" i="25"/>
  <c r="EY47" i="25"/>
  <c r="EJ58" i="25"/>
  <c r="FA103" i="25"/>
  <c r="EJ182" i="25"/>
  <c r="FA99" i="25"/>
  <c r="FA47" i="25"/>
  <c r="DT181" i="25"/>
  <c r="FA105" i="25"/>
  <c r="EJ103" i="25"/>
  <c r="FA182" i="25"/>
  <c r="EK181" i="25"/>
  <c r="EN181" i="25" s="1"/>
  <c r="EL182" i="25"/>
  <c r="EY127" i="25"/>
  <c r="EL181" i="25"/>
  <c r="EJ208" i="25"/>
  <c r="DV181" i="25"/>
  <c r="DY181" i="25" s="1"/>
  <c r="EY168" i="25"/>
  <c r="FA171" i="25"/>
  <c r="FA100" i="25"/>
  <c r="FA34" i="25"/>
  <c r="EY25" i="25"/>
  <c r="FA33" i="25"/>
  <c r="FA40" i="25"/>
  <c r="EJ190" i="25"/>
  <c r="FA48" i="25"/>
  <c r="EY12" i="25"/>
  <c r="EJ59" i="25"/>
  <c r="EY100" i="25"/>
  <c r="EY34" i="25"/>
  <c r="FA25" i="25"/>
  <c r="EY59" i="25"/>
  <c r="FA17" i="25"/>
  <c r="EY147" i="25"/>
  <c r="EY17" i="25"/>
  <c r="FA147" i="25"/>
  <c r="EJ27" i="25"/>
  <c r="EY27" i="25"/>
  <c r="EJ15" i="25"/>
  <c r="EY158" i="25"/>
  <c r="EY73" i="25"/>
  <c r="FA73" i="25"/>
  <c r="EY15" i="25"/>
  <c r="EJ127" i="25"/>
  <c r="FA158" i="25"/>
  <c r="DV180" i="25"/>
  <c r="DX180" i="25" s="1"/>
  <c r="EC180" i="25" s="1"/>
  <c r="EK180" i="25"/>
  <c r="EN180" i="25" s="1"/>
  <c r="EL180" i="25"/>
  <c r="DT180" i="25"/>
  <c r="EJ180" i="25"/>
  <c r="FA180" i="25"/>
  <c r="EY180" i="25"/>
  <c r="DV223" i="25"/>
  <c r="DT223" i="25"/>
  <c r="DV141" i="25"/>
  <c r="DX141" i="25" s="1"/>
  <c r="EC141" i="25" s="1"/>
  <c r="EK141" i="25"/>
  <c r="EN141" i="25" s="1"/>
  <c r="EL141" i="25"/>
  <c r="DT141" i="25"/>
  <c r="FA141" i="25"/>
  <c r="EY141" i="25"/>
  <c r="EJ141" i="25"/>
  <c r="DV258" i="25"/>
  <c r="DT258" i="25"/>
  <c r="DV129" i="25"/>
  <c r="DX129" i="25" s="1"/>
  <c r="EC129" i="25" s="1"/>
  <c r="EL129" i="25"/>
  <c r="EK129" i="25"/>
  <c r="EN129" i="25" s="1"/>
  <c r="DT129" i="25"/>
  <c r="FA129" i="25"/>
  <c r="EY129" i="25"/>
  <c r="EJ129" i="25"/>
  <c r="DV164" i="25"/>
  <c r="DX164" i="25" s="1"/>
  <c r="EC164" i="25" s="1"/>
  <c r="EL164" i="25"/>
  <c r="EK164" i="25"/>
  <c r="EN164" i="25" s="1"/>
  <c r="DT164" i="25"/>
  <c r="FA164" i="25"/>
  <c r="EY164" i="25"/>
  <c r="EJ164" i="25"/>
  <c r="DV101" i="25"/>
  <c r="EL101" i="25"/>
  <c r="EK101" i="25"/>
  <c r="EN101" i="25" s="1"/>
  <c r="EJ101" i="25"/>
  <c r="FA101" i="25"/>
  <c r="EY101" i="25"/>
  <c r="EB17" i="25"/>
  <c r="EA17" i="25"/>
  <c r="DV169" i="25"/>
  <c r="DX169" i="25" s="1"/>
  <c r="EC169" i="25" s="1"/>
  <c r="EK169" i="25"/>
  <c r="EN169" i="25" s="1"/>
  <c r="EL169" i="25"/>
  <c r="DT169" i="25"/>
  <c r="EJ169" i="25"/>
  <c r="DV301" i="25"/>
  <c r="DT301" i="25"/>
  <c r="EY169" i="25"/>
  <c r="DV63" i="25"/>
  <c r="EK63" i="25"/>
  <c r="EN63" i="25" s="1"/>
  <c r="EL63" i="25"/>
  <c r="DT63" i="25"/>
  <c r="EY63" i="25"/>
  <c r="EJ63" i="25"/>
  <c r="FA63" i="25"/>
  <c r="DV231" i="25"/>
  <c r="DT231" i="25"/>
  <c r="DV104" i="25"/>
  <c r="EK104" i="25"/>
  <c r="EN104" i="25" s="1"/>
  <c r="EL104" i="25"/>
  <c r="FA104" i="25"/>
  <c r="EJ104" i="25"/>
  <c r="EY104" i="25"/>
  <c r="EB193" i="25"/>
  <c r="EA193" i="25"/>
  <c r="DV136" i="25"/>
  <c r="DX136" i="25" s="1"/>
  <c r="EC136" i="25" s="1"/>
  <c r="EL136" i="25"/>
  <c r="EK136" i="25"/>
  <c r="EN136" i="25" s="1"/>
  <c r="DT136" i="25"/>
  <c r="EY136" i="25"/>
  <c r="EJ136" i="25"/>
  <c r="FA136" i="25"/>
  <c r="FA169" i="25"/>
  <c r="DV44" i="25"/>
  <c r="EL44" i="25"/>
  <c r="EK44" i="25"/>
  <c r="EN44" i="25" s="1"/>
  <c r="DT44" i="25"/>
  <c r="EY44" i="25"/>
  <c r="EJ44" i="25"/>
  <c r="FA44" i="25"/>
  <c r="DV23" i="25"/>
  <c r="DX23" i="25" s="1"/>
  <c r="EC23" i="25" s="1"/>
  <c r="EK23" i="25"/>
  <c r="EN23" i="25" s="1"/>
  <c r="EL23" i="25"/>
  <c r="DT23" i="25"/>
  <c r="EY23" i="25"/>
  <c r="EJ23" i="25"/>
  <c r="FA23" i="25"/>
  <c r="DV97" i="25"/>
  <c r="DX97" i="25" s="1"/>
  <c r="EC97" i="25" s="1"/>
  <c r="EL97" i="25"/>
  <c r="EK97" i="25"/>
  <c r="EN97" i="25" s="1"/>
  <c r="EJ97" i="25"/>
  <c r="FA97" i="25"/>
  <c r="EY97" i="25"/>
  <c r="DV203" i="25"/>
  <c r="DX203" i="25" s="1"/>
  <c r="EC203" i="25" s="1"/>
  <c r="EK203" i="25"/>
  <c r="EN203" i="25" s="1"/>
  <c r="EL203" i="25"/>
  <c r="EJ203" i="25"/>
  <c r="FA203" i="25"/>
  <c r="EY203" i="25"/>
  <c r="DV194" i="25"/>
  <c r="DX194" i="25" s="1"/>
  <c r="EC194" i="25" s="1"/>
  <c r="EK194" i="25"/>
  <c r="EN194" i="25" s="1"/>
  <c r="EL194" i="25"/>
  <c r="FA194" i="25"/>
  <c r="EY194" i="25"/>
  <c r="EJ194" i="25"/>
  <c r="DV93" i="25"/>
  <c r="DX93" i="25" s="1"/>
  <c r="EC93" i="25" s="1"/>
  <c r="EL93" i="25"/>
  <c r="EK93" i="25"/>
  <c r="EN93" i="25" s="1"/>
  <c r="FA93" i="25"/>
  <c r="DV219" i="25"/>
  <c r="DT219" i="25"/>
  <c r="DV77" i="25"/>
  <c r="DX77" i="25" s="1"/>
  <c r="EC77" i="25" s="1"/>
  <c r="EL77" i="25"/>
  <c r="EK77" i="25"/>
  <c r="EN77" i="25" s="1"/>
  <c r="DT77" i="25"/>
  <c r="EB93" i="25"/>
  <c r="EA93" i="25"/>
  <c r="DV307" i="25"/>
  <c r="DT307" i="25"/>
  <c r="EB210" i="25"/>
  <c r="EA210" i="25"/>
  <c r="EB100" i="25"/>
  <c r="EA100" i="25"/>
  <c r="DV297" i="25"/>
  <c r="DT297" i="25"/>
  <c r="DV90" i="25"/>
  <c r="DX90" i="25" s="1"/>
  <c r="EC90" i="25" s="1"/>
  <c r="EK90" i="25"/>
  <c r="EN90" i="25" s="1"/>
  <c r="EL90" i="25"/>
  <c r="DT90" i="25"/>
  <c r="DV269" i="25"/>
  <c r="DT269" i="25"/>
  <c r="EB72" i="25"/>
  <c r="EA72" i="25"/>
  <c r="DV56" i="25"/>
  <c r="DX56" i="25" s="1"/>
  <c r="EC56" i="25" s="1"/>
  <c r="EK56" i="25"/>
  <c r="EN56" i="25" s="1"/>
  <c r="EL56" i="25"/>
  <c r="DT56" i="25"/>
  <c r="DV253" i="25"/>
  <c r="DT253" i="25"/>
  <c r="EB70" i="25"/>
  <c r="EA70" i="25"/>
  <c r="DV146" i="25"/>
  <c r="EK146" i="25"/>
  <c r="EN146" i="25" s="1"/>
  <c r="EL146" i="25"/>
  <c r="DT146" i="25"/>
  <c r="EY146" i="25"/>
  <c r="EJ146" i="25"/>
  <c r="FA146" i="25"/>
  <c r="EB208" i="25"/>
  <c r="EA208" i="25"/>
  <c r="FA87" i="25"/>
  <c r="EB169" i="25"/>
  <c r="EA169" i="25"/>
  <c r="DV160" i="25"/>
  <c r="EK160" i="25"/>
  <c r="EN160" i="25" s="1"/>
  <c r="EL160" i="25"/>
  <c r="DT160" i="25"/>
  <c r="EJ160" i="25"/>
  <c r="FA160" i="25"/>
  <c r="EY160" i="25"/>
  <c r="DV102" i="25"/>
  <c r="EK102" i="25"/>
  <c r="EN102" i="25" s="1"/>
  <c r="EL102" i="25"/>
  <c r="EJ102" i="25"/>
  <c r="FA102" i="25"/>
  <c r="EY102" i="25"/>
  <c r="DV52" i="25"/>
  <c r="EK52" i="25"/>
  <c r="EN52" i="25" s="1"/>
  <c r="EL52" i="25"/>
  <c r="DT52" i="25"/>
  <c r="EY52" i="25"/>
  <c r="EJ52" i="25"/>
  <c r="FA52" i="25"/>
  <c r="DV40" i="25"/>
  <c r="DX40" i="25" s="1"/>
  <c r="EC40" i="25" s="1"/>
  <c r="EK40" i="25"/>
  <c r="EN40" i="25" s="1"/>
  <c r="EL40" i="25"/>
  <c r="DT40" i="25"/>
  <c r="EB79" i="25"/>
  <c r="EA79" i="25"/>
  <c r="DV207" i="25"/>
  <c r="EL207" i="25"/>
  <c r="EK207" i="25"/>
  <c r="EN207" i="25" s="1"/>
  <c r="EY207" i="25"/>
  <c r="EJ207" i="25"/>
  <c r="FA207" i="25"/>
  <c r="FA92" i="25"/>
  <c r="EB119" i="25"/>
  <c r="EA119" i="25"/>
  <c r="EB141" i="25"/>
  <c r="EA141" i="25"/>
  <c r="DV64" i="25"/>
  <c r="DX64" i="25" s="1"/>
  <c r="EC64" i="25" s="1"/>
  <c r="EK64" i="25"/>
  <c r="EN64" i="25" s="1"/>
  <c r="EL64" i="25"/>
  <c r="DT64" i="25"/>
  <c r="DV255" i="25"/>
  <c r="DT255" i="25"/>
  <c r="DV70" i="25"/>
  <c r="DX70" i="25" s="1"/>
  <c r="EC70" i="25" s="1"/>
  <c r="EL70" i="25"/>
  <c r="EK70" i="25"/>
  <c r="EN70" i="25" s="1"/>
  <c r="DT70" i="25"/>
  <c r="DV236" i="25"/>
  <c r="DT236" i="25"/>
  <c r="DV58" i="25"/>
  <c r="DX58" i="25" s="1"/>
  <c r="EC58" i="25" s="1"/>
  <c r="EK58" i="25"/>
  <c r="EN58" i="25" s="1"/>
  <c r="EL58" i="25"/>
  <c r="DT58" i="25"/>
  <c r="EJ178" i="25"/>
  <c r="DV178" i="25"/>
  <c r="DX178" i="25" s="1"/>
  <c r="EC178" i="25" s="1"/>
  <c r="EK178" i="25"/>
  <c r="EN178" i="25" s="1"/>
  <c r="EL178" i="25"/>
  <c r="DT178" i="25"/>
  <c r="FA53" i="25"/>
  <c r="DV53" i="25"/>
  <c r="EK53" i="25"/>
  <c r="EN53" i="25" s="1"/>
  <c r="EL53" i="25"/>
  <c r="DT53" i="25"/>
  <c r="EY53" i="25"/>
  <c r="EJ53" i="25"/>
  <c r="EB66" i="25"/>
  <c r="EA66" i="25"/>
  <c r="DV173" i="25"/>
  <c r="DX173" i="25" s="1"/>
  <c r="EC173" i="25" s="1"/>
  <c r="EK173" i="25"/>
  <c r="EN173" i="25" s="1"/>
  <c r="EL173" i="25"/>
  <c r="DT173" i="25"/>
  <c r="DV298" i="25"/>
  <c r="DT298" i="25"/>
  <c r="DV303" i="25"/>
  <c r="DT303" i="25"/>
  <c r="EB190" i="25"/>
  <c r="EA190" i="25"/>
  <c r="DV96" i="25"/>
  <c r="DX96" i="25" s="1"/>
  <c r="EC96" i="25" s="1"/>
  <c r="EL96" i="25"/>
  <c r="EK96" i="25"/>
  <c r="EN96" i="25" s="1"/>
  <c r="DV295" i="25"/>
  <c r="DT295" i="25"/>
  <c r="DV117" i="25"/>
  <c r="EK117" i="25"/>
  <c r="EN117" i="25" s="1"/>
  <c r="EL117" i="25"/>
  <c r="DT117" i="25"/>
  <c r="EY117" i="25"/>
  <c r="FA117" i="25"/>
  <c r="EJ117" i="25"/>
  <c r="EB139" i="25"/>
  <c r="EA139" i="25"/>
  <c r="DV170" i="25"/>
  <c r="DX170" i="25" s="1"/>
  <c r="EC170" i="25" s="1"/>
  <c r="EL170" i="25"/>
  <c r="EK170" i="25"/>
  <c r="EN170" i="25" s="1"/>
  <c r="DT170" i="25"/>
  <c r="EB38" i="25"/>
  <c r="EA38" i="25"/>
  <c r="DV162" i="25"/>
  <c r="EL162" i="25"/>
  <c r="EK162" i="25"/>
  <c r="EN162" i="25" s="1"/>
  <c r="DT162" i="25"/>
  <c r="EY162" i="25"/>
  <c r="EJ162" i="25"/>
  <c r="FA162" i="25"/>
  <c r="DV61" i="25"/>
  <c r="EL61" i="25"/>
  <c r="EK61" i="25"/>
  <c r="EN61" i="25" s="1"/>
  <c r="DT61" i="25"/>
  <c r="EJ61" i="25"/>
  <c r="FA61" i="25"/>
  <c r="EY61" i="25"/>
  <c r="EB12" i="25"/>
  <c r="EA12" i="25"/>
  <c r="DV199" i="25"/>
  <c r="DX199" i="25" s="1"/>
  <c r="EC199" i="25" s="1"/>
  <c r="EL199" i="25"/>
  <c r="EK199" i="25"/>
  <c r="EN199" i="25" s="1"/>
  <c r="EY170" i="25"/>
  <c r="EY80" i="25"/>
  <c r="FA88" i="25"/>
  <c r="DV95" i="25"/>
  <c r="DX95" i="25" s="1"/>
  <c r="EC95" i="25" s="1"/>
  <c r="EK95" i="25"/>
  <c r="EN95" i="25" s="1"/>
  <c r="EL95" i="25"/>
  <c r="DV202" i="25"/>
  <c r="EL202" i="25"/>
  <c r="EK202" i="25"/>
  <c r="EN202" i="25" s="1"/>
  <c r="EY202" i="25"/>
  <c r="EJ202" i="25"/>
  <c r="FA202" i="25"/>
  <c r="EB45" i="25"/>
  <c r="EA45" i="25"/>
  <c r="DV171" i="25"/>
  <c r="DX171" i="25" s="1"/>
  <c r="EC171" i="25" s="1"/>
  <c r="EL171" i="25"/>
  <c r="EK171" i="25"/>
  <c r="EN171" i="25" s="1"/>
  <c r="DT171" i="25"/>
  <c r="DV316" i="25"/>
  <c r="DT316" i="25"/>
  <c r="EB143" i="25"/>
  <c r="EA143" i="25"/>
  <c r="DV159" i="25"/>
  <c r="EK159" i="25"/>
  <c r="EN159" i="25" s="1"/>
  <c r="EL159" i="25"/>
  <c r="DT159" i="25"/>
  <c r="EJ159" i="25"/>
  <c r="FA159" i="25"/>
  <c r="EY159" i="25"/>
  <c r="DV144" i="25"/>
  <c r="EL144" i="25"/>
  <c r="EK144" i="25"/>
  <c r="EN144" i="25" s="1"/>
  <c r="DT144" i="25"/>
  <c r="EY144" i="25"/>
  <c r="EJ144" i="25"/>
  <c r="FA144" i="25"/>
  <c r="DV242" i="25"/>
  <c r="DT242" i="25"/>
  <c r="EY91" i="25"/>
  <c r="DV81" i="25"/>
  <c r="DX81" i="25" s="1"/>
  <c r="EC81" i="25" s="1"/>
  <c r="EL81" i="25"/>
  <c r="EK81" i="25"/>
  <c r="EN81" i="25" s="1"/>
  <c r="DT81" i="25"/>
  <c r="DV34" i="25"/>
  <c r="DX34" i="25" s="1"/>
  <c r="EC34" i="25" s="1"/>
  <c r="EK34" i="25"/>
  <c r="EN34" i="25" s="1"/>
  <c r="EL34" i="25"/>
  <c r="DT34" i="25"/>
  <c r="EJ200" i="25"/>
  <c r="EY137" i="25"/>
  <c r="DV137" i="25"/>
  <c r="DX137" i="25" s="1"/>
  <c r="EC137" i="25" s="1"/>
  <c r="EK137" i="25"/>
  <c r="EN137" i="25" s="1"/>
  <c r="EL137" i="25"/>
  <c r="DT137" i="25"/>
  <c r="DV8" i="25"/>
  <c r="EK8" i="25"/>
  <c r="EN8" i="25" s="1"/>
  <c r="EL8" i="25"/>
  <c r="DT8" i="25"/>
  <c r="FA8" i="25"/>
  <c r="EY8" i="25"/>
  <c r="EJ8" i="25"/>
  <c r="DV226" i="25"/>
  <c r="DT226" i="25"/>
  <c r="DV74" i="25"/>
  <c r="DX74" i="25" s="1"/>
  <c r="EC74" i="25" s="1"/>
  <c r="EL74" i="25"/>
  <c r="EK74" i="25"/>
  <c r="EN74" i="25" s="1"/>
  <c r="DT74" i="25"/>
  <c r="DV217" i="25"/>
  <c r="DT217" i="25"/>
  <c r="EB83" i="25"/>
  <c r="EA83" i="25"/>
  <c r="DV291" i="25"/>
  <c r="DT291" i="25"/>
  <c r="DV153" i="25"/>
  <c r="EL153" i="25"/>
  <c r="EK153" i="25"/>
  <c r="EN153" i="25" s="1"/>
  <c r="DT153" i="25"/>
  <c r="EJ153" i="25"/>
  <c r="FA153" i="25"/>
  <c r="EY153" i="25"/>
  <c r="DV166" i="25"/>
  <c r="EL166" i="25"/>
  <c r="EK166" i="25"/>
  <c r="EN166" i="25" s="1"/>
  <c r="DT166" i="25"/>
  <c r="EJ166" i="25"/>
  <c r="EY166" i="25"/>
  <c r="FA166" i="25"/>
  <c r="DV22" i="25"/>
  <c r="EL22" i="25"/>
  <c r="EK22" i="25"/>
  <c r="EN22" i="25" s="1"/>
  <c r="DT22" i="25"/>
  <c r="EJ22" i="25"/>
  <c r="FA22" i="25"/>
  <c r="EY22" i="25"/>
  <c r="DV156" i="25"/>
  <c r="DX156" i="25" s="1"/>
  <c r="EC156" i="25" s="1"/>
  <c r="EK156" i="25"/>
  <c r="EN156" i="25" s="1"/>
  <c r="EL156" i="25"/>
  <c r="DT156" i="25"/>
  <c r="DV147" i="25"/>
  <c r="DX147" i="25" s="1"/>
  <c r="EC147" i="25" s="1"/>
  <c r="EL147" i="25"/>
  <c r="EK147" i="25"/>
  <c r="EN147" i="25" s="1"/>
  <c r="DT147" i="25"/>
  <c r="DV290" i="25"/>
  <c r="DT290" i="25"/>
  <c r="DV27" i="25"/>
  <c r="DX27" i="25" s="1"/>
  <c r="EC27" i="25" s="1"/>
  <c r="EL27" i="25"/>
  <c r="EK27" i="25"/>
  <c r="EN27" i="25" s="1"/>
  <c r="DT27" i="25"/>
  <c r="DV279" i="25"/>
  <c r="DT279" i="25"/>
  <c r="EY87" i="25"/>
  <c r="EB25" i="25"/>
  <c r="EA25" i="25"/>
  <c r="EB147" i="25"/>
  <c r="EA147" i="25"/>
  <c r="DV158" i="25"/>
  <c r="DX158" i="25" s="1"/>
  <c r="EC158" i="25" s="1"/>
  <c r="EL158" i="25"/>
  <c r="EK158" i="25"/>
  <c r="EN158" i="25" s="1"/>
  <c r="DT158" i="25"/>
  <c r="DV94" i="25"/>
  <c r="EK94" i="25"/>
  <c r="EN94" i="25" s="1"/>
  <c r="EL94" i="25"/>
  <c r="EJ94" i="25"/>
  <c r="EY94" i="25"/>
  <c r="FA94" i="25"/>
  <c r="EB27" i="25"/>
  <c r="EA27" i="25"/>
  <c r="EB137" i="25"/>
  <c r="EA137" i="25"/>
  <c r="DV37" i="25"/>
  <c r="DX37" i="25" s="1"/>
  <c r="EC37" i="25" s="1"/>
  <c r="EL37" i="25"/>
  <c r="EK37" i="25"/>
  <c r="EN37" i="25" s="1"/>
  <c r="DT37" i="25"/>
  <c r="DV218" i="25"/>
  <c r="DT218" i="25"/>
  <c r="DV115" i="25"/>
  <c r="EL115" i="25"/>
  <c r="EK115" i="25"/>
  <c r="EN115" i="25" s="1"/>
  <c r="DT115" i="25"/>
  <c r="EY115" i="25"/>
  <c r="FA115" i="25"/>
  <c r="EJ115" i="25"/>
  <c r="DV83" i="25"/>
  <c r="DX83" i="25" s="1"/>
  <c r="EC83" i="25" s="1"/>
  <c r="EK83" i="25"/>
  <c r="EN83" i="25" s="1"/>
  <c r="EL83" i="25"/>
  <c r="DT83" i="25"/>
  <c r="EB127" i="25"/>
  <c r="EA127" i="25"/>
  <c r="DV17" i="25"/>
  <c r="DX17" i="25" s="1"/>
  <c r="EC17" i="25" s="1"/>
  <c r="EL17" i="25"/>
  <c r="EK17" i="25"/>
  <c r="EN17" i="25" s="1"/>
  <c r="DT17" i="25"/>
  <c r="DV235" i="25"/>
  <c r="DT235" i="25"/>
  <c r="DV26" i="25"/>
  <c r="EL26" i="25"/>
  <c r="EK26" i="25"/>
  <c r="EN26" i="25" s="1"/>
  <c r="DT26" i="25"/>
  <c r="EJ26" i="25"/>
  <c r="EY26" i="25"/>
  <c r="FA26" i="25"/>
  <c r="DV18" i="25"/>
  <c r="EK18" i="25"/>
  <c r="EN18" i="25" s="1"/>
  <c r="EL18" i="25"/>
  <c r="DT18" i="25"/>
  <c r="EY18" i="25"/>
  <c r="EJ18" i="25"/>
  <c r="FA18" i="25"/>
  <c r="EJ60" i="25"/>
  <c r="FA157" i="25"/>
  <c r="DV111" i="25"/>
  <c r="DX111" i="25" s="1"/>
  <c r="EC111" i="25" s="1"/>
  <c r="EK111" i="25"/>
  <c r="EN111" i="25" s="1"/>
  <c r="EL111" i="25"/>
  <c r="DT111" i="25"/>
  <c r="EB187" i="25"/>
  <c r="EA187" i="25"/>
  <c r="DV287" i="25"/>
  <c r="DT287" i="25"/>
  <c r="DV191" i="25"/>
  <c r="DX191" i="25" s="1"/>
  <c r="EC191" i="25" s="1"/>
  <c r="EL191" i="25"/>
  <c r="EK191" i="25"/>
  <c r="EN191" i="25" s="1"/>
  <c r="DT191" i="25"/>
  <c r="DV245" i="25"/>
  <c r="DT245" i="25"/>
  <c r="EB158" i="25"/>
  <c r="EA158" i="25"/>
  <c r="DV233" i="25"/>
  <c r="DT233" i="25"/>
  <c r="DV57" i="25"/>
  <c r="EL57" i="25"/>
  <c r="EK57" i="25"/>
  <c r="EN57" i="25" s="1"/>
  <c r="DT57" i="25"/>
  <c r="EJ57" i="25"/>
  <c r="EY57" i="25"/>
  <c r="FA57" i="25"/>
  <c r="FA177" i="25"/>
  <c r="FA122" i="25"/>
  <c r="EJ29" i="25"/>
  <c r="DT131" i="25"/>
  <c r="DV131" i="25"/>
  <c r="DX131" i="25" s="1"/>
  <c r="EC131" i="25" s="1"/>
  <c r="EL131" i="25"/>
  <c r="EK131" i="25"/>
  <c r="EN131" i="25" s="1"/>
  <c r="EJ170" i="25"/>
  <c r="EB168" i="25"/>
  <c r="EA168" i="25"/>
  <c r="EY96" i="25"/>
  <c r="EB35" i="25"/>
  <c r="EA35" i="25"/>
  <c r="EY88" i="25"/>
  <c r="DV49" i="25"/>
  <c r="DX49" i="25" s="1"/>
  <c r="EC49" i="25" s="1"/>
  <c r="EK49" i="25"/>
  <c r="EN49" i="25" s="1"/>
  <c r="EL49" i="25"/>
  <c r="DT49" i="25"/>
  <c r="DV220" i="25"/>
  <c r="DT220" i="25"/>
  <c r="DV24" i="25"/>
  <c r="DX24" i="25" s="1"/>
  <c r="EC24" i="25" s="1"/>
  <c r="EK24" i="25"/>
  <c r="EN24" i="25" s="1"/>
  <c r="EL24" i="25"/>
  <c r="DT24" i="25"/>
  <c r="DV168" i="25"/>
  <c r="DX168" i="25" s="1"/>
  <c r="EC168" i="25" s="1"/>
  <c r="EK168" i="25"/>
  <c r="EN168" i="25" s="1"/>
  <c r="EL168" i="25"/>
  <c r="DT168" i="25"/>
  <c r="DV21" i="25"/>
  <c r="EK21" i="25"/>
  <c r="EN21" i="25" s="1"/>
  <c r="EL21" i="25"/>
  <c r="DT21" i="25"/>
  <c r="FA21" i="25"/>
  <c r="EY21" i="25"/>
  <c r="EJ21" i="25"/>
  <c r="FA206" i="25"/>
  <c r="DV206" i="25"/>
  <c r="EK206" i="25"/>
  <c r="EN206" i="25" s="1"/>
  <c r="EL206" i="25"/>
  <c r="EY206" i="25"/>
  <c r="EJ206" i="25"/>
  <c r="DV312" i="25"/>
  <c r="DT312" i="25"/>
  <c r="EJ174" i="25"/>
  <c r="EB200" i="25"/>
  <c r="EA200" i="25"/>
  <c r="DV254" i="25"/>
  <c r="DT254" i="25"/>
  <c r="DV80" i="25"/>
  <c r="DX80" i="25" s="1"/>
  <c r="EC80" i="25" s="1"/>
  <c r="EK80" i="25"/>
  <c r="EN80" i="25" s="1"/>
  <c r="EL80" i="25"/>
  <c r="DT80" i="25"/>
  <c r="EY74" i="25"/>
  <c r="DV135" i="25"/>
  <c r="EL135" i="25"/>
  <c r="EK135" i="25"/>
  <c r="EN135" i="25" s="1"/>
  <c r="DT135" i="25"/>
  <c r="FA135" i="25"/>
  <c r="EJ135" i="25"/>
  <c r="EY135" i="25"/>
  <c r="DV229" i="25"/>
  <c r="DT229" i="25"/>
  <c r="EB34" i="25"/>
  <c r="EA34" i="25"/>
  <c r="DV262" i="25"/>
  <c r="DT262" i="25"/>
  <c r="DV228" i="25"/>
  <c r="DT228" i="25"/>
  <c r="DV165" i="25"/>
  <c r="EK165" i="25"/>
  <c r="EN165" i="25" s="1"/>
  <c r="EL165" i="25"/>
  <c r="DT165" i="25"/>
  <c r="EJ165" i="25"/>
  <c r="EY165" i="25"/>
  <c r="FA165" i="25"/>
  <c r="DV188" i="25"/>
  <c r="EK188" i="25"/>
  <c r="EN188" i="25" s="1"/>
  <c r="EL188" i="25"/>
  <c r="DT188" i="25"/>
  <c r="EY188" i="25"/>
  <c r="EJ188" i="25"/>
  <c r="FA188" i="25"/>
  <c r="DV248" i="25"/>
  <c r="DT248" i="25"/>
  <c r="DV192" i="25"/>
  <c r="EL192" i="25"/>
  <c r="EK192" i="25"/>
  <c r="EN192" i="25" s="1"/>
  <c r="DT192" i="25"/>
  <c r="EJ192" i="25"/>
  <c r="FA192" i="25"/>
  <c r="EY192" i="25"/>
  <c r="EB199" i="25"/>
  <c r="EA199" i="25"/>
  <c r="EB33" i="25"/>
  <c r="EA33" i="25"/>
  <c r="DV118" i="25"/>
  <c r="EL118" i="25"/>
  <c r="EK118" i="25"/>
  <c r="EN118" i="25" s="1"/>
  <c r="DT118" i="25"/>
  <c r="EJ118" i="25"/>
  <c r="EY118" i="25"/>
  <c r="FA118" i="25"/>
  <c r="EB40" i="25"/>
  <c r="EA40" i="25"/>
  <c r="DV47" i="25"/>
  <c r="DX47" i="25" s="1"/>
  <c r="EC47" i="25" s="1"/>
  <c r="EK47" i="25"/>
  <c r="EN47" i="25" s="1"/>
  <c r="EL47" i="25"/>
  <c r="DT47" i="25"/>
  <c r="FA156" i="25"/>
  <c r="FA90" i="25"/>
  <c r="EB92" i="25"/>
  <c r="EA92" i="25"/>
  <c r="EJ42" i="25"/>
  <c r="EB58" i="25"/>
  <c r="EA58" i="25"/>
  <c r="DV185" i="25"/>
  <c r="DX185" i="25" s="1"/>
  <c r="EC185" i="25" s="1"/>
  <c r="EL185" i="25"/>
  <c r="EK185" i="25"/>
  <c r="EN185" i="25" s="1"/>
  <c r="DT185" i="25"/>
  <c r="EB15" i="25"/>
  <c r="EA15" i="25"/>
  <c r="DV124" i="25"/>
  <c r="EL124" i="25"/>
  <c r="EK124" i="25"/>
  <c r="EN124" i="25" s="1"/>
  <c r="DT124" i="25"/>
  <c r="FA124" i="25"/>
  <c r="EY124" i="25"/>
  <c r="EJ124" i="25"/>
  <c r="DV251" i="25"/>
  <c r="DT251" i="25"/>
  <c r="DV30" i="25"/>
  <c r="EK30" i="25"/>
  <c r="EN30" i="25" s="1"/>
  <c r="EL30" i="25"/>
  <c r="DT30" i="25"/>
  <c r="FA30" i="25"/>
  <c r="EY30" i="25"/>
  <c r="EJ30" i="25"/>
  <c r="EB173" i="25"/>
  <c r="EA173" i="25"/>
  <c r="DV204" i="25"/>
  <c r="EL204" i="25"/>
  <c r="EK204" i="25"/>
  <c r="EN204" i="25" s="1"/>
  <c r="EY204" i="25"/>
  <c r="FA204" i="25"/>
  <c r="EJ204" i="25"/>
  <c r="DV31" i="25"/>
  <c r="EL31" i="25"/>
  <c r="EK31" i="25"/>
  <c r="EN31" i="25" s="1"/>
  <c r="DT31" i="25"/>
  <c r="EY31" i="25"/>
  <c r="FA31" i="25"/>
  <c r="EJ31" i="25"/>
  <c r="DV249" i="25"/>
  <c r="DT249" i="25"/>
  <c r="DV313" i="25"/>
  <c r="DT313" i="25"/>
  <c r="EY126" i="25"/>
  <c r="DV33" i="25"/>
  <c r="DX33" i="25" s="1"/>
  <c r="EC33" i="25" s="1"/>
  <c r="EL33" i="25"/>
  <c r="EK33" i="25"/>
  <c r="EN33" i="25" s="1"/>
  <c r="DT33" i="25"/>
  <c r="EB78" i="25"/>
  <c r="EA78" i="25"/>
  <c r="DV304" i="25"/>
  <c r="DT304" i="25"/>
  <c r="EJ64" i="25"/>
  <c r="EY157" i="25"/>
  <c r="DV98" i="25"/>
  <c r="DX98" i="25" s="1"/>
  <c r="EC98" i="25" s="1"/>
  <c r="EK98" i="25"/>
  <c r="EN98" i="25" s="1"/>
  <c r="EL98" i="25"/>
  <c r="EB203" i="25"/>
  <c r="EA203" i="25"/>
  <c r="DV184" i="25"/>
  <c r="EL184" i="25"/>
  <c r="EK184" i="25"/>
  <c r="EN184" i="25" s="1"/>
  <c r="DT184" i="25"/>
  <c r="FA184" i="25"/>
  <c r="EJ184" i="25"/>
  <c r="EY184" i="25"/>
  <c r="EJ111" i="25"/>
  <c r="DV283" i="25"/>
  <c r="DT283" i="25"/>
  <c r="DV234" i="25"/>
  <c r="DT234" i="25"/>
  <c r="DV71" i="25"/>
  <c r="EL71" i="25"/>
  <c r="EK71" i="25"/>
  <c r="EN71" i="25" s="1"/>
  <c r="DT71" i="25"/>
  <c r="EJ71" i="25"/>
  <c r="EY71" i="25"/>
  <c r="FA71" i="25"/>
  <c r="DV278" i="25"/>
  <c r="DT278" i="25"/>
  <c r="EY145" i="25"/>
  <c r="DV311" i="25"/>
  <c r="DT311" i="25"/>
  <c r="DV38" i="25"/>
  <c r="DX38" i="25" s="1"/>
  <c r="EC38" i="25" s="1"/>
  <c r="EL38" i="25"/>
  <c r="EK38" i="25"/>
  <c r="EN38" i="25" s="1"/>
  <c r="DT38" i="25"/>
  <c r="EB175" i="25"/>
  <c r="EA175" i="25"/>
  <c r="EY13" i="25"/>
  <c r="EJ49" i="25"/>
  <c r="EJ65" i="25"/>
  <c r="EJ122" i="25"/>
  <c r="EB164" i="25"/>
  <c r="EA164" i="25"/>
  <c r="EB170" i="25"/>
  <c r="EA170" i="25"/>
  <c r="EB80" i="25"/>
  <c r="EA80" i="25"/>
  <c r="EJ96" i="25"/>
  <c r="DV46" i="25"/>
  <c r="EL46" i="25"/>
  <c r="EK46" i="25"/>
  <c r="EN46" i="25" s="1"/>
  <c r="DT46" i="25"/>
  <c r="FA46" i="25"/>
  <c r="EY46" i="25"/>
  <c r="EJ46" i="25"/>
  <c r="DV123" i="25"/>
  <c r="EK123" i="25"/>
  <c r="EN123" i="25" s="1"/>
  <c r="EL123" i="25"/>
  <c r="DT123" i="25"/>
  <c r="EY123" i="25"/>
  <c r="EJ123" i="25"/>
  <c r="FA123" i="25"/>
  <c r="DV230" i="25"/>
  <c r="DT230" i="25"/>
  <c r="DV86" i="25"/>
  <c r="DX86" i="25" s="1"/>
  <c r="EC86" i="25" s="1"/>
  <c r="EK86" i="25"/>
  <c r="EN86" i="25" s="1"/>
  <c r="EL86" i="25"/>
  <c r="DT86" i="25"/>
  <c r="EB59" i="25"/>
  <c r="EA59" i="25"/>
  <c r="DV59" i="25"/>
  <c r="DX59" i="25" s="1"/>
  <c r="EC59" i="25" s="1"/>
  <c r="EL59" i="25"/>
  <c r="EK59" i="25"/>
  <c r="EN59" i="25" s="1"/>
  <c r="DT59" i="25"/>
  <c r="DV186" i="25"/>
  <c r="EK186" i="25"/>
  <c r="EN186" i="25" s="1"/>
  <c r="EL186" i="25"/>
  <c r="DT186" i="25"/>
  <c r="EY186" i="25"/>
  <c r="EJ186" i="25"/>
  <c r="FA186" i="25"/>
  <c r="DV198" i="25"/>
  <c r="EK198" i="25"/>
  <c r="EN198" i="25" s="1"/>
  <c r="EL198" i="25"/>
  <c r="FA198" i="25"/>
  <c r="EJ198" i="25"/>
  <c r="EY198" i="25"/>
  <c r="DV280" i="25"/>
  <c r="DT280" i="25"/>
  <c r="FA185" i="25"/>
  <c r="EJ69" i="25"/>
  <c r="DV69" i="25"/>
  <c r="EL69" i="25"/>
  <c r="EK69" i="25"/>
  <c r="EN69" i="25" s="1"/>
  <c r="DT69" i="25"/>
  <c r="FA69" i="25"/>
  <c r="EY69" i="25"/>
  <c r="DV72" i="25"/>
  <c r="DX72" i="25" s="1"/>
  <c r="EC72" i="25" s="1"/>
  <c r="EK72" i="25"/>
  <c r="EN72" i="25" s="1"/>
  <c r="EL72" i="25"/>
  <c r="DT72" i="25"/>
  <c r="DV282" i="25"/>
  <c r="DT282" i="25"/>
  <c r="EJ35" i="25"/>
  <c r="DV35" i="25"/>
  <c r="DX35" i="25" s="1"/>
  <c r="EC35" i="25" s="1"/>
  <c r="EK35" i="25"/>
  <c r="EN35" i="25" s="1"/>
  <c r="EL35" i="25"/>
  <c r="DT35" i="25"/>
  <c r="FA89" i="25"/>
  <c r="DV187" i="25"/>
  <c r="DX187" i="25" s="1"/>
  <c r="EC187" i="25" s="1"/>
  <c r="EK187" i="25"/>
  <c r="EN187" i="25" s="1"/>
  <c r="EL187" i="25"/>
  <c r="DT187" i="25"/>
  <c r="DV237" i="25"/>
  <c r="DT237" i="25"/>
  <c r="EB91" i="25"/>
  <c r="EA91" i="25"/>
  <c r="EY178" i="25"/>
  <c r="DV193" i="25"/>
  <c r="DX193" i="25" s="1"/>
  <c r="EC193" i="25" s="1"/>
  <c r="EL193" i="25"/>
  <c r="EK193" i="25"/>
  <c r="EN193" i="25" s="1"/>
  <c r="DT193" i="25"/>
  <c r="EY95" i="25"/>
  <c r="DV257" i="25"/>
  <c r="DT257" i="25"/>
  <c r="EJ131" i="25"/>
  <c r="EY174" i="25"/>
  <c r="DV103" i="25"/>
  <c r="DX103" i="25" s="1"/>
  <c r="EC103" i="25" s="1"/>
  <c r="EL103" i="25"/>
  <c r="EK103" i="25"/>
  <c r="EN103" i="25" s="1"/>
  <c r="DV78" i="25"/>
  <c r="DX78" i="25" s="1"/>
  <c r="EC78" i="25" s="1"/>
  <c r="EL78" i="25"/>
  <c r="EK78" i="25"/>
  <c r="EN78" i="25" s="1"/>
  <c r="DT78" i="25"/>
  <c r="FA74" i="25"/>
  <c r="DV127" i="25"/>
  <c r="DX127" i="25" s="1"/>
  <c r="EC127" i="25" s="1"/>
  <c r="EL127" i="25"/>
  <c r="EK127" i="25"/>
  <c r="EN127" i="25" s="1"/>
  <c r="DT127" i="25"/>
  <c r="FA130" i="25"/>
  <c r="DV130" i="25"/>
  <c r="EL130" i="25"/>
  <c r="EK130" i="25"/>
  <c r="EN130" i="25" s="1"/>
  <c r="DT130" i="25"/>
  <c r="EY130" i="25"/>
  <c r="EJ130" i="25"/>
  <c r="DV267" i="25"/>
  <c r="DT267" i="25"/>
  <c r="EB191" i="25"/>
  <c r="EA191" i="25"/>
  <c r="DV308" i="25"/>
  <c r="DT308" i="25"/>
  <c r="DV292" i="25"/>
  <c r="DT292" i="25"/>
  <c r="DV177" i="25"/>
  <c r="DX177" i="25" s="1"/>
  <c r="EC177" i="25" s="1"/>
  <c r="EK177" i="25"/>
  <c r="EN177" i="25" s="1"/>
  <c r="EL177" i="25"/>
  <c r="DT177" i="25"/>
  <c r="DV100" i="25"/>
  <c r="DX100" i="25" s="1"/>
  <c r="EC100" i="25" s="1"/>
  <c r="EK100" i="25"/>
  <c r="EN100" i="25" s="1"/>
  <c r="EL100" i="25"/>
  <c r="EB87" i="25"/>
  <c r="EA87" i="25"/>
  <c r="DV154" i="25"/>
  <c r="EL154" i="25"/>
  <c r="EK154" i="25"/>
  <c r="EN154" i="25" s="1"/>
  <c r="DT154" i="25"/>
  <c r="EY154" i="25"/>
  <c r="EJ154" i="25"/>
  <c r="FA154" i="25"/>
  <c r="DV82" i="25"/>
  <c r="EL82" i="25"/>
  <c r="EK82" i="25"/>
  <c r="EN82" i="25" s="1"/>
  <c r="DT82" i="25"/>
  <c r="FA82" i="25"/>
  <c r="EY82" i="25"/>
  <c r="EJ82" i="25"/>
  <c r="DV281" i="25"/>
  <c r="DT281" i="25"/>
  <c r="DV288" i="25"/>
  <c r="DT288" i="25"/>
  <c r="EB129" i="25"/>
  <c r="EA129" i="25"/>
  <c r="DV15" i="25"/>
  <c r="DX15" i="25" s="1"/>
  <c r="EC15" i="25" s="1"/>
  <c r="EK15" i="25"/>
  <c r="EN15" i="25" s="1"/>
  <c r="EL15" i="25"/>
  <c r="DT15" i="25"/>
  <c r="EB47" i="25"/>
  <c r="EA47" i="25"/>
  <c r="DV133" i="25"/>
  <c r="EK133" i="25"/>
  <c r="EN133" i="25" s="1"/>
  <c r="EL133" i="25"/>
  <c r="DT133" i="25"/>
  <c r="EJ133" i="25"/>
  <c r="EY133" i="25"/>
  <c r="FA133" i="25"/>
  <c r="DV239" i="25"/>
  <c r="DT239" i="25"/>
  <c r="EJ156" i="25"/>
  <c r="EJ90" i="25"/>
  <c r="DV76" i="25"/>
  <c r="EK76" i="25"/>
  <c r="EN76" i="25" s="1"/>
  <c r="EL76" i="25"/>
  <c r="DT76" i="25"/>
  <c r="FA76" i="25"/>
  <c r="EJ76" i="25"/>
  <c r="EY76" i="25"/>
  <c r="DV284" i="25"/>
  <c r="DT284" i="25"/>
  <c r="DV7" i="25"/>
  <c r="EK7" i="25"/>
  <c r="EN7" i="25" s="1"/>
  <c r="EL7" i="25"/>
  <c r="DT7" i="25"/>
  <c r="EJ7" i="25"/>
  <c r="EY7" i="25"/>
  <c r="FA7" i="25"/>
  <c r="DV197" i="25"/>
  <c r="EL197" i="25"/>
  <c r="EK197" i="25"/>
  <c r="EN197" i="25" s="1"/>
  <c r="FA197" i="25"/>
  <c r="EY197" i="25"/>
  <c r="EJ197" i="25"/>
  <c r="DV196" i="25"/>
  <c r="EL196" i="25"/>
  <c r="EK196" i="25"/>
  <c r="EN196" i="25" s="1"/>
  <c r="EY196" i="25"/>
  <c r="FA196" i="25"/>
  <c r="EJ196" i="25"/>
  <c r="DV88" i="25"/>
  <c r="DX88" i="25" s="1"/>
  <c r="EC88" i="25" s="1"/>
  <c r="EK88" i="25"/>
  <c r="EN88" i="25" s="1"/>
  <c r="EL88" i="25"/>
  <c r="DT88" i="25"/>
  <c r="DV240" i="25"/>
  <c r="DT240" i="25"/>
  <c r="EY43" i="25"/>
  <c r="FA126" i="25"/>
  <c r="DX138" i="25"/>
  <c r="EC138" i="25" s="1"/>
  <c r="FA64" i="25"/>
  <c r="EB60" i="25"/>
  <c r="EA60" i="25"/>
  <c r="DV55" i="25"/>
  <c r="EL55" i="25"/>
  <c r="EK55" i="25"/>
  <c r="EN55" i="25" s="1"/>
  <c r="DT55" i="25"/>
  <c r="EY55" i="25"/>
  <c r="EJ55" i="25"/>
  <c r="FA55" i="25"/>
  <c r="DV275" i="25"/>
  <c r="DT275" i="25"/>
  <c r="DV128" i="25"/>
  <c r="DX128" i="25" s="1"/>
  <c r="EC128" i="25" s="1"/>
  <c r="EL128" i="25"/>
  <c r="EK128" i="25"/>
  <c r="EN128" i="25" s="1"/>
  <c r="DT128" i="25"/>
  <c r="DV309" i="25"/>
  <c r="DT309" i="25"/>
  <c r="FA111" i="25"/>
  <c r="DV14" i="25"/>
  <c r="DX14" i="25" s="1"/>
  <c r="EC14" i="25" s="1"/>
  <c r="EK14" i="25"/>
  <c r="EN14" i="25" s="1"/>
  <c r="EL14" i="25"/>
  <c r="DT14" i="25"/>
  <c r="DV79" i="25"/>
  <c r="DX79" i="25" s="1"/>
  <c r="EC79" i="25" s="1"/>
  <c r="EK79" i="25"/>
  <c r="EN79" i="25" s="1"/>
  <c r="EL79" i="25"/>
  <c r="DT79" i="25"/>
  <c r="EB105" i="25"/>
  <c r="EA105" i="25"/>
  <c r="DV274" i="25"/>
  <c r="DT274" i="25"/>
  <c r="EB48" i="25"/>
  <c r="EA48" i="25"/>
  <c r="DV261" i="25"/>
  <c r="DT261" i="25"/>
  <c r="FA13" i="25"/>
  <c r="EY177" i="25"/>
  <c r="EB49" i="25"/>
  <c r="EA49" i="25"/>
  <c r="FA65" i="25"/>
  <c r="EB29" i="25"/>
  <c r="EA29" i="25"/>
  <c r="FA77" i="25"/>
  <c r="DV314" i="25"/>
  <c r="DT314" i="25"/>
  <c r="DV62" i="25"/>
  <c r="EK62" i="25"/>
  <c r="EN62" i="25" s="1"/>
  <c r="EL62" i="25"/>
  <c r="DT62" i="25"/>
  <c r="FA62" i="25"/>
  <c r="EY62" i="25"/>
  <c r="EJ62" i="25"/>
  <c r="FA96" i="25"/>
  <c r="EB88" i="25"/>
  <c r="EA88" i="25"/>
  <c r="DV48" i="25"/>
  <c r="DX48" i="25" s="1"/>
  <c r="EC48" i="25" s="1"/>
  <c r="EK48" i="25"/>
  <c r="EN48" i="25" s="1"/>
  <c r="EL48" i="25"/>
  <c r="DT48" i="25"/>
  <c r="DV302" i="25"/>
  <c r="DT302" i="25"/>
  <c r="DV16" i="25"/>
  <c r="EL16" i="25"/>
  <c r="EK16" i="25"/>
  <c r="EN16" i="25" s="1"/>
  <c r="DT16" i="25"/>
  <c r="FA16" i="25"/>
  <c r="EY16" i="25"/>
  <c r="EJ16" i="25"/>
  <c r="DV110" i="25"/>
  <c r="EL110" i="25"/>
  <c r="EK110" i="25"/>
  <c r="EN110" i="25" s="1"/>
  <c r="DT110" i="25"/>
  <c r="FA110" i="25"/>
  <c r="EY110" i="25"/>
  <c r="EJ110" i="25"/>
  <c r="EJ171" i="25"/>
  <c r="EJ185" i="25"/>
  <c r="EJ89" i="25"/>
  <c r="EJ51" i="25"/>
  <c r="FA178" i="25"/>
  <c r="EB103" i="25"/>
  <c r="EA103" i="25"/>
  <c r="FA95" i="25"/>
  <c r="EY131" i="25"/>
  <c r="DV241" i="25"/>
  <c r="DT241" i="25"/>
  <c r="DV263" i="25"/>
  <c r="DT263" i="25"/>
  <c r="DV227" i="25"/>
  <c r="DT227" i="25"/>
  <c r="EB74" i="25"/>
  <c r="EA74" i="25"/>
  <c r="DV32" i="25"/>
  <c r="EL32" i="25"/>
  <c r="EK32" i="25"/>
  <c r="EN32" i="25" s="1"/>
  <c r="DT32" i="25"/>
  <c r="EY32" i="25"/>
  <c r="FA32" i="25"/>
  <c r="EJ32" i="25"/>
  <c r="DV289" i="25"/>
  <c r="DT289" i="25"/>
  <c r="EB98" i="25"/>
  <c r="EA98" i="25"/>
  <c r="EB81" i="25"/>
  <c r="EA81" i="25"/>
  <c r="DV306" i="25"/>
  <c r="DT306" i="25"/>
  <c r="DV54" i="25"/>
  <c r="EK54" i="25"/>
  <c r="EN54" i="25" s="1"/>
  <c r="EL54" i="25"/>
  <c r="DT54" i="25"/>
  <c r="EY54" i="25"/>
  <c r="EJ54" i="25"/>
  <c r="FA54" i="25"/>
  <c r="DV145" i="25"/>
  <c r="DX145" i="25" s="1"/>
  <c r="EC145" i="25" s="1"/>
  <c r="EL145" i="25"/>
  <c r="EK145" i="25"/>
  <c r="EN145" i="25" s="1"/>
  <c r="DT145" i="25"/>
  <c r="DV232" i="25"/>
  <c r="DT232" i="25"/>
  <c r="DV270" i="25"/>
  <c r="DT270" i="25"/>
  <c r="DV45" i="25"/>
  <c r="DX45" i="25" s="1"/>
  <c r="EC45" i="25" s="1"/>
  <c r="EL45" i="25"/>
  <c r="EK45" i="25"/>
  <c r="EN45" i="25" s="1"/>
  <c r="DT45" i="25"/>
  <c r="EB86" i="25"/>
  <c r="EA86" i="25"/>
  <c r="EY156" i="25"/>
  <c r="EY90" i="25"/>
  <c r="EB42" i="25"/>
  <c r="EA42" i="25"/>
  <c r="DV42" i="25"/>
  <c r="DX42" i="25" s="1"/>
  <c r="EC42" i="25" s="1"/>
  <c r="EL42" i="25"/>
  <c r="EK42" i="25"/>
  <c r="EN42" i="25" s="1"/>
  <c r="DT42" i="25"/>
  <c r="DV60" i="25"/>
  <c r="DX60" i="25" s="1"/>
  <c r="EC60" i="25" s="1"/>
  <c r="EK60" i="25"/>
  <c r="EN60" i="25" s="1"/>
  <c r="EL60" i="25"/>
  <c r="DT60" i="25"/>
  <c r="DV9" i="25"/>
  <c r="DX9" i="25" s="1"/>
  <c r="EC9" i="25" s="1"/>
  <c r="EK9" i="25"/>
  <c r="EN9" i="25" s="1"/>
  <c r="EL9" i="25"/>
  <c r="DT9" i="25"/>
  <c r="DV149" i="25"/>
  <c r="EL149" i="25"/>
  <c r="EK149" i="25"/>
  <c r="EN149" i="25" s="1"/>
  <c r="DT149" i="25"/>
  <c r="FA149" i="25"/>
  <c r="EY149" i="25"/>
  <c r="EJ149" i="25"/>
  <c r="DV41" i="25"/>
  <c r="EL41" i="25"/>
  <c r="EK41" i="25"/>
  <c r="EN41" i="25" s="1"/>
  <c r="DT41" i="25"/>
  <c r="FA41" i="25"/>
  <c r="EJ41" i="25"/>
  <c r="EY41" i="25"/>
  <c r="EJ37" i="25"/>
  <c r="DV11" i="25"/>
  <c r="EK11" i="25"/>
  <c r="EN11" i="25" s="1"/>
  <c r="EL11" i="25"/>
  <c r="DT11" i="25"/>
  <c r="EY11" i="25"/>
  <c r="FA11" i="25"/>
  <c r="EJ11" i="25"/>
  <c r="EJ179" i="25"/>
  <c r="EY64" i="25"/>
  <c r="FA60" i="25"/>
  <c r="DV276" i="25"/>
  <c r="DT276" i="25"/>
  <c r="DV225" i="25"/>
  <c r="DT225" i="25"/>
  <c r="EB157" i="25"/>
  <c r="EA157" i="25"/>
  <c r="DV68" i="25"/>
  <c r="EK68" i="25"/>
  <c r="EN68" i="25" s="1"/>
  <c r="EL68" i="25"/>
  <c r="DT68" i="25"/>
  <c r="EJ68" i="25"/>
  <c r="FA68" i="25"/>
  <c r="EY68" i="25"/>
  <c r="EY111" i="25"/>
  <c r="DV209" i="25"/>
  <c r="EK209" i="25"/>
  <c r="EN209" i="25" s="1"/>
  <c r="EL209" i="25"/>
  <c r="EJ209" i="25"/>
  <c r="EY209" i="25"/>
  <c r="FA209" i="25"/>
  <c r="DV210" i="25"/>
  <c r="DX210" i="25" s="1"/>
  <c r="EC210" i="25" s="1"/>
  <c r="EK210" i="25"/>
  <c r="EN210" i="25" s="1"/>
  <c r="EL210" i="25"/>
  <c r="FA145" i="25"/>
  <c r="DV99" i="25"/>
  <c r="DX99" i="25" s="1"/>
  <c r="EC99" i="25" s="1"/>
  <c r="EL99" i="25"/>
  <c r="EK99" i="25"/>
  <c r="EN99" i="25" s="1"/>
  <c r="EB13" i="25"/>
  <c r="EA13" i="25"/>
  <c r="EB177" i="25"/>
  <c r="EA177" i="25"/>
  <c r="EB122" i="25"/>
  <c r="EA122" i="25"/>
  <c r="DV10" i="25"/>
  <c r="EK10" i="25"/>
  <c r="EN10" i="25" s="1"/>
  <c r="EL10" i="25"/>
  <c r="DT10" i="25"/>
  <c r="FA10" i="25"/>
  <c r="EY10" i="25"/>
  <c r="EJ10" i="25"/>
  <c r="EJ77" i="25"/>
  <c r="DV246" i="25"/>
  <c r="DT246" i="25"/>
  <c r="EB96" i="25"/>
  <c r="EA96" i="25"/>
  <c r="DV175" i="25"/>
  <c r="DX175" i="25" s="1"/>
  <c r="EC175" i="25" s="1"/>
  <c r="EK175" i="25"/>
  <c r="EN175" i="25" s="1"/>
  <c r="EL175" i="25"/>
  <c r="DT175" i="25"/>
  <c r="DV189" i="25"/>
  <c r="DX189" i="25" s="1"/>
  <c r="EC189" i="25" s="1"/>
  <c r="EK189" i="25"/>
  <c r="EN189" i="25" s="1"/>
  <c r="EL189" i="25"/>
  <c r="DT189" i="25"/>
  <c r="DV265" i="25"/>
  <c r="DT265" i="25"/>
  <c r="EY189" i="25"/>
  <c r="EY185" i="25"/>
  <c r="FA56" i="25"/>
  <c r="FA9" i="25"/>
  <c r="DV148" i="25"/>
  <c r="EL148" i="25"/>
  <c r="EK148" i="25"/>
  <c r="EN148" i="25" s="1"/>
  <c r="DT148" i="25"/>
  <c r="FA148" i="25"/>
  <c r="EY148" i="25"/>
  <c r="EJ148" i="25"/>
  <c r="DV315" i="25"/>
  <c r="DT315" i="25"/>
  <c r="EB178" i="25"/>
  <c r="EA178" i="25"/>
  <c r="DV119" i="25"/>
  <c r="DX119" i="25" s="1"/>
  <c r="EC119" i="25" s="1"/>
  <c r="EL119" i="25"/>
  <c r="EK119" i="25"/>
  <c r="EN119" i="25" s="1"/>
  <c r="DT119" i="25"/>
  <c r="EJ95" i="25"/>
  <c r="DV121" i="25"/>
  <c r="DX121" i="25" s="1"/>
  <c r="EC121" i="25" s="1"/>
  <c r="EL121" i="25"/>
  <c r="EK121" i="25"/>
  <c r="EN121" i="25" s="1"/>
  <c r="DT121" i="25"/>
  <c r="FA131" i="25"/>
  <c r="EB174" i="25"/>
  <c r="EA174" i="25"/>
  <c r="DV296" i="25"/>
  <c r="DT296" i="25"/>
  <c r="DV114" i="25"/>
  <c r="EK114" i="25"/>
  <c r="EN114" i="25" s="1"/>
  <c r="EL114" i="25"/>
  <c r="DT114" i="25"/>
  <c r="FA114" i="25"/>
  <c r="EY114" i="25"/>
  <c r="EJ114" i="25"/>
  <c r="EY132" i="25"/>
  <c r="DV132" i="25"/>
  <c r="EL132" i="25"/>
  <c r="EK132" i="25"/>
  <c r="EN132" i="25" s="1"/>
  <c r="DT132" i="25"/>
  <c r="EJ132" i="25"/>
  <c r="FA132" i="25"/>
  <c r="DV264" i="25"/>
  <c r="DT264" i="25"/>
  <c r="DV89" i="25"/>
  <c r="DX89" i="25" s="1"/>
  <c r="EC89" i="25" s="1"/>
  <c r="EL89" i="25"/>
  <c r="EK89" i="25"/>
  <c r="EN89" i="25" s="1"/>
  <c r="DT89" i="25"/>
  <c r="DV25" i="25"/>
  <c r="DX25" i="25" s="1"/>
  <c r="EC25" i="25" s="1"/>
  <c r="EK25" i="25"/>
  <c r="EN25" i="25" s="1"/>
  <c r="EL25" i="25"/>
  <c r="DT25" i="25"/>
  <c r="EB136" i="25"/>
  <c r="EA136" i="25"/>
  <c r="DV161" i="25"/>
  <c r="EK161" i="25"/>
  <c r="EN161" i="25" s="1"/>
  <c r="EL161" i="25"/>
  <c r="DT161" i="25"/>
  <c r="EJ161" i="25"/>
  <c r="FA161" i="25"/>
  <c r="EY161" i="25"/>
  <c r="EB99" i="25"/>
  <c r="EA99" i="25"/>
  <c r="DV277" i="25"/>
  <c r="DT277" i="25"/>
  <c r="DV65" i="25"/>
  <c r="DX65" i="25" s="1"/>
  <c r="EC65" i="25" s="1"/>
  <c r="EK65" i="25"/>
  <c r="EN65" i="25" s="1"/>
  <c r="EL65" i="25"/>
  <c r="DT65" i="25"/>
  <c r="DV91" i="25"/>
  <c r="DX91" i="25" s="1"/>
  <c r="EC91" i="25" s="1"/>
  <c r="EK91" i="25"/>
  <c r="EN91" i="25" s="1"/>
  <c r="EL91" i="25"/>
  <c r="DV172" i="25"/>
  <c r="EL172" i="25"/>
  <c r="EK172" i="25"/>
  <c r="EN172" i="25" s="1"/>
  <c r="DT172" i="25"/>
  <c r="EJ172" i="25"/>
  <c r="FA172" i="25"/>
  <c r="EY172" i="25"/>
  <c r="DV260" i="25"/>
  <c r="DT260" i="25"/>
  <c r="DV125" i="25"/>
  <c r="EL125" i="25"/>
  <c r="EK125" i="25"/>
  <c r="EN125" i="25" s="1"/>
  <c r="DT125" i="25"/>
  <c r="FA125" i="25"/>
  <c r="EY125" i="25"/>
  <c r="EJ125" i="25"/>
  <c r="EB156" i="25"/>
  <c r="EA156" i="25"/>
  <c r="EB90" i="25"/>
  <c r="EA90" i="25"/>
  <c r="DV190" i="25"/>
  <c r="DX190" i="25" s="1"/>
  <c r="EC190" i="25" s="1"/>
  <c r="EL190" i="25"/>
  <c r="EK190" i="25"/>
  <c r="EN190" i="25" s="1"/>
  <c r="DT190" i="25"/>
  <c r="DV238" i="25"/>
  <c r="DT238" i="25"/>
  <c r="DV176" i="25"/>
  <c r="EK176" i="25"/>
  <c r="EN176" i="25" s="1"/>
  <c r="EL176" i="25"/>
  <c r="DT176" i="25"/>
  <c r="EY176" i="25"/>
  <c r="EJ176" i="25"/>
  <c r="FA176" i="25"/>
  <c r="DV155" i="25"/>
  <c r="EK155" i="25"/>
  <c r="EN155" i="25" s="1"/>
  <c r="EL155" i="25"/>
  <c r="DT155" i="25"/>
  <c r="FA155" i="25"/>
  <c r="EY155" i="25"/>
  <c r="EJ155" i="25"/>
  <c r="DV12" i="25"/>
  <c r="DX12" i="25" s="1"/>
  <c r="EC12" i="25" s="1"/>
  <c r="EL12" i="25"/>
  <c r="EK12" i="25"/>
  <c r="EN12" i="25" s="1"/>
  <c r="DT12" i="25"/>
  <c r="EY37" i="25"/>
  <c r="EB194" i="25"/>
  <c r="EA194" i="25"/>
  <c r="EB181" i="25"/>
  <c r="EA181" i="25"/>
  <c r="EB126" i="25"/>
  <c r="EA126" i="25"/>
  <c r="DV252" i="25"/>
  <c r="DT252" i="25"/>
  <c r="EB64" i="25"/>
  <c r="EA64" i="25"/>
  <c r="FA142" i="25"/>
  <c r="DV142" i="25"/>
  <c r="EK142" i="25"/>
  <c r="EN142" i="25" s="1"/>
  <c r="EL142" i="25"/>
  <c r="DT142" i="25"/>
  <c r="EJ142" i="25"/>
  <c r="EY142" i="25"/>
  <c r="DV36" i="25"/>
  <c r="EK36" i="25"/>
  <c r="EN36" i="25" s="1"/>
  <c r="EL36" i="25"/>
  <c r="DT36" i="25"/>
  <c r="EY36" i="25"/>
  <c r="EJ36" i="25"/>
  <c r="FA36" i="25"/>
  <c r="DV51" i="25"/>
  <c r="DX51" i="25" s="1"/>
  <c r="EC51" i="25" s="1"/>
  <c r="EL51" i="25"/>
  <c r="EK51" i="25"/>
  <c r="EN51" i="25" s="1"/>
  <c r="DT51" i="25"/>
  <c r="EB111" i="25"/>
  <c r="EA111" i="25"/>
  <c r="DV39" i="25"/>
  <c r="EK39" i="25"/>
  <c r="EN39" i="25" s="1"/>
  <c r="EL39" i="25"/>
  <c r="DT39" i="25"/>
  <c r="FA39" i="25"/>
  <c r="EY39" i="25"/>
  <c r="EJ39" i="25"/>
  <c r="EY190" i="25"/>
  <c r="DV273" i="25"/>
  <c r="DT273" i="25"/>
  <c r="EB145" i="25"/>
  <c r="EA145" i="25"/>
  <c r="FA12" i="25"/>
  <c r="EB65" i="25"/>
  <c r="EA65" i="25"/>
  <c r="EY77" i="25"/>
  <c r="DV221" i="25"/>
  <c r="DT221" i="25"/>
  <c r="DV105" i="25"/>
  <c r="DX105" i="25" s="1"/>
  <c r="EC105" i="25" s="1"/>
  <c r="EK105" i="25"/>
  <c r="EN105" i="25" s="1"/>
  <c r="EL105" i="25"/>
  <c r="DV163" i="25"/>
  <c r="EL163" i="25"/>
  <c r="EK163" i="25"/>
  <c r="EN163" i="25" s="1"/>
  <c r="DT163" i="25"/>
  <c r="FA163" i="25"/>
  <c r="EY163" i="25"/>
  <c r="EJ163" i="25"/>
  <c r="DV20" i="25"/>
  <c r="EL20" i="25"/>
  <c r="EK20" i="25"/>
  <c r="EN20" i="25" s="1"/>
  <c r="DT20" i="25"/>
  <c r="EY20" i="25"/>
  <c r="EJ20" i="25"/>
  <c r="FA20" i="25"/>
  <c r="EJ189" i="25"/>
  <c r="DV174" i="25"/>
  <c r="DX174" i="25" s="1"/>
  <c r="EC174" i="25" s="1"/>
  <c r="EL174" i="25"/>
  <c r="EK174" i="25"/>
  <c r="EN174" i="25" s="1"/>
  <c r="DT174" i="25"/>
  <c r="EB185" i="25"/>
  <c r="EA185" i="25"/>
  <c r="EJ45" i="25"/>
  <c r="EJ56" i="25"/>
  <c r="EJ9" i="25"/>
  <c r="DV286" i="25"/>
  <c r="DT286" i="25"/>
  <c r="DV85" i="25"/>
  <c r="EK85" i="25"/>
  <c r="EN85" i="25" s="1"/>
  <c r="EL85" i="25"/>
  <c r="DT85" i="25"/>
  <c r="EJ85" i="25"/>
  <c r="FA85" i="25"/>
  <c r="EY85" i="25"/>
  <c r="EB89" i="25"/>
  <c r="EA89" i="25"/>
  <c r="FA51" i="25"/>
  <c r="DV244" i="25"/>
  <c r="DT244" i="25"/>
  <c r="EB95" i="25"/>
  <c r="EA95" i="25"/>
  <c r="EB180" i="25"/>
  <c r="EA180" i="25"/>
  <c r="EB131" i="25"/>
  <c r="EA131" i="25"/>
  <c r="DV310" i="25"/>
  <c r="DT310" i="25"/>
  <c r="DV305" i="25"/>
  <c r="DT305" i="25"/>
  <c r="DV92" i="25"/>
  <c r="DX92" i="25" s="1"/>
  <c r="EC92" i="25" s="1"/>
  <c r="EK92" i="25"/>
  <c r="EN92" i="25" s="1"/>
  <c r="EL92" i="25"/>
  <c r="EB24" i="25"/>
  <c r="EA24" i="25"/>
  <c r="DV222" i="25"/>
  <c r="DT222" i="25"/>
  <c r="DV6" i="25"/>
  <c r="EK6" i="25"/>
  <c r="EN6" i="25" s="1"/>
  <c r="EL6" i="25"/>
  <c r="DT6" i="25"/>
  <c r="EY6" i="25"/>
  <c r="EJ6" i="25"/>
  <c r="FA6" i="25"/>
  <c r="DV179" i="25"/>
  <c r="DX179" i="25" s="1"/>
  <c r="EC179" i="25" s="1"/>
  <c r="EK179" i="25"/>
  <c r="EN179" i="25" s="1"/>
  <c r="EL179" i="25"/>
  <c r="DT179" i="25"/>
  <c r="EB14" i="25"/>
  <c r="EA14" i="25"/>
  <c r="EB43" i="25"/>
  <c r="EA43" i="25"/>
  <c r="DV293" i="25"/>
  <c r="DT293" i="25"/>
  <c r="FA179" i="25"/>
  <c r="DV66" i="25"/>
  <c r="DX66" i="25" s="1"/>
  <c r="EC66" i="25" s="1"/>
  <c r="EL66" i="25"/>
  <c r="EK66" i="25"/>
  <c r="EN66" i="25" s="1"/>
  <c r="DT66" i="25"/>
  <c r="DV19" i="25"/>
  <c r="EK19" i="25"/>
  <c r="EN19" i="25" s="1"/>
  <c r="EL19" i="25"/>
  <c r="DT19" i="25"/>
  <c r="EJ19" i="25"/>
  <c r="FA19" i="25"/>
  <c r="EY19" i="25"/>
  <c r="FA66" i="25"/>
  <c r="EB128" i="25"/>
  <c r="EA128" i="25"/>
  <c r="DV87" i="25"/>
  <c r="DX87" i="25" s="1"/>
  <c r="EC87" i="25" s="1"/>
  <c r="EL87" i="25"/>
  <c r="EK87" i="25"/>
  <c r="EN87" i="25" s="1"/>
  <c r="DT87" i="25"/>
  <c r="DV84" i="25"/>
  <c r="EK84" i="25"/>
  <c r="EN84" i="25" s="1"/>
  <c r="EL84" i="25"/>
  <c r="DT84" i="25"/>
  <c r="FA84" i="25"/>
  <c r="EJ84" i="25"/>
  <c r="EY84" i="25"/>
  <c r="DV256" i="25"/>
  <c r="DT256" i="25"/>
  <c r="DV271" i="25"/>
  <c r="DT271" i="25"/>
  <c r="EB121" i="25"/>
  <c r="EA121" i="25"/>
  <c r="DV120" i="25"/>
  <c r="EL120" i="25"/>
  <c r="EK120" i="25"/>
  <c r="EN120" i="25" s="1"/>
  <c r="DT120" i="25"/>
  <c r="EY120" i="25"/>
  <c r="FA120" i="25"/>
  <c r="EJ120" i="25"/>
  <c r="DV201" i="25"/>
  <c r="EL201" i="25"/>
  <c r="EK201" i="25"/>
  <c r="EN201" i="25" s="1"/>
  <c r="EY201" i="25"/>
  <c r="EJ201" i="25"/>
  <c r="FA201" i="25"/>
  <c r="DV243" i="25"/>
  <c r="DT243" i="25"/>
  <c r="EB77" i="25"/>
  <c r="EA77" i="25"/>
  <c r="DV150" i="25"/>
  <c r="EK150" i="25"/>
  <c r="EN150" i="25" s="1"/>
  <c r="EL150" i="25"/>
  <c r="DT150" i="25"/>
  <c r="FA150" i="25"/>
  <c r="EY150" i="25"/>
  <c r="EJ150" i="25"/>
  <c r="DV259" i="25"/>
  <c r="DT259" i="25"/>
  <c r="DV157" i="25"/>
  <c r="DX157" i="25" s="1"/>
  <c r="EC157" i="25" s="1"/>
  <c r="EK157" i="25"/>
  <c r="EN157" i="25" s="1"/>
  <c r="EL157" i="25"/>
  <c r="DT157" i="25"/>
  <c r="DV126" i="25"/>
  <c r="DX126" i="25" s="1"/>
  <c r="EC126" i="25" s="1"/>
  <c r="EK126" i="25"/>
  <c r="EN126" i="25" s="1"/>
  <c r="EL126" i="25"/>
  <c r="DT126" i="25"/>
  <c r="EJ113" i="25"/>
  <c r="DV113" i="25"/>
  <c r="EK113" i="25"/>
  <c r="EN113" i="25" s="1"/>
  <c r="EL113" i="25"/>
  <c r="DT113" i="25"/>
  <c r="FA113" i="25"/>
  <c r="EY113" i="25"/>
  <c r="EB171" i="25"/>
  <c r="EA171" i="25"/>
  <c r="DV139" i="25"/>
  <c r="DX139" i="25" s="1"/>
  <c r="EC139" i="25" s="1"/>
  <c r="EL139" i="25"/>
  <c r="EK139" i="25"/>
  <c r="EN139" i="25" s="1"/>
  <c r="DT139" i="25"/>
  <c r="FA45" i="25"/>
  <c r="EY56" i="25"/>
  <c r="EY9" i="25"/>
  <c r="DV13" i="25"/>
  <c r="DX13" i="25" s="1"/>
  <c r="EC13" i="25" s="1"/>
  <c r="EK13" i="25"/>
  <c r="EN13" i="25" s="1"/>
  <c r="EL13" i="25"/>
  <c r="DT13" i="25"/>
  <c r="EB51" i="25"/>
  <c r="EA51" i="25"/>
  <c r="DV299" i="25"/>
  <c r="DT299" i="25"/>
  <c r="DV224" i="25"/>
  <c r="DT224" i="25"/>
  <c r="DV43" i="25"/>
  <c r="DX43" i="25" s="1"/>
  <c r="EC43" i="25" s="1"/>
  <c r="EK43" i="25"/>
  <c r="EN43" i="25" s="1"/>
  <c r="EL43" i="25"/>
  <c r="DT43" i="25"/>
  <c r="DV266" i="25"/>
  <c r="DT266" i="25"/>
  <c r="EB97" i="25"/>
  <c r="EA97" i="25"/>
  <c r="DV28" i="25"/>
  <c r="EL28" i="25"/>
  <c r="EK28" i="25"/>
  <c r="EN28" i="25" s="1"/>
  <c r="DT28" i="25"/>
  <c r="EY28" i="25"/>
  <c r="EJ28" i="25"/>
  <c r="FA28" i="25"/>
  <c r="DV208" i="25"/>
  <c r="DX208" i="25" s="1"/>
  <c r="EC208" i="25" s="1"/>
  <c r="EL208" i="25"/>
  <c r="EK208" i="25"/>
  <c r="EN208" i="25" s="1"/>
  <c r="DV167" i="25"/>
  <c r="EK167" i="25"/>
  <c r="EN167" i="25" s="1"/>
  <c r="EL167" i="25"/>
  <c r="DT167" i="25"/>
  <c r="FA167" i="25"/>
  <c r="EY167" i="25"/>
  <c r="EJ167" i="25"/>
  <c r="DV205" i="25"/>
  <c r="EL205" i="25"/>
  <c r="EK205" i="25"/>
  <c r="EN205" i="25" s="1"/>
  <c r="EJ205" i="25"/>
  <c r="FA205" i="25"/>
  <c r="EY205" i="25"/>
  <c r="DV294" i="25"/>
  <c r="DT294" i="25"/>
  <c r="DY138" i="25"/>
  <c r="EB138" i="25"/>
  <c r="EA138" i="25"/>
  <c r="DV50" i="25"/>
  <c r="EL50" i="25"/>
  <c r="EK50" i="25"/>
  <c r="EN50" i="25" s="1"/>
  <c r="DT50" i="25"/>
  <c r="EJ50" i="25"/>
  <c r="FA50" i="25"/>
  <c r="EY50" i="25"/>
  <c r="DV122" i="25"/>
  <c r="DX122" i="25" s="1"/>
  <c r="EC122" i="25" s="1"/>
  <c r="EL122" i="25"/>
  <c r="EK122" i="25"/>
  <c r="EN122" i="25" s="1"/>
  <c r="DT122" i="25"/>
  <c r="DV134" i="25"/>
  <c r="EL134" i="25"/>
  <c r="EK134" i="25"/>
  <c r="EN134" i="25" s="1"/>
  <c r="DT134" i="25"/>
  <c r="FA134" i="25"/>
  <c r="EY134" i="25"/>
  <c r="EJ134" i="25"/>
  <c r="EB37" i="25"/>
  <c r="EA37" i="25"/>
  <c r="DV250" i="25"/>
  <c r="DT250" i="25"/>
  <c r="EY29" i="25"/>
  <c r="DV29" i="25"/>
  <c r="DX29" i="25" s="1"/>
  <c r="EC29" i="25" s="1"/>
  <c r="EK29" i="25"/>
  <c r="EN29" i="25" s="1"/>
  <c r="EL29" i="25"/>
  <c r="DT29" i="25"/>
  <c r="EB179" i="25"/>
  <c r="EA179" i="25"/>
  <c r="EJ66" i="25"/>
  <c r="DV300" i="25"/>
  <c r="DT300" i="25"/>
  <c r="DV67" i="25"/>
  <c r="EK67" i="25"/>
  <c r="EN67" i="25" s="1"/>
  <c r="EL67" i="25"/>
  <c r="DT67" i="25"/>
  <c r="FA67" i="25"/>
  <c r="EY67" i="25"/>
  <c r="EJ67" i="25"/>
  <c r="DV195" i="25"/>
  <c r="EK195" i="25"/>
  <c r="EN195" i="25" s="1"/>
  <c r="EL195" i="25"/>
  <c r="EY195" i="25"/>
  <c r="FA195" i="25"/>
  <c r="EJ195" i="25"/>
  <c r="DV200" i="25"/>
  <c r="DX200" i="25" s="1"/>
  <c r="EC200" i="25" s="1"/>
  <c r="EK200" i="25"/>
  <c r="EN200" i="25" s="1"/>
  <c r="EL200" i="25"/>
  <c r="EB23" i="25"/>
  <c r="EA23" i="25"/>
  <c r="DV285" i="25"/>
  <c r="DT285" i="25"/>
  <c r="DV152" i="25"/>
  <c r="EL152" i="25"/>
  <c r="EK152" i="25"/>
  <c r="EN152" i="25" s="1"/>
  <c r="DT152" i="25"/>
  <c r="EJ152" i="25"/>
  <c r="FA152" i="25"/>
  <c r="EY152" i="25"/>
  <c r="FA80" i="25"/>
  <c r="DV247" i="25"/>
  <c r="DT247" i="25"/>
  <c r="DV140" i="25"/>
  <c r="EK140" i="25"/>
  <c r="EN140" i="25" s="1"/>
  <c r="EL140" i="25"/>
  <c r="DT140" i="25"/>
  <c r="EJ140" i="25"/>
  <c r="EY140" i="25"/>
  <c r="FA140" i="25"/>
  <c r="EB189" i="25"/>
  <c r="EA189" i="25"/>
  <c r="DV268" i="25"/>
  <c r="DT268" i="25"/>
  <c r="EY45" i="25"/>
  <c r="EB56" i="25"/>
  <c r="EA56" i="25"/>
  <c r="DV116" i="25"/>
  <c r="EL116" i="25"/>
  <c r="EK116" i="25"/>
  <c r="EN116" i="25" s="1"/>
  <c r="DT116" i="25"/>
  <c r="EY116" i="25"/>
  <c r="EJ116" i="25"/>
  <c r="FA116" i="25"/>
  <c r="EB9" i="25"/>
  <c r="EA9" i="25"/>
  <c r="DV151" i="25"/>
  <c r="EL151" i="25"/>
  <c r="EK151" i="25"/>
  <c r="EN151" i="25" s="1"/>
  <c r="DT151" i="25"/>
  <c r="EJ151" i="25"/>
  <c r="FA151" i="25"/>
  <c r="EY151" i="25"/>
  <c r="EJ91" i="25"/>
  <c r="DV75" i="25"/>
  <c r="EK75" i="25"/>
  <c r="EN75" i="25" s="1"/>
  <c r="EL75" i="25"/>
  <c r="DT75" i="25"/>
  <c r="EJ75" i="25"/>
  <c r="EY75" i="25"/>
  <c r="FA75" i="25"/>
  <c r="DV272" i="25"/>
  <c r="DT272" i="25"/>
  <c r="EY200" i="25"/>
  <c r="DZ15" i="24"/>
  <c r="DZ58" i="24"/>
  <c r="DX31" i="24"/>
  <c r="EE31" i="24" s="1"/>
  <c r="DR285" i="24"/>
  <c r="EB285" i="24" s="1"/>
  <c r="DO169" i="24"/>
  <c r="DO88" i="24"/>
  <c r="DO295" i="24"/>
  <c r="DR295" i="24"/>
  <c r="DO204" i="24"/>
  <c r="DR204" i="24"/>
  <c r="DU204" i="24" s="1"/>
  <c r="DO115" i="24"/>
  <c r="DR115" i="24"/>
  <c r="DU115" i="24" s="1"/>
  <c r="DO141" i="24"/>
  <c r="DR141" i="24"/>
  <c r="DU141" i="24" s="1"/>
  <c r="DR100" i="24"/>
  <c r="DO100" i="24"/>
  <c r="DO145" i="24"/>
  <c r="DR145" i="24"/>
  <c r="DU145" i="24" s="1"/>
  <c r="EE188" i="24"/>
  <c r="DO257" i="24"/>
  <c r="DR257" i="24"/>
  <c r="DO39" i="24"/>
  <c r="DR288" i="24"/>
  <c r="FA288" i="24" s="1"/>
  <c r="DO288" i="24"/>
  <c r="DR44" i="24"/>
  <c r="DO44" i="24"/>
  <c r="DO275" i="24"/>
  <c r="DR275" i="24"/>
  <c r="DR56" i="24"/>
  <c r="DO56" i="24"/>
  <c r="EE205" i="24"/>
  <c r="DO126" i="24"/>
  <c r="DR126" i="24"/>
  <c r="DU126" i="24" s="1"/>
  <c r="DO28" i="24"/>
  <c r="DR28" i="24"/>
  <c r="EE163" i="24"/>
  <c r="DZ39" i="24"/>
  <c r="DX39" i="24"/>
  <c r="EE130" i="24"/>
  <c r="EE131" i="24"/>
  <c r="DR70" i="24"/>
  <c r="DO70" i="24"/>
  <c r="EE119" i="24"/>
  <c r="EE189" i="24"/>
  <c r="DO244" i="24"/>
  <c r="DR244" i="24"/>
  <c r="DO35" i="24"/>
  <c r="DR35" i="24"/>
  <c r="DR112" i="24"/>
  <c r="DU112" i="24" s="1"/>
  <c r="DO112" i="24"/>
  <c r="DO313" i="24"/>
  <c r="DR313" i="24"/>
  <c r="EE69" i="24"/>
  <c r="DR6" i="24"/>
  <c r="DO6" i="24"/>
  <c r="DO173" i="24"/>
  <c r="DR173" i="24"/>
  <c r="DU173" i="24" s="1"/>
  <c r="DX126" i="24"/>
  <c r="DO231" i="24"/>
  <c r="DR231" i="24"/>
  <c r="EE210" i="24"/>
  <c r="DO66" i="24"/>
  <c r="DR66" i="24"/>
  <c r="DR304" i="24"/>
  <c r="EB304" i="24" s="1"/>
  <c r="DO304" i="24"/>
  <c r="DR276" i="24"/>
  <c r="DO276" i="24"/>
  <c r="EE141" i="24"/>
  <c r="DR208" i="24"/>
  <c r="DU208" i="24" s="1"/>
  <c r="DO208" i="24"/>
  <c r="DR168" i="24"/>
  <c r="DU168" i="24" s="1"/>
  <c r="DO168" i="24"/>
  <c r="EE148" i="24"/>
  <c r="DO20" i="24"/>
  <c r="DR20" i="24"/>
  <c r="EE146" i="24"/>
  <c r="EE74" i="24"/>
  <c r="DR220" i="24"/>
  <c r="DO220" i="24"/>
  <c r="EE59" i="24"/>
  <c r="DR259" i="24"/>
  <c r="FA259" i="24" s="1"/>
  <c r="DO259" i="24"/>
  <c r="DX133" i="24"/>
  <c r="EE115" i="24"/>
  <c r="DR227" i="24"/>
  <c r="DO227" i="24"/>
  <c r="DO24" i="24"/>
  <c r="DR24" i="24"/>
  <c r="DO267" i="24"/>
  <c r="DR267" i="24"/>
  <c r="FA267" i="24" s="1"/>
  <c r="EE82" i="24"/>
  <c r="DX129" i="24"/>
  <c r="DX53" i="24"/>
  <c r="DZ53" i="24"/>
  <c r="DR283" i="24"/>
  <c r="EY283" i="24" s="1"/>
  <c r="DO283" i="24"/>
  <c r="DO91" i="24"/>
  <c r="DR91" i="24"/>
  <c r="DR146" i="24"/>
  <c r="DU146" i="24" s="1"/>
  <c r="DO146" i="24"/>
  <c r="EE166" i="24"/>
  <c r="DO119" i="24"/>
  <c r="DR119" i="24"/>
  <c r="DU119" i="24" s="1"/>
  <c r="DR299" i="24"/>
  <c r="EY299" i="24" s="1"/>
  <c r="DO299" i="24"/>
  <c r="DR21" i="24"/>
  <c r="DO21" i="24"/>
  <c r="EE196" i="24"/>
  <c r="DO210" i="24"/>
  <c r="DR210" i="24"/>
  <c r="DU210" i="24" s="1"/>
  <c r="EE66" i="24"/>
  <c r="DO238" i="24"/>
  <c r="DR238" i="24"/>
  <c r="FA238" i="24" s="1"/>
  <c r="EE204" i="24"/>
  <c r="DX199" i="24"/>
  <c r="DO11" i="24"/>
  <c r="DR11" i="24"/>
  <c r="DO197" i="24"/>
  <c r="DR197" i="24"/>
  <c r="DU197" i="24" s="1"/>
  <c r="DO290" i="24"/>
  <c r="DR290" i="24"/>
  <c r="DR151" i="24"/>
  <c r="DU151" i="24" s="1"/>
  <c r="DO151" i="24"/>
  <c r="EE194" i="24"/>
  <c r="DZ80" i="24"/>
  <c r="DX80" i="24"/>
  <c r="EE6" i="24"/>
  <c r="DO103" i="24"/>
  <c r="DR103" i="24"/>
  <c r="DX155" i="24"/>
  <c r="DO271" i="24"/>
  <c r="DR271" i="24"/>
  <c r="EE84" i="24"/>
  <c r="DO188" i="24"/>
  <c r="DR188" i="24"/>
  <c r="DU188" i="24" s="1"/>
  <c r="DR189" i="24"/>
  <c r="DU189" i="24" s="1"/>
  <c r="DO189" i="24"/>
  <c r="DO282" i="24"/>
  <c r="DR282" i="24"/>
  <c r="EE34" i="24"/>
  <c r="DR309" i="24"/>
  <c r="FA309" i="24" s="1"/>
  <c r="DO309" i="24"/>
  <c r="DR84" i="24"/>
  <c r="DO84" i="24"/>
  <c r="DO284" i="24"/>
  <c r="DR284" i="24"/>
  <c r="DR134" i="24"/>
  <c r="DU134" i="24" s="1"/>
  <c r="DO134" i="24"/>
  <c r="DO68" i="24"/>
  <c r="DR68" i="24"/>
  <c r="EE20" i="24"/>
  <c r="EE135" i="24"/>
  <c r="EE15" i="24"/>
  <c r="EE90" i="24"/>
  <c r="EE149" i="24"/>
  <c r="EE120" i="24"/>
  <c r="DO222" i="24"/>
  <c r="DR222" i="24"/>
  <c r="DR279" i="24"/>
  <c r="DO279" i="24"/>
  <c r="DO123" i="24"/>
  <c r="DR123" i="24"/>
  <c r="DU123" i="24" s="1"/>
  <c r="DO158" i="24"/>
  <c r="DR158" i="24"/>
  <c r="DU158" i="24" s="1"/>
  <c r="DR93" i="24"/>
  <c r="DO93" i="24"/>
  <c r="DO307" i="24"/>
  <c r="DR307" i="24"/>
  <c r="DR122" i="24"/>
  <c r="DU122" i="24" s="1"/>
  <c r="DO122" i="24"/>
  <c r="EE22" i="24"/>
  <c r="EE180" i="24"/>
  <c r="DR26" i="24"/>
  <c r="DO26" i="24"/>
  <c r="DZ14" i="24"/>
  <c r="DX14" i="24"/>
  <c r="EE151" i="24"/>
  <c r="DO17" i="24"/>
  <c r="DR17" i="24"/>
  <c r="EE58" i="24"/>
  <c r="DR256" i="24"/>
  <c r="DO256" i="24"/>
  <c r="DO113" i="24"/>
  <c r="DR113" i="24"/>
  <c r="DU113" i="24" s="1"/>
  <c r="DX173" i="24"/>
  <c r="DX201" i="24"/>
  <c r="DO133" i="24"/>
  <c r="DR133" i="24"/>
  <c r="DU133" i="24" s="1"/>
  <c r="DR174" i="24"/>
  <c r="DU174" i="24" s="1"/>
  <c r="DO174" i="24"/>
  <c r="DX157" i="24"/>
  <c r="DR164" i="24"/>
  <c r="DU164" i="24" s="1"/>
  <c r="DO164" i="24"/>
  <c r="DO111" i="24"/>
  <c r="DR111" i="24"/>
  <c r="DU111" i="24" s="1"/>
  <c r="DO296" i="24"/>
  <c r="DR296" i="24"/>
  <c r="DO14" i="24"/>
  <c r="DR14" i="24"/>
  <c r="DZ23" i="24"/>
  <c r="DX23" i="24"/>
  <c r="DR48" i="24"/>
  <c r="DO48" i="24"/>
  <c r="DX209" i="24"/>
  <c r="DO302" i="24"/>
  <c r="DR302" i="24"/>
  <c r="EL302" i="24" s="1"/>
  <c r="EE137" i="24"/>
  <c r="DR73" i="24"/>
  <c r="DO73" i="24"/>
  <c r="DR129" i="24"/>
  <c r="DU129" i="24" s="1"/>
  <c r="DO129" i="24"/>
  <c r="DZ44" i="24"/>
  <c r="DX44" i="24"/>
  <c r="DX174" i="24"/>
  <c r="DR301" i="24"/>
  <c r="FA301" i="24" s="1"/>
  <c r="DO301" i="24"/>
  <c r="DX114" i="24"/>
  <c r="DO285" i="24"/>
  <c r="DR167" i="24"/>
  <c r="DU167" i="24" s="1"/>
  <c r="DO167" i="24"/>
  <c r="DR235" i="24"/>
  <c r="DO235" i="24"/>
  <c r="DR43" i="24"/>
  <c r="DO43" i="24"/>
  <c r="EE153" i="24"/>
  <c r="EE32" i="24"/>
  <c r="DO127" i="24"/>
  <c r="DR142" i="24"/>
  <c r="DU142" i="24" s="1"/>
  <c r="DO142" i="24"/>
  <c r="DO90" i="24"/>
  <c r="DO59" i="24"/>
  <c r="DR59" i="24"/>
  <c r="DO224" i="24"/>
  <c r="DR224" i="24"/>
  <c r="EE184" i="24"/>
  <c r="DO263" i="24"/>
  <c r="DR263" i="24"/>
  <c r="EE179" i="24"/>
  <c r="DO147" i="24"/>
  <c r="DR147" i="24"/>
  <c r="DU147" i="24" s="1"/>
  <c r="DR159" i="24"/>
  <c r="DU159" i="24" s="1"/>
  <c r="DO159" i="24"/>
  <c r="DR178" i="24"/>
  <c r="DU178" i="24" s="1"/>
  <c r="DO178" i="24"/>
  <c r="EE38" i="24"/>
  <c r="DR71" i="24"/>
  <c r="DO71" i="24"/>
  <c r="DO150" i="24"/>
  <c r="DR150" i="24"/>
  <c r="DU150" i="24" s="1"/>
  <c r="DR183" i="24"/>
  <c r="DU183" i="24" s="1"/>
  <c r="DO183" i="24"/>
  <c r="DR85" i="24"/>
  <c r="DO85" i="24"/>
  <c r="DR234" i="24"/>
  <c r="EL234" i="24" s="1"/>
  <c r="DO234" i="24"/>
  <c r="DO61" i="24"/>
  <c r="DR61" i="24"/>
  <c r="DZ30" i="24"/>
  <c r="DX30" i="24"/>
  <c r="DZ63" i="24"/>
  <c r="DX63" i="24"/>
  <c r="DR217" i="24"/>
  <c r="FA217" i="24" s="1"/>
  <c r="DO217" i="24"/>
  <c r="DO138" i="24"/>
  <c r="DR138" i="24"/>
  <c r="DU138" i="24" s="1"/>
  <c r="DR200" i="24"/>
  <c r="DU200" i="24" s="1"/>
  <c r="DO200" i="24"/>
  <c r="DR117" i="24"/>
  <c r="DU117" i="24" s="1"/>
  <c r="DO117" i="24"/>
  <c r="DO221" i="24"/>
  <c r="DR221" i="24"/>
  <c r="EL221" i="24" s="1"/>
  <c r="DR293" i="24"/>
  <c r="EL293" i="24" s="1"/>
  <c r="DO293" i="24"/>
  <c r="DZ81" i="24"/>
  <c r="DX81" i="24"/>
  <c r="DO33" i="24"/>
  <c r="DR33" i="24"/>
  <c r="DZ26" i="24"/>
  <c r="DX26" i="24"/>
  <c r="DO223" i="24"/>
  <c r="DR223" i="24"/>
  <c r="DX124" i="24"/>
  <c r="DO75" i="24"/>
  <c r="DR75" i="24"/>
  <c r="EE181" i="24"/>
  <c r="DZ10" i="24"/>
  <c r="DX10" i="24"/>
  <c r="DO136" i="24"/>
  <c r="DR136" i="24"/>
  <c r="DU136" i="24" s="1"/>
  <c r="DX65" i="24"/>
  <c r="DZ65" i="24"/>
  <c r="DO32" i="24"/>
  <c r="DR32" i="24"/>
  <c r="DR237" i="24"/>
  <c r="DO237" i="24"/>
  <c r="DO156" i="24"/>
  <c r="DR156" i="24"/>
  <c r="DU156" i="24" s="1"/>
  <c r="DX50" i="24"/>
  <c r="DZ50" i="24"/>
  <c r="DO280" i="24"/>
  <c r="DR280" i="24"/>
  <c r="DR9" i="24"/>
  <c r="DO9" i="24"/>
  <c r="DO139" i="24"/>
  <c r="DR139" i="24"/>
  <c r="DU139" i="24" s="1"/>
  <c r="EE169" i="24"/>
  <c r="DR27" i="24"/>
  <c r="DO27" i="24"/>
  <c r="DO72" i="24"/>
  <c r="DR72" i="24"/>
  <c r="DR179" i="24"/>
  <c r="DU179" i="24" s="1"/>
  <c r="DO179" i="24"/>
  <c r="EE116" i="24"/>
  <c r="DO206" i="24"/>
  <c r="DR206" i="24"/>
  <c r="DU206" i="24" s="1"/>
  <c r="DO40" i="24"/>
  <c r="DR40" i="24"/>
  <c r="DX172" i="24"/>
  <c r="DO63" i="24"/>
  <c r="DR63" i="24"/>
  <c r="DX138" i="24"/>
  <c r="DR12" i="24"/>
  <c r="DO12" i="24"/>
  <c r="DR104" i="24"/>
  <c r="DO104" i="24"/>
  <c r="DX55" i="24"/>
  <c r="DZ55" i="24"/>
  <c r="DR79" i="24"/>
  <c r="DO79" i="24"/>
  <c r="DZ99" i="24"/>
  <c r="DX99" i="24"/>
  <c r="DX83" i="24"/>
  <c r="DZ83" i="24"/>
  <c r="DX159" i="24"/>
  <c r="DR305" i="24"/>
  <c r="DO305" i="24"/>
  <c r="EE168" i="24"/>
  <c r="EE102" i="24"/>
  <c r="DX47" i="24"/>
  <c r="DZ47" i="24"/>
  <c r="DO65" i="24"/>
  <c r="DR65" i="24"/>
  <c r="DR13" i="24"/>
  <c r="DO13" i="24"/>
  <c r="DR22" i="24"/>
  <c r="DO22" i="24"/>
  <c r="DO77" i="24"/>
  <c r="DR77" i="24"/>
  <c r="DR268" i="24"/>
  <c r="DO268" i="24"/>
  <c r="DR132" i="24"/>
  <c r="DU132" i="24" s="1"/>
  <c r="DO132" i="24"/>
  <c r="DX42" i="24"/>
  <c r="DZ42" i="24"/>
  <c r="DR69" i="24"/>
  <c r="DO69" i="24"/>
  <c r="DX197" i="24"/>
  <c r="DZ43" i="24"/>
  <c r="DX43" i="24"/>
  <c r="DX171" i="24"/>
  <c r="DO18" i="24"/>
  <c r="DR18" i="24"/>
  <c r="DR95" i="24"/>
  <c r="DO95" i="24"/>
  <c r="DR184" i="24"/>
  <c r="DU184" i="24" s="1"/>
  <c r="DO184" i="24"/>
  <c r="DR245" i="24"/>
  <c r="DO245" i="24"/>
  <c r="DR19" i="24"/>
  <c r="DO19" i="24"/>
  <c r="DO92" i="24"/>
  <c r="DO236" i="24"/>
  <c r="DR236" i="24"/>
  <c r="EE176" i="24"/>
  <c r="DR55" i="24"/>
  <c r="DO55" i="24"/>
  <c r="DR286" i="24"/>
  <c r="DO286" i="24"/>
  <c r="DX160" i="24"/>
  <c r="DX175" i="24"/>
  <c r="DR116" i="24"/>
  <c r="DU116" i="24" s="1"/>
  <c r="DO116" i="24"/>
  <c r="DX62" i="24"/>
  <c r="DZ62" i="24"/>
  <c r="DR128" i="24"/>
  <c r="DU128" i="24" s="1"/>
  <c r="DR248" i="24"/>
  <c r="FA248" i="24" s="1"/>
  <c r="DO248" i="24"/>
  <c r="DX186" i="24"/>
  <c r="DO31" i="24"/>
  <c r="DR31" i="24"/>
  <c r="DR175" i="24"/>
  <c r="DU175" i="24" s="1"/>
  <c r="DO175" i="24"/>
  <c r="DX183" i="24"/>
  <c r="DO74" i="24"/>
  <c r="DZ54" i="24"/>
  <c r="DX54" i="24"/>
  <c r="DR76" i="24"/>
  <c r="DO76" i="24"/>
  <c r="DZ52" i="24"/>
  <c r="DX52" i="24"/>
  <c r="DX37" i="24"/>
  <c r="DZ37" i="24"/>
  <c r="DX35" i="24"/>
  <c r="DZ35" i="24"/>
  <c r="DO135" i="24"/>
  <c r="DR135" i="24"/>
  <c r="DU135" i="24" s="1"/>
  <c r="DR165" i="24"/>
  <c r="DU165" i="24" s="1"/>
  <c r="DO165" i="24"/>
  <c r="DO157" i="24"/>
  <c r="DR157" i="24"/>
  <c r="DU157" i="24" s="1"/>
  <c r="DR42" i="24"/>
  <c r="DO42" i="24"/>
  <c r="DR209" i="24"/>
  <c r="DU209" i="24" s="1"/>
  <c r="DO209" i="24"/>
  <c r="DR36" i="24"/>
  <c r="DO36" i="24"/>
  <c r="DX123" i="24"/>
  <c r="DO98" i="24"/>
  <c r="DR98" i="24"/>
  <c r="DR8" i="24"/>
  <c r="DO8" i="24"/>
  <c r="DX192" i="24"/>
  <c r="DR260" i="24"/>
  <c r="EL260" i="24" s="1"/>
  <c r="DO260" i="24"/>
  <c r="DO51" i="24"/>
  <c r="DR51" i="24"/>
  <c r="DO25" i="24"/>
  <c r="DR25" i="24"/>
  <c r="DX167" i="24"/>
  <c r="EE96" i="24"/>
  <c r="DX112" i="24"/>
  <c r="DR162" i="24"/>
  <c r="DU162" i="24" s="1"/>
  <c r="DO162" i="24"/>
  <c r="DR101" i="24"/>
  <c r="DO101" i="24"/>
  <c r="DX202" i="24"/>
  <c r="DO314" i="24"/>
  <c r="DR314" i="24"/>
  <c r="FA314" i="24" s="1"/>
  <c r="DR187" i="24"/>
  <c r="DU187" i="24" s="1"/>
  <c r="DO187" i="24"/>
  <c r="DR124" i="24"/>
  <c r="DU124" i="24" s="1"/>
  <c r="DO124" i="24"/>
  <c r="DO287" i="24"/>
  <c r="DR287" i="24"/>
  <c r="FA287" i="24" s="1"/>
  <c r="DO161" i="24"/>
  <c r="DR161" i="24"/>
  <c r="DU161" i="24" s="1"/>
  <c r="DR315" i="24"/>
  <c r="FA315" i="24" s="1"/>
  <c r="DO315" i="24"/>
  <c r="DR149" i="24"/>
  <c r="DU149" i="24" s="1"/>
  <c r="DO149" i="24"/>
  <c r="DO193" i="24"/>
  <c r="DR193" i="24"/>
  <c r="DU193" i="24" s="1"/>
  <c r="DO254" i="24"/>
  <c r="DR254" i="24"/>
  <c r="DR289" i="24"/>
  <c r="EY289" i="24" s="1"/>
  <c r="DO289" i="24"/>
  <c r="DR198" i="24"/>
  <c r="DU198" i="24" s="1"/>
  <c r="DO198" i="24"/>
  <c r="DO243" i="24"/>
  <c r="EE207" i="24"/>
  <c r="DZ61" i="24"/>
  <c r="DX61" i="24"/>
  <c r="DO41" i="24"/>
  <c r="DR41" i="24"/>
  <c r="DO242" i="24"/>
  <c r="DO78" i="24"/>
  <c r="DO310" i="24"/>
  <c r="DR310" i="24"/>
  <c r="FA310" i="24" s="1"/>
  <c r="DR86" i="24"/>
  <c r="DO86" i="24"/>
  <c r="DO229" i="24"/>
  <c r="DR229" i="24"/>
  <c r="FA229" i="24" s="1"/>
  <c r="DO137" i="24"/>
  <c r="DR137" i="24"/>
  <c r="DU137" i="24" s="1"/>
  <c r="DX40" i="24"/>
  <c r="DZ40" i="24"/>
  <c r="DO172" i="24"/>
  <c r="DR172" i="24"/>
  <c r="DU172" i="24" s="1"/>
  <c r="DX104" i="24"/>
  <c r="DZ104" i="24"/>
  <c r="DR125" i="24"/>
  <c r="DU125" i="24" s="1"/>
  <c r="DO125" i="24"/>
  <c r="EE46" i="24"/>
  <c r="DR261" i="24"/>
  <c r="FA261" i="24" s="1"/>
  <c r="DO261" i="24"/>
  <c r="DO195" i="24"/>
  <c r="DR195" i="24"/>
  <c r="DU195" i="24" s="1"/>
  <c r="EE85" i="24"/>
  <c r="DR58" i="24"/>
  <c r="DO58" i="24"/>
  <c r="EE139" i="24"/>
  <c r="DO246" i="24"/>
  <c r="DR246" i="24"/>
  <c r="FA246" i="24" s="1"/>
  <c r="EE165" i="24"/>
  <c r="EE113" i="24"/>
  <c r="EE118" i="24"/>
  <c r="DR15" i="24"/>
  <c r="DO15" i="24"/>
  <c r="DR196" i="24"/>
  <c r="DU196" i="24" s="1"/>
  <c r="DO196" i="24"/>
  <c r="EE125" i="24"/>
  <c r="DR205" i="24"/>
  <c r="DU205" i="24" s="1"/>
  <c r="DO205" i="24"/>
  <c r="DO46" i="24"/>
  <c r="DR46" i="24"/>
  <c r="DO53" i="24"/>
  <c r="DR53" i="24"/>
  <c r="DO47" i="24"/>
  <c r="DR47" i="24"/>
  <c r="EE28" i="24"/>
  <c r="DO163" i="24"/>
  <c r="DR163" i="24"/>
  <c r="DU163" i="24" s="1"/>
  <c r="EE51" i="24"/>
  <c r="DR23" i="24"/>
  <c r="DO23" i="24"/>
  <c r="DO240" i="24"/>
  <c r="DR240" i="24"/>
  <c r="FA240" i="24" s="1"/>
  <c r="DO311" i="24"/>
  <c r="DR311" i="24"/>
  <c r="EB311" i="24" s="1"/>
  <c r="DO80" i="24"/>
  <c r="DR80" i="24"/>
  <c r="DX136" i="24"/>
  <c r="DX145" i="24"/>
  <c r="DO180" i="24"/>
  <c r="DR180" i="24"/>
  <c r="DU180" i="24" s="1"/>
  <c r="DO50" i="24"/>
  <c r="DR50" i="24"/>
  <c r="DO230" i="24"/>
  <c r="DR230" i="24"/>
  <c r="FA230" i="24" s="1"/>
  <c r="DZ67" i="24"/>
  <c r="DX67" i="24"/>
  <c r="EE200" i="24"/>
  <c r="EE117" i="24"/>
  <c r="DR241" i="24"/>
  <c r="DO241" i="24"/>
  <c r="DO97" i="24"/>
  <c r="DR97" i="24"/>
  <c r="DO153" i="24"/>
  <c r="DR153" i="24"/>
  <c r="DU153" i="24" s="1"/>
  <c r="DX164" i="24"/>
  <c r="EE206" i="24"/>
  <c r="DX132" i="24"/>
  <c r="DZ25" i="24"/>
  <c r="DX25" i="24"/>
  <c r="DR176" i="24"/>
  <c r="DU176" i="24" s="1"/>
  <c r="DO176" i="24"/>
  <c r="EE73" i="24"/>
  <c r="DO273" i="24"/>
  <c r="DR273" i="24"/>
  <c r="EL273" i="24" s="1"/>
  <c r="DO225" i="24"/>
  <c r="DR225" i="24"/>
  <c r="EE187" i="24"/>
  <c r="DR7" i="24"/>
  <c r="DO7" i="24"/>
  <c r="DO262" i="24"/>
  <c r="DR262" i="24"/>
  <c r="EL262" i="24" s="1"/>
  <c r="EE208" i="24"/>
  <c r="DR281" i="24"/>
  <c r="DO281" i="24"/>
  <c r="DR152" i="24"/>
  <c r="DU152" i="24" s="1"/>
  <c r="DO152" i="24"/>
  <c r="DO228" i="24"/>
  <c r="DR228" i="24"/>
  <c r="EL228" i="24" s="1"/>
  <c r="EE182" i="24"/>
  <c r="DX177" i="24"/>
  <c r="DR239" i="24"/>
  <c r="DO239" i="24"/>
  <c r="DR219" i="24"/>
  <c r="DO219" i="24"/>
  <c r="DZ60" i="24"/>
  <c r="DX60" i="24"/>
  <c r="DR82" i="24"/>
  <c r="DO82" i="24"/>
  <c r="DR16" i="24"/>
  <c r="DO16" i="24"/>
  <c r="DR170" i="24"/>
  <c r="DU170" i="24" s="1"/>
  <c r="DO170" i="24"/>
  <c r="DR194" i="24"/>
  <c r="DU194" i="24" s="1"/>
  <c r="DO194" i="24"/>
  <c r="DO266" i="24"/>
  <c r="DR266" i="24"/>
  <c r="DO130" i="24"/>
  <c r="DR130" i="24"/>
  <c r="DU130" i="24" s="1"/>
  <c r="DR62" i="24"/>
  <c r="DO62" i="24"/>
  <c r="DO57" i="24"/>
  <c r="DR57" i="24"/>
  <c r="DR186" i="24"/>
  <c r="DU186" i="24" s="1"/>
  <c r="DO186" i="24"/>
  <c r="DR303" i="24"/>
  <c r="FA303" i="24" s="1"/>
  <c r="DO303" i="24"/>
  <c r="DR277" i="24"/>
  <c r="FA277" i="24" s="1"/>
  <c r="DO277" i="24"/>
  <c r="DO199" i="24"/>
  <c r="DR199" i="24"/>
  <c r="DU199" i="24" s="1"/>
  <c r="DO270" i="24"/>
  <c r="DR270" i="24"/>
  <c r="EL270" i="24" s="1"/>
  <c r="DO154" i="24"/>
  <c r="DR154" i="24"/>
  <c r="DU154" i="24" s="1"/>
  <c r="DO253" i="24"/>
  <c r="DR253" i="24"/>
  <c r="EB253" i="24" s="1"/>
  <c r="DZ98" i="24"/>
  <c r="DX98" i="24"/>
  <c r="DZ8" i="24"/>
  <c r="DX8" i="24"/>
  <c r="DR316" i="24"/>
  <c r="EY316" i="24" s="1"/>
  <c r="DO316" i="24"/>
  <c r="DX185" i="24"/>
  <c r="DR218" i="24"/>
  <c r="EL218" i="24" s="1"/>
  <c r="DO218" i="24"/>
  <c r="DR294" i="24"/>
  <c r="DO294" i="24"/>
  <c r="DR292" i="24"/>
  <c r="DO292" i="24"/>
  <c r="DR54" i="24"/>
  <c r="DO54" i="24"/>
  <c r="EE191" i="24"/>
  <c r="DO118" i="24"/>
  <c r="DR118" i="24"/>
  <c r="DU118" i="24" s="1"/>
  <c r="DR312" i="24"/>
  <c r="FA312" i="24" s="1"/>
  <c r="DO312" i="24"/>
  <c r="DR121" i="24"/>
  <c r="DU121" i="24" s="1"/>
  <c r="DO121" i="24"/>
  <c r="DO258" i="24"/>
  <c r="DR258" i="24"/>
  <c r="DO182" i="24"/>
  <c r="DR182" i="24"/>
  <c r="DU182" i="24" s="1"/>
  <c r="EE49" i="24"/>
  <c r="EE144" i="24"/>
  <c r="EE178" i="24"/>
  <c r="DO232" i="24"/>
  <c r="DR232" i="24"/>
  <c r="DR60" i="24"/>
  <c r="DO60" i="24"/>
  <c r="DR255" i="24"/>
  <c r="DO255" i="24"/>
  <c r="EE121" i="24"/>
  <c r="DX170" i="24"/>
  <c r="EE19" i="24"/>
  <c r="EE140" i="24"/>
  <c r="DX142" i="24"/>
  <c r="DO291" i="24"/>
  <c r="DR291" i="24"/>
  <c r="EB291" i="24" s="1"/>
  <c r="DO272" i="24"/>
  <c r="DR272" i="24"/>
  <c r="DX152" i="24"/>
  <c r="DX127" i="24"/>
  <c r="DR45" i="24"/>
  <c r="DO45" i="24"/>
  <c r="DX33" i="24"/>
  <c r="DZ33" i="24"/>
  <c r="DO247" i="24"/>
  <c r="DR247" i="24"/>
  <c r="DO29" i="24"/>
  <c r="DR29" i="24"/>
  <c r="DR171" i="24"/>
  <c r="DU171" i="24" s="1"/>
  <c r="DO171" i="24"/>
  <c r="DX70" i="24"/>
  <c r="DZ70" i="24"/>
  <c r="DR249" i="24"/>
  <c r="DO249" i="24"/>
  <c r="DX122" i="24"/>
  <c r="DR202" i="24"/>
  <c r="DU202" i="24" s="1"/>
  <c r="DO202" i="24"/>
  <c r="DR185" i="24"/>
  <c r="DU185" i="24" s="1"/>
  <c r="DO185" i="24"/>
  <c r="DX134" i="24"/>
  <c r="DO250" i="24"/>
  <c r="DR250" i="24"/>
  <c r="EL250" i="24" s="1"/>
  <c r="DR114" i="24"/>
  <c r="DU114" i="24" s="1"/>
  <c r="DO114" i="24"/>
  <c r="DZ24" i="24"/>
  <c r="DX24" i="24"/>
  <c r="DX161" i="24"/>
  <c r="DR52" i="24"/>
  <c r="DO52" i="24"/>
  <c r="EE195" i="24"/>
  <c r="DZ29" i="24"/>
  <c r="DX29" i="24"/>
  <c r="DO201" i="24"/>
  <c r="DR201" i="24"/>
  <c r="DU201" i="24" s="1"/>
  <c r="DO192" i="24"/>
  <c r="DR192" i="24"/>
  <c r="DU192" i="24" s="1"/>
  <c r="DZ13" i="24"/>
  <c r="DX13" i="24"/>
  <c r="DX111" i="24"/>
  <c r="DR274" i="24"/>
  <c r="DO274" i="24"/>
  <c r="DO49" i="24"/>
  <c r="DR49" i="24"/>
  <c r="DR67" i="24"/>
  <c r="DO67" i="24"/>
  <c r="DO252" i="24"/>
  <c r="DR252" i="24"/>
  <c r="DO190" i="24"/>
  <c r="DX190" i="24"/>
  <c r="DR94" i="24"/>
  <c r="DO94" i="24"/>
  <c r="DR10" i="24"/>
  <c r="DO10" i="24"/>
  <c r="EE162" i="24"/>
  <c r="DO297" i="24"/>
  <c r="DR297" i="24"/>
  <c r="EE86" i="24"/>
  <c r="DO140" i="24"/>
  <c r="DR140" i="24"/>
  <c r="DU140" i="24" s="1"/>
  <c r="DO203" i="24"/>
  <c r="DR203" i="24"/>
  <c r="DU203" i="24" s="1"/>
  <c r="EE72" i="24"/>
  <c r="DR83" i="24"/>
  <c r="DO83" i="24"/>
  <c r="DO269" i="24"/>
  <c r="DR269" i="24"/>
  <c r="DO306" i="24"/>
  <c r="DR306" i="24"/>
  <c r="EY306" i="24" s="1"/>
  <c r="EE198" i="24"/>
  <c r="DR144" i="24"/>
  <c r="DU144" i="24" s="1"/>
  <c r="DO144" i="24"/>
  <c r="DR37" i="24"/>
  <c r="DO37" i="24"/>
  <c r="DR233" i="24"/>
  <c r="FA233" i="24" s="1"/>
  <c r="DO233" i="24"/>
  <c r="EE203" i="24"/>
  <c r="DR166" i="24"/>
  <c r="DU166" i="24" s="1"/>
  <c r="DO166" i="24"/>
  <c r="DO148" i="24"/>
  <c r="DR148" i="24"/>
  <c r="DU148" i="24" s="1"/>
  <c r="DR81" i="24"/>
  <c r="DO81" i="24"/>
  <c r="DR89" i="24"/>
  <c r="DO89" i="24"/>
  <c r="DR251" i="24"/>
  <c r="DO251" i="24"/>
  <c r="DO96" i="24"/>
  <c r="DX147" i="24"/>
  <c r="DO177" i="24"/>
  <c r="DR177" i="24"/>
  <c r="DU177" i="24" s="1"/>
  <c r="DO191" i="24"/>
  <c r="DR191" i="24"/>
  <c r="DU191" i="24" s="1"/>
  <c r="DO102" i="24"/>
  <c r="DR102" i="24"/>
  <c r="DO131" i="24"/>
  <c r="DR131" i="24"/>
  <c r="DU131" i="24" s="1"/>
  <c r="DZ71" i="24"/>
  <c r="DX71" i="24"/>
  <c r="DX193" i="24"/>
  <c r="DR226" i="24"/>
  <c r="DO226" i="24"/>
  <c r="DO34" i="24"/>
  <c r="DR34" i="24"/>
  <c r="DZ48" i="24"/>
  <c r="DX48" i="24"/>
  <c r="DR278" i="24"/>
  <c r="EL278" i="24" s="1"/>
  <c r="DO278" i="24"/>
  <c r="DZ100" i="24"/>
  <c r="DX100" i="24"/>
  <c r="DX158" i="24"/>
  <c r="DX103" i="24"/>
  <c r="DZ103" i="24"/>
  <c r="DO155" i="24"/>
  <c r="DR155" i="24"/>
  <c r="DU155" i="24" s="1"/>
  <c r="DZ68" i="24"/>
  <c r="DX68" i="24"/>
  <c r="DR264" i="24"/>
  <c r="DO264" i="24"/>
  <c r="DR265" i="24"/>
  <c r="DO265" i="24"/>
  <c r="DO87" i="24"/>
  <c r="DR87" i="24"/>
  <c r="DX77" i="24"/>
  <c r="DZ77" i="24"/>
  <c r="EE230" i="24"/>
  <c r="DX154" i="24"/>
  <c r="DR64" i="24"/>
  <c r="DO64" i="24"/>
  <c r="DR120" i="24"/>
  <c r="DU120" i="24" s="1"/>
  <c r="DO120" i="24"/>
  <c r="DO181" i="24"/>
  <c r="DR181" i="24"/>
  <c r="DU181" i="24" s="1"/>
  <c r="DR207" i="24"/>
  <c r="DU207" i="24" s="1"/>
  <c r="DO207" i="24"/>
  <c r="DR308" i="24"/>
  <c r="FA308" i="24" s="1"/>
  <c r="DO308" i="24"/>
  <c r="DR105" i="24"/>
  <c r="DO105" i="24"/>
  <c r="DO300" i="24"/>
  <c r="DR300" i="24"/>
  <c r="FA300" i="24" s="1"/>
  <c r="DR143" i="24"/>
  <c r="DU143" i="24" s="1"/>
  <c r="DO143" i="24"/>
  <c r="EE156" i="24"/>
  <c r="EE12" i="24"/>
  <c r="DO38" i="24"/>
  <c r="DR38" i="24"/>
  <c r="DZ89" i="24"/>
  <c r="DX89" i="24"/>
  <c r="DO99" i="24"/>
  <c r="DR99" i="24"/>
  <c r="DR30" i="24"/>
  <c r="DO30" i="24"/>
  <c r="EE143" i="24"/>
  <c r="DZ41" i="24"/>
  <c r="DX41" i="24"/>
  <c r="DR160" i="24"/>
  <c r="DU160" i="24" s="1"/>
  <c r="DO160" i="24"/>
  <c r="DX128" i="24"/>
  <c r="DR298" i="24"/>
  <c r="DO298" i="24"/>
  <c r="DR127" i="24"/>
  <c r="DU127" i="24" s="1"/>
  <c r="DX150" i="24"/>
  <c r="DR88" i="24"/>
  <c r="DQ216" i="25" l="1"/>
  <c r="DV216" i="25" s="1"/>
  <c r="DX216" i="25" s="1"/>
  <c r="EC216" i="25" s="1"/>
  <c r="DX143" i="25"/>
  <c r="EC143" i="25" s="1"/>
  <c r="DX212" i="25"/>
  <c r="EC212" i="25" s="1"/>
  <c r="DY212" i="25"/>
  <c r="EM190" i="24"/>
  <c r="EP190" i="24" s="1"/>
  <c r="DU190" i="24"/>
  <c r="EM255" i="24"/>
  <c r="EP255" i="24" s="1"/>
  <c r="EN255" i="24"/>
  <c r="EY255" i="24"/>
  <c r="FA255" i="24"/>
  <c r="EL255" i="24"/>
  <c r="EB255" i="24"/>
  <c r="EM297" i="24"/>
  <c r="EP297" i="24" s="1"/>
  <c r="EN297" i="24"/>
  <c r="EY297" i="24"/>
  <c r="EL297" i="24"/>
  <c r="EB297" i="24"/>
  <c r="EM239" i="24"/>
  <c r="EP239" i="24" s="1"/>
  <c r="EN239" i="24"/>
  <c r="EL239" i="24"/>
  <c r="EY239" i="24"/>
  <c r="EB239" i="24"/>
  <c r="FA239" i="24"/>
  <c r="EM281" i="24"/>
  <c r="EP281" i="24" s="1"/>
  <c r="EN281" i="24"/>
  <c r="FA281" i="24"/>
  <c r="EY281" i="24"/>
  <c r="EB281" i="24"/>
  <c r="EM286" i="24"/>
  <c r="EP286" i="24" s="1"/>
  <c r="EN286" i="24"/>
  <c r="EL286" i="24"/>
  <c r="EY286" i="24"/>
  <c r="EB286" i="24"/>
  <c r="EM296" i="24"/>
  <c r="EP296" i="24" s="1"/>
  <c r="EN296" i="24"/>
  <c r="EL296" i="24"/>
  <c r="EY296" i="24"/>
  <c r="FA296" i="24"/>
  <c r="EB296" i="24"/>
  <c r="EM256" i="24"/>
  <c r="EP256" i="24" s="1"/>
  <c r="EN256" i="24"/>
  <c r="FA256" i="24"/>
  <c r="EL256" i="24"/>
  <c r="EB256" i="24"/>
  <c r="EM222" i="24"/>
  <c r="EP222" i="24" s="1"/>
  <c r="EN222" i="24"/>
  <c r="EL222" i="24"/>
  <c r="EY222" i="24"/>
  <c r="FA222" i="24"/>
  <c r="EM276" i="24"/>
  <c r="EP276" i="24" s="1"/>
  <c r="EN276" i="24"/>
  <c r="EL276" i="24"/>
  <c r="EB276" i="24"/>
  <c r="EY276" i="24"/>
  <c r="EB299" i="24"/>
  <c r="FA306" i="24"/>
  <c r="EY304" i="24"/>
  <c r="EB267" i="24"/>
  <c r="EB250" i="24"/>
  <c r="EB316" i="24"/>
  <c r="FA262" i="24"/>
  <c r="EB248" i="24"/>
  <c r="EB315" i="24"/>
  <c r="FA297" i="24"/>
  <c r="EY256" i="24"/>
  <c r="EB222" i="24"/>
  <c r="EM291" i="24"/>
  <c r="EP291" i="24" s="1"/>
  <c r="EN291" i="24"/>
  <c r="EM294" i="24"/>
  <c r="EP294" i="24" s="1"/>
  <c r="EN294" i="24"/>
  <c r="EL294" i="24"/>
  <c r="EM274" i="24"/>
  <c r="EP274" i="24" s="1"/>
  <c r="EN274" i="24"/>
  <c r="EY274" i="24"/>
  <c r="EL274" i="24"/>
  <c r="EB274" i="24"/>
  <c r="EM258" i="24"/>
  <c r="EP258" i="24" s="1"/>
  <c r="EN258" i="24"/>
  <c r="EY258" i="24"/>
  <c r="EL258" i="24"/>
  <c r="EB258" i="24"/>
  <c r="EM218" i="24"/>
  <c r="EP218" i="24" s="1"/>
  <c r="EN218" i="24"/>
  <c r="EY218" i="24"/>
  <c r="EM253" i="24"/>
  <c r="EP253" i="24" s="1"/>
  <c r="EN253" i="24"/>
  <c r="EM273" i="24"/>
  <c r="EP273" i="24" s="1"/>
  <c r="EN273" i="24"/>
  <c r="FA273" i="24"/>
  <c r="EM223" i="24"/>
  <c r="EP223" i="24" s="1"/>
  <c r="EN223" i="24"/>
  <c r="EY223" i="24"/>
  <c r="FA223" i="24"/>
  <c r="EL223" i="24"/>
  <c r="EB223" i="24"/>
  <c r="EM224" i="24"/>
  <c r="EP224" i="24" s="1"/>
  <c r="EN224" i="24"/>
  <c r="EY224" i="24"/>
  <c r="EM309" i="24"/>
  <c r="EP309" i="24" s="1"/>
  <c r="EN309" i="24"/>
  <c r="EY309" i="24"/>
  <c r="EL309" i="24"/>
  <c r="EB309" i="24"/>
  <c r="EM227" i="24"/>
  <c r="EP227" i="24" s="1"/>
  <c r="EN227" i="24"/>
  <c r="EY227" i="24"/>
  <c r="FA227" i="24"/>
  <c r="EL227" i="24"/>
  <c r="EB227" i="24"/>
  <c r="EM220" i="24"/>
  <c r="EP220" i="24" s="1"/>
  <c r="EN220" i="24"/>
  <c r="EY220" i="24"/>
  <c r="EL220" i="24"/>
  <c r="EL299" i="24"/>
  <c r="EB306" i="24"/>
  <c r="FA285" i="24"/>
  <c r="EL267" i="24"/>
  <c r="EY253" i="24"/>
  <c r="EB288" i="24"/>
  <c r="EY250" i="24"/>
  <c r="EB277" i="24"/>
  <c r="EL291" i="24"/>
  <c r="EL316" i="24"/>
  <c r="EB294" i="24"/>
  <c r="EB270" i="24"/>
  <c r="FA218" i="24"/>
  <c r="EB220" i="24"/>
  <c r="EM225" i="24"/>
  <c r="EP225" i="24" s="1"/>
  <c r="EN225" i="24"/>
  <c r="EL225" i="24"/>
  <c r="EY225" i="24"/>
  <c r="EB225" i="24"/>
  <c r="FA225" i="24"/>
  <c r="EM298" i="24"/>
  <c r="EP298" i="24" s="1"/>
  <c r="EN298" i="24"/>
  <c r="EY298" i="24"/>
  <c r="EL298" i="24"/>
  <c r="EB298" i="24"/>
  <c r="EM308" i="24"/>
  <c r="EP308" i="24" s="1"/>
  <c r="EN308" i="24"/>
  <c r="EY308" i="24"/>
  <c r="EL308" i="24"/>
  <c r="EB308" i="24"/>
  <c r="EM226" i="24"/>
  <c r="EP226" i="24" s="1"/>
  <c r="EN226" i="24"/>
  <c r="EY226" i="24"/>
  <c r="EL226" i="24"/>
  <c r="EB226" i="24"/>
  <c r="EM252" i="24"/>
  <c r="EP252" i="24" s="1"/>
  <c r="EN252" i="24"/>
  <c r="EL252" i="24"/>
  <c r="EY252" i="24"/>
  <c r="EB252" i="24"/>
  <c r="EM232" i="24"/>
  <c r="EP232" i="24" s="1"/>
  <c r="EN232" i="24"/>
  <c r="EY232" i="24"/>
  <c r="EL232" i="24"/>
  <c r="EM262" i="24"/>
  <c r="EP262" i="24" s="1"/>
  <c r="EN262" i="24"/>
  <c r="EY262" i="24"/>
  <c r="EM241" i="24"/>
  <c r="EP241" i="24" s="1"/>
  <c r="EN241" i="24"/>
  <c r="EY241" i="24"/>
  <c r="EL241" i="24"/>
  <c r="EB241" i="24"/>
  <c r="EM311" i="24"/>
  <c r="EP311" i="24" s="1"/>
  <c r="EN311" i="24"/>
  <c r="EM229" i="24"/>
  <c r="EP229" i="24" s="1"/>
  <c r="EN229" i="24"/>
  <c r="EY229" i="24"/>
  <c r="EL229" i="24"/>
  <c r="EB229" i="24"/>
  <c r="EM245" i="24"/>
  <c r="EP245" i="24" s="1"/>
  <c r="EN245" i="24"/>
  <c r="EY245" i="24"/>
  <c r="FA245" i="24"/>
  <c r="EM293" i="24"/>
  <c r="EP293" i="24" s="1"/>
  <c r="EN293" i="24"/>
  <c r="EM271" i="24"/>
  <c r="EP271" i="24" s="1"/>
  <c r="EN271" i="24"/>
  <c r="EY271" i="24"/>
  <c r="FA271" i="24"/>
  <c r="EL271" i="24"/>
  <c r="EB271" i="24"/>
  <c r="EM304" i="24"/>
  <c r="EP304" i="24" s="1"/>
  <c r="EN304" i="24"/>
  <c r="EM295" i="24"/>
  <c r="EP295" i="24" s="1"/>
  <c r="EN295" i="24"/>
  <c r="EY295" i="24"/>
  <c r="EL295" i="24"/>
  <c r="EB295" i="24"/>
  <c r="FA299" i="24"/>
  <c r="FA293" i="24"/>
  <c r="EL253" i="24"/>
  <c r="FA316" i="24"/>
  <c r="FA270" i="24"/>
  <c r="EL248" i="24"/>
  <c r="EB217" i="24"/>
  <c r="FA220" i="24"/>
  <c r="FA276" i="24"/>
  <c r="FA226" i="24"/>
  <c r="FA274" i="24"/>
  <c r="EM277" i="24"/>
  <c r="EP277" i="24" s="1"/>
  <c r="EN277" i="24"/>
  <c r="EM289" i="24"/>
  <c r="EP289" i="24" s="1"/>
  <c r="EN289" i="24"/>
  <c r="EL289" i="24"/>
  <c r="FA289" i="24"/>
  <c r="EB289" i="24"/>
  <c r="EM315" i="24"/>
  <c r="EP315" i="24" s="1"/>
  <c r="EN315" i="24"/>
  <c r="EY315" i="24"/>
  <c r="EL315" i="24"/>
  <c r="EM305" i="24"/>
  <c r="EP305" i="24" s="1"/>
  <c r="EN305" i="24"/>
  <c r="EY305" i="24"/>
  <c r="EL305" i="24"/>
  <c r="EB305" i="24"/>
  <c r="EM237" i="24"/>
  <c r="EP237" i="24" s="1"/>
  <c r="EN237" i="24"/>
  <c r="EY237" i="24"/>
  <c r="EL237" i="24"/>
  <c r="EB237" i="24"/>
  <c r="EM221" i="24"/>
  <c r="EP221" i="24" s="1"/>
  <c r="EN221" i="24"/>
  <c r="EM282" i="24"/>
  <c r="EP282" i="24" s="1"/>
  <c r="EN282" i="24"/>
  <c r="EB282" i="24"/>
  <c r="EY282" i="24"/>
  <c r="FA282" i="24"/>
  <c r="EM288" i="24"/>
  <c r="EP288" i="24" s="1"/>
  <c r="EN288" i="24"/>
  <c r="EY285" i="24"/>
  <c r="EY293" i="24"/>
  <c r="EY288" i="24"/>
  <c r="FA291" i="24"/>
  <c r="FA221" i="24"/>
  <c r="EL311" i="24"/>
  <c r="EB224" i="24"/>
  <c r="EB234" i="24"/>
  <c r="EL282" i="24"/>
  <c r="EM278" i="24"/>
  <c r="EP278" i="24" s="1"/>
  <c r="EN278" i="24"/>
  <c r="EY278" i="24"/>
  <c r="FA278" i="24"/>
  <c r="EB278" i="24"/>
  <c r="EM228" i="24"/>
  <c r="EP228" i="24" s="1"/>
  <c r="EN228" i="24"/>
  <c r="EY228" i="24"/>
  <c r="EM265" i="24"/>
  <c r="EP265" i="24" s="1"/>
  <c r="EN265" i="24"/>
  <c r="EY265" i="24"/>
  <c r="FA265" i="24"/>
  <c r="EL265" i="24"/>
  <c r="EB265" i="24"/>
  <c r="EM306" i="24"/>
  <c r="EP306" i="24" s="1"/>
  <c r="EN306" i="24"/>
  <c r="EM250" i="24"/>
  <c r="EP250" i="24" s="1"/>
  <c r="EN250" i="24"/>
  <c r="EM316" i="24"/>
  <c r="EP316" i="24" s="1"/>
  <c r="EN316" i="24"/>
  <c r="EM219" i="24"/>
  <c r="EP219" i="24" s="1"/>
  <c r="EN219" i="24"/>
  <c r="EL219" i="24"/>
  <c r="EY219" i="24"/>
  <c r="EB219" i="24"/>
  <c r="FA219" i="24"/>
  <c r="EM240" i="24"/>
  <c r="EP240" i="24" s="1"/>
  <c r="EN240" i="24"/>
  <c r="EY240" i="24"/>
  <c r="EL240" i="24"/>
  <c r="EB240" i="24"/>
  <c r="EM246" i="24"/>
  <c r="EP246" i="24" s="1"/>
  <c r="EN246" i="24"/>
  <c r="EY246" i="24"/>
  <c r="EL246" i="24"/>
  <c r="EB246" i="24"/>
  <c r="EM254" i="24"/>
  <c r="EP254" i="24" s="1"/>
  <c r="EN254" i="24"/>
  <c r="EY254" i="24"/>
  <c r="EL254" i="24"/>
  <c r="EB254" i="24"/>
  <c r="EM236" i="24"/>
  <c r="EP236" i="24" s="1"/>
  <c r="EN236" i="24"/>
  <c r="EL236" i="24"/>
  <c r="EY236" i="24"/>
  <c r="EB236" i="24"/>
  <c r="FA236" i="24"/>
  <c r="EM280" i="24"/>
  <c r="EP280" i="24" s="1"/>
  <c r="EN280" i="24"/>
  <c r="EY280" i="24"/>
  <c r="EL280" i="24"/>
  <c r="EB280" i="24"/>
  <c r="EM217" i="24"/>
  <c r="EP217" i="24" s="1"/>
  <c r="EN217" i="24"/>
  <c r="EY217" i="24"/>
  <c r="EL217" i="24"/>
  <c r="EM284" i="24"/>
  <c r="EP284" i="24" s="1"/>
  <c r="EN284" i="24"/>
  <c r="EY284" i="24"/>
  <c r="EL284" i="24"/>
  <c r="EB284" i="24"/>
  <c r="EM267" i="24"/>
  <c r="EP267" i="24" s="1"/>
  <c r="EN267" i="24"/>
  <c r="EM244" i="24"/>
  <c r="EP244" i="24" s="1"/>
  <c r="EN244" i="24"/>
  <c r="EY244" i="24"/>
  <c r="EL244" i="24"/>
  <c r="EB244" i="24"/>
  <c r="EM243" i="24"/>
  <c r="EP243" i="24" s="1"/>
  <c r="EN243" i="24"/>
  <c r="EY243" i="24"/>
  <c r="FA243" i="24"/>
  <c r="EL243" i="24"/>
  <c r="EB243" i="24"/>
  <c r="EL304" i="24"/>
  <c r="FA253" i="24"/>
  <c r="FA250" i="24"/>
  <c r="EY277" i="24"/>
  <c r="FA311" i="24"/>
  <c r="FA294" i="24"/>
  <c r="EL224" i="24"/>
  <c r="EL281" i="24"/>
  <c r="FA280" i="24"/>
  <c r="FA254" i="24"/>
  <c r="FA286" i="24"/>
  <c r="FA241" i="24"/>
  <c r="FA237" i="24"/>
  <c r="FA305" i="24"/>
  <c r="FA258" i="24"/>
  <c r="EM251" i="24"/>
  <c r="EP251" i="24" s="1"/>
  <c r="EN251" i="24"/>
  <c r="EY251" i="24"/>
  <c r="EL251" i="24"/>
  <c r="EB251" i="24"/>
  <c r="EM300" i="24"/>
  <c r="EP300" i="24" s="1"/>
  <c r="EN300" i="24"/>
  <c r="EY300" i="24"/>
  <c r="EL300" i="24"/>
  <c r="EB300" i="24"/>
  <c r="EM247" i="24"/>
  <c r="EP247" i="24" s="1"/>
  <c r="EN247" i="24"/>
  <c r="EY247" i="24"/>
  <c r="EL247" i="24"/>
  <c r="EB247" i="24"/>
  <c r="EM272" i="24"/>
  <c r="EP272" i="24" s="1"/>
  <c r="EN272" i="24"/>
  <c r="EY272" i="24"/>
  <c r="EL272" i="24"/>
  <c r="EB272" i="24"/>
  <c r="EM292" i="24"/>
  <c r="EP292" i="24" s="1"/>
  <c r="EN292" i="24"/>
  <c r="FA292" i="24"/>
  <c r="EL292" i="24"/>
  <c r="EY292" i="24"/>
  <c r="EM303" i="24"/>
  <c r="EP303" i="24" s="1"/>
  <c r="EN303" i="24"/>
  <c r="EY303" i="24"/>
  <c r="EL303" i="24"/>
  <c r="EB303" i="24"/>
  <c r="EM261" i="24"/>
  <c r="EP261" i="24" s="1"/>
  <c r="EN261" i="24"/>
  <c r="EL261" i="24"/>
  <c r="EY261" i="24"/>
  <c r="EB261" i="24"/>
  <c r="EM314" i="24"/>
  <c r="EP314" i="24" s="1"/>
  <c r="EN314" i="24"/>
  <c r="EY314" i="24"/>
  <c r="EL314" i="24"/>
  <c r="EB314" i="24"/>
  <c r="EM260" i="24"/>
  <c r="EP260" i="24" s="1"/>
  <c r="EN260" i="24"/>
  <c r="EY260" i="24"/>
  <c r="FA260" i="24"/>
  <c r="EB260" i="24"/>
  <c r="EM268" i="24"/>
  <c r="EP268" i="24" s="1"/>
  <c r="EN268" i="24"/>
  <c r="EL268" i="24"/>
  <c r="FA268" i="24"/>
  <c r="EY268" i="24"/>
  <c r="EB268" i="24"/>
  <c r="EM234" i="24"/>
  <c r="EP234" i="24" s="1"/>
  <c r="EN234" i="24"/>
  <c r="EY234" i="24"/>
  <c r="EM301" i="24"/>
  <c r="EP301" i="24" s="1"/>
  <c r="EN301" i="24"/>
  <c r="EY301" i="24"/>
  <c r="EL301" i="24"/>
  <c r="EB301" i="24"/>
  <c r="EM307" i="24"/>
  <c r="EP307" i="24" s="1"/>
  <c r="EN307" i="24"/>
  <c r="EY307" i="24"/>
  <c r="EM290" i="24"/>
  <c r="EP290" i="24" s="1"/>
  <c r="EN290" i="24"/>
  <c r="EY290" i="24"/>
  <c r="EL290" i="24"/>
  <c r="EB290" i="24"/>
  <c r="EM238" i="24"/>
  <c r="EP238" i="24" s="1"/>
  <c r="EN238" i="24"/>
  <c r="EY238" i="24"/>
  <c r="EL238" i="24"/>
  <c r="EB238" i="24"/>
  <c r="EM257" i="24"/>
  <c r="EP257" i="24" s="1"/>
  <c r="EN257" i="24"/>
  <c r="EY257" i="24"/>
  <c r="FA257" i="24"/>
  <c r="EL257" i="24"/>
  <c r="EB257" i="24"/>
  <c r="EM242" i="24"/>
  <c r="EP242" i="24" s="1"/>
  <c r="EN242" i="24"/>
  <c r="FA242" i="24"/>
  <c r="EL242" i="24"/>
  <c r="EB242" i="24"/>
  <c r="EY242" i="24"/>
  <c r="EL306" i="24"/>
  <c r="FA304" i="24"/>
  <c r="EY267" i="24"/>
  <c r="EL277" i="24"/>
  <c r="EY291" i="24"/>
  <c r="EY221" i="24"/>
  <c r="FA224" i="24"/>
  <c r="EB307" i="24"/>
  <c r="FA234" i="24"/>
  <c r="EB245" i="24"/>
  <c r="EM264" i="24"/>
  <c r="EP264" i="24" s="1"/>
  <c r="EN264" i="24"/>
  <c r="EY264" i="24"/>
  <c r="EL264" i="24"/>
  <c r="EB264" i="24"/>
  <c r="EM233" i="24"/>
  <c r="EP233" i="24" s="1"/>
  <c r="EN233" i="24"/>
  <c r="EY233" i="24"/>
  <c r="EL233" i="24"/>
  <c r="EB233" i="24"/>
  <c r="EM269" i="24"/>
  <c r="EP269" i="24" s="1"/>
  <c r="EN269" i="24"/>
  <c r="EY269" i="24"/>
  <c r="FA269" i="24"/>
  <c r="EL269" i="24"/>
  <c r="EB269" i="24"/>
  <c r="EM249" i="24"/>
  <c r="EP249" i="24" s="1"/>
  <c r="EN249" i="24"/>
  <c r="EL249" i="24"/>
  <c r="EY249" i="24"/>
  <c r="EB249" i="24"/>
  <c r="EM312" i="24"/>
  <c r="EP312" i="24" s="1"/>
  <c r="EN312" i="24"/>
  <c r="EY312" i="24"/>
  <c r="EL312" i="24"/>
  <c r="EB312" i="24"/>
  <c r="EM270" i="24"/>
  <c r="EP270" i="24" s="1"/>
  <c r="EN270" i="24"/>
  <c r="EY270" i="24"/>
  <c r="EM266" i="24"/>
  <c r="EP266" i="24" s="1"/>
  <c r="EN266" i="24"/>
  <c r="EY266" i="24"/>
  <c r="EL266" i="24"/>
  <c r="FA266" i="24"/>
  <c r="EB266" i="24"/>
  <c r="EM310" i="24"/>
  <c r="EP310" i="24" s="1"/>
  <c r="EN310" i="24"/>
  <c r="EY310" i="24"/>
  <c r="EL310" i="24"/>
  <c r="EB310" i="24"/>
  <c r="EM287" i="24"/>
  <c r="EP287" i="24" s="1"/>
  <c r="EN287" i="24"/>
  <c r="EY287" i="24"/>
  <c r="EL287" i="24"/>
  <c r="EB287" i="24"/>
  <c r="EM263" i="24"/>
  <c r="EP263" i="24" s="1"/>
  <c r="EN263" i="24"/>
  <c r="EY263" i="24"/>
  <c r="FA263" i="24"/>
  <c r="EL263" i="24"/>
  <c r="EB263" i="24"/>
  <c r="EM235" i="24"/>
  <c r="EP235" i="24" s="1"/>
  <c r="EN235" i="24"/>
  <c r="EY235" i="24"/>
  <c r="EL235" i="24"/>
  <c r="EB235" i="24"/>
  <c r="EM302" i="24"/>
  <c r="EP302" i="24" s="1"/>
  <c r="EN302" i="24"/>
  <c r="EY302" i="24"/>
  <c r="FA302" i="24"/>
  <c r="EB302" i="24"/>
  <c r="EM299" i="24"/>
  <c r="EP299" i="24" s="1"/>
  <c r="EN299" i="24"/>
  <c r="EM259" i="24"/>
  <c r="EP259" i="24" s="1"/>
  <c r="EN259" i="24"/>
  <c r="EL259" i="24"/>
  <c r="EY259" i="24"/>
  <c r="EB259" i="24"/>
  <c r="EM231" i="24"/>
  <c r="EP231" i="24" s="1"/>
  <c r="EN231" i="24"/>
  <c r="FA231" i="24"/>
  <c r="EL231" i="24"/>
  <c r="EB231" i="24"/>
  <c r="EM313" i="24"/>
  <c r="EP313" i="24" s="1"/>
  <c r="EN313" i="24"/>
  <c r="EL313" i="24"/>
  <c r="EY313" i="24"/>
  <c r="FA313" i="24"/>
  <c r="EB313" i="24"/>
  <c r="EM275" i="24"/>
  <c r="EP275" i="24" s="1"/>
  <c r="EN275" i="24"/>
  <c r="EL275" i="24"/>
  <c r="EY275" i="24"/>
  <c r="EB275" i="24"/>
  <c r="FA275" i="24"/>
  <c r="EM285" i="24"/>
  <c r="EP285" i="24" s="1"/>
  <c r="EN285" i="24"/>
  <c r="EB262" i="24"/>
  <c r="FA228" i="24"/>
  <c r="EL307" i="24"/>
  <c r="EY273" i="24"/>
  <c r="EL245" i="24"/>
  <c r="EB232" i="24"/>
  <c r="EB292" i="24"/>
  <c r="FA249" i="24"/>
  <c r="FA272" i="24"/>
  <c r="FA264" i="24"/>
  <c r="FA247" i="24"/>
  <c r="FA235" i="24"/>
  <c r="FA244" i="24"/>
  <c r="FA295" i="24"/>
  <c r="FA252" i="24"/>
  <c r="EY231" i="24"/>
  <c r="FA251" i="24"/>
  <c r="FA284" i="24"/>
  <c r="FA298" i="24"/>
  <c r="FA290" i="24"/>
  <c r="EM230" i="24"/>
  <c r="EP230" i="24" s="1"/>
  <c r="EN230" i="24"/>
  <c r="EY230" i="24"/>
  <c r="EL230" i="24"/>
  <c r="EB230" i="24"/>
  <c r="EM248" i="24"/>
  <c r="EP248" i="24" s="1"/>
  <c r="EN248" i="24"/>
  <c r="EY248" i="24"/>
  <c r="EM279" i="24"/>
  <c r="EP279" i="24" s="1"/>
  <c r="EN279" i="24"/>
  <c r="EY279" i="24"/>
  <c r="FA279" i="24"/>
  <c r="EB279" i="24"/>
  <c r="EL279" i="24"/>
  <c r="EM283" i="24"/>
  <c r="EP283" i="24" s="1"/>
  <c r="EN283" i="24"/>
  <c r="EL283" i="24"/>
  <c r="EB283" i="24"/>
  <c r="FA283" i="24"/>
  <c r="EL285" i="24"/>
  <c r="EB293" i="24"/>
  <c r="EL288" i="24"/>
  <c r="EB221" i="24"/>
  <c r="EY311" i="24"/>
  <c r="EY294" i="24"/>
  <c r="EB228" i="24"/>
  <c r="EB218" i="24"/>
  <c r="FA307" i="24"/>
  <c r="EB273" i="24"/>
  <c r="FA232" i="24"/>
  <c r="EY216" i="25"/>
  <c r="DX112" i="25"/>
  <c r="EC112" i="25" s="1"/>
  <c r="DY112" i="25"/>
  <c r="CG182" i="25"/>
  <c r="CH182" i="25"/>
  <c r="CG138" i="25"/>
  <c r="CH138" i="25"/>
  <c r="CG143" i="25"/>
  <c r="CH181" i="25"/>
  <c r="CG181" i="25"/>
  <c r="EY89" i="24"/>
  <c r="FA67" i="24"/>
  <c r="EB52" i="24"/>
  <c r="FA47" i="24"/>
  <c r="EL161" i="24"/>
  <c r="EL42" i="24"/>
  <c r="EB65" i="24"/>
  <c r="FA43" i="24"/>
  <c r="EL122" i="24"/>
  <c r="EB100" i="24"/>
  <c r="DW243" i="24"/>
  <c r="DY243" i="24" s="1"/>
  <c r="EF243" i="24" s="1"/>
  <c r="EB152" i="24"/>
  <c r="EB33" i="24"/>
  <c r="FA71" i="24"/>
  <c r="FA14" i="24"/>
  <c r="EY164" i="24"/>
  <c r="EB103" i="24"/>
  <c r="EL90" i="24"/>
  <c r="DW242" i="24"/>
  <c r="DY242" i="24" s="1"/>
  <c r="EF242" i="24" s="1"/>
  <c r="FA160" i="24"/>
  <c r="EB127" i="24"/>
  <c r="FA201" i="24"/>
  <c r="EB186" i="24"/>
  <c r="EB53" i="24"/>
  <c r="EY193" i="24"/>
  <c r="EY157" i="24"/>
  <c r="EB77" i="24"/>
  <c r="EL63" i="24"/>
  <c r="EB78" i="24"/>
  <c r="FA39" i="24"/>
  <c r="EL37" i="24"/>
  <c r="FA199" i="24"/>
  <c r="EB23" i="24"/>
  <c r="EB142" i="24"/>
  <c r="EY24" i="24"/>
  <c r="DW285" i="24"/>
  <c r="DY285" i="24" s="1"/>
  <c r="EF285" i="24" s="1"/>
  <c r="EL190" i="24"/>
  <c r="EY30" i="24"/>
  <c r="FA155" i="24"/>
  <c r="EL83" i="24"/>
  <c r="FA185" i="24"/>
  <c r="EY60" i="24"/>
  <c r="EL25" i="24"/>
  <c r="EL128" i="24"/>
  <c r="FA136" i="24"/>
  <c r="FA167" i="24"/>
  <c r="EB174" i="24"/>
  <c r="EY26" i="24"/>
  <c r="EB68" i="24"/>
  <c r="EY197" i="24"/>
  <c r="CG110" i="24"/>
  <c r="FL110" i="24"/>
  <c r="EM169" i="24"/>
  <c r="EP169" i="24" s="1"/>
  <c r="FA171" i="24"/>
  <c r="EL50" i="24"/>
  <c r="FA124" i="24"/>
  <c r="EY175" i="24"/>
  <c r="FA138" i="24"/>
  <c r="EY183" i="24"/>
  <c r="EL133" i="24"/>
  <c r="EY158" i="24"/>
  <c r="EL145" i="24"/>
  <c r="DU92" i="24"/>
  <c r="FA74" i="24"/>
  <c r="FA202" i="24"/>
  <c r="EY29" i="24"/>
  <c r="EB54" i="24"/>
  <c r="EL154" i="24"/>
  <c r="FA62" i="24"/>
  <c r="EL170" i="24"/>
  <c r="EY41" i="24"/>
  <c r="EB8" i="24"/>
  <c r="EL55" i="24"/>
  <c r="EB104" i="24"/>
  <c r="EY40" i="24"/>
  <c r="FA61" i="24"/>
  <c r="EL150" i="24"/>
  <c r="FA159" i="24"/>
  <c r="EL129" i="24"/>
  <c r="EY48" i="24"/>
  <c r="EY111" i="24"/>
  <c r="EL173" i="24"/>
  <c r="EL112" i="24"/>
  <c r="FA70" i="24"/>
  <c r="EY126" i="24"/>
  <c r="FA44" i="24"/>
  <c r="DU96" i="24"/>
  <c r="EY177" i="24"/>
  <c r="FA10" i="24"/>
  <c r="EL172" i="24"/>
  <c r="EL98" i="24"/>
  <c r="FA132" i="24"/>
  <c r="EB13" i="24"/>
  <c r="EY147" i="24"/>
  <c r="EL123" i="24"/>
  <c r="EL134" i="24"/>
  <c r="EL35" i="24"/>
  <c r="CG5" i="24"/>
  <c r="K5" i="24" s="1"/>
  <c r="FL5" i="24"/>
  <c r="EL209" i="24"/>
  <c r="EM92" i="24"/>
  <c r="EP92" i="24" s="1"/>
  <c r="EB74" i="24"/>
  <c r="EN92" i="24"/>
  <c r="DW92" i="24"/>
  <c r="DY92" i="24" s="1"/>
  <c r="EF92" i="24" s="1"/>
  <c r="EL92" i="24"/>
  <c r="DU74" i="24"/>
  <c r="EB92" i="24"/>
  <c r="EM74" i="24"/>
  <c r="EP74" i="24" s="1"/>
  <c r="FA92" i="24"/>
  <c r="EL74" i="24"/>
  <c r="DW74" i="24"/>
  <c r="DY74" i="24" s="1"/>
  <c r="EF74" i="24" s="1"/>
  <c r="EY92" i="24"/>
  <c r="EY74" i="24"/>
  <c r="EN74" i="24"/>
  <c r="FA169" i="24"/>
  <c r="DW169" i="24"/>
  <c r="DY169" i="24" s="1"/>
  <c r="EF169" i="24" s="1"/>
  <c r="EN169" i="24"/>
  <c r="EB169" i="24"/>
  <c r="EL169" i="24"/>
  <c r="EY169" i="24"/>
  <c r="EB190" i="24"/>
  <c r="EN190" i="24"/>
  <c r="FA190" i="24"/>
  <c r="DW190" i="24"/>
  <c r="EA190" i="24" s="1"/>
  <c r="FL190" i="24" s="1"/>
  <c r="DX181" i="25"/>
  <c r="EC181" i="25" s="1"/>
  <c r="DU243" i="24"/>
  <c r="EL24" i="24"/>
  <c r="FA150" i="24"/>
  <c r="DY64" i="25"/>
  <c r="FL64" i="25" s="1"/>
  <c r="DY96" i="25"/>
  <c r="FL96" i="25" s="1"/>
  <c r="FA100" i="24"/>
  <c r="FA90" i="24"/>
  <c r="EL39" i="24"/>
  <c r="EL78" i="24"/>
  <c r="DY183" i="25"/>
  <c r="DY97" i="25"/>
  <c r="FL97" i="25" s="1"/>
  <c r="EM96" i="24"/>
  <c r="EP96" i="24" s="1"/>
  <c r="EB193" i="24"/>
  <c r="DW96" i="24"/>
  <c r="DY96" i="24" s="1"/>
  <c r="EF96" i="24" s="1"/>
  <c r="EB96" i="24"/>
  <c r="FA68" i="24"/>
  <c r="DU90" i="24"/>
  <c r="EL40" i="24"/>
  <c r="EM90" i="24"/>
  <c r="EP90" i="24" s="1"/>
  <c r="DU242" i="24"/>
  <c r="EN90" i="24"/>
  <c r="FA104" i="24"/>
  <c r="DW90" i="24"/>
  <c r="DY90" i="24" s="1"/>
  <c r="EF90" i="24" s="1"/>
  <c r="EB90" i="24"/>
  <c r="DY185" i="25"/>
  <c r="CG185" i="25" s="1"/>
  <c r="DY131" i="25"/>
  <c r="CG131" i="25" s="1"/>
  <c r="EY90" i="24"/>
  <c r="EB123" i="24"/>
  <c r="EY123" i="24"/>
  <c r="FA78" i="24"/>
  <c r="DU39" i="24"/>
  <c r="EY39" i="24"/>
  <c r="DU78" i="24"/>
  <c r="EB70" i="24"/>
  <c r="EY145" i="24"/>
  <c r="EM39" i="24"/>
  <c r="EP39" i="24" s="1"/>
  <c r="EB39" i="24"/>
  <c r="EN39" i="24"/>
  <c r="EN78" i="24"/>
  <c r="EL70" i="24"/>
  <c r="EB145" i="24"/>
  <c r="EY112" i="24"/>
  <c r="DW39" i="24"/>
  <c r="DY39" i="24" s="1"/>
  <c r="EF39" i="24" s="1"/>
  <c r="EM78" i="24"/>
  <c r="EP78" i="24" s="1"/>
  <c r="FA145" i="24"/>
  <c r="DW78" i="24"/>
  <c r="DY78" i="24" s="1"/>
  <c r="EF78" i="24" s="1"/>
  <c r="EY78" i="24"/>
  <c r="EY70" i="24"/>
  <c r="FA112" i="24"/>
  <c r="EL142" i="24"/>
  <c r="EL43" i="24"/>
  <c r="FA134" i="24"/>
  <c r="FA122" i="24"/>
  <c r="EB134" i="24"/>
  <c r="EB122" i="24"/>
  <c r="DY103" i="25"/>
  <c r="CH103" i="25" s="1"/>
  <c r="EY122" i="24"/>
  <c r="EY142" i="24"/>
  <c r="DY74" i="25"/>
  <c r="FL74" i="25" s="1"/>
  <c r="EL13" i="24"/>
  <c r="EB24" i="24"/>
  <c r="EB128" i="24"/>
  <c r="EL48" i="24"/>
  <c r="EB147" i="24"/>
  <c r="FA111" i="24"/>
  <c r="EN96" i="24"/>
  <c r="EL147" i="24"/>
  <c r="FA128" i="24"/>
  <c r="EY68" i="24"/>
  <c r="EB48" i="24"/>
  <c r="EL111" i="24"/>
  <c r="EY161" i="24"/>
  <c r="DY58" i="25"/>
  <c r="CH58" i="25" s="1"/>
  <c r="EL68" i="24"/>
  <c r="EB111" i="24"/>
  <c r="EY96" i="24"/>
  <c r="DY37" i="25"/>
  <c r="CH37" i="25" s="1"/>
  <c r="EY128" i="24"/>
  <c r="FA147" i="24"/>
  <c r="EY167" i="24"/>
  <c r="FA96" i="24"/>
  <c r="EL96" i="24"/>
  <c r="DY95" i="25"/>
  <c r="FL95" i="25" s="1"/>
  <c r="EL100" i="24"/>
  <c r="EY100" i="24"/>
  <c r="FA40" i="24"/>
  <c r="FA123" i="24"/>
  <c r="EC110" i="24"/>
  <c r="ED110" i="24" s="1"/>
  <c r="EH110" i="24"/>
  <c r="EI110" i="24"/>
  <c r="EX110" i="24" s="1"/>
  <c r="EL104" i="24"/>
  <c r="FA158" i="24"/>
  <c r="EH5" i="24"/>
  <c r="EC5" i="24"/>
  <c r="ED5" i="24" s="1"/>
  <c r="EI5" i="24"/>
  <c r="EX5" i="24" s="1"/>
  <c r="EB158" i="24"/>
  <c r="EG182" i="25"/>
  <c r="EX182" i="25" s="1"/>
  <c r="DY216" i="24"/>
  <c r="EF216" i="24" s="1"/>
  <c r="EA216" i="24"/>
  <c r="DY145" i="25"/>
  <c r="CH145" i="25" s="1"/>
  <c r="FA193" i="24"/>
  <c r="EY159" i="24"/>
  <c r="FA173" i="24"/>
  <c r="DY89" i="25"/>
  <c r="CH89" i="25" s="1"/>
  <c r="DY199" i="25"/>
  <c r="EF199" i="25" s="1"/>
  <c r="EW199" i="25" s="1"/>
  <c r="DY56" i="25"/>
  <c r="CH56" i="25" s="1"/>
  <c r="DY90" i="25"/>
  <c r="FL90" i="25" s="1"/>
  <c r="DY136" i="25"/>
  <c r="CH136" i="25" s="1"/>
  <c r="EL103" i="24"/>
  <c r="EB164" i="24"/>
  <c r="EL26" i="24"/>
  <c r="DY77" i="25"/>
  <c r="CH77" i="25" s="1"/>
  <c r="EY103" i="24"/>
  <c r="FA164" i="24"/>
  <c r="FA77" i="24"/>
  <c r="DY158" i="25"/>
  <c r="CG158" i="25" s="1"/>
  <c r="EY77" i="24"/>
  <c r="FA26" i="24"/>
  <c r="EL77" i="24"/>
  <c r="FA103" i="24"/>
  <c r="EY98" i="24"/>
  <c r="EB26" i="24"/>
  <c r="EY150" i="24"/>
  <c r="EY104" i="24"/>
  <c r="EB40" i="24"/>
  <c r="EB61" i="24"/>
  <c r="EL159" i="24"/>
  <c r="EB150" i="24"/>
  <c r="EY61" i="24"/>
  <c r="FA152" i="24"/>
  <c r="EY152" i="24"/>
  <c r="DU285" i="24"/>
  <c r="EL41" i="24"/>
  <c r="EY8" i="24"/>
  <c r="FA41" i="24"/>
  <c r="EB197" i="24"/>
  <c r="DY156" i="25"/>
  <c r="CG156" i="25" s="1"/>
  <c r="DY194" i="25"/>
  <c r="CG194" i="25" s="1"/>
  <c r="DY73" i="25"/>
  <c r="CH73" i="25" s="1"/>
  <c r="DY99" i="25"/>
  <c r="FL99" i="25" s="1"/>
  <c r="EY25" i="24"/>
  <c r="FA170" i="24"/>
  <c r="DY137" i="25"/>
  <c r="EF137" i="25" s="1"/>
  <c r="EW137" i="25" s="1"/>
  <c r="EB161" i="24"/>
  <c r="FA161" i="24"/>
  <c r="EY170" i="24"/>
  <c r="FA154" i="24"/>
  <c r="EL136" i="24"/>
  <c r="EL152" i="24"/>
  <c r="EB170" i="24"/>
  <c r="EY136" i="24"/>
  <c r="EB136" i="24"/>
  <c r="EY132" i="24"/>
  <c r="EB132" i="24"/>
  <c r="EL167" i="24"/>
  <c r="EB25" i="24"/>
  <c r="DY164" i="25"/>
  <c r="EG164" i="25" s="1"/>
  <c r="EX164" i="25" s="1"/>
  <c r="DY173" i="25"/>
  <c r="EG173" i="25" s="1"/>
  <c r="EX173" i="25" s="1"/>
  <c r="EE182" i="25"/>
  <c r="EI182" i="25" s="1"/>
  <c r="DY128" i="25"/>
  <c r="EG128" i="25" s="1"/>
  <c r="EX128" i="25" s="1"/>
  <c r="EF182" i="25"/>
  <c r="EW182" i="25" s="1"/>
  <c r="DY81" i="25"/>
  <c r="CH81" i="25" s="1"/>
  <c r="DY93" i="25"/>
  <c r="FL93" i="25" s="1"/>
  <c r="DY83" i="25"/>
  <c r="FL83" i="25" s="1"/>
  <c r="DY47" i="25"/>
  <c r="CH47" i="25" s="1"/>
  <c r="DY141" i="25"/>
  <c r="CH141" i="25" s="1"/>
  <c r="DY169" i="25"/>
  <c r="CH169" i="25" s="1"/>
  <c r="DY180" i="25"/>
  <c r="CH180" i="25" s="1"/>
  <c r="DY9" i="25"/>
  <c r="FL9" i="25" s="1"/>
  <c r="DY178" i="25"/>
  <c r="CH178" i="25" s="1"/>
  <c r="DY42" i="25"/>
  <c r="FL42" i="25" s="1"/>
  <c r="DY129" i="25"/>
  <c r="CH129" i="25" s="1"/>
  <c r="DY34" i="25"/>
  <c r="FL34" i="25" s="1"/>
  <c r="DY23" i="25"/>
  <c r="FL23" i="25" s="1"/>
  <c r="DY171" i="25"/>
  <c r="EG171" i="25" s="1"/>
  <c r="EX171" i="25" s="1"/>
  <c r="DY111" i="25"/>
  <c r="CH111" i="25" s="1"/>
  <c r="DY49" i="25"/>
  <c r="FL49" i="25" s="1"/>
  <c r="DY17" i="25"/>
  <c r="FL17" i="25" s="1"/>
  <c r="DY33" i="25"/>
  <c r="CG33" i="25" s="1"/>
  <c r="DY25" i="25"/>
  <c r="CH25" i="25" s="1"/>
  <c r="DY87" i="25"/>
  <c r="FL87" i="25" s="1"/>
  <c r="EY134" i="24"/>
  <c r="EL132" i="24"/>
  <c r="EB167" i="24"/>
  <c r="EY43" i="24"/>
  <c r="EB159" i="24"/>
  <c r="EB126" i="24"/>
  <c r="DX300" i="25"/>
  <c r="EC300" i="25" s="1"/>
  <c r="DY300" i="25"/>
  <c r="DX50" i="25"/>
  <c r="EC50" i="25" s="1"/>
  <c r="DY50" i="25"/>
  <c r="FL50" i="25" s="1"/>
  <c r="DX271" i="25"/>
  <c r="EC271" i="25" s="1"/>
  <c r="DY271" i="25"/>
  <c r="DX19" i="25"/>
  <c r="EC19" i="25" s="1"/>
  <c r="DY19" i="25"/>
  <c r="FL19" i="25" s="1"/>
  <c r="DX6" i="25"/>
  <c r="EC6" i="25" s="1"/>
  <c r="DY6" i="25"/>
  <c r="FL6" i="25" s="1"/>
  <c r="DX20" i="25"/>
  <c r="EC20" i="25" s="1"/>
  <c r="DY20" i="25"/>
  <c r="FL20" i="25" s="1"/>
  <c r="DY65" i="25"/>
  <c r="FL65" i="25" s="1"/>
  <c r="DX125" i="25"/>
  <c r="EC125" i="25" s="1"/>
  <c r="DY125" i="25"/>
  <c r="CH125" i="25" s="1"/>
  <c r="DX132" i="25"/>
  <c r="EC132" i="25" s="1"/>
  <c r="DY132" i="25"/>
  <c r="CH132" i="25" s="1"/>
  <c r="DX114" i="25"/>
  <c r="EC114" i="25" s="1"/>
  <c r="DY114" i="25"/>
  <c r="CG114" i="25" s="1"/>
  <c r="DY13" i="25"/>
  <c r="FL13" i="25" s="1"/>
  <c r="DX209" i="25"/>
  <c r="EC209" i="25" s="1"/>
  <c r="DY209" i="25"/>
  <c r="CH209" i="25" s="1"/>
  <c r="DX68" i="25"/>
  <c r="EC68" i="25" s="1"/>
  <c r="DY68" i="25"/>
  <c r="FL68" i="25" s="1"/>
  <c r="DY98" i="25"/>
  <c r="FL98" i="25" s="1"/>
  <c r="DX133" i="25"/>
  <c r="EC133" i="25" s="1"/>
  <c r="DY133" i="25"/>
  <c r="CH133" i="25" s="1"/>
  <c r="DX267" i="25"/>
  <c r="EC267" i="25" s="1"/>
  <c r="DY267" i="25"/>
  <c r="DX257" i="25"/>
  <c r="EC257" i="25" s="1"/>
  <c r="DY257" i="25"/>
  <c r="DY91" i="25"/>
  <c r="FL91" i="25" s="1"/>
  <c r="DX230" i="25"/>
  <c r="EC230" i="25" s="1"/>
  <c r="DY230" i="25"/>
  <c r="DX278" i="25"/>
  <c r="EC278" i="25" s="1"/>
  <c r="DY278" i="25"/>
  <c r="DY78" i="25"/>
  <c r="FL78" i="25" s="1"/>
  <c r="DX313" i="25"/>
  <c r="EC313" i="25" s="1"/>
  <c r="DY313" i="25"/>
  <c r="DX204" i="25"/>
  <c r="EC204" i="25" s="1"/>
  <c r="DY204" i="25"/>
  <c r="CH204" i="25" s="1"/>
  <c r="DY92" i="25"/>
  <c r="FL92" i="25" s="1"/>
  <c r="DX220" i="25"/>
  <c r="EC220" i="25" s="1"/>
  <c r="DY220" i="25"/>
  <c r="DY35" i="25"/>
  <c r="FL35" i="25" s="1"/>
  <c r="DX287" i="25"/>
  <c r="EC287" i="25" s="1"/>
  <c r="DY287" i="25"/>
  <c r="DX18" i="25"/>
  <c r="EC18" i="25" s="1"/>
  <c r="DY18" i="25"/>
  <c r="FL18" i="25" s="1"/>
  <c r="DY127" i="25"/>
  <c r="CG127" i="25" s="1"/>
  <c r="DX22" i="25"/>
  <c r="EC22" i="25" s="1"/>
  <c r="DY22" i="25"/>
  <c r="FL22" i="25" s="1"/>
  <c r="DX291" i="25"/>
  <c r="EC291" i="25" s="1"/>
  <c r="DY291" i="25"/>
  <c r="DX162" i="25"/>
  <c r="EC162" i="25" s="1"/>
  <c r="DY162" i="25"/>
  <c r="CH162" i="25" s="1"/>
  <c r="DX44" i="25"/>
  <c r="EC44" i="25" s="1"/>
  <c r="DY44" i="25"/>
  <c r="FL44" i="25" s="1"/>
  <c r="DX223" i="25"/>
  <c r="EC223" i="25" s="1"/>
  <c r="DY223" i="25"/>
  <c r="FA142" i="24"/>
  <c r="FA8" i="24"/>
  <c r="EB112" i="24"/>
  <c r="EB43" i="24"/>
  <c r="EY174" i="24"/>
  <c r="FA126" i="24"/>
  <c r="DX224" i="25"/>
  <c r="EC224" i="25" s="1"/>
  <c r="DY224" i="25"/>
  <c r="DX243" i="25"/>
  <c r="EC243" i="25" s="1"/>
  <c r="DY243" i="25"/>
  <c r="DX84" i="25"/>
  <c r="EC84" i="25" s="1"/>
  <c r="DY84" i="25"/>
  <c r="FL84" i="25" s="1"/>
  <c r="DY43" i="25"/>
  <c r="FL43" i="25" s="1"/>
  <c r="DX244" i="25"/>
  <c r="EC244" i="25" s="1"/>
  <c r="DY244" i="25"/>
  <c r="DX252" i="25"/>
  <c r="EC252" i="25" s="1"/>
  <c r="DY252" i="25"/>
  <c r="DX172" i="25"/>
  <c r="EC172" i="25" s="1"/>
  <c r="DY172" i="25"/>
  <c r="CH172" i="25" s="1"/>
  <c r="DY122" i="25"/>
  <c r="CG122" i="25" s="1"/>
  <c r="DX11" i="25"/>
  <c r="EC11" i="25" s="1"/>
  <c r="DY11" i="25"/>
  <c r="FL11" i="25" s="1"/>
  <c r="DX149" i="25"/>
  <c r="EC149" i="25" s="1"/>
  <c r="DY149" i="25"/>
  <c r="CH149" i="25" s="1"/>
  <c r="DX54" i="25"/>
  <c r="EC54" i="25" s="1"/>
  <c r="DY54" i="25"/>
  <c r="FL54" i="25" s="1"/>
  <c r="DX263" i="25"/>
  <c r="EC263" i="25" s="1"/>
  <c r="DY263" i="25"/>
  <c r="DY29" i="25"/>
  <c r="FL29" i="25" s="1"/>
  <c r="DY105" i="25"/>
  <c r="FL105" i="25" s="1"/>
  <c r="DX239" i="25"/>
  <c r="EC239" i="25" s="1"/>
  <c r="DY239" i="25"/>
  <c r="DX292" i="25"/>
  <c r="EC292" i="25" s="1"/>
  <c r="DY292" i="25"/>
  <c r="DX69" i="25"/>
  <c r="EC69" i="25" s="1"/>
  <c r="DY69" i="25"/>
  <c r="FL69" i="25" s="1"/>
  <c r="DY59" i="25"/>
  <c r="FL59" i="25" s="1"/>
  <c r="DY80" i="25"/>
  <c r="FL80" i="25" s="1"/>
  <c r="DX234" i="25"/>
  <c r="EC234" i="25" s="1"/>
  <c r="DY234" i="25"/>
  <c r="DX31" i="25"/>
  <c r="EC31" i="25" s="1"/>
  <c r="DY31" i="25"/>
  <c r="FL31" i="25" s="1"/>
  <c r="DX254" i="25"/>
  <c r="EC254" i="25" s="1"/>
  <c r="DY254" i="25"/>
  <c r="DX235" i="25"/>
  <c r="EC235" i="25" s="1"/>
  <c r="DY235" i="25"/>
  <c r="DX290" i="25"/>
  <c r="EC290" i="25" s="1"/>
  <c r="DY290" i="25"/>
  <c r="DX159" i="25"/>
  <c r="EC159" i="25" s="1"/>
  <c r="DY159" i="25"/>
  <c r="CH159" i="25" s="1"/>
  <c r="DY12" i="25"/>
  <c r="FL12" i="25" s="1"/>
  <c r="DX61" i="25"/>
  <c r="EC61" i="25" s="1"/>
  <c r="DY61" i="25"/>
  <c r="FL61" i="25" s="1"/>
  <c r="DX117" i="25"/>
  <c r="EC117" i="25" s="1"/>
  <c r="DY117" i="25"/>
  <c r="CH117" i="25" s="1"/>
  <c r="DY190" i="25"/>
  <c r="CH190" i="25" s="1"/>
  <c r="DY79" i="25"/>
  <c r="FL79" i="25" s="1"/>
  <c r="DY208" i="25"/>
  <c r="CH208" i="25" s="1"/>
  <c r="DX146" i="25"/>
  <c r="EC146" i="25" s="1"/>
  <c r="DY146" i="25"/>
  <c r="CH146" i="25" s="1"/>
  <c r="EL174" i="24"/>
  <c r="EL126" i="24"/>
  <c r="DX75" i="25"/>
  <c r="EC75" i="25" s="1"/>
  <c r="DY75" i="25"/>
  <c r="FL75" i="25" s="1"/>
  <c r="DX151" i="25"/>
  <c r="EC151" i="25" s="1"/>
  <c r="DY151" i="25"/>
  <c r="CH151" i="25" s="1"/>
  <c r="DX268" i="25"/>
  <c r="EC268" i="25" s="1"/>
  <c r="DY268" i="25"/>
  <c r="DX113" i="25"/>
  <c r="EC113" i="25" s="1"/>
  <c r="DY113" i="25"/>
  <c r="CH113" i="25" s="1"/>
  <c r="DX256" i="25"/>
  <c r="EC256" i="25" s="1"/>
  <c r="DY256" i="25"/>
  <c r="DX222" i="25"/>
  <c r="EC222" i="25" s="1"/>
  <c r="DY222" i="25"/>
  <c r="DX260" i="25"/>
  <c r="EC260" i="25" s="1"/>
  <c r="DY260" i="25"/>
  <c r="DX264" i="25"/>
  <c r="EC264" i="25" s="1"/>
  <c r="DY264" i="25"/>
  <c r="DX296" i="25"/>
  <c r="EC296" i="25" s="1"/>
  <c r="DY296" i="25"/>
  <c r="DX265" i="25"/>
  <c r="EC265" i="25" s="1"/>
  <c r="DY265" i="25"/>
  <c r="DY157" i="25"/>
  <c r="CH157" i="25" s="1"/>
  <c r="DX41" i="25"/>
  <c r="EC41" i="25" s="1"/>
  <c r="DY41" i="25"/>
  <c r="FL41" i="25" s="1"/>
  <c r="DX32" i="25"/>
  <c r="EC32" i="25" s="1"/>
  <c r="DY32" i="25"/>
  <c r="FL32" i="25" s="1"/>
  <c r="DX261" i="25"/>
  <c r="EC261" i="25" s="1"/>
  <c r="DY261" i="25"/>
  <c r="DX55" i="25"/>
  <c r="EC55" i="25" s="1"/>
  <c r="DY55" i="25"/>
  <c r="FL55" i="25" s="1"/>
  <c r="DX249" i="25"/>
  <c r="EC249" i="25" s="1"/>
  <c r="DY249" i="25"/>
  <c r="DX30" i="25"/>
  <c r="EC30" i="25" s="1"/>
  <c r="DY30" i="25"/>
  <c r="FL30" i="25" s="1"/>
  <c r="DX192" i="25"/>
  <c r="EC192" i="25" s="1"/>
  <c r="DY192" i="25"/>
  <c r="CG192" i="25" s="1"/>
  <c r="DX165" i="25"/>
  <c r="EC165" i="25" s="1"/>
  <c r="DY165" i="25"/>
  <c r="CH165" i="25" s="1"/>
  <c r="DX135" i="25"/>
  <c r="EC135" i="25" s="1"/>
  <c r="DY135" i="25"/>
  <c r="CH135" i="25" s="1"/>
  <c r="DX245" i="25"/>
  <c r="EC245" i="25" s="1"/>
  <c r="DY245" i="25"/>
  <c r="DY187" i="25"/>
  <c r="CG187" i="25" s="1"/>
  <c r="DX8" i="25"/>
  <c r="EC8" i="25" s="1"/>
  <c r="DY8" i="25"/>
  <c r="FL8" i="25" s="1"/>
  <c r="DX144" i="25"/>
  <c r="EC144" i="25" s="1"/>
  <c r="DY144" i="25"/>
  <c r="CH144" i="25" s="1"/>
  <c r="DY38" i="25"/>
  <c r="FL38" i="25" s="1"/>
  <c r="DY139" i="25"/>
  <c r="CH139" i="25" s="1"/>
  <c r="DY210" i="25"/>
  <c r="CH210" i="25" s="1"/>
  <c r="DY193" i="25"/>
  <c r="CH193" i="25" s="1"/>
  <c r="DX104" i="25"/>
  <c r="EC104" i="25" s="1"/>
  <c r="DY104" i="25"/>
  <c r="FL104" i="25" s="1"/>
  <c r="FA174" i="24"/>
  <c r="DX272" i="25"/>
  <c r="EC272" i="25" s="1"/>
  <c r="DY272" i="25"/>
  <c r="DX250" i="25"/>
  <c r="EC250" i="25" s="1"/>
  <c r="DY250" i="25"/>
  <c r="EE138" i="25"/>
  <c r="EG138" i="25"/>
  <c r="EX138" i="25" s="1"/>
  <c r="EF138" i="25"/>
  <c r="EW138" i="25" s="1"/>
  <c r="DX167" i="25"/>
  <c r="EC167" i="25" s="1"/>
  <c r="DY167" i="25"/>
  <c r="CH167" i="25" s="1"/>
  <c r="DX266" i="25"/>
  <c r="EC266" i="25" s="1"/>
  <c r="DY266" i="25"/>
  <c r="DX299" i="25"/>
  <c r="EC299" i="25" s="1"/>
  <c r="DY299" i="25"/>
  <c r="DX120" i="25"/>
  <c r="EC120" i="25" s="1"/>
  <c r="DY120" i="25"/>
  <c r="CH120" i="25" s="1"/>
  <c r="DX305" i="25"/>
  <c r="EC305" i="25" s="1"/>
  <c r="DY305" i="25"/>
  <c r="DX142" i="25"/>
  <c r="EC142" i="25" s="1"/>
  <c r="DY142" i="25"/>
  <c r="CH142" i="25" s="1"/>
  <c r="DY126" i="25"/>
  <c r="CH126" i="25" s="1"/>
  <c r="DX277" i="25"/>
  <c r="EC277" i="25" s="1"/>
  <c r="DY277" i="25"/>
  <c r="DX148" i="25"/>
  <c r="EC148" i="25" s="1"/>
  <c r="DY148" i="25"/>
  <c r="CG148" i="25" s="1"/>
  <c r="DX270" i="25"/>
  <c r="EC270" i="25" s="1"/>
  <c r="DY270" i="25"/>
  <c r="DX306" i="25"/>
  <c r="EC306" i="25" s="1"/>
  <c r="DY306" i="25"/>
  <c r="DX289" i="25"/>
  <c r="EC289" i="25" s="1"/>
  <c r="DY289" i="25"/>
  <c r="DX241" i="25"/>
  <c r="EC241" i="25" s="1"/>
  <c r="DY241" i="25"/>
  <c r="DX16" i="25"/>
  <c r="EC16" i="25" s="1"/>
  <c r="DY16" i="25"/>
  <c r="FL16" i="25" s="1"/>
  <c r="DY88" i="25"/>
  <c r="FL88" i="25" s="1"/>
  <c r="DX275" i="25"/>
  <c r="EC275" i="25" s="1"/>
  <c r="DY275" i="25"/>
  <c r="DX240" i="25"/>
  <c r="EC240" i="25" s="1"/>
  <c r="DY240" i="25"/>
  <c r="DX308" i="25"/>
  <c r="EC308" i="25" s="1"/>
  <c r="DY308" i="25"/>
  <c r="DX237" i="25"/>
  <c r="EC237" i="25" s="1"/>
  <c r="DY237" i="25"/>
  <c r="DX186" i="25"/>
  <c r="EC186" i="25" s="1"/>
  <c r="DY186" i="25"/>
  <c r="CH186" i="25" s="1"/>
  <c r="DX283" i="25"/>
  <c r="EC283" i="25" s="1"/>
  <c r="DY283" i="25"/>
  <c r="DX184" i="25"/>
  <c r="EC184" i="25" s="1"/>
  <c r="DY184" i="25"/>
  <c r="CG184" i="25" s="1"/>
  <c r="DX124" i="25"/>
  <c r="EC124" i="25" s="1"/>
  <c r="DY124" i="25"/>
  <c r="CH124" i="25" s="1"/>
  <c r="DX188" i="25"/>
  <c r="EC188" i="25" s="1"/>
  <c r="DY188" i="25"/>
  <c r="CH188" i="25" s="1"/>
  <c r="DX229" i="25"/>
  <c r="EC229" i="25" s="1"/>
  <c r="DY229" i="25"/>
  <c r="DY200" i="25"/>
  <c r="CG200" i="25" s="1"/>
  <c r="DY168" i="25"/>
  <c r="CH168" i="25" s="1"/>
  <c r="DX57" i="25"/>
  <c r="EC57" i="25" s="1"/>
  <c r="DY57" i="25"/>
  <c r="FL57" i="25" s="1"/>
  <c r="DX115" i="25"/>
  <c r="EC115" i="25" s="1"/>
  <c r="DY115" i="25"/>
  <c r="CG115" i="25" s="1"/>
  <c r="DX279" i="25"/>
  <c r="EC279" i="25" s="1"/>
  <c r="DY279" i="25"/>
  <c r="DX226" i="25"/>
  <c r="EC226" i="25" s="1"/>
  <c r="DY226" i="25"/>
  <c r="DX242" i="25"/>
  <c r="EC242" i="25" s="1"/>
  <c r="DY242" i="25"/>
  <c r="EG143" i="25"/>
  <c r="EX143" i="25" s="1"/>
  <c r="EE143" i="25"/>
  <c r="EF143" i="25"/>
  <c r="EW143" i="25" s="1"/>
  <c r="DX295" i="25"/>
  <c r="EC295" i="25" s="1"/>
  <c r="DY295" i="25"/>
  <c r="DX53" i="25"/>
  <c r="EC53" i="25" s="1"/>
  <c r="DY53" i="25"/>
  <c r="FL53" i="25" s="1"/>
  <c r="DX160" i="25"/>
  <c r="EC160" i="25" s="1"/>
  <c r="DY160" i="25"/>
  <c r="CH160" i="25" s="1"/>
  <c r="DY70" i="25"/>
  <c r="FL70" i="25" s="1"/>
  <c r="EB41" i="24"/>
  <c r="EL193" i="24"/>
  <c r="EL183" i="24"/>
  <c r="EY173" i="24"/>
  <c r="DX116" i="25"/>
  <c r="EC116" i="25" s="1"/>
  <c r="DY116" i="25"/>
  <c r="CH116" i="25" s="1"/>
  <c r="DY189" i="25"/>
  <c r="CH189" i="25" s="1"/>
  <c r="DX140" i="25"/>
  <c r="EC140" i="25" s="1"/>
  <c r="DY140" i="25"/>
  <c r="CH140" i="25" s="1"/>
  <c r="DX67" i="25"/>
  <c r="EC67" i="25" s="1"/>
  <c r="DY67" i="25"/>
  <c r="FL67" i="25" s="1"/>
  <c r="DY179" i="25"/>
  <c r="CH179" i="25" s="1"/>
  <c r="DX205" i="25"/>
  <c r="EC205" i="25" s="1"/>
  <c r="DY205" i="25"/>
  <c r="CG205" i="25" s="1"/>
  <c r="DX150" i="25"/>
  <c r="EC150" i="25" s="1"/>
  <c r="DY150" i="25"/>
  <c r="CH150" i="25" s="1"/>
  <c r="DX201" i="25"/>
  <c r="EC201" i="25" s="1"/>
  <c r="DY201" i="25"/>
  <c r="CH201" i="25" s="1"/>
  <c r="DY14" i="25"/>
  <c r="FL14" i="25" s="1"/>
  <c r="DY24" i="25"/>
  <c r="FL24" i="25" s="1"/>
  <c r="DX85" i="25"/>
  <c r="EC85" i="25" s="1"/>
  <c r="DY85" i="25"/>
  <c r="FL85" i="25" s="1"/>
  <c r="DY174" i="25"/>
  <c r="CG174" i="25" s="1"/>
  <c r="DX315" i="25"/>
  <c r="EC315" i="25" s="1"/>
  <c r="DY315" i="25"/>
  <c r="DY177" i="25"/>
  <c r="CH177" i="25" s="1"/>
  <c r="DY86" i="25"/>
  <c r="FL86" i="25" s="1"/>
  <c r="DX110" i="25"/>
  <c r="EC110" i="25" s="1"/>
  <c r="DY110" i="25"/>
  <c r="CH110" i="25" s="1"/>
  <c r="DX62" i="25"/>
  <c r="EC62" i="25" s="1"/>
  <c r="DY62" i="25"/>
  <c r="FL62" i="25" s="1"/>
  <c r="DY48" i="25"/>
  <c r="FL48" i="25" s="1"/>
  <c r="DY60" i="25"/>
  <c r="FL60" i="25" s="1"/>
  <c r="DX7" i="25"/>
  <c r="EC7" i="25" s="1"/>
  <c r="DY7" i="25"/>
  <c r="FL7" i="25" s="1"/>
  <c r="DX288" i="25"/>
  <c r="EC288" i="25" s="1"/>
  <c r="DY288" i="25"/>
  <c r="DX154" i="25"/>
  <c r="EC154" i="25" s="1"/>
  <c r="DY154" i="25"/>
  <c r="CH154" i="25" s="1"/>
  <c r="DX198" i="25"/>
  <c r="EC198" i="25" s="1"/>
  <c r="DY198" i="25"/>
  <c r="CG198" i="25" s="1"/>
  <c r="DY170" i="25"/>
  <c r="CG170" i="25" s="1"/>
  <c r="DX251" i="25"/>
  <c r="EC251" i="25" s="1"/>
  <c r="DY251" i="25"/>
  <c r="DX248" i="25"/>
  <c r="EC248" i="25" s="1"/>
  <c r="DY248" i="25"/>
  <c r="DX228" i="25"/>
  <c r="EC228" i="25" s="1"/>
  <c r="DY228" i="25"/>
  <c r="DY147" i="25"/>
  <c r="CG147" i="25" s="1"/>
  <c r="DY45" i="25"/>
  <c r="FL45" i="25" s="1"/>
  <c r="DX202" i="25"/>
  <c r="EC202" i="25" s="1"/>
  <c r="DY202" i="25"/>
  <c r="CH202" i="25" s="1"/>
  <c r="DX303" i="25"/>
  <c r="EC303" i="25" s="1"/>
  <c r="DY303" i="25"/>
  <c r="DY66" i="25"/>
  <c r="FL66" i="25" s="1"/>
  <c r="DX102" i="25"/>
  <c r="EC102" i="25" s="1"/>
  <c r="DY102" i="25"/>
  <c r="FL102" i="25" s="1"/>
  <c r="DY72" i="25"/>
  <c r="FL72" i="25" s="1"/>
  <c r="DX231" i="25"/>
  <c r="EC231" i="25" s="1"/>
  <c r="DY231" i="25"/>
  <c r="DX63" i="25"/>
  <c r="EC63" i="25" s="1"/>
  <c r="DY63" i="25"/>
  <c r="FL63" i="25" s="1"/>
  <c r="FA98" i="24"/>
  <c r="DX247" i="25"/>
  <c r="EC247" i="25" s="1"/>
  <c r="DY247" i="25"/>
  <c r="DX152" i="25"/>
  <c r="EC152" i="25" s="1"/>
  <c r="DY152" i="25"/>
  <c r="CH152" i="25" s="1"/>
  <c r="DX195" i="25"/>
  <c r="EC195" i="25" s="1"/>
  <c r="DY195" i="25"/>
  <c r="CH195" i="25" s="1"/>
  <c r="DX134" i="25"/>
  <c r="EC134" i="25" s="1"/>
  <c r="DY134" i="25"/>
  <c r="CH134" i="25" s="1"/>
  <c r="DX294" i="25"/>
  <c r="EC294" i="25" s="1"/>
  <c r="DY294" i="25"/>
  <c r="DY51" i="25"/>
  <c r="FL51" i="25" s="1"/>
  <c r="DX259" i="25"/>
  <c r="EC259" i="25" s="1"/>
  <c r="DY259" i="25"/>
  <c r="DY121" i="25"/>
  <c r="CH121" i="25" s="1"/>
  <c r="DX310" i="25"/>
  <c r="EC310" i="25" s="1"/>
  <c r="DY310" i="25"/>
  <c r="DX221" i="25"/>
  <c r="EC221" i="25" s="1"/>
  <c r="DY221" i="25"/>
  <c r="DX36" i="25"/>
  <c r="EC36" i="25" s="1"/>
  <c r="DY36" i="25"/>
  <c r="FL36" i="25" s="1"/>
  <c r="DX176" i="25"/>
  <c r="EC176" i="25" s="1"/>
  <c r="DY176" i="25"/>
  <c r="CH176" i="25" s="1"/>
  <c r="DX161" i="25"/>
  <c r="EC161" i="25" s="1"/>
  <c r="DY161" i="25"/>
  <c r="CH161" i="25" s="1"/>
  <c r="DX225" i="25"/>
  <c r="EC225" i="25" s="1"/>
  <c r="DY225" i="25"/>
  <c r="DX232" i="25"/>
  <c r="EC232" i="25" s="1"/>
  <c r="DY232" i="25"/>
  <c r="DX302" i="25"/>
  <c r="EC302" i="25" s="1"/>
  <c r="DY302" i="25"/>
  <c r="DX309" i="25"/>
  <c r="EC309" i="25" s="1"/>
  <c r="DY309" i="25"/>
  <c r="DX197" i="25"/>
  <c r="EC197" i="25" s="1"/>
  <c r="DY197" i="25"/>
  <c r="CH197" i="25" s="1"/>
  <c r="DX76" i="25"/>
  <c r="EC76" i="25" s="1"/>
  <c r="DY76" i="25"/>
  <c r="FL76" i="25" s="1"/>
  <c r="DX82" i="25"/>
  <c r="EC82" i="25" s="1"/>
  <c r="DY82" i="25"/>
  <c r="FL82" i="25" s="1"/>
  <c r="DY191" i="25"/>
  <c r="CH191" i="25" s="1"/>
  <c r="DX280" i="25"/>
  <c r="EC280" i="25" s="1"/>
  <c r="DY280" i="25"/>
  <c r="DX311" i="25"/>
  <c r="EC311" i="25" s="1"/>
  <c r="DY311" i="25"/>
  <c r="DY203" i="25"/>
  <c r="CH203" i="25" s="1"/>
  <c r="DY15" i="25"/>
  <c r="FL15" i="25" s="1"/>
  <c r="DY40" i="25"/>
  <c r="FL40" i="25" s="1"/>
  <c r="DX118" i="25"/>
  <c r="EC118" i="25" s="1"/>
  <c r="DY118" i="25"/>
  <c r="CG118" i="25" s="1"/>
  <c r="DX233" i="25"/>
  <c r="EC233" i="25" s="1"/>
  <c r="DY233" i="25"/>
  <c r="DX218" i="25"/>
  <c r="EC218" i="25" s="1"/>
  <c r="DY218" i="25"/>
  <c r="DX217" i="25"/>
  <c r="EC217" i="25" s="1"/>
  <c r="DY217" i="25"/>
  <c r="DX255" i="25"/>
  <c r="EC255" i="25" s="1"/>
  <c r="DY255" i="25"/>
  <c r="DX52" i="25"/>
  <c r="EC52" i="25" s="1"/>
  <c r="DY52" i="25"/>
  <c r="FL52" i="25" s="1"/>
  <c r="DX297" i="25"/>
  <c r="EC297" i="25" s="1"/>
  <c r="DY297" i="25"/>
  <c r="DX307" i="25"/>
  <c r="EC307" i="25" s="1"/>
  <c r="DY307" i="25"/>
  <c r="DX28" i="25"/>
  <c r="EC28" i="25" s="1"/>
  <c r="DY28" i="25"/>
  <c r="FL28" i="25" s="1"/>
  <c r="DX286" i="25"/>
  <c r="EC286" i="25" s="1"/>
  <c r="DY286" i="25"/>
  <c r="DX155" i="25"/>
  <c r="EC155" i="25" s="1"/>
  <c r="DY155" i="25"/>
  <c r="CG155" i="25" s="1"/>
  <c r="DX314" i="25"/>
  <c r="EC314" i="25" s="1"/>
  <c r="DY314" i="25"/>
  <c r="DX196" i="25"/>
  <c r="EC196" i="25" s="1"/>
  <c r="DY196" i="25"/>
  <c r="CH196" i="25" s="1"/>
  <c r="DX284" i="25"/>
  <c r="EC284" i="25" s="1"/>
  <c r="DY284" i="25"/>
  <c r="DX281" i="25"/>
  <c r="EC281" i="25" s="1"/>
  <c r="DY281" i="25"/>
  <c r="DX130" i="25"/>
  <c r="EC130" i="25" s="1"/>
  <c r="DY130" i="25"/>
  <c r="CG130" i="25" s="1"/>
  <c r="DX46" i="25"/>
  <c r="EC46" i="25" s="1"/>
  <c r="DY46" i="25"/>
  <c r="FL46" i="25" s="1"/>
  <c r="DY175" i="25"/>
  <c r="CH175" i="25" s="1"/>
  <c r="DX304" i="25"/>
  <c r="EC304" i="25" s="1"/>
  <c r="DY304" i="25"/>
  <c r="DX262" i="25"/>
  <c r="EC262" i="25" s="1"/>
  <c r="DY262" i="25"/>
  <c r="DX206" i="25"/>
  <c r="EC206" i="25" s="1"/>
  <c r="DY206" i="25"/>
  <c r="CH206" i="25" s="1"/>
  <c r="DX21" i="25"/>
  <c r="EC21" i="25" s="1"/>
  <c r="DY21" i="25"/>
  <c r="FL21" i="25" s="1"/>
  <c r="DY27" i="25"/>
  <c r="FL27" i="25" s="1"/>
  <c r="DX94" i="25"/>
  <c r="EC94" i="25" s="1"/>
  <c r="DY94" i="25"/>
  <c r="FL94" i="25" s="1"/>
  <c r="DX153" i="25"/>
  <c r="EC153" i="25" s="1"/>
  <c r="DY153" i="25"/>
  <c r="CH153" i="25" s="1"/>
  <c r="DX316" i="25"/>
  <c r="EC316" i="25" s="1"/>
  <c r="DY316" i="25"/>
  <c r="DX298" i="25"/>
  <c r="EC298" i="25" s="1"/>
  <c r="DY298" i="25"/>
  <c r="DY119" i="25"/>
  <c r="CG119" i="25" s="1"/>
  <c r="DX253" i="25"/>
  <c r="EC253" i="25" s="1"/>
  <c r="DY253" i="25"/>
  <c r="DX219" i="25"/>
  <c r="EC219" i="25" s="1"/>
  <c r="DY219" i="25"/>
  <c r="DX101" i="25"/>
  <c r="EC101" i="25" s="1"/>
  <c r="DY101" i="25"/>
  <c r="FL101" i="25" s="1"/>
  <c r="DX258" i="25"/>
  <c r="EC258" i="25" s="1"/>
  <c r="DY258" i="25"/>
  <c r="DX285" i="25"/>
  <c r="EC285" i="25" s="1"/>
  <c r="DY285" i="25"/>
  <c r="DX293" i="25"/>
  <c r="EC293" i="25" s="1"/>
  <c r="DY293" i="25"/>
  <c r="DX163" i="25"/>
  <c r="EC163" i="25" s="1"/>
  <c r="DY163" i="25"/>
  <c r="CH163" i="25" s="1"/>
  <c r="DX273" i="25"/>
  <c r="EC273" i="25" s="1"/>
  <c r="DY273" i="25"/>
  <c r="DX39" i="25"/>
  <c r="EC39" i="25" s="1"/>
  <c r="DY39" i="25"/>
  <c r="FL39" i="25" s="1"/>
  <c r="EF181" i="25"/>
  <c r="EW181" i="25" s="1"/>
  <c r="EG181" i="25"/>
  <c r="EX181" i="25" s="1"/>
  <c r="EE181" i="25"/>
  <c r="DX238" i="25"/>
  <c r="EC238" i="25" s="1"/>
  <c r="DY238" i="25"/>
  <c r="DX246" i="25"/>
  <c r="EC246" i="25" s="1"/>
  <c r="DY246" i="25"/>
  <c r="DX10" i="25"/>
  <c r="EC10" i="25" s="1"/>
  <c r="DY10" i="25"/>
  <c r="FL10" i="25" s="1"/>
  <c r="DX276" i="25"/>
  <c r="EC276" i="25" s="1"/>
  <c r="DY276" i="25"/>
  <c r="DX227" i="25"/>
  <c r="EC227" i="25" s="1"/>
  <c r="DY227" i="25"/>
  <c r="DX274" i="25"/>
  <c r="EC274" i="25" s="1"/>
  <c r="DY274" i="25"/>
  <c r="DX282" i="25"/>
  <c r="EC282" i="25" s="1"/>
  <c r="DY282" i="25"/>
  <c r="DX123" i="25"/>
  <c r="EC123" i="25" s="1"/>
  <c r="DY123" i="25"/>
  <c r="CH123" i="25" s="1"/>
  <c r="DX71" i="25"/>
  <c r="EC71" i="25" s="1"/>
  <c r="DY71" i="25"/>
  <c r="FL71" i="25" s="1"/>
  <c r="DX312" i="25"/>
  <c r="EC312" i="25" s="1"/>
  <c r="DY312" i="25"/>
  <c r="DX26" i="25"/>
  <c r="EC26" i="25" s="1"/>
  <c r="DY26" i="25"/>
  <c r="FL26" i="25" s="1"/>
  <c r="DX166" i="25"/>
  <c r="EC166" i="25" s="1"/>
  <c r="DY166" i="25"/>
  <c r="CH166" i="25" s="1"/>
  <c r="DX236" i="25"/>
  <c r="EC236" i="25" s="1"/>
  <c r="DY236" i="25"/>
  <c r="DX207" i="25"/>
  <c r="EC207" i="25" s="1"/>
  <c r="DY207" i="25"/>
  <c r="CH207" i="25" s="1"/>
  <c r="DX269" i="25"/>
  <c r="EC269" i="25" s="1"/>
  <c r="DY269" i="25"/>
  <c r="DY100" i="25"/>
  <c r="FL100" i="25" s="1"/>
  <c r="DX301" i="25"/>
  <c r="EC301" i="25" s="1"/>
  <c r="DY301" i="25"/>
  <c r="EY33" i="24"/>
  <c r="EB71" i="24"/>
  <c r="FA33" i="24"/>
  <c r="EY71" i="24"/>
  <c r="EL71" i="24"/>
  <c r="FA13" i="24"/>
  <c r="EL33" i="24"/>
  <c r="EB35" i="24"/>
  <c r="FA35" i="24"/>
  <c r="EL44" i="24"/>
  <c r="EY35" i="24"/>
  <c r="EY44" i="24"/>
  <c r="EB44" i="24"/>
  <c r="EL62" i="24"/>
  <c r="EL171" i="24"/>
  <c r="EB55" i="24"/>
  <c r="EB62" i="24"/>
  <c r="EY55" i="24"/>
  <c r="EY14" i="24"/>
  <c r="EB133" i="24"/>
  <c r="EY124" i="24"/>
  <c r="FA133" i="24"/>
  <c r="EB60" i="24"/>
  <c r="EB172" i="24"/>
  <c r="EY65" i="24"/>
  <c r="EL60" i="24"/>
  <c r="FA54" i="24"/>
  <c r="EB42" i="24"/>
  <c r="EL65" i="24"/>
  <c r="FA129" i="24"/>
  <c r="EY127" i="24"/>
  <c r="FA60" i="24"/>
  <c r="EY67" i="24"/>
  <c r="EL54" i="24"/>
  <c r="FA65" i="24"/>
  <c r="EB129" i="24"/>
  <c r="EL67" i="24"/>
  <c r="EB88" i="24"/>
  <c r="EN88" i="24"/>
  <c r="DW88" i="24"/>
  <c r="EM88" i="24"/>
  <c r="EP88" i="24" s="1"/>
  <c r="DU88" i="24"/>
  <c r="EL88" i="24"/>
  <c r="FA88" i="24"/>
  <c r="EY88" i="24"/>
  <c r="EL89" i="24"/>
  <c r="DW38" i="24"/>
  <c r="EN38" i="24"/>
  <c r="EM38" i="24"/>
  <c r="EP38" i="24" s="1"/>
  <c r="DU38" i="24"/>
  <c r="EY38" i="24"/>
  <c r="EL38" i="24"/>
  <c r="EB38" i="24"/>
  <c r="FA38" i="24"/>
  <c r="DW308" i="24"/>
  <c r="DU308" i="24"/>
  <c r="DW278" i="24"/>
  <c r="DU278" i="24"/>
  <c r="EN81" i="24"/>
  <c r="DW81" i="24"/>
  <c r="DY81" i="24" s="1"/>
  <c r="EF81" i="24" s="1"/>
  <c r="EM81" i="24"/>
  <c r="EP81" i="24" s="1"/>
  <c r="DU81" i="24"/>
  <c r="DW233" i="24"/>
  <c r="DU233" i="24"/>
  <c r="DW192" i="24"/>
  <c r="DY192" i="24" s="1"/>
  <c r="EF192" i="24" s="1"/>
  <c r="EN192" i="24"/>
  <c r="EM192" i="24"/>
  <c r="EP192" i="24" s="1"/>
  <c r="FA29" i="24"/>
  <c r="FA52" i="24"/>
  <c r="EN52" i="24"/>
  <c r="DW52" i="24"/>
  <c r="DY52" i="24" s="1"/>
  <c r="EF52" i="24" s="1"/>
  <c r="EM52" i="24"/>
  <c r="EP52" i="24" s="1"/>
  <c r="DU52" i="24"/>
  <c r="EE161" i="24"/>
  <c r="EE70" i="24"/>
  <c r="EE33" i="24"/>
  <c r="DW255" i="24"/>
  <c r="DU255" i="24"/>
  <c r="EL121" i="24"/>
  <c r="DW121" i="24"/>
  <c r="EN121" i="24"/>
  <c r="EM121" i="24"/>
  <c r="EP121" i="24" s="1"/>
  <c r="EY121" i="24"/>
  <c r="EB121" i="24"/>
  <c r="FA121" i="24"/>
  <c r="EL185" i="24"/>
  <c r="DW277" i="24"/>
  <c r="DU277" i="24"/>
  <c r="DW194" i="24"/>
  <c r="EN194" i="24"/>
  <c r="EM194" i="24"/>
  <c r="EP194" i="24" s="1"/>
  <c r="EB194" i="24"/>
  <c r="FA194" i="24"/>
  <c r="EL194" i="24"/>
  <c r="EY194" i="24"/>
  <c r="DW82" i="24"/>
  <c r="EN82" i="24"/>
  <c r="EM82" i="24"/>
  <c r="EP82" i="24" s="1"/>
  <c r="DU82" i="24"/>
  <c r="EB82" i="24"/>
  <c r="FA82" i="24"/>
  <c r="EL82" i="24"/>
  <c r="EY82" i="24"/>
  <c r="DW241" i="24"/>
  <c r="DU241" i="24"/>
  <c r="EE202" i="24"/>
  <c r="EL162" i="24"/>
  <c r="DW162" i="24"/>
  <c r="EN162" i="24"/>
  <c r="EM162" i="24"/>
  <c r="EP162" i="24" s="1"/>
  <c r="EY162" i="24"/>
  <c r="FA162" i="24"/>
  <c r="EB162" i="24"/>
  <c r="EE112" i="24"/>
  <c r="EL192" i="24"/>
  <c r="DW76" i="24"/>
  <c r="EN76" i="24"/>
  <c r="EM76" i="24"/>
  <c r="EP76" i="24" s="1"/>
  <c r="DU76" i="24"/>
  <c r="FA76" i="24"/>
  <c r="EY76" i="24"/>
  <c r="EL76" i="24"/>
  <c r="EB76" i="24"/>
  <c r="EE54" i="24"/>
  <c r="EB183" i="24"/>
  <c r="EL175" i="24"/>
  <c r="DW286" i="24"/>
  <c r="DU286" i="24"/>
  <c r="DW18" i="24"/>
  <c r="EN18" i="24"/>
  <c r="EM18" i="24"/>
  <c r="EP18" i="24" s="1"/>
  <c r="DU18" i="24"/>
  <c r="EL18" i="24"/>
  <c r="EB18" i="24"/>
  <c r="EY18" i="24"/>
  <c r="FA18" i="24"/>
  <c r="EL197" i="24"/>
  <c r="EY42" i="24"/>
  <c r="DW132" i="24"/>
  <c r="DY132" i="24" s="1"/>
  <c r="EF132" i="24" s="1"/>
  <c r="EN132" i="24"/>
  <c r="EM132" i="24"/>
  <c r="EP132" i="24" s="1"/>
  <c r="EB47" i="24"/>
  <c r="EE159" i="24"/>
  <c r="FA83" i="24"/>
  <c r="EN104" i="24"/>
  <c r="DW104" i="24"/>
  <c r="DY104" i="24" s="1"/>
  <c r="EF104" i="24" s="1"/>
  <c r="EM104" i="24"/>
  <c r="EP104" i="24" s="1"/>
  <c r="DU104" i="24"/>
  <c r="EB138" i="24"/>
  <c r="EN40" i="24"/>
  <c r="DW40" i="24"/>
  <c r="DY40" i="24" s="1"/>
  <c r="EF40" i="24" s="1"/>
  <c r="EM40" i="24"/>
  <c r="EP40" i="24" s="1"/>
  <c r="DU40" i="24"/>
  <c r="DW9" i="24"/>
  <c r="EN9" i="24"/>
  <c r="EM9" i="24"/>
  <c r="EP9" i="24" s="1"/>
  <c r="DU9" i="24"/>
  <c r="FA9" i="24"/>
  <c r="EB9" i="24"/>
  <c r="EY9" i="24"/>
  <c r="EL9" i="24"/>
  <c r="EE50" i="24"/>
  <c r="EE65" i="24"/>
  <c r="EL10" i="24"/>
  <c r="EL124" i="24"/>
  <c r="EY81" i="24"/>
  <c r="DW217" i="24"/>
  <c r="DU217" i="24"/>
  <c r="DW71" i="24"/>
  <c r="DY71" i="24" s="1"/>
  <c r="EF71" i="24" s="1"/>
  <c r="EN71" i="24"/>
  <c r="EM71" i="24"/>
  <c r="EP71" i="24" s="1"/>
  <c r="DU71" i="24"/>
  <c r="DW159" i="24"/>
  <c r="DY159" i="24" s="1"/>
  <c r="EF159" i="24" s="1"/>
  <c r="EN159" i="24"/>
  <c r="EM159" i="24"/>
  <c r="EP159" i="24" s="1"/>
  <c r="EE114" i="24"/>
  <c r="DW302" i="24"/>
  <c r="DU302" i="24"/>
  <c r="EL23" i="24"/>
  <c r="DW296" i="24"/>
  <c r="DU296" i="24"/>
  <c r="EN133" i="24"/>
  <c r="DW133" i="24"/>
  <c r="DY133" i="24" s="1"/>
  <c r="EF133" i="24" s="1"/>
  <c r="EM133" i="24"/>
  <c r="EP133" i="24" s="1"/>
  <c r="EL14" i="24"/>
  <c r="EB155" i="24"/>
  <c r="EE80" i="24"/>
  <c r="EB199" i="24"/>
  <c r="EE53" i="24"/>
  <c r="EE129" i="24"/>
  <c r="DW313" i="24"/>
  <c r="DU313" i="24"/>
  <c r="DW126" i="24"/>
  <c r="DY126" i="24" s="1"/>
  <c r="EF126" i="24" s="1"/>
  <c r="EN126" i="24"/>
  <c r="EM126" i="24"/>
  <c r="EP126" i="24" s="1"/>
  <c r="DW115" i="24"/>
  <c r="EN115" i="24"/>
  <c r="EM115" i="24"/>
  <c r="EP115" i="24" s="1"/>
  <c r="EY115" i="24"/>
  <c r="EL115" i="24"/>
  <c r="FA115" i="24"/>
  <c r="EB115" i="24"/>
  <c r="EE150" i="24"/>
  <c r="DW160" i="24"/>
  <c r="DY160" i="24" s="1"/>
  <c r="EF160" i="24" s="1"/>
  <c r="EN160" i="24"/>
  <c r="EM160" i="24"/>
  <c r="EP160" i="24" s="1"/>
  <c r="EE41" i="24"/>
  <c r="EN30" i="24"/>
  <c r="DW30" i="24"/>
  <c r="DY30" i="24" s="1"/>
  <c r="EF30" i="24" s="1"/>
  <c r="EM30" i="24"/>
  <c r="EP30" i="24" s="1"/>
  <c r="DU30" i="24"/>
  <c r="EB89" i="24"/>
  <c r="DW300" i="24"/>
  <c r="DU300" i="24"/>
  <c r="DW64" i="24"/>
  <c r="EN64" i="24"/>
  <c r="EM64" i="24"/>
  <c r="EP64" i="24" s="1"/>
  <c r="DU64" i="24"/>
  <c r="EB64" i="24"/>
  <c r="EL64" i="24"/>
  <c r="FA64" i="24"/>
  <c r="EY64" i="24"/>
  <c r="EE154" i="24"/>
  <c r="EE68" i="24"/>
  <c r="EE158" i="24"/>
  <c r="EN191" i="24"/>
  <c r="DW191" i="24"/>
  <c r="EM191" i="24"/>
  <c r="EP191" i="24" s="1"/>
  <c r="FA191" i="24"/>
  <c r="EL191" i="24"/>
  <c r="EB191" i="24"/>
  <c r="EY191" i="24"/>
  <c r="DW148" i="24"/>
  <c r="EN148" i="24"/>
  <c r="EM148" i="24"/>
  <c r="EP148" i="24" s="1"/>
  <c r="EL148" i="24"/>
  <c r="EY148" i="24"/>
  <c r="FA148" i="24"/>
  <c r="EB148" i="24"/>
  <c r="DW269" i="24"/>
  <c r="DU269" i="24"/>
  <c r="EN203" i="24"/>
  <c r="DW203" i="24"/>
  <c r="EM203" i="24"/>
  <c r="EP203" i="24" s="1"/>
  <c r="EY203" i="24"/>
  <c r="FA203" i="24"/>
  <c r="EB203" i="24"/>
  <c r="EL203" i="24"/>
  <c r="DW94" i="24"/>
  <c r="EN94" i="24"/>
  <c r="EM94" i="24"/>
  <c r="EP94" i="24" s="1"/>
  <c r="DU94" i="24"/>
  <c r="EY94" i="24"/>
  <c r="EB94" i="24"/>
  <c r="EL94" i="24"/>
  <c r="FA94" i="24"/>
  <c r="EB29" i="24"/>
  <c r="DW291" i="24"/>
  <c r="DU291" i="24"/>
  <c r="EL8" i="24"/>
  <c r="DW239" i="24"/>
  <c r="DU239" i="24"/>
  <c r="EE177" i="24"/>
  <c r="DW7" i="24"/>
  <c r="EN7" i="24"/>
  <c r="EM7" i="24"/>
  <c r="EP7" i="24" s="1"/>
  <c r="DU7" i="24"/>
  <c r="EL7" i="24"/>
  <c r="FA7" i="24"/>
  <c r="EY7" i="24"/>
  <c r="EB7" i="24"/>
  <c r="EE164" i="24"/>
  <c r="EY50" i="24"/>
  <c r="DW50" i="24"/>
  <c r="DY50" i="24" s="1"/>
  <c r="EF50" i="24" s="1"/>
  <c r="EN50" i="24"/>
  <c r="EM50" i="24"/>
  <c r="EP50" i="24" s="1"/>
  <c r="DU50" i="24"/>
  <c r="DW240" i="24"/>
  <c r="DU240" i="24"/>
  <c r="DW46" i="24"/>
  <c r="EN46" i="24"/>
  <c r="EM46" i="24"/>
  <c r="EP46" i="24" s="1"/>
  <c r="DU46" i="24"/>
  <c r="EY46" i="24"/>
  <c r="EB46" i="24"/>
  <c r="FA46" i="24"/>
  <c r="EL46" i="24"/>
  <c r="DW196" i="24"/>
  <c r="EN196" i="24"/>
  <c r="EM196" i="24"/>
  <c r="EP196" i="24" s="1"/>
  <c r="FA196" i="24"/>
  <c r="EL196" i="24"/>
  <c r="EY196" i="24"/>
  <c r="EB196" i="24"/>
  <c r="EN125" i="24"/>
  <c r="DW125" i="24"/>
  <c r="EM125" i="24"/>
  <c r="EP125" i="24" s="1"/>
  <c r="EB125" i="24"/>
  <c r="EL125" i="24"/>
  <c r="EY125" i="24"/>
  <c r="FA125" i="24"/>
  <c r="EN172" i="24"/>
  <c r="DW172" i="24"/>
  <c r="DY172" i="24" s="1"/>
  <c r="EF172" i="24" s="1"/>
  <c r="EM172" i="24"/>
  <c r="EP172" i="24" s="1"/>
  <c r="DW229" i="24"/>
  <c r="DU229" i="24"/>
  <c r="DW198" i="24"/>
  <c r="EN198" i="24"/>
  <c r="EM198" i="24"/>
  <c r="EP198" i="24" s="1"/>
  <c r="FA198" i="24"/>
  <c r="EL198" i="24"/>
  <c r="EY198" i="24"/>
  <c r="EB198" i="24"/>
  <c r="EL149" i="24"/>
  <c r="EN149" i="24"/>
  <c r="DW149" i="24"/>
  <c r="EM149" i="24"/>
  <c r="EP149" i="24" s="1"/>
  <c r="EB149" i="24"/>
  <c r="FA149" i="24"/>
  <c r="EY149" i="24"/>
  <c r="EB192" i="24"/>
  <c r="EN165" i="24"/>
  <c r="DW165" i="24"/>
  <c r="EM165" i="24"/>
  <c r="EP165" i="24" s="1"/>
  <c r="FA165" i="24"/>
  <c r="EB165" i="24"/>
  <c r="EY165" i="24"/>
  <c r="EL165" i="24"/>
  <c r="DW116" i="24"/>
  <c r="EN116" i="24"/>
  <c r="EM116" i="24"/>
  <c r="EP116" i="24" s="1"/>
  <c r="EL116" i="24"/>
  <c r="FA116" i="24"/>
  <c r="EB116" i="24"/>
  <c r="EY116" i="24"/>
  <c r="FA175" i="24"/>
  <c r="EL160" i="24"/>
  <c r="DW184" i="24"/>
  <c r="EN184" i="24"/>
  <c r="EM184" i="24"/>
  <c r="EP184" i="24" s="1"/>
  <c r="FA184" i="24"/>
  <c r="EY184" i="24"/>
  <c r="EL184" i="24"/>
  <c r="EB184" i="24"/>
  <c r="EE171" i="24"/>
  <c r="FA42" i="24"/>
  <c r="EY13" i="24"/>
  <c r="DW13" i="24"/>
  <c r="DY13" i="24" s="1"/>
  <c r="EF13" i="24" s="1"/>
  <c r="EN13" i="24"/>
  <c r="EM13" i="24"/>
  <c r="EP13" i="24" s="1"/>
  <c r="DU13" i="24"/>
  <c r="EY47" i="24"/>
  <c r="EB83" i="24"/>
  <c r="EY172" i="24"/>
  <c r="DW156" i="24"/>
  <c r="EN156" i="24"/>
  <c r="EM156" i="24"/>
  <c r="EP156" i="24" s="1"/>
  <c r="EB156" i="24"/>
  <c r="FA156" i="24"/>
  <c r="EY156" i="24"/>
  <c r="EL156" i="24"/>
  <c r="EY10" i="24"/>
  <c r="DW33" i="24"/>
  <c r="DY33" i="24" s="1"/>
  <c r="EF33" i="24" s="1"/>
  <c r="EN33" i="24"/>
  <c r="EM33" i="24"/>
  <c r="EP33" i="24" s="1"/>
  <c r="DU33" i="24"/>
  <c r="FA81" i="24"/>
  <c r="EL30" i="24"/>
  <c r="DW147" i="24"/>
  <c r="DY147" i="24" s="1"/>
  <c r="EF147" i="24" s="1"/>
  <c r="EN147" i="24"/>
  <c r="EM147" i="24"/>
  <c r="EP147" i="24" s="1"/>
  <c r="DW142" i="24"/>
  <c r="DY142" i="24" s="1"/>
  <c r="EF142" i="24" s="1"/>
  <c r="EN142" i="24"/>
  <c r="EM142" i="24"/>
  <c r="EP142" i="24" s="1"/>
  <c r="DW235" i="24"/>
  <c r="DU235" i="24"/>
  <c r="EE209" i="24"/>
  <c r="FA157" i="24"/>
  <c r="EE201" i="24"/>
  <c r="EE173" i="24"/>
  <c r="EY17" i="24"/>
  <c r="EN17" i="24"/>
  <c r="DW17" i="24"/>
  <c r="EM17" i="24"/>
  <c r="EP17" i="24" s="1"/>
  <c r="DU17" i="24"/>
  <c r="FA17" i="24"/>
  <c r="EB17" i="24"/>
  <c r="EL17" i="24"/>
  <c r="EB14" i="24"/>
  <c r="DW93" i="24"/>
  <c r="EN93" i="24"/>
  <c r="EM93" i="24"/>
  <c r="EP93" i="24" s="1"/>
  <c r="DU93" i="24"/>
  <c r="EL93" i="24"/>
  <c r="FA93" i="24"/>
  <c r="EB93" i="24"/>
  <c r="EY93" i="24"/>
  <c r="DW279" i="24"/>
  <c r="DU279" i="24"/>
  <c r="DW309" i="24"/>
  <c r="DU309" i="24"/>
  <c r="DW271" i="24"/>
  <c r="DU271" i="24"/>
  <c r="DW11" i="24"/>
  <c r="EN11" i="24"/>
  <c r="EM11" i="24"/>
  <c r="EP11" i="24" s="1"/>
  <c r="DU11" i="24"/>
  <c r="EL11" i="24"/>
  <c r="EB11" i="24"/>
  <c r="FA11" i="24"/>
  <c r="EY11" i="24"/>
  <c r="EL199" i="24"/>
  <c r="EN20" i="24"/>
  <c r="DW20" i="24"/>
  <c r="EM20" i="24"/>
  <c r="EP20" i="24" s="1"/>
  <c r="DU20" i="24"/>
  <c r="EB20" i="24"/>
  <c r="FA20" i="24"/>
  <c r="EL20" i="24"/>
  <c r="EY20" i="24"/>
  <c r="DW276" i="24"/>
  <c r="DU276" i="24"/>
  <c r="DW288" i="24"/>
  <c r="DU288" i="24"/>
  <c r="FA127" i="24"/>
  <c r="DW127" i="24"/>
  <c r="DY127" i="24" s="1"/>
  <c r="EF127" i="24" s="1"/>
  <c r="EN127" i="24"/>
  <c r="EM127" i="24"/>
  <c r="EP127" i="24" s="1"/>
  <c r="DW99" i="24"/>
  <c r="DY99" i="24" s="1"/>
  <c r="EF99" i="24" s="1"/>
  <c r="EN99" i="24"/>
  <c r="EM99" i="24"/>
  <c r="EP99" i="24" s="1"/>
  <c r="DU99" i="24"/>
  <c r="EE100" i="24"/>
  <c r="EN37" i="24"/>
  <c r="DW37" i="24"/>
  <c r="DY37" i="24" s="1"/>
  <c r="EF37" i="24" s="1"/>
  <c r="EM37" i="24"/>
  <c r="EP37" i="24" s="1"/>
  <c r="DU37" i="24"/>
  <c r="DW297" i="24"/>
  <c r="DU297" i="24"/>
  <c r="EE190" i="24"/>
  <c r="DW67" i="24"/>
  <c r="DY67" i="24" s="1"/>
  <c r="EF67" i="24" s="1"/>
  <c r="EN67" i="24"/>
  <c r="EM67" i="24"/>
  <c r="EP67" i="24" s="1"/>
  <c r="DU67" i="24"/>
  <c r="DW201" i="24"/>
  <c r="DY201" i="24" s="1"/>
  <c r="EF201" i="24" s="1"/>
  <c r="EN201" i="24"/>
  <c r="EM201" i="24"/>
  <c r="EP201" i="24" s="1"/>
  <c r="DW171" i="24"/>
  <c r="DY171" i="24" s="1"/>
  <c r="EF171" i="24" s="1"/>
  <c r="EN171" i="24"/>
  <c r="EM171" i="24"/>
  <c r="EP171" i="24" s="1"/>
  <c r="DW45" i="24"/>
  <c r="EN45" i="24"/>
  <c r="EM45" i="24"/>
  <c r="EP45" i="24" s="1"/>
  <c r="DU45" i="24"/>
  <c r="EL45" i="24"/>
  <c r="EB45" i="24"/>
  <c r="FA45" i="24"/>
  <c r="EY45" i="24"/>
  <c r="EL127" i="24"/>
  <c r="DW60" i="24"/>
  <c r="DY60" i="24" s="1"/>
  <c r="EF60" i="24" s="1"/>
  <c r="EN60" i="24"/>
  <c r="EM60" i="24"/>
  <c r="EP60" i="24" s="1"/>
  <c r="DU60" i="24"/>
  <c r="DW54" i="24"/>
  <c r="DY54" i="24" s="1"/>
  <c r="EF54" i="24" s="1"/>
  <c r="EN54" i="24"/>
  <c r="EM54" i="24"/>
  <c r="EP54" i="24" s="1"/>
  <c r="DU54" i="24"/>
  <c r="DW218" i="24"/>
  <c r="DU218" i="24"/>
  <c r="EE185" i="24"/>
  <c r="EB98" i="24"/>
  <c r="EY62" i="24"/>
  <c r="EN62" i="24"/>
  <c r="DW62" i="24"/>
  <c r="DY62" i="24" s="1"/>
  <c r="EF62" i="24" s="1"/>
  <c r="EM62" i="24"/>
  <c r="EP62" i="24" s="1"/>
  <c r="DU62" i="24"/>
  <c r="DW170" i="24"/>
  <c r="DY170" i="24" s="1"/>
  <c r="EF170" i="24" s="1"/>
  <c r="EN170" i="24"/>
  <c r="EM170" i="24"/>
  <c r="EP170" i="24" s="1"/>
  <c r="DW281" i="24"/>
  <c r="DU281" i="24"/>
  <c r="DW273" i="24"/>
  <c r="DU273" i="24"/>
  <c r="EE132" i="24"/>
  <c r="DW153" i="24"/>
  <c r="EN153" i="24"/>
  <c r="EM153" i="24"/>
  <c r="EP153" i="24" s="1"/>
  <c r="FA153" i="24"/>
  <c r="EY153" i="24"/>
  <c r="EB153" i="24"/>
  <c r="EL153" i="24"/>
  <c r="EB67" i="24"/>
  <c r="EN80" i="24"/>
  <c r="DW80" i="24"/>
  <c r="DY80" i="24" s="1"/>
  <c r="EF80" i="24" s="1"/>
  <c r="EM80" i="24"/>
  <c r="EP80" i="24" s="1"/>
  <c r="DU80" i="24"/>
  <c r="DW246" i="24"/>
  <c r="DU246" i="24"/>
  <c r="DW195" i="24"/>
  <c r="EN195" i="24"/>
  <c r="EM195" i="24"/>
  <c r="EP195" i="24" s="1"/>
  <c r="EB195" i="24"/>
  <c r="EL195" i="24"/>
  <c r="EY195" i="24"/>
  <c r="FA195" i="24"/>
  <c r="DW261" i="24"/>
  <c r="DU261" i="24"/>
  <c r="DW41" i="24"/>
  <c r="DY41" i="24" s="1"/>
  <c r="EF41" i="24" s="1"/>
  <c r="EN41" i="24"/>
  <c r="EM41" i="24"/>
  <c r="EP41" i="24" s="1"/>
  <c r="DU41" i="24"/>
  <c r="EE61" i="24"/>
  <c r="EB124" i="24"/>
  <c r="DW124" i="24"/>
  <c r="DY124" i="24" s="1"/>
  <c r="EF124" i="24" s="1"/>
  <c r="EN124" i="24"/>
  <c r="EM124" i="24"/>
  <c r="EP124" i="24" s="1"/>
  <c r="EE167" i="24"/>
  <c r="DW51" i="24"/>
  <c r="EN51" i="24"/>
  <c r="EM51" i="24"/>
  <c r="EP51" i="24" s="1"/>
  <c r="DU51" i="24"/>
  <c r="EL51" i="24"/>
  <c r="EY51" i="24"/>
  <c r="FA51" i="24"/>
  <c r="EB51" i="24"/>
  <c r="EE192" i="24"/>
  <c r="DW135" i="24"/>
  <c r="EN135" i="24"/>
  <c r="EM135" i="24"/>
  <c r="EP135" i="24" s="1"/>
  <c r="EL135" i="24"/>
  <c r="EB135" i="24"/>
  <c r="FA135" i="24"/>
  <c r="EY135" i="24"/>
  <c r="EB37" i="24"/>
  <c r="EL52" i="24"/>
  <c r="EE183" i="24"/>
  <c r="EB160" i="24"/>
  <c r="DW55" i="24"/>
  <c r="DY55" i="24" s="1"/>
  <c r="EF55" i="24" s="1"/>
  <c r="EN55" i="24"/>
  <c r="EM55" i="24"/>
  <c r="EP55" i="24" s="1"/>
  <c r="DU55" i="24"/>
  <c r="EE197" i="24"/>
  <c r="DW268" i="24"/>
  <c r="DU268" i="24"/>
  <c r="DW65" i="24"/>
  <c r="DY65" i="24" s="1"/>
  <c r="EF65" i="24" s="1"/>
  <c r="EN65" i="24"/>
  <c r="EM65" i="24"/>
  <c r="EP65" i="24" s="1"/>
  <c r="DU65" i="24"/>
  <c r="EY83" i="24"/>
  <c r="EL99" i="24"/>
  <c r="FA55" i="24"/>
  <c r="DW12" i="24"/>
  <c r="EN12" i="24"/>
  <c r="EM12" i="24"/>
  <c r="EP12" i="24" s="1"/>
  <c r="DU12" i="24"/>
  <c r="EL12" i="24"/>
  <c r="EB12" i="24"/>
  <c r="EY12" i="24"/>
  <c r="FA12" i="24"/>
  <c r="EE138" i="24"/>
  <c r="FA172" i="24"/>
  <c r="DW27" i="24"/>
  <c r="EN27" i="24"/>
  <c r="EM27" i="24"/>
  <c r="EP27" i="24" s="1"/>
  <c r="DU27" i="24"/>
  <c r="FA27" i="24"/>
  <c r="EL27" i="24"/>
  <c r="EB27" i="24"/>
  <c r="EY27" i="24"/>
  <c r="EN136" i="24"/>
  <c r="DW136" i="24"/>
  <c r="DY136" i="24" s="1"/>
  <c r="EF136" i="24" s="1"/>
  <c r="EM136" i="24"/>
  <c r="EP136" i="24" s="1"/>
  <c r="EE124" i="24"/>
  <c r="EE81" i="24"/>
  <c r="DW117" i="24"/>
  <c r="EN117" i="24"/>
  <c r="EM117" i="24"/>
  <c r="EP117" i="24" s="1"/>
  <c r="EL117" i="24"/>
  <c r="FA117" i="24"/>
  <c r="EY117" i="24"/>
  <c r="EB117" i="24"/>
  <c r="EE30" i="24"/>
  <c r="EN85" i="24"/>
  <c r="DW85" i="24"/>
  <c r="EM85" i="24"/>
  <c r="EP85" i="24" s="1"/>
  <c r="DU85" i="24"/>
  <c r="EL85" i="24"/>
  <c r="EB85" i="24"/>
  <c r="EY85" i="24"/>
  <c r="FA85" i="24"/>
  <c r="DW129" i="24"/>
  <c r="DY129" i="24" s="1"/>
  <c r="EF129" i="24" s="1"/>
  <c r="EN129" i="24"/>
  <c r="EM129" i="24"/>
  <c r="EP129" i="24" s="1"/>
  <c r="EE23" i="24"/>
  <c r="DW111" i="24"/>
  <c r="DY111" i="24" s="1"/>
  <c r="EF111" i="24" s="1"/>
  <c r="EN111" i="24"/>
  <c r="EM111" i="24"/>
  <c r="EP111" i="24" s="1"/>
  <c r="EB157" i="24"/>
  <c r="EN113" i="24"/>
  <c r="DW113" i="24"/>
  <c r="EM113" i="24"/>
  <c r="EP113" i="24" s="1"/>
  <c r="EY113" i="24"/>
  <c r="EB113" i="24"/>
  <c r="EL113" i="24"/>
  <c r="FA113" i="24"/>
  <c r="EL158" i="24"/>
  <c r="DW158" i="24"/>
  <c r="DY158" i="24" s="1"/>
  <c r="EF158" i="24" s="1"/>
  <c r="EN158" i="24"/>
  <c r="EM158" i="24"/>
  <c r="EP158" i="24" s="1"/>
  <c r="DW222" i="24"/>
  <c r="DU222" i="24"/>
  <c r="DW134" i="24"/>
  <c r="DY134" i="24" s="1"/>
  <c r="EF134" i="24" s="1"/>
  <c r="EN134" i="24"/>
  <c r="EM134" i="24"/>
  <c r="EP134" i="24" s="1"/>
  <c r="DW189" i="24"/>
  <c r="EN189" i="24"/>
  <c r="EM189" i="24"/>
  <c r="EP189" i="24" s="1"/>
  <c r="EB189" i="24"/>
  <c r="EL189" i="24"/>
  <c r="FA189" i="24"/>
  <c r="EY189" i="24"/>
  <c r="EE155" i="24"/>
  <c r="DW227" i="24"/>
  <c r="DU227" i="24"/>
  <c r="EY133" i="24"/>
  <c r="DW220" i="24"/>
  <c r="DU220" i="24"/>
  <c r="DW44" i="24"/>
  <c r="DY44" i="24" s="1"/>
  <c r="EF44" i="24" s="1"/>
  <c r="EN44" i="24"/>
  <c r="EM44" i="24"/>
  <c r="EP44" i="24" s="1"/>
  <c r="DU44" i="24"/>
  <c r="DW204" i="24"/>
  <c r="EN204" i="24"/>
  <c r="EM204" i="24"/>
  <c r="EP204" i="24" s="1"/>
  <c r="FA204" i="24"/>
  <c r="EL204" i="24"/>
  <c r="EB204" i="24"/>
  <c r="EY204" i="24"/>
  <c r="EE89" i="24"/>
  <c r="DW207" i="24"/>
  <c r="EN207" i="24"/>
  <c r="EM207" i="24"/>
  <c r="EP207" i="24" s="1"/>
  <c r="FA207" i="24"/>
  <c r="EB207" i="24"/>
  <c r="EL207" i="24"/>
  <c r="EY207" i="24"/>
  <c r="EN155" i="24"/>
  <c r="DW155" i="24"/>
  <c r="DY155" i="24" s="1"/>
  <c r="EF155" i="24" s="1"/>
  <c r="EM155" i="24"/>
  <c r="EP155" i="24" s="1"/>
  <c r="DW226" i="24"/>
  <c r="DU226" i="24"/>
  <c r="EE193" i="24"/>
  <c r="EE71" i="24"/>
  <c r="EN177" i="24"/>
  <c r="DW177" i="24"/>
  <c r="DY177" i="24" s="1"/>
  <c r="EF177" i="24" s="1"/>
  <c r="EM177" i="24"/>
  <c r="EP177" i="24" s="1"/>
  <c r="EL140" i="24"/>
  <c r="DW140" i="24"/>
  <c r="EN140" i="24"/>
  <c r="EM140" i="24"/>
  <c r="EP140" i="24" s="1"/>
  <c r="EB140" i="24"/>
  <c r="FA140" i="24"/>
  <c r="EY140" i="24"/>
  <c r="EB49" i="24"/>
  <c r="DW49" i="24"/>
  <c r="EN49" i="24"/>
  <c r="EM49" i="24"/>
  <c r="EP49" i="24" s="1"/>
  <c r="DU49" i="24"/>
  <c r="EY49" i="24"/>
  <c r="FA49" i="24"/>
  <c r="EL49" i="24"/>
  <c r="EE29" i="24"/>
  <c r="DW185" i="24"/>
  <c r="DY185" i="24" s="1"/>
  <c r="EF185" i="24" s="1"/>
  <c r="EN185" i="24"/>
  <c r="EM185" i="24"/>
  <c r="EP185" i="24" s="1"/>
  <c r="EN29" i="24"/>
  <c r="DW29" i="24"/>
  <c r="DY29" i="24" s="1"/>
  <c r="EF29" i="24" s="1"/>
  <c r="EM29" i="24"/>
  <c r="EP29" i="24" s="1"/>
  <c r="DU29" i="24"/>
  <c r="EE170" i="24"/>
  <c r="EN182" i="24"/>
  <c r="DW182" i="24"/>
  <c r="EM182" i="24"/>
  <c r="EP182" i="24" s="1"/>
  <c r="EL182" i="24"/>
  <c r="EB182" i="24"/>
  <c r="EY182" i="24"/>
  <c r="FA182" i="24"/>
  <c r="DW270" i="24"/>
  <c r="DU270" i="24"/>
  <c r="DW303" i="24"/>
  <c r="DU303" i="24"/>
  <c r="DW130" i="24"/>
  <c r="EN130" i="24"/>
  <c r="EM130" i="24"/>
  <c r="EP130" i="24" s="1"/>
  <c r="EB130" i="24"/>
  <c r="EY130" i="24"/>
  <c r="FA130" i="24"/>
  <c r="EL130" i="24"/>
  <c r="DW219" i="24"/>
  <c r="DU219" i="24"/>
  <c r="FA15" i="24"/>
  <c r="DW15" i="24"/>
  <c r="EN15" i="24"/>
  <c r="EM15" i="24"/>
  <c r="EP15" i="24" s="1"/>
  <c r="DU15" i="24"/>
  <c r="EL15" i="24"/>
  <c r="EB15" i="24"/>
  <c r="EY15" i="24"/>
  <c r="EE104" i="24"/>
  <c r="DW289" i="24"/>
  <c r="DU289" i="24"/>
  <c r="DW315" i="24"/>
  <c r="DU315" i="24"/>
  <c r="EY36" i="24"/>
  <c r="DW36" i="24"/>
  <c r="EN36" i="24"/>
  <c r="EM36" i="24"/>
  <c r="EP36" i="24" s="1"/>
  <c r="DU36" i="24"/>
  <c r="EB36" i="24"/>
  <c r="FA36" i="24"/>
  <c r="EL36" i="24"/>
  <c r="EY186" i="24"/>
  <c r="EE175" i="24"/>
  <c r="EE160" i="24"/>
  <c r="DW19" i="24"/>
  <c r="EN19" i="24"/>
  <c r="EM19" i="24"/>
  <c r="EP19" i="24" s="1"/>
  <c r="DU19" i="24"/>
  <c r="EL19" i="24"/>
  <c r="EB19" i="24"/>
  <c r="FA19" i="24"/>
  <c r="EY19" i="24"/>
  <c r="EY99" i="24"/>
  <c r="DW79" i="24"/>
  <c r="EN79" i="24"/>
  <c r="EM79" i="24"/>
  <c r="EP79" i="24" s="1"/>
  <c r="DU79" i="24"/>
  <c r="EY79" i="24"/>
  <c r="EB79" i="24"/>
  <c r="EL79" i="24"/>
  <c r="FA79" i="24"/>
  <c r="DW280" i="24"/>
  <c r="DU280" i="24"/>
  <c r="EE10" i="24"/>
  <c r="DW224" i="24"/>
  <c r="DU224" i="24"/>
  <c r="FA48" i="24"/>
  <c r="DW48" i="24"/>
  <c r="DY48" i="24" s="1"/>
  <c r="EF48" i="24" s="1"/>
  <c r="EN48" i="24"/>
  <c r="EM48" i="24"/>
  <c r="EP48" i="24" s="1"/>
  <c r="DU48" i="24"/>
  <c r="EL157" i="24"/>
  <c r="DW188" i="24"/>
  <c r="EN188" i="24"/>
  <c r="EM188" i="24"/>
  <c r="EP188" i="24" s="1"/>
  <c r="EY188" i="24"/>
  <c r="FA188" i="24"/>
  <c r="EL188" i="24"/>
  <c r="EB188" i="24"/>
  <c r="EL155" i="24"/>
  <c r="DW21" i="24"/>
  <c r="EN21" i="24"/>
  <c r="EM21" i="24"/>
  <c r="EP21" i="24" s="1"/>
  <c r="DU21" i="24"/>
  <c r="EY21" i="24"/>
  <c r="EB21" i="24"/>
  <c r="EL21" i="24"/>
  <c r="FA21" i="24"/>
  <c r="EN146" i="24"/>
  <c r="DW146" i="24"/>
  <c r="EM146" i="24"/>
  <c r="EP146" i="24" s="1"/>
  <c r="EB146" i="24"/>
  <c r="EL146" i="24"/>
  <c r="FA146" i="24"/>
  <c r="EY146" i="24"/>
  <c r="EL53" i="24"/>
  <c r="DW168" i="24"/>
  <c r="EN168" i="24"/>
  <c r="EM168" i="24"/>
  <c r="EP168" i="24" s="1"/>
  <c r="EY168" i="24"/>
  <c r="EL168" i="24"/>
  <c r="FA168" i="24"/>
  <c r="EB168" i="24"/>
  <c r="DW304" i="24"/>
  <c r="DU304" i="24"/>
  <c r="DW231" i="24"/>
  <c r="DU231" i="24"/>
  <c r="DW112" i="24"/>
  <c r="DY112" i="24" s="1"/>
  <c r="EF112" i="24" s="1"/>
  <c r="EN112" i="24"/>
  <c r="EM112" i="24"/>
  <c r="EP112" i="24" s="1"/>
  <c r="DW257" i="24"/>
  <c r="DU257" i="24"/>
  <c r="DW298" i="24"/>
  <c r="DU298" i="24"/>
  <c r="DW181" i="24"/>
  <c r="EN181" i="24"/>
  <c r="EM181" i="24"/>
  <c r="EP181" i="24" s="1"/>
  <c r="EB181" i="24"/>
  <c r="FA181" i="24"/>
  <c r="EY181" i="24"/>
  <c r="EL181" i="24"/>
  <c r="DW265" i="24"/>
  <c r="DU265" i="24"/>
  <c r="EE147" i="24"/>
  <c r="DW251" i="24"/>
  <c r="DU251" i="24"/>
  <c r="DW166" i="24"/>
  <c r="EN166" i="24"/>
  <c r="EM166" i="24"/>
  <c r="EP166" i="24" s="1"/>
  <c r="EB166" i="24"/>
  <c r="EL166" i="24"/>
  <c r="EY166" i="24"/>
  <c r="FA166" i="24"/>
  <c r="DW144" i="24"/>
  <c r="EN144" i="24"/>
  <c r="EM144" i="24"/>
  <c r="EP144" i="24" s="1"/>
  <c r="FA144" i="24"/>
  <c r="EB144" i="24"/>
  <c r="EL144" i="24"/>
  <c r="EY144" i="24"/>
  <c r="DW83" i="24"/>
  <c r="DY83" i="24" s="1"/>
  <c r="EF83" i="24" s="1"/>
  <c r="EN83" i="24"/>
  <c r="EM83" i="24"/>
  <c r="EP83" i="24" s="1"/>
  <c r="DU83" i="24"/>
  <c r="EE13" i="24"/>
  <c r="EN114" i="24"/>
  <c r="DW114" i="24"/>
  <c r="DY114" i="24" s="1"/>
  <c r="EF114" i="24" s="1"/>
  <c r="EM114" i="24"/>
  <c r="EP114" i="24" s="1"/>
  <c r="DW312" i="24"/>
  <c r="DU312" i="24"/>
  <c r="DW292" i="24"/>
  <c r="DU292" i="24"/>
  <c r="DW316" i="24"/>
  <c r="DU316" i="24"/>
  <c r="EE8" i="24"/>
  <c r="DW253" i="24"/>
  <c r="DU253" i="24"/>
  <c r="EN16" i="24"/>
  <c r="DW16" i="24"/>
  <c r="EM16" i="24"/>
  <c r="EP16" i="24" s="1"/>
  <c r="DU16" i="24"/>
  <c r="EL16" i="24"/>
  <c r="EY16" i="24"/>
  <c r="EB16" i="24"/>
  <c r="FA16" i="24"/>
  <c r="DW228" i="24"/>
  <c r="DU228" i="24"/>
  <c r="DW225" i="24"/>
  <c r="DU225" i="24"/>
  <c r="EE25" i="24"/>
  <c r="EN97" i="24"/>
  <c r="DW97" i="24"/>
  <c r="EM97" i="24"/>
  <c r="EP97" i="24" s="1"/>
  <c r="DU97" i="24"/>
  <c r="FA97" i="24"/>
  <c r="EY97" i="24"/>
  <c r="EB97" i="24"/>
  <c r="EL97" i="24"/>
  <c r="DW180" i="24"/>
  <c r="EN180" i="24"/>
  <c r="EM180" i="24"/>
  <c r="EP180" i="24" s="1"/>
  <c r="FA180" i="24"/>
  <c r="EY180" i="24"/>
  <c r="EB180" i="24"/>
  <c r="EL180" i="24"/>
  <c r="DW311" i="24"/>
  <c r="DU311" i="24"/>
  <c r="FA23" i="24"/>
  <c r="DW23" i="24"/>
  <c r="DY23" i="24" s="1"/>
  <c r="EF23" i="24" s="1"/>
  <c r="EN23" i="24"/>
  <c r="EM23" i="24"/>
  <c r="EP23" i="24" s="1"/>
  <c r="DU23" i="24"/>
  <c r="DW205" i="24"/>
  <c r="EN205" i="24"/>
  <c r="EM205" i="24"/>
  <c r="EP205" i="24" s="1"/>
  <c r="EL205" i="24"/>
  <c r="EB205" i="24"/>
  <c r="FA205" i="24"/>
  <c r="EY205" i="24"/>
  <c r="DW86" i="24"/>
  <c r="EN86" i="24"/>
  <c r="EM86" i="24"/>
  <c r="EP86" i="24" s="1"/>
  <c r="DU86" i="24"/>
  <c r="FA86" i="24"/>
  <c r="EL86" i="24"/>
  <c r="EB86" i="24"/>
  <c r="EY86" i="24"/>
  <c r="DW254" i="24"/>
  <c r="DU254" i="24"/>
  <c r="DW161" i="24"/>
  <c r="DY161" i="24" s="1"/>
  <c r="EF161" i="24" s="1"/>
  <c r="EN161" i="24"/>
  <c r="EM161" i="24"/>
  <c r="EP161" i="24" s="1"/>
  <c r="DW187" i="24"/>
  <c r="EN187" i="24"/>
  <c r="EM187" i="24"/>
  <c r="EP187" i="24" s="1"/>
  <c r="EY187" i="24"/>
  <c r="EL187" i="24"/>
  <c r="FA187" i="24"/>
  <c r="EB187" i="24"/>
  <c r="DW101" i="24"/>
  <c r="EN101" i="24"/>
  <c r="EM101" i="24"/>
  <c r="EP101" i="24" s="1"/>
  <c r="DU101" i="24"/>
  <c r="EB101" i="24"/>
  <c r="EL101" i="24"/>
  <c r="FA101" i="24"/>
  <c r="EY101" i="24"/>
  <c r="DW8" i="24"/>
  <c r="DY8" i="24" s="1"/>
  <c r="EF8" i="24" s="1"/>
  <c r="EN8" i="24"/>
  <c r="EM8" i="24"/>
  <c r="EP8" i="24" s="1"/>
  <c r="DU8" i="24"/>
  <c r="EY37" i="24"/>
  <c r="EE52" i="24"/>
  <c r="EN175" i="24"/>
  <c r="DW175" i="24"/>
  <c r="DY175" i="24" s="1"/>
  <c r="EF175" i="24" s="1"/>
  <c r="EM175" i="24"/>
  <c r="EP175" i="24" s="1"/>
  <c r="DW248" i="24"/>
  <c r="DU248" i="24"/>
  <c r="EE62" i="24"/>
  <c r="DW95" i="24"/>
  <c r="EN95" i="24"/>
  <c r="EM95" i="24"/>
  <c r="EP95" i="24" s="1"/>
  <c r="DU95" i="24"/>
  <c r="EY95" i="24"/>
  <c r="EB95" i="24"/>
  <c r="EL95" i="24"/>
  <c r="FA95" i="24"/>
  <c r="DW69" i="24"/>
  <c r="EN69" i="24"/>
  <c r="EM69" i="24"/>
  <c r="EP69" i="24" s="1"/>
  <c r="DU69" i="24"/>
  <c r="EL69" i="24"/>
  <c r="FA69" i="24"/>
  <c r="EB69" i="24"/>
  <c r="EY69" i="24"/>
  <c r="EN77" i="24"/>
  <c r="DW77" i="24"/>
  <c r="DY77" i="24" s="1"/>
  <c r="EF77" i="24" s="1"/>
  <c r="EM77" i="24"/>
  <c r="EP77" i="24" s="1"/>
  <c r="DU77" i="24"/>
  <c r="EE47" i="24"/>
  <c r="FA99" i="24"/>
  <c r="FA63" i="24"/>
  <c r="DW63" i="24"/>
  <c r="DY63" i="24" s="1"/>
  <c r="EF63" i="24" s="1"/>
  <c r="EN63" i="24"/>
  <c r="EM63" i="24"/>
  <c r="EP63" i="24" s="1"/>
  <c r="DU63" i="24"/>
  <c r="EB50" i="24"/>
  <c r="DW237" i="24"/>
  <c r="DU237" i="24"/>
  <c r="DW200" i="24"/>
  <c r="EN200" i="24"/>
  <c r="EM200" i="24"/>
  <c r="EP200" i="24" s="1"/>
  <c r="EY200" i="24"/>
  <c r="EB200" i="24"/>
  <c r="FA200" i="24"/>
  <c r="EL200" i="24"/>
  <c r="EB63" i="24"/>
  <c r="EL61" i="24"/>
  <c r="DW61" i="24"/>
  <c r="DY61" i="24" s="1"/>
  <c r="EF61" i="24" s="1"/>
  <c r="EN61" i="24"/>
  <c r="EM61" i="24"/>
  <c r="EP61" i="24" s="1"/>
  <c r="DU61" i="24"/>
  <c r="EN183" i="24"/>
  <c r="DW183" i="24"/>
  <c r="DY183" i="24" s="1"/>
  <c r="EF183" i="24" s="1"/>
  <c r="EM183" i="24"/>
  <c r="EP183" i="24" s="1"/>
  <c r="EB114" i="24"/>
  <c r="DW73" i="24"/>
  <c r="EN73" i="24"/>
  <c r="EM73" i="24"/>
  <c r="EP73" i="24" s="1"/>
  <c r="DU73" i="24"/>
  <c r="EY73" i="24"/>
  <c r="EL73" i="24"/>
  <c r="FA73" i="24"/>
  <c r="EB73" i="24"/>
  <c r="DW14" i="24"/>
  <c r="DY14" i="24" s="1"/>
  <c r="EF14" i="24" s="1"/>
  <c r="EN14" i="24"/>
  <c r="EM14" i="24"/>
  <c r="EP14" i="24" s="1"/>
  <c r="DU14" i="24"/>
  <c r="EE14" i="24"/>
  <c r="DW123" i="24"/>
  <c r="DY123" i="24" s="1"/>
  <c r="EF123" i="24" s="1"/>
  <c r="EN123" i="24"/>
  <c r="EM123" i="24"/>
  <c r="EP123" i="24" s="1"/>
  <c r="DW284" i="24"/>
  <c r="DU284" i="24"/>
  <c r="DW103" i="24"/>
  <c r="DY103" i="24" s="1"/>
  <c r="EF103" i="24" s="1"/>
  <c r="EN103" i="24"/>
  <c r="EM103" i="24"/>
  <c r="EP103" i="24" s="1"/>
  <c r="DU103" i="24"/>
  <c r="FA80" i="24"/>
  <c r="DW290" i="24"/>
  <c r="DU290" i="24"/>
  <c r="EN210" i="24"/>
  <c r="DW210" i="24"/>
  <c r="EM210" i="24"/>
  <c r="EP210" i="24" s="1"/>
  <c r="EY210" i="24"/>
  <c r="EB210" i="24"/>
  <c r="EL210" i="24"/>
  <c r="FA210" i="24"/>
  <c r="DW91" i="24"/>
  <c r="EN91" i="24"/>
  <c r="EM91" i="24"/>
  <c r="EP91" i="24" s="1"/>
  <c r="DU91" i="24"/>
  <c r="FA91" i="24"/>
  <c r="EB91" i="24"/>
  <c r="EL91" i="24"/>
  <c r="EY91" i="24"/>
  <c r="EY53" i="24"/>
  <c r="DW267" i="24"/>
  <c r="DU267" i="24"/>
  <c r="DW259" i="24"/>
  <c r="DU259" i="24"/>
  <c r="DW66" i="24"/>
  <c r="EN66" i="24"/>
  <c r="EM66" i="24"/>
  <c r="EP66" i="24" s="1"/>
  <c r="DU66" i="24"/>
  <c r="EY66" i="24"/>
  <c r="EL66" i="24"/>
  <c r="EB66" i="24"/>
  <c r="FA66" i="24"/>
  <c r="EE126" i="24"/>
  <c r="DW6" i="24"/>
  <c r="EN6" i="24"/>
  <c r="EM6" i="24"/>
  <c r="EP6" i="24" s="1"/>
  <c r="DU6" i="24"/>
  <c r="EY6" i="24"/>
  <c r="EB6" i="24"/>
  <c r="EL6" i="24"/>
  <c r="FA6" i="24"/>
  <c r="DW35" i="24"/>
  <c r="DY35" i="24" s="1"/>
  <c r="EF35" i="24" s="1"/>
  <c r="EN35" i="24"/>
  <c r="EM35" i="24"/>
  <c r="EP35" i="24" s="1"/>
  <c r="DU35" i="24"/>
  <c r="DW131" i="24"/>
  <c r="EN131" i="24"/>
  <c r="EM131" i="24"/>
  <c r="EP131" i="24" s="1"/>
  <c r="EL131" i="24"/>
  <c r="EY131" i="24"/>
  <c r="EB131" i="24"/>
  <c r="FA131" i="24"/>
  <c r="DW250" i="24"/>
  <c r="DU250" i="24"/>
  <c r="DW202" i="24"/>
  <c r="DY202" i="24" s="1"/>
  <c r="EF202" i="24" s="1"/>
  <c r="EN202" i="24"/>
  <c r="EM202" i="24"/>
  <c r="EP202" i="24" s="1"/>
  <c r="EE122" i="24"/>
  <c r="EE127" i="24"/>
  <c r="EE152" i="24"/>
  <c r="DW232" i="24"/>
  <c r="DU232" i="24"/>
  <c r="DW258" i="24"/>
  <c r="DU258" i="24"/>
  <c r="DW118" i="24"/>
  <c r="EN118" i="24"/>
  <c r="EM118" i="24"/>
  <c r="EP118" i="24" s="1"/>
  <c r="FA118" i="24"/>
  <c r="EL118" i="24"/>
  <c r="EY118" i="24"/>
  <c r="EB118" i="24"/>
  <c r="EN199" i="24"/>
  <c r="DW199" i="24"/>
  <c r="DY199" i="24" s="1"/>
  <c r="EF199" i="24" s="1"/>
  <c r="EM199" i="24"/>
  <c r="EP199" i="24" s="1"/>
  <c r="EN186" i="24"/>
  <c r="DW186" i="24"/>
  <c r="DY186" i="24" s="1"/>
  <c r="EF186" i="24" s="1"/>
  <c r="EM186" i="24"/>
  <c r="EP186" i="24" s="1"/>
  <c r="DW266" i="24"/>
  <c r="DU266" i="24"/>
  <c r="FA177" i="24"/>
  <c r="DW176" i="24"/>
  <c r="EN176" i="24"/>
  <c r="EM176" i="24"/>
  <c r="EP176" i="24" s="1"/>
  <c r="EL176" i="24"/>
  <c r="EB176" i="24"/>
  <c r="FA176" i="24"/>
  <c r="EY176" i="24"/>
  <c r="EE67" i="24"/>
  <c r="DW47" i="24"/>
  <c r="DY47" i="24" s="1"/>
  <c r="EF47" i="24" s="1"/>
  <c r="EN47" i="24"/>
  <c r="EM47" i="24"/>
  <c r="EP47" i="24" s="1"/>
  <c r="DU47" i="24"/>
  <c r="EE40" i="24"/>
  <c r="DW310" i="24"/>
  <c r="DU310" i="24"/>
  <c r="EY202" i="24"/>
  <c r="DW260" i="24"/>
  <c r="DU260" i="24"/>
  <c r="DW98" i="24"/>
  <c r="DY98" i="24" s="1"/>
  <c r="EF98" i="24" s="1"/>
  <c r="EN98" i="24"/>
  <c r="EM98" i="24"/>
  <c r="EP98" i="24" s="1"/>
  <c r="DU98" i="24"/>
  <c r="DW209" i="24"/>
  <c r="DY209" i="24" s="1"/>
  <c r="EF209" i="24" s="1"/>
  <c r="EN209" i="24"/>
  <c r="EM209" i="24"/>
  <c r="EP209" i="24" s="1"/>
  <c r="EE35" i="24"/>
  <c r="EE37" i="24"/>
  <c r="FA186" i="24"/>
  <c r="EN128" i="24"/>
  <c r="DW128" i="24"/>
  <c r="DY128" i="24" s="1"/>
  <c r="EF128" i="24" s="1"/>
  <c r="EM128" i="24"/>
  <c r="EP128" i="24" s="1"/>
  <c r="DW236" i="24"/>
  <c r="DU236" i="24"/>
  <c r="EE42" i="24"/>
  <c r="DW305" i="24"/>
  <c r="DU305" i="24"/>
  <c r="EE83" i="24"/>
  <c r="EB99" i="24"/>
  <c r="EE172" i="24"/>
  <c r="DW179" i="24"/>
  <c r="EN179" i="24"/>
  <c r="EM179" i="24"/>
  <c r="EP179" i="24" s="1"/>
  <c r="EY179" i="24"/>
  <c r="EB179" i="24"/>
  <c r="FA179" i="24"/>
  <c r="EL179" i="24"/>
  <c r="DW139" i="24"/>
  <c r="EN139" i="24"/>
  <c r="EM139" i="24"/>
  <c r="EP139" i="24" s="1"/>
  <c r="EY139" i="24"/>
  <c r="EL139" i="24"/>
  <c r="EB139" i="24"/>
  <c r="FA139" i="24"/>
  <c r="DW223" i="24"/>
  <c r="DU223" i="24"/>
  <c r="DW138" i="24"/>
  <c r="DY138" i="24" s="1"/>
  <c r="EF138" i="24" s="1"/>
  <c r="EN138" i="24"/>
  <c r="EM138" i="24"/>
  <c r="EP138" i="24" s="1"/>
  <c r="EN150" i="24"/>
  <c r="DW150" i="24"/>
  <c r="DY150" i="24" s="1"/>
  <c r="EF150" i="24" s="1"/>
  <c r="EM150" i="24"/>
  <c r="EP150" i="24" s="1"/>
  <c r="DW178" i="24"/>
  <c r="EN178" i="24"/>
  <c r="EM178" i="24"/>
  <c r="EP178" i="24" s="1"/>
  <c r="EL178" i="24"/>
  <c r="EB178" i="24"/>
  <c r="FA178" i="24"/>
  <c r="EY178" i="24"/>
  <c r="DW263" i="24"/>
  <c r="DU263" i="24"/>
  <c r="EN59" i="24"/>
  <c r="DW59" i="24"/>
  <c r="EM59" i="24"/>
  <c r="EP59" i="24" s="1"/>
  <c r="DU59" i="24"/>
  <c r="EL59" i="24"/>
  <c r="EB59" i="24"/>
  <c r="FA59" i="24"/>
  <c r="EY59" i="24"/>
  <c r="FA114" i="24"/>
  <c r="DW301" i="24"/>
  <c r="DU301" i="24"/>
  <c r="EY209" i="24"/>
  <c r="DW164" i="24"/>
  <c r="DY164" i="24" s="1"/>
  <c r="EF164" i="24" s="1"/>
  <c r="EN164" i="24"/>
  <c r="EM164" i="24"/>
  <c r="EP164" i="24" s="1"/>
  <c r="EE157" i="24"/>
  <c r="EB201" i="24"/>
  <c r="DW256" i="24"/>
  <c r="DU256" i="24"/>
  <c r="DW122" i="24"/>
  <c r="DY122" i="24" s="1"/>
  <c r="EF122" i="24" s="1"/>
  <c r="EN122" i="24"/>
  <c r="EM122" i="24"/>
  <c r="EP122" i="24" s="1"/>
  <c r="EL80" i="24"/>
  <c r="DW151" i="24"/>
  <c r="EN151" i="24"/>
  <c r="EM151" i="24"/>
  <c r="EP151" i="24" s="1"/>
  <c r="FA151" i="24"/>
  <c r="EY151" i="24"/>
  <c r="EL151" i="24"/>
  <c r="EB151" i="24"/>
  <c r="DW238" i="24"/>
  <c r="DU238" i="24"/>
  <c r="DW299" i="24"/>
  <c r="DU299" i="24"/>
  <c r="FA53" i="24"/>
  <c r="DW208" i="24"/>
  <c r="EN208" i="24"/>
  <c r="EM208" i="24"/>
  <c r="EP208" i="24" s="1"/>
  <c r="EL208" i="24"/>
  <c r="EY208" i="24"/>
  <c r="FA208" i="24"/>
  <c r="EB208" i="24"/>
  <c r="DW56" i="24"/>
  <c r="EN56" i="24"/>
  <c r="EM56" i="24"/>
  <c r="EP56" i="24" s="1"/>
  <c r="DU56" i="24"/>
  <c r="FA56" i="24"/>
  <c r="EB56" i="24"/>
  <c r="EL56" i="24"/>
  <c r="EY56" i="24"/>
  <c r="EN100" i="24"/>
  <c r="DW100" i="24"/>
  <c r="DY100" i="24" s="1"/>
  <c r="EF100" i="24" s="1"/>
  <c r="EM100" i="24"/>
  <c r="EP100" i="24" s="1"/>
  <c r="DU100" i="24"/>
  <c r="DW295" i="24"/>
  <c r="DU295" i="24"/>
  <c r="EY105" i="24"/>
  <c r="DW105" i="24"/>
  <c r="EN105" i="24"/>
  <c r="EM105" i="24"/>
  <c r="EP105" i="24" s="1"/>
  <c r="DU105" i="24"/>
  <c r="EL105" i="24"/>
  <c r="EB105" i="24"/>
  <c r="FA105" i="24"/>
  <c r="EE77" i="24"/>
  <c r="DW264" i="24"/>
  <c r="DU264" i="24"/>
  <c r="EE48" i="24"/>
  <c r="DW34" i="24"/>
  <c r="EN34" i="24"/>
  <c r="EM34" i="24"/>
  <c r="EP34" i="24" s="1"/>
  <c r="DU34" i="24"/>
  <c r="FA34" i="24"/>
  <c r="EL34" i="24"/>
  <c r="EY34" i="24"/>
  <c r="EB34" i="24"/>
  <c r="EN89" i="24"/>
  <c r="DW89" i="24"/>
  <c r="DY89" i="24" s="1"/>
  <c r="EF89" i="24" s="1"/>
  <c r="EM89" i="24"/>
  <c r="EP89" i="24" s="1"/>
  <c r="DU89" i="24"/>
  <c r="DW274" i="24"/>
  <c r="DU274" i="24"/>
  <c r="EE111" i="24"/>
  <c r="EE24" i="24"/>
  <c r="EE134" i="24"/>
  <c r="DW247" i="24"/>
  <c r="DU247" i="24"/>
  <c r="EE142" i="24"/>
  <c r="DW294" i="24"/>
  <c r="DU294" i="24"/>
  <c r="EY185" i="24"/>
  <c r="EE98" i="24"/>
  <c r="EY154" i="24"/>
  <c r="DW154" i="24"/>
  <c r="DY154" i="24" s="1"/>
  <c r="EF154" i="24" s="1"/>
  <c r="EN154" i="24"/>
  <c r="EM154" i="24"/>
  <c r="EP154" i="24" s="1"/>
  <c r="EN57" i="24"/>
  <c r="DW57" i="24"/>
  <c r="EM57" i="24"/>
  <c r="EP57" i="24" s="1"/>
  <c r="DU57" i="24"/>
  <c r="EL57" i="24"/>
  <c r="EY57" i="24"/>
  <c r="EB57" i="24"/>
  <c r="FA57" i="24"/>
  <c r="EL177" i="24"/>
  <c r="DW262" i="24"/>
  <c r="DU262" i="24"/>
  <c r="EE145" i="24"/>
  <c r="DW193" i="24"/>
  <c r="DY193" i="24" s="1"/>
  <c r="EF193" i="24" s="1"/>
  <c r="EN193" i="24"/>
  <c r="EM193" i="24"/>
  <c r="EP193" i="24" s="1"/>
  <c r="DW287" i="24"/>
  <c r="DU287" i="24"/>
  <c r="EL202" i="24"/>
  <c r="FA192" i="24"/>
  <c r="EE123" i="24"/>
  <c r="DW157" i="24"/>
  <c r="DY157" i="24" s="1"/>
  <c r="EF157" i="24" s="1"/>
  <c r="EN157" i="24"/>
  <c r="EM157" i="24"/>
  <c r="EP157" i="24" s="1"/>
  <c r="FA37" i="24"/>
  <c r="EY52" i="24"/>
  <c r="DW31" i="24"/>
  <c r="EN31" i="24"/>
  <c r="EM31" i="24"/>
  <c r="EP31" i="24" s="1"/>
  <c r="DU31" i="24"/>
  <c r="FA31" i="24"/>
  <c r="EY31" i="24"/>
  <c r="EB31" i="24"/>
  <c r="EL31" i="24"/>
  <c r="EL186" i="24"/>
  <c r="EB171" i="24"/>
  <c r="EE99" i="24"/>
  <c r="EE55" i="24"/>
  <c r="EY138" i="24"/>
  <c r="DW206" i="24"/>
  <c r="EN206" i="24"/>
  <c r="EM206" i="24"/>
  <c r="EP206" i="24" s="1"/>
  <c r="EB206" i="24"/>
  <c r="FA206" i="24"/>
  <c r="EY206" i="24"/>
  <c r="EL206" i="24"/>
  <c r="FA50" i="24"/>
  <c r="DW32" i="24"/>
  <c r="EN32" i="24"/>
  <c r="EM32" i="24"/>
  <c r="EP32" i="24" s="1"/>
  <c r="DU32" i="24"/>
  <c r="EY32" i="24"/>
  <c r="EL32" i="24"/>
  <c r="FA32" i="24"/>
  <c r="EB32" i="24"/>
  <c r="EE26" i="24"/>
  <c r="EB81" i="24"/>
  <c r="DW293" i="24"/>
  <c r="DU293" i="24"/>
  <c r="EY63" i="24"/>
  <c r="EB30" i="24"/>
  <c r="EL114" i="24"/>
  <c r="EE174" i="24"/>
  <c r="EE44" i="24"/>
  <c r="FA209" i="24"/>
  <c r="EL201" i="24"/>
  <c r="DW307" i="24"/>
  <c r="DU307" i="24"/>
  <c r="DW68" i="24"/>
  <c r="DY68" i="24" s="1"/>
  <c r="EF68" i="24" s="1"/>
  <c r="EN68" i="24"/>
  <c r="EM68" i="24"/>
  <c r="EP68" i="24" s="1"/>
  <c r="DU68" i="24"/>
  <c r="DW282" i="24"/>
  <c r="DU282" i="24"/>
  <c r="EY80" i="24"/>
  <c r="DW197" i="24"/>
  <c r="DY197" i="24" s="1"/>
  <c r="EF197" i="24" s="1"/>
  <c r="EN197" i="24"/>
  <c r="EM197" i="24"/>
  <c r="EP197" i="24" s="1"/>
  <c r="EY199" i="24"/>
  <c r="EL119" i="24"/>
  <c r="EN119" i="24"/>
  <c r="DW119" i="24"/>
  <c r="EM119" i="24"/>
  <c r="EP119" i="24" s="1"/>
  <c r="FA119" i="24"/>
  <c r="EY119" i="24"/>
  <c r="EB119" i="24"/>
  <c r="FA24" i="24"/>
  <c r="DW24" i="24"/>
  <c r="DY24" i="24" s="1"/>
  <c r="EF24" i="24" s="1"/>
  <c r="EN24" i="24"/>
  <c r="EM24" i="24"/>
  <c r="EP24" i="24" s="1"/>
  <c r="DU24" i="24"/>
  <c r="EE133" i="24"/>
  <c r="DW173" i="24"/>
  <c r="DY173" i="24" s="1"/>
  <c r="EF173" i="24" s="1"/>
  <c r="EN173" i="24"/>
  <c r="EM173" i="24"/>
  <c r="EP173" i="24" s="1"/>
  <c r="DW70" i="24"/>
  <c r="DY70" i="24" s="1"/>
  <c r="EF70" i="24" s="1"/>
  <c r="EN70" i="24"/>
  <c r="EM70" i="24"/>
  <c r="EP70" i="24" s="1"/>
  <c r="DU70" i="24"/>
  <c r="DW28" i="24"/>
  <c r="EN28" i="24"/>
  <c r="EM28" i="24"/>
  <c r="EP28" i="24" s="1"/>
  <c r="DU28" i="24"/>
  <c r="EY28" i="24"/>
  <c r="FA28" i="24"/>
  <c r="EB28" i="24"/>
  <c r="EL28" i="24"/>
  <c r="DW141" i="24"/>
  <c r="EN141" i="24"/>
  <c r="EM141" i="24"/>
  <c r="EP141" i="24" s="1"/>
  <c r="EL141" i="24"/>
  <c r="EY141" i="24"/>
  <c r="FA141" i="24"/>
  <c r="EB141" i="24"/>
  <c r="EE128" i="24"/>
  <c r="FA89" i="24"/>
  <c r="EB143" i="24"/>
  <c r="DW143" i="24"/>
  <c r="EN143" i="24"/>
  <c r="EM143" i="24"/>
  <c r="EP143" i="24" s="1"/>
  <c r="EL143" i="24"/>
  <c r="EY143" i="24"/>
  <c r="FA143" i="24"/>
  <c r="EY120" i="24"/>
  <c r="DW120" i="24"/>
  <c r="EN120" i="24"/>
  <c r="EM120" i="24"/>
  <c r="EP120" i="24" s="1"/>
  <c r="FA120" i="24"/>
  <c r="EL120" i="24"/>
  <c r="EB120" i="24"/>
  <c r="EB154" i="24"/>
  <c r="DW87" i="24"/>
  <c r="EN87" i="24"/>
  <c r="EM87" i="24"/>
  <c r="EP87" i="24" s="1"/>
  <c r="DU87" i="24"/>
  <c r="FA87" i="24"/>
  <c r="EY87" i="24"/>
  <c r="EL87" i="24"/>
  <c r="EB87" i="24"/>
  <c r="EE103" i="24"/>
  <c r="DW102" i="24"/>
  <c r="EN102" i="24"/>
  <c r="EM102" i="24"/>
  <c r="EP102" i="24" s="1"/>
  <c r="DU102" i="24"/>
  <c r="FA102" i="24"/>
  <c r="EY102" i="24"/>
  <c r="EL102" i="24"/>
  <c r="EB102" i="24"/>
  <c r="DW306" i="24"/>
  <c r="DU306" i="24"/>
  <c r="DW10" i="24"/>
  <c r="DY10" i="24" s="1"/>
  <c r="EF10" i="24" s="1"/>
  <c r="EN10" i="24"/>
  <c r="EM10" i="24"/>
  <c r="EP10" i="24" s="1"/>
  <c r="DU10" i="24"/>
  <c r="DW252" i="24"/>
  <c r="DU252" i="24"/>
  <c r="EL29" i="24"/>
  <c r="DW249" i="24"/>
  <c r="DU249" i="24"/>
  <c r="DW272" i="24"/>
  <c r="DU272" i="24"/>
  <c r="EB185" i="24"/>
  <c r="EE60" i="24"/>
  <c r="EB177" i="24"/>
  <c r="DW152" i="24"/>
  <c r="DY152" i="24" s="1"/>
  <c r="EF152" i="24" s="1"/>
  <c r="EN152" i="24"/>
  <c r="EM152" i="24"/>
  <c r="EP152" i="24" s="1"/>
  <c r="EL164" i="24"/>
  <c r="DW230" i="24"/>
  <c r="DU230" i="24"/>
  <c r="EE136" i="24"/>
  <c r="DW163" i="24"/>
  <c r="EN163" i="24"/>
  <c r="EM163" i="24"/>
  <c r="EP163" i="24" s="1"/>
  <c r="FA163" i="24"/>
  <c r="EB163" i="24"/>
  <c r="EL163" i="24"/>
  <c r="EY163" i="24"/>
  <c r="DW53" i="24"/>
  <c r="DY53" i="24" s="1"/>
  <c r="EF53" i="24" s="1"/>
  <c r="EN53" i="24"/>
  <c r="EM53" i="24"/>
  <c r="EP53" i="24" s="1"/>
  <c r="DU53" i="24"/>
  <c r="EB58" i="24"/>
  <c r="DW58" i="24"/>
  <c r="EN58" i="24"/>
  <c r="EM58" i="24"/>
  <c r="EP58" i="24" s="1"/>
  <c r="DU58" i="24"/>
  <c r="FA58" i="24"/>
  <c r="EL58" i="24"/>
  <c r="EY58" i="24"/>
  <c r="DW137" i="24"/>
  <c r="EN137" i="24"/>
  <c r="EM137" i="24"/>
  <c r="EP137" i="24" s="1"/>
  <c r="EY137" i="24"/>
  <c r="EB137" i="24"/>
  <c r="EL137" i="24"/>
  <c r="FA137" i="24"/>
  <c r="DW314" i="24"/>
  <c r="DU314" i="24"/>
  <c r="EB202" i="24"/>
  <c r="FA25" i="24"/>
  <c r="EN25" i="24"/>
  <c r="DW25" i="24"/>
  <c r="DY25" i="24" s="1"/>
  <c r="EF25" i="24" s="1"/>
  <c r="EM25" i="24"/>
  <c r="EP25" i="24" s="1"/>
  <c r="DU25" i="24"/>
  <c r="EY192" i="24"/>
  <c r="EN42" i="24"/>
  <c r="DW42" i="24"/>
  <c r="DY42" i="24" s="1"/>
  <c r="EF42" i="24" s="1"/>
  <c r="EM42" i="24"/>
  <c r="EP42" i="24" s="1"/>
  <c r="DU42" i="24"/>
  <c r="EY54" i="24"/>
  <c r="FA183" i="24"/>
  <c r="EE186" i="24"/>
  <c r="EB175" i="24"/>
  <c r="EY160" i="24"/>
  <c r="DW245" i="24"/>
  <c r="DU245" i="24"/>
  <c r="EY171" i="24"/>
  <c r="EE43" i="24"/>
  <c r="FA197" i="24"/>
  <c r="DW22" i="24"/>
  <c r="EN22" i="24"/>
  <c r="EM22" i="24"/>
  <c r="EP22" i="24" s="1"/>
  <c r="DU22" i="24"/>
  <c r="FA22" i="24"/>
  <c r="EB22" i="24"/>
  <c r="EL22" i="24"/>
  <c r="EY22" i="24"/>
  <c r="EL47" i="24"/>
  <c r="EL138" i="24"/>
  <c r="EN72" i="24"/>
  <c r="DW72" i="24"/>
  <c r="EM72" i="24"/>
  <c r="EP72" i="24" s="1"/>
  <c r="DU72" i="24"/>
  <c r="EY72" i="24"/>
  <c r="EL72" i="24"/>
  <c r="FA72" i="24"/>
  <c r="EB72" i="24"/>
  <c r="EB10" i="24"/>
  <c r="EL75" i="24"/>
  <c r="DW75" i="24"/>
  <c r="EN75" i="24"/>
  <c r="EM75" i="24"/>
  <c r="EP75" i="24" s="1"/>
  <c r="DU75" i="24"/>
  <c r="FA75" i="24"/>
  <c r="EB75" i="24"/>
  <c r="EY75" i="24"/>
  <c r="EL81" i="24"/>
  <c r="DW221" i="24"/>
  <c r="DU221" i="24"/>
  <c r="EE63" i="24"/>
  <c r="FA30" i="24"/>
  <c r="DW234" i="24"/>
  <c r="DU234" i="24"/>
  <c r="DW43" i="24"/>
  <c r="DY43" i="24" s="1"/>
  <c r="EF43" i="24" s="1"/>
  <c r="EN43" i="24"/>
  <c r="EM43" i="24"/>
  <c r="EP43" i="24" s="1"/>
  <c r="DU43" i="24"/>
  <c r="DW167" i="24"/>
  <c r="DY167" i="24" s="1"/>
  <c r="EF167" i="24" s="1"/>
  <c r="EN167" i="24"/>
  <c r="EM167" i="24"/>
  <c r="EP167" i="24" s="1"/>
  <c r="EY114" i="24"/>
  <c r="EB209" i="24"/>
  <c r="EY23" i="24"/>
  <c r="DW174" i="24"/>
  <c r="DY174" i="24" s="1"/>
  <c r="EF174" i="24" s="1"/>
  <c r="EN174" i="24"/>
  <c r="EM174" i="24"/>
  <c r="EP174" i="24" s="1"/>
  <c r="EY201" i="24"/>
  <c r="EB173" i="24"/>
  <c r="DW26" i="24"/>
  <c r="DY26" i="24" s="1"/>
  <c r="EF26" i="24" s="1"/>
  <c r="EN26" i="24"/>
  <c r="EM26" i="24"/>
  <c r="EP26" i="24" s="1"/>
  <c r="DU26" i="24"/>
  <c r="DW84" i="24"/>
  <c r="EN84" i="24"/>
  <c r="EM84" i="24"/>
  <c r="EP84" i="24" s="1"/>
  <c r="DU84" i="24"/>
  <c r="EB84" i="24"/>
  <c r="EY84" i="24"/>
  <c r="FA84" i="24"/>
  <c r="EL84" i="24"/>
  <c r="EY155" i="24"/>
  <c r="EB80" i="24"/>
  <c r="EE199" i="24"/>
  <c r="DW283" i="24"/>
  <c r="DU283" i="24"/>
  <c r="EY129" i="24"/>
  <c r="DW244" i="24"/>
  <c r="DU244" i="24"/>
  <c r="EE39" i="24"/>
  <c r="DW275" i="24"/>
  <c r="DU275" i="24"/>
  <c r="DW145" i="24"/>
  <c r="DY145" i="24" s="1"/>
  <c r="EF145" i="24" s="1"/>
  <c r="EN145" i="24"/>
  <c r="EM145" i="24"/>
  <c r="EP145" i="24" s="1"/>
  <c r="BV106" i="19"/>
  <c r="CB106" i="19" s="1"/>
  <c r="BW106" i="19"/>
  <c r="CC106" i="19" s="1"/>
  <c r="EL216" i="25" l="1"/>
  <c r="EK216" i="25"/>
  <c r="EN216" i="25" s="1"/>
  <c r="FA216" i="25"/>
  <c r="DY216" i="25"/>
  <c r="EG216" i="25" s="1"/>
  <c r="EX216" i="25" s="1"/>
  <c r="DT216" i="25"/>
  <c r="EJ216" i="25"/>
  <c r="CG212" i="25"/>
  <c r="EE212" i="25"/>
  <c r="EG212" i="25"/>
  <c r="EX212" i="25" s="1"/>
  <c r="EF212" i="25"/>
  <c r="EW212" i="25" s="1"/>
  <c r="CH212" i="25"/>
  <c r="DY190" i="24"/>
  <c r="EF190" i="24" s="1"/>
  <c r="EA243" i="24"/>
  <c r="FL243" i="24" s="1"/>
  <c r="EA96" i="24"/>
  <c r="CG96" i="24" s="1"/>
  <c r="EA242" i="24"/>
  <c r="EH242" i="24" s="1"/>
  <c r="EA285" i="24"/>
  <c r="EC285" i="24" s="1"/>
  <c r="ED285" i="24" s="1"/>
  <c r="FL216" i="24"/>
  <c r="EI216" i="24"/>
  <c r="EX216" i="24" s="1"/>
  <c r="EC216" i="24"/>
  <c r="ED216" i="24" s="1"/>
  <c r="EH216" i="24"/>
  <c r="I5" i="24"/>
  <c r="M5" i="24" s="1"/>
  <c r="U5" i="24" s="1"/>
  <c r="CH285" i="25"/>
  <c r="EF285" i="25"/>
  <c r="EW285" i="25" s="1"/>
  <c r="EG285" i="25"/>
  <c r="EX285" i="25" s="1"/>
  <c r="EE285" i="25"/>
  <c r="CH253" i="25"/>
  <c r="EE253" i="25"/>
  <c r="EF253" i="25"/>
  <c r="EW253" i="25" s="1"/>
  <c r="EG253" i="25"/>
  <c r="EX253" i="25" s="1"/>
  <c r="CG262" i="25"/>
  <c r="EF262" i="25"/>
  <c r="EW262" i="25" s="1"/>
  <c r="EG262" i="25"/>
  <c r="EX262" i="25" s="1"/>
  <c r="EE262" i="25"/>
  <c r="CH303" i="25"/>
  <c r="EF303" i="25"/>
  <c r="EW303" i="25" s="1"/>
  <c r="EG303" i="25"/>
  <c r="EX303" i="25" s="1"/>
  <c r="EE303" i="25"/>
  <c r="CH248" i="25"/>
  <c r="EE248" i="25"/>
  <c r="EF248" i="25"/>
  <c r="EW248" i="25" s="1"/>
  <c r="EG248" i="25"/>
  <c r="EX248" i="25" s="1"/>
  <c r="CG242" i="25"/>
  <c r="EE242" i="25"/>
  <c r="EF242" i="25"/>
  <c r="EW242" i="25" s="1"/>
  <c r="EG242" i="25"/>
  <c r="EX242" i="25" s="1"/>
  <c r="CH237" i="25"/>
  <c r="EF237" i="25"/>
  <c r="EW237" i="25" s="1"/>
  <c r="EG237" i="25"/>
  <c r="EX237" i="25" s="1"/>
  <c r="EE237" i="25"/>
  <c r="CG266" i="25"/>
  <c r="EE266" i="25"/>
  <c r="EF266" i="25"/>
  <c r="EW266" i="25" s="1"/>
  <c r="EG266" i="25"/>
  <c r="EX266" i="25" s="1"/>
  <c r="CH264" i="25"/>
  <c r="EE264" i="25"/>
  <c r="EF264" i="25"/>
  <c r="EW264" i="25" s="1"/>
  <c r="EG264" i="25"/>
  <c r="EX264" i="25" s="1"/>
  <c r="CH235" i="25"/>
  <c r="EF235" i="25"/>
  <c r="EW235" i="25" s="1"/>
  <c r="EG235" i="25"/>
  <c r="EX235" i="25" s="1"/>
  <c r="EE235" i="25"/>
  <c r="CG230" i="25"/>
  <c r="EE230" i="25"/>
  <c r="EF230" i="25"/>
  <c r="EW230" i="25" s="1"/>
  <c r="EG230" i="25"/>
  <c r="EX230" i="25" s="1"/>
  <c r="CH300" i="25"/>
  <c r="EE300" i="25"/>
  <c r="EF300" i="25"/>
  <c r="EW300" i="25" s="1"/>
  <c r="EG300" i="25"/>
  <c r="EX300" i="25" s="1"/>
  <c r="CH312" i="25"/>
  <c r="EG312" i="25"/>
  <c r="EX312" i="25" s="1"/>
  <c r="EE312" i="25"/>
  <c r="EF312" i="25"/>
  <c r="EW312" i="25" s="1"/>
  <c r="CG274" i="25"/>
  <c r="EE274" i="25"/>
  <c r="EG274" i="25"/>
  <c r="EX274" i="25" s="1"/>
  <c r="EF274" i="25"/>
  <c r="EW274" i="25" s="1"/>
  <c r="CG246" i="25"/>
  <c r="EE246" i="25"/>
  <c r="EF246" i="25"/>
  <c r="EW246" i="25" s="1"/>
  <c r="EG246" i="25"/>
  <c r="EX246" i="25" s="1"/>
  <c r="CH281" i="25"/>
  <c r="EE281" i="25"/>
  <c r="EG281" i="25"/>
  <c r="EX281" i="25" s="1"/>
  <c r="EF281" i="25"/>
  <c r="EW281" i="25" s="1"/>
  <c r="CH307" i="25"/>
  <c r="EE307" i="25"/>
  <c r="EF307" i="25"/>
  <c r="EW307" i="25" s="1"/>
  <c r="EG307" i="25"/>
  <c r="EX307" i="25" s="1"/>
  <c r="CH217" i="25"/>
  <c r="EE217" i="25"/>
  <c r="EF217" i="25"/>
  <c r="EW217" i="25" s="1"/>
  <c r="EG217" i="25"/>
  <c r="EX217" i="25" s="1"/>
  <c r="CG302" i="25"/>
  <c r="EE302" i="25"/>
  <c r="EF302" i="25"/>
  <c r="EW302" i="25" s="1"/>
  <c r="EG302" i="25"/>
  <c r="EX302" i="25" s="1"/>
  <c r="CH288" i="25"/>
  <c r="EF288" i="25"/>
  <c r="EW288" i="25" s="1"/>
  <c r="EG288" i="25"/>
  <c r="EX288" i="25" s="1"/>
  <c r="EE288" i="25"/>
  <c r="CG270" i="25"/>
  <c r="EE270" i="25"/>
  <c r="EF270" i="25"/>
  <c r="EW270" i="25" s="1"/>
  <c r="EG270" i="25"/>
  <c r="EX270" i="25" s="1"/>
  <c r="CH272" i="25"/>
  <c r="EF272" i="25"/>
  <c r="EW272" i="25" s="1"/>
  <c r="EG272" i="25"/>
  <c r="EX272" i="25" s="1"/>
  <c r="EE272" i="25"/>
  <c r="CH249" i="25"/>
  <c r="EE249" i="25"/>
  <c r="EF249" i="25"/>
  <c r="EW249" i="25" s="1"/>
  <c r="EG249" i="25"/>
  <c r="EX249" i="25" s="1"/>
  <c r="CG273" i="25"/>
  <c r="EE273" i="25"/>
  <c r="EF273" i="25"/>
  <c r="EW273" i="25" s="1"/>
  <c r="EG273" i="25"/>
  <c r="EX273" i="25" s="1"/>
  <c r="CG258" i="25"/>
  <c r="EE258" i="25"/>
  <c r="EF258" i="25"/>
  <c r="EW258" i="25" s="1"/>
  <c r="EG258" i="25"/>
  <c r="EX258" i="25" s="1"/>
  <c r="CH304" i="25"/>
  <c r="EE304" i="25"/>
  <c r="EF304" i="25"/>
  <c r="EW304" i="25" s="1"/>
  <c r="EG304" i="25"/>
  <c r="EX304" i="25" s="1"/>
  <c r="CH259" i="25"/>
  <c r="EE259" i="25"/>
  <c r="EF259" i="25"/>
  <c r="EW259" i="25" s="1"/>
  <c r="EG259" i="25"/>
  <c r="EX259" i="25" s="1"/>
  <c r="CH231" i="25"/>
  <c r="EG231" i="25"/>
  <c r="EX231" i="25" s="1"/>
  <c r="EE231" i="25"/>
  <c r="EF231" i="25"/>
  <c r="EW231" i="25" s="1"/>
  <c r="CH251" i="25"/>
  <c r="EE251" i="25"/>
  <c r="EF251" i="25"/>
  <c r="EW251" i="25" s="1"/>
  <c r="EG251" i="25"/>
  <c r="EX251" i="25" s="1"/>
  <c r="CG226" i="25"/>
  <c r="EE226" i="25"/>
  <c r="EF226" i="25"/>
  <c r="EW226" i="25" s="1"/>
  <c r="EG226" i="25"/>
  <c r="EX226" i="25" s="1"/>
  <c r="CH308" i="25"/>
  <c r="EE308" i="25"/>
  <c r="EF308" i="25"/>
  <c r="EW308" i="25" s="1"/>
  <c r="EG308" i="25"/>
  <c r="EX308" i="25" s="1"/>
  <c r="CH305" i="25"/>
  <c r="EE305" i="25"/>
  <c r="EF305" i="25"/>
  <c r="EW305" i="25" s="1"/>
  <c r="EG305" i="25"/>
  <c r="EX305" i="25" s="1"/>
  <c r="CH260" i="25"/>
  <c r="EF260" i="25"/>
  <c r="EW260" i="25" s="1"/>
  <c r="EG260" i="25"/>
  <c r="EX260" i="25" s="1"/>
  <c r="EE260" i="25"/>
  <c r="CG268" i="25"/>
  <c r="EG268" i="25"/>
  <c r="EX268" i="25" s="1"/>
  <c r="EE268" i="25"/>
  <c r="EF268" i="25"/>
  <c r="EW268" i="25" s="1"/>
  <c r="CG254" i="25"/>
  <c r="EG254" i="25"/>
  <c r="EX254" i="25" s="1"/>
  <c r="EE254" i="25"/>
  <c r="EF254" i="25"/>
  <c r="EW254" i="25" s="1"/>
  <c r="CH263" i="25"/>
  <c r="EE263" i="25"/>
  <c r="EF263" i="25"/>
  <c r="EW263" i="25" s="1"/>
  <c r="EG263" i="25"/>
  <c r="EX263" i="25" s="1"/>
  <c r="CH236" i="25"/>
  <c r="EE236" i="25"/>
  <c r="EF236" i="25"/>
  <c r="EW236" i="25" s="1"/>
  <c r="EG236" i="25"/>
  <c r="EX236" i="25" s="1"/>
  <c r="CH227" i="25"/>
  <c r="EE227" i="25"/>
  <c r="EF227" i="25"/>
  <c r="EW227" i="25" s="1"/>
  <c r="EG227" i="25"/>
  <c r="EX227" i="25" s="1"/>
  <c r="CG238" i="25"/>
  <c r="EE238" i="25"/>
  <c r="EF238" i="25"/>
  <c r="EW238" i="25" s="1"/>
  <c r="EG238" i="25"/>
  <c r="EX238" i="25" s="1"/>
  <c r="CG298" i="25"/>
  <c r="EG298" i="25"/>
  <c r="EX298" i="25" s="1"/>
  <c r="EE298" i="25"/>
  <c r="EF298" i="25"/>
  <c r="EW298" i="25" s="1"/>
  <c r="CH284" i="25"/>
  <c r="EE284" i="25"/>
  <c r="EG284" i="25"/>
  <c r="EX284" i="25" s="1"/>
  <c r="EF284" i="25"/>
  <c r="EW284" i="25" s="1"/>
  <c r="CH286" i="25"/>
  <c r="EE286" i="25"/>
  <c r="EF286" i="25"/>
  <c r="EW286" i="25" s="1"/>
  <c r="EG286" i="25"/>
  <c r="EX286" i="25" s="1"/>
  <c r="CH297" i="25"/>
  <c r="EE297" i="25"/>
  <c r="EF297" i="25"/>
  <c r="EW297" i="25" s="1"/>
  <c r="EG297" i="25"/>
  <c r="EX297" i="25" s="1"/>
  <c r="CG218" i="25"/>
  <c r="EE218" i="25"/>
  <c r="EF218" i="25"/>
  <c r="EW218" i="25" s="1"/>
  <c r="EG218" i="25"/>
  <c r="EX218" i="25" s="1"/>
  <c r="CH232" i="25"/>
  <c r="EF232" i="25"/>
  <c r="EW232" i="25" s="1"/>
  <c r="EG232" i="25"/>
  <c r="EX232" i="25" s="1"/>
  <c r="EE232" i="25"/>
  <c r="CH295" i="25"/>
  <c r="EE295" i="25"/>
  <c r="EG295" i="25"/>
  <c r="EX295" i="25" s="1"/>
  <c r="EF295" i="25"/>
  <c r="EW295" i="25" s="1"/>
  <c r="CH241" i="25"/>
  <c r="EE241" i="25"/>
  <c r="EF241" i="25"/>
  <c r="EW241" i="25" s="1"/>
  <c r="EG241" i="25"/>
  <c r="EX241" i="25" s="1"/>
  <c r="CH287" i="25"/>
  <c r="EF287" i="25"/>
  <c r="EW287" i="25" s="1"/>
  <c r="EG287" i="25"/>
  <c r="EX287" i="25" s="1"/>
  <c r="EE287" i="25"/>
  <c r="CG313" i="25"/>
  <c r="EE313" i="25"/>
  <c r="EF313" i="25"/>
  <c r="EW313" i="25" s="1"/>
  <c r="EG313" i="25"/>
  <c r="EX313" i="25" s="1"/>
  <c r="CH257" i="25"/>
  <c r="EF257" i="25"/>
  <c r="EW257" i="25" s="1"/>
  <c r="EG257" i="25"/>
  <c r="EX257" i="25" s="1"/>
  <c r="EE257" i="25"/>
  <c r="CH301" i="25"/>
  <c r="EE301" i="25"/>
  <c r="EF301" i="25"/>
  <c r="EW301" i="25" s="1"/>
  <c r="EG301" i="25"/>
  <c r="EX301" i="25" s="1"/>
  <c r="CH311" i="25"/>
  <c r="EE311" i="25"/>
  <c r="EF311" i="25"/>
  <c r="EW311" i="25" s="1"/>
  <c r="EG311" i="25"/>
  <c r="EX311" i="25" s="1"/>
  <c r="CH279" i="25"/>
  <c r="EE279" i="25"/>
  <c r="EG279" i="25"/>
  <c r="EX279" i="25" s="1"/>
  <c r="EF279" i="25"/>
  <c r="EW279" i="25" s="1"/>
  <c r="CG229" i="25"/>
  <c r="EE229" i="25"/>
  <c r="EF229" i="25"/>
  <c r="EW229" i="25" s="1"/>
  <c r="EG229" i="25"/>
  <c r="EX229" i="25" s="1"/>
  <c r="CH283" i="25"/>
  <c r="EE283" i="25"/>
  <c r="EF283" i="25"/>
  <c r="EW283" i="25" s="1"/>
  <c r="EG283" i="25"/>
  <c r="EX283" i="25" s="1"/>
  <c r="CG240" i="25"/>
  <c r="EE240" i="25"/>
  <c r="EF240" i="25"/>
  <c r="EW240" i="25" s="1"/>
  <c r="EG240" i="25"/>
  <c r="EX240" i="25" s="1"/>
  <c r="CH265" i="25"/>
  <c r="EF265" i="25"/>
  <c r="EW265" i="25" s="1"/>
  <c r="EG265" i="25"/>
  <c r="EX265" i="25" s="1"/>
  <c r="EE265" i="25"/>
  <c r="CG222" i="25"/>
  <c r="EE222" i="25"/>
  <c r="EF222" i="25"/>
  <c r="EW222" i="25" s="1"/>
  <c r="EG222" i="25"/>
  <c r="EX222" i="25" s="1"/>
  <c r="CH292" i="25"/>
  <c r="EE292" i="25"/>
  <c r="EF292" i="25"/>
  <c r="EW292" i="25" s="1"/>
  <c r="EG292" i="25"/>
  <c r="EX292" i="25" s="1"/>
  <c r="CH243" i="25"/>
  <c r="EF243" i="25"/>
  <c r="EW243" i="25" s="1"/>
  <c r="EG243" i="25"/>
  <c r="EX243" i="25" s="1"/>
  <c r="EE243" i="25"/>
  <c r="CH291" i="25"/>
  <c r="EE291" i="25"/>
  <c r="EF291" i="25"/>
  <c r="EW291" i="25" s="1"/>
  <c r="EG291" i="25"/>
  <c r="EX291" i="25" s="1"/>
  <c r="CH271" i="25"/>
  <c r="EE271" i="25"/>
  <c r="EG271" i="25"/>
  <c r="EX271" i="25" s="1"/>
  <c r="EF271" i="25"/>
  <c r="EW271" i="25" s="1"/>
  <c r="CH276" i="25"/>
  <c r="EE276" i="25"/>
  <c r="EF276" i="25"/>
  <c r="EW276" i="25" s="1"/>
  <c r="EG276" i="25"/>
  <c r="EX276" i="25" s="1"/>
  <c r="CH316" i="25"/>
  <c r="EE316" i="25"/>
  <c r="EF316" i="25"/>
  <c r="EW316" i="25" s="1"/>
  <c r="EG316" i="25"/>
  <c r="EX316" i="25" s="1"/>
  <c r="CH233" i="25"/>
  <c r="EE233" i="25"/>
  <c r="EF233" i="25"/>
  <c r="EW233" i="25" s="1"/>
  <c r="EG233" i="25"/>
  <c r="EX233" i="25" s="1"/>
  <c r="CG225" i="25"/>
  <c r="EE225" i="25"/>
  <c r="EF225" i="25"/>
  <c r="EW225" i="25" s="1"/>
  <c r="EG225" i="25"/>
  <c r="EX225" i="25" s="1"/>
  <c r="CH221" i="25"/>
  <c r="EG221" i="25"/>
  <c r="EX221" i="25" s="1"/>
  <c r="EE221" i="25"/>
  <c r="EF221" i="25"/>
  <c r="EW221" i="25" s="1"/>
  <c r="CG294" i="25"/>
  <c r="EE294" i="25"/>
  <c r="EF294" i="25"/>
  <c r="EW294" i="25" s="1"/>
  <c r="EG294" i="25"/>
  <c r="EX294" i="25" s="1"/>
  <c r="CH247" i="25"/>
  <c r="EE247" i="25"/>
  <c r="EF247" i="25"/>
  <c r="EW247" i="25" s="1"/>
  <c r="EG247" i="25"/>
  <c r="EX247" i="25" s="1"/>
  <c r="CH315" i="25"/>
  <c r="EE315" i="25"/>
  <c r="EF315" i="25"/>
  <c r="EW315" i="25" s="1"/>
  <c r="EG315" i="25"/>
  <c r="EX315" i="25" s="1"/>
  <c r="CH289" i="25"/>
  <c r="EE289" i="25"/>
  <c r="EF289" i="25"/>
  <c r="EW289" i="25" s="1"/>
  <c r="EG289" i="25"/>
  <c r="EX289" i="25" s="1"/>
  <c r="CH277" i="25"/>
  <c r="EF277" i="25"/>
  <c r="EW277" i="25" s="1"/>
  <c r="EG277" i="25"/>
  <c r="EX277" i="25" s="1"/>
  <c r="EE277" i="25"/>
  <c r="CH261" i="25"/>
  <c r="EE261" i="25"/>
  <c r="EF261" i="25"/>
  <c r="EW261" i="25" s="1"/>
  <c r="EG261" i="25"/>
  <c r="EX261" i="25" s="1"/>
  <c r="CG252" i="25"/>
  <c r="EE252" i="25"/>
  <c r="EF252" i="25"/>
  <c r="EW252" i="25" s="1"/>
  <c r="EG252" i="25"/>
  <c r="EX252" i="25" s="1"/>
  <c r="CG267" i="25"/>
  <c r="EE267" i="25"/>
  <c r="EF267" i="25"/>
  <c r="EW267" i="25" s="1"/>
  <c r="EG267" i="25"/>
  <c r="EX267" i="25" s="1"/>
  <c r="CH293" i="25"/>
  <c r="EG293" i="25"/>
  <c r="EX293" i="25" s="1"/>
  <c r="EE293" i="25"/>
  <c r="EF293" i="25"/>
  <c r="EW293" i="25" s="1"/>
  <c r="CH219" i="25"/>
  <c r="EE219" i="25"/>
  <c r="EF219" i="25"/>
  <c r="EW219" i="25" s="1"/>
  <c r="EG219" i="25"/>
  <c r="EX219" i="25" s="1"/>
  <c r="CH280" i="25"/>
  <c r="EE280" i="25"/>
  <c r="EF280" i="25"/>
  <c r="EW280" i="25" s="1"/>
  <c r="EG280" i="25"/>
  <c r="EX280" i="25" s="1"/>
  <c r="CH228" i="25"/>
  <c r="EE228" i="25"/>
  <c r="EF228" i="25"/>
  <c r="EW228" i="25" s="1"/>
  <c r="EG228" i="25"/>
  <c r="EX228" i="25" s="1"/>
  <c r="CG275" i="25"/>
  <c r="EG275" i="25"/>
  <c r="EX275" i="25" s="1"/>
  <c r="EE275" i="25"/>
  <c r="EF275" i="25"/>
  <c r="EW275" i="25" s="1"/>
  <c r="CH299" i="25"/>
  <c r="EE299" i="25"/>
  <c r="EF299" i="25"/>
  <c r="EW299" i="25" s="1"/>
  <c r="EG299" i="25"/>
  <c r="EX299" i="25" s="1"/>
  <c r="CH296" i="25"/>
  <c r="EF296" i="25"/>
  <c r="EW296" i="25" s="1"/>
  <c r="EG296" i="25"/>
  <c r="EX296" i="25" s="1"/>
  <c r="EE296" i="25"/>
  <c r="CH256" i="25"/>
  <c r="EE256" i="25"/>
  <c r="EF256" i="25"/>
  <c r="EW256" i="25" s="1"/>
  <c r="EG256" i="25"/>
  <c r="EX256" i="25" s="1"/>
  <c r="CG290" i="25"/>
  <c r="EG290" i="25"/>
  <c r="EX290" i="25" s="1"/>
  <c r="EE290" i="25"/>
  <c r="EF290" i="25"/>
  <c r="EW290" i="25" s="1"/>
  <c r="CG234" i="25"/>
  <c r="EE234" i="25"/>
  <c r="EF234" i="25"/>
  <c r="EW234" i="25" s="1"/>
  <c r="EG234" i="25"/>
  <c r="EX234" i="25" s="1"/>
  <c r="CH239" i="25"/>
  <c r="EE239" i="25"/>
  <c r="EF239" i="25"/>
  <c r="EW239" i="25" s="1"/>
  <c r="EG239" i="25"/>
  <c r="EX239" i="25" s="1"/>
  <c r="CH224" i="25"/>
  <c r="EG224" i="25"/>
  <c r="EX224" i="25" s="1"/>
  <c r="EE224" i="25"/>
  <c r="EF224" i="25"/>
  <c r="EW224" i="25" s="1"/>
  <c r="CH223" i="25"/>
  <c r="EE223" i="25"/>
  <c r="EF223" i="25"/>
  <c r="EW223" i="25" s="1"/>
  <c r="EG223" i="25"/>
  <c r="EX223" i="25" s="1"/>
  <c r="CH220" i="25"/>
  <c r="EE220" i="25"/>
  <c r="EF220" i="25"/>
  <c r="EW220" i="25" s="1"/>
  <c r="EG220" i="25"/>
  <c r="EX220" i="25" s="1"/>
  <c r="CG278" i="25"/>
  <c r="EE278" i="25"/>
  <c r="EF278" i="25"/>
  <c r="EW278" i="25" s="1"/>
  <c r="EG278" i="25"/>
  <c r="EX278" i="25" s="1"/>
  <c r="CH269" i="25"/>
  <c r="EE269" i="25"/>
  <c r="EF269" i="25"/>
  <c r="EW269" i="25" s="1"/>
  <c r="EG269" i="25"/>
  <c r="EX269" i="25" s="1"/>
  <c r="CH282" i="25"/>
  <c r="EE282" i="25"/>
  <c r="EF282" i="25"/>
  <c r="EW282" i="25" s="1"/>
  <c r="EG282" i="25"/>
  <c r="EX282" i="25" s="1"/>
  <c r="CG314" i="25"/>
  <c r="EE314" i="25"/>
  <c r="EF314" i="25"/>
  <c r="EW314" i="25" s="1"/>
  <c r="EG314" i="25"/>
  <c r="EX314" i="25" s="1"/>
  <c r="CH255" i="25"/>
  <c r="EE255" i="25"/>
  <c r="EF255" i="25"/>
  <c r="EW255" i="25" s="1"/>
  <c r="EG255" i="25"/>
  <c r="EX255" i="25" s="1"/>
  <c r="CH309" i="25"/>
  <c r="EF309" i="25"/>
  <c r="EW309" i="25" s="1"/>
  <c r="EG309" i="25"/>
  <c r="EX309" i="25" s="1"/>
  <c r="EE309" i="25"/>
  <c r="CG310" i="25"/>
  <c r="EE310" i="25"/>
  <c r="EF310" i="25"/>
  <c r="EW310" i="25" s="1"/>
  <c r="EG310" i="25"/>
  <c r="EX310" i="25" s="1"/>
  <c r="CG306" i="25"/>
  <c r="EF306" i="25"/>
  <c r="EW306" i="25" s="1"/>
  <c r="EG306" i="25"/>
  <c r="EX306" i="25" s="1"/>
  <c r="EE306" i="25"/>
  <c r="CG250" i="25"/>
  <c r="EE250" i="25"/>
  <c r="EF250" i="25"/>
  <c r="EW250" i="25" s="1"/>
  <c r="EG250" i="25"/>
  <c r="EX250" i="25" s="1"/>
  <c r="CH245" i="25"/>
  <c r="EG245" i="25"/>
  <c r="EX245" i="25" s="1"/>
  <c r="EE245" i="25"/>
  <c r="EF245" i="25"/>
  <c r="EW245" i="25" s="1"/>
  <c r="CH244" i="25"/>
  <c r="EE244" i="25"/>
  <c r="EF244" i="25"/>
  <c r="EW244" i="25" s="1"/>
  <c r="EG244" i="25"/>
  <c r="EX244" i="25" s="1"/>
  <c r="EG112" i="25"/>
  <c r="EX112" i="25" s="1"/>
  <c r="EE112" i="25"/>
  <c r="CG112" i="25"/>
  <c r="CH112" i="25"/>
  <c r="EF112" i="25"/>
  <c r="EW112" i="25" s="1"/>
  <c r="CH65" i="25"/>
  <c r="CG136" i="25"/>
  <c r="CH115" i="25"/>
  <c r="CG190" i="25"/>
  <c r="CH82" i="25"/>
  <c r="CH51" i="25"/>
  <c r="CH170" i="25"/>
  <c r="CH194" i="25"/>
  <c r="CH192" i="25"/>
  <c r="CH55" i="25"/>
  <c r="CH198" i="25"/>
  <c r="CH185" i="25"/>
  <c r="CH205" i="25"/>
  <c r="CH70" i="25"/>
  <c r="CH200" i="25"/>
  <c r="CG110" i="25"/>
  <c r="CG207" i="25"/>
  <c r="CG169" i="25"/>
  <c r="CH131" i="25"/>
  <c r="CH174" i="25"/>
  <c r="CH147" i="25"/>
  <c r="CH158" i="25"/>
  <c r="CH114" i="25"/>
  <c r="CH171" i="25"/>
  <c r="CH187" i="25"/>
  <c r="CH79" i="25"/>
  <c r="CH122" i="25"/>
  <c r="CH64" i="25"/>
  <c r="CH155" i="25"/>
  <c r="CH148" i="25"/>
  <c r="CG159" i="25"/>
  <c r="CH156" i="25"/>
  <c r="CH119" i="25"/>
  <c r="CG160" i="25"/>
  <c r="CH24" i="25"/>
  <c r="CG204" i="25"/>
  <c r="CG179" i="25"/>
  <c r="CH83" i="25"/>
  <c r="CG203" i="25"/>
  <c r="CH130" i="25"/>
  <c r="CG172" i="25"/>
  <c r="CH6" i="25"/>
  <c r="CG145" i="25"/>
  <c r="CG133" i="25"/>
  <c r="CG120" i="25"/>
  <c r="CH19" i="25"/>
  <c r="CH184" i="25"/>
  <c r="CH48" i="25"/>
  <c r="CG121" i="25"/>
  <c r="CG208" i="25"/>
  <c r="CH99" i="25"/>
  <c r="CH53" i="25"/>
  <c r="CG168" i="25"/>
  <c r="CH15" i="25"/>
  <c r="CG132" i="25"/>
  <c r="CH29" i="25"/>
  <c r="CH35" i="25"/>
  <c r="CG152" i="25"/>
  <c r="CG161" i="25"/>
  <c r="CH96" i="25"/>
  <c r="CG124" i="25"/>
  <c r="CH21" i="25"/>
  <c r="CH32" i="25"/>
  <c r="CH54" i="25"/>
  <c r="CH87" i="25"/>
  <c r="CH18" i="25"/>
  <c r="CH28" i="25"/>
  <c r="CH63" i="25"/>
  <c r="CH26" i="25"/>
  <c r="CH38" i="25"/>
  <c r="CH41" i="25"/>
  <c r="CH36" i="25"/>
  <c r="CH44" i="25"/>
  <c r="CG173" i="25"/>
  <c r="CG196" i="25"/>
  <c r="CG116" i="25"/>
  <c r="CH14" i="25"/>
  <c r="CH17" i="25"/>
  <c r="CH76" i="25"/>
  <c r="CH84" i="25"/>
  <c r="CG202" i="25"/>
  <c r="CH127" i="25"/>
  <c r="CG206" i="25"/>
  <c r="CH69" i="25"/>
  <c r="CH42" i="25"/>
  <c r="CG134" i="25"/>
  <c r="CH43" i="25"/>
  <c r="CG153" i="25"/>
  <c r="CH62" i="25"/>
  <c r="CH12" i="25"/>
  <c r="CG201" i="25"/>
  <c r="CG139" i="25"/>
  <c r="CH61" i="25"/>
  <c r="CH49" i="25"/>
  <c r="CG210" i="25"/>
  <c r="CG167" i="25"/>
  <c r="CH23" i="25"/>
  <c r="CG111" i="25"/>
  <c r="CG123" i="25"/>
  <c r="CH11" i="25"/>
  <c r="CG176" i="25"/>
  <c r="CG195" i="25"/>
  <c r="CH104" i="25"/>
  <c r="CH90" i="25"/>
  <c r="CH173" i="25"/>
  <c r="CH118" i="25"/>
  <c r="CH67" i="25"/>
  <c r="CH57" i="25"/>
  <c r="CG197" i="25"/>
  <c r="CG157" i="25"/>
  <c r="CG151" i="25"/>
  <c r="CH30" i="25"/>
  <c r="CG186" i="25"/>
  <c r="CG166" i="25"/>
  <c r="CG154" i="25"/>
  <c r="CH9" i="25"/>
  <c r="CH16" i="25"/>
  <c r="CG142" i="25"/>
  <c r="CH95" i="25"/>
  <c r="CG135" i="25"/>
  <c r="CG162" i="25"/>
  <c r="CH68" i="25"/>
  <c r="CG141" i="25"/>
  <c r="CG117" i="25"/>
  <c r="CH60" i="25"/>
  <c r="CH39" i="25"/>
  <c r="CG140" i="25"/>
  <c r="CH100" i="25"/>
  <c r="CH80" i="25"/>
  <c r="CG144" i="25"/>
  <c r="CH92" i="25"/>
  <c r="CG188" i="25"/>
  <c r="CG113" i="25"/>
  <c r="CH101" i="25"/>
  <c r="CG165" i="25"/>
  <c r="CH10" i="25"/>
  <c r="CG126" i="25"/>
  <c r="CH93" i="25"/>
  <c r="CG137" i="25"/>
  <c r="CG125" i="25"/>
  <c r="CG191" i="25"/>
  <c r="CG193" i="25"/>
  <c r="CG209" i="25"/>
  <c r="CH85" i="25"/>
  <c r="CH94" i="25"/>
  <c r="CG146" i="25"/>
  <c r="CH46" i="25"/>
  <c r="CG149" i="25"/>
  <c r="CG150" i="25"/>
  <c r="CG129" i="25"/>
  <c r="CG175" i="25"/>
  <c r="CH13" i="25"/>
  <c r="CH75" i="25"/>
  <c r="CH72" i="25"/>
  <c r="EA78" i="24"/>
  <c r="FL78" i="24" s="1"/>
  <c r="CH183" i="25"/>
  <c r="CG183" i="25"/>
  <c r="CH102" i="25"/>
  <c r="CH27" i="25"/>
  <c r="CG128" i="25"/>
  <c r="CH20" i="25"/>
  <c r="CH105" i="25"/>
  <c r="CG189" i="25"/>
  <c r="CG163" i="25"/>
  <c r="CH78" i="25"/>
  <c r="CH137" i="25"/>
  <c r="CH59" i="25"/>
  <c r="CH22" i="25"/>
  <c r="CG180" i="25"/>
  <c r="CG199" i="25"/>
  <c r="CH66" i="25"/>
  <c r="CG177" i="25"/>
  <c r="CG164" i="25"/>
  <c r="CH34" i="25"/>
  <c r="CH86" i="25"/>
  <c r="CG178" i="25"/>
  <c r="CH98" i="25"/>
  <c r="CH50" i="25"/>
  <c r="CH7" i="25"/>
  <c r="CH8" i="25"/>
  <c r="CH74" i="25"/>
  <c r="CH128" i="25"/>
  <c r="CG171" i="25"/>
  <c r="CH97" i="25"/>
  <c r="CH71" i="25"/>
  <c r="CH199" i="25"/>
  <c r="CH33" i="25"/>
  <c r="CH88" i="25"/>
  <c r="CH45" i="25"/>
  <c r="CH164" i="25"/>
  <c r="CH40" i="25"/>
  <c r="CH52" i="25"/>
  <c r="CH91" i="25"/>
  <c r="CH31" i="25"/>
  <c r="CG103" i="25"/>
  <c r="CG86" i="25"/>
  <c r="I110" i="24"/>
  <c r="M110" i="24" s="1"/>
  <c r="CG6" i="25"/>
  <c r="CG39" i="25"/>
  <c r="CG49" i="25"/>
  <c r="CG78" i="25"/>
  <c r="CG24" i="25"/>
  <c r="CG63" i="25"/>
  <c r="CG42" i="25"/>
  <c r="CG38" i="25"/>
  <c r="CG14" i="25"/>
  <c r="CG41" i="25"/>
  <c r="CG10" i="25"/>
  <c r="CG96" i="25"/>
  <c r="EF58" i="25"/>
  <c r="EW58" i="25" s="1"/>
  <c r="FL58" i="25"/>
  <c r="CG101" i="25"/>
  <c r="CG61" i="25"/>
  <c r="CG66" i="25"/>
  <c r="CG44" i="25"/>
  <c r="CG98" i="25"/>
  <c r="CG84" i="25"/>
  <c r="CG45" i="25"/>
  <c r="EF81" i="25"/>
  <c r="EW81" i="25" s="1"/>
  <c r="FL81" i="25"/>
  <c r="EG56" i="25"/>
  <c r="EX56" i="25" s="1"/>
  <c r="FL56" i="25"/>
  <c r="CG17" i="25"/>
  <c r="EF77" i="25"/>
  <c r="EW77" i="25" s="1"/>
  <c r="FL77" i="25"/>
  <c r="EE89" i="25"/>
  <c r="EV89" i="25" s="1"/>
  <c r="FL89" i="25"/>
  <c r="EE103" i="25"/>
  <c r="EV103" i="25" s="1"/>
  <c r="FL103" i="25"/>
  <c r="CG102" i="25"/>
  <c r="CG9" i="25"/>
  <c r="CG105" i="25"/>
  <c r="CG65" i="25"/>
  <c r="CG87" i="25"/>
  <c r="CG95" i="25"/>
  <c r="CG23" i="25"/>
  <c r="CG88" i="25"/>
  <c r="CG55" i="25"/>
  <c r="CG90" i="25"/>
  <c r="CG15" i="25"/>
  <c r="CG82" i="25"/>
  <c r="CG57" i="25"/>
  <c r="CG73" i="25"/>
  <c r="CG8" i="25"/>
  <c r="CG104" i="25"/>
  <c r="CG31" i="25"/>
  <c r="CG21" i="25"/>
  <c r="CG99" i="25"/>
  <c r="CG36" i="25"/>
  <c r="CG59" i="25"/>
  <c r="CG11" i="25"/>
  <c r="CG53" i="25"/>
  <c r="CG29" i="25"/>
  <c r="CG35" i="25"/>
  <c r="CG13" i="25"/>
  <c r="CG51" i="25"/>
  <c r="CG70" i="25"/>
  <c r="CG81" i="25"/>
  <c r="CG25" i="25"/>
  <c r="CG62" i="25"/>
  <c r="CG22" i="25"/>
  <c r="CG97" i="25"/>
  <c r="CG30" i="25"/>
  <c r="CG26" i="25"/>
  <c r="CG79" i="25"/>
  <c r="CG56" i="25"/>
  <c r="CG80" i="25"/>
  <c r="CG50" i="25"/>
  <c r="CG72" i="25"/>
  <c r="CG74" i="25"/>
  <c r="EG47" i="25"/>
  <c r="EX47" i="25" s="1"/>
  <c r="FL47" i="25"/>
  <c r="EG37" i="25"/>
  <c r="EX37" i="25" s="1"/>
  <c r="FL37" i="25"/>
  <c r="CG69" i="25"/>
  <c r="CG19" i="25"/>
  <c r="CG12" i="25"/>
  <c r="CG37" i="25"/>
  <c r="CG68" i="25"/>
  <c r="CG28" i="25"/>
  <c r="CG34" i="25"/>
  <c r="CG60" i="25"/>
  <c r="CG93" i="25"/>
  <c r="CG100" i="25"/>
  <c r="CG76" i="25"/>
  <c r="CG77" i="25"/>
  <c r="EF25" i="25"/>
  <c r="EW25" i="25" s="1"/>
  <c r="FL25" i="25"/>
  <c r="CG32" i="25"/>
  <c r="CG16" i="25"/>
  <c r="CG94" i="25"/>
  <c r="CG58" i="25"/>
  <c r="CG18" i="25"/>
  <c r="CG71" i="25"/>
  <c r="CG48" i="25"/>
  <c r="CG40" i="25"/>
  <c r="CG46" i="25"/>
  <c r="CG89" i="25"/>
  <c r="CG47" i="25"/>
  <c r="CG64" i="25"/>
  <c r="CG7" i="25"/>
  <c r="CG54" i="25"/>
  <c r="EF33" i="25"/>
  <c r="EW33" i="25" s="1"/>
  <c r="FL33" i="25"/>
  <c r="EF73" i="25"/>
  <c r="EW73" i="25" s="1"/>
  <c r="FL73" i="25"/>
  <c r="CG27" i="25"/>
  <c r="CG20" i="25"/>
  <c r="CG43" i="25"/>
  <c r="CG92" i="25"/>
  <c r="CG85" i="25"/>
  <c r="CG67" i="25"/>
  <c r="CG83" i="25"/>
  <c r="CG52" i="25"/>
  <c r="CG91" i="25"/>
  <c r="CG75" i="25"/>
  <c r="EF47" i="25"/>
  <c r="EW47" i="25" s="1"/>
  <c r="EA92" i="24"/>
  <c r="FL92" i="24" s="1"/>
  <c r="EA74" i="24"/>
  <c r="FL74" i="24" s="1"/>
  <c r="EA60" i="24"/>
  <c r="EC60" i="24" s="1"/>
  <c r="ED60" i="24" s="1"/>
  <c r="EE64" i="25"/>
  <c r="EV64" i="25" s="1"/>
  <c r="EA39" i="24"/>
  <c r="CG190" i="24"/>
  <c r="EA169" i="24"/>
  <c r="EA44" i="24"/>
  <c r="EE164" i="25"/>
  <c r="EI164" i="25" s="1"/>
  <c r="EG103" i="25"/>
  <c r="EX103" i="25" s="1"/>
  <c r="EF103" i="25"/>
  <c r="EW103" i="25" s="1"/>
  <c r="EF64" i="25"/>
  <c r="EW64" i="25" s="1"/>
  <c r="EG64" i="25"/>
  <c r="EX64" i="25" s="1"/>
  <c r="EF96" i="25"/>
  <c r="EW96" i="25" s="1"/>
  <c r="EG96" i="25"/>
  <c r="EX96" i="25" s="1"/>
  <c r="EG89" i="25"/>
  <c r="EX89" i="25" s="1"/>
  <c r="EE96" i="25"/>
  <c r="EV96" i="25" s="1"/>
  <c r="EF89" i="25"/>
  <c r="EW89" i="25" s="1"/>
  <c r="EF128" i="25"/>
  <c r="EW128" i="25" s="1"/>
  <c r="EE128" i="25"/>
  <c r="EV128" i="25" s="1"/>
  <c r="EE77" i="25"/>
  <c r="EV77" i="25" s="1"/>
  <c r="EA127" i="24"/>
  <c r="FL127" i="24" s="1"/>
  <c r="EG183" i="25"/>
  <c r="EX183" i="25" s="1"/>
  <c r="EE183" i="25"/>
  <c r="EV183" i="25" s="1"/>
  <c r="EF183" i="25"/>
  <c r="EW183" i="25" s="1"/>
  <c r="EF95" i="25"/>
  <c r="EW95" i="25" s="1"/>
  <c r="EE185" i="25"/>
  <c r="EI185" i="25" s="1"/>
  <c r="EF185" i="25"/>
  <c r="EW185" i="25" s="1"/>
  <c r="EG97" i="25"/>
  <c r="EX97" i="25" s="1"/>
  <c r="EG158" i="25"/>
  <c r="EX158" i="25" s="1"/>
  <c r="EG145" i="25"/>
  <c r="EX145" i="25" s="1"/>
  <c r="EF158" i="25"/>
  <c r="EW158" i="25" s="1"/>
  <c r="EE145" i="25"/>
  <c r="EI145" i="25" s="1"/>
  <c r="EE158" i="25"/>
  <c r="EV158" i="25" s="1"/>
  <c r="EF145" i="25"/>
  <c r="EW145" i="25" s="1"/>
  <c r="EE136" i="25"/>
  <c r="EI136" i="25" s="1"/>
  <c r="EF99" i="25"/>
  <c r="EW99" i="25" s="1"/>
  <c r="EG136" i="25"/>
  <c r="EX136" i="25" s="1"/>
  <c r="EG99" i="25"/>
  <c r="EX99" i="25" s="1"/>
  <c r="EF136" i="25"/>
  <c r="EW136" i="25" s="1"/>
  <c r="EE99" i="25"/>
  <c r="EV99" i="25" s="1"/>
  <c r="EE97" i="25"/>
  <c r="EV97" i="25" s="1"/>
  <c r="EF97" i="25"/>
  <c r="EW97" i="25" s="1"/>
  <c r="EG95" i="25"/>
  <c r="EX95" i="25" s="1"/>
  <c r="EE131" i="25"/>
  <c r="EV131" i="25" s="1"/>
  <c r="EF74" i="25"/>
  <c r="EW74" i="25" s="1"/>
  <c r="EF83" i="25"/>
  <c r="EW83" i="25" s="1"/>
  <c r="EF93" i="25"/>
  <c r="EW93" i="25" s="1"/>
  <c r="EA126" i="24"/>
  <c r="EE95" i="25"/>
  <c r="EV95" i="25" s="1"/>
  <c r="EG185" i="25"/>
  <c r="EX185" i="25" s="1"/>
  <c r="EE17" i="25"/>
  <c r="EI17" i="25" s="1"/>
  <c r="EO17" i="25" s="1"/>
  <c r="EF17" i="25"/>
  <c r="EW17" i="25" s="1"/>
  <c r="EG17" i="25"/>
  <c r="EX17" i="25" s="1"/>
  <c r="EG74" i="25"/>
  <c r="EX74" i="25" s="1"/>
  <c r="EF131" i="25"/>
  <c r="EW131" i="25" s="1"/>
  <c r="EE74" i="25"/>
  <c r="EV74" i="25" s="1"/>
  <c r="EG131" i="25"/>
  <c r="EX131" i="25" s="1"/>
  <c r="EA37" i="24"/>
  <c r="EA52" i="24"/>
  <c r="EA172" i="24"/>
  <c r="FL172" i="24" s="1"/>
  <c r="EG33" i="25"/>
  <c r="EX33" i="25" s="1"/>
  <c r="EF90" i="25"/>
  <c r="EW90" i="25" s="1"/>
  <c r="EE33" i="25"/>
  <c r="EV33" i="25" s="1"/>
  <c r="EG90" i="25"/>
  <c r="EX90" i="25" s="1"/>
  <c r="EE90" i="25"/>
  <c r="EI90" i="25" s="1"/>
  <c r="EO90" i="25" s="1"/>
  <c r="CG216" i="24"/>
  <c r="EG93" i="25"/>
  <c r="EX93" i="25" s="1"/>
  <c r="EE93" i="25"/>
  <c r="EV93" i="25" s="1"/>
  <c r="EA90" i="24"/>
  <c r="EG73" i="25"/>
  <c r="EX73" i="25" s="1"/>
  <c r="EE73" i="25"/>
  <c r="EV73" i="25" s="1"/>
  <c r="EG58" i="25"/>
  <c r="EX58" i="25" s="1"/>
  <c r="EE58" i="25"/>
  <c r="EV58" i="25" s="1"/>
  <c r="CH275" i="25"/>
  <c r="CG287" i="25"/>
  <c r="CH313" i="25"/>
  <c r="CH267" i="25"/>
  <c r="CG231" i="25"/>
  <c r="CG236" i="25"/>
  <c r="CH229" i="25"/>
  <c r="CH240" i="25"/>
  <c r="CH225" i="25"/>
  <c r="CH252" i="25"/>
  <c r="CG286" i="25"/>
  <c r="CH268" i="25"/>
  <c r="CG282" i="25"/>
  <c r="CH273" i="25"/>
  <c r="CG316" i="25"/>
  <c r="CH254" i="25"/>
  <c r="CH274" i="25"/>
  <c r="CG277" i="25"/>
  <c r="CH266" i="25"/>
  <c r="CG279" i="25"/>
  <c r="CG260" i="25"/>
  <c r="CG299" i="25"/>
  <c r="CG251" i="25"/>
  <c r="CG244" i="25"/>
  <c r="CG300" i="25"/>
  <c r="CG220" i="25"/>
  <c r="CG249" i="25"/>
  <c r="CG237" i="25"/>
  <c r="CH270" i="25"/>
  <c r="CG296" i="25"/>
  <c r="CG276" i="25"/>
  <c r="CG297" i="25"/>
  <c r="CG311" i="25"/>
  <c r="CH314" i="25"/>
  <c r="CG293" i="25"/>
  <c r="CG255" i="25"/>
  <c r="CG241" i="25"/>
  <c r="CG221" i="25"/>
  <c r="CH298" i="25"/>
  <c r="CG281" i="25"/>
  <c r="CG217" i="25"/>
  <c r="CG239" i="25"/>
  <c r="CH250" i="25"/>
  <c r="CG308" i="25"/>
  <c r="CG263" i="25"/>
  <c r="CH242" i="25"/>
  <c r="CG256" i="25"/>
  <c r="CG285" i="25"/>
  <c r="CH290" i="25"/>
  <c r="CH278" i="25"/>
  <c r="CG284" i="25"/>
  <c r="CG264" i="25"/>
  <c r="CH310" i="25"/>
  <c r="CG272" i="25"/>
  <c r="CG269" i="25"/>
  <c r="CG291" i="25"/>
  <c r="CH306" i="25"/>
  <c r="CG235" i="25"/>
  <c r="CH302" i="25"/>
  <c r="CG243" i="25"/>
  <c r="CG303" i="25"/>
  <c r="CH230" i="25"/>
  <c r="CH294" i="25"/>
  <c r="CG305" i="25"/>
  <c r="CG219" i="25"/>
  <c r="CG280" i="25"/>
  <c r="CG259" i="25"/>
  <c r="CH226" i="25"/>
  <c r="CH238" i="25"/>
  <c r="CG301" i="25"/>
  <c r="CH218" i="25"/>
  <c r="CG312" i="25"/>
  <c r="CG292" i="25"/>
  <c r="CG309" i="25"/>
  <c r="CG253" i="25"/>
  <c r="CG228" i="25"/>
  <c r="CG247" i="25"/>
  <c r="CG304" i="25"/>
  <c r="CG289" i="25"/>
  <c r="CG295" i="25"/>
  <c r="CG288" i="25"/>
  <c r="CH258" i="25"/>
  <c r="CG257" i="25"/>
  <c r="CG265" i="25"/>
  <c r="CH222" i="25"/>
  <c r="CG307" i="25"/>
  <c r="CG233" i="25"/>
  <c r="CG283" i="25"/>
  <c r="CH246" i="25"/>
  <c r="CG232" i="25"/>
  <c r="CH262" i="25"/>
  <c r="CH234" i="25"/>
  <c r="CG227" i="25"/>
  <c r="CG315" i="25"/>
  <c r="CG224" i="25"/>
  <c r="CG223" i="25"/>
  <c r="CG245" i="25"/>
  <c r="CG248" i="25"/>
  <c r="CG261" i="25"/>
  <c r="CG271" i="25"/>
  <c r="EA63" i="24"/>
  <c r="EA133" i="24"/>
  <c r="EF56" i="25"/>
  <c r="EW56" i="25" s="1"/>
  <c r="EE56" i="25"/>
  <c r="EI56" i="25" s="1"/>
  <c r="EO56" i="25" s="1"/>
  <c r="EE37" i="25"/>
  <c r="EV37" i="25" s="1"/>
  <c r="EF37" i="25"/>
  <c r="EW37" i="25" s="1"/>
  <c r="EF171" i="25"/>
  <c r="EW171" i="25" s="1"/>
  <c r="EV182" i="25"/>
  <c r="FB182" i="25" s="1"/>
  <c r="EG77" i="25"/>
  <c r="EX77" i="25" s="1"/>
  <c r="EF164" i="25"/>
  <c r="EW164" i="25" s="1"/>
  <c r="EG199" i="25"/>
  <c r="EX199" i="25" s="1"/>
  <c r="EE199" i="25"/>
  <c r="EV199" i="25" s="1"/>
  <c r="EE25" i="25"/>
  <c r="EV25" i="25" s="1"/>
  <c r="EK110" i="24"/>
  <c r="EW110" i="24"/>
  <c r="FB110" i="24" s="1"/>
  <c r="EK5" i="24"/>
  <c r="EQ5" i="24" s="1"/>
  <c r="EW5" i="24"/>
  <c r="EZ5" i="24" s="1"/>
  <c r="FB5" i="24" s="1"/>
  <c r="EF194" i="25"/>
  <c r="EW194" i="25" s="1"/>
  <c r="EG23" i="25"/>
  <c r="EX23" i="25" s="1"/>
  <c r="EG87" i="25"/>
  <c r="EX87" i="25" s="1"/>
  <c r="EE34" i="25"/>
  <c r="EV34" i="25" s="1"/>
  <c r="EE47" i="25"/>
  <c r="EV47" i="25" s="1"/>
  <c r="EE42" i="25"/>
  <c r="EI42" i="25" s="1"/>
  <c r="EO42" i="25" s="1"/>
  <c r="EE83" i="25"/>
  <c r="EV83" i="25" s="1"/>
  <c r="EE129" i="25"/>
  <c r="EV129" i="25" s="1"/>
  <c r="EA71" i="24"/>
  <c r="EE156" i="25"/>
  <c r="EI156" i="25" s="1"/>
  <c r="EG156" i="25"/>
  <c r="EX156" i="25" s="1"/>
  <c r="EA55" i="24"/>
  <c r="EG178" i="25"/>
  <c r="EX178" i="25" s="1"/>
  <c r="EA186" i="24"/>
  <c r="EG83" i="25"/>
  <c r="EX83" i="25" s="1"/>
  <c r="EG137" i="25"/>
  <c r="EX137" i="25" s="1"/>
  <c r="EE137" i="25"/>
  <c r="EV137" i="25" s="1"/>
  <c r="EA142" i="24"/>
  <c r="EE141" i="25"/>
  <c r="EV141" i="25" s="1"/>
  <c r="EE81" i="25"/>
  <c r="EV81" i="25" s="1"/>
  <c r="EF156" i="25"/>
  <c r="EW156" i="25" s="1"/>
  <c r="EG81" i="25"/>
  <c r="EX81" i="25" s="1"/>
  <c r="EG194" i="25"/>
  <c r="EX194" i="25" s="1"/>
  <c r="EG141" i="25"/>
  <c r="EX141" i="25" s="1"/>
  <c r="EA199" i="24"/>
  <c r="EA136" i="24"/>
  <c r="EF141" i="25"/>
  <c r="EW141" i="25" s="1"/>
  <c r="EE194" i="25"/>
  <c r="EI194" i="25" s="1"/>
  <c r="EG42" i="25"/>
  <c r="EX42" i="25" s="1"/>
  <c r="EE173" i="25"/>
  <c r="EV173" i="25" s="1"/>
  <c r="EF173" i="25"/>
  <c r="EW173" i="25" s="1"/>
  <c r="EF42" i="25"/>
  <c r="EW42" i="25" s="1"/>
  <c r="EE171" i="25"/>
  <c r="EI171" i="25" s="1"/>
  <c r="EF178" i="25"/>
  <c r="EW178" i="25" s="1"/>
  <c r="EA111" i="24"/>
  <c r="EA48" i="24"/>
  <c r="EA67" i="24"/>
  <c r="EA160" i="24"/>
  <c r="EA30" i="24"/>
  <c r="EA104" i="24"/>
  <c r="EA170" i="24"/>
  <c r="EF111" i="25"/>
  <c r="EW111" i="25" s="1"/>
  <c r="EA83" i="24"/>
  <c r="FL83" i="24" s="1"/>
  <c r="EA14" i="24"/>
  <c r="FL14" i="24" s="1"/>
  <c r="EA147" i="24"/>
  <c r="EA132" i="24"/>
  <c r="EA192" i="24"/>
  <c r="EE178" i="25"/>
  <c r="EV178" i="25" s="1"/>
  <c r="EA124" i="24"/>
  <c r="EF169" i="25"/>
  <c r="EW169" i="25" s="1"/>
  <c r="EG180" i="25"/>
  <c r="EX180" i="25" s="1"/>
  <c r="EG169" i="25"/>
  <c r="EX169" i="25" s="1"/>
  <c r="EE180" i="25"/>
  <c r="EV180" i="25" s="1"/>
  <c r="EE169" i="25"/>
  <c r="EI169" i="25" s="1"/>
  <c r="EF180" i="25"/>
  <c r="EW180" i="25" s="1"/>
  <c r="EG129" i="25"/>
  <c r="EX129" i="25" s="1"/>
  <c r="EF9" i="25"/>
  <c r="EW9" i="25" s="1"/>
  <c r="EG9" i="25"/>
  <c r="EX9" i="25" s="1"/>
  <c r="EF34" i="25"/>
  <c r="EW34" i="25" s="1"/>
  <c r="EG111" i="25"/>
  <c r="EX111" i="25" s="1"/>
  <c r="EG25" i="25"/>
  <c r="EX25" i="25" s="1"/>
  <c r="EF129" i="25"/>
  <c r="EW129" i="25" s="1"/>
  <c r="EE111" i="25"/>
  <c r="EV111" i="25" s="1"/>
  <c r="EF87" i="25"/>
  <c r="EW87" i="25" s="1"/>
  <c r="EE23" i="25"/>
  <c r="EV23" i="25" s="1"/>
  <c r="EF23" i="25"/>
  <c r="EW23" i="25" s="1"/>
  <c r="EF49" i="25"/>
  <c r="EW49" i="25" s="1"/>
  <c r="EE9" i="25"/>
  <c r="EV9" i="25" s="1"/>
  <c r="EG49" i="25"/>
  <c r="EX49" i="25" s="1"/>
  <c r="EE49" i="25"/>
  <c r="EV49" i="25" s="1"/>
  <c r="EG34" i="25"/>
  <c r="EX34" i="25" s="1"/>
  <c r="EE87" i="25"/>
  <c r="EV87" i="25" s="1"/>
  <c r="EG94" i="25"/>
  <c r="EX94" i="25" s="1"/>
  <c r="EF94" i="25"/>
  <c r="EW94" i="25" s="1"/>
  <c r="EE94" i="25"/>
  <c r="EG196" i="25"/>
  <c r="EX196" i="25" s="1"/>
  <c r="EF196" i="25"/>
  <c r="EW196" i="25" s="1"/>
  <c r="EE196" i="25"/>
  <c r="EG118" i="25"/>
  <c r="EX118" i="25" s="1"/>
  <c r="EF118" i="25"/>
  <c r="EW118" i="25" s="1"/>
  <c r="EE118" i="25"/>
  <c r="EE147" i="25"/>
  <c r="EF147" i="25"/>
  <c r="EW147" i="25" s="1"/>
  <c r="EG147" i="25"/>
  <c r="EX147" i="25" s="1"/>
  <c r="EE154" i="25"/>
  <c r="EG154" i="25"/>
  <c r="EX154" i="25" s="1"/>
  <c r="EF154" i="25"/>
  <c r="EW154" i="25" s="1"/>
  <c r="EE62" i="25"/>
  <c r="EG62" i="25"/>
  <c r="EX62" i="25" s="1"/>
  <c r="EF62" i="25"/>
  <c r="EW62" i="25" s="1"/>
  <c r="EF86" i="25"/>
  <c r="EW86" i="25" s="1"/>
  <c r="EE86" i="25"/>
  <c r="EG86" i="25"/>
  <c r="EX86" i="25" s="1"/>
  <c r="EG174" i="25"/>
  <c r="EX174" i="25" s="1"/>
  <c r="EF174" i="25"/>
  <c r="EW174" i="25" s="1"/>
  <c r="EE174" i="25"/>
  <c r="EG160" i="25"/>
  <c r="EX160" i="25" s="1"/>
  <c r="EF160" i="25"/>
  <c r="EW160" i="25" s="1"/>
  <c r="EE160" i="25"/>
  <c r="EE115" i="25"/>
  <c r="EG115" i="25"/>
  <c r="EX115" i="25" s="1"/>
  <c r="EF115" i="25"/>
  <c r="EW115" i="25" s="1"/>
  <c r="EG144" i="25"/>
  <c r="EX144" i="25" s="1"/>
  <c r="EF144" i="25"/>
  <c r="EW144" i="25" s="1"/>
  <c r="EE144" i="25"/>
  <c r="EG187" i="25"/>
  <c r="EX187" i="25" s="1"/>
  <c r="EF187" i="25"/>
  <c r="EW187" i="25" s="1"/>
  <c r="EE187" i="25"/>
  <c r="EE146" i="25"/>
  <c r="EF146" i="25"/>
  <c r="EW146" i="25" s="1"/>
  <c r="EG146" i="25"/>
  <c r="EX146" i="25" s="1"/>
  <c r="EF59" i="25"/>
  <c r="EW59" i="25" s="1"/>
  <c r="EE59" i="25"/>
  <c r="EG59" i="25"/>
  <c r="EX59" i="25" s="1"/>
  <c r="EG18" i="25"/>
  <c r="EX18" i="25" s="1"/>
  <c r="EE18" i="25"/>
  <c r="EF18" i="25"/>
  <c r="EW18" i="25" s="1"/>
  <c r="EE209" i="25"/>
  <c r="EG209" i="25"/>
  <c r="EX209" i="25" s="1"/>
  <c r="EF209" i="25"/>
  <c r="EW209" i="25" s="1"/>
  <c r="EF125" i="25"/>
  <c r="EW125" i="25" s="1"/>
  <c r="EE125" i="25"/>
  <c r="EG125" i="25"/>
  <c r="EX125" i="25" s="1"/>
  <c r="EF207" i="25"/>
  <c r="EW207" i="25" s="1"/>
  <c r="EE207" i="25"/>
  <c r="EG207" i="25"/>
  <c r="EX207" i="25" s="1"/>
  <c r="EG119" i="25"/>
  <c r="EX119" i="25" s="1"/>
  <c r="EF119" i="25"/>
  <c r="EW119" i="25" s="1"/>
  <c r="EE119" i="25"/>
  <c r="EF161" i="25"/>
  <c r="EW161" i="25" s="1"/>
  <c r="EE161" i="25"/>
  <c r="EG161" i="25"/>
  <c r="EX161" i="25" s="1"/>
  <c r="EE66" i="25"/>
  <c r="EG66" i="25"/>
  <c r="EX66" i="25" s="1"/>
  <c r="EF66" i="25"/>
  <c r="EW66" i="25" s="1"/>
  <c r="EE177" i="25"/>
  <c r="EG177" i="25"/>
  <c r="EX177" i="25" s="1"/>
  <c r="EF177" i="25"/>
  <c r="EW177" i="25" s="1"/>
  <c r="EF140" i="25"/>
  <c r="EW140" i="25" s="1"/>
  <c r="EE140" i="25"/>
  <c r="EG140" i="25"/>
  <c r="EX140" i="25" s="1"/>
  <c r="EG188" i="25"/>
  <c r="EX188" i="25" s="1"/>
  <c r="EF188" i="25"/>
  <c r="EW188" i="25" s="1"/>
  <c r="EE188" i="25"/>
  <c r="EV138" i="25"/>
  <c r="FB138" i="25" s="1"/>
  <c r="EI138" i="25"/>
  <c r="EE12" i="25"/>
  <c r="EF12" i="25"/>
  <c r="EW12" i="25" s="1"/>
  <c r="EG12" i="25"/>
  <c r="EX12" i="25" s="1"/>
  <c r="EG69" i="25"/>
  <c r="EX69" i="25" s="1"/>
  <c r="EE69" i="25"/>
  <c r="EF69" i="25"/>
  <c r="EW69" i="25" s="1"/>
  <c r="EE149" i="25"/>
  <c r="EF149" i="25"/>
  <c r="EW149" i="25" s="1"/>
  <c r="EG149" i="25"/>
  <c r="EX149" i="25" s="1"/>
  <c r="EE162" i="25"/>
  <c r="EG162" i="25"/>
  <c r="EX162" i="25" s="1"/>
  <c r="EF162" i="25"/>
  <c r="EW162" i="25" s="1"/>
  <c r="EE78" i="25"/>
  <c r="EG78" i="25"/>
  <c r="EX78" i="25" s="1"/>
  <c r="EF78" i="25"/>
  <c r="EW78" i="25" s="1"/>
  <c r="EG6" i="25"/>
  <c r="EX6" i="25" s="1"/>
  <c r="EF6" i="25"/>
  <c r="EW6" i="25" s="1"/>
  <c r="EE6" i="25"/>
  <c r="EG123" i="25"/>
  <c r="EX123" i="25" s="1"/>
  <c r="EF123" i="25"/>
  <c r="EW123" i="25" s="1"/>
  <c r="EE123" i="25"/>
  <c r="EV181" i="25"/>
  <c r="FB181" i="25" s="1"/>
  <c r="EI181" i="25"/>
  <c r="EG163" i="25"/>
  <c r="EX163" i="25" s="1"/>
  <c r="EF163" i="25"/>
  <c r="EW163" i="25" s="1"/>
  <c r="EE163" i="25"/>
  <c r="EG27" i="25"/>
  <c r="EX27" i="25" s="1"/>
  <c r="EF27" i="25"/>
  <c r="EW27" i="25" s="1"/>
  <c r="EE27" i="25"/>
  <c r="EF40" i="25"/>
  <c r="EW40" i="25" s="1"/>
  <c r="EE40" i="25"/>
  <c r="EG40" i="25"/>
  <c r="EX40" i="25" s="1"/>
  <c r="EF191" i="25"/>
  <c r="EW191" i="25" s="1"/>
  <c r="EG191" i="25"/>
  <c r="EX191" i="25" s="1"/>
  <c r="EE191" i="25"/>
  <c r="EG51" i="25"/>
  <c r="EX51" i="25" s="1"/>
  <c r="EE51" i="25"/>
  <c r="EF51" i="25"/>
  <c r="EW51" i="25" s="1"/>
  <c r="EF63" i="25"/>
  <c r="EW63" i="25" s="1"/>
  <c r="EE63" i="25"/>
  <c r="EG63" i="25"/>
  <c r="EX63" i="25" s="1"/>
  <c r="EE110" i="25"/>
  <c r="EG110" i="25"/>
  <c r="EX110" i="25" s="1"/>
  <c r="EF110" i="25"/>
  <c r="EW110" i="25" s="1"/>
  <c r="EE150" i="25"/>
  <c r="EG150" i="25"/>
  <c r="EX150" i="25" s="1"/>
  <c r="EF150" i="25"/>
  <c r="EW150" i="25" s="1"/>
  <c r="EE186" i="25"/>
  <c r="EG186" i="25"/>
  <c r="EX186" i="25" s="1"/>
  <c r="EF186" i="25"/>
  <c r="EW186" i="25" s="1"/>
  <c r="EF120" i="25"/>
  <c r="EW120" i="25" s="1"/>
  <c r="EE120" i="25"/>
  <c r="EG120" i="25"/>
  <c r="EX120" i="25" s="1"/>
  <c r="EE104" i="25"/>
  <c r="EG104" i="25"/>
  <c r="EX104" i="25" s="1"/>
  <c r="EF104" i="25"/>
  <c r="EW104" i="25" s="1"/>
  <c r="EF8" i="25"/>
  <c r="EW8" i="25" s="1"/>
  <c r="EG8" i="25"/>
  <c r="EX8" i="25" s="1"/>
  <c r="EE8" i="25"/>
  <c r="EE55" i="25"/>
  <c r="EG55" i="25"/>
  <c r="EX55" i="25" s="1"/>
  <c r="EF55" i="25"/>
  <c r="EW55" i="25" s="1"/>
  <c r="EE41" i="25"/>
  <c r="EG41" i="25"/>
  <c r="EX41" i="25" s="1"/>
  <c r="EF41" i="25"/>
  <c r="EW41" i="25" s="1"/>
  <c r="EG151" i="25"/>
  <c r="EX151" i="25" s="1"/>
  <c r="EF151" i="25"/>
  <c r="EW151" i="25" s="1"/>
  <c r="EE151" i="25"/>
  <c r="EG208" i="25"/>
  <c r="EX208" i="25" s="1"/>
  <c r="EF208" i="25"/>
  <c r="EW208" i="25" s="1"/>
  <c r="EE208" i="25"/>
  <c r="EE159" i="25"/>
  <c r="EG159" i="25"/>
  <c r="EX159" i="25" s="1"/>
  <c r="EF159" i="25"/>
  <c r="EW159" i="25" s="1"/>
  <c r="EF43" i="25"/>
  <c r="EW43" i="25" s="1"/>
  <c r="EE43" i="25"/>
  <c r="EG43" i="25"/>
  <c r="EX43" i="25" s="1"/>
  <c r="EE13" i="25"/>
  <c r="EG13" i="25"/>
  <c r="EX13" i="25" s="1"/>
  <c r="EF13" i="25"/>
  <c r="EW13" i="25" s="1"/>
  <c r="EF26" i="25"/>
  <c r="EW26" i="25" s="1"/>
  <c r="EE26" i="25"/>
  <c r="EG26" i="25"/>
  <c r="EX26" i="25" s="1"/>
  <c r="EE21" i="25"/>
  <c r="EG21" i="25"/>
  <c r="EX21" i="25" s="1"/>
  <c r="EF21" i="25"/>
  <c r="EW21" i="25" s="1"/>
  <c r="EE175" i="25"/>
  <c r="EG175" i="25"/>
  <c r="EX175" i="25" s="1"/>
  <c r="EF175" i="25"/>
  <c r="EW175" i="25" s="1"/>
  <c r="EE82" i="25"/>
  <c r="EG82" i="25"/>
  <c r="EX82" i="25" s="1"/>
  <c r="EF82" i="25"/>
  <c r="EW82" i="25" s="1"/>
  <c r="EF176" i="25"/>
  <c r="EW176" i="25" s="1"/>
  <c r="EE176" i="25"/>
  <c r="EG176" i="25"/>
  <c r="EX176" i="25" s="1"/>
  <c r="EF121" i="25"/>
  <c r="EW121" i="25" s="1"/>
  <c r="EE121" i="25"/>
  <c r="EG121" i="25"/>
  <c r="EX121" i="25" s="1"/>
  <c r="EE195" i="25"/>
  <c r="EG195" i="25"/>
  <c r="EX195" i="25" s="1"/>
  <c r="EF195" i="25"/>
  <c r="EW195" i="25" s="1"/>
  <c r="EF24" i="25"/>
  <c r="EW24" i="25" s="1"/>
  <c r="EE24" i="25"/>
  <c r="EG24" i="25"/>
  <c r="EX24" i="25" s="1"/>
  <c r="EG189" i="25"/>
  <c r="EX189" i="25" s="1"/>
  <c r="EF189" i="25"/>
  <c r="EW189" i="25" s="1"/>
  <c r="EE189" i="25"/>
  <c r="EV143" i="25"/>
  <c r="FB143" i="25" s="1"/>
  <c r="EI143" i="25"/>
  <c r="EF57" i="25"/>
  <c r="EW57" i="25" s="1"/>
  <c r="EG57" i="25"/>
  <c r="EX57" i="25" s="1"/>
  <c r="EE57" i="25"/>
  <c r="EE124" i="25"/>
  <c r="EG124" i="25"/>
  <c r="EX124" i="25" s="1"/>
  <c r="EF124" i="25"/>
  <c r="EW124" i="25" s="1"/>
  <c r="EF126" i="25"/>
  <c r="EW126" i="25" s="1"/>
  <c r="EG126" i="25"/>
  <c r="EX126" i="25" s="1"/>
  <c r="EE126" i="25"/>
  <c r="EG135" i="25"/>
  <c r="EX135" i="25" s="1"/>
  <c r="EF135" i="25"/>
  <c r="EW135" i="25" s="1"/>
  <c r="EE135" i="25"/>
  <c r="EF79" i="25"/>
  <c r="EW79" i="25" s="1"/>
  <c r="EG79" i="25"/>
  <c r="EX79" i="25" s="1"/>
  <c r="EE79" i="25"/>
  <c r="EE31" i="25"/>
  <c r="EG31" i="25"/>
  <c r="EX31" i="25" s="1"/>
  <c r="EF31" i="25"/>
  <c r="EW31" i="25" s="1"/>
  <c r="EE105" i="25"/>
  <c r="EG105" i="25"/>
  <c r="EX105" i="25" s="1"/>
  <c r="EF105" i="25"/>
  <c r="EW105" i="25" s="1"/>
  <c r="EF11" i="25"/>
  <c r="EW11" i="25" s="1"/>
  <c r="EE11" i="25"/>
  <c r="EG11" i="25"/>
  <c r="EX11" i="25" s="1"/>
  <c r="EG84" i="25"/>
  <c r="EX84" i="25" s="1"/>
  <c r="EF84" i="25"/>
  <c r="EW84" i="25" s="1"/>
  <c r="EE84" i="25"/>
  <c r="EG133" i="25"/>
  <c r="EX133" i="25" s="1"/>
  <c r="EF133" i="25"/>
  <c r="EW133" i="25" s="1"/>
  <c r="EE133" i="25"/>
  <c r="EG19" i="25"/>
  <c r="EX19" i="25" s="1"/>
  <c r="EF19" i="25"/>
  <c r="EW19" i="25" s="1"/>
  <c r="EE19" i="25"/>
  <c r="EE50" i="25"/>
  <c r="EG50" i="25"/>
  <c r="EX50" i="25" s="1"/>
  <c r="EF50" i="25"/>
  <c r="EW50" i="25" s="1"/>
  <c r="EF71" i="25"/>
  <c r="EW71" i="25" s="1"/>
  <c r="EE71" i="25"/>
  <c r="EG71" i="25"/>
  <c r="EX71" i="25" s="1"/>
  <c r="EF10" i="25"/>
  <c r="EW10" i="25" s="1"/>
  <c r="EE10" i="25"/>
  <c r="EG10" i="25"/>
  <c r="EX10" i="25" s="1"/>
  <c r="EF46" i="25"/>
  <c r="EW46" i="25" s="1"/>
  <c r="EE46" i="25"/>
  <c r="EG46" i="25"/>
  <c r="EX46" i="25" s="1"/>
  <c r="EF155" i="25"/>
  <c r="EW155" i="25" s="1"/>
  <c r="EE155" i="25"/>
  <c r="EG155" i="25"/>
  <c r="EX155" i="25" s="1"/>
  <c r="EG28" i="25"/>
  <c r="EX28" i="25" s="1"/>
  <c r="EF28" i="25"/>
  <c r="EW28" i="25" s="1"/>
  <c r="EE28" i="25"/>
  <c r="EG15" i="25"/>
  <c r="EX15" i="25" s="1"/>
  <c r="EF15" i="25"/>
  <c r="EW15" i="25" s="1"/>
  <c r="EE15" i="25"/>
  <c r="EE202" i="25"/>
  <c r="EG202" i="25"/>
  <c r="EX202" i="25" s="1"/>
  <c r="EF202" i="25"/>
  <c r="EW202" i="25" s="1"/>
  <c r="EF7" i="25"/>
  <c r="EW7" i="25" s="1"/>
  <c r="EE7" i="25"/>
  <c r="EG7" i="25"/>
  <c r="EX7" i="25" s="1"/>
  <c r="EE14" i="25"/>
  <c r="EG14" i="25"/>
  <c r="EX14" i="25" s="1"/>
  <c r="EF14" i="25"/>
  <c r="EW14" i="25" s="1"/>
  <c r="EE205" i="25"/>
  <c r="EG205" i="25"/>
  <c r="EX205" i="25" s="1"/>
  <c r="EF205" i="25"/>
  <c r="EW205" i="25" s="1"/>
  <c r="EE116" i="25"/>
  <c r="EG116" i="25"/>
  <c r="EX116" i="25" s="1"/>
  <c r="EF116" i="25"/>
  <c r="EW116" i="25" s="1"/>
  <c r="EE88" i="25"/>
  <c r="EG88" i="25"/>
  <c r="EX88" i="25" s="1"/>
  <c r="EF88" i="25"/>
  <c r="EW88" i="25" s="1"/>
  <c r="EG142" i="25"/>
  <c r="EX142" i="25" s="1"/>
  <c r="EF142" i="25"/>
  <c r="EW142" i="25" s="1"/>
  <c r="EE142" i="25"/>
  <c r="EE193" i="25"/>
  <c r="EG193" i="25"/>
  <c r="EX193" i="25" s="1"/>
  <c r="EF193" i="25"/>
  <c r="EW193" i="25" s="1"/>
  <c r="EG75" i="25"/>
  <c r="EX75" i="25" s="1"/>
  <c r="EE75" i="25"/>
  <c r="EF75" i="25"/>
  <c r="EW75" i="25" s="1"/>
  <c r="EF190" i="25"/>
  <c r="EW190" i="25" s="1"/>
  <c r="EG190" i="25"/>
  <c r="EX190" i="25" s="1"/>
  <c r="EE190" i="25"/>
  <c r="EF29" i="25"/>
  <c r="EW29" i="25" s="1"/>
  <c r="EE29" i="25"/>
  <c r="EG29" i="25"/>
  <c r="EX29" i="25" s="1"/>
  <c r="EF35" i="25"/>
  <c r="EW35" i="25" s="1"/>
  <c r="EE35" i="25"/>
  <c r="EG35" i="25"/>
  <c r="EX35" i="25" s="1"/>
  <c r="EF92" i="25"/>
  <c r="EW92" i="25" s="1"/>
  <c r="EE92" i="25"/>
  <c r="EG92" i="25"/>
  <c r="EX92" i="25" s="1"/>
  <c r="EF114" i="25"/>
  <c r="EW114" i="25" s="1"/>
  <c r="EE114" i="25"/>
  <c r="EG114" i="25"/>
  <c r="EX114" i="25" s="1"/>
  <c r="EG166" i="25"/>
  <c r="EX166" i="25" s="1"/>
  <c r="EF166" i="25"/>
  <c r="EW166" i="25" s="1"/>
  <c r="EE166" i="25"/>
  <c r="EF206" i="25"/>
  <c r="EW206" i="25" s="1"/>
  <c r="EG206" i="25"/>
  <c r="EX206" i="25" s="1"/>
  <c r="EE206" i="25"/>
  <c r="EF203" i="25"/>
  <c r="EW203" i="25" s="1"/>
  <c r="EE203" i="25"/>
  <c r="EG203" i="25"/>
  <c r="EX203" i="25" s="1"/>
  <c r="EF76" i="25"/>
  <c r="EW76" i="25" s="1"/>
  <c r="EE76" i="25"/>
  <c r="EG76" i="25"/>
  <c r="EX76" i="25" s="1"/>
  <c r="EF36" i="25"/>
  <c r="EW36" i="25" s="1"/>
  <c r="EE36" i="25"/>
  <c r="EG36" i="25"/>
  <c r="EX36" i="25" s="1"/>
  <c r="EG134" i="25"/>
  <c r="EX134" i="25" s="1"/>
  <c r="EE134" i="25"/>
  <c r="EF134" i="25"/>
  <c r="EW134" i="25" s="1"/>
  <c r="EG152" i="25"/>
  <c r="EX152" i="25" s="1"/>
  <c r="EF152" i="25"/>
  <c r="EW152" i="25" s="1"/>
  <c r="EE152" i="25"/>
  <c r="EP182" i="25"/>
  <c r="EE170" i="25"/>
  <c r="EG170" i="25"/>
  <c r="EX170" i="25" s="1"/>
  <c r="EF170" i="25"/>
  <c r="EW170" i="25" s="1"/>
  <c r="EG85" i="25"/>
  <c r="EX85" i="25" s="1"/>
  <c r="EE85" i="25"/>
  <c r="EF85" i="25"/>
  <c r="EW85" i="25" s="1"/>
  <c r="EE168" i="25"/>
  <c r="EG168" i="25"/>
  <c r="EX168" i="25" s="1"/>
  <c r="EF168" i="25"/>
  <c r="EW168" i="25" s="1"/>
  <c r="EE184" i="25"/>
  <c r="EF184" i="25"/>
  <c r="EW184" i="25" s="1"/>
  <c r="EG184" i="25"/>
  <c r="EX184" i="25" s="1"/>
  <c r="EE16" i="25"/>
  <c r="EF16" i="25"/>
  <c r="EW16" i="25" s="1"/>
  <c r="EG16" i="25"/>
  <c r="EX16" i="25" s="1"/>
  <c r="EE167" i="25"/>
  <c r="EG167" i="25"/>
  <c r="EX167" i="25" s="1"/>
  <c r="EF167" i="25"/>
  <c r="EW167" i="25" s="1"/>
  <c r="EG210" i="25"/>
  <c r="EX210" i="25" s="1"/>
  <c r="EF210" i="25"/>
  <c r="EW210" i="25" s="1"/>
  <c r="EE210" i="25"/>
  <c r="EG165" i="25"/>
  <c r="EX165" i="25" s="1"/>
  <c r="EF165" i="25"/>
  <c r="EW165" i="25" s="1"/>
  <c r="EE165" i="25"/>
  <c r="EF30" i="25"/>
  <c r="EW30" i="25" s="1"/>
  <c r="EE30" i="25"/>
  <c r="EG30" i="25"/>
  <c r="EX30" i="25" s="1"/>
  <c r="EG157" i="25"/>
  <c r="EX157" i="25" s="1"/>
  <c r="EF157" i="25"/>
  <c r="EW157" i="25" s="1"/>
  <c r="EE157" i="25"/>
  <c r="EG117" i="25"/>
  <c r="EX117" i="25" s="1"/>
  <c r="EF117" i="25"/>
  <c r="EW117" i="25" s="1"/>
  <c r="EE117" i="25"/>
  <c r="EG122" i="25"/>
  <c r="EX122" i="25" s="1"/>
  <c r="EE122" i="25"/>
  <c r="EF122" i="25"/>
  <c r="EW122" i="25" s="1"/>
  <c r="EF22" i="25"/>
  <c r="EW22" i="25" s="1"/>
  <c r="EE22" i="25"/>
  <c r="EG22" i="25"/>
  <c r="EX22" i="25" s="1"/>
  <c r="EF204" i="25"/>
  <c r="EW204" i="25" s="1"/>
  <c r="EE204" i="25"/>
  <c r="EG204" i="25"/>
  <c r="EX204" i="25" s="1"/>
  <c r="EF98" i="25"/>
  <c r="EW98" i="25" s="1"/>
  <c r="EG98" i="25"/>
  <c r="EX98" i="25" s="1"/>
  <c r="EE98" i="25"/>
  <c r="EF100" i="25"/>
  <c r="EW100" i="25" s="1"/>
  <c r="EE100" i="25"/>
  <c r="EG100" i="25"/>
  <c r="EX100" i="25" s="1"/>
  <c r="EG39" i="25"/>
  <c r="EX39" i="25" s="1"/>
  <c r="EE39" i="25"/>
  <c r="EF39" i="25"/>
  <c r="EW39" i="25" s="1"/>
  <c r="EF153" i="25"/>
  <c r="EW153" i="25" s="1"/>
  <c r="EE153" i="25"/>
  <c r="EG153" i="25"/>
  <c r="EX153" i="25" s="1"/>
  <c r="EE130" i="25"/>
  <c r="EG130" i="25"/>
  <c r="EX130" i="25" s="1"/>
  <c r="EF130" i="25"/>
  <c r="EW130" i="25" s="1"/>
  <c r="EF52" i="25"/>
  <c r="EW52" i="25" s="1"/>
  <c r="EE52" i="25"/>
  <c r="EG52" i="25"/>
  <c r="EX52" i="25" s="1"/>
  <c r="EE72" i="25"/>
  <c r="EF72" i="25"/>
  <c r="EW72" i="25" s="1"/>
  <c r="EG72" i="25"/>
  <c r="EX72" i="25" s="1"/>
  <c r="EF45" i="25"/>
  <c r="EW45" i="25" s="1"/>
  <c r="EE45" i="25"/>
  <c r="EG45" i="25"/>
  <c r="EX45" i="25" s="1"/>
  <c r="EE198" i="25"/>
  <c r="EF198" i="25"/>
  <c r="EW198" i="25" s="1"/>
  <c r="EG198" i="25"/>
  <c r="EX198" i="25" s="1"/>
  <c r="EE60" i="25"/>
  <c r="EG60" i="25"/>
  <c r="EX60" i="25" s="1"/>
  <c r="EF60" i="25"/>
  <c r="EW60" i="25" s="1"/>
  <c r="EF201" i="25"/>
  <c r="EW201" i="25" s="1"/>
  <c r="EE201" i="25"/>
  <c r="EG201" i="25"/>
  <c r="EX201" i="25" s="1"/>
  <c r="EG179" i="25"/>
  <c r="EX179" i="25" s="1"/>
  <c r="EE179" i="25"/>
  <c r="EF179" i="25"/>
  <c r="EW179" i="25" s="1"/>
  <c r="EG53" i="25"/>
  <c r="EX53" i="25" s="1"/>
  <c r="EF53" i="25"/>
  <c r="EW53" i="25" s="1"/>
  <c r="EE53" i="25"/>
  <c r="EF200" i="25"/>
  <c r="EW200" i="25" s="1"/>
  <c r="EE200" i="25"/>
  <c r="EG200" i="25"/>
  <c r="EX200" i="25" s="1"/>
  <c r="EF139" i="25"/>
  <c r="EW139" i="25" s="1"/>
  <c r="EE139" i="25"/>
  <c r="EG139" i="25"/>
  <c r="EX139" i="25" s="1"/>
  <c r="EG113" i="25"/>
  <c r="EX113" i="25" s="1"/>
  <c r="EF113" i="25"/>
  <c r="EW113" i="25" s="1"/>
  <c r="EE113" i="25"/>
  <c r="EE172" i="25"/>
  <c r="EG172" i="25"/>
  <c r="EX172" i="25" s="1"/>
  <c r="EF172" i="25"/>
  <c r="EW172" i="25" s="1"/>
  <c r="EF91" i="25"/>
  <c r="EW91" i="25" s="1"/>
  <c r="EE91" i="25"/>
  <c r="EG91" i="25"/>
  <c r="EX91" i="25" s="1"/>
  <c r="EE68" i="25"/>
  <c r="EF68" i="25"/>
  <c r="EW68" i="25" s="1"/>
  <c r="EG68" i="25"/>
  <c r="EX68" i="25" s="1"/>
  <c r="EG132" i="25"/>
  <c r="EX132" i="25" s="1"/>
  <c r="EE132" i="25"/>
  <c r="EF132" i="25"/>
  <c r="EW132" i="25" s="1"/>
  <c r="EF65" i="25"/>
  <c r="EW65" i="25" s="1"/>
  <c r="EE65" i="25"/>
  <c r="EG65" i="25"/>
  <c r="EX65" i="25" s="1"/>
  <c r="EE101" i="25"/>
  <c r="EG101" i="25"/>
  <c r="EX101" i="25" s="1"/>
  <c r="EF101" i="25"/>
  <c r="EW101" i="25" s="1"/>
  <c r="EG197" i="25"/>
  <c r="EX197" i="25" s="1"/>
  <c r="EE197" i="25"/>
  <c r="EF197" i="25"/>
  <c r="EW197" i="25" s="1"/>
  <c r="EG102" i="25"/>
  <c r="EX102" i="25" s="1"/>
  <c r="EE102" i="25"/>
  <c r="EF102" i="25"/>
  <c r="EW102" i="25" s="1"/>
  <c r="EE48" i="25"/>
  <c r="EG48" i="25"/>
  <c r="EX48" i="25" s="1"/>
  <c r="EF48" i="25"/>
  <c r="EW48" i="25" s="1"/>
  <c r="EF67" i="25"/>
  <c r="EW67" i="25" s="1"/>
  <c r="EE67" i="25"/>
  <c r="EG67" i="25"/>
  <c r="EX67" i="25" s="1"/>
  <c r="EG70" i="25"/>
  <c r="EX70" i="25" s="1"/>
  <c r="EE70" i="25"/>
  <c r="EF70" i="25"/>
  <c r="EW70" i="25" s="1"/>
  <c r="EF148" i="25"/>
  <c r="EW148" i="25" s="1"/>
  <c r="EG148" i="25"/>
  <c r="EX148" i="25" s="1"/>
  <c r="EE148" i="25"/>
  <c r="EF38" i="25"/>
  <c r="EW38" i="25" s="1"/>
  <c r="EE38" i="25"/>
  <c r="EG38" i="25"/>
  <c r="EX38" i="25" s="1"/>
  <c r="EF192" i="25"/>
  <c r="EW192" i="25" s="1"/>
  <c r="EE192" i="25"/>
  <c r="EG192" i="25"/>
  <c r="EX192" i="25" s="1"/>
  <c r="EF32" i="25"/>
  <c r="EW32" i="25" s="1"/>
  <c r="EE32" i="25"/>
  <c r="EG32" i="25"/>
  <c r="EX32" i="25" s="1"/>
  <c r="EF61" i="25"/>
  <c r="EW61" i="25" s="1"/>
  <c r="EG61" i="25"/>
  <c r="EX61" i="25" s="1"/>
  <c r="EE61" i="25"/>
  <c r="EF80" i="25"/>
  <c r="EW80" i="25" s="1"/>
  <c r="EE80" i="25"/>
  <c r="EG80" i="25"/>
  <c r="EX80" i="25" s="1"/>
  <c r="EE54" i="25"/>
  <c r="EG54" i="25"/>
  <c r="EX54" i="25" s="1"/>
  <c r="EF54" i="25"/>
  <c r="EW54" i="25" s="1"/>
  <c r="EF44" i="25"/>
  <c r="EW44" i="25" s="1"/>
  <c r="EE44" i="25"/>
  <c r="EG44" i="25"/>
  <c r="EX44" i="25" s="1"/>
  <c r="EG127" i="25"/>
  <c r="EX127" i="25" s="1"/>
  <c r="EF127" i="25"/>
  <c r="EW127" i="25" s="1"/>
  <c r="EE127" i="25"/>
  <c r="EG20" i="25"/>
  <c r="EX20" i="25" s="1"/>
  <c r="EF20" i="25"/>
  <c r="EW20" i="25" s="1"/>
  <c r="EE20" i="25"/>
  <c r="EA40" i="24"/>
  <c r="EA152" i="24"/>
  <c r="EA13" i="24"/>
  <c r="EA99" i="24"/>
  <c r="EA29" i="24"/>
  <c r="EA62" i="24"/>
  <c r="EA10" i="24"/>
  <c r="EA77" i="24"/>
  <c r="EA43" i="24"/>
  <c r="EA134" i="24"/>
  <c r="FL134" i="24" s="1"/>
  <c r="EA23" i="24"/>
  <c r="EA81" i="24"/>
  <c r="FL81" i="24" s="1"/>
  <c r="EA201" i="24"/>
  <c r="EA159" i="24"/>
  <c r="DY6" i="24"/>
  <c r="EF6" i="24" s="1"/>
  <c r="EA6" i="24"/>
  <c r="DY245" i="24"/>
  <c r="EF245" i="24" s="1"/>
  <c r="EA245" i="24"/>
  <c r="EA128" i="24"/>
  <c r="DY141" i="24"/>
  <c r="EF141" i="24" s="1"/>
  <c r="EA141" i="24"/>
  <c r="DY28" i="24"/>
  <c r="EF28" i="24" s="1"/>
  <c r="EA28" i="24"/>
  <c r="DY282" i="24"/>
  <c r="EF282" i="24" s="1"/>
  <c r="EA282" i="24"/>
  <c r="EA174" i="24"/>
  <c r="EA26" i="24"/>
  <c r="DY32" i="24"/>
  <c r="EF32" i="24" s="1"/>
  <c r="EA32" i="24"/>
  <c r="DY31" i="24"/>
  <c r="EF31" i="24" s="1"/>
  <c r="EA31" i="24"/>
  <c r="EA123" i="24"/>
  <c r="DY299" i="24"/>
  <c r="EF299" i="24" s="1"/>
  <c r="EA299" i="24"/>
  <c r="DY290" i="24"/>
  <c r="EF290" i="24" s="1"/>
  <c r="EA290" i="24"/>
  <c r="DY69" i="24"/>
  <c r="EF69" i="24" s="1"/>
  <c r="EA69" i="24"/>
  <c r="DY95" i="24"/>
  <c r="EF95" i="24" s="1"/>
  <c r="EA95" i="24"/>
  <c r="DY225" i="24"/>
  <c r="EF225" i="24" s="1"/>
  <c r="EA225" i="24"/>
  <c r="DY316" i="24"/>
  <c r="EF316" i="24" s="1"/>
  <c r="EA316" i="24"/>
  <c r="DY251" i="24"/>
  <c r="EF251" i="24" s="1"/>
  <c r="EA251" i="24"/>
  <c r="DY257" i="24"/>
  <c r="EF257" i="24" s="1"/>
  <c r="EA257" i="24"/>
  <c r="DY304" i="24"/>
  <c r="EF304" i="24" s="1"/>
  <c r="EA304" i="24"/>
  <c r="DY168" i="24"/>
  <c r="EF168" i="24" s="1"/>
  <c r="EA168" i="24"/>
  <c r="DY146" i="24"/>
  <c r="EF146" i="24" s="1"/>
  <c r="EA146" i="24"/>
  <c r="DY19" i="24"/>
  <c r="EF19" i="24" s="1"/>
  <c r="EA19" i="24"/>
  <c r="DY182" i="24"/>
  <c r="EF182" i="24" s="1"/>
  <c r="EA182" i="24"/>
  <c r="DY226" i="24"/>
  <c r="EF226" i="24" s="1"/>
  <c r="EA226" i="24"/>
  <c r="DY227" i="24"/>
  <c r="EF227" i="24" s="1"/>
  <c r="EA227" i="24"/>
  <c r="DY85" i="24"/>
  <c r="EF85" i="24" s="1"/>
  <c r="EA85" i="24"/>
  <c r="DY51" i="24"/>
  <c r="EF51" i="24" s="1"/>
  <c r="EA51" i="24"/>
  <c r="DY261" i="24"/>
  <c r="EF261" i="24" s="1"/>
  <c r="EA261" i="24"/>
  <c r="DY195" i="24"/>
  <c r="EF195" i="24" s="1"/>
  <c r="EA195" i="24"/>
  <c r="DY20" i="24"/>
  <c r="EF20" i="24" s="1"/>
  <c r="EA20" i="24"/>
  <c r="DY279" i="24"/>
  <c r="EF279" i="24" s="1"/>
  <c r="EA279" i="24"/>
  <c r="DY93" i="24"/>
  <c r="EF93" i="24" s="1"/>
  <c r="EA93" i="24"/>
  <c r="EA209" i="24"/>
  <c r="EA177" i="24"/>
  <c r="DY269" i="24"/>
  <c r="EF269" i="24" s="1"/>
  <c r="EA269" i="24"/>
  <c r="DY148" i="24"/>
  <c r="EF148" i="24" s="1"/>
  <c r="EA148" i="24"/>
  <c r="EA41" i="24"/>
  <c r="EA53" i="24"/>
  <c r="EA114" i="24"/>
  <c r="EA202" i="24"/>
  <c r="EA161" i="24"/>
  <c r="DY137" i="24"/>
  <c r="EF137" i="24" s="1"/>
  <c r="EA137" i="24"/>
  <c r="DY234" i="24"/>
  <c r="EF234" i="24" s="1"/>
  <c r="EA234" i="24"/>
  <c r="DY249" i="24"/>
  <c r="EF249" i="24" s="1"/>
  <c r="EA249" i="24"/>
  <c r="DY206" i="24"/>
  <c r="EF206" i="24" s="1"/>
  <c r="EA206" i="24"/>
  <c r="DY295" i="24"/>
  <c r="EF295" i="24" s="1"/>
  <c r="EA295" i="24"/>
  <c r="DY256" i="24"/>
  <c r="EF256" i="24" s="1"/>
  <c r="EA256" i="24"/>
  <c r="DY223" i="24"/>
  <c r="EF223" i="24" s="1"/>
  <c r="EA223" i="24"/>
  <c r="DY139" i="24"/>
  <c r="EF139" i="24" s="1"/>
  <c r="EA139" i="24"/>
  <c r="DY179" i="24"/>
  <c r="EF179" i="24" s="1"/>
  <c r="EA179" i="24"/>
  <c r="DY260" i="24"/>
  <c r="EF260" i="24" s="1"/>
  <c r="EA260" i="24"/>
  <c r="DY258" i="24"/>
  <c r="EF258" i="24" s="1"/>
  <c r="EA258" i="24"/>
  <c r="EA122" i="24"/>
  <c r="DY73" i="24"/>
  <c r="EF73" i="24" s="1"/>
  <c r="EA73" i="24"/>
  <c r="DY16" i="24"/>
  <c r="EF16" i="24" s="1"/>
  <c r="EA16" i="24"/>
  <c r="DY21" i="24"/>
  <c r="EF21" i="24" s="1"/>
  <c r="EA21" i="24"/>
  <c r="DY289" i="24"/>
  <c r="EF289" i="24" s="1"/>
  <c r="EA289" i="24"/>
  <c r="DY270" i="24"/>
  <c r="EF270" i="24" s="1"/>
  <c r="EA270" i="24"/>
  <c r="DY222" i="24"/>
  <c r="EF222" i="24" s="1"/>
  <c r="EA222" i="24"/>
  <c r="EA197" i="24"/>
  <c r="EA185" i="24"/>
  <c r="DY276" i="24"/>
  <c r="EF276" i="24" s="1"/>
  <c r="EA276" i="24"/>
  <c r="DY156" i="24"/>
  <c r="EF156" i="24" s="1"/>
  <c r="EA156" i="24"/>
  <c r="DY229" i="24"/>
  <c r="EF229" i="24" s="1"/>
  <c r="EA229" i="24"/>
  <c r="DY300" i="24"/>
  <c r="EF300" i="24" s="1"/>
  <c r="EA300" i="24"/>
  <c r="EA50" i="24"/>
  <c r="DY9" i="24"/>
  <c r="EF9" i="24" s="1"/>
  <c r="EA9" i="24"/>
  <c r="DY84" i="24"/>
  <c r="EF84" i="24" s="1"/>
  <c r="EA84" i="24"/>
  <c r="DY22" i="24"/>
  <c r="EF22" i="24" s="1"/>
  <c r="EA22" i="24"/>
  <c r="DY58" i="24"/>
  <c r="EF58" i="24" s="1"/>
  <c r="EA58" i="24"/>
  <c r="DY306" i="24"/>
  <c r="EF306" i="24" s="1"/>
  <c r="EA306" i="24"/>
  <c r="DY102" i="24"/>
  <c r="EF102" i="24" s="1"/>
  <c r="EA102" i="24"/>
  <c r="DY307" i="24"/>
  <c r="EF307" i="24" s="1"/>
  <c r="EA307" i="24"/>
  <c r="EA145" i="24"/>
  <c r="DY238" i="24"/>
  <c r="EF238" i="24" s="1"/>
  <c r="EA238" i="24"/>
  <c r="DY151" i="24"/>
  <c r="EF151" i="24" s="1"/>
  <c r="EA151" i="24"/>
  <c r="DY305" i="24"/>
  <c r="EF305" i="24" s="1"/>
  <c r="EA305" i="24"/>
  <c r="DY228" i="24"/>
  <c r="EF228" i="24" s="1"/>
  <c r="EA228" i="24"/>
  <c r="DY292" i="24"/>
  <c r="EF292" i="24" s="1"/>
  <c r="EA292" i="24"/>
  <c r="DY188" i="24"/>
  <c r="EF188" i="24" s="1"/>
  <c r="EA188" i="24"/>
  <c r="DY15" i="24"/>
  <c r="EF15" i="24" s="1"/>
  <c r="EA15" i="24"/>
  <c r="EA167" i="24"/>
  <c r="EA61" i="24"/>
  <c r="DY246" i="24"/>
  <c r="EF246" i="24" s="1"/>
  <c r="EA246" i="24"/>
  <c r="EH190" i="24"/>
  <c r="EC190" i="24"/>
  <c r="ED190" i="24" s="1"/>
  <c r="EI190" i="24"/>
  <c r="EX190" i="24" s="1"/>
  <c r="EA100" i="24"/>
  <c r="DY11" i="24"/>
  <c r="EF11" i="24" s="1"/>
  <c r="EA11" i="24"/>
  <c r="DY235" i="24"/>
  <c r="EF235" i="24" s="1"/>
  <c r="EA235" i="24"/>
  <c r="DY239" i="24"/>
  <c r="EF239" i="24" s="1"/>
  <c r="EA239" i="24"/>
  <c r="EA158" i="24"/>
  <c r="DY217" i="24"/>
  <c r="EF217" i="24" s="1"/>
  <c r="EA217" i="24"/>
  <c r="EA54" i="24"/>
  <c r="DY76" i="24"/>
  <c r="EF76" i="24" s="1"/>
  <c r="EA76" i="24"/>
  <c r="DY255" i="24"/>
  <c r="EF255" i="24" s="1"/>
  <c r="EA255" i="24"/>
  <c r="DY278" i="24"/>
  <c r="EF278" i="24" s="1"/>
  <c r="EA278" i="24"/>
  <c r="DY247" i="24"/>
  <c r="EF247" i="24" s="1"/>
  <c r="EA247" i="24"/>
  <c r="DY232" i="24"/>
  <c r="EF232" i="24" s="1"/>
  <c r="EA232" i="24"/>
  <c r="DY259" i="24"/>
  <c r="EF259" i="24" s="1"/>
  <c r="EA259" i="24"/>
  <c r="DY97" i="24"/>
  <c r="EF97" i="24" s="1"/>
  <c r="EA97" i="24"/>
  <c r="DY224" i="24"/>
  <c r="EF224" i="24" s="1"/>
  <c r="EA224" i="24"/>
  <c r="EA155" i="24"/>
  <c r="DY189" i="24"/>
  <c r="EF189" i="24" s="1"/>
  <c r="EA189" i="24"/>
  <c r="DY117" i="24"/>
  <c r="EF117" i="24" s="1"/>
  <c r="EA117" i="24"/>
  <c r="DY27" i="24"/>
  <c r="EF27" i="24" s="1"/>
  <c r="EA27" i="24"/>
  <c r="DY273" i="24"/>
  <c r="EF273" i="24" s="1"/>
  <c r="EA273" i="24"/>
  <c r="DY218" i="24"/>
  <c r="EF218" i="24" s="1"/>
  <c r="EA218" i="24"/>
  <c r="EA173" i="24"/>
  <c r="EA80" i="24"/>
  <c r="DY296" i="24"/>
  <c r="EF296" i="24" s="1"/>
  <c r="EA296" i="24"/>
  <c r="DY241" i="24"/>
  <c r="EF241" i="24" s="1"/>
  <c r="EA241" i="24"/>
  <c r="DY82" i="24"/>
  <c r="EF82" i="24" s="1"/>
  <c r="EA82" i="24"/>
  <c r="DY194" i="24"/>
  <c r="EF194" i="24" s="1"/>
  <c r="EA194" i="24"/>
  <c r="DY88" i="24"/>
  <c r="EF88" i="24" s="1"/>
  <c r="EA88" i="24"/>
  <c r="DY264" i="24"/>
  <c r="EF264" i="24" s="1"/>
  <c r="EA264" i="24"/>
  <c r="DY301" i="24"/>
  <c r="EF301" i="24" s="1"/>
  <c r="EA301" i="24"/>
  <c r="DY252" i="24"/>
  <c r="EF252" i="24" s="1"/>
  <c r="EA252" i="24"/>
  <c r="EA103" i="24"/>
  <c r="DY87" i="24"/>
  <c r="EF87" i="24" s="1"/>
  <c r="EA87" i="24"/>
  <c r="DY120" i="24"/>
  <c r="EF120" i="24" s="1"/>
  <c r="EA120" i="24"/>
  <c r="DY143" i="24"/>
  <c r="EF143" i="24" s="1"/>
  <c r="EA143" i="24"/>
  <c r="DY287" i="24"/>
  <c r="EF287" i="24" s="1"/>
  <c r="EA287" i="24"/>
  <c r="DY262" i="24"/>
  <c r="EF262" i="24" s="1"/>
  <c r="EA262" i="24"/>
  <c r="DY57" i="24"/>
  <c r="EF57" i="24" s="1"/>
  <c r="EA57" i="24"/>
  <c r="EA98" i="24"/>
  <c r="DY105" i="24"/>
  <c r="EF105" i="24" s="1"/>
  <c r="EA105" i="24"/>
  <c r="EA157" i="24"/>
  <c r="EA42" i="24"/>
  <c r="DY310" i="24"/>
  <c r="EF310" i="24" s="1"/>
  <c r="EA310" i="24"/>
  <c r="DY176" i="24"/>
  <c r="EF176" i="24" s="1"/>
  <c r="EA176" i="24"/>
  <c r="DY200" i="24"/>
  <c r="EF200" i="24" s="1"/>
  <c r="EA200" i="24"/>
  <c r="EA47" i="24"/>
  <c r="DY248" i="24"/>
  <c r="EF248" i="24" s="1"/>
  <c r="EA248" i="24"/>
  <c r="DY311" i="24"/>
  <c r="EF311" i="24" s="1"/>
  <c r="EA311" i="24"/>
  <c r="DY180" i="24"/>
  <c r="EF180" i="24" s="1"/>
  <c r="EA180" i="24"/>
  <c r="DY253" i="24"/>
  <c r="EF253" i="24" s="1"/>
  <c r="EA253" i="24"/>
  <c r="DY312" i="24"/>
  <c r="EF312" i="24" s="1"/>
  <c r="EA312" i="24"/>
  <c r="DY265" i="24"/>
  <c r="EF265" i="24" s="1"/>
  <c r="EA265" i="24"/>
  <c r="DY181" i="24"/>
  <c r="EF181" i="24" s="1"/>
  <c r="EA181" i="24"/>
  <c r="EA175" i="24"/>
  <c r="DY36" i="24"/>
  <c r="EF36" i="24" s="1"/>
  <c r="EA36" i="24"/>
  <c r="DY207" i="24"/>
  <c r="EF207" i="24" s="1"/>
  <c r="EA207" i="24"/>
  <c r="EA183" i="24"/>
  <c r="DY45" i="24"/>
  <c r="EF45" i="24" s="1"/>
  <c r="EA45" i="24"/>
  <c r="DY297" i="24"/>
  <c r="EF297" i="24" s="1"/>
  <c r="EA297" i="24"/>
  <c r="DY271" i="24"/>
  <c r="EF271" i="24" s="1"/>
  <c r="EA271" i="24"/>
  <c r="EA171" i="24"/>
  <c r="DY184" i="24"/>
  <c r="EF184" i="24" s="1"/>
  <c r="EA184" i="24"/>
  <c r="DY125" i="24"/>
  <c r="EF125" i="24" s="1"/>
  <c r="EA125" i="24"/>
  <c r="EA68" i="24"/>
  <c r="DY313" i="24"/>
  <c r="EF313" i="24" s="1"/>
  <c r="EA313" i="24"/>
  <c r="DY18" i="24"/>
  <c r="EF18" i="24" s="1"/>
  <c r="EA18" i="24"/>
  <c r="EA33" i="24"/>
  <c r="DY233" i="24"/>
  <c r="EF233" i="24" s="1"/>
  <c r="EA233" i="24"/>
  <c r="DY308" i="24"/>
  <c r="EF308" i="24" s="1"/>
  <c r="EA308" i="24"/>
  <c r="DY38" i="24"/>
  <c r="EF38" i="24" s="1"/>
  <c r="EA38" i="24"/>
  <c r="DY293" i="24"/>
  <c r="EF293" i="24" s="1"/>
  <c r="EA293" i="24"/>
  <c r="DY56" i="24"/>
  <c r="EF56" i="24" s="1"/>
  <c r="EA56" i="24"/>
  <c r="DY208" i="24"/>
  <c r="EF208" i="24" s="1"/>
  <c r="EA208" i="24"/>
  <c r="DY66" i="24"/>
  <c r="EF66" i="24" s="1"/>
  <c r="EA66" i="24"/>
  <c r="DY267" i="24"/>
  <c r="EF267" i="24" s="1"/>
  <c r="EA267" i="24"/>
  <c r="DY210" i="24"/>
  <c r="EF210" i="24" s="1"/>
  <c r="EA210" i="24"/>
  <c r="DY254" i="24"/>
  <c r="EF254" i="24" s="1"/>
  <c r="EA254" i="24"/>
  <c r="DY86" i="24"/>
  <c r="EF86" i="24" s="1"/>
  <c r="EA86" i="24"/>
  <c r="DY205" i="24"/>
  <c r="EF205" i="24" s="1"/>
  <c r="EA205" i="24"/>
  <c r="DY219" i="24"/>
  <c r="EF219" i="24" s="1"/>
  <c r="EA219" i="24"/>
  <c r="DY130" i="24"/>
  <c r="EF130" i="24" s="1"/>
  <c r="EA130" i="24"/>
  <c r="DY49" i="24"/>
  <c r="EF49" i="24" s="1"/>
  <c r="EA49" i="24"/>
  <c r="DY140" i="24"/>
  <c r="EF140" i="24" s="1"/>
  <c r="EA140" i="24"/>
  <c r="DY220" i="24"/>
  <c r="EF220" i="24" s="1"/>
  <c r="EA220" i="24"/>
  <c r="DY113" i="24"/>
  <c r="EF113" i="24" s="1"/>
  <c r="EA113" i="24"/>
  <c r="DY281" i="24"/>
  <c r="EF281" i="24" s="1"/>
  <c r="EA281" i="24"/>
  <c r="DY288" i="24"/>
  <c r="EF288" i="24" s="1"/>
  <c r="EA288" i="24"/>
  <c r="DY165" i="24"/>
  <c r="EF165" i="24" s="1"/>
  <c r="EA165" i="24"/>
  <c r="DY149" i="24"/>
  <c r="EF149" i="24" s="1"/>
  <c r="EA149" i="24"/>
  <c r="DY196" i="24"/>
  <c r="EF196" i="24" s="1"/>
  <c r="EA196" i="24"/>
  <c r="DY46" i="24"/>
  <c r="EF46" i="24" s="1"/>
  <c r="EA46" i="24"/>
  <c r="DY291" i="24"/>
  <c r="EF291" i="24" s="1"/>
  <c r="EA291" i="24"/>
  <c r="DY203" i="24"/>
  <c r="EF203" i="24" s="1"/>
  <c r="EA203" i="24"/>
  <c r="DY162" i="24"/>
  <c r="EF162" i="24" s="1"/>
  <c r="EA162" i="24"/>
  <c r="DY277" i="24"/>
  <c r="EF277" i="24" s="1"/>
  <c r="EA277" i="24"/>
  <c r="DY121" i="24"/>
  <c r="EF121" i="24" s="1"/>
  <c r="EA121" i="24"/>
  <c r="DY244" i="24"/>
  <c r="EF244" i="24" s="1"/>
  <c r="EA244" i="24"/>
  <c r="DY230" i="24"/>
  <c r="EF230" i="24" s="1"/>
  <c r="EA230" i="24"/>
  <c r="DY59" i="24"/>
  <c r="EF59" i="24" s="1"/>
  <c r="EA59" i="24"/>
  <c r="DY283" i="24"/>
  <c r="EF283" i="24" s="1"/>
  <c r="EA283" i="24"/>
  <c r="DY221" i="24"/>
  <c r="EF221" i="24" s="1"/>
  <c r="EA221" i="24"/>
  <c r="DY75" i="24"/>
  <c r="EF75" i="24" s="1"/>
  <c r="EA75" i="24"/>
  <c r="DY119" i="24"/>
  <c r="EF119" i="24" s="1"/>
  <c r="EA119" i="24"/>
  <c r="DY263" i="24"/>
  <c r="EF263" i="24" s="1"/>
  <c r="EA263" i="24"/>
  <c r="DY178" i="24"/>
  <c r="EF178" i="24" s="1"/>
  <c r="EA178" i="24"/>
  <c r="DY236" i="24"/>
  <c r="EF236" i="24" s="1"/>
  <c r="EA236" i="24"/>
  <c r="DY91" i="24"/>
  <c r="EF91" i="24" s="1"/>
  <c r="EA91" i="24"/>
  <c r="EA25" i="24"/>
  <c r="EA8" i="24"/>
  <c r="DY144" i="24"/>
  <c r="EF144" i="24" s="1"/>
  <c r="EA144" i="24"/>
  <c r="DY166" i="24"/>
  <c r="EF166" i="24" s="1"/>
  <c r="EA166" i="24"/>
  <c r="DY298" i="24"/>
  <c r="EF298" i="24" s="1"/>
  <c r="EA298" i="24"/>
  <c r="DY231" i="24"/>
  <c r="EF231" i="24" s="1"/>
  <c r="EA231" i="24"/>
  <c r="EA193" i="24"/>
  <c r="EA89" i="24"/>
  <c r="DY204" i="24"/>
  <c r="EF204" i="24" s="1"/>
  <c r="EA204" i="24"/>
  <c r="EA138" i="24"/>
  <c r="DY12" i="24"/>
  <c r="EF12" i="24" s="1"/>
  <c r="EA12" i="24"/>
  <c r="DY135" i="24"/>
  <c r="EF135" i="24" s="1"/>
  <c r="EA135" i="24"/>
  <c r="DY309" i="24"/>
  <c r="EF309" i="24" s="1"/>
  <c r="EA309" i="24"/>
  <c r="DY116" i="24"/>
  <c r="EF116" i="24" s="1"/>
  <c r="EA116" i="24"/>
  <c r="EA164" i="24"/>
  <c r="DY7" i="24"/>
  <c r="EF7" i="24" s="1"/>
  <c r="EA7" i="24"/>
  <c r="DY94" i="24"/>
  <c r="EF94" i="24" s="1"/>
  <c r="EA94" i="24"/>
  <c r="EA150" i="24"/>
  <c r="DY115" i="24"/>
  <c r="EF115" i="24" s="1"/>
  <c r="EA115" i="24"/>
  <c r="EA129" i="24"/>
  <c r="DY302" i="24"/>
  <c r="EF302" i="24" s="1"/>
  <c r="EA302" i="24"/>
  <c r="DY286" i="24"/>
  <c r="EF286" i="24" s="1"/>
  <c r="EA286" i="24"/>
  <c r="EA112" i="24"/>
  <c r="EA70" i="24"/>
  <c r="DY314" i="24"/>
  <c r="EF314" i="24" s="1"/>
  <c r="EA314" i="24"/>
  <c r="DY274" i="24"/>
  <c r="EF274" i="24" s="1"/>
  <c r="EA274" i="24"/>
  <c r="DY275" i="24"/>
  <c r="EF275" i="24" s="1"/>
  <c r="EA275" i="24"/>
  <c r="DY72" i="24"/>
  <c r="EF72" i="24" s="1"/>
  <c r="EA72" i="24"/>
  <c r="DY163" i="24"/>
  <c r="EF163" i="24" s="1"/>
  <c r="EA163" i="24"/>
  <c r="DY272" i="24"/>
  <c r="EF272" i="24" s="1"/>
  <c r="EA272" i="24"/>
  <c r="DY294" i="24"/>
  <c r="EF294" i="24" s="1"/>
  <c r="EA294" i="24"/>
  <c r="EA24" i="24"/>
  <c r="DY34" i="24"/>
  <c r="EF34" i="24" s="1"/>
  <c r="EA34" i="24"/>
  <c r="EA35" i="24"/>
  <c r="DY266" i="24"/>
  <c r="EF266" i="24" s="1"/>
  <c r="EA266" i="24"/>
  <c r="DY118" i="24"/>
  <c r="EF118" i="24" s="1"/>
  <c r="EA118" i="24"/>
  <c r="DY250" i="24"/>
  <c r="EF250" i="24" s="1"/>
  <c r="EA250" i="24"/>
  <c r="DY131" i="24"/>
  <c r="EF131" i="24" s="1"/>
  <c r="EA131" i="24"/>
  <c r="DY284" i="24"/>
  <c r="EF284" i="24" s="1"/>
  <c r="EA284" i="24"/>
  <c r="DY237" i="24"/>
  <c r="EF237" i="24" s="1"/>
  <c r="EA237" i="24"/>
  <c r="DY101" i="24"/>
  <c r="EF101" i="24" s="1"/>
  <c r="EA101" i="24"/>
  <c r="DY187" i="24"/>
  <c r="EF187" i="24" s="1"/>
  <c r="EA187" i="24"/>
  <c r="DY280" i="24"/>
  <c r="EF280" i="24" s="1"/>
  <c r="EA280" i="24"/>
  <c r="DY79" i="24"/>
  <c r="EF79" i="24" s="1"/>
  <c r="EA79" i="24"/>
  <c r="DY315" i="24"/>
  <c r="EF315" i="24" s="1"/>
  <c r="EA315" i="24"/>
  <c r="DY303" i="24"/>
  <c r="EF303" i="24" s="1"/>
  <c r="EA303" i="24"/>
  <c r="DY268" i="24"/>
  <c r="EF268" i="24" s="1"/>
  <c r="EA268" i="24"/>
  <c r="DY153" i="24"/>
  <c r="EF153" i="24" s="1"/>
  <c r="EA153" i="24"/>
  <c r="DY17" i="24"/>
  <c r="EF17" i="24" s="1"/>
  <c r="EA17" i="24"/>
  <c r="DY198" i="24"/>
  <c r="EF198" i="24" s="1"/>
  <c r="EA198" i="24"/>
  <c r="DY240" i="24"/>
  <c r="EF240" i="24" s="1"/>
  <c r="EA240" i="24"/>
  <c r="DY191" i="24"/>
  <c r="EF191" i="24" s="1"/>
  <c r="EA191" i="24"/>
  <c r="EA154" i="24"/>
  <c r="DY64" i="24"/>
  <c r="EF64" i="24" s="1"/>
  <c r="EA64" i="24"/>
  <c r="EA65" i="24"/>
  <c r="F64" i="19"/>
  <c r="F65" i="19"/>
  <c r="EE216" i="25" l="1"/>
  <c r="EV216" i="25" s="1"/>
  <c r="EF216" i="25"/>
  <c r="EW216" i="25" s="1"/>
  <c r="CG216" i="25"/>
  <c r="CH216" i="25"/>
  <c r="CG242" i="24"/>
  <c r="CG243" i="24"/>
  <c r="EV212" i="25"/>
  <c r="FB212" i="25" s="1"/>
  <c r="EI212" i="25"/>
  <c r="EC96" i="24"/>
  <c r="ED96" i="24" s="1"/>
  <c r="EH96" i="24"/>
  <c r="EW96" i="24" s="1"/>
  <c r="EI96" i="24"/>
  <c r="EX96" i="24" s="1"/>
  <c r="FL96" i="24"/>
  <c r="CG285" i="24"/>
  <c r="EI243" i="24"/>
  <c r="EX243" i="24" s="1"/>
  <c r="EC243" i="24"/>
  <c r="ED243" i="24" s="1"/>
  <c r="EH243" i="24"/>
  <c r="EK243" i="24" s="1"/>
  <c r="EC78" i="24"/>
  <c r="ED78" i="24" s="1"/>
  <c r="EH78" i="24"/>
  <c r="EW78" i="24" s="1"/>
  <c r="EI78" i="24"/>
  <c r="EX78" i="24" s="1"/>
  <c r="EH60" i="24"/>
  <c r="EW60" i="24" s="1"/>
  <c r="EV136" i="25"/>
  <c r="FC136" i="25" s="1"/>
  <c r="FE136" i="25" s="1"/>
  <c r="FF136" i="25" s="1"/>
  <c r="EH285" i="24"/>
  <c r="EK285" i="24" s="1"/>
  <c r="EI60" i="24"/>
  <c r="EX60" i="24" s="1"/>
  <c r="EC242" i="24"/>
  <c r="ED242" i="24" s="1"/>
  <c r="EI242" i="24"/>
  <c r="EX242" i="24" s="1"/>
  <c r="FL242" i="24"/>
  <c r="FL285" i="24"/>
  <c r="EI285" i="24"/>
  <c r="EX285" i="24" s="1"/>
  <c r="EW216" i="24"/>
  <c r="FB216" i="24" s="1"/>
  <c r="EK216" i="24"/>
  <c r="EI89" i="25"/>
  <c r="EO89" i="25" s="1"/>
  <c r="EP89" i="25" s="1"/>
  <c r="S110" i="24"/>
  <c r="T110" i="24" s="1"/>
  <c r="J110" i="24" s="1"/>
  <c r="K110" i="24"/>
  <c r="EC92" i="24"/>
  <c r="ED92" i="24" s="1"/>
  <c r="CG92" i="24"/>
  <c r="EH92" i="24"/>
  <c r="EW92" i="24" s="1"/>
  <c r="FL237" i="24"/>
  <c r="EH237" i="24"/>
  <c r="EI237" i="24"/>
  <c r="EX237" i="24" s="1"/>
  <c r="EC237" i="24"/>
  <c r="ED237" i="24" s="1"/>
  <c r="FL275" i="24"/>
  <c r="EI275" i="24"/>
  <c r="EX275" i="24" s="1"/>
  <c r="EC275" i="24"/>
  <c r="ED275" i="24" s="1"/>
  <c r="EH275" i="24"/>
  <c r="FL221" i="24"/>
  <c r="EH221" i="24"/>
  <c r="EI221" i="24"/>
  <c r="EX221" i="24" s="1"/>
  <c r="EC221" i="24"/>
  <c r="ED221" i="24" s="1"/>
  <c r="FL244" i="24"/>
  <c r="EH244" i="24"/>
  <c r="EI244" i="24"/>
  <c r="EX244" i="24" s="1"/>
  <c r="EC244" i="24"/>
  <c r="ED244" i="24" s="1"/>
  <c r="FL254" i="24"/>
  <c r="EH254" i="24"/>
  <c r="EI254" i="24"/>
  <c r="EX254" i="24" s="1"/>
  <c r="EC254" i="24"/>
  <c r="ED254" i="24" s="1"/>
  <c r="FL265" i="24"/>
  <c r="EH265" i="24"/>
  <c r="EC265" i="24"/>
  <c r="ED265" i="24" s="1"/>
  <c r="EI265" i="24"/>
  <c r="EX265" i="24" s="1"/>
  <c r="FL311" i="24"/>
  <c r="EI311" i="24"/>
  <c r="EX311" i="24" s="1"/>
  <c r="EH311" i="24"/>
  <c r="EC311" i="24"/>
  <c r="ED311" i="24" s="1"/>
  <c r="FL224" i="24"/>
  <c r="EI224" i="24"/>
  <c r="EX224" i="24" s="1"/>
  <c r="EH224" i="24"/>
  <c r="EC224" i="24"/>
  <c r="ED224" i="24" s="1"/>
  <c r="FL247" i="24"/>
  <c r="EH247" i="24"/>
  <c r="EI247" i="24"/>
  <c r="EX247" i="24" s="1"/>
  <c r="EC247" i="24"/>
  <c r="ED247" i="24" s="1"/>
  <c r="FL228" i="24"/>
  <c r="EH228" i="24"/>
  <c r="EC228" i="24"/>
  <c r="ED228" i="24" s="1"/>
  <c r="EI228" i="24"/>
  <c r="EX228" i="24" s="1"/>
  <c r="FL300" i="24"/>
  <c r="EI300" i="24"/>
  <c r="EX300" i="24" s="1"/>
  <c r="EC300" i="24"/>
  <c r="ED300" i="24" s="1"/>
  <c r="EH300" i="24"/>
  <c r="FL261" i="24"/>
  <c r="EH261" i="24"/>
  <c r="EI261" i="24"/>
  <c r="EX261" i="24" s="1"/>
  <c r="EC261" i="24"/>
  <c r="ED261" i="24" s="1"/>
  <c r="FL226" i="24"/>
  <c r="EH226" i="24"/>
  <c r="EI226" i="24"/>
  <c r="EX226" i="24" s="1"/>
  <c r="EC226" i="24"/>
  <c r="ED226" i="24" s="1"/>
  <c r="FL316" i="24"/>
  <c r="EC316" i="24"/>
  <c r="ED316" i="24" s="1"/>
  <c r="EH316" i="24"/>
  <c r="EI316" i="24"/>
  <c r="EX316" i="24" s="1"/>
  <c r="FL290" i="24"/>
  <c r="EH290" i="24"/>
  <c r="EI290" i="24"/>
  <c r="EX290" i="24" s="1"/>
  <c r="EC290" i="24"/>
  <c r="ED290" i="24" s="1"/>
  <c r="FL294" i="24"/>
  <c r="EH294" i="24"/>
  <c r="EI294" i="24"/>
  <c r="EX294" i="24" s="1"/>
  <c r="EC294" i="24"/>
  <c r="ED294" i="24" s="1"/>
  <c r="FL217" i="24"/>
  <c r="EH217" i="24"/>
  <c r="EI217" i="24"/>
  <c r="EX217" i="24" s="1"/>
  <c r="EC217" i="24"/>
  <c r="ED217" i="24" s="1"/>
  <c r="FL307" i="24"/>
  <c r="EI307" i="24"/>
  <c r="EX307" i="24" s="1"/>
  <c r="EC307" i="24"/>
  <c r="ED307" i="24" s="1"/>
  <c r="EH307" i="24"/>
  <c r="FL260" i="24"/>
  <c r="EH260" i="24"/>
  <c r="EI260" i="24"/>
  <c r="EX260" i="24" s="1"/>
  <c r="EC260" i="24"/>
  <c r="ED260" i="24" s="1"/>
  <c r="FL256" i="24"/>
  <c r="EI256" i="24"/>
  <c r="EX256" i="24" s="1"/>
  <c r="EC256" i="24"/>
  <c r="ED256" i="24" s="1"/>
  <c r="EH256" i="24"/>
  <c r="FL234" i="24"/>
  <c r="EI234" i="24"/>
  <c r="EX234" i="24" s="1"/>
  <c r="EH234" i="24"/>
  <c r="EC234" i="24"/>
  <c r="ED234" i="24" s="1"/>
  <c r="FL250" i="24"/>
  <c r="EC250" i="24"/>
  <c r="ED250" i="24" s="1"/>
  <c r="EH250" i="24"/>
  <c r="EI250" i="24"/>
  <c r="EX250" i="24" s="1"/>
  <c r="FL286" i="24"/>
  <c r="EH286" i="24"/>
  <c r="EC286" i="24"/>
  <c r="ED286" i="24" s="1"/>
  <c r="EI286" i="24"/>
  <c r="EX286" i="24" s="1"/>
  <c r="FL310" i="24"/>
  <c r="EH310" i="24"/>
  <c r="EI310" i="24"/>
  <c r="EX310" i="24" s="1"/>
  <c r="EC310" i="24"/>
  <c r="ED310" i="24" s="1"/>
  <c r="FL240" i="24"/>
  <c r="EH240" i="24"/>
  <c r="EI240" i="24"/>
  <c r="EX240" i="24" s="1"/>
  <c r="EC240" i="24"/>
  <c r="ED240" i="24" s="1"/>
  <c r="FL268" i="24"/>
  <c r="EH268" i="24"/>
  <c r="EC268" i="24"/>
  <c r="ED268" i="24" s="1"/>
  <c r="EI268" i="24"/>
  <c r="EX268" i="24" s="1"/>
  <c r="FL280" i="24"/>
  <c r="EI280" i="24"/>
  <c r="EX280" i="24" s="1"/>
  <c r="EH280" i="24"/>
  <c r="EC280" i="24"/>
  <c r="ED280" i="24" s="1"/>
  <c r="FL284" i="24"/>
  <c r="EH284" i="24"/>
  <c r="EI284" i="24"/>
  <c r="EX284" i="24" s="1"/>
  <c r="EC284" i="24"/>
  <c r="ED284" i="24" s="1"/>
  <c r="FL266" i="24"/>
  <c r="EC266" i="24"/>
  <c r="ED266" i="24" s="1"/>
  <c r="EI266" i="24"/>
  <c r="EX266" i="24" s="1"/>
  <c r="EH266" i="24"/>
  <c r="FL272" i="24"/>
  <c r="EI272" i="24"/>
  <c r="EX272" i="24" s="1"/>
  <c r="EC272" i="24"/>
  <c r="ED272" i="24" s="1"/>
  <c r="EH272" i="24"/>
  <c r="FL274" i="24"/>
  <c r="EH274" i="24"/>
  <c r="EI274" i="24"/>
  <c r="EX274" i="24" s="1"/>
  <c r="EC274" i="24"/>
  <c r="ED274" i="24" s="1"/>
  <c r="FL302" i="24"/>
  <c r="EI302" i="24"/>
  <c r="EX302" i="24" s="1"/>
  <c r="EH302" i="24"/>
  <c r="EC302" i="24"/>
  <c r="ED302" i="24" s="1"/>
  <c r="FL231" i="24"/>
  <c r="EI231" i="24"/>
  <c r="EX231" i="24" s="1"/>
  <c r="EH231" i="24"/>
  <c r="EC231" i="24"/>
  <c r="ED231" i="24" s="1"/>
  <c r="FL263" i="24"/>
  <c r="EH263" i="24"/>
  <c r="EC263" i="24"/>
  <c r="ED263" i="24" s="1"/>
  <c r="EI263" i="24"/>
  <c r="EX263" i="24" s="1"/>
  <c r="FL283" i="24"/>
  <c r="EC283" i="24"/>
  <c r="ED283" i="24" s="1"/>
  <c r="EH283" i="24"/>
  <c r="EI283" i="24"/>
  <c r="EX283" i="24" s="1"/>
  <c r="FL291" i="24"/>
  <c r="EC291" i="24"/>
  <c r="ED291" i="24" s="1"/>
  <c r="EH291" i="24"/>
  <c r="EI291" i="24"/>
  <c r="EX291" i="24" s="1"/>
  <c r="FL220" i="24"/>
  <c r="EH220" i="24"/>
  <c r="EI220" i="24"/>
  <c r="EX220" i="24" s="1"/>
  <c r="EC220" i="24"/>
  <c r="ED220" i="24" s="1"/>
  <c r="FL219" i="24"/>
  <c r="EH219" i="24"/>
  <c r="EC219" i="24"/>
  <c r="ED219" i="24" s="1"/>
  <c r="EI219" i="24"/>
  <c r="EX219" i="24" s="1"/>
  <c r="FL313" i="24"/>
  <c r="EH313" i="24"/>
  <c r="EI313" i="24"/>
  <c r="EX313" i="24" s="1"/>
  <c r="EC313" i="24"/>
  <c r="ED313" i="24" s="1"/>
  <c r="FL271" i="24"/>
  <c r="EH271" i="24"/>
  <c r="EC271" i="24"/>
  <c r="ED271" i="24" s="1"/>
  <c r="EI271" i="24"/>
  <c r="EX271" i="24" s="1"/>
  <c r="FL312" i="24"/>
  <c r="EH312" i="24"/>
  <c r="EI312" i="24"/>
  <c r="EX312" i="24" s="1"/>
  <c r="EC312" i="24"/>
  <c r="ED312" i="24" s="1"/>
  <c r="FL248" i="24"/>
  <c r="EH248" i="24"/>
  <c r="EI248" i="24"/>
  <c r="EX248" i="24" s="1"/>
  <c r="EC248" i="24"/>
  <c r="ED248" i="24" s="1"/>
  <c r="FL262" i="24"/>
  <c r="EI262" i="24"/>
  <c r="EX262" i="24" s="1"/>
  <c r="EC262" i="24"/>
  <c r="ED262" i="24" s="1"/>
  <c r="EH262" i="24"/>
  <c r="FL301" i="24"/>
  <c r="EH301" i="24"/>
  <c r="EI301" i="24"/>
  <c r="EX301" i="24" s="1"/>
  <c r="EC301" i="24"/>
  <c r="ED301" i="24" s="1"/>
  <c r="FL218" i="24"/>
  <c r="EI218" i="24"/>
  <c r="EX218" i="24" s="1"/>
  <c r="EC218" i="24"/>
  <c r="ED218" i="24" s="1"/>
  <c r="EH218" i="24"/>
  <c r="FL278" i="24"/>
  <c r="EH278" i="24"/>
  <c r="EI278" i="24"/>
  <c r="EX278" i="24" s="1"/>
  <c r="EC278" i="24"/>
  <c r="ED278" i="24" s="1"/>
  <c r="FL305" i="24"/>
  <c r="EH305" i="24"/>
  <c r="EI305" i="24"/>
  <c r="EX305" i="24" s="1"/>
  <c r="EC305" i="24"/>
  <c r="ED305" i="24" s="1"/>
  <c r="FL229" i="24"/>
  <c r="EH229" i="24"/>
  <c r="EI229" i="24"/>
  <c r="EX229" i="24" s="1"/>
  <c r="EC229" i="24"/>
  <c r="ED229" i="24" s="1"/>
  <c r="FL222" i="24"/>
  <c r="EH222" i="24"/>
  <c r="EI222" i="24"/>
  <c r="EX222" i="24" s="1"/>
  <c r="EC222" i="24"/>
  <c r="ED222" i="24" s="1"/>
  <c r="FL279" i="24"/>
  <c r="EH279" i="24"/>
  <c r="EC279" i="24"/>
  <c r="ED279" i="24" s="1"/>
  <c r="EI279" i="24"/>
  <c r="EX279" i="24" s="1"/>
  <c r="FL304" i="24"/>
  <c r="EC304" i="24"/>
  <c r="ED304" i="24" s="1"/>
  <c r="EH304" i="24"/>
  <c r="EI304" i="24"/>
  <c r="EX304" i="24" s="1"/>
  <c r="FL225" i="24"/>
  <c r="EH225" i="24"/>
  <c r="EC225" i="24"/>
  <c r="ED225" i="24" s="1"/>
  <c r="EI225" i="24"/>
  <c r="EX225" i="24" s="1"/>
  <c r="FL299" i="24"/>
  <c r="EC299" i="24"/>
  <c r="ED299" i="24" s="1"/>
  <c r="EH299" i="24"/>
  <c r="EI299" i="24"/>
  <c r="EX299" i="24" s="1"/>
  <c r="FL245" i="24"/>
  <c r="EH245" i="24"/>
  <c r="EI245" i="24"/>
  <c r="EX245" i="24" s="1"/>
  <c r="EC245" i="24"/>
  <c r="ED245" i="24" s="1"/>
  <c r="FL308" i="24"/>
  <c r="EH308" i="24"/>
  <c r="EI308" i="24"/>
  <c r="EX308" i="24" s="1"/>
  <c r="EC308" i="24"/>
  <c r="ED308" i="24" s="1"/>
  <c r="FL303" i="24"/>
  <c r="EH303" i="24"/>
  <c r="EI303" i="24"/>
  <c r="EX303" i="24" s="1"/>
  <c r="EC303" i="24"/>
  <c r="ED303" i="24" s="1"/>
  <c r="FL267" i="24"/>
  <c r="EC267" i="24"/>
  <c r="ED267" i="24" s="1"/>
  <c r="EH267" i="24"/>
  <c r="EI267" i="24"/>
  <c r="EX267" i="24" s="1"/>
  <c r="FL297" i="24"/>
  <c r="EH297" i="24"/>
  <c r="EI297" i="24"/>
  <c r="EX297" i="24" s="1"/>
  <c r="EC297" i="24"/>
  <c r="ED297" i="24" s="1"/>
  <c r="FL253" i="24"/>
  <c r="EC253" i="24"/>
  <c r="ED253" i="24" s="1"/>
  <c r="EH253" i="24"/>
  <c r="EI253" i="24"/>
  <c r="EX253" i="24" s="1"/>
  <c r="FL287" i="24"/>
  <c r="EH287" i="24"/>
  <c r="EI287" i="24"/>
  <c r="EX287" i="24" s="1"/>
  <c r="EC287" i="24"/>
  <c r="ED287" i="24" s="1"/>
  <c r="FL264" i="24"/>
  <c r="EI264" i="24"/>
  <c r="EX264" i="24" s="1"/>
  <c r="EH264" i="24"/>
  <c r="EC264" i="24"/>
  <c r="ED264" i="24" s="1"/>
  <c r="FL241" i="24"/>
  <c r="EH241" i="24"/>
  <c r="EI241" i="24"/>
  <c r="EX241" i="24" s="1"/>
  <c r="EC241" i="24"/>
  <c r="ED241" i="24" s="1"/>
  <c r="FL273" i="24"/>
  <c r="EH273" i="24"/>
  <c r="EI273" i="24"/>
  <c r="EX273" i="24" s="1"/>
  <c r="EC273" i="24"/>
  <c r="ED273" i="24" s="1"/>
  <c r="FL259" i="24"/>
  <c r="EI259" i="24"/>
  <c r="EX259" i="24" s="1"/>
  <c r="EC259" i="24"/>
  <c r="ED259" i="24" s="1"/>
  <c r="EH259" i="24"/>
  <c r="FL255" i="24"/>
  <c r="EH255" i="24"/>
  <c r="EC255" i="24"/>
  <c r="ED255" i="24" s="1"/>
  <c r="EI255" i="24"/>
  <c r="EX255" i="24" s="1"/>
  <c r="FL239" i="24"/>
  <c r="EI239" i="24"/>
  <c r="EX239" i="24" s="1"/>
  <c r="EC239" i="24"/>
  <c r="ED239" i="24" s="1"/>
  <c r="EH239" i="24"/>
  <c r="FL270" i="24"/>
  <c r="EI270" i="24"/>
  <c r="EX270" i="24" s="1"/>
  <c r="EH270" i="24"/>
  <c r="EC270" i="24"/>
  <c r="ED270" i="24" s="1"/>
  <c r="FL269" i="24"/>
  <c r="EH269" i="24"/>
  <c r="EC269" i="24"/>
  <c r="ED269" i="24" s="1"/>
  <c r="EI269" i="24"/>
  <c r="EX269" i="24" s="1"/>
  <c r="FL257" i="24"/>
  <c r="EH257" i="24"/>
  <c r="EC257" i="24"/>
  <c r="ED257" i="24" s="1"/>
  <c r="EI257" i="24"/>
  <c r="EX257" i="24" s="1"/>
  <c r="FL295" i="24"/>
  <c r="EH295" i="24"/>
  <c r="EI295" i="24"/>
  <c r="EX295" i="24" s="1"/>
  <c r="EC295" i="24"/>
  <c r="ED295" i="24" s="1"/>
  <c r="FL282" i="24"/>
  <c r="EC282" i="24"/>
  <c r="ED282" i="24" s="1"/>
  <c r="EH282" i="24"/>
  <c r="EI282" i="24"/>
  <c r="EX282" i="24" s="1"/>
  <c r="FL314" i="24"/>
  <c r="EH314" i="24"/>
  <c r="EI314" i="24"/>
  <c r="EX314" i="24" s="1"/>
  <c r="EC314" i="24"/>
  <c r="ED314" i="24" s="1"/>
  <c r="FL298" i="24"/>
  <c r="EI298" i="24"/>
  <c r="EX298" i="24" s="1"/>
  <c r="EH298" i="24"/>
  <c r="EC298" i="24"/>
  <c r="ED298" i="24" s="1"/>
  <c r="FL277" i="24"/>
  <c r="EI277" i="24"/>
  <c r="EX277" i="24" s="1"/>
  <c r="EH277" i="24"/>
  <c r="EC277" i="24"/>
  <c r="ED277" i="24" s="1"/>
  <c r="FL288" i="24"/>
  <c r="EH288" i="24"/>
  <c r="EI288" i="24"/>
  <c r="EX288" i="24" s="1"/>
  <c r="EC288" i="24"/>
  <c r="ED288" i="24" s="1"/>
  <c r="FL293" i="24"/>
  <c r="EH293" i="24"/>
  <c r="EI293" i="24"/>
  <c r="EX293" i="24" s="1"/>
  <c r="EC293" i="24"/>
  <c r="ED293" i="24" s="1"/>
  <c r="FL233" i="24"/>
  <c r="EH233" i="24"/>
  <c r="EI233" i="24"/>
  <c r="EX233" i="24" s="1"/>
  <c r="EC233" i="24"/>
  <c r="ED233" i="24" s="1"/>
  <c r="FL252" i="24"/>
  <c r="EH252" i="24"/>
  <c r="EC252" i="24"/>
  <c r="ED252" i="24" s="1"/>
  <c r="EI252" i="24"/>
  <c r="EX252" i="24" s="1"/>
  <c r="FL306" i="24"/>
  <c r="EC306" i="24"/>
  <c r="ED306" i="24" s="1"/>
  <c r="EH306" i="24"/>
  <c r="EI306" i="24"/>
  <c r="EX306" i="24" s="1"/>
  <c r="FL315" i="24"/>
  <c r="EH315" i="24"/>
  <c r="EI315" i="24"/>
  <c r="EX315" i="24" s="1"/>
  <c r="EC315" i="24"/>
  <c r="ED315" i="24" s="1"/>
  <c r="FL281" i="24"/>
  <c r="EH281" i="24"/>
  <c r="EI281" i="24"/>
  <c r="EX281" i="24" s="1"/>
  <c r="EC281" i="24"/>
  <c r="ED281" i="24" s="1"/>
  <c r="FL296" i="24"/>
  <c r="EI296" i="24"/>
  <c r="EX296" i="24" s="1"/>
  <c r="EC296" i="24"/>
  <c r="ED296" i="24" s="1"/>
  <c r="EH296" i="24"/>
  <c r="FL232" i="24"/>
  <c r="EH232" i="24"/>
  <c r="EI232" i="24"/>
  <c r="EX232" i="24" s="1"/>
  <c r="EC232" i="24"/>
  <c r="ED232" i="24" s="1"/>
  <c r="FL235" i="24"/>
  <c r="EH235" i="24"/>
  <c r="EI235" i="24"/>
  <c r="EX235" i="24" s="1"/>
  <c r="EC235" i="24"/>
  <c r="ED235" i="24" s="1"/>
  <c r="FL246" i="24"/>
  <c r="EH246" i="24"/>
  <c r="EI246" i="24"/>
  <c r="EX246" i="24" s="1"/>
  <c r="EC246" i="24"/>
  <c r="ED246" i="24" s="1"/>
  <c r="FL292" i="24"/>
  <c r="EH292" i="24"/>
  <c r="EI292" i="24"/>
  <c r="EX292" i="24" s="1"/>
  <c r="EC292" i="24"/>
  <c r="ED292" i="24" s="1"/>
  <c r="FL238" i="24"/>
  <c r="EH238" i="24"/>
  <c r="EI238" i="24"/>
  <c r="EX238" i="24" s="1"/>
  <c r="EC238" i="24"/>
  <c r="ED238" i="24" s="1"/>
  <c r="FL276" i="24"/>
  <c r="EH276" i="24"/>
  <c r="EI276" i="24"/>
  <c r="EX276" i="24" s="1"/>
  <c r="EC276" i="24"/>
  <c r="ED276" i="24" s="1"/>
  <c r="FL289" i="24"/>
  <c r="EH289" i="24"/>
  <c r="EI289" i="24"/>
  <c r="EX289" i="24" s="1"/>
  <c r="EC289" i="24"/>
  <c r="ED289" i="24" s="1"/>
  <c r="FL227" i="24"/>
  <c r="EH227" i="24"/>
  <c r="EC227" i="24"/>
  <c r="ED227" i="24" s="1"/>
  <c r="EI227" i="24"/>
  <c r="EX227" i="24" s="1"/>
  <c r="FL251" i="24"/>
  <c r="EH251" i="24"/>
  <c r="EI251" i="24"/>
  <c r="EX251" i="24" s="1"/>
  <c r="EC251" i="24"/>
  <c r="ED251" i="24" s="1"/>
  <c r="FL236" i="24"/>
  <c r="EI236" i="24"/>
  <c r="EX236" i="24" s="1"/>
  <c r="EC236" i="24"/>
  <c r="ED236" i="24" s="1"/>
  <c r="EH236" i="24"/>
  <c r="FL230" i="24"/>
  <c r="EH230" i="24"/>
  <c r="EI230" i="24"/>
  <c r="EX230" i="24" s="1"/>
  <c r="EC230" i="24"/>
  <c r="ED230" i="24" s="1"/>
  <c r="FL309" i="24"/>
  <c r="EH309" i="24"/>
  <c r="EI309" i="24"/>
  <c r="EX309" i="24" s="1"/>
  <c r="EC309" i="24"/>
  <c r="ED309" i="24" s="1"/>
  <c r="FL258" i="24"/>
  <c r="EH258" i="24"/>
  <c r="EI258" i="24"/>
  <c r="EX258" i="24" s="1"/>
  <c r="EC258" i="24"/>
  <c r="ED258" i="24" s="1"/>
  <c r="FL223" i="24"/>
  <c r="EH223" i="24"/>
  <c r="EC223" i="24"/>
  <c r="ED223" i="24" s="1"/>
  <c r="EI223" i="24"/>
  <c r="EX223" i="24" s="1"/>
  <c r="FL249" i="24"/>
  <c r="EH249" i="24"/>
  <c r="EI249" i="24"/>
  <c r="EX249" i="24" s="1"/>
  <c r="EC249" i="24"/>
  <c r="ED249" i="24" s="1"/>
  <c r="EK242" i="24"/>
  <c r="EW242" i="24"/>
  <c r="EV299" i="25"/>
  <c r="FB299" i="25" s="1"/>
  <c r="EI299" i="25"/>
  <c r="EV252" i="25"/>
  <c r="FB252" i="25" s="1"/>
  <c r="EI252" i="25"/>
  <c r="EI308" i="25"/>
  <c r="EV308" i="25"/>
  <c r="FB308" i="25" s="1"/>
  <c r="EI281" i="25"/>
  <c r="EV281" i="25"/>
  <c r="FB281" i="25" s="1"/>
  <c r="EI274" i="25"/>
  <c r="EV274" i="25"/>
  <c r="FB274" i="25" s="1"/>
  <c r="EI300" i="25"/>
  <c r="EV300" i="25"/>
  <c r="FB300" i="25" s="1"/>
  <c r="EV303" i="25"/>
  <c r="FB303" i="25" s="1"/>
  <c r="EI303" i="25"/>
  <c r="EI296" i="25"/>
  <c r="EV296" i="25"/>
  <c r="FB296" i="25" s="1"/>
  <c r="EV228" i="25"/>
  <c r="FB228" i="25" s="1"/>
  <c r="EI228" i="25"/>
  <c r="EI219" i="25"/>
  <c r="EV219" i="25"/>
  <c r="FB219" i="25" s="1"/>
  <c r="EI315" i="25"/>
  <c r="EV315" i="25"/>
  <c r="FB315" i="25" s="1"/>
  <c r="EI291" i="25"/>
  <c r="EV291" i="25"/>
  <c r="FB291" i="25" s="1"/>
  <c r="EI292" i="25"/>
  <c r="EV292" i="25"/>
  <c r="FB292" i="25" s="1"/>
  <c r="EI283" i="25"/>
  <c r="EV283" i="25"/>
  <c r="FB283" i="25" s="1"/>
  <c r="EI279" i="25"/>
  <c r="EV279" i="25"/>
  <c r="FB279" i="25" s="1"/>
  <c r="EV298" i="25"/>
  <c r="FB298" i="25" s="1"/>
  <c r="EI298" i="25"/>
  <c r="EI251" i="25"/>
  <c r="EV251" i="25"/>
  <c r="FB251" i="25" s="1"/>
  <c r="EI259" i="25"/>
  <c r="EV259" i="25"/>
  <c r="FB259" i="25" s="1"/>
  <c r="EV266" i="25"/>
  <c r="FB266" i="25" s="1"/>
  <c r="EI266" i="25"/>
  <c r="EI242" i="25"/>
  <c r="EV242" i="25"/>
  <c r="FB242" i="25" s="1"/>
  <c r="EV290" i="25"/>
  <c r="FB290" i="25" s="1"/>
  <c r="EI290" i="25"/>
  <c r="EI301" i="25"/>
  <c r="EV301" i="25"/>
  <c r="FB301" i="25" s="1"/>
  <c r="EV295" i="25"/>
  <c r="FB295" i="25" s="1"/>
  <c r="EI295" i="25"/>
  <c r="EI218" i="25"/>
  <c r="EV218" i="25"/>
  <c r="FB218" i="25" s="1"/>
  <c r="EI286" i="25"/>
  <c r="EV286" i="25"/>
  <c r="FB286" i="25" s="1"/>
  <c r="EI227" i="25"/>
  <c r="EV227" i="25"/>
  <c r="FB227" i="25" s="1"/>
  <c r="EI258" i="25"/>
  <c r="EV258" i="25"/>
  <c r="FB258" i="25" s="1"/>
  <c r="EI253" i="25"/>
  <c r="EV253" i="25"/>
  <c r="FB253" i="25" s="1"/>
  <c r="EV282" i="25"/>
  <c r="FB282" i="25" s="1"/>
  <c r="EI282" i="25"/>
  <c r="EI278" i="25"/>
  <c r="EV278" i="25"/>
  <c r="FB278" i="25" s="1"/>
  <c r="EV223" i="25"/>
  <c r="FB223" i="25" s="1"/>
  <c r="EI223" i="25"/>
  <c r="EV239" i="25"/>
  <c r="FB239" i="25" s="1"/>
  <c r="EI239" i="25"/>
  <c r="EI275" i="25"/>
  <c r="EV275" i="25"/>
  <c r="FB275" i="25" s="1"/>
  <c r="EI294" i="25"/>
  <c r="EV294" i="25"/>
  <c r="FB294" i="25" s="1"/>
  <c r="EI225" i="25"/>
  <c r="EV225" i="25"/>
  <c r="FB225" i="25" s="1"/>
  <c r="EV316" i="25"/>
  <c r="FB316" i="25" s="1"/>
  <c r="EI316" i="25"/>
  <c r="EI243" i="25"/>
  <c r="EV243" i="25"/>
  <c r="FB243" i="25" s="1"/>
  <c r="EV268" i="25"/>
  <c r="FB268" i="25" s="1"/>
  <c r="EI268" i="25"/>
  <c r="EV249" i="25"/>
  <c r="FB249" i="25" s="1"/>
  <c r="EI249" i="25"/>
  <c r="EV270" i="25"/>
  <c r="FB270" i="25" s="1"/>
  <c r="EI270" i="25"/>
  <c r="EI302" i="25"/>
  <c r="EV302" i="25"/>
  <c r="FB302" i="25" s="1"/>
  <c r="EI307" i="25"/>
  <c r="EV307" i="25"/>
  <c r="FB307" i="25" s="1"/>
  <c r="EI312" i="25"/>
  <c r="EV312" i="25"/>
  <c r="FB312" i="25" s="1"/>
  <c r="EI237" i="25"/>
  <c r="EV237" i="25"/>
  <c r="FB237" i="25" s="1"/>
  <c r="EV244" i="25"/>
  <c r="FB244" i="25" s="1"/>
  <c r="EI244" i="25"/>
  <c r="EI250" i="25"/>
  <c r="EV250" i="25"/>
  <c r="FB250" i="25" s="1"/>
  <c r="EI293" i="25"/>
  <c r="EV293" i="25"/>
  <c r="FB293" i="25" s="1"/>
  <c r="EV267" i="25"/>
  <c r="FB267" i="25" s="1"/>
  <c r="EI267" i="25"/>
  <c r="EI261" i="25"/>
  <c r="EV261" i="25"/>
  <c r="FB261" i="25" s="1"/>
  <c r="EV313" i="25"/>
  <c r="FB313" i="25" s="1"/>
  <c r="EI313" i="25"/>
  <c r="EI232" i="25"/>
  <c r="EV232" i="25"/>
  <c r="FB232" i="25" s="1"/>
  <c r="EV263" i="25"/>
  <c r="FB263" i="25" s="1"/>
  <c r="EI263" i="25"/>
  <c r="EV305" i="25"/>
  <c r="FB305" i="25" s="1"/>
  <c r="EI305" i="25"/>
  <c r="EI231" i="25"/>
  <c r="EV231" i="25"/>
  <c r="FB231" i="25" s="1"/>
  <c r="EV246" i="25"/>
  <c r="FB246" i="25" s="1"/>
  <c r="EI246" i="25"/>
  <c r="EV230" i="25"/>
  <c r="FB230" i="25" s="1"/>
  <c r="EI230" i="25"/>
  <c r="EI262" i="25"/>
  <c r="EV262" i="25"/>
  <c r="FB262" i="25" s="1"/>
  <c r="EI285" i="25"/>
  <c r="EV285" i="25"/>
  <c r="FB285" i="25" s="1"/>
  <c r="EI310" i="25"/>
  <c r="EV310" i="25"/>
  <c r="FB310" i="25" s="1"/>
  <c r="EI280" i="25"/>
  <c r="EV280" i="25"/>
  <c r="FB280" i="25" s="1"/>
  <c r="EI289" i="25"/>
  <c r="EV289" i="25"/>
  <c r="FB289" i="25" s="1"/>
  <c r="EV271" i="25"/>
  <c r="FB271" i="25" s="1"/>
  <c r="EI271" i="25"/>
  <c r="EI222" i="25"/>
  <c r="EV222" i="25"/>
  <c r="FB222" i="25" s="1"/>
  <c r="EI240" i="25"/>
  <c r="EV240" i="25"/>
  <c r="FB240" i="25" s="1"/>
  <c r="EI229" i="25"/>
  <c r="EV229" i="25"/>
  <c r="FB229" i="25" s="1"/>
  <c r="EI241" i="25"/>
  <c r="EV241" i="25"/>
  <c r="FB241" i="25" s="1"/>
  <c r="EI226" i="25"/>
  <c r="EV226" i="25"/>
  <c r="FB226" i="25" s="1"/>
  <c r="EI304" i="25"/>
  <c r="EV304" i="25"/>
  <c r="FB304" i="25" s="1"/>
  <c r="EI272" i="25"/>
  <c r="EV272" i="25"/>
  <c r="FB272" i="25" s="1"/>
  <c r="EI288" i="25"/>
  <c r="EV288" i="25"/>
  <c r="FB288" i="25" s="1"/>
  <c r="EV264" i="25"/>
  <c r="FB264" i="25" s="1"/>
  <c r="EI264" i="25"/>
  <c r="EV306" i="25"/>
  <c r="FB306" i="25" s="1"/>
  <c r="EI306" i="25"/>
  <c r="EI255" i="25"/>
  <c r="EV255" i="25"/>
  <c r="FB255" i="25" s="1"/>
  <c r="EV314" i="25"/>
  <c r="FB314" i="25" s="1"/>
  <c r="EI314" i="25"/>
  <c r="EI224" i="25"/>
  <c r="EV224" i="25"/>
  <c r="FB224" i="25" s="1"/>
  <c r="EV221" i="25"/>
  <c r="FB221" i="25" s="1"/>
  <c r="EI221" i="25"/>
  <c r="EV311" i="25"/>
  <c r="FB311" i="25" s="1"/>
  <c r="EI311" i="25"/>
  <c r="EV257" i="25"/>
  <c r="FB257" i="25" s="1"/>
  <c r="EI257" i="25"/>
  <c r="EV287" i="25"/>
  <c r="FB287" i="25" s="1"/>
  <c r="EI287" i="25"/>
  <c r="EI297" i="25"/>
  <c r="EV297" i="25"/>
  <c r="FB297" i="25" s="1"/>
  <c r="EV284" i="25"/>
  <c r="FB284" i="25" s="1"/>
  <c r="EI284" i="25"/>
  <c r="EV238" i="25"/>
  <c r="FB238" i="25" s="1"/>
  <c r="EI238" i="25"/>
  <c r="EV236" i="25"/>
  <c r="FB236" i="25" s="1"/>
  <c r="EI236" i="25"/>
  <c r="EV260" i="25"/>
  <c r="FB260" i="25" s="1"/>
  <c r="EI260" i="25"/>
  <c r="EV273" i="25"/>
  <c r="FB273" i="25" s="1"/>
  <c r="EI273" i="25"/>
  <c r="EI248" i="25"/>
  <c r="EV248" i="25"/>
  <c r="FB248" i="25" s="1"/>
  <c r="EV245" i="25"/>
  <c r="FB245" i="25" s="1"/>
  <c r="EI245" i="25"/>
  <c r="EI309" i="25"/>
  <c r="EV309" i="25"/>
  <c r="FB309" i="25" s="1"/>
  <c r="EV269" i="25"/>
  <c r="FB269" i="25" s="1"/>
  <c r="EI269" i="25"/>
  <c r="EV220" i="25"/>
  <c r="FB220" i="25" s="1"/>
  <c r="EI220" i="25"/>
  <c r="EV234" i="25"/>
  <c r="FB234" i="25" s="1"/>
  <c r="EI234" i="25"/>
  <c r="EV256" i="25"/>
  <c r="FB256" i="25" s="1"/>
  <c r="EI256" i="25"/>
  <c r="EV277" i="25"/>
  <c r="FB277" i="25" s="1"/>
  <c r="EI277" i="25"/>
  <c r="EI247" i="25"/>
  <c r="EV247" i="25"/>
  <c r="FB247" i="25" s="1"/>
  <c r="EV233" i="25"/>
  <c r="FB233" i="25" s="1"/>
  <c r="EI233" i="25"/>
  <c r="EV276" i="25"/>
  <c r="FB276" i="25" s="1"/>
  <c r="EI276" i="25"/>
  <c r="EV265" i="25"/>
  <c r="FB265" i="25" s="1"/>
  <c r="EI265" i="25"/>
  <c r="EV254" i="25"/>
  <c r="FB254" i="25" s="1"/>
  <c r="EI254" i="25"/>
  <c r="EI217" i="25"/>
  <c r="EV217" i="25"/>
  <c r="FB217" i="25" s="1"/>
  <c r="EI235" i="25"/>
  <c r="EV235" i="25"/>
  <c r="FB235" i="25" s="1"/>
  <c r="CG78" i="24"/>
  <c r="EC74" i="24"/>
  <c r="ED74" i="24" s="1"/>
  <c r="EI112" i="25"/>
  <c r="EV112" i="25"/>
  <c r="FB112" i="25" s="1"/>
  <c r="EI103" i="25"/>
  <c r="EO103" i="25" s="1"/>
  <c r="EP103" i="25" s="1"/>
  <c r="EH74" i="24"/>
  <c r="EW74" i="24" s="1"/>
  <c r="BK110" i="24"/>
  <c r="EI74" i="24"/>
  <c r="EX74" i="24" s="1"/>
  <c r="EI64" i="25"/>
  <c r="EO64" i="25" s="1"/>
  <c r="EP64" i="25" s="1"/>
  <c r="CG89" i="24"/>
  <c r="FL89" i="24"/>
  <c r="CG149" i="24"/>
  <c r="FL149" i="24"/>
  <c r="CG120" i="24"/>
  <c r="FL120" i="24"/>
  <c r="CG93" i="24"/>
  <c r="FL93" i="24"/>
  <c r="CG135" i="24"/>
  <c r="FL135" i="24"/>
  <c r="CG193" i="24"/>
  <c r="FL193" i="24"/>
  <c r="CG38" i="24"/>
  <c r="FL38" i="24"/>
  <c r="CG171" i="24"/>
  <c r="FL171" i="24"/>
  <c r="CG207" i="24"/>
  <c r="FL207" i="24"/>
  <c r="CG173" i="24"/>
  <c r="FL173" i="24"/>
  <c r="CG27" i="24"/>
  <c r="FL27" i="24"/>
  <c r="CG167" i="24"/>
  <c r="FL167" i="24"/>
  <c r="CG22" i="24"/>
  <c r="FL22" i="24"/>
  <c r="CG197" i="24"/>
  <c r="FL197" i="24"/>
  <c r="CG41" i="24"/>
  <c r="FL41" i="24"/>
  <c r="CG26" i="24"/>
  <c r="FL26" i="24"/>
  <c r="CG128" i="24"/>
  <c r="FL128" i="24"/>
  <c r="EC23" i="24"/>
  <c r="ED23" i="24" s="1"/>
  <c r="FL23" i="24"/>
  <c r="CG13" i="24"/>
  <c r="FL13" i="24"/>
  <c r="CG132" i="24"/>
  <c r="FL132" i="24"/>
  <c r="CG160" i="24"/>
  <c r="FL160" i="24"/>
  <c r="CG186" i="24"/>
  <c r="FL186" i="24"/>
  <c r="CG52" i="24"/>
  <c r="FL52" i="24"/>
  <c r="CG144" i="24"/>
  <c r="FL144" i="24"/>
  <c r="CG208" i="24"/>
  <c r="FL208" i="24"/>
  <c r="CG145" i="24"/>
  <c r="FL145" i="24"/>
  <c r="CG53" i="24"/>
  <c r="FL53" i="24"/>
  <c r="CG168" i="24"/>
  <c r="FL168" i="24"/>
  <c r="CG87" i="24"/>
  <c r="FL87" i="24"/>
  <c r="CG100" i="24"/>
  <c r="FL100" i="24"/>
  <c r="CG15" i="24"/>
  <c r="FL15" i="24"/>
  <c r="CG16" i="24"/>
  <c r="FL16" i="24"/>
  <c r="CG148" i="24"/>
  <c r="FL148" i="24"/>
  <c r="CG51" i="24"/>
  <c r="FL51" i="24"/>
  <c r="CG182" i="24"/>
  <c r="FL182" i="24"/>
  <c r="CG174" i="24"/>
  <c r="FL174" i="24"/>
  <c r="CG152" i="24"/>
  <c r="FL152" i="24"/>
  <c r="CG147" i="24"/>
  <c r="FL147" i="24"/>
  <c r="EH67" i="24"/>
  <c r="EW67" i="24" s="1"/>
  <c r="FL67" i="24"/>
  <c r="EZ47" i="25"/>
  <c r="FB47" i="25" s="1"/>
  <c r="CG37" i="24"/>
  <c r="FL37" i="24"/>
  <c r="CG60" i="24"/>
  <c r="FL60" i="24"/>
  <c r="CG191" i="24"/>
  <c r="FL191" i="24"/>
  <c r="CG118" i="24"/>
  <c r="FL118" i="24"/>
  <c r="CG18" i="24"/>
  <c r="FL18" i="24"/>
  <c r="CG61" i="24"/>
  <c r="FL61" i="24"/>
  <c r="CG21" i="24"/>
  <c r="FL21" i="24"/>
  <c r="CG7" i="24"/>
  <c r="FL7" i="24"/>
  <c r="CG36" i="24"/>
  <c r="FL36" i="24"/>
  <c r="CG42" i="24"/>
  <c r="FL42" i="24"/>
  <c r="CG117" i="24"/>
  <c r="FL117" i="24"/>
  <c r="CG158" i="24"/>
  <c r="FL158" i="24"/>
  <c r="CG102" i="24"/>
  <c r="FL102" i="24"/>
  <c r="CG84" i="24"/>
  <c r="FL84" i="24"/>
  <c r="CG179" i="24"/>
  <c r="FL179" i="24"/>
  <c r="CG137" i="24"/>
  <c r="FL137" i="24"/>
  <c r="EI43" i="24"/>
  <c r="EX43" i="24" s="1"/>
  <c r="FL43" i="24"/>
  <c r="EC40" i="24"/>
  <c r="ED40" i="24" s="1"/>
  <c r="FL40" i="24"/>
  <c r="CG124" i="24"/>
  <c r="FL124" i="24"/>
  <c r="CG48" i="24"/>
  <c r="FL48" i="24"/>
  <c r="CG55" i="24"/>
  <c r="FL55" i="24"/>
  <c r="CG94" i="24"/>
  <c r="FL94" i="24"/>
  <c r="CG178" i="24"/>
  <c r="FL178" i="24"/>
  <c r="CG194" i="24"/>
  <c r="FL194" i="24"/>
  <c r="CG121" i="24"/>
  <c r="FL121" i="24"/>
  <c r="CG165" i="24"/>
  <c r="FL165" i="24"/>
  <c r="CG82" i="24"/>
  <c r="FL82" i="24"/>
  <c r="CG164" i="24"/>
  <c r="FL164" i="24"/>
  <c r="CG46" i="24"/>
  <c r="FL46" i="24"/>
  <c r="CG140" i="24"/>
  <c r="FL140" i="24"/>
  <c r="CG205" i="24"/>
  <c r="FL205" i="24"/>
  <c r="CG47" i="24"/>
  <c r="FL47" i="24"/>
  <c r="CG157" i="24"/>
  <c r="FL157" i="24"/>
  <c r="CG103" i="24"/>
  <c r="FL103" i="24"/>
  <c r="CG188" i="24"/>
  <c r="FL188" i="24"/>
  <c r="CG151" i="24"/>
  <c r="FL151" i="24"/>
  <c r="CG156" i="24"/>
  <c r="FL156" i="24"/>
  <c r="CG73" i="24"/>
  <c r="FL73" i="24"/>
  <c r="CG20" i="24"/>
  <c r="FL20" i="24"/>
  <c r="CG85" i="24"/>
  <c r="FL85" i="24"/>
  <c r="CG19" i="24"/>
  <c r="FL19" i="24"/>
  <c r="CG95" i="24"/>
  <c r="FL95" i="24"/>
  <c r="CG123" i="24"/>
  <c r="FL123" i="24"/>
  <c r="CG6" i="24"/>
  <c r="FL6" i="24"/>
  <c r="EH77" i="24"/>
  <c r="EW77" i="24" s="1"/>
  <c r="FL77" i="24"/>
  <c r="CG111" i="24"/>
  <c r="FL111" i="24"/>
  <c r="CG133" i="24"/>
  <c r="FL133" i="24"/>
  <c r="CG44" i="24"/>
  <c r="FL44" i="24"/>
  <c r="CG79" i="24"/>
  <c r="FL79" i="24"/>
  <c r="CG203" i="24"/>
  <c r="FL203" i="24"/>
  <c r="CG130" i="24"/>
  <c r="FL130" i="24"/>
  <c r="CG183" i="24"/>
  <c r="FL183" i="24"/>
  <c r="CG57" i="24"/>
  <c r="FL57" i="24"/>
  <c r="CG80" i="24"/>
  <c r="FL80" i="24"/>
  <c r="CG54" i="24"/>
  <c r="FL54" i="24"/>
  <c r="CG97" i="24"/>
  <c r="FL97" i="24"/>
  <c r="CG65" i="24"/>
  <c r="FL65" i="24"/>
  <c r="CG198" i="24"/>
  <c r="FL198" i="24"/>
  <c r="CG187" i="24"/>
  <c r="FL187" i="24"/>
  <c r="CG131" i="24"/>
  <c r="FL131" i="24"/>
  <c r="CG163" i="24"/>
  <c r="FL163" i="24"/>
  <c r="CG129" i="24"/>
  <c r="FL129" i="24"/>
  <c r="CG68" i="24"/>
  <c r="FL68" i="24"/>
  <c r="CG64" i="24"/>
  <c r="FL64" i="24"/>
  <c r="CG34" i="24"/>
  <c r="FL34" i="24"/>
  <c r="CG115" i="24"/>
  <c r="FL115" i="24"/>
  <c r="CG116" i="24"/>
  <c r="FL116" i="24"/>
  <c r="CG138" i="24"/>
  <c r="FL138" i="24"/>
  <c r="CG125" i="24"/>
  <c r="FL125" i="24"/>
  <c r="CG175" i="24"/>
  <c r="FL175" i="24"/>
  <c r="CG200" i="24"/>
  <c r="FL200" i="24"/>
  <c r="CG105" i="24"/>
  <c r="FL105" i="24"/>
  <c r="CG189" i="24"/>
  <c r="FL189" i="24"/>
  <c r="CG9" i="24"/>
  <c r="FL9" i="24"/>
  <c r="CG139" i="24"/>
  <c r="FL139" i="24"/>
  <c r="CG206" i="24"/>
  <c r="FL206" i="24"/>
  <c r="CG161" i="24"/>
  <c r="FL161" i="24"/>
  <c r="CG31" i="24"/>
  <c r="FL31" i="24"/>
  <c r="CG28" i="24"/>
  <c r="FL28" i="24"/>
  <c r="CG10" i="24"/>
  <c r="FL10" i="24"/>
  <c r="EI136" i="24"/>
  <c r="EX136" i="24" s="1"/>
  <c r="FL136" i="24"/>
  <c r="EH142" i="24"/>
  <c r="EW142" i="24" s="1"/>
  <c r="FL142" i="24"/>
  <c r="CG63" i="24"/>
  <c r="FL63" i="24"/>
  <c r="CG90" i="24"/>
  <c r="FL90" i="24"/>
  <c r="CG39" i="24"/>
  <c r="FL39" i="24"/>
  <c r="CG8" i="24"/>
  <c r="FL8" i="24"/>
  <c r="CG210" i="24"/>
  <c r="FL210" i="24"/>
  <c r="CG56" i="24"/>
  <c r="FL56" i="24"/>
  <c r="CG12" i="24"/>
  <c r="FL12" i="24"/>
  <c r="CG25" i="24"/>
  <c r="FL25" i="24"/>
  <c r="CG35" i="24"/>
  <c r="FL35" i="24"/>
  <c r="CG91" i="24"/>
  <c r="FL91" i="24"/>
  <c r="CG119" i="24"/>
  <c r="FL119" i="24"/>
  <c r="CG59" i="24"/>
  <c r="FL59" i="24"/>
  <c r="CG17" i="24"/>
  <c r="FL17" i="24"/>
  <c r="CG101" i="24"/>
  <c r="FL101" i="24"/>
  <c r="CG72" i="24"/>
  <c r="FL72" i="24"/>
  <c r="CG70" i="24"/>
  <c r="FL70" i="24"/>
  <c r="CG204" i="24"/>
  <c r="FL204" i="24"/>
  <c r="CG166" i="24"/>
  <c r="FL166" i="24"/>
  <c r="CG75" i="24"/>
  <c r="FL75" i="24"/>
  <c r="CG162" i="24"/>
  <c r="FL162" i="24"/>
  <c r="CG196" i="24"/>
  <c r="FL196" i="24"/>
  <c r="CG49" i="24"/>
  <c r="FL49" i="24"/>
  <c r="CG86" i="24"/>
  <c r="FL86" i="24"/>
  <c r="CG66" i="24"/>
  <c r="FL66" i="24"/>
  <c r="CG45" i="24"/>
  <c r="FL45" i="24"/>
  <c r="CG181" i="24"/>
  <c r="FL181" i="24"/>
  <c r="CG180" i="24"/>
  <c r="FL180" i="24"/>
  <c r="CG143" i="24"/>
  <c r="FL143" i="24"/>
  <c r="CG88" i="24"/>
  <c r="FL88" i="24"/>
  <c r="CG76" i="24"/>
  <c r="FL76" i="24"/>
  <c r="CG122" i="24"/>
  <c r="FL122" i="24"/>
  <c r="CG202" i="24"/>
  <c r="FL202" i="24"/>
  <c r="CG177" i="24"/>
  <c r="FL177" i="24"/>
  <c r="CG195" i="24"/>
  <c r="FL195" i="24"/>
  <c r="CG146" i="24"/>
  <c r="FL146" i="24"/>
  <c r="CG69" i="24"/>
  <c r="FL69" i="24"/>
  <c r="EH159" i="24"/>
  <c r="EW159" i="24" s="1"/>
  <c r="FL159" i="24"/>
  <c r="EC62" i="24"/>
  <c r="ED62" i="24" s="1"/>
  <c r="FL62" i="24"/>
  <c r="CG170" i="24"/>
  <c r="FL170" i="24"/>
  <c r="CG199" i="24"/>
  <c r="FL199" i="24"/>
  <c r="CG71" i="24"/>
  <c r="FL71" i="24"/>
  <c r="CG126" i="24"/>
  <c r="FL126" i="24"/>
  <c r="EC169" i="24"/>
  <c r="ED169" i="24" s="1"/>
  <c r="FL169" i="24"/>
  <c r="CG153" i="24"/>
  <c r="FL153" i="24"/>
  <c r="CG113" i="24"/>
  <c r="FL113" i="24"/>
  <c r="CG11" i="24"/>
  <c r="FL11" i="24"/>
  <c r="CG185" i="24"/>
  <c r="FL185" i="24"/>
  <c r="CG99" i="24"/>
  <c r="FL99" i="24"/>
  <c r="CG30" i="24"/>
  <c r="FL30" i="24"/>
  <c r="CG154" i="24"/>
  <c r="FL154" i="24"/>
  <c r="CG24" i="24"/>
  <c r="FL24" i="24"/>
  <c r="CG112" i="24"/>
  <c r="FL112" i="24"/>
  <c r="CG150" i="24"/>
  <c r="FL150" i="24"/>
  <c r="CG33" i="24"/>
  <c r="FL33" i="24"/>
  <c r="CG184" i="24"/>
  <c r="FL184" i="24"/>
  <c r="CG176" i="24"/>
  <c r="FL176" i="24"/>
  <c r="CG98" i="24"/>
  <c r="FL98" i="24"/>
  <c r="CG155" i="24"/>
  <c r="FL155" i="24"/>
  <c r="CG58" i="24"/>
  <c r="FL58" i="24"/>
  <c r="CG50" i="24"/>
  <c r="FL50" i="24"/>
  <c r="CG114" i="24"/>
  <c r="FL114" i="24"/>
  <c r="CG209" i="24"/>
  <c r="FL209" i="24"/>
  <c r="CG32" i="24"/>
  <c r="FL32" i="24"/>
  <c r="CG141" i="24"/>
  <c r="FL141" i="24"/>
  <c r="CG201" i="24"/>
  <c r="FL201" i="24"/>
  <c r="EI29" i="24"/>
  <c r="EX29" i="24" s="1"/>
  <c r="FL29" i="24"/>
  <c r="CG192" i="24"/>
  <c r="FL192" i="24"/>
  <c r="CG104" i="24"/>
  <c r="FL104" i="24"/>
  <c r="EI39" i="24"/>
  <c r="EX39" i="24" s="1"/>
  <c r="EH39" i="24"/>
  <c r="EW39" i="24" s="1"/>
  <c r="EC39" i="24"/>
  <c r="ED39" i="24" s="1"/>
  <c r="EI92" i="24"/>
  <c r="EX92" i="24" s="1"/>
  <c r="CG74" i="24"/>
  <c r="EH132" i="24"/>
  <c r="EK132" i="24" s="1"/>
  <c r="EH44" i="24"/>
  <c r="EW44" i="24" s="1"/>
  <c r="EC44" i="24"/>
  <c r="ED44" i="24" s="1"/>
  <c r="EI44" i="24"/>
  <c r="EX44" i="24" s="1"/>
  <c r="EV17" i="25"/>
  <c r="EZ17" i="25" s="1"/>
  <c r="FB17" i="25" s="1"/>
  <c r="EI33" i="25"/>
  <c r="EO33" i="25" s="1"/>
  <c r="EP33" i="25" s="1"/>
  <c r="EI169" i="24"/>
  <c r="EX169" i="24" s="1"/>
  <c r="EH169" i="24"/>
  <c r="CG169" i="24"/>
  <c r="EI132" i="24"/>
  <c r="EX132" i="24" s="1"/>
  <c r="EH160" i="24"/>
  <c r="EK160" i="24" s="1"/>
  <c r="EI160" i="24"/>
  <c r="EX160" i="24" s="1"/>
  <c r="EI127" i="24"/>
  <c r="EX127" i="24" s="1"/>
  <c r="EC160" i="24"/>
  <c r="ED160" i="24" s="1"/>
  <c r="EC132" i="24"/>
  <c r="ED132" i="24" s="1"/>
  <c r="EV164" i="25"/>
  <c r="FB164" i="25" s="1"/>
  <c r="EC52" i="24"/>
  <c r="ED52" i="24" s="1"/>
  <c r="EI52" i="24"/>
  <c r="EX52" i="24" s="1"/>
  <c r="EH52" i="24"/>
  <c r="EW52" i="24" s="1"/>
  <c r="EI133" i="24"/>
  <c r="EX133" i="24" s="1"/>
  <c r="EC133" i="24"/>
  <c r="ED133" i="24" s="1"/>
  <c r="EH133" i="24"/>
  <c r="EW133" i="24" s="1"/>
  <c r="EC104" i="24"/>
  <c r="ED104" i="24" s="1"/>
  <c r="EC37" i="24"/>
  <c r="ED37" i="24" s="1"/>
  <c r="EZ103" i="25"/>
  <c r="FB103" i="25" s="1"/>
  <c r="EC127" i="24"/>
  <c r="ED127" i="24" s="1"/>
  <c r="EI58" i="25"/>
  <c r="EO58" i="25" s="1"/>
  <c r="EP58" i="25" s="1"/>
  <c r="EH152" i="24"/>
  <c r="EK152" i="24" s="1"/>
  <c r="EZ64" i="25"/>
  <c r="FB64" i="25" s="1"/>
  <c r="EI77" i="25"/>
  <c r="EO77" i="25" s="1"/>
  <c r="EP77" i="25" s="1"/>
  <c r="EH127" i="24"/>
  <c r="EK127" i="24" s="1"/>
  <c r="CG127" i="24"/>
  <c r="EI55" i="24"/>
  <c r="EX55" i="24" s="1"/>
  <c r="EH83" i="24"/>
  <c r="EK83" i="24" s="1"/>
  <c r="EQ83" i="24" s="1"/>
  <c r="EZ89" i="25"/>
  <c r="FB89" i="25" s="1"/>
  <c r="EH48" i="24"/>
  <c r="EK48" i="24" s="1"/>
  <c r="EQ48" i="24" s="1"/>
  <c r="EZ96" i="25"/>
  <c r="FB96" i="25" s="1"/>
  <c r="EH37" i="24"/>
  <c r="EK37" i="24" s="1"/>
  <c r="EQ37" i="24" s="1"/>
  <c r="EI37" i="24"/>
  <c r="EX37" i="24" s="1"/>
  <c r="EV90" i="25"/>
  <c r="EZ90" i="25" s="1"/>
  <c r="FB90" i="25" s="1"/>
  <c r="EI172" i="24"/>
  <c r="EX172" i="24" s="1"/>
  <c r="EI96" i="25"/>
  <c r="EO96" i="25" s="1"/>
  <c r="EI183" i="25"/>
  <c r="EP183" i="25" s="1"/>
  <c r="EH29" i="24"/>
  <c r="EK29" i="24" s="1"/>
  <c r="EQ29" i="24" s="1"/>
  <c r="EI201" i="24"/>
  <c r="EX201" i="24" s="1"/>
  <c r="EI128" i="25"/>
  <c r="EP128" i="25" s="1"/>
  <c r="EV145" i="25"/>
  <c r="FB145" i="25" s="1"/>
  <c r="EH126" i="24"/>
  <c r="EK126" i="24" s="1"/>
  <c r="FB183" i="25"/>
  <c r="EI99" i="25"/>
  <c r="EO99" i="25" s="1"/>
  <c r="EP99" i="25" s="1"/>
  <c r="EI126" i="24"/>
  <c r="EX126" i="24" s="1"/>
  <c r="EC126" i="24"/>
  <c r="ED126" i="24" s="1"/>
  <c r="FB128" i="25"/>
  <c r="EH63" i="24"/>
  <c r="EW63" i="24" s="1"/>
  <c r="EV185" i="25"/>
  <c r="FB185" i="25" s="1"/>
  <c r="EC111" i="24"/>
  <c r="ED111" i="24" s="1"/>
  <c r="EC63" i="24"/>
  <c r="ED63" i="24" s="1"/>
  <c r="EH30" i="24"/>
  <c r="EK30" i="24" s="1"/>
  <c r="EQ30" i="24" s="1"/>
  <c r="EI63" i="24"/>
  <c r="EX63" i="24" s="1"/>
  <c r="EI30" i="24"/>
  <c r="EX30" i="24" s="1"/>
  <c r="EC30" i="24"/>
  <c r="ED30" i="24" s="1"/>
  <c r="EI83" i="24"/>
  <c r="EX83" i="24" s="1"/>
  <c r="EH111" i="24"/>
  <c r="EW111" i="24" s="1"/>
  <c r="EI111" i="24"/>
  <c r="EX111" i="24" s="1"/>
  <c r="EI47" i="25"/>
  <c r="EO47" i="25" s="1"/>
  <c r="EI37" i="25"/>
  <c r="EO37" i="25" s="1"/>
  <c r="EP37" i="25" s="1"/>
  <c r="EZ33" i="25"/>
  <c r="FB33" i="25" s="1"/>
  <c r="EZ95" i="25"/>
  <c r="FB95" i="25" s="1"/>
  <c r="EZ97" i="25"/>
  <c r="FB97" i="25" s="1"/>
  <c r="FB158" i="25"/>
  <c r="EI81" i="24"/>
  <c r="EX81" i="24" s="1"/>
  <c r="EH71" i="24"/>
  <c r="EK71" i="24" s="1"/>
  <c r="EQ71" i="24" s="1"/>
  <c r="EI95" i="25"/>
  <c r="EO95" i="25" s="1"/>
  <c r="EI74" i="25"/>
  <c r="EO74" i="25" s="1"/>
  <c r="EP74" i="25" s="1"/>
  <c r="EI97" i="25"/>
  <c r="EO97" i="25" s="1"/>
  <c r="EP97" i="25" s="1"/>
  <c r="EI158" i="25"/>
  <c r="FC158" i="25" s="1"/>
  <c r="FE158" i="25" s="1"/>
  <c r="FF158" i="25" s="1"/>
  <c r="EI93" i="25"/>
  <c r="EO93" i="25" s="1"/>
  <c r="EP93" i="25" s="1"/>
  <c r="FB131" i="25"/>
  <c r="EI131" i="25"/>
  <c r="EP131" i="25" s="1"/>
  <c r="EZ99" i="25"/>
  <c r="FB99" i="25" s="1"/>
  <c r="FC182" i="25"/>
  <c r="FE182" i="25" s="1"/>
  <c r="FF182" i="25" s="1"/>
  <c r="EC172" i="24"/>
  <c r="ED172" i="24" s="1"/>
  <c r="CG172" i="24"/>
  <c r="EZ58" i="25"/>
  <c r="FB58" i="25" s="1"/>
  <c r="EH172" i="24"/>
  <c r="EW172" i="24" s="1"/>
  <c r="EI71" i="24"/>
  <c r="EX71" i="24" s="1"/>
  <c r="EZ74" i="25"/>
  <c r="FB74" i="25" s="1"/>
  <c r="EC71" i="24"/>
  <c r="ED71" i="24" s="1"/>
  <c r="EZ93" i="25"/>
  <c r="FB93" i="25" s="1"/>
  <c r="EI173" i="25"/>
  <c r="EP173" i="25" s="1"/>
  <c r="EI137" i="25"/>
  <c r="FC137" i="25" s="1"/>
  <c r="FE137" i="25" s="1"/>
  <c r="FF137" i="25" s="1"/>
  <c r="EV42" i="25"/>
  <c r="EZ42" i="25" s="1"/>
  <c r="FB42" i="25" s="1"/>
  <c r="EI192" i="24"/>
  <c r="EX192" i="24" s="1"/>
  <c r="CG275" i="24"/>
  <c r="CG265" i="24"/>
  <c r="I216" i="24"/>
  <c r="EC192" i="24"/>
  <c r="ED192" i="24" s="1"/>
  <c r="CG240" i="24"/>
  <c r="CG14" i="24"/>
  <c r="CG29" i="24"/>
  <c r="CG252" i="24"/>
  <c r="EI104" i="24"/>
  <c r="EX104" i="24" s="1"/>
  <c r="EH192" i="24"/>
  <c r="EW192" i="24" s="1"/>
  <c r="EV56" i="25"/>
  <c r="EZ56" i="25" s="1"/>
  <c r="FB56" i="25" s="1"/>
  <c r="CG277" i="24"/>
  <c r="CG239" i="24"/>
  <c r="CG293" i="24"/>
  <c r="CG278" i="24"/>
  <c r="CG249" i="24"/>
  <c r="EH104" i="24"/>
  <c r="EK104" i="24" s="1"/>
  <c r="EQ104" i="24" s="1"/>
  <c r="CG297" i="24"/>
  <c r="EZ73" i="25"/>
  <c r="FB73" i="25" s="1"/>
  <c r="EH90" i="24"/>
  <c r="EC90" i="24"/>
  <c r="ED90" i="24" s="1"/>
  <c r="EI90" i="24"/>
  <c r="EX90" i="24" s="1"/>
  <c r="CG251" i="24"/>
  <c r="CG290" i="24"/>
  <c r="CG232" i="24"/>
  <c r="CG222" i="24"/>
  <c r="CG272" i="24"/>
  <c r="CG40" i="24"/>
  <c r="CG62" i="24"/>
  <c r="CG254" i="24"/>
  <c r="CG260" i="24"/>
  <c r="CG219" i="24"/>
  <c r="CG269" i="24"/>
  <c r="CG231" i="24"/>
  <c r="CG223" i="24"/>
  <c r="CG314" i="24"/>
  <c r="CG83" i="24"/>
  <c r="CG264" i="24"/>
  <c r="CG292" i="24"/>
  <c r="CG263" i="24"/>
  <c r="CG281" i="24"/>
  <c r="CG77" i="24"/>
  <c r="CG273" i="24"/>
  <c r="CG271" i="24"/>
  <c r="CG230" i="24"/>
  <c r="CG258" i="24"/>
  <c r="CG234" i="24"/>
  <c r="CG298" i="24"/>
  <c r="CG283" i="24"/>
  <c r="CG142" i="24"/>
  <c r="CG227" i="24"/>
  <c r="CG228" i="24"/>
  <c r="CG287" i="24"/>
  <c r="CG279" i="24"/>
  <c r="CG303" i="24"/>
  <c r="CG315" i="24"/>
  <c r="CG246" i="24"/>
  <c r="CG244" i="24"/>
  <c r="CG304" i="24"/>
  <c r="CG256" i="24"/>
  <c r="CG81" i="24"/>
  <c r="CG253" i="24"/>
  <c r="CG312" i="24"/>
  <c r="CG274" i="24"/>
  <c r="CG309" i="24"/>
  <c r="CG276" i="24"/>
  <c r="CG313" i="24"/>
  <c r="CG316" i="24"/>
  <c r="CG302" i="24"/>
  <c r="EI142" i="24"/>
  <c r="EX142" i="24" s="1"/>
  <c r="EC136" i="24"/>
  <c r="ED136" i="24" s="1"/>
  <c r="CG301" i="24"/>
  <c r="CG307" i="24"/>
  <c r="CG218" i="24"/>
  <c r="CG257" i="24"/>
  <c r="CG295" i="24"/>
  <c r="CG268" i="24"/>
  <c r="CG294" i="24"/>
  <c r="CG220" i="24"/>
  <c r="CG308" i="24"/>
  <c r="CG289" i="24"/>
  <c r="CG267" i="24"/>
  <c r="CG224" i="24"/>
  <c r="CG262" i="24"/>
  <c r="CG235" i="24"/>
  <c r="CG259" i="24"/>
  <c r="CG221" i="24"/>
  <c r="EH40" i="24"/>
  <c r="EW40" i="24" s="1"/>
  <c r="EC142" i="24"/>
  <c r="ED142" i="24" s="1"/>
  <c r="EV156" i="25"/>
  <c r="FB156" i="25" s="1"/>
  <c r="CG229" i="24"/>
  <c r="CG136" i="24"/>
  <c r="CG238" i="24"/>
  <c r="CG241" i="24"/>
  <c r="CG261" i="24"/>
  <c r="CG236" i="24"/>
  <c r="CG255" i="24"/>
  <c r="CG226" i="24"/>
  <c r="CG282" i="24"/>
  <c r="CG233" i="24"/>
  <c r="CG280" i="24"/>
  <c r="CG310" i="24"/>
  <c r="CG306" i="24"/>
  <c r="CG300" i="24"/>
  <c r="CG225" i="24"/>
  <c r="CG250" i="24"/>
  <c r="CG43" i="24"/>
  <c r="EH136" i="24"/>
  <c r="EK136" i="24" s="1"/>
  <c r="EI73" i="25"/>
  <c r="EO73" i="25" s="1"/>
  <c r="EP73" i="25" s="1"/>
  <c r="CG134" i="24"/>
  <c r="CG247" i="24"/>
  <c r="CG296" i="24"/>
  <c r="CG311" i="24"/>
  <c r="CG286" i="24"/>
  <c r="CG217" i="24"/>
  <c r="CG237" i="24"/>
  <c r="CG270" i="24"/>
  <c r="CG305" i="24"/>
  <c r="CG291" i="24"/>
  <c r="CG23" i="24"/>
  <c r="CG288" i="24"/>
  <c r="CG248" i="24"/>
  <c r="CG284" i="24"/>
  <c r="CG299" i="24"/>
  <c r="CG159" i="24"/>
  <c r="CG266" i="24"/>
  <c r="CG245" i="24"/>
  <c r="CG67" i="24"/>
  <c r="EZ77" i="25"/>
  <c r="FB77" i="25" s="1"/>
  <c r="EI25" i="25"/>
  <c r="EO25" i="25" s="1"/>
  <c r="EP25" i="25" s="1"/>
  <c r="EZ37" i="25"/>
  <c r="FB37" i="25" s="1"/>
  <c r="EI40" i="24"/>
  <c r="EX40" i="24" s="1"/>
  <c r="EI48" i="24"/>
  <c r="EX48" i="24" s="1"/>
  <c r="EC83" i="24"/>
  <c r="ED83" i="24" s="1"/>
  <c r="EI129" i="25"/>
  <c r="EP129" i="25" s="1"/>
  <c r="EI186" i="24"/>
  <c r="EX186" i="24" s="1"/>
  <c r="EC48" i="24"/>
  <c r="ED48" i="24" s="1"/>
  <c r="EI34" i="25"/>
  <c r="EO34" i="25" s="1"/>
  <c r="EP34" i="25" s="1"/>
  <c r="EC43" i="24"/>
  <c r="ED43" i="24" s="1"/>
  <c r="EH186" i="24"/>
  <c r="EK186" i="24" s="1"/>
  <c r="EH43" i="24"/>
  <c r="EW43" i="24" s="1"/>
  <c r="EC186" i="24"/>
  <c r="ED186" i="24" s="1"/>
  <c r="EI9" i="25"/>
  <c r="EO9" i="25" s="1"/>
  <c r="EP9" i="25" s="1"/>
  <c r="EH170" i="24"/>
  <c r="EW170" i="24" s="1"/>
  <c r="EH99" i="24"/>
  <c r="EW99" i="24" s="1"/>
  <c r="EH55" i="24"/>
  <c r="EW55" i="24" s="1"/>
  <c r="EI170" i="24"/>
  <c r="EX170" i="24" s="1"/>
  <c r="EC55" i="24"/>
  <c r="ED55" i="24" s="1"/>
  <c r="EC170" i="24"/>
  <c r="ED170" i="24" s="1"/>
  <c r="EZ83" i="25"/>
  <c r="FB83" i="25" s="1"/>
  <c r="EH23" i="24"/>
  <c r="EW23" i="24" s="1"/>
  <c r="EH124" i="24"/>
  <c r="EK124" i="24" s="1"/>
  <c r="EI14" i="24"/>
  <c r="EX14" i="24" s="1"/>
  <c r="EC67" i="24"/>
  <c r="ED67" i="24" s="1"/>
  <c r="EI83" i="25"/>
  <c r="EO83" i="25" s="1"/>
  <c r="EP83" i="25" s="1"/>
  <c r="EC99" i="24"/>
  <c r="ED99" i="24" s="1"/>
  <c r="EH14" i="24"/>
  <c r="EW14" i="24" s="1"/>
  <c r="EI67" i="24"/>
  <c r="EX67" i="24" s="1"/>
  <c r="EC124" i="24"/>
  <c r="ED124" i="24" s="1"/>
  <c r="EI99" i="24"/>
  <c r="EX99" i="24" s="1"/>
  <c r="EI23" i="24"/>
  <c r="EX23" i="24" s="1"/>
  <c r="EC14" i="24"/>
  <c r="ED14" i="24" s="1"/>
  <c r="EI124" i="24"/>
  <c r="EX124" i="24" s="1"/>
  <c r="EI81" i="25"/>
  <c r="EO81" i="25" s="1"/>
  <c r="EP81" i="25" s="1"/>
  <c r="EV169" i="25"/>
  <c r="FC169" i="25" s="1"/>
  <c r="FE169" i="25" s="1"/>
  <c r="FF169" i="25" s="1"/>
  <c r="EI199" i="25"/>
  <c r="FC199" i="25" s="1"/>
  <c r="FE199" i="25" s="1"/>
  <c r="FF199" i="25" s="1"/>
  <c r="EI178" i="25"/>
  <c r="EP178" i="25" s="1"/>
  <c r="FB199" i="25"/>
  <c r="EV194" i="25"/>
  <c r="FB194" i="25" s="1"/>
  <c r="EI141" i="25"/>
  <c r="FC141" i="25" s="1"/>
  <c r="FE141" i="25" s="1"/>
  <c r="FF141" i="25" s="1"/>
  <c r="EV171" i="25"/>
  <c r="FB171" i="25" s="1"/>
  <c r="ER5" i="24"/>
  <c r="FC5" i="24"/>
  <c r="FE5" i="24" s="1"/>
  <c r="FF5" i="24" s="1"/>
  <c r="U110" i="24"/>
  <c r="N110" i="24"/>
  <c r="ER110" i="24"/>
  <c r="FC110" i="24"/>
  <c r="FE110" i="24" s="1"/>
  <c r="FF110" i="24" s="1"/>
  <c r="FB178" i="25"/>
  <c r="FB141" i="25"/>
  <c r="FB137" i="25"/>
  <c r="EC159" i="24"/>
  <c r="ED159" i="24" s="1"/>
  <c r="EI159" i="24"/>
  <c r="EX159" i="24" s="1"/>
  <c r="EI152" i="24"/>
  <c r="EX152" i="24" s="1"/>
  <c r="EC81" i="24"/>
  <c r="ED81" i="24" s="1"/>
  <c r="EC29" i="24"/>
  <c r="ED29" i="24" s="1"/>
  <c r="EC152" i="24"/>
  <c r="ED152" i="24" s="1"/>
  <c r="EZ81" i="25"/>
  <c r="FB81" i="25" s="1"/>
  <c r="EC199" i="24"/>
  <c r="ED199" i="24" s="1"/>
  <c r="EH199" i="24"/>
  <c r="EK199" i="24" s="1"/>
  <c r="EH147" i="24"/>
  <c r="EK147" i="24" s="1"/>
  <c r="EH81" i="24"/>
  <c r="EW81" i="24" s="1"/>
  <c r="EI147" i="24"/>
  <c r="EX147" i="24" s="1"/>
  <c r="EI199" i="24"/>
  <c r="EX199" i="24" s="1"/>
  <c r="EC147" i="24"/>
  <c r="ED147" i="24" s="1"/>
  <c r="FB173" i="25"/>
  <c r="FB129" i="25"/>
  <c r="EC201" i="24"/>
  <c r="ED201" i="24" s="1"/>
  <c r="FB180" i="25"/>
  <c r="EH134" i="24"/>
  <c r="EK134" i="24" s="1"/>
  <c r="EI49" i="25"/>
  <c r="EO49" i="25" s="1"/>
  <c r="EP49" i="25" s="1"/>
  <c r="EI180" i="25"/>
  <c r="FC180" i="25" s="1"/>
  <c r="FE180" i="25" s="1"/>
  <c r="FF180" i="25" s="1"/>
  <c r="EI87" i="25"/>
  <c r="EO87" i="25" s="1"/>
  <c r="EP87" i="25" s="1"/>
  <c r="EI77" i="24"/>
  <c r="EX77" i="24" s="1"/>
  <c r="EZ9" i="25"/>
  <c r="FB9" i="25" s="1"/>
  <c r="EC77" i="24"/>
  <c r="ED77" i="24" s="1"/>
  <c r="EH13" i="24"/>
  <c r="EK13" i="24" s="1"/>
  <c r="EQ13" i="24" s="1"/>
  <c r="EC13" i="24"/>
  <c r="ED13" i="24" s="1"/>
  <c r="EI13" i="24"/>
  <c r="EX13" i="24" s="1"/>
  <c r="EZ49" i="25"/>
  <c r="FB49" i="25" s="1"/>
  <c r="EZ23" i="25"/>
  <c r="FB23" i="25" s="1"/>
  <c r="EZ25" i="25"/>
  <c r="FB25" i="25" s="1"/>
  <c r="FB111" i="25"/>
  <c r="EI23" i="25"/>
  <c r="EO23" i="25" s="1"/>
  <c r="EP23" i="25" s="1"/>
  <c r="EI111" i="25"/>
  <c r="EP111" i="25" s="1"/>
  <c r="EZ87" i="25"/>
  <c r="FB87" i="25" s="1"/>
  <c r="EZ34" i="25"/>
  <c r="FB34" i="25" s="1"/>
  <c r="EH201" i="24"/>
  <c r="EK201" i="24" s="1"/>
  <c r="EH62" i="24"/>
  <c r="EW62" i="24" s="1"/>
  <c r="EP185" i="25"/>
  <c r="EV70" i="25"/>
  <c r="EZ70" i="25" s="1"/>
  <c r="FB70" i="25" s="1"/>
  <c r="EI70" i="25"/>
  <c r="EO70" i="25" s="1"/>
  <c r="EV48" i="25"/>
  <c r="EZ48" i="25" s="1"/>
  <c r="FB48" i="25" s="1"/>
  <c r="EI48" i="25"/>
  <c r="EO48" i="25" s="1"/>
  <c r="EV200" i="25"/>
  <c r="FB200" i="25" s="1"/>
  <c r="EI200" i="25"/>
  <c r="EV53" i="25"/>
  <c r="EZ53" i="25" s="1"/>
  <c r="FB53" i="25" s="1"/>
  <c r="EI53" i="25"/>
  <c r="EO53" i="25" s="1"/>
  <c r="EV204" i="25"/>
  <c r="FB204" i="25" s="1"/>
  <c r="EI204" i="25"/>
  <c r="EV22" i="25"/>
  <c r="EZ22" i="25" s="1"/>
  <c r="FB22" i="25" s="1"/>
  <c r="EI22" i="25"/>
  <c r="EO22" i="25" s="1"/>
  <c r="EV157" i="25"/>
  <c r="FB157" i="25" s="1"/>
  <c r="EI157" i="25"/>
  <c r="EV165" i="25"/>
  <c r="FB165" i="25" s="1"/>
  <c r="EI165" i="25"/>
  <c r="EV190" i="25"/>
  <c r="FB190" i="25" s="1"/>
  <c r="EI190" i="25"/>
  <c r="EV142" i="25"/>
  <c r="FB142" i="25" s="1"/>
  <c r="EI142" i="25"/>
  <c r="EV116" i="25"/>
  <c r="FB116" i="25" s="1"/>
  <c r="EI116" i="25"/>
  <c r="EV14" i="25"/>
  <c r="EZ14" i="25" s="1"/>
  <c r="FB14" i="25" s="1"/>
  <c r="EI14" i="25"/>
  <c r="EO14" i="25" s="1"/>
  <c r="EV28" i="25"/>
  <c r="EZ28" i="25" s="1"/>
  <c r="FB28" i="25" s="1"/>
  <c r="EI28" i="25"/>
  <c r="EO28" i="25" s="1"/>
  <c r="EV79" i="25"/>
  <c r="EZ79" i="25" s="1"/>
  <c r="FB79" i="25" s="1"/>
  <c r="EI79" i="25"/>
  <c r="EO79" i="25" s="1"/>
  <c r="EP156" i="25"/>
  <c r="EV159" i="25"/>
  <c r="FB159" i="25" s="1"/>
  <c r="EI159" i="25"/>
  <c r="EV149" i="25"/>
  <c r="FB149" i="25" s="1"/>
  <c r="EI149" i="25"/>
  <c r="EV12" i="25"/>
  <c r="EZ12" i="25" s="1"/>
  <c r="FB12" i="25" s="1"/>
  <c r="EI12" i="25"/>
  <c r="EO12" i="25" s="1"/>
  <c r="EV146" i="25"/>
  <c r="FB146" i="25" s="1"/>
  <c r="EI146" i="25"/>
  <c r="EI62" i="24"/>
  <c r="EX62" i="24" s="1"/>
  <c r="EV65" i="25"/>
  <c r="EZ65" i="25" s="1"/>
  <c r="FB65" i="25" s="1"/>
  <c r="EI65" i="25"/>
  <c r="EO65" i="25" s="1"/>
  <c r="EV139" i="25"/>
  <c r="FB139" i="25" s="1"/>
  <c r="EI139" i="25"/>
  <c r="EV201" i="25"/>
  <c r="FB201" i="25" s="1"/>
  <c r="EI201" i="25"/>
  <c r="EV153" i="25"/>
  <c r="FB153" i="25" s="1"/>
  <c r="EI153" i="25"/>
  <c r="EV122" i="25"/>
  <c r="FB122" i="25" s="1"/>
  <c r="EI122" i="25"/>
  <c r="EV206" i="25"/>
  <c r="FB206" i="25" s="1"/>
  <c r="EI206" i="25"/>
  <c r="EV114" i="25"/>
  <c r="FB114" i="25" s="1"/>
  <c r="EI114" i="25"/>
  <c r="EV92" i="25"/>
  <c r="EZ92" i="25" s="1"/>
  <c r="FB92" i="25" s="1"/>
  <c r="EI92" i="25"/>
  <c r="EO92" i="25" s="1"/>
  <c r="EV29" i="25"/>
  <c r="EZ29" i="25" s="1"/>
  <c r="FB29" i="25" s="1"/>
  <c r="EI29" i="25"/>
  <c r="EO29" i="25" s="1"/>
  <c r="EV7" i="25"/>
  <c r="EZ7" i="25" s="1"/>
  <c r="FB7" i="25" s="1"/>
  <c r="EI7" i="25"/>
  <c r="EO7" i="25" s="1"/>
  <c r="EV15" i="25"/>
  <c r="EZ15" i="25" s="1"/>
  <c r="FB15" i="25" s="1"/>
  <c r="EI15" i="25"/>
  <c r="EO15" i="25" s="1"/>
  <c r="EP169" i="25"/>
  <c r="EV133" i="25"/>
  <c r="FB133" i="25" s="1"/>
  <c r="EI133" i="25"/>
  <c r="EV11" i="25"/>
  <c r="EZ11" i="25" s="1"/>
  <c r="FB11" i="25" s="1"/>
  <c r="EI11" i="25"/>
  <c r="EO11" i="25" s="1"/>
  <c r="EV186" i="25"/>
  <c r="FB186" i="25" s="1"/>
  <c r="EI186" i="25"/>
  <c r="EP145" i="25"/>
  <c r="FC181" i="25"/>
  <c r="FE181" i="25" s="1"/>
  <c r="FF181" i="25" s="1"/>
  <c r="EP181" i="25"/>
  <c r="EV123" i="25"/>
  <c r="FB123" i="25" s="1"/>
  <c r="EI123" i="25"/>
  <c r="EV162" i="25"/>
  <c r="FB162" i="25" s="1"/>
  <c r="EI162" i="25"/>
  <c r="EV209" i="25"/>
  <c r="FB209" i="25" s="1"/>
  <c r="EI209" i="25"/>
  <c r="EV144" i="25"/>
  <c r="FB144" i="25" s="1"/>
  <c r="EI144" i="25"/>
  <c r="EV115" i="25"/>
  <c r="FB115" i="25" s="1"/>
  <c r="EI115" i="25"/>
  <c r="EV86" i="25"/>
  <c r="EZ86" i="25" s="1"/>
  <c r="FB86" i="25" s="1"/>
  <c r="EI86" i="25"/>
  <c r="EO86" i="25" s="1"/>
  <c r="EV118" i="25"/>
  <c r="FB118" i="25" s="1"/>
  <c r="EI118" i="25"/>
  <c r="EV20" i="25"/>
  <c r="EZ20" i="25" s="1"/>
  <c r="FB20" i="25" s="1"/>
  <c r="EI20" i="25"/>
  <c r="EO20" i="25" s="1"/>
  <c r="EV80" i="25"/>
  <c r="EZ80" i="25" s="1"/>
  <c r="FB80" i="25" s="1"/>
  <c r="EI80" i="25"/>
  <c r="EO80" i="25" s="1"/>
  <c r="EV32" i="25"/>
  <c r="EZ32" i="25" s="1"/>
  <c r="FB32" i="25" s="1"/>
  <c r="EI32" i="25"/>
  <c r="EO32" i="25" s="1"/>
  <c r="EV192" i="25"/>
  <c r="FB192" i="25" s="1"/>
  <c r="EI192" i="25"/>
  <c r="EV148" i="25"/>
  <c r="FB148" i="25" s="1"/>
  <c r="EI148" i="25"/>
  <c r="EV68" i="25"/>
  <c r="EZ68" i="25" s="1"/>
  <c r="FB68" i="25" s="1"/>
  <c r="EI68" i="25"/>
  <c r="EO68" i="25" s="1"/>
  <c r="EV113" i="25"/>
  <c r="FB113" i="25" s="1"/>
  <c r="EI113" i="25"/>
  <c r="EV45" i="25"/>
  <c r="EZ45" i="25" s="1"/>
  <c r="FB45" i="25" s="1"/>
  <c r="EI45" i="25"/>
  <c r="EO45" i="25" s="1"/>
  <c r="EP164" i="25"/>
  <c r="EV170" i="25"/>
  <c r="FB170" i="25" s="1"/>
  <c r="EI170" i="25"/>
  <c r="EV71" i="25"/>
  <c r="EZ71" i="25" s="1"/>
  <c r="FB71" i="25" s="1"/>
  <c r="EI71" i="25"/>
  <c r="EO71" i="25" s="1"/>
  <c r="EV50" i="25"/>
  <c r="EZ50" i="25" s="1"/>
  <c r="FB50" i="25" s="1"/>
  <c r="EI50" i="25"/>
  <c r="EO50" i="25" s="1"/>
  <c r="EV121" i="25"/>
  <c r="FB121" i="25" s="1"/>
  <c r="EI121" i="25"/>
  <c r="EV26" i="25"/>
  <c r="EZ26" i="25" s="1"/>
  <c r="FB26" i="25" s="1"/>
  <c r="EI26" i="25"/>
  <c r="EO26" i="25" s="1"/>
  <c r="EV208" i="25"/>
  <c r="FB208" i="25" s="1"/>
  <c r="EI208" i="25"/>
  <c r="EV41" i="25"/>
  <c r="EZ41" i="25" s="1"/>
  <c r="FB41" i="25" s="1"/>
  <c r="EI41" i="25"/>
  <c r="EO41" i="25" s="1"/>
  <c r="EV150" i="25"/>
  <c r="FB150" i="25" s="1"/>
  <c r="EI150" i="25"/>
  <c r="EV6" i="25"/>
  <c r="EZ6" i="25" s="1"/>
  <c r="FB6" i="25" s="1"/>
  <c r="EI6" i="25"/>
  <c r="EO6" i="25" s="1"/>
  <c r="EV188" i="25"/>
  <c r="FB188" i="25" s="1"/>
  <c r="EI188" i="25"/>
  <c r="EV177" i="25"/>
  <c r="FB177" i="25" s="1"/>
  <c r="EI177" i="25"/>
  <c r="EP90" i="25"/>
  <c r="EV154" i="25"/>
  <c r="FB154" i="25" s="1"/>
  <c r="EI154" i="25"/>
  <c r="EV44" i="25"/>
  <c r="EZ44" i="25" s="1"/>
  <c r="FB44" i="25" s="1"/>
  <c r="EI44" i="25"/>
  <c r="EO44" i="25" s="1"/>
  <c r="EV38" i="25"/>
  <c r="EZ38" i="25" s="1"/>
  <c r="FB38" i="25" s="1"/>
  <c r="EI38" i="25"/>
  <c r="EO38" i="25" s="1"/>
  <c r="EV172" i="25"/>
  <c r="FB172" i="25" s="1"/>
  <c r="EI172" i="25"/>
  <c r="EV60" i="25"/>
  <c r="EZ60" i="25" s="1"/>
  <c r="FB60" i="25" s="1"/>
  <c r="EI60" i="25"/>
  <c r="EO60" i="25" s="1"/>
  <c r="EV100" i="25"/>
  <c r="EZ100" i="25" s="1"/>
  <c r="FB100" i="25" s="1"/>
  <c r="EI100" i="25"/>
  <c r="EO100" i="25" s="1"/>
  <c r="EV98" i="25"/>
  <c r="EZ98" i="25" s="1"/>
  <c r="FB98" i="25" s="1"/>
  <c r="EI98" i="25"/>
  <c r="EO98" i="25" s="1"/>
  <c r="EV184" i="25"/>
  <c r="FB184" i="25" s="1"/>
  <c r="EI184" i="25"/>
  <c r="EV134" i="25"/>
  <c r="FB134" i="25" s="1"/>
  <c r="EI134" i="25"/>
  <c r="EV76" i="25"/>
  <c r="EZ76" i="25" s="1"/>
  <c r="FB76" i="25" s="1"/>
  <c r="EI76" i="25"/>
  <c r="EO76" i="25" s="1"/>
  <c r="EP136" i="25"/>
  <c r="EV126" i="25"/>
  <c r="FB126" i="25" s="1"/>
  <c r="EI126" i="25"/>
  <c r="FC143" i="25"/>
  <c r="FE143" i="25" s="1"/>
  <c r="FF143" i="25" s="1"/>
  <c r="EP143" i="25"/>
  <c r="EV24" i="25"/>
  <c r="EZ24" i="25" s="1"/>
  <c r="FB24" i="25" s="1"/>
  <c r="EI24" i="25"/>
  <c r="EO24" i="25" s="1"/>
  <c r="EV195" i="25"/>
  <c r="FB195" i="25" s="1"/>
  <c r="EI195" i="25"/>
  <c r="EV175" i="25"/>
  <c r="FB175" i="25" s="1"/>
  <c r="EI175" i="25"/>
  <c r="EV43" i="25"/>
  <c r="EZ43" i="25" s="1"/>
  <c r="FB43" i="25" s="1"/>
  <c r="EI43" i="25"/>
  <c r="EO43" i="25" s="1"/>
  <c r="EV104" i="25"/>
  <c r="EZ104" i="25" s="1"/>
  <c r="FB104" i="25" s="1"/>
  <c r="EI104" i="25"/>
  <c r="EO104" i="25" s="1"/>
  <c r="EV120" i="25"/>
  <c r="FB120" i="25" s="1"/>
  <c r="EI120" i="25"/>
  <c r="EV119" i="25"/>
  <c r="FB119" i="25" s="1"/>
  <c r="EI119" i="25"/>
  <c r="EP194" i="25"/>
  <c r="EV59" i="25"/>
  <c r="EZ59" i="25" s="1"/>
  <c r="FB59" i="25" s="1"/>
  <c r="EI59" i="25"/>
  <c r="EO59" i="25" s="1"/>
  <c r="EV160" i="25"/>
  <c r="FB160" i="25" s="1"/>
  <c r="EI160" i="25"/>
  <c r="EV102" i="25"/>
  <c r="EZ102" i="25" s="1"/>
  <c r="FB102" i="25" s="1"/>
  <c r="EI102" i="25"/>
  <c r="EO102" i="25" s="1"/>
  <c r="EP171" i="25"/>
  <c r="EV52" i="25"/>
  <c r="EZ52" i="25" s="1"/>
  <c r="FB52" i="25" s="1"/>
  <c r="EI52" i="25"/>
  <c r="EO52" i="25" s="1"/>
  <c r="EV117" i="25"/>
  <c r="FB117" i="25" s="1"/>
  <c r="EI117" i="25"/>
  <c r="EV210" i="25"/>
  <c r="FB210" i="25" s="1"/>
  <c r="EI210" i="25"/>
  <c r="EV193" i="25"/>
  <c r="FB193" i="25" s="1"/>
  <c r="EI193" i="25"/>
  <c r="EV205" i="25"/>
  <c r="FB205" i="25" s="1"/>
  <c r="EI205" i="25"/>
  <c r="EV19" i="25"/>
  <c r="EZ19" i="25" s="1"/>
  <c r="FB19" i="25" s="1"/>
  <c r="EI19" i="25"/>
  <c r="EO19" i="25" s="1"/>
  <c r="EV13" i="25"/>
  <c r="EZ13" i="25" s="1"/>
  <c r="FB13" i="25" s="1"/>
  <c r="EI13" i="25"/>
  <c r="EO13" i="25" s="1"/>
  <c r="EV40" i="25"/>
  <c r="EZ40" i="25" s="1"/>
  <c r="FB40" i="25" s="1"/>
  <c r="EI40" i="25"/>
  <c r="EO40" i="25" s="1"/>
  <c r="EP56" i="25"/>
  <c r="EV78" i="25"/>
  <c r="EZ78" i="25" s="1"/>
  <c r="FB78" i="25" s="1"/>
  <c r="EI78" i="25"/>
  <c r="EO78" i="25" s="1"/>
  <c r="EP138" i="25"/>
  <c r="FC138" i="25"/>
  <c r="FE138" i="25" s="1"/>
  <c r="FF138" i="25" s="1"/>
  <c r="EV140" i="25"/>
  <c r="FB140" i="25" s="1"/>
  <c r="EI140" i="25"/>
  <c r="EV66" i="25"/>
  <c r="EZ66" i="25" s="1"/>
  <c r="FB66" i="25" s="1"/>
  <c r="EI66" i="25"/>
  <c r="EO66" i="25" s="1"/>
  <c r="EV125" i="25"/>
  <c r="FB125" i="25" s="1"/>
  <c r="EI125" i="25"/>
  <c r="EV18" i="25"/>
  <c r="EZ18" i="25" s="1"/>
  <c r="FB18" i="25" s="1"/>
  <c r="EI18" i="25"/>
  <c r="EO18" i="25" s="1"/>
  <c r="EV174" i="25"/>
  <c r="FB174" i="25" s="1"/>
  <c r="EI174" i="25"/>
  <c r="EV54" i="25"/>
  <c r="EZ54" i="25" s="1"/>
  <c r="FB54" i="25" s="1"/>
  <c r="EI54" i="25"/>
  <c r="EO54" i="25" s="1"/>
  <c r="EV61" i="25"/>
  <c r="EZ61" i="25" s="1"/>
  <c r="FB61" i="25" s="1"/>
  <c r="EI61" i="25"/>
  <c r="EO61" i="25" s="1"/>
  <c r="EV197" i="25"/>
  <c r="FB197" i="25" s="1"/>
  <c r="EI197" i="25"/>
  <c r="EV132" i="25"/>
  <c r="FB132" i="25" s="1"/>
  <c r="EI132" i="25"/>
  <c r="EV91" i="25"/>
  <c r="EZ91" i="25" s="1"/>
  <c r="FB91" i="25" s="1"/>
  <c r="EI91" i="25"/>
  <c r="EO91" i="25" s="1"/>
  <c r="EV179" i="25"/>
  <c r="FB179" i="25" s="1"/>
  <c r="EI179" i="25"/>
  <c r="EV39" i="25"/>
  <c r="EZ39" i="25" s="1"/>
  <c r="FB39" i="25" s="1"/>
  <c r="EI39" i="25"/>
  <c r="EO39" i="25" s="1"/>
  <c r="EV30" i="25"/>
  <c r="EZ30" i="25" s="1"/>
  <c r="FB30" i="25" s="1"/>
  <c r="EI30" i="25"/>
  <c r="EO30" i="25" s="1"/>
  <c r="EV35" i="25"/>
  <c r="EZ35" i="25" s="1"/>
  <c r="FB35" i="25" s="1"/>
  <c r="EI35" i="25"/>
  <c r="EO35" i="25" s="1"/>
  <c r="EV75" i="25"/>
  <c r="EZ75" i="25" s="1"/>
  <c r="FB75" i="25" s="1"/>
  <c r="EI75" i="25"/>
  <c r="EO75" i="25" s="1"/>
  <c r="EV124" i="25"/>
  <c r="FB124" i="25" s="1"/>
  <c r="EI124" i="25"/>
  <c r="EV82" i="25"/>
  <c r="EZ82" i="25" s="1"/>
  <c r="FB82" i="25" s="1"/>
  <c r="EI82" i="25"/>
  <c r="EO82" i="25" s="1"/>
  <c r="EV8" i="25"/>
  <c r="EZ8" i="25" s="1"/>
  <c r="FB8" i="25" s="1"/>
  <c r="EI8" i="25"/>
  <c r="EO8" i="25" s="1"/>
  <c r="EV110" i="25"/>
  <c r="FB110" i="25" s="1"/>
  <c r="EI110" i="25"/>
  <c r="EV63" i="25"/>
  <c r="EZ63" i="25" s="1"/>
  <c r="FB63" i="25" s="1"/>
  <c r="EI63" i="25"/>
  <c r="EO63" i="25" s="1"/>
  <c r="EV163" i="25"/>
  <c r="FB163" i="25" s="1"/>
  <c r="EI163" i="25"/>
  <c r="EV161" i="25"/>
  <c r="FB161" i="25" s="1"/>
  <c r="EI161" i="25"/>
  <c r="EV187" i="25"/>
  <c r="FB187" i="25" s="1"/>
  <c r="EI187" i="25"/>
  <c r="EV94" i="25"/>
  <c r="EZ94" i="25" s="1"/>
  <c r="FB94" i="25" s="1"/>
  <c r="EI94" i="25"/>
  <c r="EO94" i="25" s="1"/>
  <c r="EV127" i="25"/>
  <c r="FB127" i="25" s="1"/>
  <c r="EI127" i="25"/>
  <c r="EV67" i="25"/>
  <c r="EZ67" i="25" s="1"/>
  <c r="FB67" i="25" s="1"/>
  <c r="EI67" i="25"/>
  <c r="EO67" i="25" s="1"/>
  <c r="EV130" i="25"/>
  <c r="FB130" i="25" s="1"/>
  <c r="EI130" i="25"/>
  <c r="EV167" i="25"/>
  <c r="FB167" i="25" s="1"/>
  <c r="EI167" i="25"/>
  <c r="EV85" i="25"/>
  <c r="EZ85" i="25" s="1"/>
  <c r="FB85" i="25" s="1"/>
  <c r="EI85" i="25"/>
  <c r="EO85" i="25" s="1"/>
  <c r="EV152" i="25"/>
  <c r="FB152" i="25" s="1"/>
  <c r="EI152" i="25"/>
  <c r="EV88" i="25"/>
  <c r="EZ88" i="25" s="1"/>
  <c r="FB88" i="25" s="1"/>
  <c r="EI88" i="25"/>
  <c r="EO88" i="25" s="1"/>
  <c r="EV202" i="25"/>
  <c r="FB202" i="25" s="1"/>
  <c r="EI202" i="25"/>
  <c r="EV155" i="25"/>
  <c r="FB155" i="25" s="1"/>
  <c r="EI155" i="25"/>
  <c r="EV46" i="25"/>
  <c r="EZ46" i="25" s="1"/>
  <c r="FB46" i="25" s="1"/>
  <c r="EI46" i="25"/>
  <c r="EO46" i="25" s="1"/>
  <c r="EV10" i="25"/>
  <c r="EZ10" i="25" s="1"/>
  <c r="FB10" i="25" s="1"/>
  <c r="EI10" i="25"/>
  <c r="EO10" i="25" s="1"/>
  <c r="EV105" i="25"/>
  <c r="EZ105" i="25" s="1"/>
  <c r="FB105" i="25" s="1"/>
  <c r="EI105" i="25"/>
  <c r="EO105" i="25" s="1"/>
  <c r="EV31" i="25"/>
  <c r="EZ31" i="25" s="1"/>
  <c r="FB31" i="25" s="1"/>
  <c r="EI31" i="25"/>
  <c r="EO31" i="25" s="1"/>
  <c r="EV189" i="25"/>
  <c r="FB189" i="25" s="1"/>
  <c r="EI189" i="25"/>
  <c r="EV176" i="25"/>
  <c r="FB176" i="25" s="1"/>
  <c r="EI176" i="25"/>
  <c r="EV151" i="25"/>
  <c r="FB151" i="25" s="1"/>
  <c r="EI151" i="25"/>
  <c r="EV55" i="25"/>
  <c r="EZ55" i="25" s="1"/>
  <c r="FB55" i="25" s="1"/>
  <c r="EI55" i="25"/>
  <c r="EO55" i="25" s="1"/>
  <c r="EV51" i="25"/>
  <c r="EZ51" i="25" s="1"/>
  <c r="FB51" i="25" s="1"/>
  <c r="EI51" i="25"/>
  <c r="EO51" i="25" s="1"/>
  <c r="EV62" i="25"/>
  <c r="EZ62" i="25" s="1"/>
  <c r="FB62" i="25" s="1"/>
  <c r="EI62" i="25"/>
  <c r="EO62" i="25" s="1"/>
  <c r="EV147" i="25"/>
  <c r="FB147" i="25" s="1"/>
  <c r="EI147" i="25"/>
  <c r="EV101" i="25"/>
  <c r="EZ101" i="25" s="1"/>
  <c r="FB101" i="25" s="1"/>
  <c r="EI101" i="25"/>
  <c r="EO101" i="25" s="1"/>
  <c r="EP42" i="25"/>
  <c r="EV198" i="25"/>
  <c r="FB198" i="25" s="1"/>
  <c r="EI198" i="25"/>
  <c r="EV72" i="25"/>
  <c r="EZ72" i="25" s="1"/>
  <c r="FB72" i="25" s="1"/>
  <c r="EI72" i="25"/>
  <c r="EO72" i="25" s="1"/>
  <c r="EV16" i="25"/>
  <c r="EZ16" i="25" s="1"/>
  <c r="FB16" i="25" s="1"/>
  <c r="EI16" i="25"/>
  <c r="EO16" i="25" s="1"/>
  <c r="EV168" i="25"/>
  <c r="FB168" i="25" s="1"/>
  <c r="EI168" i="25"/>
  <c r="EV36" i="25"/>
  <c r="EZ36" i="25" s="1"/>
  <c r="FB36" i="25" s="1"/>
  <c r="EI36" i="25"/>
  <c r="EO36" i="25" s="1"/>
  <c r="EV203" i="25"/>
  <c r="FB203" i="25" s="1"/>
  <c r="EI203" i="25"/>
  <c r="EV166" i="25"/>
  <c r="FB166" i="25" s="1"/>
  <c r="EI166" i="25"/>
  <c r="EV84" i="25"/>
  <c r="EZ84" i="25" s="1"/>
  <c r="FB84" i="25" s="1"/>
  <c r="EI84" i="25"/>
  <c r="EO84" i="25" s="1"/>
  <c r="EV135" i="25"/>
  <c r="FB135" i="25" s="1"/>
  <c r="EI135" i="25"/>
  <c r="EV57" i="25"/>
  <c r="EZ57" i="25" s="1"/>
  <c r="FB57" i="25" s="1"/>
  <c r="EI57" i="25"/>
  <c r="EO57" i="25" s="1"/>
  <c r="EV21" i="25"/>
  <c r="EZ21" i="25" s="1"/>
  <c r="FB21" i="25" s="1"/>
  <c r="EI21" i="25"/>
  <c r="EO21" i="25" s="1"/>
  <c r="EV191" i="25"/>
  <c r="FB191" i="25" s="1"/>
  <c r="EI191" i="25"/>
  <c r="EV27" i="25"/>
  <c r="EZ27" i="25" s="1"/>
  <c r="FB27" i="25" s="1"/>
  <c r="EI27" i="25"/>
  <c r="EO27" i="25" s="1"/>
  <c r="EV69" i="25"/>
  <c r="EZ69" i="25" s="1"/>
  <c r="FB69" i="25" s="1"/>
  <c r="EI69" i="25"/>
  <c r="EO69" i="25" s="1"/>
  <c r="EP17" i="25"/>
  <c r="EV207" i="25"/>
  <c r="FB207" i="25" s="1"/>
  <c r="EI207" i="25"/>
  <c r="EV196" i="25"/>
  <c r="FB196" i="25" s="1"/>
  <c r="EI196" i="25"/>
  <c r="EH10" i="24"/>
  <c r="EK10" i="24" s="1"/>
  <c r="EQ10" i="24" s="1"/>
  <c r="EI10" i="24"/>
  <c r="EX10" i="24" s="1"/>
  <c r="EC10" i="24"/>
  <c r="ED10" i="24" s="1"/>
  <c r="EI134" i="24"/>
  <c r="EX134" i="24" s="1"/>
  <c r="EC134" i="24"/>
  <c r="ED134" i="24" s="1"/>
  <c r="EH79" i="24"/>
  <c r="EC79" i="24"/>
  <c r="ED79" i="24" s="1"/>
  <c r="EI79" i="24"/>
  <c r="EX79" i="24" s="1"/>
  <c r="EI72" i="24"/>
  <c r="EX72" i="24" s="1"/>
  <c r="EH72" i="24"/>
  <c r="EC72" i="24"/>
  <c r="ED72" i="24" s="1"/>
  <c r="EH115" i="24"/>
  <c r="EC115" i="24"/>
  <c r="ED115" i="24" s="1"/>
  <c r="EI115" i="24"/>
  <c r="EX115" i="24" s="1"/>
  <c r="EC116" i="24"/>
  <c r="ED116" i="24" s="1"/>
  <c r="EH116" i="24"/>
  <c r="EI116" i="24"/>
  <c r="EX116" i="24" s="1"/>
  <c r="EC91" i="24"/>
  <c r="ED91" i="24" s="1"/>
  <c r="EI91" i="24"/>
  <c r="EX91" i="24" s="1"/>
  <c r="EH91" i="24"/>
  <c r="EC121" i="24"/>
  <c r="ED121" i="24" s="1"/>
  <c r="EI121" i="24"/>
  <c r="EX121" i="24" s="1"/>
  <c r="EH121" i="24"/>
  <c r="EH46" i="24"/>
  <c r="EC46" i="24"/>
  <c r="ED46" i="24" s="1"/>
  <c r="EI46" i="24"/>
  <c r="EX46" i="24" s="1"/>
  <c r="EI113" i="24"/>
  <c r="EX113" i="24" s="1"/>
  <c r="EH113" i="24"/>
  <c r="EC113" i="24"/>
  <c r="ED113" i="24" s="1"/>
  <c r="EI86" i="24"/>
  <c r="EX86" i="24" s="1"/>
  <c r="EC86" i="24"/>
  <c r="ED86" i="24" s="1"/>
  <c r="EH86" i="24"/>
  <c r="EC33" i="24"/>
  <c r="ED33" i="24" s="1"/>
  <c r="EI33" i="24"/>
  <c r="EX33" i="24" s="1"/>
  <c r="EH33" i="24"/>
  <c r="EI45" i="24"/>
  <c r="EX45" i="24" s="1"/>
  <c r="EH45" i="24"/>
  <c r="EC45" i="24"/>
  <c r="ED45" i="24" s="1"/>
  <c r="EH105" i="24"/>
  <c r="EI105" i="24"/>
  <c r="EX105" i="24" s="1"/>
  <c r="EC105" i="24"/>
  <c r="ED105" i="24" s="1"/>
  <c r="EH120" i="24"/>
  <c r="EI120" i="24"/>
  <c r="EX120" i="24" s="1"/>
  <c r="EC120" i="24"/>
  <c r="ED120" i="24" s="1"/>
  <c r="EI27" i="24"/>
  <c r="EX27" i="24" s="1"/>
  <c r="EC27" i="24"/>
  <c r="ED27" i="24" s="1"/>
  <c r="EH27" i="24"/>
  <c r="EH97" i="24"/>
  <c r="EI97" i="24"/>
  <c r="EX97" i="24" s="1"/>
  <c r="EC97" i="24"/>
  <c r="ED97" i="24" s="1"/>
  <c r="EH100" i="24"/>
  <c r="EC100" i="24"/>
  <c r="ED100" i="24" s="1"/>
  <c r="EI100" i="24"/>
  <c r="EX100" i="24" s="1"/>
  <c r="EH61" i="24"/>
  <c r="EC61" i="24"/>
  <c r="ED61" i="24" s="1"/>
  <c r="EI61" i="24"/>
  <c r="EX61" i="24" s="1"/>
  <c r="EH84" i="24"/>
  <c r="EC84" i="24"/>
  <c r="ED84" i="24" s="1"/>
  <c r="EI84" i="24"/>
  <c r="EX84" i="24" s="1"/>
  <c r="EC197" i="24"/>
  <c r="ED197" i="24" s="1"/>
  <c r="EI197" i="24"/>
  <c r="EX197" i="24" s="1"/>
  <c r="EH197" i="24"/>
  <c r="EC21" i="24"/>
  <c r="ED21" i="24" s="1"/>
  <c r="EH21" i="24"/>
  <c r="EI21" i="24"/>
  <c r="EX21" i="24" s="1"/>
  <c r="EI139" i="24"/>
  <c r="EX139" i="24" s="1"/>
  <c r="EC139" i="24"/>
  <c r="ED139" i="24" s="1"/>
  <c r="EH139" i="24"/>
  <c r="EC20" i="24"/>
  <c r="ED20" i="24" s="1"/>
  <c r="EI20" i="24"/>
  <c r="EX20" i="24" s="1"/>
  <c r="EH20" i="24"/>
  <c r="EH26" i="24"/>
  <c r="EC26" i="24"/>
  <c r="ED26" i="24" s="1"/>
  <c r="EI26" i="24"/>
  <c r="EX26" i="24" s="1"/>
  <c r="EI154" i="24"/>
  <c r="EX154" i="24" s="1"/>
  <c r="EH154" i="24"/>
  <c r="EC154" i="24"/>
  <c r="ED154" i="24" s="1"/>
  <c r="EC17" i="24"/>
  <c r="ED17" i="24" s="1"/>
  <c r="EI17" i="24"/>
  <c r="EX17" i="24" s="1"/>
  <c r="EH17" i="24"/>
  <c r="EI35" i="24"/>
  <c r="EX35" i="24" s="1"/>
  <c r="EH35" i="24"/>
  <c r="EC35" i="24"/>
  <c r="ED35" i="24" s="1"/>
  <c r="EI70" i="24"/>
  <c r="EX70" i="24" s="1"/>
  <c r="EH70" i="24"/>
  <c r="EC70" i="24"/>
  <c r="ED70" i="24" s="1"/>
  <c r="EH138" i="24"/>
  <c r="EI138" i="24"/>
  <c r="EX138" i="24" s="1"/>
  <c r="EC138" i="24"/>
  <c r="ED138" i="24" s="1"/>
  <c r="EI119" i="24"/>
  <c r="EX119" i="24" s="1"/>
  <c r="EC119" i="24"/>
  <c r="ED119" i="24" s="1"/>
  <c r="EH119" i="24"/>
  <c r="EI18" i="24"/>
  <c r="EX18" i="24" s="1"/>
  <c r="EH18" i="24"/>
  <c r="EC18" i="24"/>
  <c r="ED18" i="24" s="1"/>
  <c r="EC184" i="24"/>
  <c r="ED184" i="24" s="1"/>
  <c r="EI184" i="24"/>
  <c r="EX184" i="24" s="1"/>
  <c r="EH184" i="24"/>
  <c r="EC189" i="24"/>
  <c r="ED189" i="24" s="1"/>
  <c r="EH189" i="24"/>
  <c r="EI189" i="24"/>
  <c r="EX189" i="24" s="1"/>
  <c r="EH158" i="24"/>
  <c r="EI158" i="24"/>
  <c r="EX158" i="24" s="1"/>
  <c r="EC158" i="24"/>
  <c r="ED158" i="24" s="1"/>
  <c r="EI167" i="24"/>
  <c r="EX167" i="24" s="1"/>
  <c r="EH167" i="24"/>
  <c r="EC167" i="24"/>
  <c r="ED167" i="24" s="1"/>
  <c r="EH188" i="24"/>
  <c r="EC188" i="24"/>
  <c r="ED188" i="24" s="1"/>
  <c r="EI188" i="24"/>
  <c r="EX188" i="24" s="1"/>
  <c r="EH50" i="24"/>
  <c r="EC50" i="24"/>
  <c r="ED50" i="24" s="1"/>
  <c r="EI50" i="24"/>
  <c r="EX50" i="24" s="1"/>
  <c r="EH122" i="24"/>
  <c r="EI122" i="24"/>
  <c r="EX122" i="24" s="1"/>
  <c r="EC122" i="24"/>
  <c r="ED122" i="24" s="1"/>
  <c r="EI161" i="24"/>
  <c r="EX161" i="24" s="1"/>
  <c r="EH161" i="24"/>
  <c r="EC161" i="24"/>
  <c r="ED161" i="24" s="1"/>
  <c r="EC168" i="24"/>
  <c r="ED168" i="24" s="1"/>
  <c r="EH168" i="24"/>
  <c r="EI168" i="24"/>
  <c r="EX168" i="24" s="1"/>
  <c r="EC174" i="24"/>
  <c r="ED174" i="24" s="1"/>
  <c r="EH174" i="24"/>
  <c r="EI174" i="24"/>
  <c r="EX174" i="24" s="1"/>
  <c r="EC141" i="24"/>
  <c r="ED141" i="24" s="1"/>
  <c r="EH141" i="24"/>
  <c r="EI141" i="24"/>
  <c r="EX141" i="24" s="1"/>
  <c r="EH191" i="24"/>
  <c r="EI191" i="24"/>
  <c r="EX191" i="24" s="1"/>
  <c r="EC191" i="24"/>
  <c r="ED191" i="24" s="1"/>
  <c r="EC112" i="24"/>
  <c r="ED112" i="24" s="1"/>
  <c r="EI112" i="24"/>
  <c r="EX112" i="24" s="1"/>
  <c r="EH112" i="24"/>
  <c r="EI150" i="24"/>
  <c r="EX150" i="24" s="1"/>
  <c r="EH150" i="24"/>
  <c r="EC150" i="24"/>
  <c r="ED150" i="24" s="1"/>
  <c r="EC204" i="24"/>
  <c r="ED204" i="24" s="1"/>
  <c r="EH204" i="24"/>
  <c r="EI204" i="24"/>
  <c r="EX204" i="24" s="1"/>
  <c r="EH166" i="24"/>
  <c r="EC166" i="24"/>
  <c r="ED166" i="24" s="1"/>
  <c r="EI166" i="24"/>
  <c r="EX166" i="24" s="1"/>
  <c r="EH59" i="24"/>
  <c r="EC59" i="24"/>
  <c r="ED59" i="24" s="1"/>
  <c r="EI59" i="24"/>
  <c r="EX59" i="24" s="1"/>
  <c r="EH196" i="24"/>
  <c r="EI196" i="24"/>
  <c r="EX196" i="24" s="1"/>
  <c r="EC196" i="24"/>
  <c r="ED196" i="24" s="1"/>
  <c r="EH38" i="24"/>
  <c r="EI38" i="24"/>
  <c r="EX38" i="24" s="1"/>
  <c r="EC38" i="24"/>
  <c r="ED38" i="24" s="1"/>
  <c r="EI183" i="24"/>
  <c r="EX183" i="24" s="1"/>
  <c r="EC183" i="24"/>
  <c r="ED183" i="24" s="1"/>
  <c r="EH183" i="24"/>
  <c r="EH200" i="24"/>
  <c r="EC200" i="24"/>
  <c r="ED200" i="24" s="1"/>
  <c r="EI200" i="24"/>
  <c r="EX200" i="24" s="1"/>
  <c r="EI98" i="24"/>
  <c r="EX98" i="24" s="1"/>
  <c r="EC98" i="24"/>
  <c r="ED98" i="24" s="1"/>
  <c r="EH98" i="24"/>
  <c r="EH87" i="24"/>
  <c r="EI87" i="24"/>
  <c r="EX87" i="24" s="1"/>
  <c r="EC87" i="24"/>
  <c r="ED87" i="24" s="1"/>
  <c r="EH117" i="24"/>
  <c r="EI117" i="24"/>
  <c r="EX117" i="24" s="1"/>
  <c r="EC117" i="24"/>
  <c r="ED117" i="24" s="1"/>
  <c r="EI15" i="24"/>
  <c r="EX15" i="24" s="1"/>
  <c r="EH15" i="24"/>
  <c r="EC15" i="24"/>
  <c r="ED15" i="24" s="1"/>
  <c r="EH185" i="24"/>
  <c r="EI185" i="24"/>
  <c r="EX185" i="24" s="1"/>
  <c r="EC185" i="24"/>
  <c r="ED185" i="24" s="1"/>
  <c r="EI16" i="24"/>
  <c r="EX16" i="24" s="1"/>
  <c r="EC16" i="24"/>
  <c r="ED16" i="24" s="1"/>
  <c r="EH16" i="24"/>
  <c r="EH202" i="24"/>
  <c r="EC202" i="24"/>
  <c r="ED202" i="24" s="1"/>
  <c r="EI202" i="24"/>
  <c r="EX202" i="24" s="1"/>
  <c r="EI177" i="24"/>
  <c r="EX177" i="24" s="1"/>
  <c r="EH177" i="24"/>
  <c r="EC177" i="24"/>
  <c r="ED177" i="24" s="1"/>
  <c r="EH195" i="24"/>
  <c r="EC195" i="24"/>
  <c r="ED195" i="24" s="1"/>
  <c r="EI195" i="24"/>
  <c r="EX195" i="24" s="1"/>
  <c r="EI153" i="24"/>
  <c r="EX153" i="24" s="1"/>
  <c r="EH153" i="24"/>
  <c r="EC153" i="24"/>
  <c r="ED153" i="24" s="1"/>
  <c r="EH94" i="24"/>
  <c r="EC94" i="24"/>
  <c r="ED94" i="24" s="1"/>
  <c r="EI94" i="24"/>
  <c r="EX94" i="24" s="1"/>
  <c r="EC178" i="24"/>
  <c r="ED178" i="24" s="1"/>
  <c r="EI178" i="24"/>
  <c r="EX178" i="24" s="1"/>
  <c r="EH178" i="24"/>
  <c r="EC210" i="24"/>
  <c r="ED210" i="24" s="1"/>
  <c r="EI210" i="24"/>
  <c r="EX210" i="24" s="1"/>
  <c r="EH210" i="24"/>
  <c r="EC171" i="24"/>
  <c r="ED171" i="24" s="1"/>
  <c r="EI171" i="24"/>
  <c r="EX171" i="24" s="1"/>
  <c r="EH171" i="24"/>
  <c r="EC57" i="24"/>
  <c r="ED57" i="24" s="1"/>
  <c r="EH57" i="24"/>
  <c r="EI57" i="24"/>
  <c r="EX57" i="24" s="1"/>
  <c r="EC88" i="24"/>
  <c r="ED88" i="24" s="1"/>
  <c r="EH88" i="24"/>
  <c r="EI88" i="24"/>
  <c r="EX88" i="24" s="1"/>
  <c r="EH155" i="24"/>
  <c r="EI155" i="24"/>
  <c r="EX155" i="24" s="1"/>
  <c r="EC155" i="24"/>
  <c r="ED155" i="24" s="1"/>
  <c r="EH145" i="24"/>
  <c r="EC145" i="24"/>
  <c r="ED145" i="24" s="1"/>
  <c r="EI145" i="24"/>
  <c r="EX145" i="24" s="1"/>
  <c r="EH58" i="24"/>
  <c r="EI58" i="24"/>
  <c r="EX58" i="24" s="1"/>
  <c r="EC58" i="24"/>
  <c r="ED58" i="24" s="1"/>
  <c r="EH114" i="24"/>
  <c r="EC114" i="24"/>
  <c r="ED114" i="24" s="1"/>
  <c r="EI114" i="24"/>
  <c r="EX114" i="24" s="1"/>
  <c r="EH209" i="24"/>
  <c r="EC209" i="24"/>
  <c r="ED209" i="24" s="1"/>
  <c r="EI209" i="24"/>
  <c r="EX209" i="24" s="1"/>
  <c r="EC182" i="24"/>
  <c r="ED182" i="24" s="1"/>
  <c r="EI182" i="24"/>
  <c r="EX182" i="24" s="1"/>
  <c r="EH182" i="24"/>
  <c r="EH123" i="24"/>
  <c r="EC123" i="24"/>
  <c r="ED123" i="24" s="1"/>
  <c r="EI123" i="24"/>
  <c r="EX123" i="24" s="1"/>
  <c r="EC128" i="24"/>
  <c r="ED128" i="24" s="1"/>
  <c r="EI128" i="24"/>
  <c r="EX128" i="24" s="1"/>
  <c r="EH128" i="24"/>
  <c r="EC187" i="24"/>
  <c r="ED187" i="24" s="1"/>
  <c r="EI187" i="24"/>
  <c r="EX187" i="24" s="1"/>
  <c r="EH187" i="24"/>
  <c r="EC131" i="24"/>
  <c r="ED131" i="24" s="1"/>
  <c r="EI131" i="24"/>
  <c r="EX131" i="24" s="1"/>
  <c r="EH131" i="24"/>
  <c r="EH89" i="24"/>
  <c r="EC89" i="24"/>
  <c r="ED89" i="24" s="1"/>
  <c r="EI89" i="24"/>
  <c r="EX89" i="24" s="1"/>
  <c r="EH144" i="24"/>
  <c r="EC144" i="24"/>
  <c r="ED144" i="24" s="1"/>
  <c r="EI144" i="24"/>
  <c r="EX144" i="24" s="1"/>
  <c r="EC75" i="24"/>
  <c r="ED75" i="24" s="1"/>
  <c r="EH75" i="24"/>
  <c r="EI75" i="24"/>
  <c r="EX75" i="24" s="1"/>
  <c r="EC162" i="24"/>
  <c r="ED162" i="24" s="1"/>
  <c r="EI162" i="24"/>
  <c r="EX162" i="24" s="1"/>
  <c r="EH162" i="24"/>
  <c r="EH203" i="24"/>
  <c r="EC203" i="24"/>
  <c r="ED203" i="24" s="1"/>
  <c r="EI203" i="24"/>
  <c r="EX203" i="24" s="1"/>
  <c r="EC149" i="24"/>
  <c r="ED149" i="24" s="1"/>
  <c r="EI149" i="24"/>
  <c r="EX149" i="24" s="1"/>
  <c r="EH149" i="24"/>
  <c r="EC140" i="24"/>
  <c r="ED140" i="24" s="1"/>
  <c r="EI140" i="24"/>
  <c r="EX140" i="24" s="1"/>
  <c r="EH140" i="24"/>
  <c r="EI36" i="24"/>
  <c r="EX36" i="24" s="1"/>
  <c r="EH36" i="24"/>
  <c r="EC36" i="24"/>
  <c r="ED36" i="24" s="1"/>
  <c r="EC103" i="24"/>
  <c r="ED103" i="24" s="1"/>
  <c r="EH103" i="24"/>
  <c r="EI103" i="24"/>
  <c r="EX103" i="24" s="1"/>
  <c r="EH76" i="24"/>
  <c r="EC76" i="24"/>
  <c r="ED76" i="24" s="1"/>
  <c r="EI76" i="24"/>
  <c r="EX76" i="24" s="1"/>
  <c r="EW190" i="24"/>
  <c r="FB190" i="24" s="1"/>
  <c r="EK190" i="24"/>
  <c r="EI73" i="24"/>
  <c r="EX73" i="24" s="1"/>
  <c r="EC73" i="24"/>
  <c r="ED73" i="24" s="1"/>
  <c r="EH73" i="24"/>
  <c r="EI53" i="24"/>
  <c r="EX53" i="24" s="1"/>
  <c r="EC53" i="24"/>
  <c r="ED53" i="24" s="1"/>
  <c r="EH53" i="24"/>
  <c r="EC93" i="24"/>
  <c r="ED93" i="24" s="1"/>
  <c r="EI93" i="24"/>
  <c r="EX93" i="24" s="1"/>
  <c r="EH93" i="24"/>
  <c r="EH31" i="24"/>
  <c r="EI31" i="24"/>
  <c r="EX31" i="24" s="1"/>
  <c r="EC31" i="24"/>
  <c r="ED31" i="24" s="1"/>
  <c r="EH6" i="24"/>
  <c r="EI6" i="24"/>
  <c r="EX6" i="24" s="1"/>
  <c r="EC6" i="24"/>
  <c r="ED6" i="24" s="1"/>
  <c r="EI118" i="24"/>
  <c r="EX118" i="24" s="1"/>
  <c r="EH118" i="24"/>
  <c r="EC118" i="24"/>
  <c r="ED118" i="24" s="1"/>
  <c r="EI34" i="24"/>
  <c r="EX34" i="24" s="1"/>
  <c r="EH34" i="24"/>
  <c r="EC34" i="24"/>
  <c r="ED34" i="24" s="1"/>
  <c r="EH7" i="24"/>
  <c r="EC7" i="24"/>
  <c r="ED7" i="24" s="1"/>
  <c r="EI7" i="24"/>
  <c r="EX7" i="24" s="1"/>
  <c r="EI135" i="24"/>
  <c r="EX135" i="24" s="1"/>
  <c r="EH135" i="24"/>
  <c r="EC135" i="24"/>
  <c r="ED135" i="24" s="1"/>
  <c r="EC193" i="24"/>
  <c r="ED193" i="24" s="1"/>
  <c r="EI193" i="24"/>
  <c r="EX193" i="24" s="1"/>
  <c r="EH193" i="24"/>
  <c r="EI130" i="24"/>
  <c r="EX130" i="24" s="1"/>
  <c r="EC130" i="24"/>
  <c r="ED130" i="24" s="1"/>
  <c r="EH130" i="24"/>
  <c r="EC208" i="24"/>
  <c r="ED208" i="24" s="1"/>
  <c r="EI208" i="24"/>
  <c r="EX208" i="24" s="1"/>
  <c r="EH208" i="24"/>
  <c r="EC207" i="24"/>
  <c r="ED207" i="24" s="1"/>
  <c r="EI207" i="24"/>
  <c r="EX207" i="24" s="1"/>
  <c r="EH207" i="24"/>
  <c r="EI47" i="24"/>
  <c r="EX47" i="24" s="1"/>
  <c r="EH47" i="24"/>
  <c r="EC47" i="24"/>
  <c r="ED47" i="24" s="1"/>
  <c r="EH176" i="24"/>
  <c r="EC176" i="24"/>
  <c r="ED176" i="24" s="1"/>
  <c r="EI176" i="24"/>
  <c r="EX176" i="24" s="1"/>
  <c r="EC194" i="24"/>
  <c r="ED194" i="24" s="1"/>
  <c r="EH194" i="24"/>
  <c r="EI194" i="24"/>
  <c r="EX194" i="24" s="1"/>
  <c r="EH80" i="24"/>
  <c r="EI80" i="24"/>
  <c r="EX80" i="24" s="1"/>
  <c r="EC80" i="24"/>
  <c r="ED80" i="24" s="1"/>
  <c r="EC22" i="24"/>
  <c r="ED22" i="24" s="1"/>
  <c r="EI22" i="24"/>
  <c r="EX22" i="24" s="1"/>
  <c r="EH22" i="24"/>
  <c r="EI41" i="24"/>
  <c r="EX41" i="24" s="1"/>
  <c r="EC41" i="24"/>
  <c r="ED41" i="24" s="1"/>
  <c r="EH41" i="24"/>
  <c r="EI85" i="24"/>
  <c r="EX85" i="24" s="1"/>
  <c r="EC85" i="24"/>
  <c r="ED85" i="24" s="1"/>
  <c r="EH85" i="24"/>
  <c r="EI19" i="24"/>
  <c r="EX19" i="24" s="1"/>
  <c r="EC19" i="24"/>
  <c r="ED19" i="24" s="1"/>
  <c r="EH19" i="24"/>
  <c r="EC95" i="24"/>
  <c r="ED95" i="24" s="1"/>
  <c r="EH95" i="24"/>
  <c r="EI95" i="24"/>
  <c r="EX95" i="24" s="1"/>
  <c r="EI65" i="24"/>
  <c r="EX65" i="24" s="1"/>
  <c r="EC65" i="24"/>
  <c r="ED65" i="24" s="1"/>
  <c r="EH65" i="24"/>
  <c r="EC101" i="24"/>
  <c r="ED101" i="24" s="1"/>
  <c r="EH101" i="24"/>
  <c r="EI101" i="24"/>
  <c r="EX101" i="24" s="1"/>
  <c r="EC163" i="24"/>
  <c r="ED163" i="24" s="1"/>
  <c r="EH163" i="24"/>
  <c r="EI163" i="24"/>
  <c r="EX163" i="24" s="1"/>
  <c r="EH8" i="24"/>
  <c r="EC8" i="24"/>
  <c r="ED8" i="24" s="1"/>
  <c r="EI8" i="24"/>
  <c r="EX8" i="24" s="1"/>
  <c r="EC165" i="24"/>
  <c r="ED165" i="24" s="1"/>
  <c r="EI165" i="24"/>
  <c r="EX165" i="24" s="1"/>
  <c r="EH165" i="24"/>
  <c r="EI49" i="24"/>
  <c r="EX49" i="24" s="1"/>
  <c r="EC49" i="24"/>
  <c r="ED49" i="24" s="1"/>
  <c r="EH49" i="24"/>
  <c r="EC205" i="24"/>
  <c r="ED205" i="24" s="1"/>
  <c r="EI205" i="24"/>
  <c r="EX205" i="24" s="1"/>
  <c r="EH205" i="24"/>
  <c r="EH68" i="24"/>
  <c r="EI68" i="24"/>
  <c r="EX68" i="24" s="1"/>
  <c r="EC68" i="24"/>
  <c r="ED68" i="24" s="1"/>
  <c r="EH175" i="24"/>
  <c r="EC175" i="24"/>
  <c r="ED175" i="24" s="1"/>
  <c r="EI175" i="24"/>
  <c r="EX175" i="24" s="1"/>
  <c r="EI42" i="24"/>
  <c r="EX42" i="24" s="1"/>
  <c r="EH42" i="24"/>
  <c r="EC42" i="24"/>
  <c r="ED42" i="24" s="1"/>
  <c r="EC143" i="24"/>
  <c r="ED143" i="24" s="1"/>
  <c r="EI143" i="24"/>
  <c r="EX143" i="24" s="1"/>
  <c r="EH143" i="24"/>
  <c r="EI173" i="24"/>
  <c r="EX173" i="24" s="1"/>
  <c r="EH173" i="24"/>
  <c r="EC173" i="24"/>
  <c r="ED173" i="24" s="1"/>
  <c r="EC54" i="24"/>
  <c r="ED54" i="24" s="1"/>
  <c r="EI54" i="24"/>
  <c r="EX54" i="24" s="1"/>
  <c r="EH54" i="24"/>
  <c r="EI11" i="24"/>
  <c r="EX11" i="24" s="1"/>
  <c r="EC11" i="24"/>
  <c r="ED11" i="24" s="1"/>
  <c r="EH11" i="24"/>
  <c r="EC102" i="24"/>
  <c r="ED102" i="24" s="1"/>
  <c r="EI102" i="24"/>
  <c r="EX102" i="24" s="1"/>
  <c r="EH102" i="24"/>
  <c r="EH156" i="24"/>
  <c r="EC156" i="24"/>
  <c r="ED156" i="24" s="1"/>
  <c r="EI156" i="24"/>
  <c r="EX156" i="24" s="1"/>
  <c r="EC179" i="24"/>
  <c r="ED179" i="24" s="1"/>
  <c r="EI179" i="24"/>
  <c r="EX179" i="24" s="1"/>
  <c r="EH179" i="24"/>
  <c r="EC148" i="24"/>
  <c r="ED148" i="24" s="1"/>
  <c r="EH148" i="24"/>
  <c r="EI148" i="24"/>
  <c r="EX148" i="24" s="1"/>
  <c r="EI51" i="24"/>
  <c r="EX51" i="24" s="1"/>
  <c r="EC51" i="24"/>
  <c r="ED51" i="24" s="1"/>
  <c r="EH51" i="24"/>
  <c r="EH32" i="24"/>
  <c r="EI32" i="24"/>
  <c r="EX32" i="24" s="1"/>
  <c r="EC32" i="24"/>
  <c r="ED32" i="24" s="1"/>
  <c r="EI64" i="24"/>
  <c r="EX64" i="24" s="1"/>
  <c r="EH64" i="24"/>
  <c r="EC64" i="24"/>
  <c r="ED64" i="24" s="1"/>
  <c r="EH198" i="24"/>
  <c r="EC198" i="24"/>
  <c r="ED198" i="24" s="1"/>
  <c r="EI198" i="24"/>
  <c r="EX198" i="24" s="1"/>
  <c r="EC24" i="24"/>
  <c r="ED24" i="24" s="1"/>
  <c r="EH24" i="24"/>
  <c r="EI24" i="24"/>
  <c r="EX24" i="24" s="1"/>
  <c r="EI129" i="24"/>
  <c r="EX129" i="24" s="1"/>
  <c r="EH129" i="24"/>
  <c r="EC129" i="24"/>
  <c r="ED129" i="24" s="1"/>
  <c r="EC164" i="24"/>
  <c r="ED164" i="24" s="1"/>
  <c r="EI164" i="24"/>
  <c r="EX164" i="24" s="1"/>
  <c r="EH164" i="24"/>
  <c r="EI12" i="24"/>
  <c r="EX12" i="24" s="1"/>
  <c r="EH12" i="24"/>
  <c r="EC12" i="24"/>
  <c r="ED12" i="24" s="1"/>
  <c r="EC25" i="24"/>
  <c r="ED25" i="24" s="1"/>
  <c r="EH25" i="24"/>
  <c r="EI25" i="24"/>
  <c r="EX25" i="24" s="1"/>
  <c r="EC66" i="24"/>
  <c r="ED66" i="24" s="1"/>
  <c r="EI66" i="24"/>
  <c r="EX66" i="24" s="1"/>
  <c r="EH66" i="24"/>
  <c r="EC56" i="24"/>
  <c r="ED56" i="24" s="1"/>
  <c r="EH56" i="24"/>
  <c r="EI56" i="24"/>
  <c r="EX56" i="24" s="1"/>
  <c r="EH125" i="24"/>
  <c r="EC125" i="24"/>
  <c r="ED125" i="24" s="1"/>
  <c r="EI125" i="24"/>
  <c r="EX125" i="24" s="1"/>
  <c r="EH181" i="24"/>
  <c r="EI181" i="24"/>
  <c r="EX181" i="24" s="1"/>
  <c r="EC181" i="24"/>
  <c r="ED181" i="24" s="1"/>
  <c r="EI180" i="24"/>
  <c r="EX180" i="24" s="1"/>
  <c r="EH180" i="24"/>
  <c r="EC180" i="24"/>
  <c r="ED180" i="24" s="1"/>
  <c r="EI157" i="24"/>
  <c r="EX157" i="24" s="1"/>
  <c r="EH157" i="24"/>
  <c r="EC157" i="24"/>
  <c r="ED157" i="24" s="1"/>
  <c r="EI82" i="24"/>
  <c r="EX82" i="24" s="1"/>
  <c r="EH82" i="24"/>
  <c r="EC82" i="24"/>
  <c r="ED82" i="24" s="1"/>
  <c r="EC151" i="24"/>
  <c r="ED151" i="24" s="1"/>
  <c r="EH151" i="24"/>
  <c r="EI151" i="24"/>
  <c r="EX151" i="24" s="1"/>
  <c r="EI9" i="24"/>
  <c r="EX9" i="24" s="1"/>
  <c r="EC9" i="24"/>
  <c r="ED9" i="24" s="1"/>
  <c r="EH9" i="24"/>
  <c r="EC206" i="24"/>
  <c r="ED206" i="24" s="1"/>
  <c r="EH206" i="24"/>
  <c r="EI206" i="24"/>
  <c r="EX206" i="24" s="1"/>
  <c r="EI137" i="24"/>
  <c r="EX137" i="24" s="1"/>
  <c r="EH137" i="24"/>
  <c r="EC137" i="24"/>
  <c r="ED137" i="24" s="1"/>
  <c r="EC146" i="24"/>
  <c r="ED146" i="24" s="1"/>
  <c r="EI146" i="24"/>
  <c r="EX146" i="24" s="1"/>
  <c r="EH146" i="24"/>
  <c r="EI69" i="24"/>
  <c r="EX69" i="24" s="1"/>
  <c r="EH69" i="24"/>
  <c r="EC69" i="24"/>
  <c r="ED69" i="24" s="1"/>
  <c r="EH28" i="24"/>
  <c r="EC28" i="24"/>
  <c r="ED28" i="24" s="1"/>
  <c r="EI28" i="24"/>
  <c r="EX28" i="24" s="1"/>
  <c r="AZ106" i="19"/>
  <c r="BL106" i="19" s="1"/>
  <c r="BM106" i="19" s="1"/>
  <c r="BZ106" i="19" s="1"/>
  <c r="BK106" i="19"/>
  <c r="B289" i="2"/>
  <c r="BI106" i="19"/>
  <c r="BJ106" i="19"/>
  <c r="BC106" i="19"/>
  <c r="BB106" i="19"/>
  <c r="BD106" i="19"/>
  <c r="BG106" i="19"/>
  <c r="BU106" i="19"/>
  <c r="CA106" i="19" s="1"/>
  <c r="BH106" i="19"/>
  <c r="BA106" i="19"/>
  <c r="BF106" i="19"/>
  <c r="BS106" i="19"/>
  <c r="BE106" i="19"/>
  <c r="EI216" i="25" l="1"/>
  <c r="EP216" i="25" s="1"/>
  <c r="FB216" i="25"/>
  <c r="EK96" i="24"/>
  <c r="EQ96" i="24" s="1"/>
  <c r="ER96" i="24" s="1"/>
  <c r="EK92" i="24"/>
  <c r="EQ92" i="24" s="1"/>
  <c r="ER92" i="24" s="1"/>
  <c r="EZ96" i="24"/>
  <c r="FB96" i="24" s="1"/>
  <c r="EP212" i="25"/>
  <c r="FC212" i="25"/>
  <c r="FE212" i="25" s="1"/>
  <c r="FF212" i="25" s="1"/>
  <c r="EW243" i="24"/>
  <c r="FB243" i="24" s="1"/>
  <c r="EK67" i="24"/>
  <c r="EQ67" i="24" s="1"/>
  <c r="ER67" i="24" s="1"/>
  <c r="EK159" i="24"/>
  <c r="ER159" i="24" s="1"/>
  <c r="EW132" i="24"/>
  <c r="FB132" i="24" s="1"/>
  <c r="O110" i="24"/>
  <c r="BZ110" i="24" s="1"/>
  <c r="EW285" i="24"/>
  <c r="FB285" i="24" s="1"/>
  <c r="EZ92" i="24"/>
  <c r="FB92" i="24" s="1"/>
  <c r="EZ78" i="24"/>
  <c r="FB78" i="24" s="1"/>
  <c r="EK78" i="24"/>
  <c r="EQ78" i="24" s="1"/>
  <c r="ER78" i="24" s="1"/>
  <c r="FB242" i="24"/>
  <c r="EK60" i="24"/>
  <c r="EQ60" i="24" s="1"/>
  <c r="EZ60" i="24"/>
  <c r="FB60" i="24" s="1"/>
  <c r="FB136" i="25"/>
  <c r="EK77" i="24"/>
  <c r="EQ77" i="24" s="1"/>
  <c r="ER77" i="24" s="1"/>
  <c r="EK74" i="24"/>
  <c r="EQ74" i="24" s="1"/>
  <c r="ER74" i="24" s="1"/>
  <c r="FC216" i="24"/>
  <c r="FE216" i="24" s="1"/>
  <c r="FF216" i="24" s="1"/>
  <c r="ER216" i="24"/>
  <c r="BK216" i="24"/>
  <c r="K216" i="24"/>
  <c r="ER285" i="24"/>
  <c r="EW245" i="24"/>
  <c r="FB245" i="24" s="1"/>
  <c r="EK245" i="24"/>
  <c r="EW225" i="24"/>
  <c r="FB225" i="24" s="1"/>
  <c r="EK225" i="24"/>
  <c r="EW279" i="24"/>
  <c r="FB279" i="24" s="1"/>
  <c r="EK279" i="24"/>
  <c r="EK229" i="24"/>
  <c r="EW229" i="24"/>
  <c r="FB229" i="24" s="1"/>
  <c r="EW278" i="24"/>
  <c r="FB278" i="24" s="1"/>
  <c r="EK278" i="24"/>
  <c r="EK301" i="24"/>
  <c r="EW301" i="24"/>
  <c r="FB301" i="24" s="1"/>
  <c r="EK248" i="24"/>
  <c r="EW248" i="24"/>
  <c r="FB248" i="24" s="1"/>
  <c r="EK271" i="24"/>
  <c r="EW271" i="24"/>
  <c r="FB271" i="24" s="1"/>
  <c r="EK219" i="24"/>
  <c r="EW219" i="24"/>
  <c r="FB219" i="24" s="1"/>
  <c r="EK263" i="24"/>
  <c r="EW263" i="24"/>
  <c r="FB263" i="24" s="1"/>
  <c r="EK284" i="24"/>
  <c r="EW284" i="24"/>
  <c r="FB284" i="24" s="1"/>
  <c r="EW268" i="24"/>
  <c r="FB268" i="24" s="1"/>
  <c r="EK268" i="24"/>
  <c r="EW310" i="24"/>
  <c r="FB310" i="24" s="1"/>
  <c r="EK310" i="24"/>
  <c r="EK294" i="24"/>
  <c r="EW294" i="24"/>
  <c r="FB294" i="24" s="1"/>
  <c r="EK275" i="24"/>
  <c r="EW275" i="24"/>
  <c r="FB275" i="24" s="1"/>
  <c r="EW249" i="24"/>
  <c r="FB249" i="24" s="1"/>
  <c r="EK249" i="24"/>
  <c r="EK258" i="24"/>
  <c r="EW258" i="24"/>
  <c r="FB258" i="24" s="1"/>
  <c r="EK230" i="24"/>
  <c r="EW230" i="24"/>
  <c r="FB230" i="24" s="1"/>
  <c r="EW306" i="24"/>
  <c r="FB306" i="24" s="1"/>
  <c r="EK306" i="24"/>
  <c r="EW298" i="24"/>
  <c r="FB298" i="24" s="1"/>
  <c r="EK298" i="24"/>
  <c r="EK282" i="24"/>
  <c r="EW282" i="24"/>
  <c r="FB282" i="24" s="1"/>
  <c r="EW270" i="24"/>
  <c r="FB270" i="24" s="1"/>
  <c r="EK270" i="24"/>
  <c r="EK264" i="24"/>
  <c r="EW264" i="24"/>
  <c r="FB264" i="24" s="1"/>
  <c r="EW253" i="24"/>
  <c r="FB253" i="24" s="1"/>
  <c r="EK253" i="24"/>
  <c r="EK267" i="24"/>
  <c r="EW267" i="24"/>
  <c r="FB267" i="24" s="1"/>
  <c r="EW316" i="24"/>
  <c r="FB316" i="24" s="1"/>
  <c r="EK316" i="24"/>
  <c r="EK224" i="24"/>
  <c r="EW224" i="24"/>
  <c r="FB224" i="24" s="1"/>
  <c r="EW251" i="24"/>
  <c r="FB251" i="24" s="1"/>
  <c r="EK251" i="24"/>
  <c r="EW289" i="24"/>
  <c r="FB289" i="24" s="1"/>
  <c r="EK289" i="24"/>
  <c r="EK238" i="24"/>
  <c r="EW238" i="24"/>
  <c r="FB238" i="24" s="1"/>
  <c r="EK246" i="24"/>
  <c r="EW246" i="24"/>
  <c r="FB246" i="24" s="1"/>
  <c r="EK232" i="24"/>
  <c r="EW232" i="24"/>
  <c r="FB232" i="24" s="1"/>
  <c r="EK281" i="24"/>
  <c r="EW281" i="24"/>
  <c r="FB281" i="24" s="1"/>
  <c r="EK233" i="24"/>
  <c r="EW233" i="24"/>
  <c r="FB233" i="24" s="1"/>
  <c r="EW288" i="24"/>
  <c r="FB288" i="24" s="1"/>
  <c r="EK288" i="24"/>
  <c r="EW257" i="24"/>
  <c r="FB257" i="24" s="1"/>
  <c r="EK257" i="24"/>
  <c r="EW255" i="24"/>
  <c r="FB255" i="24" s="1"/>
  <c r="EK255" i="24"/>
  <c r="EK273" i="24"/>
  <c r="EW273" i="24"/>
  <c r="FB273" i="24" s="1"/>
  <c r="EK218" i="24"/>
  <c r="EW218" i="24"/>
  <c r="FB218" i="24" s="1"/>
  <c r="EW262" i="24"/>
  <c r="FB262" i="24" s="1"/>
  <c r="EK262" i="24"/>
  <c r="EK266" i="24"/>
  <c r="EW266" i="24"/>
  <c r="FB266" i="24" s="1"/>
  <c r="ER243" i="24"/>
  <c r="EK261" i="24"/>
  <c r="EW261" i="24"/>
  <c r="FB261" i="24" s="1"/>
  <c r="EK228" i="24"/>
  <c r="EW228" i="24"/>
  <c r="FB228" i="24" s="1"/>
  <c r="EK265" i="24"/>
  <c r="EW265" i="24"/>
  <c r="FB265" i="24" s="1"/>
  <c r="EK244" i="24"/>
  <c r="EW244" i="24"/>
  <c r="FB244" i="24" s="1"/>
  <c r="EK236" i="24"/>
  <c r="EW236" i="24"/>
  <c r="FB236" i="24" s="1"/>
  <c r="EK299" i="24"/>
  <c r="EW299" i="24"/>
  <c r="FB299" i="24" s="1"/>
  <c r="EW304" i="24"/>
  <c r="FB304" i="24" s="1"/>
  <c r="EK304" i="24"/>
  <c r="EK283" i="24"/>
  <c r="EW283" i="24"/>
  <c r="FB283" i="24" s="1"/>
  <c r="EW231" i="24"/>
  <c r="FB231" i="24" s="1"/>
  <c r="EK231" i="24"/>
  <c r="EK280" i="24"/>
  <c r="EW280" i="24"/>
  <c r="FB280" i="24" s="1"/>
  <c r="EK234" i="24"/>
  <c r="EW234" i="24"/>
  <c r="FB234" i="24" s="1"/>
  <c r="EK296" i="24"/>
  <c r="EW296" i="24"/>
  <c r="FB296" i="24" s="1"/>
  <c r="EK239" i="24"/>
  <c r="EW239" i="24"/>
  <c r="FB239" i="24" s="1"/>
  <c r="EW259" i="24"/>
  <c r="FB259" i="24" s="1"/>
  <c r="EK259" i="24"/>
  <c r="EW308" i="24"/>
  <c r="FB308" i="24" s="1"/>
  <c r="EK308" i="24"/>
  <c r="EK222" i="24"/>
  <c r="EW222" i="24"/>
  <c r="FB222" i="24" s="1"/>
  <c r="EK305" i="24"/>
  <c r="EW305" i="24"/>
  <c r="FB305" i="24" s="1"/>
  <c r="EW312" i="24"/>
  <c r="FB312" i="24" s="1"/>
  <c r="EK312" i="24"/>
  <c r="EK313" i="24"/>
  <c r="EW313" i="24"/>
  <c r="FB313" i="24" s="1"/>
  <c r="EK220" i="24"/>
  <c r="EW220" i="24"/>
  <c r="FB220" i="24" s="1"/>
  <c r="EW274" i="24"/>
  <c r="FB274" i="24" s="1"/>
  <c r="EK274" i="24"/>
  <c r="EK240" i="24"/>
  <c r="EW240" i="24"/>
  <c r="FB240" i="24" s="1"/>
  <c r="EK286" i="24"/>
  <c r="EW286" i="24"/>
  <c r="FB286" i="24" s="1"/>
  <c r="EK260" i="24"/>
  <c r="EW260" i="24"/>
  <c r="FB260" i="24" s="1"/>
  <c r="EK217" i="24"/>
  <c r="EW217" i="24"/>
  <c r="FB217" i="24" s="1"/>
  <c r="EW300" i="24"/>
  <c r="FB300" i="24" s="1"/>
  <c r="EK300" i="24"/>
  <c r="EK223" i="24"/>
  <c r="EW223" i="24"/>
  <c r="FB223" i="24" s="1"/>
  <c r="EK309" i="24"/>
  <c r="EW309" i="24"/>
  <c r="FB309" i="24" s="1"/>
  <c r="EK277" i="24"/>
  <c r="EW277" i="24"/>
  <c r="FB277" i="24" s="1"/>
  <c r="EK311" i="24"/>
  <c r="EW311" i="24"/>
  <c r="FB311" i="24" s="1"/>
  <c r="ER242" i="24"/>
  <c r="FC242" i="24"/>
  <c r="FE242" i="24" s="1"/>
  <c r="FF242" i="24" s="1"/>
  <c r="EK227" i="24"/>
  <c r="EW227" i="24"/>
  <c r="FB227" i="24" s="1"/>
  <c r="EW276" i="24"/>
  <c r="FB276" i="24" s="1"/>
  <c r="EK276" i="24"/>
  <c r="EK292" i="24"/>
  <c r="EW292" i="24"/>
  <c r="FB292" i="24" s="1"/>
  <c r="EW235" i="24"/>
  <c r="FB235" i="24" s="1"/>
  <c r="EK235" i="24"/>
  <c r="EK315" i="24"/>
  <c r="EW315" i="24"/>
  <c r="FB315" i="24" s="1"/>
  <c r="EK252" i="24"/>
  <c r="EW252" i="24"/>
  <c r="FB252" i="24" s="1"/>
  <c r="EW293" i="24"/>
  <c r="FB293" i="24" s="1"/>
  <c r="EK293" i="24"/>
  <c r="EW314" i="24"/>
  <c r="FB314" i="24" s="1"/>
  <c r="EK314" i="24"/>
  <c r="EW295" i="24"/>
  <c r="FB295" i="24" s="1"/>
  <c r="EK295" i="24"/>
  <c r="EK269" i="24"/>
  <c r="EW269" i="24"/>
  <c r="FB269" i="24" s="1"/>
  <c r="EW241" i="24"/>
  <c r="FB241" i="24" s="1"/>
  <c r="EK241" i="24"/>
  <c r="EW287" i="24"/>
  <c r="FB287" i="24" s="1"/>
  <c r="EK287" i="24"/>
  <c r="EK297" i="24"/>
  <c r="EW297" i="24"/>
  <c r="FB297" i="24" s="1"/>
  <c r="EK303" i="24"/>
  <c r="EW303" i="24"/>
  <c r="FB303" i="24" s="1"/>
  <c r="EK272" i="24"/>
  <c r="EW272" i="24"/>
  <c r="FB272" i="24" s="1"/>
  <c r="EK256" i="24"/>
  <c r="EW256" i="24"/>
  <c r="FB256" i="24" s="1"/>
  <c r="EK307" i="24"/>
  <c r="EW307" i="24"/>
  <c r="FB307" i="24" s="1"/>
  <c r="EW290" i="24"/>
  <c r="FB290" i="24" s="1"/>
  <c r="EK290" i="24"/>
  <c r="EK226" i="24"/>
  <c r="EW226" i="24"/>
  <c r="FB226" i="24" s="1"/>
  <c r="EW247" i="24"/>
  <c r="FB247" i="24" s="1"/>
  <c r="EK247" i="24"/>
  <c r="EK254" i="24"/>
  <c r="EW254" i="24"/>
  <c r="FB254" i="24" s="1"/>
  <c r="EK221" i="24"/>
  <c r="EW221" i="24"/>
  <c r="FB221" i="24" s="1"/>
  <c r="EW237" i="24"/>
  <c r="FB237" i="24" s="1"/>
  <c r="EK237" i="24"/>
  <c r="EK291" i="24"/>
  <c r="EW291" i="24"/>
  <c r="FB291" i="24" s="1"/>
  <c r="EW302" i="24"/>
  <c r="FB302" i="24" s="1"/>
  <c r="EK302" i="24"/>
  <c r="EK250" i="24"/>
  <c r="EW250" i="24"/>
  <c r="FB250" i="24" s="1"/>
  <c r="EP217" i="25"/>
  <c r="FC217" i="25"/>
  <c r="FE217" i="25" s="1"/>
  <c r="FF217" i="25" s="1"/>
  <c r="EP256" i="25"/>
  <c r="FC256" i="25"/>
  <c r="FE256" i="25" s="1"/>
  <c r="FF256" i="25" s="1"/>
  <c r="EP273" i="25"/>
  <c r="FC273" i="25"/>
  <c r="FE273" i="25" s="1"/>
  <c r="FF273" i="25" s="1"/>
  <c r="FC221" i="25"/>
  <c r="FE221" i="25" s="1"/>
  <c r="FF221" i="25" s="1"/>
  <c r="EP221" i="25"/>
  <c r="FC226" i="25"/>
  <c r="FE226" i="25" s="1"/>
  <c r="FF226" i="25" s="1"/>
  <c r="EP226" i="25"/>
  <c r="EP240" i="25"/>
  <c r="FC240" i="25"/>
  <c r="FE240" i="25" s="1"/>
  <c r="FF240" i="25" s="1"/>
  <c r="EP249" i="25"/>
  <c r="FC249" i="25"/>
  <c r="FE249" i="25" s="1"/>
  <c r="FF249" i="25" s="1"/>
  <c r="FC282" i="25"/>
  <c r="FE282" i="25" s="1"/>
  <c r="FF282" i="25" s="1"/>
  <c r="EP282" i="25"/>
  <c r="EP227" i="25"/>
  <c r="FC227" i="25"/>
  <c r="FE227" i="25" s="1"/>
  <c r="FF227" i="25" s="1"/>
  <c r="EP301" i="25"/>
  <c r="FC301" i="25"/>
  <c r="FE301" i="25" s="1"/>
  <c r="FF301" i="25" s="1"/>
  <c r="FC279" i="25"/>
  <c r="FE279" i="25" s="1"/>
  <c r="FF279" i="25" s="1"/>
  <c r="EP279" i="25"/>
  <c r="FC233" i="25"/>
  <c r="FE233" i="25" s="1"/>
  <c r="FF233" i="25" s="1"/>
  <c r="EP233" i="25"/>
  <c r="EP284" i="25"/>
  <c r="FC284" i="25"/>
  <c r="FE284" i="25" s="1"/>
  <c r="FF284" i="25" s="1"/>
  <c r="FC311" i="25"/>
  <c r="FE311" i="25" s="1"/>
  <c r="FF311" i="25" s="1"/>
  <c r="EP311" i="25"/>
  <c r="EP306" i="25"/>
  <c r="FC306" i="25"/>
  <c r="FE306" i="25" s="1"/>
  <c r="FF306" i="25" s="1"/>
  <c r="EP280" i="25"/>
  <c r="FC280" i="25"/>
  <c r="FE280" i="25" s="1"/>
  <c r="FF280" i="25" s="1"/>
  <c r="FC246" i="25"/>
  <c r="FE246" i="25" s="1"/>
  <c r="FF246" i="25" s="1"/>
  <c r="EP246" i="25"/>
  <c r="EP263" i="25"/>
  <c r="FC263" i="25"/>
  <c r="FE263" i="25" s="1"/>
  <c r="FF263" i="25" s="1"/>
  <c r="EP312" i="25"/>
  <c r="FC312" i="25"/>
  <c r="FE312" i="25" s="1"/>
  <c r="FF312" i="25" s="1"/>
  <c r="FC243" i="25"/>
  <c r="FE243" i="25" s="1"/>
  <c r="FF243" i="25" s="1"/>
  <c r="EP243" i="25"/>
  <c r="EP275" i="25"/>
  <c r="FC275" i="25"/>
  <c r="FE275" i="25" s="1"/>
  <c r="FF275" i="25" s="1"/>
  <c r="EP259" i="25"/>
  <c r="FC259" i="25"/>
  <c r="FE259" i="25" s="1"/>
  <c r="FF259" i="25" s="1"/>
  <c r="EP315" i="25"/>
  <c r="FC315" i="25"/>
  <c r="FE315" i="25" s="1"/>
  <c r="FF315" i="25" s="1"/>
  <c r="EP296" i="25"/>
  <c r="FC296" i="25"/>
  <c r="FE296" i="25" s="1"/>
  <c r="FF296" i="25" s="1"/>
  <c r="EP281" i="25"/>
  <c r="FC281" i="25"/>
  <c r="FE281" i="25" s="1"/>
  <c r="FF281" i="25" s="1"/>
  <c r="EP254" i="25"/>
  <c r="FC254" i="25"/>
  <c r="FE254" i="25" s="1"/>
  <c r="FF254" i="25" s="1"/>
  <c r="EP234" i="25"/>
  <c r="FC234" i="25"/>
  <c r="FE234" i="25" s="1"/>
  <c r="FF234" i="25" s="1"/>
  <c r="EP309" i="25"/>
  <c r="FC309" i="25"/>
  <c r="FE309" i="25" s="1"/>
  <c r="FF309" i="25" s="1"/>
  <c r="EP288" i="25"/>
  <c r="FC288" i="25"/>
  <c r="FE288" i="25" s="1"/>
  <c r="FF288" i="25" s="1"/>
  <c r="FC222" i="25"/>
  <c r="FE222" i="25" s="1"/>
  <c r="FF222" i="25" s="1"/>
  <c r="EP222" i="25"/>
  <c r="EP261" i="25"/>
  <c r="FC261" i="25"/>
  <c r="FE261" i="25" s="1"/>
  <c r="FF261" i="25" s="1"/>
  <c r="EP316" i="25"/>
  <c r="FC316" i="25"/>
  <c r="FE316" i="25" s="1"/>
  <c r="FF316" i="25" s="1"/>
  <c r="EP239" i="25"/>
  <c r="FC239" i="25"/>
  <c r="FE239" i="25" s="1"/>
  <c r="FF239" i="25" s="1"/>
  <c r="EP253" i="25"/>
  <c r="FC253" i="25"/>
  <c r="FE253" i="25" s="1"/>
  <c r="FF253" i="25" s="1"/>
  <c r="FC286" i="25"/>
  <c r="FE286" i="25" s="1"/>
  <c r="FF286" i="25" s="1"/>
  <c r="EP286" i="25"/>
  <c r="EP290" i="25"/>
  <c r="FC290" i="25"/>
  <c r="FE290" i="25" s="1"/>
  <c r="FF290" i="25" s="1"/>
  <c r="EP283" i="25"/>
  <c r="FC283" i="25"/>
  <c r="FE283" i="25" s="1"/>
  <c r="FF283" i="25" s="1"/>
  <c r="EP303" i="25"/>
  <c r="FC303" i="25"/>
  <c r="FE303" i="25" s="1"/>
  <c r="FF303" i="25" s="1"/>
  <c r="EP245" i="25"/>
  <c r="FC245" i="25"/>
  <c r="FE245" i="25" s="1"/>
  <c r="FF245" i="25" s="1"/>
  <c r="FC260" i="25"/>
  <c r="FE260" i="25" s="1"/>
  <c r="FF260" i="25" s="1"/>
  <c r="EP260" i="25"/>
  <c r="FC224" i="25"/>
  <c r="FE224" i="25" s="1"/>
  <c r="FF224" i="25" s="1"/>
  <c r="EP224" i="25"/>
  <c r="EP241" i="25"/>
  <c r="FC241" i="25"/>
  <c r="FE241" i="25" s="1"/>
  <c r="FF241" i="25" s="1"/>
  <c r="FC271" i="25"/>
  <c r="FE271" i="25" s="1"/>
  <c r="FF271" i="25" s="1"/>
  <c r="EP271" i="25"/>
  <c r="EP267" i="25"/>
  <c r="FC267" i="25"/>
  <c r="FE267" i="25" s="1"/>
  <c r="FF267" i="25" s="1"/>
  <c r="EP250" i="25"/>
  <c r="FC250" i="25"/>
  <c r="FE250" i="25" s="1"/>
  <c r="FF250" i="25" s="1"/>
  <c r="EP307" i="25"/>
  <c r="FC307" i="25"/>
  <c r="FE307" i="25" s="1"/>
  <c r="FF307" i="25" s="1"/>
  <c r="EP268" i="25"/>
  <c r="FC268" i="25"/>
  <c r="FE268" i="25" s="1"/>
  <c r="FF268" i="25" s="1"/>
  <c r="FC251" i="25"/>
  <c r="FE251" i="25" s="1"/>
  <c r="FF251" i="25" s="1"/>
  <c r="EP251" i="25"/>
  <c r="EP299" i="25"/>
  <c r="FC299" i="25"/>
  <c r="FE299" i="25" s="1"/>
  <c r="FF299" i="25" s="1"/>
  <c r="FC247" i="25"/>
  <c r="FE247" i="25" s="1"/>
  <c r="FF247" i="25" s="1"/>
  <c r="EP247" i="25"/>
  <c r="EP220" i="25"/>
  <c r="FC220" i="25"/>
  <c r="FE220" i="25" s="1"/>
  <c r="FF220" i="25" s="1"/>
  <c r="EP297" i="25"/>
  <c r="FC297" i="25"/>
  <c r="FE297" i="25" s="1"/>
  <c r="FF297" i="25" s="1"/>
  <c r="EP314" i="25"/>
  <c r="FC314" i="25"/>
  <c r="FE314" i="25" s="1"/>
  <c r="FF314" i="25" s="1"/>
  <c r="FC272" i="25"/>
  <c r="FE272" i="25" s="1"/>
  <c r="FF272" i="25" s="1"/>
  <c r="EP272" i="25"/>
  <c r="FC310" i="25"/>
  <c r="FE310" i="25" s="1"/>
  <c r="FF310" i="25" s="1"/>
  <c r="EP310" i="25"/>
  <c r="EP285" i="25"/>
  <c r="FC285" i="25"/>
  <c r="FE285" i="25" s="1"/>
  <c r="FF285" i="25" s="1"/>
  <c r="FC232" i="25"/>
  <c r="FE232" i="25" s="1"/>
  <c r="FF232" i="25" s="1"/>
  <c r="EP232" i="25"/>
  <c r="EP244" i="25"/>
  <c r="FC244" i="25"/>
  <c r="FE244" i="25" s="1"/>
  <c r="FF244" i="25" s="1"/>
  <c r="FC223" i="25"/>
  <c r="FE223" i="25" s="1"/>
  <c r="FF223" i="25" s="1"/>
  <c r="EP223" i="25"/>
  <c r="FC218" i="25"/>
  <c r="FE218" i="25" s="1"/>
  <c r="FF218" i="25" s="1"/>
  <c r="EP218" i="25"/>
  <c r="EP242" i="25"/>
  <c r="FC242" i="25"/>
  <c r="FE242" i="25" s="1"/>
  <c r="FF242" i="25" s="1"/>
  <c r="EP292" i="25"/>
  <c r="FC292" i="25"/>
  <c r="FE292" i="25" s="1"/>
  <c r="FF292" i="25" s="1"/>
  <c r="EP308" i="25"/>
  <c r="FC308" i="25"/>
  <c r="FE308" i="25" s="1"/>
  <c r="FF308" i="25" s="1"/>
  <c r="EP265" i="25"/>
  <c r="FC265" i="25"/>
  <c r="FE265" i="25" s="1"/>
  <c r="FF265" i="25" s="1"/>
  <c r="FC277" i="25"/>
  <c r="FE277" i="25" s="1"/>
  <c r="FF277" i="25" s="1"/>
  <c r="EP277" i="25"/>
  <c r="EP236" i="25"/>
  <c r="FC236" i="25"/>
  <c r="FE236" i="25" s="1"/>
  <c r="FF236" i="25" s="1"/>
  <c r="EP287" i="25"/>
  <c r="FC287" i="25"/>
  <c r="FE287" i="25" s="1"/>
  <c r="FF287" i="25" s="1"/>
  <c r="EP264" i="25"/>
  <c r="FC264" i="25"/>
  <c r="FE264" i="25" s="1"/>
  <c r="FF264" i="25" s="1"/>
  <c r="EP313" i="25"/>
  <c r="FC313" i="25"/>
  <c r="FE313" i="25" s="1"/>
  <c r="FF313" i="25" s="1"/>
  <c r="FC302" i="25"/>
  <c r="FE302" i="25" s="1"/>
  <c r="FF302" i="25" s="1"/>
  <c r="EP302" i="25"/>
  <c r="EP225" i="25"/>
  <c r="FC225" i="25"/>
  <c r="FE225" i="25" s="1"/>
  <c r="FF225" i="25" s="1"/>
  <c r="FC295" i="25"/>
  <c r="FE295" i="25" s="1"/>
  <c r="FF295" i="25" s="1"/>
  <c r="EP295" i="25"/>
  <c r="FC266" i="25"/>
  <c r="FE266" i="25" s="1"/>
  <c r="FF266" i="25" s="1"/>
  <c r="EP266" i="25"/>
  <c r="EP298" i="25"/>
  <c r="FC298" i="25"/>
  <c r="FE298" i="25" s="1"/>
  <c r="FF298" i="25" s="1"/>
  <c r="FC219" i="25"/>
  <c r="FE219" i="25" s="1"/>
  <c r="FF219" i="25" s="1"/>
  <c r="EP219" i="25"/>
  <c r="FC300" i="25"/>
  <c r="FE300" i="25" s="1"/>
  <c r="FF300" i="25" s="1"/>
  <c r="EP300" i="25"/>
  <c r="FC235" i="25"/>
  <c r="FE235" i="25" s="1"/>
  <c r="FF235" i="25" s="1"/>
  <c r="EP235" i="25"/>
  <c r="EP269" i="25"/>
  <c r="FC269" i="25"/>
  <c r="FE269" i="25" s="1"/>
  <c r="FF269" i="25" s="1"/>
  <c r="EP304" i="25"/>
  <c r="FC304" i="25"/>
  <c r="FE304" i="25" s="1"/>
  <c r="FF304" i="25" s="1"/>
  <c r="EP229" i="25"/>
  <c r="FC229" i="25"/>
  <c r="FE229" i="25" s="1"/>
  <c r="FF229" i="25" s="1"/>
  <c r="EP289" i="25"/>
  <c r="FC289" i="25"/>
  <c r="FE289" i="25" s="1"/>
  <c r="FF289" i="25" s="1"/>
  <c r="FC262" i="25"/>
  <c r="FE262" i="25" s="1"/>
  <c r="FF262" i="25" s="1"/>
  <c r="EP262" i="25"/>
  <c r="FC231" i="25"/>
  <c r="FE231" i="25" s="1"/>
  <c r="FF231" i="25" s="1"/>
  <c r="EP231" i="25"/>
  <c r="EP293" i="25"/>
  <c r="FC293" i="25"/>
  <c r="FE293" i="25" s="1"/>
  <c r="FF293" i="25" s="1"/>
  <c r="EP270" i="25"/>
  <c r="FC270" i="25"/>
  <c r="FE270" i="25" s="1"/>
  <c r="FF270" i="25" s="1"/>
  <c r="FC258" i="25"/>
  <c r="FE258" i="25" s="1"/>
  <c r="FF258" i="25" s="1"/>
  <c r="EP258" i="25"/>
  <c r="EP291" i="25"/>
  <c r="FC291" i="25"/>
  <c r="FE291" i="25" s="1"/>
  <c r="FF291" i="25" s="1"/>
  <c r="EP228" i="25"/>
  <c r="FC228" i="25"/>
  <c r="FE228" i="25" s="1"/>
  <c r="FF228" i="25" s="1"/>
  <c r="EP276" i="25"/>
  <c r="FC276" i="25"/>
  <c r="FE276" i="25" s="1"/>
  <c r="FF276" i="25" s="1"/>
  <c r="EP248" i="25"/>
  <c r="FC248" i="25"/>
  <c r="FE248" i="25" s="1"/>
  <c r="FF248" i="25" s="1"/>
  <c r="EP238" i="25"/>
  <c r="FC238" i="25"/>
  <c r="FE238" i="25" s="1"/>
  <c r="FF238" i="25" s="1"/>
  <c r="FC257" i="25"/>
  <c r="FE257" i="25" s="1"/>
  <c r="FF257" i="25" s="1"/>
  <c r="EP257" i="25"/>
  <c r="EP255" i="25"/>
  <c r="FC255" i="25"/>
  <c r="FE255" i="25" s="1"/>
  <c r="FF255" i="25" s="1"/>
  <c r="FC230" i="25"/>
  <c r="FE230" i="25" s="1"/>
  <c r="FF230" i="25" s="1"/>
  <c r="EP230" i="25"/>
  <c r="EP305" i="25"/>
  <c r="FC305" i="25"/>
  <c r="FE305" i="25" s="1"/>
  <c r="FF305" i="25" s="1"/>
  <c r="EP237" i="25"/>
  <c r="FC237" i="25"/>
  <c r="FE237" i="25" s="1"/>
  <c r="FF237" i="25" s="1"/>
  <c r="FC294" i="25"/>
  <c r="FE294" i="25" s="1"/>
  <c r="FF294" i="25" s="1"/>
  <c r="EP294" i="25"/>
  <c r="FC278" i="25"/>
  <c r="FE278" i="25" s="1"/>
  <c r="FF278" i="25" s="1"/>
  <c r="EP278" i="25"/>
  <c r="FC274" i="25"/>
  <c r="FE274" i="25" s="1"/>
  <c r="FF274" i="25" s="1"/>
  <c r="EP274" i="25"/>
  <c r="EP252" i="25"/>
  <c r="FC252" i="25"/>
  <c r="FE252" i="25" s="1"/>
  <c r="FF252" i="25" s="1"/>
  <c r="EZ74" i="24"/>
  <c r="FB74" i="24" s="1"/>
  <c r="EK142" i="24"/>
  <c r="FC142" i="24" s="1"/>
  <c r="FE142" i="24" s="1"/>
  <c r="FF142" i="24" s="1"/>
  <c r="FC112" i="25"/>
  <c r="FE112" i="25" s="1"/>
  <c r="FF112" i="25" s="1"/>
  <c r="EP112" i="25"/>
  <c r="EZ43" i="24"/>
  <c r="FB43" i="24" s="1"/>
  <c r="EK39" i="24"/>
  <c r="EQ39" i="24" s="1"/>
  <c r="ER39" i="24" s="1"/>
  <c r="EZ39" i="24"/>
  <c r="FB39" i="24" s="1"/>
  <c r="EW152" i="24"/>
  <c r="FB152" i="24" s="1"/>
  <c r="EK52" i="24"/>
  <c r="EQ52" i="24" s="1"/>
  <c r="ER52" i="24" s="1"/>
  <c r="FC47" i="25"/>
  <c r="FE47" i="25" s="1"/>
  <c r="FF47" i="25" s="1"/>
  <c r="EK63" i="24"/>
  <c r="EQ63" i="24" s="1"/>
  <c r="ER63" i="24" s="1"/>
  <c r="EZ55" i="24"/>
  <c r="FB55" i="24" s="1"/>
  <c r="EW37" i="24"/>
  <c r="EZ37" i="24" s="1"/>
  <c r="FB37" i="24" s="1"/>
  <c r="EK44" i="24"/>
  <c r="EQ44" i="24" s="1"/>
  <c r="ER44" i="24" s="1"/>
  <c r="EZ44" i="24"/>
  <c r="FB44" i="24" s="1"/>
  <c r="FC96" i="25"/>
  <c r="FE96" i="25" s="1"/>
  <c r="FF96" i="25" s="1"/>
  <c r="EW83" i="24"/>
  <c r="EZ83" i="24" s="1"/>
  <c r="FB83" i="24" s="1"/>
  <c r="EW186" i="24"/>
  <c r="FB186" i="24" s="1"/>
  <c r="EW134" i="24"/>
  <c r="FC134" i="24" s="1"/>
  <c r="FE134" i="24" s="1"/>
  <c r="FF134" i="24" s="1"/>
  <c r="EW160" i="24"/>
  <c r="FB160" i="24" s="1"/>
  <c r="FB133" i="24"/>
  <c r="FC164" i="25"/>
  <c r="FE164" i="25" s="1"/>
  <c r="FF164" i="25" s="1"/>
  <c r="EK169" i="24"/>
  <c r="EW169" i="24"/>
  <c r="FB169" i="24" s="1"/>
  <c r="EK133" i="24"/>
  <c r="ER133" i="24" s="1"/>
  <c r="EK111" i="24"/>
  <c r="FC111" i="24" s="1"/>
  <c r="FE111" i="24" s="1"/>
  <c r="FF111" i="24" s="1"/>
  <c r="EZ52" i="24"/>
  <c r="FB52" i="24" s="1"/>
  <c r="EW126" i="24"/>
  <c r="FB126" i="24" s="1"/>
  <c r="EW127" i="24"/>
  <c r="FB127" i="24" s="1"/>
  <c r="FC128" i="25"/>
  <c r="FE128" i="25" s="1"/>
  <c r="FF128" i="25" s="1"/>
  <c r="FC64" i="25"/>
  <c r="FE64" i="25" s="1"/>
  <c r="FF64" i="25" s="1"/>
  <c r="FC103" i="25"/>
  <c r="FE103" i="25" s="1"/>
  <c r="FF103" i="25" s="1"/>
  <c r="EP96" i="25"/>
  <c r="EW104" i="24"/>
  <c r="EZ104" i="24" s="1"/>
  <c r="FB104" i="24" s="1"/>
  <c r="EW136" i="24"/>
  <c r="FB136" i="24" s="1"/>
  <c r="FC89" i="25"/>
  <c r="FE89" i="25" s="1"/>
  <c r="FF89" i="25" s="1"/>
  <c r="EW48" i="24"/>
  <c r="EZ48" i="24" s="1"/>
  <c r="EW30" i="24"/>
  <c r="EZ30" i="24" s="1"/>
  <c r="FB30" i="24" s="1"/>
  <c r="FC93" i="25"/>
  <c r="FE93" i="25" s="1"/>
  <c r="FF93" i="25" s="1"/>
  <c r="FC145" i="25"/>
  <c r="FE145" i="25" s="1"/>
  <c r="FF145" i="25" s="1"/>
  <c r="FB111" i="24"/>
  <c r="EP47" i="25"/>
  <c r="FC156" i="25"/>
  <c r="FE156" i="25" s="1"/>
  <c r="FF156" i="25" s="1"/>
  <c r="FC183" i="25"/>
  <c r="FE183" i="25" s="1"/>
  <c r="FF183" i="25" s="1"/>
  <c r="EK14" i="24"/>
  <c r="EQ14" i="24" s="1"/>
  <c r="FB192" i="24"/>
  <c r="EZ63" i="24"/>
  <c r="FB63" i="24" s="1"/>
  <c r="EK55" i="24"/>
  <c r="EQ55" i="24" s="1"/>
  <c r="ER55" i="24" s="1"/>
  <c r="EK40" i="24"/>
  <c r="EQ40" i="24" s="1"/>
  <c r="ER40" i="24" s="1"/>
  <c r="EW71" i="24"/>
  <c r="EZ71" i="24" s="1"/>
  <c r="FB172" i="24"/>
  <c r="EW29" i="24"/>
  <c r="EZ29" i="24" s="1"/>
  <c r="FB29" i="24" s="1"/>
  <c r="EW199" i="24"/>
  <c r="FB199" i="24" s="1"/>
  <c r="EZ14" i="24"/>
  <c r="FB14" i="24" s="1"/>
  <c r="FC131" i="25"/>
  <c r="FE131" i="25" s="1"/>
  <c r="FF131" i="25" s="1"/>
  <c r="FC74" i="25"/>
  <c r="FE74" i="25" s="1"/>
  <c r="FF74" i="25" s="1"/>
  <c r="EK62" i="24"/>
  <c r="EQ62" i="24" s="1"/>
  <c r="ER62" i="24" s="1"/>
  <c r="FC185" i="25"/>
  <c r="FE185" i="25" s="1"/>
  <c r="FF185" i="25" s="1"/>
  <c r="EZ81" i="24"/>
  <c r="FB81" i="24" s="1"/>
  <c r="EK192" i="24"/>
  <c r="ER192" i="24" s="1"/>
  <c r="EK172" i="24"/>
  <c r="ER172" i="24" s="1"/>
  <c r="FB159" i="24"/>
  <c r="EW147" i="24"/>
  <c r="FC147" i="24" s="1"/>
  <c r="FE147" i="24" s="1"/>
  <c r="FF147" i="24" s="1"/>
  <c r="FC173" i="25"/>
  <c r="FE173" i="25" s="1"/>
  <c r="FF173" i="25" s="1"/>
  <c r="FC17" i="25"/>
  <c r="FE17" i="25" s="1"/>
  <c r="FF17" i="25" s="1"/>
  <c r="FC33" i="25"/>
  <c r="FE33" i="25" s="1"/>
  <c r="FF33" i="25" s="1"/>
  <c r="EP158" i="25"/>
  <c r="FC97" i="25"/>
  <c r="FE97" i="25" s="1"/>
  <c r="FF97" i="25" s="1"/>
  <c r="FB170" i="24"/>
  <c r="FC95" i="25"/>
  <c r="FE95" i="25" s="1"/>
  <c r="FF95" i="25" s="1"/>
  <c r="EP95" i="25"/>
  <c r="EK170" i="24"/>
  <c r="FC170" i="24" s="1"/>
  <c r="FE170" i="24" s="1"/>
  <c r="FF170" i="24" s="1"/>
  <c r="EK81" i="24"/>
  <c r="EQ81" i="24" s="1"/>
  <c r="ER81" i="24" s="1"/>
  <c r="EK43" i="24"/>
  <c r="EQ43" i="24" s="1"/>
  <c r="ER43" i="24" s="1"/>
  <c r="EK23" i="24"/>
  <c r="EQ23" i="24" s="1"/>
  <c r="ER23" i="24" s="1"/>
  <c r="FC99" i="25"/>
  <c r="FE99" i="25" s="1"/>
  <c r="FF99" i="25" s="1"/>
  <c r="FC90" i="25"/>
  <c r="FE90" i="25" s="1"/>
  <c r="FF90" i="25" s="1"/>
  <c r="EP199" i="25"/>
  <c r="FC77" i="25"/>
  <c r="FE77" i="25" s="1"/>
  <c r="FF77" i="25" s="1"/>
  <c r="FC58" i="25"/>
  <c r="FE58" i="25" s="1"/>
  <c r="FF58" i="25" s="1"/>
  <c r="EP137" i="25"/>
  <c r="FC37" i="25"/>
  <c r="FE37" i="25" s="1"/>
  <c r="FF37" i="25" s="1"/>
  <c r="FC42" i="25"/>
  <c r="FE42" i="25" s="1"/>
  <c r="FF42" i="25" s="1"/>
  <c r="FC73" i="25"/>
  <c r="FE73" i="25" s="1"/>
  <c r="FF73" i="25" s="1"/>
  <c r="FC56" i="25"/>
  <c r="FE56" i="25" s="1"/>
  <c r="FF56" i="25" s="1"/>
  <c r="EW10" i="24"/>
  <c r="EZ10" i="24" s="1"/>
  <c r="FB10" i="24" s="1"/>
  <c r="FB169" i="25"/>
  <c r="FC178" i="25"/>
  <c r="FE178" i="25" s="1"/>
  <c r="FF178" i="25" s="1"/>
  <c r="EZ40" i="24"/>
  <c r="FB40" i="24" s="1"/>
  <c r="FC194" i="25"/>
  <c r="FE194" i="25" s="1"/>
  <c r="FF194" i="25" s="1"/>
  <c r="S216" i="24"/>
  <c r="T216" i="24" s="1"/>
  <c r="M216" i="24"/>
  <c r="N216" i="24" s="1"/>
  <c r="EK90" i="24"/>
  <c r="EQ90" i="24" s="1"/>
  <c r="EW90" i="24"/>
  <c r="EZ90" i="24" s="1"/>
  <c r="FB90" i="24" s="1"/>
  <c r="FB142" i="24"/>
  <c r="EK99" i="24"/>
  <c r="EQ99" i="24" s="1"/>
  <c r="ER99" i="24" s="1"/>
  <c r="EW124" i="24"/>
  <c r="FB124" i="24" s="1"/>
  <c r="FC171" i="25"/>
  <c r="FE171" i="25" s="1"/>
  <c r="FF171" i="25" s="1"/>
  <c r="EZ99" i="24"/>
  <c r="FB99" i="24" s="1"/>
  <c r="FC83" i="25"/>
  <c r="FE83" i="25" s="1"/>
  <c r="FF83" i="25" s="1"/>
  <c r="FC129" i="25"/>
  <c r="FE129" i="25" s="1"/>
  <c r="FF129" i="25" s="1"/>
  <c r="EP141" i="25"/>
  <c r="EZ23" i="24"/>
  <c r="FB23" i="24" s="1"/>
  <c r="EW201" i="24"/>
  <c r="FB201" i="24" s="1"/>
  <c r="EZ67" i="24"/>
  <c r="FB67" i="24" s="1"/>
  <c r="EZ77" i="24"/>
  <c r="FB77" i="24" s="1"/>
  <c r="FC25" i="25"/>
  <c r="FE25" i="25" s="1"/>
  <c r="FF25" i="25" s="1"/>
  <c r="Q110" i="24"/>
  <c r="AP110" i="24"/>
  <c r="P110" i="24"/>
  <c r="V110" i="24"/>
  <c r="W110" i="24"/>
  <c r="AE110" i="24"/>
  <c r="AI110" i="24"/>
  <c r="X110" i="24"/>
  <c r="AA110" i="24" s="1"/>
  <c r="AB110" i="24" s="1"/>
  <c r="AC110" i="24" s="1"/>
  <c r="FC49" i="25"/>
  <c r="FE49" i="25" s="1"/>
  <c r="FF49" i="25" s="1"/>
  <c r="FC34" i="25"/>
  <c r="FE34" i="25" s="1"/>
  <c r="FF34" i="25" s="1"/>
  <c r="FC81" i="25"/>
  <c r="FE81" i="25" s="1"/>
  <c r="FF81" i="25" s="1"/>
  <c r="EP180" i="25"/>
  <c r="FC87" i="25"/>
  <c r="FE87" i="25" s="1"/>
  <c r="FF87" i="25" s="1"/>
  <c r="FC9" i="25"/>
  <c r="FE9" i="25" s="1"/>
  <c r="FF9" i="25" s="1"/>
  <c r="FC111" i="25"/>
  <c r="FE111" i="25" s="1"/>
  <c r="FF111" i="25" s="1"/>
  <c r="FC23" i="25"/>
  <c r="FE23" i="25" s="1"/>
  <c r="FF23" i="25" s="1"/>
  <c r="EW13" i="24"/>
  <c r="EZ13" i="24" s="1"/>
  <c r="FB13" i="24" s="1"/>
  <c r="EZ62" i="24"/>
  <c r="FB62" i="24" s="1"/>
  <c r="FC72" i="25"/>
  <c r="FE72" i="25" s="1"/>
  <c r="FF72" i="25" s="1"/>
  <c r="EP72" i="25"/>
  <c r="EP10" i="25"/>
  <c r="FC10" i="25"/>
  <c r="FE10" i="25" s="1"/>
  <c r="FF10" i="25" s="1"/>
  <c r="EP210" i="25"/>
  <c r="FC210" i="25"/>
  <c r="FE210" i="25" s="1"/>
  <c r="FF210" i="25" s="1"/>
  <c r="FC195" i="25"/>
  <c r="FE195" i="25" s="1"/>
  <c r="FF195" i="25" s="1"/>
  <c r="EP195" i="25"/>
  <c r="EP134" i="25"/>
  <c r="FC134" i="25"/>
  <c r="FE134" i="25" s="1"/>
  <c r="FF134" i="25" s="1"/>
  <c r="FC60" i="25"/>
  <c r="FE60" i="25" s="1"/>
  <c r="FF60" i="25" s="1"/>
  <c r="EP60" i="25"/>
  <c r="EP154" i="25"/>
  <c r="FC154" i="25"/>
  <c r="FE154" i="25" s="1"/>
  <c r="FF154" i="25" s="1"/>
  <c r="EP150" i="25"/>
  <c r="FC150" i="25"/>
  <c r="FE150" i="25" s="1"/>
  <c r="FF150" i="25" s="1"/>
  <c r="FC113" i="25"/>
  <c r="FE113" i="25" s="1"/>
  <c r="FF113" i="25" s="1"/>
  <c r="EP113" i="25"/>
  <c r="FC148" i="25"/>
  <c r="FE148" i="25" s="1"/>
  <c r="FF148" i="25" s="1"/>
  <c r="EP148" i="25"/>
  <c r="EP20" i="25"/>
  <c r="FC20" i="25"/>
  <c r="FE20" i="25" s="1"/>
  <c r="FF20" i="25" s="1"/>
  <c r="EP142" i="25"/>
  <c r="FC142" i="25"/>
  <c r="FE142" i="25" s="1"/>
  <c r="FF142" i="25" s="1"/>
  <c r="EP53" i="25"/>
  <c r="FC53" i="25"/>
  <c r="FE53" i="25" s="1"/>
  <c r="FF53" i="25" s="1"/>
  <c r="EP196" i="25"/>
  <c r="FC196" i="25"/>
  <c r="FE196" i="25" s="1"/>
  <c r="FF196" i="25" s="1"/>
  <c r="FC16" i="25"/>
  <c r="FE16" i="25" s="1"/>
  <c r="FF16" i="25" s="1"/>
  <c r="EP16" i="25"/>
  <c r="FC202" i="25"/>
  <c r="FE202" i="25" s="1"/>
  <c r="FF202" i="25" s="1"/>
  <c r="EP202" i="25"/>
  <c r="FC152" i="25"/>
  <c r="FE152" i="25" s="1"/>
  <c r="FF152" i="25" s="1"/>
  <c r="EP152" i="25"/>
  <c r="EP167" i="25"/>
  <c r="FC167" i="25"/>
  <c r="FE167" i="25" s="1"/>
  <c r="FF167" i="25" s="1"/>
  <c r="FC127" i="25"/>
  <c r="FE127" i="25" s="1"/>
  <c r="FF127" i="25" s="1"/>
  <c r="EP127" i="25"/>
  <c r="FC163" i="25"/>
  <c r="FE163" i="25" s="1"/>
  <c r="FF163" i="25" s="1"/>
  <c r="EP163" i="25"/>
  <c r="FC110" i="25"/>
  <c r="FE110" i="25" s="1"/>
  <c r="FF110" i="25" s="1"/>
  <c r="EP110" i="25"/>
  <c r="FC124" i="25"/>
  <c r="FE124" i="25" s="1"/>
  <c r="FF124" i="25" s="1"/>
  <c r="EP124" i="25"/>
  <c r="EP125" i="25"/>
  <c r="FC125" i="25"/>
  <c r="FE125" i="25" s="1"/>
  <c r="FF125" i="25" s="1"/>
  <c r="FC52" i="25"/>
  <c r="FE52" i="25" s="1"/>
  <c r="FF52" i="25" s="1"/>
  <c r="EP52" i="25"/>
  <c r="FC126" i="25"/>
  <c r="FE126" i="25" s="1"/>
  <c r="FF126" i="25" s="1"/>
  <c r="EP126" i="25"/>
  <c r="FC184" i="25"/>
  <c r="FE184" i="25" s="1"/>
  <c r="FF184" i="25" s="1"/>
  <c r="EP184" i="25"/>
  <c r="EP188" i="25"/>
  <c r="FC188" i="25"/>
  <c r="FE188" i="25" s="1"/>
  <c r="FF188" i="25" s="1"/>
  <c r="EP86" i="25"/>
  <c r="FC86" i="25"/>
  <c r="FE86" i="25" s="1"/>
  <c r="FF86" i="25" s="1"/>
  <c r="EP114" i="25"/>
  <c r="FC114" i="25"/>
  <c r="FE114" i="25" s="1"/>
  <c r="FF114" i="25" s="1"/>
  <c r="EP65" i="25"/>
  <c r="FC65" i="25"/>
  <c r="FE65" i="25" s="1"/>
  <c r="FF65" i="25" s="1"/>
  <c r="FC79" i="25"/>
  <c r="FE79" i="25" s="1"/>
  <c r="FF79" i="25" s="1"/>
  <c r="EP79" i="25"/>
  <c r="FC166" i="25"/>
  <c r="FE166" i="25" s="1"/>
  <c r="FF166" i="25" s="1"/>
  <c r="EP166" i="25"/>
  <c r="FC203" i="25"/>
  <c r="FE203" i="25" s="1"/>
  <c r="FF203" i="25" s="1"/>
  <c r="EP203" i="25"/>
  <c r="FC198" i="25"/>
  <c r="FE198" i="25" s="1"/>
  <c r="FF198" i="25" s="1"/>
  <c r="EP198" i="25"/>
  <c r="EP51" i="25"/>
  <c r="FC51" i="25"/>
  <c r="FE51" i="25" s="1"/>
  <c r="FF51" i="25" s="1"/>
  <c r="FC55" i="25"/>
  <c r="FE55" i="25" s="1"/>
  <c r="FF55" i="25" s="1"/>
  <c r="EP55" i="25"/>
  <c r="FC31" i="25"/>
  <c r="FE31" i="25" s="1"/>
  <c r="FF31" i="25" s="1"/>
  <c r="EP31" i="25"/>
  <c r="EP82" i="25"/>
  <c r="FC82" i="25"/>
  <c r="FE82" i="25" s="1"/>
  <c r="FF82" i="25" s="1"/>
  <c r="EP61" i="25"/>
  <c r="FC61" i="25"/>
  <c r="FE61" i="25" s="1"/>
  <c r="FF61" i="25" s="1"/>
  <c r="FC140" i="25"/>
  <c r="FE140" i="25" s="1"/>
  <c r="FF140" i="25" s="1"/>
  <c r="EP140" i="25"/>
  <c r="EP193" i="25"/>
  <c r="FC193" i="25"/>
  <c r="FE193" i="25" s="1"/>
  <c r="FF193" i="25" s="1"/>
  <c r="FC117" i="25"/>
  <c r="FE117" i="25" s="1"/>
  <c r="FF117" i="25" s="1"/>
  <c r="EP117" i="25"/>
  <c r="FC175" i="25"/>
  <c r="FE175" i="25" s="1"/>
  <c r="FF175" i="25" s="1"/>
  <c r="EP175" i="25"/>
  <c r="FC172" i="25"/>
  <c r="FE172" i="25" s="1"/>
  <c r="FF172" i="25" s="1"/>
  <c r="EP172" i="25"/>
  <c r="EP26" i="25"/>
  <c r="FC26" i="25"/>
  <c r="FE26" i="25" s="1"/>
  <c r="FF26" i="25" s="1"/>
  <c r="EP68" i="25"/>
  <c r="FC68" i="25"/>
  <c r="FE68" i="25" s="1"/>
  <c r="FF68" i="25" s="1"/>
  <c r="EP192" i="25"/>
  <c r="FC192" i="25"/>
  <c r="FE192" i="25" s="1"/>
  <c r="FF192" i="25" s="1"/>
  <c r="EP209" i="25"/>
  <c r="FC209" i="25"/>
  <c r="FE209" i="25" s="1"/>
  <c r="FF209" i="25" s="1"/>
  <c r="FC186" i="25"/>
  <c r="FE186" i="25" s="1"/>
  <c r="FF186" i="25" s="1"/>
  <c r="EP186" i="25"/>
  <c r="FC7" i="25"/>
  <c r="FE7" i="25" s="1"/>
  <c r="FF7" i="25" s="1"/>
  <c r="EP7" i="25"/>
  <c r="EP122" i="25"/>
  <c r="FC122" i="25"/>
  <c r="FE122" i="25" s="1"/>
  <c r="FF122" i="25" s="1"/>
  <c r="EP146" i="25"/>
  <c r="FC146" i="25"/>
  <c r="FE146" i="25" s="1"/>
  <c r="FF146" i="25" s="1"/>
  <c r="EP12" i="25"/>
  <c r="FC12" i="25"/>
  <c r="FE12" i="25" s="1"/>
  <c r="FF12" i="25" s="1"/>
  <c r="FC190" i="25"/>
  <c r="FE190" i="25" s="1"/>
  <c r="FF190" i="25" s="1"/>
  <c r="EP190" i="25"/>
  <c r="FC22" i="25"/>
  <c r="FE22" i="25" s="1"/>
  <c r="FF22" i="25" s="1"/>
  <c r="EP22" i="25"/>
  <c r="EP200" i="25"/>
  <c r="FC200" i="25"/>
  <c r="FE200" i="25" s="1"/>
  <c r="FF200" i="25" s="1"/>
  <c r="EP21" i="25"/>
  <c r="FC21" i="25"/>
  <c r="FE21" i="25" s="1"/>
  <c r="FF21" i="25" s="1"/>
  <c r="EP57" i="25"/>
  <c r="FC57" i="25"/>
  <c r="FE57" i="25" s="1"/>
  <c r="FF57" i="25" s="1"/>
  <c r="FC46" i="25"/>
  <c r="FE46" i="25" s="1"/>
  <c r="FF46" i="25" s="1"/>
  <c r="EP46" i="25"/>
  <c r="EP8" i="25"/>
  <c r="FC8" i="25"/>
  <c r="FE8" i="25" s="1"/>
  <c r="FF8" i="25" s="1"/>
  <c r="FC35" i="25"/>
  <c r="FE35" i="25" s="1"/>
  <c r="FF35" i="25" s="1"/>
  <c r="EP35" i="25"/>
  <c r="EP91" i="25"/>
  <c r="FC91" i="25"/>
  <c r="FE91" i="25" s="1"/>
  <c r="FF91" i="25" s="1"/>
  <c r="EP40" i="25"/>
  <c r="FC40" i="25"/>
  <c r="FE40" i="25" s="1"/>
  <c r="FF40" i="25" s="1"/>
  <c r="EP19" i="25"/>
  <c r="FC19" i="25"/>
  <c r="FE19" i="25" s="1"/>
  <c r="FF19" i="25" s="1"/>
  <c r="FC6" i="25"/>
  <c r="FE6" i="25" s="1"/>
  <c r="FF6" i="25" s="1"/>
  <c r="EP6" i="25"/>
  <c r="EP41" i="25"/>
  <c r="FC41" i="25"/>
  <c r="FE41" i="25" s="1"/>
  <c r="FF41" i="25" s="1"/>
  <c r="EP123" i="25"/>
  <c r="FC123" i="25"/>
  <c r="FE123" i="25" s="1"/>
  <c r="FF123" i="25" s="1"/>
  <c r="EP11" i="25"/>
  <c r="FC11" i="25"/>
  <c r="FE11" i="25" s="1"/>
  <c r="FF11" i="25" s="1"/>
  <c r="EP29" i="25"/>
  <c r="FC29" i="25"/>
  <c r="FE29" i="25" s="1"/>
  <c r="FF29" i="25" s="1"/>
  <c r="FC206" i="25"/>
  <c r="FE206" i="25" s="1"/>
  <c r="FF206" i="25" s="1"/>
  <c r="EP206" i="25"/>
  <c r="EP139" i="25"/>
  <c r="FC139" i="25"/>
  <c r="FE139" i="25" s="1"/>
  <c r="FF139" i="25" s="1"/>
  <c r="EP36" i="25"/>
  <c r="FC36" i="25"/>
  <c r="FE36" i="25" s="1"/>
  <c r="FF36" i="25" s="1"/>
  <c r="FC189" i="25"/>
  <c r="FE189" i="25" s="1"/>
  <c r="FF189" i="25" s="1"/>
  <c r="EP189" i="25"/>
  <c r="EP105" i="25"/>
  <c r="FC105" i="25"/>
  <c r="FE105" i="25" s="1"/>
  <c r="FF105" i="25" s="1"/>
  <c r="FC94" i="25"/>
  <c r="FE94" i="25" s="1"/>
  <c r="FF94" i="25" s="1"/>
  <c r="EP94" i="25"/>
  <c r="FC30" i="25"/>
  <c r="FE30" i="25" s="1"/>
  <c r="FF30" i="25" s="1"/>
  <c r="EP30" i="25"/>
  <c r="FC197" i="25"/>
  <c r="FE197" i="25" s="1"/>
  <c r="FF197" i="25" s="1"/>
  <c r="EP197" i="25"/>
  <c r="EP54" i="25"/>
  <c r="FC54" i="25"/>
  <c r="FE54" i="25" s="1"/>
  <c r="FF54" i="25" s="1"/>
  <c r="FC174" i="25"/>
  <c r="FE174" i="25" s="1"/>
  <c r="FF174" i="25" s="1"/>
  <c r="EP174" i="25"/>
  <c r="FC24" i="25"/>
  <c r="FE24" i="25" s="1"/>
  <c r="FF24" i="25" s="1"/>
  <c r="EP24" i="25"/>
  <c r="FC98" i="25"/>
  <c r="FE98" i="25" s="1"/>
  <c r="FF98" i="25" s="1"/>
  <c r="EP98" i="25"/>
  <c r="FC121" i="25"/>
  <c r="FE121" i="25" s="1"/>
  <c r="FF121" i="25" s="1"/>
  <c r="EP121" i="25"/>
  <c r="EP50" i="25"/>
  <c r="FC50" i="25"/>
  <c r="FE50" i="25" s="1"/>
  <c r="FF50" i="25" s="1"/>
  <c r="FC32" i="25"/>
  <c r="FE32" i="25" s="1"/>
  <c r="FF32" i="25" s="1"/>
  <c r="EP32" i="25"/>
  <c r="EP149" i="25"/>
  <c r="FC149" i="25"/>
  <c r="FE149" i="25" s="1"/>
  <c r="FF149" i="25" s="1"/>
  <c r="FC14" i="25"/>
  <c r="FE14" i="25" s="1"/>
  <c r="FF14" i="25" s="1"/>
  <c r="EP14" i="25"/>
  <c r="FC165" i="25"/>
  <c r="FE165" i="25" s="1"/>
  <c r="FF165" i="25" s="1"/>
  <c r="EP165" i="25"/>
  <c r="FC204" i="25"/>
  <c r="FE204" i="25" s="1"/>
  <c r="FF204" i="25" s="1"/>
  <c r="EP204" i="25"/>
  <c r="EP207" i="25"/>
  <c r="FC207" i="25"/>
  <c r="FE207" i="25" s="1"/>
  <c r="FF207" i="25" s="1"/>
  <c r="FC27" i="25"/>
  <c r="FE27" i="25" s="1"/>
  <c r="FF27" i="25" s="1"/>
  <c r="EP27" i="25"/>
  <c r="FC135" i="25"/>
  <c r="FE135" i="25" s="1"/>
  <c r="FF135" i="25" s="1"/>
  <c r="EP135" i="25"/>
  <c r="FC84" i="25"/>
  <c r="FE84" i="25" s="1"/>
  <c r="FF84" i="25" s="1"/>
  <c r="EP84" i="25"/>
  <c r="EP147" i="25"/>
  <c r="FC147" i="25"/>
  <c r="FE147" i="25" s="1"/>
  <c r="FF147" i="25" s="1"/>
  <c r="EP155" i="25"/>
  <c r="FC155" i="25"/>
  <c r="FE155" i="25" s="1"/>
  <c r="FF155" i="25" s="1"/>
  <c r="FC88" i="25"/>
  <c r="FE88" i="25" s="1"/>
  <c r="FF88" i="25" s="1"/>
  <c r="EP88" i="25"/>
  <c r="FC85" i="25"/>
  <c r="FE85" i="25" s="1"/>
  <c r="FF85" i="25" s="1"/>
  <c r="EP85" i="25"/>
  <c r="FC67" i="25"/>
  <c r="FE67" i="25" s="1"/>
  <c r="FF67" i="25" s="1"/>
  <c r="EP67" i="25"/>
  <c r="EP39" i="25"/>
  <c r="FC39" i="25"/>
  <c r="FE39" i="25" s="1"/>
  <c r="FF39" i="25" s="1"/>
  <c r="FC132" i="25"/>
  <c r="FE132" i="25" s="1"/>
  <c r="FF132" i="25" s="1"/>
  <c r="EP132" i="25"/>
  <c r="FC205" i="25"/>
  <c r="FE205" i="25" s="1"/>
  <c r="FF205" i="25" s="1"/>
  <c r="EP205" i="25"/>
  <c r="FC102" i="25"/>
  <c r="FE102" i="25" s="1"/>
  <c r="FF102" i="25" s="1"/>
  <c r="EP102" i="25"/>
  <c r="EP160" i="25"/>
  <c r="FC160" i="25"/>
  <c r="FE160" i="25" s="1"/>
  <c r="FF160" i="25" s="1"/>
  <c r="FC120" i="25"/>
  <c r="FE120" i="25" s="1"/>
  <c r="FF120" i="25" s="1"/>
  <c r="EP120" i="25"/>
  <c r="EP44" i="25"/>
  <c r="FC44" i="25"/>
  <c r="FE44" i="25" s="1"/>
  <c r="FF44" i="25" s="1"/>
  <c r="FC177" i="25"/>
  <c r="FE177" i="25" s="1"/>
  <c r="FF177" i="25" s="1"/>
  <c r="EP177" i="25"/>
  <c r="EP208" i="25"/>
  <c r="FC208" i="25"/>
  <c r="FE208" i="25" s="1"/>
  <c r="FF208" i="25" s="1"/>
  <c r="EP170" i="25"/>
  <c r="FC170" i="25"/>
  <c r="FE170" i="25" s="1"/>
  <c r="FF170" i="25" s="1"/>
  <c r="EP45" i="25"/>
  <c r="FC45" i="25"/>
  <c r="FE45" i="25" s="1"/>
  <c r="FF45" i="25" s="1"/>
  <c r="FC115" i="25"/>
  <c r="FE115" i="25" s="1"/>
  <c r="FF115" i="25" s="1"/>
  <c r="EP115" i="25"/>
  <c r="EP162" i="25"/>
  <c r="FC162" i="25"/>
  <c r="FE162" i="25" s="1"/>
  <c r="FF162" i="25" s="1"/>
  <c r="EP201" i="25"/>
  <c r="FC201" i="25"/>
  <c r="FE201" i="25" s="1"/>
  <c r="FF201" i="25" s="1"/>
  <c r="EP69" i="25"/>
  <c r="FC69" i="25"/>
  <c r="FE69" i="25" s="1"/>
  <c r="FF69" i="25" s="1"/>
  <c r="FC151" i="25"/>
  <c r="FE151" i="25" s="1"/>
  <c r="FF151" i="25" s="1"/>
  <c r="EP151" i="25"/>
  <c r="EP176" i="25"/>
  <c r="FC176" i="25"/>
  <c r="FE176" i="25" s="1"/>
  <c r="FF176" i="25" s="1"/>
  <c r="EP130" i="25"/>
  <c r="FC130" i="25"/>
  <c r="FE130" i="25" s="1"/>
  <c r="FF130" i="25" s="1"/>
  <c r="FC187" i="25"/>
  <c r="FE187" i="25" s="1"/>
  <c r="FF187" i="25" s="1"/>
  <c r="EP187" i="25"/>
  <c r="EP161" i="25"/>
  <c r="FC161" i="25"/>
  <c r="FE161" i="25" s="1"/>
  <c r="FF161" i="25" s="1"/>
  <c r="EP179" i="25"/>
  <c r="FC179" i="25"/>
  <c r="FE179" i="25" s="1"/>
  <c r="FF179" i="25" s="1"/>
  <c r="FC66" i="25"/>
  <c r="FE66" i="25" s="1"/>
  <c r="FF66" i="25" s="1"/>
  <c r="EP66" i="25"/>
  <c r="EP78" i="25"/>
  <c r="FC78" i="25"/>
  <c r="FE78" i="25" s="1"/>
  <c r="FF78" i="25" s="1"/>
  <c r="FC119" i="25"/>
  <c r="FE119" i="25" s="1"/>
  <c r="FF119" i="25" s="1"/>
  <c r="EP119" i="25"/>
  <c r="EP76" i="25"/>
  <c r="FC76" i="25"/>
  <c r="FE76" i="25" s="1"/>
  <c r="FF76" i="25" s="1"/>
  <c r="EP100" i="25"/>
  <c r="FC100" i="25"/>
  <c r="FE100" i="25" s="1"/>
  <c r="FF100" i="25" s="1"/>
  <c r="EP71" i="25"/>
  <c r="FC71" i="25"/>
  <c r="FE71" i="25" s="1"/>
  <c r="FF71" i="25" s="1"/>
  <c r="EP80" i="25"/>
  <c r="FC80" i="25"/>
  <c r="FE80" i="25" s="1"/>
  <c r="FF80" i="25" s="1"/>
  <c r="EP15" i="25"/>
  <c r="FC15" i="25"/>
  <c r="FE15" i="25" s="1"/>
  <c r="FF15" i="25" s="1"/>
  <c r="FC153" i="25"/>
  <c r="FE153" i="25" s="1"/>
  <c r="FF153" i="25" s="1"/>
  <c r="EP153" i="25"/>
  <c r="EP159" i="25"/>
  <c r="FC159" i="25"/>
  <c r="FE159" i="25" s="1"/>
  <c r="FF159" i="25" s="1"/>
  <c r="FC28" i="25"/>
  <c r="FE28" i="25" s="1"/>
  <c r="FF28" i="25" s="1"/>
  <c r="EP28" i="25"/>
  <c r="EP116" i="25"/>
  <c r="FC116" i="25"/>
  <c r="FE116" i="25" s="1"/>
  <c r="FF116" i="25" s="1"/>
  <c r="EP157" i="25"/>
  <c r="FC157" i="25"/>
  <c r="FE157" i="25" s="1"/>
  <c r="FF157" i="25" s="1"/>
  <c r="EP70" i="25"/>
  <c r="FC70" i="25"/>
  <c r="FE70" i="25" s="1"/>
  <c r="FF70" i="25" s="1"/>
  <c r="FC191" i="25"/>
  <c r="FE191" i="25" s="1"/>
  <c r="FF191" i="25" s="1"/>
  <c r="EP191" i="25"/>
  <c r="EP168" i="25"/>
  <c r="FC168" i="25"/>
  <c r="FE168" i="25" s="1"/>
  <c r="FF168" i="25" s="1"/>
  <c r="EP101" i="25"/>
  <c r="FC101" i="25"/>
  <c r="FE101" i="25" s="1"/>
  <c r="FF101" i="25" s="1"/>
  <c r="FC62" i="25"/>
  <c r="FE62" i="25" s="1"/>
  <c r="FF62" i="25" s="1"/>
  <c r="EP62" i="25"/>
  <c r="FC63" i="25"/>
  <c r="FE63" i="25" s="1"/>
  <c r="FF63" i="25" s="1"/>
  <c r="EP63" i="25"/>
  <c r="FC75" i="25"/>
  <c r="FE75" i="25" s="1"/>
  <c r="FF75" i="25" s="1"/>
  <c r="EP75" i="25"/>
  <c r="EP18" i="25"/>
  <c r="FC18" i="25"/>
  <c r="FE18" i="25" s="1"/>
  <c r="FF18" i="25" s="1"/>
  <c r="FC13" i="25"/>
  <c r="FE13" i="25" s="1"/>
  <c r="FF13" i="25" s="1"/>
  <c r="EP13" i="25"/>
  <c r="FC59" i="25"/>
  <c r="FE59" i="25" s="1"/>
  <c r="FF59" i="25" s="1"/>
  <c r="EP59" i="25"/>
  <c r="FC104" i="25"/>
  <c r="FE104" i="25" s="1"/>
  <c r="FF104" i="25" s="1"/>
  <c r="EP104" i="25"/>
  <c r="FC43" i="25"/>
  <c r="FE43" i="25" s="1"/>
  <c r="FF43" i="25" s="1"/>
  <c r="EP43" i="25"/>
  <c r="EP38" i="25"/>
  <c r="FC38" i="25"/>
  <c r="FE38" i="25" s="1"/>
  <c r="FF38" i="25" s="1"/>
  <c r="EP118" i="25"/>
  <c r="FC118" i="25"/>
  <c r="FE118" i="25" s="1"/>
  <c r="FF118" i="25" s="1"/>
  <c r="EP144" i="25"/>
  <c r="FC144" i="25"/>
  <c r="FE144" i="25" s="1"/>
  <c r="FF144" i="25" s="1"/>
  <c r="EP133" i="25"/>
  <c r="FC133" i="25"/>
  <c r="FE133" i="25" s="1"/>
  <c r="FF133" i="25" s="1"/>
  <c r="EP92" i="25"/>
  <c r="FC92" i="25"/>
  <c r="FE92" i="25" s="1"/>
  <c r="FF92" i="25" s="1"/>
  <c r="FC48" i="25"/>
  <c r="FE48" i="25" s="1"/>
  <c r="FF48" i="25" s="1"/>
  <c r="EP48" i="25"/>
  <c r="EW125" i="24"/>
  <c r="FB125" i="24" s="1"/>
  <c r="EK125" i="24"/>
  <c r="EK151" i="24"/>
  <c r="EW151" i="24"/>
  <c r="FB151" i="24" s="1"/>
  <c r="EK137" i="24"/>
  <c r="EW137" i="24"/>
  <c r="FB137" i="24" s="1"/>
  <c r="EW180" i="24"/>
  <c r="FB180" i="24" s="1"/>
  <c r="EK180" i="24"/>
  <c r="EK129" i="24"/>
  <c r="EW129" i="24"/>
  <c r="FB129" i="24" s="1"/>
  <c r="EW64" i="24"/>
  <c r="EZ64" i="24" s="1"/>
  <c r="FB64" i="24" s="1"/>
  <c r="EK64" i="24"/>
  <c r="EQ64" i="24" s="1"/>
  <c r="EK205" i="24"/>
  <c r="EW205" i="24"/>
  <c r="FB205" i="24" s="1"/>
  <c r="EW7" i="24"/>
  <c r="EZ7" i="24" s="1"/>
  <c r="FB7" i="24" s="1"/>
  <c r="EK7" i="24"/>
  <c r="EQ7" i="24" s="1"/>
  <c r="ER30" i="24"/>
  <c r="EK187" i="24"/>
  <c r="EW187" i="24"/>
  <c r="FB187" i="24" s="1"/>
  <c r="EW128" i="24"/>
  <c r="FB128" i="24" s="1"/>
  <c r="EK128" i="24"/>
  <c r="EW88" i="24"/>
  <c r="EZ88" i="24" s="1"/>
  <c r="FB88" i="24" s="1"/>
  <c r="EK88" i="24"/>
  <c r="EQ88" i="24" s="1"/>
  <c r="EK188" i="24"/>
  <c r="EW188" i="24"/>
  <c r="FB188" i="24" s="1"/>
  <c r="EK189" i="24"/>
  <c r="EW189" i="24"/>
  <c r="FB189" i="24" s="1"/>
  <c r="EW20" i="24"/>
  <c r="EZ20" i="24" s="1"/>
  <c r="FB20" i="24" s="1"/>
  <c r="EK20" i="24"/>
  <c r="EQ20" i="24" s="1"/>
  <c r="EK120" i="24"/>
  <c r="EW120" i="24"/>
  <c r="FB120" i="24" s="1"/>
  <c r="EW86" i="24"/>
  <c r="EZ86" i="24" s="1"/>
  <c r="FB86" i="24" s="1"/>
  <c r="EK86" i="24"/>
  <c r="EQ86" i="24" s="1"/>
  <c r="EW113" i="24"/>
  <c r="FB113" i="24" s="1"/>
  <c r="EK113" i="24"/>
  <c r="EK46" i="24"/>
  <c r="EQ46" i="24" s="1"/>
  <c r="EW46" i="24"/>
  <c r="EZ46" i="24" s="1"/>
  <c r="FB46" i="24" s="1"/>
  <c r="EW116" i="24"/>
  <c r="FB116" i="24" s="1"/>
  <c r="EK116" i="24"/>
  <c r="EK206" i="24"/>
  <c r="EW206" i="24"/>
  <c r="FB206" i="24" s="1"/>
  <c r="EK157" i="24"/>
  <c r="EW157" i="24"/>
  <c r="FB157" i="24" s="1"/>
  <c r="EK25" i="24"/>
  <c r="EQ25" i="24" s="1"/>
  <c r="EW25" i="24"/>
  <c r="EZ25" i="24" s="1"/>
  <c r="FB25" i="24" s="1"/>
  <c r="EW54" i="24"/>
  <c r="EZ54" i="24" s="1"/>
  <c r="FB54" i="24" s="1"/>
  <c r="EK54" i="24"/>
  <c r="EQ54" i="24" s="1"/>
  <c r="EK173" i="24"/>
  <c r="EW173" i="24"/>
  <c r="FB173" i="24" s="1"/>
  <c r="EK163" i="24"/>
  <c r="EW163" i="24"/>
  <c r="FB163" i="24" s="1"/>
  <c r="EW65" i="24"/>
  <c r="EZ65" i="24" s="1"/>
  <c r="FB65" i="24" s="1"/>
  <c r="EK65" i="24"/>
  <c r="EQ65" i="24" s="1"/>
  <c r="EK118" i="24"/>
  <c r="EW118" i="24"/>
  <c r="FB118" i="24" s="1"/>
  <c r="EK53" i="24"/>
  <c r="EQ53" i="24" s="1"/>
  <c r="EW53" i="24"/>
  <c r="EZ53" i="24" s="1"/>
  <c r="FB53" i="24" s="1"/>
  <c r="EW155" i="24"/>
  <c r="FB155" i="24" s="1"/>
  <c r="EK155" i="24"/>
  <c r="EK210" i="24"/>
  <c r="EW210" i="24"/>
  <c r="FB210" i="24" s="1"/>
  <c r="EW98" i="24"/>
  <c r="EZ98" i="24" s="1"/>
  <c r="FB98" i="24" s="1"/>
  <c r="EK98" i="24"/>
  <c r="EQ98" i="24" s="1"/>
  <c r="EK200" i="24"/>
  <c r="EW200" i="24"/>
  <c r="FB200" i="24" s="1"/>
  <c r="ER199" i="24"/>
  <c r="EK70" i="24"/>
  <c r="EQ70" i="24" s="1"/>
  <c r="EW70" i="24"/>
  <c r="EZ70" i="24" s="1"/>
  <c r="FB70" i="24" s="1"/>
  <c r="EW26" i="24"/>
  <c r="EZ26" i="24" s="1"/>
  <c r="FB26" i="24" s="1"/>
  <c r="EK26" i="24"/>
  <c r="EQ26" i="24" s="1"/>
  <c r="EK97" i="24"/>
  <c r="EQ97" i="24" s="1"/>
  <c r="EW97" i="24"/>
  <c r="EZ97" i="24" s="1"/>
  <c r="FB97" i="24" s="1"/>
  <c r="EK28" i="24"/>
  <c r="EQ28" i="24" s="1"/>
  <c r="EW28" i="24"/>
  <c r="EZ28" i="24" s="1"/>
  <c r="FB28" i="24" s="1"/>
  <c r="EK146" i="24"/>
  <c r="EW146" i="24"/>
  <c r="FB146" i="24" s="1"/>
  <c r="EK82" i="24"/>
  <c r="EQ82" i="24" s="1"/>
  <c r="EW82" i="24"/>
  <c r="EZ82" i="24" s="1"/>
  <c r="FB82" i="24" s="1"/>
  <c r="ER134" i="24"/>
  <c r="EW164" i="24"/>
  <c r="FB164" i="24" s="1"/>
  <c r="EK164" i="24"/>
  <c r="EW32" i="24"/>
  <c r="EZ32" i="24" s="1"/>
  <c r="FB32" i="24" s="1"/>
  <c r="EK32" i="24"/>
  <c r="EQ32" i="24" s="1"/>
  <c r="EW143" i="24"/>
  <c r="FB143" i="24" s="1"/>
  <c r="EK143" i="24"/>
  <c r="EK68" i="24"/>
  <c r="EQ68" i="24" s="1"/>
  <c r="EW68" i="24"/>
  <c r="EZ68" i="24" s="1"/>
  <c r="FB68" i="24" s="1"/>
  <c r="EK95" i="24"/>
  <c r="EQ95" i="24" s="1"/>
  <c r="EW95" i="24"/>
  <c r="EZ95" i="24" s="1"/>
  <c r="FB95" i="24" s="1"/>
  <c r="EK194" i="24"/>
  <c r="EW194" i="24"/>
  <c r="FB194" i="24" s="1"/>
  <c r="EW208" i="24"/>
  <c r="FB208" i="24" s="1"/>
  <c r="EK208" i="24"/>
  <c r="EK135" i="24"/>
  <c r="EW135" i="24"/>
  <c r="FB135" i="24" s="1"/>
  <c r="EW89" i="24"/>
  <c r="EZ89" i="24" s="1"/>
  <c r="FB89" i="24" s="1"/>
  <c r="EK89" i="24"/>
  <c r="EQ89" i="24" s="1"/>
  <c r="EW123" i="24"/>
  <c r="FB123" i="24" s="1"/>
  <c r="EK123" i="24"/>
  <c r="EW58" i="24"/>
  <c r="EZ58" i="24" s="1"/>
  <c r="FB58" i="24" s="1"/>
  <c r="EK58" i="24"/>
  <c r="EQ58" i="24" s="1"/>
  <c r="EW57" i="24"/>
  <c r="EZ57" i="24" s="1"/>
  <c r="FB57" i="24" s="1"/>
  <c r="EK57" i="24"/>
  <c r="EQ57" i="24" s="1"/>
  <c r="ER10" i="24"/>
  <c r="EK174" i="24"/>
  <c r="EW174" i="24"/>
  <c r="FB174" i="24" s="1"/>
  <c r="EK158" i="24"/>
  <c r="EW158" i="24"/>
  <c r="FB158" i="24" s="1"/>
  <c r="ER71" i="24"/>
  <c r="EK18" i="24"/>
  <c r="EQ18" i="24" s="1"/>
  <c r="EW18" i="24"/>
  <c r="EZ18" i="24" s="1"/>
  <c r="FB18" i="24" s="1"/>
  <c r="EK154" i="24"/>
  <c r="EW154" i="24"/>
  <c r="FB154" i="24" s="1"/>
  <c r="EW84" i="24"/>
  <c r="EZ84" i="24" s="1"/>
  <c r="FB84" i="24" s="1"/>
  <c r="EK84" i="24"/>
  <c r="EQ84" i="24" s="1"/>
  <c r="EW91" i="24"/>
  <c r="EZ91" i="24" s="1"/>
  <c r="FB91" i="24" s="1"/>
  <c r="EK91" i="24"/>
  <c r="EQ91" i="24" s="1"/>
  <c r="EW148" i="24"/>
  <c r="FB148" i="24" s="1"/>
  <c r="EK148" i="24"/>
  <c r="ER132" i="24"/>
  <c r="EW85" i="24"/>
  <c r="EZ85" i="24" s="1"/>
  <c r="FB85" i="24" s="1"/>
  <c r="EK85" i="24"/>
  <c r="EQ85" i="24" s="1"/>
  <c r="EK47" i="24"/>
  <c r="EQ47" i="24" s="1"/>
  <c r="EW47" i="24"/>
  <c r="EZ47" i="24" s="1"/>
  <c r="FB47" i="24" s="1"/>
  <c r="EK130" i="24"/>
  <c r="EW130" i="24"/>
  <c r="FB130" i="24" s="1"/>
  <c r="EK36" i="24"/>
  <c r="EQ36" i="24" s="1"/>
  <c r="EW36" i="24"/>
  <c r="EZ36" i="24" s="1"/>
  <c r="FB36" i="24" s="1"/>
  <c r="EW131" i="24"/>
  <c r="FB131" i="24" s="1"/>
  <c r="EK131" i="24"/>
  <c r="EK114" i="24"/>
  <c r="EW114" i="24"/>
  <c r="FB114" i="24" s="1"/>
  <c r="EK196" i="24"/>
  <c r="EW196" i="24"/>
  <c r="FB196" i="24" s="1"/>
  <c r="EK166" i="24"/>
  <c r="EW166" i="24"/>
  <c r="FB166" i="24" s="1"/>
  <c r="EK150" i="24"/>
  <c r="EW150" i="24"/>
  <c r="FB150" i="24" s="1"/>
  <c r="EK161" i="24"/>
  <c r="EW161" i="24"/>
  <c r="FB161" i="24" s="1"/>
  <c r="EK50" i="24"/>
  <c r="EQ50" i="24" s="1"/>
  <c r="EW50" i="24"/>
  <c r="EZ50" i="24" s="1"/>
  <c r="FB50" i="24" s="1"/>
  <c r="EW197" i="24"/>
  <c r="FB197" i="24" s="1"/>
  <c r="EK197" i="24"/>
  <c r="EW27" i="24"/>
  <c r="EZ27" i="24" s="1"/>
  <c r="FB27" i="24" s="1"/>
  <c r="EK27" i="24"/>
  <c r="EQ27" i="24" s="1"/>
  <c r="EW45" i="24"/>
  <c r="EZ45" i="24" s="1"/>
  <c r="FB45" i="24" s="1"/>
  <c r="EK45" i="24"/>
  <c r="EQ45" i="24" s="1"/>
  <c r="EK198" i="24"/>
  <c r="EW198" i="24"/>
  <c r="FB198" i="24" s="1"/>
  <c r="EW165" i="24"/>
  <c r="FB165" i="24" s="1"/>
  <c r="EK165" i="24"/>
  <c r="EK193" i="24"/>
  <c r="EW193" i="24"/>
  <c r="FB193" i="24" s="1"/>
  <c r="EK34" i="24"/>
  <c r="EQ34" i="24" s="1"/>
  <c r="EW34" i="24"/>
  <c r="EZ34" i="24" s="1"/>
  <c r="FB34" i="24" s="1"/>
  <c r="EW31" i="24"/>
  <c r="EZ31" i="24" s="1"/>
  <c r="FB31" i="24" s="1"/>
  <c r="EK31" i="24"/>
  <c r="EQ31" i="24" s="1"/>
  <c r="EK76" i="24"/>
  <c r="EQ76" i="24" s="1"/>
  <c r="EW76" i="24"/>
  <c r="EZ76" i="24" s="1"/>
  <c r="FB76" i="24" s="1"/>
  <c r="EW140" i="24"/>
  <c r="FB140" i="24" s="1"/>
  <c r="EK140" i="24"/>
  <c r="EW203" i="24"/>
  <c r="FB203" i="24" s="1"/>
  <c r="EK203" i="24"/>
  <c r="ER147" i="24"/>
  <c r="EK178" i="24"/>
  <c r="EW178" i="24"/>
  <c r="FB178" i="24" s="1"/>
  <c r="EK153" i="24"/>
  <c r="EW153" i="24"/>
  <c r="FB153" i="24" s="1"/>
  <c r="EK195" i="24"/>
  <c r="EW195" i="24"/>
  <c r="FB195" i="24" s="1"/>
  <c r="EW185" i="24"/>
  <c r="FB185" i="24" s="1"/>
  <c r="EK185" i="24"/>
  <c r="EK59" i="24"/>
  <c r="EQ59" i="24" s="1"/>
  <c r="EW59" i="24"/>
  <c r="EZ59" i="24" s="1"/>
  <c r="FB59" i="24" s="1"/>
  <c r="EW167" i="24"/>
  <c r="FB167" i="24" s="1"/>
  <c r="EK167" i="24"/>
  <c r="EK184" i="24"/>
  <c r="EW184" i="24"/>
  <c r="FB184" i="24" s="1"/>
  <c r="ER152" i="24"/>
  <c r="EW100" i="24"/>
  <c r="EZ100" i="24" s="1"/>
  <c r="FB100" i="24" s="1"/>
  <c r="EK100" i="24"/>
  <c r="EQ100" i="24" s="1"/>
  <c r="EK72" i="24"/>
  <c r="EQ72" i="24" s="1"/>
  <c r="EW72" i="24"/>
  <c r="EZ72" i="24" s="1"/>
  <c r="FB72" i="24" s="1"/>
  <c r="EW79" i="24"/>
  <c r="EZ79" i="24" s="1"/>
  <c r="FB79" i="24" s="1"/>
  <c r="EK79" i="24"/>
  <c r="EQ79" i="24" s="1"/>
  <c r="EW9" i="24"/>
  <c r="EZ9" i="24" s="1"/>
  <c r="FB9" i="24" s="1"/>
  <c r="EK9" i="24"/>
  <c r="EQ9" i="24" s="1"/>
  <c r="EK56" i="24"/>
  <c r="EQ56" i="24" s="1"/>
  <c r="EW56" i="24"/>
  <c r="EZ56" i="24" s="1"/>
  <c r="FB56" i="24" s="1"/>
  <c r="EK51" i="24"/>
  <c r="EQ51" i="24" s="1"/>
  <c r="EW51" i="24"/>
  <c r="EZ51" i="24" s="1"/>
  <c r="FB51" i="24" s="1"/>
  <c r="EW11" i="24"/>
  <c r="EZ11" i="24" s="1"/>
  <c r="FB11" i="24" s="1"/>
  <c r="EK11" i="24"/>
  <c r="EQ11" i="24" s="1"/>
  <c r="EK49" i="24"/>
  <c r="EQ49" i="24" s="1"/>
  <c r="EW49" i="24"/>
  <c r="EZ49" i="24" s="1"/>
  <c r="FB49" i="24" s="1"/>
  <c r="EK8" i="24"/>
  <c r="EQ8" i="24" s="1"/>
  <c r="EW8" i="24"/>
  <c r="EZ8" i="24" s="1"/>
  <c r="FB8" i="24" s="1"/>
  <c r="ER136" i="24"/>
  <c r="EW22" i="24"/>
  <c r="EZ22" i="24" s="1"/>
  <c r="FB22" i="24" s="1"/>
  <c r="EK22" i="24"/>
  <c r="EQ22" i="24" s="1"/>
  <c r="EW80" i="24"/>
  <c r="EZ80" i="24" s="1"/>
  <c r="FB80" i="24" s="1"/>
  <c r="EK80" i="24"/>
  <c r="EQ80" i="24" s="1"/>
  <c r="EW93" i="24"/>
  <c r="EZ93" i="24" s="1"/>
  <c r="FB93" i="24" s="1"/>
  <c r="EK93" i="24"/>
  <c r="EQ93" i="24" s="1"/>
  <c r="EK103" i="24"/>
  <c r="EQ103" i="24" s="1"/>
  <c r="EW103" i="24"/>
  <c r="EZ103" i="24" s="1"/>
  <c r="FB103" i="24" s="1"/>
  <c r="EK149" i="24"/>
  <c r="EW149" i="24"/>
  <c r="FB149" i="24" s="1"/>
  <c r="EW75" i="24"/>
  <c r="EZ75" i="24" s="1"/>
  <c r="FB75" i="24" s="1"/>
  <c r="EK75" i="24"/>
  <c r="EQ75" i="24" s="1"/>
  <c r="EW144" i="24"/>
  <c r="FB144" i="24" s="1"/>
  <c r="EK144" i="24"/>
  <c r="EK182" i="24"/>
  <c r="EW182" i="24"/>
  <c r="FB182" i="24" s="1"/>
  <c r="EK209" i="24"/>
  <c r="EW209" i="24"/>
  <c r="FB209" i="24" s="1"/>
  <c r="ER104" i="24"/>
  <c r="EW94" i="24"/>
  <c r="EZ94" i="24" s="1"/>
  <c r="FB94" i="24" s="1"/>
  <c r="EK94" i="24"/>
  <c r="EQ94" i="24" s="1"/>
  <c r="ER127" i="24"/>
  <c r="EK202" i="24"/>
  <c r="EW202" i="24"/>
  <c r="FB202" i="24" s="1"/>
  <c r="EK16" i="24"/>
  <c r="EQ16" i="24" s="1"/>
  <c r="EW16" i="24"/>
  <c r="EZ16" i="24" s="1"/>
  <c r="FB16" i="24" s="1"/>
  <c r="EK87" i="24"/>
  <c r="EQ87" i="24" s="1"/>
  <c r="EW87" i="24"/>
  <c r="EZ87" i="24" s="1"/>
  <c r="FB87" i="24" s="1"/>
  <c r="EW183" i="24"/>
  <c r="FB183" i="24" s="1"/>
  <c r="EK183" i="24"/>
  <c r="EW38" i="24"/>
  <c r="EZ38" i="24" s="1"/>
  <c r="FB38" i="24" s="1"/>
  <c r="EK38" i="24"/>
  <c r="EQ38" i="24" s="1"/>
  <c r="EW141" i="24"/>
  <c r="FB141" i="24" s="1"/>
  <c r="EK141" i="24"/>
  <c r="EK138" i="24"/>
  <c r="EW138" i="24"/>
  <c r="FB138" i="24" s="1"/>
  <c r="EK17" i="24"/>
  <c r="EQ17" i="24" s="1"/>
  <c r="EW17" i="24"/>
  <c r="EZ17" i="24" s="1"/>
  <c r="FB17" i="24" s="1"/>
  <c r="ER48" i="24"/>
  <c r="EW105" i="24"/>
  <c r="EZ105" i="24" s="1"/>
  <c r="FB105" i="24" s="1"/>
  <c r="EK105" i="24"/>
  <c r="EQ105" i="24" s="1"/>
  <c r="ER29" i="24"/>
  <c r="EW121" i="24"/>
  <c r="FB121" i="24" s="1"/>
  <c r="EK121" i="24"/>
  <c r="EW69" i="24"/>
  <c r="EZ69" i="24" s="1"/>
  <c r="FB69" i="24" s="1"/>
  <c r="EK69" i="24"/>
  <c r="EQ69" i="24" s="1"/>
  <c r="EK181" i="24"/>
  <c r="EW181" i="24"/>
  <c r="FB181" i="24" s="1"/>
  <c r="EK24" i="24"/>
  <c r="EQ24" i="24" s="1"/>
  <c r="EW24" i="24"/>
  <c r="EZ24" i="24" s="1"/>
  <c r="FB24" i="24" s="1"/>
  <c r="EW179" i="24"/>
  <c r="FB179" i="24" s="1"/>
  <c r="EK179" i="24"/>
  <c r="EW102" i="24"/>
  <c r="EZ102" i="24" s="1"/>
  <c r="FB102" i="24" s="1"/>
  <c r="EK102" i="24"/>
  <c r="EQ102" i="24" s="1"/>
  <c r="EK175" i="24"/>
  <c r="EW175" i="24"/>
  <c r="FB175" i="24" s="1"/>
  <c r="EK101" i="24"/>
  <c r="EQ101" i="24" s="1"/>
  <c r="EW101" i="24"/>
  <c r="EZ101" i="24" s="1"/>
  <c r="FB101" i="24" s="1"/>
  <c r="ER83" i="24"/>
  <c r="EK19" i="24"/>
  <c r="EQ19" i="24" s="1"/>
  <c r="EW19" i="24"/>
  <c r="EZ19" i="24" s="1"/>
  <c r="FB19" i="24" s="1"/>
  <c r="EW73" i="24"/>
  <c r="EZ73" i="24" s="1"/>
  <c r="FB73" i="24" s="1"/>
  <c r="EK73" i="24"/>
  <c r="EQ73" i="24" s="1"/>
  <c r="ER126" i="24"/>
  <c r="EK15" i="24"/>
  <c r="EQ15" i="24" s="1"/>
  <c r="EW15" i="24"/>
  <c r="EZ15" i="24" s="1"/>
  <c r="FB15" i="24" s="1"/>
  <c r="EW117" i="24"/>
  <c r="FB117" i="24" s="1"/>
  <c r="EK117" i="24"/>
  <c r="EK122" i="24"/>
  <c r="EW122" i="24"/>
  <c r="FB122" i="24" s="1"/>
  <c r="EK119" i="24"/>
  <c r="EW119" i="24"/>
  <c r="FB119" i="24" s="1"/>
  <c r="EW35" i="24"/>
  <c r="EZ35" i="24" s="1"/>
  <c r="FB35" i="24" s="1"/>
  <c r="EK35" i="24"/>
  <c r="EQ35" i="24" s="1"/>
  <c r="EW33" i="24"/>
  <c r="EZ33" i="24" s="1"/>
  <c r="FB33" i="24" s="1"/>
  <c r="EK33" i="24"/>
  <c r="EQ33" i="24" s="1"/>
  <c r="EW115" i="24"/>
  <c r="FB115" i="24" s="1"/>
  <c r="EK115" i="24"/>
  <c r="EK66" i="24"/>
  <c r="EQ66" i="24" s="1"/>
  <c r="EW66" i="24"/>
  <c r="EZ66" i="24" s="1"/>
  <c r="FB66" i="24" s="1"/>
  <c r="EK12" i="24"/>
  <c r="EQ12" i="24" s="1"/>
  <c r="EW12" i="24"/>
  <c r="EZ12" i="24" s="1"/>
  <c r="FB12" i="24" s="1"/>
  <c r="EW156" i="24"/>
  <c r="FB156" i="24" s="1"/>
  <c r="EK156" i="24"/>
  <c r="EW42" i="24"/>
  <c r="EZ42" i="24" s="1"/>
  <c r="FB42" i="24" s="1"/>
  <c r="EK42" i="24"/>
  <c r="EQ42" i="24" s="1"/>
  <c r="EW41" i="24"/>
  <c r="EZ41" i="24" s="1"/>
  <c r="FB41" i="24" s="1"/>
  <c r="EK41" i="24"/>
  <c r="EQ41" i="24" s="1"/>
  <c r="ER160" i="24"/>
  <c r="ER186" i="24"/>
  <c r="EW176" i="24"/>
  <c r="FB176" i="24" s="1"/>
  <c r="EK176" i="24"/>
  <c r="EK207" i="24"/>
  <c r="EW207" i="24"/>
  <c r="FB207" i="24" s="1"/>
  <c r="ER37" i="24"/>
  <c r="EK6" i="24"/>
  <c r="EQ6" i="24" s="1"/>
  <c r="EW6" i="24"/>
  <c r="EZ6" i="24" s="1"/>
  <c r="FB6" i="24" s="1"/>
  <c r="ER190" i="24"/>
  <c r="FC190" i="24"/>
  <c r="FE190" i="24" s="1"/>
  <c r="FF190" i="24" s="1"/>
  <c r="EK162" i="24"/>
  <c r="EW162" i="24"/>
  <c r="FB162" i="24" s="1"/>
  <c r="EK145" i="24"/>
  <c r="EW145" i="24"/>
  <c r="FB145" i="24" s="1"/>
  <c r="EK171" i="24"/>
  <c r="EW171" i="24"/>
  <c r="FB171" i="24" s="1"/>
  <c r="EW177" i="24"/>
  <c r="FB177" i="24" s="1"/>
  <c r="EK177" i="24"/>
  <c r="ER201" i="24"/>
  <c r="EK204" i="24"/>
  <c r="EW204" i="24"/>
  <c r="FB204" i="24" s="1"/>
  <c r="EW112" i="24"/>
  <c r="FB112" i="24" s="1"/>
  <c r="EK112" i="24"/>
  <c r="EK191" i="24"/>
  <c r="EW191" i="24"/>
  <c r="FB191" i="24" s="1"/>
  <c r="EW168" i="24"/>
  <c r="FB168" i="24" s="1"/>
  <c r="EK168" i="24"/>
  <c r="EK139" i="24"/>
  <c r="EW139" i="24"/>
  <c r="FB139" i="24" s="1"/>
  <c r="EK21" i="24"/>
  <c r="EQ21" i="24" s="1"/>
  <c r="EW21" i="24"/>
  <c r="EZ21" i="24" s="1"/>
  <c r="FB21" i="24" s="1"/>
  <c r="ER13" i="24"/>
  <c r="EW61" i="24"/>
  <c r="EZ61" i="24" s="1"/>
  <c r="FB61" i="24" s="1"/>
  <c r="EK61" i="24"/>
  <c r="EQ61" i="24" s="1"/>
  <c r="ER124" i="24"/>
  <c r="F66" i="19"/>
  <c r="J9" i="8"/>
  <c r="U216" i="24" l="1"/>
  <c r="FC216" i="25"/>
  <c r="FE216" i="25" s="1"/>
  <c r="FF216" i="25" s="1"/>
  <c r="Y110" i="24"/>
  <c r="FC96" i="24"/>
  <c r="FE96" i="24" s="1"/>
  <c r="FF96" i="24" s="1"/>
  <c r="FC159" i="24"/>
  <c r="FE159" i="24" s="1"/>
  <c r="FF159" i="24" s="1"/>
  <c r="FC243" i="24"/>
  <c r="FE243" i="24" s="1"/>
  <c r="FF243" i="24" s="1"/>
  <c r="FC132" i="24"/>
  <c r="FE132" i="24" s="1"/>
  <c r="FF132" i="24" s="1"/>
  <c r="ER142" i="24"/>
  <c r="CL212" i="24"/>
  <c r="DQ212" i="24"/>
  <c r="ES212" i="24"/>
  <c r="EV212" i="24" s="1"/>
  <c r="CW212" i="24"/>
  <c r="CX212" i="24" s="1"/>
  <c r="CY212" i="24"/>
  <c r="CU212" i="24"/>
  <c r="FC285" i="24"/>
  <c r="FE285" i="24" s="1"/>
  <c r="FF285" i="24" s="1"/>
  <c r="F212" i="24"/>
  <c r="FC92" i="24"/>
  <c r="FE92" i="24" s="1"/>
  <c r="FF92" i="24" s="1"/>
  <c r="FC78" i="24"/>
  <c r="FE78" i="24" s="1"/>
  <c r="FF78" i="24" s="1"/>
  <c r="FC60" i="24"/>
  <c r="FE60" i="24" s="1"/>
  <c r="FF60" i="24" s="1"/>
  <c r="ER60" i="24"/>
  <c r="FC74" i="24"/>
  <c r="FE74" i="24" s="1"/>
  <c r="FF74" i="24" s="1"/>
  <c r="ER221" i="24"/>
  <c r="FC221" i="24"/>
  <c r="FE221" i="24" s="1"/>
  <c r="FF221" i="24" s="1"/>
  <c r="ER290" i="24"/>
  <c r="FC290" i="24"/>
  <c r="FE290" i="24" s="1"/>
  <c r="FF290" i="24" s="1"/>
  <c r="ER276" i="24"/>
  <c r="FC276" i="24"/>
  <c r="FE276" i="24" s="1"/>
  <c r="FF276" i="24" s="1"/>
  <c r="FC277" i="24"/>
  <c r="FE277" i="24" s="1"/>
  <c r="FF277" i="24" s="1"/>
  <c r="ER277" i="24"/>
  <c r="ER286" i="24"/>
  <c r="FC286" i="24"/>
  <c r="FE286" i="24" s="1"/>
  <c r="FF286" i="24" s="1"/>
  <c r="FC313" i="24"/>
  <c r="FE313" i="24" s="1"/>
  <c r="FF313" i="24" s="1"/>
  <c r="ER313" i="24"/>
  <c r="ER304" i="24"/>
  <c r="FC304" i="24"/>
  <c r="FE304" i="24" s="1"/>
  <c r="FF304" i="24" s="1"/>
  <c r="ER244" i="24"/>
  <c r="FC244" i="24"/>
  <c r="FE244" i="24" s="1"/>
  <c r="FF244" i="24" s="1"/>
  <c r="ER230" i="24"/>
  <c r="FC230" i="24"/>
  <c r="FE230" i="24" s="1"/>
  <c r="FF230" i="24" s="1"/>
  <c r="ER294" i="24"/>
  <c r="FC294" i="24"/>
  <c r="FE294" i="24" s="1"/>
  <c r="FF294" i="24" s="1"/>
  <c r="ER225" i="24"/>
  <c r="FC225" i="24"/>
  <c r="FE225" i="24" s="1"/>
  <c r="FF225" i="24" s="1"/>
  <c r="FC250" i="24"/>
  <c r="FE250" i="24" s="1"/>
  <c r="FF250" i="24" s="1"/>
  <c r="ER250" i="24"/>
  <c r="ER303" i="24"/>
  <c r="FC303" i="24"/>
  <c r="FE303" i="24" s="1"/>
  <c r="FF303" i="24" s="1"/>
  <c r="ER269" i="24"/>
  <c r="FC269" i="24"/>
  <c r="FE269" i="24" s="1"/>
  <c r="FF269" i="24" s="1"/>
  <c r="ER252" i="24"/>
  <c r="FC252" i="24"/>
  <c r="FE252" i="24" s="1"/>
  <c r="FF252" i="24" s="1"/>
  <c r="ER300" i="24"/>
  <c r="FC300" i="24"/>
  <c r="FE300" i="24" s="1"/>
  <c r="FF300" i="24" s="1"/>
  <c r="ER312" i="24"/>
  <c r="FC312" i="24"/>
  <c r="FE312" i="24" s="1"/>
  <c r="FF312" i="24" s="1"/>
  <c r="FC259" i="24"/>
  <c r="FE259" i="24" s="1"/>
  <c r="FF259" i="24" s="1"/>
  <c r="ER259" i="24"/>
  <c r="ER280" i="24"/>
  <c r="FC280" i="24"/>
  <c r="FE280" i="24" s="1"/>
  <c r="FF280" i="24" s="1"/>
  <c r="ER273" i="24"/>
  <c r="FC273" i="24"/>
  <c r="FE273" i="24" s="1"/>
  <c r="FF273" i="24" s="1"/>
  <c r="ER233" i="24"/>
  <c r="FC233" i="24"/>
  <c r="FE233" i="24" s="1"/>
  <c r="FF233" i="24" s="1"/>
  <c r="FC238" i="24"/>
  <c r="FE238" i="24" s="1"/>
  <c r="FF238" i="24" s="1"/>
  <c r="ER238" i="24"/>
  <c r="ER263" i="24"/>
  <c r="FC263" i="24"/>
  <c r="FE263" i="24" s="1"/>
  <c r="FF263" i="24" s="1"/>
  <c r="ER301" i="24"/>
  <c r="FC301" i="24"/>
  <c r="FE301" i="24" s="1"/>
  <c r="FF301" i="24" s="1"/>
  <c r="ER302" i="24"/>
  <c r="FC302" i="24"/>
  <c r="FE302" i="24" s="1"/>
  <c r="FF302" i="24" s="1"/>
  <c r="FC254" i="24"/>
  <c r="FE254" i="24" s="1"/>
  <c r="FF254" i="24" s="1"/>
  <c r="ER254" i="24"/>
  <c r="FC295" i="24"/>
  <c r="FE295" i="24" s="1"/>
  <c r="FF295" i="24" s="1"/>
  <c r="ER295" i="24"/>
  <c r="ER240" i="24"/>
  <c r="FC240" i="24"/>
  <c r="FE240" i="24" s="1"/>
  <c r="FF240" i="24" s="1"/>
  <c r="ER231" i="24"/>
  <c r="FC231" i="24"/>
  <c r="FE231" i="24" s="1"/>
  <c r="FF231" i="24" s="1"/>
  <c r="FC265" i="24"/>
  <c r="FE265" i="24" s="1"/>
  <c r="FF265" i="24" s="1"/>
  <c r="ER265" i="24"/>
  <c r="ER266" i="24"/>
  <c r="FC266" i="24"/>
  <c r="FE266" i="24" s="1"/>
  <c r="FF266" i="24" s="1"/>
  <c r="FC255" i="24"/>
  <c r="FE255" i="24" s="1"/>
  <c r="FF255" i="24" s="1"/>
  <c r="ER255" i="24"/>
  <c r="FC289" i="24"/>
  <c r="FE289" i="24" s="1"/>
  <c r="FF289" i="24" s="1"/>
  <c r="ER289" i="24"/>
  <c r="FC267" i="24"/>
  <c r="FE267" i="24" s="1"/>
  <c r="FF267" i="24" s="1"/>
  <c r="ER267" i="24"/>
  <c r="ER282" i="24"/>
  <c r="FC282" i="24"/>
  <c r="FE282" i="24" s="1"/>
  <c r="FF282" i="24" s="1"/>
  <c r="FC258" i="24"/>
  <c r="FE258" i="24" s="1"/>
  <c r="FF258" i="24" s="1"/>
  <c r="ER258" i="24"/>
  <c r="ER310" i="24"/>
  <c r="FC310" i="24"/>
  <c r="FE310" i="24" s="1"/>
  <c r="FF310" i="24" s="1"/>
  <c r="ER278" i="24"/>
  <c r="FC278" i="24"/>
  <c r="FE278" i="24" s="1"/>
  <c r="FF278" i="24" s="1"/>
  <c r="FC245" i="24"/>
  <c r="FE245" i="24" s="1"/>
  <c r="FF245" i="24" s="1"/>
  <c r="ER245" i="24"/>
  <c r="ER307" i="24"/>
  <c r="FC307" i="24"/>
  <c r="FE307" i="24" s="1"/>
  <c r="FF307" i="24" s="1"/>
  <c r="ER297" i="24"/>
  <c r="FC297" i="24"/>
  <c r="FE297" i="24" s="1"/>
  <c r="FF297" i="24" s="1"/>
  <c r="ER315" i="24"/>
  <c r="FC315" i="24"/>
  <c r="FE315" i="24" s="1"/>
  <c r="FF315" i="24" s="1"/>
  <c r="ER227" i="24"/>
  <c r="FC227" i="24"/>
  <c r="FE227" i="24" s="1"/>
  <c r="FF227" i="24" s="1"/>
  <c r="ER309" i="24"/>
  <c r="FC309" i="24"/>
  <c r="FE309" i="24" s="1"/>
  <c r="FF309" i="24" s="1"/>
  <c r="FC274" i="24"/>
  <c r="FE274" i="24" s="1"/>
  <c r="FF274" i="24" s="1"/>
  <c r="ER274" i="24"/>
  <c r="ER299" i="24"/>
  <c r="FC299" i="24"/>
  <c r="FE299" i="24" s="1"/>
  <c r="FF299" i="24" s="1"/>
  <c r="ER262" i="24"/>
  <c r="FC262" i="24"/>
  <c r="FE262" i="24" s="1"/>
  <c r="FF262" i="24" s="1"/>
  <c r="FC281" i="24"/>
  <c r="FE281" i="24" s="1"/>
  <c r="FF281" i="24" s="1"/>
  <c r="ER281" i="24"/>
  <c r="ER253" i="24"/>
  <c r="FC253" i="24"/>
  <c r="FE253" i="24" s="1"/>
  <c r="FF253" i="24" s="1"/>
  <c r="ER298" i="24"/>
  <c r="FC298" i="24"/>
  <c r="FE298" i="24" s="1"/>
  <c r="FF298" i="24" s="1"/>
  <c r="FC249" i="24"/>
  <c r="FE249" i="24" s="1"/>
  <c r="FF249" i="24" s="1"/>
  <c r="ER249" i="24"/>
  <c r="ER219" i="24"/>
  <c r="FC219" i="24"/>
  <c r="FE219" i="24" s="1"/>
  <c r="FF219" i="24" s="1"/>
  <c r="FC247" i="24"/>
  <c r="FE247" i="24" s="1"/>
  <c r="FF247" i="24" s="1"/>
  <c r="ER247" i="24"/>
  <c r="FC287" i="24"/>
  <c r="FE287" i="24" s="1"/>
  <c r="FF287" i="24" s="1"/>
  <c r="ER287" i="24"/>
  <c r="FC314" i="24"/>
  <c r="FE314" i="24" s="1"/>
  <c r="FF314" i="24" s="1"/>
  <c r="ER314" i="24"/>
  <c r="FC235" i="24"/>
  <c r="FE235" i="24" s="1"/>
  <c r="FF235" i="24" s="1"/>
  <c r="ER235" i="24"/>
  <c r="ER311" i="24"/>
  <c r="FC311" i="24"/>
  <c r="FE311" i="24" s="1"/>
  <c r="FF311" i="24" s="1"/>
  <c r="ER217" i="24"/>
  <c r="FC217" i="24"/>
  <c r="FE217" i="24" s="1"/>
  <c r="FF217" i="24" s="1"/>
  <c r="ER305" i="24"/>
  <c r="FC305" i="24"/>
  <c r="FE305" i="24" s="1"/>
  <c r="FF305" i="24" s="1"/>
  <c r="ER239" i="24"/>
  <c r="FC239" i="24"/>
  <c r="FE239" i="24" s="1"/>
  <c r="FF239" i="24" s="1"/>
  <c r="FC228" i="24"/>
  <c r="FE228" i="24" s="1"/>
  <c r="FF228" i="24" s="1"/>
  <c r="ER228" i="24"/>
  <c r="ER257" i="24"/>
  <c r="FC257" i="24"/>
  <c r="FE257" i="24" s="1"/>
  <c r="FF257" i="24" s="1"/>
  <c r="FC251" i="24"/>
  <c r="FE251" i="24" s="1"/>
  <c r="FF251" i="24" s="1"/>
  <c r="ER251" i="24"/>
  <c r="ER268" i="24"/>
  <c r="FC268" i="24"/>
  <c r="FE268" i="24" s="1"/>
  <c r="FF268" i="24" s="1"/>
  <c r="ER291" i="24"/>
  <c r="FC291" i="24"/>
  <c r="FE291" i="24" s="1"/>
  <c r="FF291" i="24" s="1"/>
  <c r="ER237" i="24"/>
  <c r="FC237" i="24"/>
  <c r="FE237" i="24" s="1"/>
  <c r="FF237" i="24" s="1"/>
  <c r="ER256" i="24"/>
  <c r="FC256" i="24"/>
  <c r="FE256" i="24" s="1"/>
  <c r="FF256" i="24" s="1"/>
  <c r="ER223" i="24"/>
  <c r="FC223" i="24"/>
  <c r="FE223" i="24" s="1"/>
  <c r="FF223" i="24" s="1"/>
  <c r="ER283" i="24"/>
  <c r="FC283" i="24"/>
  <c r="FE283" i="24" s="1"/>
  <c r="FF283" i="24" s="1"/>
  <c r="FC236" i="24"/>
  <c r="FE236" i="24" s="1"/>
  <c r="FF236" i="24" s="1"/>
  <c r="ER236" i="24"/>
  <c r="FC232" i="24"/>
  <c r="FE232" i="24" s="1"/>
  <c r="FF232" i="24" s="1"/>
  <c r="ER232" i="24"/>
  <c r="FC306" i="24"/>
  <c r="FE306" i="24" s="1"/>
  <c r="FF306" i="24" s="1"/>
  <c r="ER306" i="24"/>
  <c r="FC271" i="24"/>
  <c r="FE271" i="24" s="1"/>
  <c r="FF271" i="24" s="1"/>
  <c r="ER271" i="24"/>
  <c r="FC229" i="24"/>
  <c r="FE229" i="24" s="1"/>
  <c r="FF229" i="24" s="1"/>
  <c r="ER229" i="24"/>
  <c r="FC241" i="24"/>
  <c r="FE241" i="24" s="1"/>
  <c r="FF241" i="24" s="1"/>
  <c r="ER241" i="24"/>
  <c r="FC293" i="24"/>
  <c r="FE293" i="24" s="1"/>
  <c r="FF293" i="24" s="1"/>
  <c r="ER293" i="24"/>
  <c r="ER260" i="24"/>
  <c r="FC260" i="24"/>
  <c r="FE260" i="24" s="1"/>
  <c r="FF260" i="24" s="1"/>
  <c r="ER220" i="24"/>
  <c r="FC220" i="24"/>
  <c r="FE220" i="24" s="1"/>
  <c r="FF220" i="24" s="1"/>
  <c r="ER222" i="24"/>
  <c r="FC222" i="24"/>
  <c r="FE222" i="24" s="1"/>
  <c r="FF222" i="24" s="1"/>
  <c r="ER296" i="24"/>
  <c r="FC296" i="24"/>
  <c r="FE296" i="24" s="1"/>
  <c r="FF296" i="24" s="1"/>
  <c r="FC261" i="24"/>
  <c r="FE261" i="24" s="1"/>
  <c r="FF261" i="24" s="1"/>
  <c r="ER261" i="24"/>
  <c r="ER218" i="24"/>
  <c r="FC218" i="24"/>
  <c r="FE218" i="24" s="1"/>
  <c r="FF218" i="24" s="1"/>
  <c r="FC288" i="24"/>
  <c r="FE288" i="24" s="1"/>
  <c r="FF288" i="24" s="1"/>
  <c r="ER288" i="24"/>
  <c r="FC224" i="24"/>
  <c r="FE224" i="24" s="1"/>
  <c r="FF224" i="24" s="1"/>
  <c r="ER224" i="24"/>
  <c r="ER264" i="24"/>
  <c r="FC264" i="24"/>
  <c r="FE264" i="24" s="1"/>
  <c r="FF264" i="24" s="1"/>
  <c r="FC275" i="24"/>
  <c r="FE275" i="24" s="1"/>
  <c r="FF275" i="24" s="1"/>
  <c r="ER275" i="24"/>
  <c r="FC279" i="24"/>
  <c r="FE279" i="24" s="1"/>
  <c r="FF279" i="24" s="1"/>
  <c r="ER279" i="24"/>
  <c r="FC226" i="24"/>
  <c r="FE226" i="24" s="1"/>
  <c r="FF226" i="24" s="1"/>
  <c r="ER226" i="24"/>
  <c r="ER272" i="24"/>
  <c r="FC272" i="24"/>
  <c r="FE272" i="24" s="1"/>
  <c r="FF272" i="24" s="1"/>
  <c r="ER292" i="24"/>
  <c r="FC292" i="24"/>
  <c r="FE292" i="24" s="1"/>
  <c r="FF292" i="24" s="1"/>
  <c r="FC308" i="24"/>
  <c r="FE308" i="24" s="1"/>
  <c r="FF308" i="24" s="1"/>
  <c r="ER308" i="24"/>
  <c r="FC234" i="24"/>
  <c r="FE234" i="24" s="1"/>
  <c r="FF234" i="24" s="1"/>
  <c r="ER234" i="24"/>
  <c r="FC246" i="24"/>
  <c r="FE246" i="24" s="1"/>
  <c r="FF246" i="24" s="1"/>
  <c r="ER246" i="24"/>
  <c r="FC316" i="24"/>
  <c r="FE316" i="24" s="1"/>
  <c r="FF316" i="24" s="1"/>
  <c r="ER316" i="24"/>
  <c r="ER270" i="24"/>
  <c r="FC270" i="24"/>
  <c r="FE270" i="24" s="1"/>
  <c r="FF270" i="24" s="1"/>
  <c r="FC284" i="24"/>
  <c r="FE284" i="24" s="1"/>
  <c r="FF284" i="24" s="1"/>
  <c r="ER284" i="24"/>
  <c r="ER248" i="24"/>
  <c r="FC248" i="24"/>
  <c r="FE248" i="24" s="1"/>
  <c r="FF248" i="24" s="1"/>
  <c r="FC39" i="24"/>
  <c r="FE39" i="24" s="1"/>
  <c r="FF39" i="24" s="1"/>
  <c r="FC152" i="24"/>
  <c r="FE152" i="24" s="1"/>
  <c r="FF152" i="24" s="1"/>
  <c r="FC44" i="24"/>
  <c r="FE44" i="24" s="1"/>
  <c r="FF44" i="24" s="1"/>
  <c r="FC199" i="24"/>
  <c r="FE199" i="24" s="1"/>
  <c r="FF199" i="24" s="1"/>
  <c r="FC160" i="24"/>
  <c r="FE160" i="24" s="1"/>
  <c r="FF160" i="24" s="1"/>
  <c r="FB134" i="24"/>
  <c r="ER111" i="24"/>
  <c r="FC23" i="24"/>
  <c r="FE23" i="24" s="1"/>
  <c r="FF23" i="24" s="1"/>
  <c r="FC192" i="24"/>
  <c r="FE192" i="24" s="1"/>
  <c r="FF192" i="24" s="1"/>
  <c r="FC186" i="24"/>
  <c r="FE186" i="24" s="1"/>
  <c r="FF186" i="24" s="1"/>
  <c r="FC133" i="24"/>
  <c r="FE133" i="24" s="1"/>
  <c r="FF133" i="24" s="1"/>
  <c r="FC126" i="24"/>
  <c r="FE126" i="24" s="1"/>
  <c r="FF126" i="24" s="1"/>
  <c r="FC127" i="24"/>
  <c r="FE127" i="24" s="1"/>
  <c r="FF127" i="24" s="1"/>
  <c r="FC52" i="24"/>
  <c r="FE52" i="24" s="1"/>
  <c r="FF52" i="24" s="1"/>
  <c r="ER169" i="24"/>
  <c r="FC169" i="24"/>
  <c r="FE169" i="24" s="1"/>
  <c r="FF169" i="24" s="1"/>
  <c r="FC104" i="24"/>
  <c r="FE104" i="24" s="1"/>
  <c r="FF104" i="24" s="1"/>
  <c r="FC63" i="24"/>
  <c r="FE63" i="24" s="1"/>
  <c r="FF63" i="24" s="1"/>
  <c r="FC201" i="24"/>
  <c r="FE201" i="24" s="1"/>
  <c r="FF201" i="24" s="1"/>
  <c r="FC14" i="24"/>
  <c r="FE14" i="24" s="1"/>
  <c r="FF14" i="24" s="1"/>
  <c r="FC136" i="24"/>
  <c r="FE136" i="24" s="1"/>
  <c r="FF136" i="24" s="1"/>
  <c r="FC124" i="24"/>
  <c r="FE124" i="24" s="1"/>
  <c r="FF124" i="24" s="1"/>
  <c r="ER170" i="24"/>
  <c r="ER14" i="24"/>
  <c r="FB147" i="24"/>
  <c r="FC29" i="24"/>
  <c r="FE29" i="24" s="1"/>
  <c r="FF29" i="24" s="1"/>
  <c r="FC43" i="24"/>
  <c r="FE43" i="24" s="1"/>
  <c r="FF43" i="24" s="1"/>
  <c r="FC81" i="24"/>
  <c r="FE81" i="24" s="1"/>
  <c r="FF81" i="24" s="1"/>
  <c r="FC37" i="24"/>
  <c r="FE37" i="24" s="1"/>
  <c r="FF37" i="24" s="1"/>
  <c r="FC30" i="24"/>
  <c r="FE30" i="24" s="1"/>
  <c r="FF30" i="24" s="1"/>
  <c r="FC55" i="24"/>
  <c r="FE55" i="24" s="1"/>
  <c r="FF55" i="24" s="1"/>
  <c r="FB71" i="24"/>
  <c r="FC71" i="24"/>
  <c r="FE71" i="24" s="1"/>
  <c r="FF71" i="24" s="1"/>
  <c r="FB48" i="24"/>
  <c r="FC48" i="24"/>
  <c r="FE48" i="24" s="1"/>
  <c r="FF48" i="24" s="1"/>
  <c r="FC77" i="24"/>
  <c r="FE77" i="24" s="1"/>
  <c r="FF77" i="24" s="1"/>
  <c r="FC172" i="24"/>
  <c r="FE172" i="24" s="1"/>
  <c r="FF172" i="24" s="1"/>
  <c r="FC40" i="24"/>
  <c r="FE40" i="24" s="1"/>
  <c r="FF40" i="24" s="1"/>
  <c r="FC99" i="24"/>
  <c r="FE99" i="24" s="1"/>
  <c r="FF99" i="24" s="1"/>
  <c r="FC83" i="24"/>
  <c r="FE83" i="24" s="1"/>
  <c r="FF83" i="24" s="1"/>
  <c r="FC90" i="24"/>
  <c r="FE90" i="24" s="1"/>
  <c r="FF90" i="24" s="1"/>
  <c r="ER90" i="24"/>
  <c r="J216" i="24"/>
  <c r="O216" i="24"/>
  <c r="BZ216" i="24" s="1"/>
  <c r="FC67" i="24"/>
  <c r="FE67" i="24" s="1"/>
  <c r="FF67" i="24" s="1"/>
  <c r="FC13" i="24"/>
  <c r="FE13" i="24" s="1"/>
  <c r="FF13" i="24" s="1"/>
  <c r="AJ110" i="24"/>
  <c r="AG110" i="24"/>
  <c r="AF110" i="24"/>
  <c r="FJ263" i="24"/>
  <c r="FJ170" i="24"/>
  <c r="FI184" i="24"/>
  <c r="FJ114" i="24"/>
  <c r="FJ232" i="24"/>
  <c r="FJ142" i="24"/>
  <c r="FI206" i="24"/>
  <c r="FJ117" i="24"/>
  <c r="FJ159" i="24"/>
  <c r="FJ192" i="24"/>
  <c r="FI209" i="24"/>
  <c r="FJ132" i="24"/>
  <c r="FJ301" i="24"/>
  <c r="FI141" i="24"/>
  <c r="FI144" i="24"/>
  <c r="FI152" i="24"/>
  <c r="FJ242" i="24"/>
  <c r="FJ306" i="24"/>
  <c r="FI167" i="24"/>
  <c r="FI208" i="24"/>
  <c r="FJ287" i="24"/>
  <c r="FJ146" i="24"/>
  <c r="FJ225" i="24"/>
  <c r="FJ299" i="24"/>
  <c r="FJ294" i="24"/>
  <c r="FJ155" i="24"/>
  <c r="FJ238" i="24"/>
  <c r="FI189" i="24"/>
  <c r="FJ311" i="24"/>
  <c r="FI130" i="24"/>
  <c r="FI150" i="24"/>
  <c r="FI197" i="24"/>
  <c r="FJ234" i="24"/>
  <c r="FJ255" i="24"/>
  <c r="FJ169" i="24"/>
  <c r="FI170" i="24"/>
  <c r="FI108" i="24"/>
  <c r="FJ228" i="24"/>
  <c r="FJ133" i="24"/>
  <c r="FJ199" i="24"/>
  <c r="FI116" i="24"/>
  <c r="FJ154" i="24"/>
  <c r="FI174" i="24"/>
  <c r="FJ131" i="24"/>
  <c r="FJ291" i="24"/>
  <c r="FI207" i="24"/>
  <c r="FI132" i="24"/>
  <c r="FI204" i="24"/>
  <c r="FJ261" i="24"/>
  <c r="FJ112" i="24"/>
  <c r="FJ136" i="24"/>
  <c r="FJ270" i="24"/>
  <c r="FJ122" i="24"/>
  <c r="FI175" i="24"/>
  <c r="FJ265" i="24"/>
  <c r="FJ217" i="24"/>
  <c r="FJ115" i="24"/>
  <c r="FJ229" i="24"/>
  <c r="FJ123" i="24"/>
  <c r="FI143" i="24"/>
  <c r="FJ315" i="24"/>
  <c r="FJ245" i="24"/>
  <c r="FJ187" i="24"/>
  <c r="FJ237" i="24"/>
  <c r="FJ227" i="24"/>
  <c r="FI169" i="24"/>
  <c r="FJ249" i="24"/>
  <c r="FJ216" i="24"/>
  <c r="FJ116" i="24"/>
  <c r="FJ290" i="24"/>
  <c r="FI110" i="24"/>
  <c r="FJ153" i="24"/>
  <c r="FJ283" i="24"/>
  <c r="FI182" i="24"/>
  <c r="FJ126" i="24"/>
  <c r="FJ280" i="24"/>
  <c r="FI115" i="24"/>
  <c r="FJ174" i="24"/>
  <c r="FJ250" i="24"/>
  <c r="FI165" i="24"/>
  <c r="FI139" i="24"/>
  <c r="FJ296" i="24"/>
  <c r="FJ113" i="24"/>
  <c r="FI188" i="24"/>
  <c r="FJ239" i="24"/>
  <c r="FJ276" i="24"/>
  <c r="FJ186" i="24"/>
  <c r="FJ246" i="24"/>
  <c r="FI140" i="24"/>
  <c r="FJ171" i="24"/>
  <c r="FI210" i="24"/>
  <c r="FJ244" i="24"/>
  <c r="FI121" i="24"/>
  <c r="FI149" i="24"/>
  <c r="FJ304" i="24"/>
  <c r="FJ272" i="24"/>
  <c r="FI179" i="24"/>
  <c r="FJ222" i="24"/>
  <c r="FI138" i="24"/>
  <c r="FJ148" i="24"/>
  <c r="FJ190" i="24"/>
  <c r="FI114" i="24"/>
  <c r="FJ277" i="24"/>
  <c r="FJ266" i="24"/>
  <c r="FJ144" i="24"/>
  <c r="FI125" i="24"/>
  <c r="FJ278" i="24"/>
  <c r="FI193" i="24"/>
  <c r="FI123" i="24"/>
  <c r="FI191" i="24"/>
  <c r="FJ297" i="24"/>
  <c r="FJ163" i="24"/>
  <c r="FI160" i="24"/>
  <c r="FI194" i="24"/>
  <c r="FJ121" i="24"/>
  <c r="FJ240" i="24"/>
  <c r="FJ300" i="24"/>
  <c r="FI171" i="24"/>
  <c r="FJ120" i="24"/>
  <c r="FI177" i="24"/>
  <c r="FJ260" i="24"/>
  <c r="FI199" i="24"/>
  <c r="FI124" i="24"/>
  <c r="FJ194" i="24"/>
  <c r="FI126" i="24"/>
  <c r="FJ292" i="24"/>
  <c r="FI181" i="24"/>
  <c r="CE108" i="24"/>
  <c r="FI201" i="24"/>
  <c r="FI133" i="24"/>
  <c r="FI145" i="24"/>
  <c r="FI176" i="24"/>
  <c r="FI113" i="24"/>
  <c r="FI172" i="24"/>
  <c r="FJ251" i="24"/>
  <c r="FI159" i="24"/>
  <c r="FI111" i="24"/>
  <c r="FJ273" i="24"/>
  <c r="FI186" i="24"/>
  <c r="FI112" i="24"/>
  <c r="FJ189" i="24"/>
  <c r="FJ289" i="24"/>
  <c r="FI155" i="24"/>
  <c r="FI183" i="24"/>
  <c r="FJ147" i="24"/>
  <c r="FJ254" i="24"/>
  <c r="FJ201" i="24"/>
  <c r="FJ149" i="24"/>
  <c r="FJ314" i="24"/>
  <c r="FI135" i="24"/>
  <c r="FJ197" i="24"/>
  <c r="FI137" i="24"/>
  <c r="FJ129" i="24"/>
  <c r="FI173" i="24"/>
  <c r="FI122" i="24"/>
  <c r="FI153" i="24"/>
  <c r="FJ235" i="24"/>
  <c r="CF110" i="24"/>
  <c r="FI196" i="24"/>
  <c r="FJ128" i="24"/>
  <c r="FJ134" i="24"/>
  <c r="FI146" i="24"/>
  <c r="FJ172" i="24"/>
  <c r="FJ110" i="24"/>
  <c r="FJ243" i="24"/>
  <c r="FI198" i="24"/>
  <c r="FI117" i="24"/>
  <c r="FJ236" i="24"/>
  <c r="FI162" i="24"/>
  <c r="FJ259" i="24"/>
  <c r="FI178" i="24"/>
  <c r="FI129" i="24"/>
  <c r="FJ293" i="24"/>
  <c r="FJ264" i="24"/>
  <c r="FI163" i="24"/>
  <c r="FJ140" i="24"/>
  <c r="FI202" i="24"/>
  <c r="FJ310" i="24"/>
  <c r="FI147" i="24"/>
  <c r="FI157" i="24"/>
  <c r="FJ258" i="24"/>
  <c r="FI195" i="24"/>
  <c r="FI120" i="24"/>
  <c r="FI119" i="24"/>
  <c r="FJ143" i="24"/>
  <c r="FI185" i="24"/>
  <c r="CF216" i="24"/>
  <c r="FI192" i="24"/>
  <c r="FI128" i="24"/>
  <c r="FJ286" i="24"/>
  <c r="FJ164" i="24"/>
  <c r="FJ233" i="24"/>
  <c r="FI164" i="24"/>
  <c r="FJ188" i="24"/>
  <c r="FJ111" i="24"/>
  <c r="FJ220" i="24"/>
  <c r="FI154" i="24"/>
  <c r="FJ313" i="24"/>
  <c r="FJ257" i="24"/>
  <c r="FI158" i="24"/>
  <c r="FJ152" i="24"/>
  <c r="FJ248" i="24"/>
  <c r="FJ230" i="24"/>
  <c r="FI134" i="24"/>
  <c r="FJ176" i="24"/>
  <c r="FI127" i="24"/>
  <c r="FJ295" i="24"/>
  <c r="FI205" i="24"/>
  <c r="FI161" i="24"/>
  <c r="FJ312" i="24"/>
  <c r="FI190" i="24"/>
  <c r="FJ218" i="24"/>
  <c r="FJ298" i="24"/>
  <c r="FJ282" i="24"/>
  <c r="FI200" i="24"/>
  <c r="FJ160" i="24"/>
  <c r="FI151" i="24"/>
  <c r="FJ226" i="24"/>
  <c r="FJ275" i="24"/>
  <c r="FJ184" i="24"/>
  <c r="FJ305" i="24"/>
  <c r="FJ127" i="24"/>
  <c r="FJ247" i="24"/>
  <c r="FI148" i="24"/>
  <c r="FJ221" i="24"/>
  <c r="FI136" i="24"/>
  <c r="FI166" i="24"/>
  <c r="FJ267" i="24"/>
  <c r="FJ141" i="24"/>
  <c r="FJ309" i="24"/>
  <c r="FJ252" i="24"/>
  <c r="FI156" i="24"/>
  <c r="FJ124" i="24"/>
  <c r="FJ130" i="24"/>
  <c r="FJ231" i="24"/>
  <c r="FJ303" i="24"/>
  <c r="FI142" i="24"/>
  <c r="FJ223" i="24"/>
  <c r="FJ308" i="24"/>
  <c r="FI131" i="24"/>
  <c r="FJ307" i="24"/>
  <c r="FJ253" i="24"/>
  <c r="FI187" i="24"/>
  <c r="FI118" i="24"/>
  <c r="FI168" i="24"/>
  <c r="FI203" i="24"/>
  <c r="FJ302" i="24"/>
  <c r="FJ316" i="24"/>
  <c r="FJ145" i="24"/>
  <c r="FJ219" i="24"/>
  <c r="FJ158" i="24"/>
  <c r="FJ138" i="24"/>
  <c r="FJ196" i="24"/>
  <c r="CE110" i="24"/>
  <c r="FI180" i="24"/>
  <c r="FC62" i="24"/>
  <c r="FE62" i="24" s="1"/>
  <c r="FF62" i="24" s="1"/>
  <c r="FC10" i="24"/>
  <c r="FE10" i="24" s="1"/>
  <c r="FF10" i="24" s="1"/>
  <c r="ER6" i="24"/>
  <c r="FC6" i="24"/>
  <c r="FE6" i="24" s="1"/>
  <c r="FF6" i="24" s="1"/>
  <c r="ER207" i="24"/>
  <c r="FC207" i="24"/>
  <c r="FE207" i="24" s="1"/>
  <c r="FF207" i="24" s="1"/>
  <c r="ER115" i="24"/>
  <c r="FC115" i="24"/>
  <c r="FE115" i="24" s="1"/>
  <c r="FF115" i="24" s="1"/>
  <c r="ER117" i="24"/>
  <c r="FC117" i="24"/>
  <c r="FE117" i="24" s="1"/>
  <c r="FF117" i="24" s="1"/>
  <c r="ER19" i="24"/>
  <c r="FC19" i="24"/>
  <c r="FE19" i="24" s="1"/>
  <c r="FF19" i="24" s="1"/>
  <c r="FC179" i="24"/>
  <c r="FE179" i="24" s="1"/>
  <c r="FF179" i="24" s="1"/>
  <c r="ER179" i="24"/>
  <c r="ER75" i="24"/>
  <c r="FC75" i="24"/>
  <c r="FE75" i="24" s="1"/>
  <c r="FF75" i="24" s="1"/>
  <c r="ER80" i="24"/>
  <c r="FC80" i="24"/>
  <c r="FE80" i="24" s="1"/>
  <c r="FF80" i="24" s="1"/>
  <c r="ER49" i="24"/>
  <c r="FC49" i="24"/>
  <c r="FE49" i="24" s="1"/>
  <c r="FF49" i="24" s="1"/>
  <c r="ER59" i="24"/>
  <c r="FC59" i="24"/>
  <c r="FE59" i="24" s="1"/>
  <c r="FF59" i="24" s="1"/>
  <c r="ER178" i="24"/>
  <c r="FC178" i="24"/>
  <c r="FE178" i="24" s="1"/>
  <c r="FF178" i="24" s="1"/>
  <c r="ER27" i="24"/>
  <c r="FC27" i="24"/>
  <c r="FE27" i="24" s="1"/>
  <c r="FF27" i="24" s="1"/>
  <c r="ER161" i="24"/>
  <c r="FC161" i="24"/>
  <c r="FE161" i="24" s="1"/>
  <c r="FF161" i="24" s="1"/>
  <c r="ER150" i="24"/>
  <c r="FC150" i="24"/>
  <c r="FE150" i="24" s="1"/>
  <c r="FF150" i="24" s="1"/>
  <c r="ER18" i="24"/>
  <c r="FC18" i="24"/>
  <c r="FE18" i="24" s="1"/>
  <c r="FF18" i="24" s="1"/>
  <c r="ER158" i="24"/>
  <c r="FC158" i="24"/>
  <c r="FE158" i="24" s="1"/>
  <c r="FF158" i="24" s="1"/>
  <c r="ER194" i="24"/>
  <c r="FC194" i="24"/>
  <c r="FE194" i="24" s="1"/>
  <c r="FF194" i="24" s="1"/>
  <c r="ER95" i="24"/>
  <c r="FC95" i="24"/>
  <c r="FE95" i="24" s="1"/>
  <c r="FF95" i="24" s="1"/>
  <c r="ER146" i="24"/>
  <c r="FC146" i="24"/>
  <c r="FE146" i="24" s="1"/>
  <c r="FF146" i="24" s="1"/>
  <c r="ER97" i="24"/>
  <c r="FC97" i="24"/>
  <c r="FE97" i="24" s="1"/>
  <c r="FF97" i="24" s="1"/>
  <c r="ER70" i="24"/>
  <c r="FC70" i="24"/>
  <c r="FE70" i="24" s="1"/>
  <c r="FF70" i="24" s="1"/>
  <c r="ER210" i="24"/>
  <c r="FC210" i="24"/>
  <c r="FE210" i="24" s="1"/>
  <c r="FF210" i="24" s="1"/>
  <c r="ER187" i="24"/>
  <c r="FC187" i="24"/>
  <c r="FE187" i="24" s="1"/>
  <c r="FF187" i="24" s="1"/>
  <c r="ER7" i="24"/>
  <c r="FC7" i="24"/>
  <c r="FE7" i="24" s="1"/>
  <c r="FF7" i="24" s="1"/>
  <c r="ER125" i="24"/>
  <c r="FC125" i="24"/>
  <c r="FE125" i="24" s="1"/>
  <c r="FF125" i="24" s="1"/>
  <c r="ER21" i="24"/>
  <c r="FC21" i="24"/>
  <c r="FE21" i="24" s="1"/>
  <c r="FF21" i="24" s="1"/>
  <c r="ER176" i="24"/>
  <c r="FC176" i="24"/>
  <c r="FE176" i="24" s="1"/>
  <c r="FF176" i="24" s="1"/>
  <c r="ER122" i="24"/>
  <c r="FC122" i="24"/>
  <c r="FE122" i="24" s="1"/>
  <c r="FF122" i="24" s="1"/>
  <c r="ER209" i="24"/>
  <c r="FC209" i="24"/>
  <c r="FE209" i="24" s="1"/>
  <c r="FF209" i="24" s="1"/>
  <c r="ER103" i="24"/>
  <c r="FC103" i="24"/>
  <c r="FE103" i="24" s="1"/>
  <c r="FF103" i="24" s="1"/>
  <c r="ER9" i="24"/>
  <c r="FC9" i="24"/>
  <c r="FE9" i="24" s="1"/>
  <c r="FF9" i="24" s="1"/>
  <c r="ER31" i="24"/>
  <c r="FC31" i="24"/>
  <c r="FE31" i="24" s="1"/>
  <c r="FF31" i="24" s="1"/>
  <c r="ER130" i="24"/>
  <c r="FC130" i="24"/>
  <c r="FE130" i="24" s="1"/>
  <c r="FF130" i="24" s="1"/>
  <c r="FC148" i="24"/>
  <c r="FE148" i="24" s="1"/>
  <c r="FF148" i="24" s="1"/>
  <c r="ER148" i="24"/>
  <c r="ER84" i="24"/>
  <c r="FC84" i="24"/>
  <c r="FE84" i="24" s="1"/>
  <c r="FF84" i="24" s="1"/>
  <c r="ER82" i="24"/>
  <c r="FC82" i="24"/>
  <c r="FE82" i="24" s="1"/>
  <c r="FF82" i="24" s="1"/>
  <c r="ER26" i="24"/>
  <c r="FC26" i="24"/>
  <c r="FE26" i="24" s="1"/>
  <c r="FF26" i="24" s="1"/>
  <c r="ER200" i="24"/>
  <c r="FC200" i="24"/>
  <c r="FE200" i="24" s="1"/>
  <c r="FF200" i="24" s="1"/>
  <c r="ER157" i="24"/>
  <c r="FC157" i="24"/>
  <c r="FE157" i="24" s="1"/>
  <c r="FF157" i="24" s="1"/>
  <c r="ER205" i="24"/>
  <c r="FC205" i="24"/>
  <c r="FE205" i="24" s="1"/>
  <c r="FF205" i="24" s="1"/>
  <c r="ER137" i="24"/>
  <c r="FC137" i="24"/>
  <c r="FE137" i="24" s="1"/>
  <c r="FF137" i="24" s="1"/>
  <c r="ER162" i="24"/>
  <c r="FC162" i="24"/>
  <c r="FE162" i="24" s="1"/>
  <c r="FF162" i="24" s="1"/>
  <c r="ER156" i="24"/>
  <c r="FC156" i="24"/>
  <c r="FE156" i="24" s="1"/>
  <c r="FF156" i="24" s="1"/>
  <c r="ER35" i="24"/>
  <c r="FC35" i="24"/>
  <c r="FE35" i="24" s="1"/>
  <c r="FF35" i="24" s="1"/>
  <c r="ER105" i="24"/>
  <c r="FC105" i="24"/>
  <c r="FE105" i="24" s="1"/>
  <c r="FF105" i="24" s="1"/>
  <c r="ER17" i="24"/>
  <c r="FC17" i="24"/>
  <c r="FE17" i="24" s="1"/>
  <c r="FF17" i="24" s="1"/>
  <c r="ER16" i="24"/>
  <c r="FC16" i="24"/>
  <c r="FE16" i="24" s="1"/>
  <c r="FF16" i="24" s="1"/>
  <c r="ER56" i="24"/>
  <c r="FC56" i="24"/>
  <c r="FE56" i="24" s="1"/>
  <c r="FF56" i="24" s="1"/>
  <c r="ER72" i="24"/>
  <c r="FC72" i="24"/>
  <c r="FE72" i="24" s="1"/>
  <c r="FF72" i="24" s="1"/>
  <c r="ER166" i="24"/>
  <c r="FC166" i="24"/>
  <c r="FE166" i="24" s="1"/>
  <c r="FF166" i="24" s="1"/>
  <c r="ER114" i="24"/>
  <c r="FC114" i="24"/>
  <c r="FE114" i="24" s="1"/>
  <c r="FF114" i="24" s="1"/>
  <c r="ER131" i="24"/>
  <c r="FC131" i="24"/>
  <c r="FE131" i="24" s="1"/>
  <c r="FF131" i="24" s="1"/>
  <c r="ER68" i="24"/>
  <c r="FC68" i="24"/>
  <c r="FE68" i="24" s="1"/>
  <c r="FF68" i="24" s="1"/>
  <c r="ER28" i="24"/>
  <c r="FC28" i="24"/>
  <c r="FE28" i="24" s="1"/>
  <c r="FF28" i="24" s="1"/>
  <c r="ER98" i="24"/>
  <c r="FC98" i="24"/>
  <c r="FE98" i="24" s="1"/>
  <c r="FF98" i="24" s="1"/>
  <c r="ER61" i="24"/>
  <c r="FC61" i="24"/>
  <c r="FE61" i="24" s="1"/>
  <c r="FF61" i="24" s="1"/>
  <c r="ER139" i="24"/>
  <c r="FC139" i="24"/>
  <c r="FE139" i="24" s="1"/>
  <c r="FF139" i="24" s="1"/>
  <c r="ER191" i="24"/>
  <c r="FC191" i="24"/>
  <c r="FE191" i="24" s="1"/>
  <c r="FF191" i="24" s="1"/>
  <c r="ER145" i="24"/>
  <c r="FC145" i="24"/>
  <c r="FE145" i="24" s="1"/>
  <c r="FF145" i="24" s="1"/>
  <c r="ER15" i="24"/>
  <c r="FC15" i="24"/>
  <c r="FE15" i="24" s="1"/>
  <c r="FF15" i="24" s="1"/>
  <c r="ER175" i="24"/>
  <c r="FC175" i="24"/>
  <c r="FE175" i="24" s="1"/>
  <c r="FF175" i="24" s="1"/>
  <c r="ER38" i="24"/>
  <c r="FC38" i="24"/>
  <c r="FE38" i="24" s="1"/>
  <c r="FF38" i="24" s="1"/>
  <c r="ER94" i="24"/>
  <c r="FC94" i="24"/>
  <c r="FE94" i="24" s="1"/>
  <c r="FF94" i="24" s="1"/>
  <c r="ER182" i="24"/>
  <c r="FC182" i="24"/>
  <c r="FE182" i="24" s="1"/>
  <c r="FF182" i="24" s="1"/>
  <c r="ER22" i="24"/>
  <c r="FC22" i="24"/>
  <c r="FE22" i="24" s="1"/>
  <c r="FF22" i="24" s="1"/>
  <c r="ER11" i="24"/>
  <c r="FC11" i="24"/>
  <c r="FE11" i="24" s="1"/>
  <c r="FF11" i="24" s="1"/>
  <c r="ER140" i="24"/>
  <c r="FC140" i="24"/>
  <c r="FE140" i="24" s="1"/>
  <c r="FF140" i="24" s="1"/>
  <c r="ER165" i="24"/>
  <c r="FC165" i="24"/>
  <c r="FE165" i="24" s="1"/>
  <c r="FF165" i="24" s="1"/>
  <c r="ER57" i="24"/>
  <c r="FC57" i="24"/>
  <c r="FE57" i="24" s="1"/>
  <c r="FF57" i="24" s="1"/>
  <c r="ER89" i="24"/>
  <c r="FC89" i="24"/>
  <c r="FE89" i="24" s="1"/>
  <c r="FF89" i="24" s="1"/>
  <c r="ER155" i="24"/>
  <c r="FC155" i="24"/>
  <c r="FE155" i="24" s="1"/>
  <c r="FF155" i="24" s="1"/>
  <c r="ER118" i="24"/>
  <c r="FC118" i="24"/>
  <c r="FE118" i="24" s="1"/>
  <c r="FF118" i="24" s="1"/>
  <c r="ER65" i="24"/>
  <c r="FC65" i="24"/>
  <c r="FE65" i="24" s="1"/>
  <c r="FF65" i="24" s="1"/>
  <c r="ER206" i="24"/>
  <c r="FC206" i="24"/>
  <c r="FE206" i="24" s="1"/>
  <c r="FF206" i="24" s="1"/>
  <c r="ER129" i="24"/>
  <c r="FC129" i="24"/>
  <c r="FE129" i="24" s="1"/>
  <c r="FF129" i="24" s="1"/>
  <c r="ER151" i="24"/>
  <c r="FC151" i="24"/>
  <c r="FE151" i="24" s="1"/>
  <c r="FF151" i="24" s="1"/>
  <c r="ER112" i="24"/>
  <c r="FC112" i="24"/>
  <c r="FE112" i="24" s="1"/>
  <c r="FF112" i="24" s="1"/>
  <c r="ER42" i="24"/>
  <c r="FC42" i="24"/>
  <c r="FE42" i="24" s="1"/>
  <c r="FF42" i="24" s="1"/>
  <c r="ER101" i="24"/>
  <c r="FC101" i="24"/>
  <c r="FE101" i="24" s="1"/>
  <c r="FF101" i="24" s="1"/>
  <c r="ER69" i="24"/>
  <c r="FC69" i="24"/>
  <c r="FE69" i="24" s="1"/>
  <c r="FF69" i="24" s="1"/>
  <c r="ER138" i="24"/>
  <c r="FC138" i="24"/>
  <c r="FE138" i="24" s="1"/>
  <c r="FF138" i="24" s="1"/>
  <c r="ER87" i="24"/>
  <c r="FC87" i="24"/>
  <c r="FE87" i="24" s="1"/>
  <c r="FF87" i="24" s="1"/>
  <c r="ER202" i="24"/>
  <c r="FC202" i="24"/>
  <c r="FE202" i="24" s="1"/>
  <c r="FF202" i="24" s="1"/>
  <c r="ER184" i="24"/>
  <c r="FC184" i="24"/>
  <c r="FE184" i="24" s="1"/>
  <c r="FF184" i="24" s="1"/>
  <c r="ER195" i="24"/>
  <c r="FC195" i="24"/>
  <c r="FE195" i="24" s="1"/>
  <c r="FF195" i="24" s="1"/>
  <c r="ER193" i="24"/>
  <c r="FC193" i="24"/>
  <c r="FE193" i="24" s="1"/>
  <c r="FF193" i="24" s="1"/>
  <c r="ER45" i="24"/>
  <c r="FC45" i="24"/>
  <c r="FE45" i="24" s="1"/>
  <c r="FF45" i="24" s="1"/>
  <c r="ER197" i="24"/>
  <c r="FC197" i="24"/>
  <c r="FE197" i="24" s="1"/>
  <c r="FF197" i="24" s="1"/>
  <c r="ER196" i="24"/>
  <c r="FC196" i="24"/>
  <c r="FE196" i="24" s="1"/>
  <c r="FF196" i="24" s="1"/>
  <c r="ER116" i="24"/>
  <c r="FC116" i="24"/>
  <c r="FE116" i="24" s="1"/>
  <c r="FF116" i="24" s="1"/>
  <c r="ER46" i="24"/>
  <c r="FC46" i="24"/>
  <c r="FE46" i="24" s="1"/>
  <c r="FF46" i="24" s="1"/>
  <c r="ER64" i="24"/>
  <c r="FC64" i="24"/>
  <c r="FE64" i="24" s="1"/>
  <c r="FF64" i="24" s="1"/>
  <c r="ER180" i="24"/>
  <c r="FC180" i="24"/>
  <c r="FE180" i="24" s="1"/>
  <c r="ER168" i="24"/>
  <c r="FC168" i="24"/>
  <c r="FE168" i="24" s="1"/>
  <c r="FF168" i="24" s="1"/>
  <c r="ER66" i="24"/>
  <c r="FC66" i="24"/>
  <c r="FE66" i="24" s="1"/>
  <c r="FF66" i="24" s="1"/>
  <c r="ER73" i="24"/>
  <c r="FC73" i="24"/>
  <c r="FE73" i="24" s="1"/>
  <c r="FF73" i="24" s="1"/>
  <c r="ER24" i="24"/>
  <c r="FC24" i="24"/>
  <c r="FE24" i="24" s="1"/>
  <c r="FF24" i="24" s="1"/>
  <c r="ER183" i="24"/>
  <c r="FC183" i="24"/>
  <c r="FE183" i="24" s="1"/>
  <c r="FF183" i="24" s="1"/>
  <c r="ER100" i="24"/>
  <c r="FC100" i="24"/>
  <c r="FE100" i="24" s="1"/>
  <c r="FF100" i="24" s="1"/>
  <c r="ER198" i="24"/>
  <c r="FC198" i="24"/>
  <c r="FE198" i="24" s="1"/>
  <c r="FF198" i="24" s="1"/>
  <c r="ER91" i="24"/>
  <c r="FC91" i="24"/>
  <c r="FE91" i="24" s="1"/>
  <c r="FF91" i="24" s="1"/>
  <c r="ER58" i="24"/>
  <c r="FC58" i="24"/>
  <c r="FE58" i="24" s="1"/>
  <c r="FF58" i="24" s="1"/>
  <c r="ER164" i="24"/>
  <c r="FC164" i="24"/>
  <c r="FE164" i="24" s="1"/>
  <c r="FF164" i="24" s="1"/>
  <c r="ER25" i="24"/>
  <c r="FC25" i="24"/>
  <c r="FE25" i="24" s="1"/>
  <c r="FF25" i="24" s="1"/>
  <c r="ER113" i="24"/>
  <c r="FC113" i="24"/>
  <c r="FE113" i="24" s="1"/>
  <c r="FF113" i="24" s="1"/>
  <c r="FC120" i="24"/>
  <c r="FE120" i="24" s="1"/>
  <c r="FF120" i="24" s="1"/>
  <c r="ER120" i="24"/>
  <c r="FC189" i="24"/>
  <c r="FE189" i="24" s="1"/>
  <c r="FF189" i="24" s="1"/>
  <c r="ER189" i="24"/>
  <c r="ER88" i="24"/>
  <c r="FC88" i="24"/>
  <c r="FE88" i="24" s="1"/>
  <c r="FF88" i="24" s="1"/>
  <c r="ER128" i="24"/>
  <c r="FC128" i="24"/>
  <c r="FE128" i="24" s="1"/>
  <c r="FF128" i="24" s="1"/>
  <c r="ER177" i="24"/>
  <c r="FC177" i="24"/>
  <c r="FE177" i="24" s="1"/>
  <c r="FF177" i="24" s="1"/>
  <c r="ER33" i="24"/>
  <c r="FC33" i="24"/>
  <c r="FE33" i="24" s="1"/>
  <c r="FF33" i="24" s="1"/>
  <c r="ER102" i="24"/>
  <c r="FC102" i="24"/>
  <c r="FE102" i="24" s="1"/>
  <c r="FF102" i="24" s="1"/>
  <c r="ER121" i="24"/>
  <c r="FC121" i="24"/>
  <c r="FE121" i="24" s="1"/>
  <c r="FF121" i="24" s="1"/>
  <c r="ER144" i="24"/>
  <c r="FC144" i="24"/>
  <c r="FE144" i="24" s="1"/>
  <c r="FF144" i="24" s="1"/>
  <c r="ER93" i="24"/>
  <c r="FC93" i="24"/>
  <c r="FE93" i="24" s="1"/>
  <c r="FF93" i="24" s="1"/>
  <c r="ER8" i="24"/>
  <c r="FC8" i="24"/>
  <c r="FE8" i="24" s="1"/>
  <c r="FF8" i="24" s="1"/>
  <c r="ER51" i="24"/>
  <c r="FC51" i="24"/>
  <c r="FE51" i="24" s="1"/>
  <c r="FF51" i="24" s="1"/>
  <c r="ER167" i="24"/>
  <c r="FC167" i="24"/>
  <c r="FE167" i="24" s="1"/>
  <c r="FF167" i="24" s="1"/>
  <c r="ER153" i="24"/>
  <c r="FC153" i="24"/>
  <c r="FE153" i="24" s="1"/>
  <c r="FF153" i="24" s="1"/>
  <c r="ER34" i="24"/>
  <c r="FC34" i="24"/>
  <c r="FE34" i="24" s="1"/>
  <c r="FF34" i="24" s="1"/>
  <c r="ER50" i="24"/>
  <c r="FC50" i="24"/>
  <c r="FE50" i="24" s="1"/>
  <c r="FF50" i="24" s="1"/>
  <c r="ER85" i="24"/>
  <c r="FC85" i="24"/>
  <c r="FE85" i="24" s="1"/>
  <c r="FF85" i="24" s="1"/>
  <c r="ER154" i="24"/>
  <c r="FC154" i="24"/>
  <c r="FE154" i="24" s="1"/>
  <c r="FF154" i="24" s="1"/>
  <c r="ER174" i="24"/>
  <c r="FC174" i="24"/>
  <c r="FE174" i="24" s="1"/>
  <c r="FF174" i="24" s="1"/>
  <c r="ER143" i="24"/>
  <c r="FC143" i="24"/>
  <c r="FE143" i="24" s="1"/>
  <c r="FF143" i="24" s="1"/>
  <c r="ER32" i="24"/>
  <c r="FC32" i="24"/>
  <c r="FE32" i="24" s="1"/>
  <c r="FF32" i="24" s="1"/>
  <c r="ER163" i="24"/>
  <c r="FC163" i="24"/>
  <c r="FE163" i="24" s="1"/>
  <c r="FF163" i="24" s="1"/>
  <c r="FC173" i="24"/>
  <c r="FE173" i="24" s="1"/>
  <c r="FF173" i="24" s="1"/>
  <c r="ER173" i="24"/>
  <c r="ER20" i="24"/>
  <c r="FC20" i="24"/>
  <c r="FE20" i="24" s="1"/>
  <c r="FF20" i="24" s="1"/>
  <c r="ER204" i="24"/>
  <c r="FC204" i="24"/>
  <c r="FE204" i="24" s="1"/>
  <c r="FF204" i="24" s="1"/>
  <c r="ER171" i="24"/>
  <c r="FC171" i="24"/>
  <c r="FE171" i="24" s="1"/>
  <c r="FF171" i="24" s="1"/>
  <c r="ER41" i="24"/>
  <c r="FC41" i="24"/>
  <c r="FE41" i="24" s="1"/>
  <c r="FF41" i="24" s="1"/>
  <c r="ER12" i="24"/>
  <c r="FC12" i="24"/>
  <c r="FE12" i="24" s="1"/>
  <c r="FF12" i="24" s="1"/>
  <c r="ER119" i="24"/>
  <c r="FC119" i="24"/>
  <c r="FE119" i="24" s="1"/>
  <c r="FF119" i="24" s="1"/>
  <c r="ER181" i="24"/>
  <c r="FC181" i="24"/>
  <c r="FE181" i="24" s="1"/>
  <c r="FF181" i="24" s="1"/>
  <c r="ER141" i="24"/>
  <c r="FC141" i="24"/>
  <c r="FE141" i="24" s="1"/>
  <c r="FF141" i="24" s="1"/>
  <c r="ER149" i="24"/>
  <c r="FC149" i="24"/>
  <c r="FE149" i="24" s="1"/>
  <c r="FF149" i="24" s="1"/>
  <c r="ER79" i="24"/>
  <c r="FC79" i="24"/>
  <c r="FE79" i="24" s="1"/>
  <c r="FF79" i="24" s="1"/>
  <c r="ER185" i="24"/>
  <c r="FC185" i="24"/>
  <c r="FE185" i="24" s="1"/>
  <c r="FF185" i="24" s="1"/>
  <c r="FC203" i="24"/>
  <c r="FE203" i="24" s="1"/>
  <c r="FF203" i="24" s="1"/>
  <c r="ER203" i="24"/>
  <c r="ER76" i="24"/>
  <c r="FC76" i="24"/>
  <c r="FE76" i="24" s="1"/>
  <c r="FF76" i="24" s="1"/>
  <c r="ER36" i="24"/>
  <c r="FC36" i="24"/>
  <c r="FE36" i="24" s="1"/>
  <c r="FF36" i="24" s="1"/>
  <c r="ER47" i="24"/>
  <c r="FC47" i="24"/>
  <c r="FE47" i="24" s="1"/>
  <c r="FF47" i="24" s="1"/>
  <c r="ER123" i="24"/>
  <c r="FC123" i="24"/>
  <c r="FE123" i="24" s="1"/>
  <c r="FF123" i="24" s="1"/>
  <c r="ER135" i="24"/>
  <c r="FC135" i="24"/>
  <c r="FE135" i="24" s="1"/>
  <c r="FF135" i="24" s="1"/>
  <c r="ER208" i="24"/>
  <c r="FC208" i="24"/>
  <c r="FE208" i="24" s="1"/>
  <c r="FF208" i="24" s="1"/>
  <c r="ER53" i="24"/>
  <c r="FC53" i="24"/>
  <c r="FE53" i="24" s="1"/>
  <c r="FF53" i="24" s="1"/>
  <c r="ER54" i="24"/>
  <c r="FC54" i="24"/>
  <c r="FE54" i="24" s="1"/>
  <c r="FF54" i="24" s="1"/>
  <c r="ER86" i="24"/>
  <c r="FC86" i="24"/>
  <c r="FE86" i="24" s="1"/>
  <c r="FF86" i="24" s="1"/>
  <c r="ER188" i="24"/>
  <c r="FC188" i="24"/>
  <c r="FE188" i="24" s="1"/>
  <c r="FF188" i="24" s="1"/>
  <c r="B199" i="2"/>
  <c r="C50" i="16" s="1"/>
  <c r="FJ175" i="24" l="1"/>
  <c r="FJ281" i="24"/>
  <c r="FJ256" i="24"/>
  <c r="FJ150" i="24"/>
  <c r="FJ118" i="24"/>
  <c r="FJ224" i="24"/>
  <c r="FJ274" i="24"/>
  <c r="FJ137" i="24"/>
  <c r="FJ156" i="24"/>
  <c r="FJ262" i="24"/>
  <c r="FJ269" i="24"/>
  <c r="FJ165" i="24"/>
  <c r="FJ271" i="24"/>
  <c r="FJ161" i="24"/>
  <c r="FJ151" i="24"/>
  <c r="FJ182" i="24"/>
  <c r="FJ288" i="24"/>
  <c r="FJ193" i="24"/>
  <c r="FJ202" i="24"/>
  <c r="FJ191" i="24"/>
  <c r="FJ200" i="24"/>
  <c r="FJ241" i="24"/>
  <c r="FJ139" i="24"/>
  <c r="FJ209" i="24"/>
  <c r="FJ135" i="24"/>
  <c r="FJ284" i="24"/>
  <c r="FJ178" i="24"/>
  <c r="FJ185" i="24"/>
  <c r="FJ268" i="24"/>
  <c r="FJ166" i="24"/>
  <c r="FJ162" i="24"/>
  <c r="FJ157" i="24"/>
  <c r="FJ285" i="24"/>
  <c r="CZ212" i="24"/>
  <c r="CS212" i="24"/>
  <c r="FD212" i="24" s="1"/>
  <c r="CN212" i="24"/>
  <c r="DA212" i="24" s="1"/>
  <c r="DT212" i="24"/>
  <c r="BO212" i="24"/>
  <c r="BR212" i="24" s="1"/>
  <c r="H212" i="24"/>
  <c r="AM212" i="24"/>
  <c r="FJ119" i="24"/>
  <c r="FJ203" i="24"/>
  <c r="FJ279" i="24"/>
  <c r="FJ173" i="24"/>
  <c r="FJ125" i="24"/>
  <c r="AT110" i="24"/>
  <c r="BA110" i="24" s="1"/>
  <c r="FJ179" i="24"/>
  <c r="FJ168" i="24"/>
  <c r="FJ181" i="24"/>
  <c r="FJ177" i="24"/>
  <c r="FJ167" i="24"/>
  <c r="FJ198" i="24"/>
  <c r="FJ210" i="24"/>
  <c r="B114" i="2"/>
  <c r="B118" i="2" s="1"/>
  <c r="E16" i="1" s="1"/>
  <c r="FJ207" i="24"/>
  <c r="FJ183" i="24"/>
  <c r="FJ206" i="24"/>
  <c r="FJ195" i="24"/>
  <c r="FJ208" i="24"/>
  <c r="AE216" i="24"/>
  <c r="AI216" i="24"/>
  <c r="X216" i="24"/>
  <c r="AA216" i="24" s="1"/>
  <c r="AB216" i="24" s="1"/>
  <c r="AC216" i="24" s="1"/>
  <c r="V216" i="24"/>
  <c r="W216" i="24"/>
  <c r="Q216" i="24"/>
  <c r="P216" i="24"/>
  <c r="AP216" i="24"/>
  <c r="FJ205" i="24"/>
  <c r="FJ204" i="24"/>
  <c r="AN110" i="24"/>
  <c r="AK110" i="24"/>
  <c r="FF180" i="24"/>
  <c r="FJ180" i="24"/>
  <c r="B265" i="2"/>
  <c r="D50" i="16" s="1"/>
  <c r="E46" i="1"/>
  <c r="A265" i="2"/>
  <c r="BH110" i="24" l="1"/>
  <c r="BI110" i="24"/>
  <c r="BL110" i="24" s="1"/>
  <c r="Y216" i="24"/>
  <c r="DC212" i="24"/>
  <c r="E57" i="1" s="1"/>
  <c r="DI212" i="24"/>
  <c r="DB212" i="24"/>
  <c r="DE212" i="24" s="1"/>
  <c r="DF212" i="24" s="1"/>
  <c r="DG212" i="24" s="1"/>
  <c r="DM212" i="24"/>
  <c r="AJ216" i="24"/>
  <c r="AF216" i="24"/>
  <c r="AG216" i="24"/>
  <c r="FI312" i="24"/>
  <c r="FI302" i="24"/>
  <c r="FI285" i="24"/>
  <c r="FI301" i="24"/>
  <c r="FI234" i="24"/>
  <c r="FI267" i="24"/>
  <c r="FI230" i="24"/>
  <c r="FI293" i="24"/>
  <c r="FI281" i="24"/>
  <c r="FI276" i="24"/>
  <c r="FI294" i="24"/>
  <c r="FI266" i="24"/>
  <c r="FI227" i="24"/>
  <c r="FI287" i="24"/>
  <c r="FI237" i="24"/>
  <c r="FI289" i="24"/>
  <c r="FI246" i="24"/>
  <c r="FI251" i="24"/>
  <c r="FI217" i="24"/>
  <c r="FI243" i="24"/>
  <c r="FI232" i="24"/>
  <c r="FI256" i="24"/>
  <c r="FI316" i="24"/>
  <c r="FI261" i="24"/>
  <c r="FI296" i="24"/>
  <c r="FI240" i="24"/>
  <c r="FI288" i="24"/>
  <c r="FI307" i="24"/>
  <c r="FI314" i="24"/>
  <c r="FI263" i="24"/>
  <c r="FI298" i="24"/>
  <c r="FI218" i="24"/>
  <c r="FI220" i="24"/>
  <c r="FI216" i="24"/>
  <c r="FI221" i="24"/>
  <c r="FI235" i="24"/>
  <c r="FI225" i="24"/>
  <c r="FI297" i="24"/>
  <c r="FI229" i="24"/>
  <c r="FI231" i="24"/>
  <c r="FI249" i="24"/>
  <c r="FI269" i="24"/>
  <c r="FI291" i="24"/>
  <c r="FI248" i="24"/>
  <c r="FI250" i="24"/>
  <c r="FI241" i="24"/>
  <c r="FI223" i="24"/>
  <c r="FI260" i="24"/>
  <c r="FI268" i="24"/>
  <c r="FI278" i="24"/>
  <c r="FI265" i="24"/>
  <c r="FI228" i="24"/>
  <c r="FI279" i="24"/>
  <c r="FI247" i="24"/>
  <c r="CE216" i="24"/>
  <c r="FI310" i="24"/>
  <c r="FI238" i="24"/>
  <c r="FI264" i="24"/>
  <c r="FI239" i="24"/>
  <c r="FI308" i="24"/>
  <c r="FI299" i="24"/>
  <c r="FI219" i="24"/>
  <c r="FI259" i="24"/>
  <c r="FI286" i="24"/>
  <c r="FI262" i="24"/>
  <c r="FI222" i="24"/>
  <c r="FI304" i="24"/>
  <c r="FI236" i="24"/>
  <c r="FI258" i="24"/>
  <c r="FI252" i="24"/>
  <c r="FI242" i="24"/>
  <c r="FI255" i="24"/>
  <c r="FI309" i="24"/>
  <c r="FI272" i="24"/>
  <c r="FI277" i="24"/>
  <c r="FI282" i="24"/>
  <c r="FI283" i="24"/>
  <c r="FI271" i="24"/>
  <c r="FI226" i="24"/>
  <c r="FI245" i="24"/>
  <c r="FI311" i="24"/>
  <c r="FI224" i="24"/>
  <c r="FI244" i="24"/>
  <c r="FI295" i="24"/>
  <c r="FI292" i="24"/>
  <c r="FI313" i="24"/>
  <c r="FI274" i="24"/>
  <c r="FI233" i="24"/>
  <c r="FI253" i="24"/>
  <c r="FI280" i="24"/>
  <c r="FI303" i="24"/>
  <c r="FI270" i="24"/>
  <c r="FI300" i="24"/>
  <c r="FI284" i="24"/>
  <c r="FI254" i="24"/>
  <c r="FI290" i="24"/>
  <c r="FI315" i="24"/>
  <c r="FI257" i="24"/>
  <c r="FI275" i="24"/>
  <c r="FI306" i="24"/>
  <c r="FI305" i="24"/>
  <c r="FI273" i="24"/>
  <c r="AS110" i="24"/>
  <c r="BJ110" i="24"/>
  <c r="AQ110" i="24"/>
  <c r="BU110" i="24"/>
  <c r="AX110" i="24"/>
  <c r="BW110" i="24"/>
  <c r="DN212" i="24" l="1"/>
  <c r="DX212" i="24" s="1"/>
  <c r="DK212" i="24"/>
  <c r="DJ212" i="24"/>
  <c r="AT216" i="24"/>
  <c r="BA216" i="24" s="1"/>
  <c r="AN216" i="24"/>
  <c r="AK216" i="24"/>
  <c r="AU110" i="24"/>
  <c r="BB110" i="24" s="1"/>
  <c r="AW110" i="24"/>
  <c r="BW216" i="24" l="1"/>
  <c r="BI216" i="24"/>
  <c r="BL216" i="24" s="1"/>
  <c r="DO212" i="24"/>
  <c r="DR212" i="24"/>
  <c r="EE212" i="24"/>
  <c r="BH216" i="24"/>
  <c r="BU216" i="24"/>
  <c r="BJ216" i="24"/>
  <c r="AX216" i="24"/>
  <c r="AS216" i="24"/>
  <c r="AQ216" i="24"/>
  <c r="AY110" i="24"/>
  <c r="AZ110" i="24" s="1"/>
  <c r="BD110" i="24"/>
  <c r="BE110" i="24"/>
  <c r="BT110" i="24" s="1"/>
  <c r="DW212" i="24" l="1"/>
  <c r="EM212" i="24"/>
  <c r="EP212" i="24" s="1"/>
  <c r="EN212" i="24"/>
  <c r="FI212" i="24"/>
  <c r="DU212" i="24"/>
  <c r="EB212" i="24"/>
  <c r="EL212" i="24"/>
  <c r="EY212" i="24"/>
  <c r="FA212" i="24"/>
  <c r="AU216" i="24"/>
  <c r="BB216" i="24" s="1"/>
  <c r="AW216" i="24"/>
  <c r="BS110" i="24"/>
  <c r="BX110" i="24" s="1"/>
  <c r="BG110" i="24"/>
  <c r="DY212" i="24" l="1"/>
  <c r="EF212" i="24" s="1"/>
  <c r="EA212" i="24"/>
  <c r="L4" i="29"/>
  <c r="W3" i="29" s="1"/>
  <c r="BM110" i="24"/>
  <c r="BN110" i="24" s="1"/>
  <c r="BE216" i="24"/>
  <c r="BT216" i="24" s="1"/>
  <c r="BD216" i="24"/>
  <c r="AY216" i="24"/>
  <c r="AZ216" i="24" s="1"/>
  <c r="BY110" i="24"/>
  <c r="CA110" i="24" s="1"/>
  <c r="CB110" i="24" s="1"/>
  <c r="EH212" i="24" l="1"/>
  <c r="EC212" i="24"/>
  <c r="ED212" i="24" s="1"/>
  <c r="EI212" i="24"/>
  <c r="EX212" i="24" s="1"/>
  <c r="FL212" i="24"/>
  <c r="CG212" i="24"/>
  <c r="I212" i="24" s="1"/>
  <c r="B41" i="29"/>
  <c r="D41" i="29" s="1"/>
  <c r="BG216" i="24"/>
  <c r="BM216" i="24" s="1"/>
  <c r="BS216" i="24"/>
  <c r="BX216" i="24" s="1"/>
  <c r="I388" i="29"/>
  <c r="J507" i="29"/>
  <c r="I318" i="29"/>
  <c r="J157" i="29"/>
  <c r="J196" i="29"/>
  <c r="I481" i="29"/>
  <c r="I511" i="29"/>
  <c r="I152" i="29"/>
  <c r="I345" i="29"/>
  <c r="I495" i="29"/>
  <c r="I129" i="29"/>
  <c r="I435" i="29"/>
  <c r="I469" i="29"/>
  <c r="I133" i="29"/>
  <c r="J550" i="29"/>
  <c r="I611" i="29"/>
  <c r="J306" i="29"/>
  <c r="J464" i="29"/>
  <c r="J482" i="29"/>
  <c r="I560" i="29"/>
  <c r="J541" i="29"/>
  <c r="I217" i="29"/>
  <c r="J25" i="29"/>
  <c r="J564" i="29"/>
  <c r="J123" i="29"/>
  <c r="I238" i="29"/>
  <c r="I321" i="29"/>
  <c r="I550" i="29"/>
  <c r="I104" i="29"/>
  <c r="J524" i="29"/>
  <c r="I527" i="29"/>
  <c r="I513" i="29"/>
  <c r="I276" i="29"/>
  <c r="J86" i="29"/>
  <c r="I632" i="29"/>
  <c r="J609" i="29"/>
  <c r="I360" i="29"/>
  <c r="I69" i="29"/>
  <c r="J437" i="29"/>
  <c r="I361" i="29"/>
  <c r="I164" i="29"/>
  <c r="J254" i="29"/>
  <c r="I300" i="29"/>
  <c r="I194" i="29"/>
  <c r="I42" i="29"/>
  <c r="J601" i="29"/>
  <c r="I428" i="29"/>
  <c r="J506" i="29"/>
  <c r="J38" i="29"/>
  <c r="J375" i="29"/>
  <c r="J430" i="29"/>
  <c r="I517" i="29"/>
  <c r="J250" i="29"/>
  <c r="I38" i="29"/>
  <c r="J372" i="29"/>
  <c r="J516" i="29"/>
  <c r="J314" i="29"/>
  <c r="I431" i="29"/>
  <c r="J521" i="29"/>
  <c r="I608" i="29"/>
  <c r="I461" i="29"/>
  <c r="I105" i="29"/>
  <c r="I475" i="29"/>
  <c r="J101" i="29"/>
  <c r="J361" i="29"/>
  <c r="J73" i="29"/>
  <c r="I233" i="29"/>
  <c r="I602" i="29"/>
  <c r="I604" i="29"/>
  <c r="J279" i="29"/>
  <c r="I525" i="29"/>
  <c r="I569" i="29"/>
  <c r="I319" i="29"/>
  <c r="I75" i="29"/>
  <c r="J119" i="29"/>
  <c r="J152" i="29"/>
  <c r="J590" i="29"/>
  <c r="I64" i="29"/>
  <c r="J585" i="29"/>
  <c r="J455" i="29"/>
  <c r="I440" i="29"/>
  <c r="J83" i="29"/>
  <c r="I239" i="29"/>
  <c r="J339" i="29"/>
  <c r="J300" i="29"/>
  <c r="I599" i="29"/>
  <c r="I379" i="29"/>
  <c r="I579" i="29"/>
  <c r="I524" i="29"/>
  <c r="I561" i="29"/>
  <c r="I267" i="29"/>
  <c r="I582" i="29"/>
  <c r="I314" i="29"/>
  <c r="J287" i="29"/>
  <c r="J393" i="29"/>
  <c r="J131" i="29"/>
  <c r="I220" i="29"/>
  <c r="I107" i="29"/>
  <c r="I137" i="29"/>
  <c r="J124" i="29"/>
  <c r="J535" i="29"/>
  <c r="I474" i="29"/>
  <c r="J344" i="29"/>
  <c r="I106" i="29"/>
  <c r="I412" i="29"/>
  <c r="J510" i="29"/>
  <c r="J331" i="29"/>
  <c r="J45" i="29"/>
  <c r="I203" i="29"/>
  <c r="J198" i="29"/>
  <c r="J569" i="29"/>
  <c r="I92" i="29"/>
  <c r="J177" i="29"/>
  <c r="J527" i="29"/>
  <c r="I576" i="29"/>
  <c r="J309" i="29"/>
  <c r="I515" i="29"/>
  <c r="I349" i="29"/>
  <c r="J357" i="29"/>
  <c r="J68" i="29"/>
  <c r="J226" i="29"/>
  <c r="I274" i="29"/>
  <c r="I154" i="29"/>
  <c r="J409" i="29"/>
  <c r="I355" i="29"/>
  <c r="J589" i="29"/>
  <c r="I393" i="29"/>
  <c r="J42" i="29"/>
  <c r="J360" i="29"/>
  <c r="I391" i="29"/>
  <c r="J401" i="29"/>
  <c r="I554" i="29"/>
  <c r="I464" i="29"/>
  <c r="J350" i="29"/>
  <c r="J284" i="29"/>
  <c r="I55" i="29"/>
  <c r="J330" i="29"/>
  <c r="I390" i="29"/>
  <c r="J548" i="29"/>
  <c r="I398" i="29"/>
  <c r="I135" i="29"/>
  <c r="J70" i="29"/>
  <c r="I472" i="29"/>
  <c r="I505" i="29"/>
  <c r="J171" i="29"/>
  <c r="J325" i="29"/>
  <c r="I504" i="29"/>
  <c r="I357" i="29"/>
  <c r="I130" i="29"/>
  <c r="I273" i="29"/>
  <c r="J607" i="29"/>
  <c r="I593" i="29"/>
  <c r="I97" i="29"/>
  <c r="J194" i="29"/>
  <c r="J195" i="29"/>
  <c r="J90" i="29"/>
  <c r="I91" i="29"/>
  <c r="I483" i="29"/>
  <c r="J588" i="29"/>
  <c r="J435" i="29"/>
  <c r="J130" i="29"/>
  <c r="I271" i="29"/>
  <c r="J258" i="29"/>
  <c r="I375" i="29"/>
  <c r="I538" i="29"/>
  <c r="I364" i="29"/>
  <c r="J263" i="29"/>
  <c r="I383" i="29"/>
  <c r="I502" i="29"/>
  <c r="J320" i="29"/>
  <c r="J425" i="29"/>
  <c r="I493" i="29"/>
  <c r="I555" i="29"/>
  <c r="I497" i="29"/>
  <c r="J52" i="29"/>
  <c r="J277" i="29"/>
  <c r="J442" i="29"/>
  <c r="J504" i="29"/>
  <c r="I329" i="29"/>
  <c r="I77" i="29"/>
  <c r="J602" i="29"/>
  <c r="I313" i="29"/>
  <c r="I114" i="29"/>
  <c r="I304" i="29"/>
  <c r="J253" i="29"/>
  <c r="J576" i="29"/>
  <c r="J346" i="29"/>
  <c r="J519" i="29"/>
  <c r="J203" i="29"/>
  <c r="I119" i="29"/>
  <c r="J210" i="29"/>
  <c r="I242" i="29"/>
  <c r="I596" i="29"/>
  <c r="J359" i="29"/>
  <c r="I162" i="29"/>
  <c r="I261" i="29"/>
  <c r="I459" i="29"/>
  <c r="I585" i="29"/>
  <c r="I406" i="29"/>
  <c r="J493" i="29"/>
  <c r="I577" i="29"/>
  <c r="J65" i="29"/>
  <c r="J160" i="29"/>
  <c r="J72" i="29"/>
  <c r="I277" i="29"/>
  <c r="J252" i="29"/>
  <c r="I334" i="29"/>
  <c r="I373" i="29"/>
  <c r="I374" i="29"/>
  <c r="I592" i="29"/>
  <c r="J322" i="29"/>
  <c r="J575" i="29"/>
  <c r="J231" i="29"/>
  <c r="J221" i="29"/>
  <c r="I150" i="29"/>
  <c r="I327" i="29"/>
  <c r="I446" i="29"/>
  <c r="J61" i="29"/>
  <c r="I117" i="29"/>
  <c r="J102" i="29"/>
  <c r="I370" i="29"/>
  <c r="I422" i="29"/>
  <c r="I199" i="29"/>
  <c r="I284" i="29"/>
  <c r="J354" i="29"/>
  <c r="I49" i="29"/>
  <c r="I102" i="29"/>
  <c r="J161" i="29"/>
  <c r="J562" i="29"/>
  <c r="J563" i="29"/>
  <c r="J79" i="29"/>
  <c r="J381" i="29"/>
  <c r="J474" i="29"/>
  <c r="I248" i="29"/>
  <c r="I32" i="29"/>
  <c r="J338" i="29"/>
  <c r="J530" i="29"/>
  <c r="I74" i="29"/>
  <c r="J53" i="29"/>
  <c r="I542" i="29"/>
  <c r="J584" i="29"/>
  <c r="I303" i="29"/>
  <c r="I587" i="29"/>
  <c r="J297" i="29"/>
  <c r="I240" i="29"/>
  <c r="J176" i="29"/>
  <c r="J158" i="29"/>
  <c r="J247" i="29"/>
  <c r="J289" i="29"/>
  <c r="I414" i="29"/>
  <c r="J587" i="29"/>
  <c r="J491" i="29"/>
  <c r="J579" i="29"/>
  <c r="I403" i="29"/>
  <c r="J366" i="29"/>
  <c r="J486" i="29"/>
  <c r="I170" i="29"/>
  <c r="I432" i="29"/>
  <c r="I603" i="29"/>
  <c r="I58" i="29"/>
  <c r="J168" i="29"/>
  <c r="I479" i="29"/>
  <c r="I454" i="29"/>
  <c r="I567" i="29"/>
  <c r="J423" i="29"/>
  <c r="I378" i="29"/>
  <c r="J389" i="29"/>
  <c r="I24" i="29"/>
  <c r="J369" i="29"/>
  <c r="I168" i="29"/>
  <c r="I213" i="29"/>
  <c r="I558" i="29"/>
  <c r="I251" i="29"/>
  <c r="J432" i="29"/>
  <c r="J311" i="29"/>
  <c r="I487" i="29"/>
  <c r="I138" i="29"/>
  <c r="J345" i="29"/>
  <c r="J262" i="29"/>
  <c r="J106" i="29"/>
  <c r="I266" i="29"/>
  <c r="I306" i="29"/>
  <c r="I54" i="29"/>
  <c r="E54" i="1"/>
  <c r="I336" i="29"/>
  <c r="I18" i="29"/>
  <c r="I275" i="29"/>
  <c r="J379" i="29"/>
  <c r="J449" i="29"/>
  <c r="J32" i="29"/>
  <c r="J417" i="29"/>
  <c r="I37" i="29"/>
  <c r="I282" i="29"/>
  <c r="J334" i="29"/>
  <c r="J60" i="29"/>
  <c r="J374" i="29"/>
  <c r="J436" i="29"/>
  <c r="I320" i="29"/>
  <c r="I407" i="29"/>
  <c r="J385" i="29"/>
  <c r="I441" i="29"/>
  <c r="I589" i="29"/>
  <c r="I547" i="29"/>
  <c r="I389" i="29"/>
  <c r="I293" i="29"/>
  <c r="I404" i="29"/>
  <c r="I365" i="29"/>
  <c r="J467" i="29"/>
  <c r="I581" i="29"/>
  <c r="I292" i="29"/>
  <c r="J164" i="29"/>
  <c r="I160" i="29"/>
  <c r="I521" i="29"/>
  <c r="I79" i="29"/>
  <c r="I399" i="29"/>
  <c r="J336" i="29"/>
  <c r="I546" i="29"/>
  <c r="J243" i="29"/>
  <c r="I229" i="29"/>
  <c r="I280" i="29"/>
  <c r="J348" i="29"/>
  <c r="J597" i="29"/>
  <c r="J139" i="29"/>
  <c r="J492" i="29"/>
  <c r="I132" i="29"/>
  <c r="I559" i="29"/>
  <c r="I433" i="29"/>
  <c r="J233" i="29"/>
  <c r="J407" i="29"/>
  <c r="J571" i="29"/>
  <c r="J501" i="29"/>
  <c r="J44" i="29"/>
  <c r="I312" i="29"/>
  <c r="J460" i="29"/>
  <c r="I331" i="29"/>
  <c r="J111" i="29"/>
  <c r="J328" i="29"/>
  <c r="J377" i="29"/>
  <c r="J135" i="29"/>
  <c r="I333" i="29"/>
  <c r="I457" i="29"/>
  <c r="I514" i="29"/>
  <c r="I605" i="29"/>
  <c r="J595" i="29"/>
  <c r="J145" i="29"/>
  <c r="J421" i="29"/>
  <c r="J605" i="29"/>
  <c r="J303" i="29"/>
  <c r="I439" i="29"/>
  <c r="I573" i="29"/>
  <c r="I144" i="29"/>
  <c r="I197" i="29"/>
  <c r="I241" i="29"/>
  <c r="I510" i="29"/>
  <c r="J556" i="29"/>
  <c r="I536" i="29"/>
  <c r="I445" i="29"/>
  <c r="I609" i="29"/>
  <c r="I353" i="29"/>
  <c r="I245" i="29"/>
  <c r="I122" i="29"/>
  <c r="I359" i="29"/>
  <c r="I316" i="29"/>
  <c r="I13" i="29"/>
  <c r="J275" i="29"/>
  <c r="I78" i="29"/>
  <c r="I473" i="29"/>
  <c r="I20" i="29"/>
  <c r="J20" i="29"/>
  <c r="I448" i="29"/>
  <c r="J539" i="29"/>
  <c r="I366" i="29"/>
  <c r="J450" i="29"/>
  <c r="I444" i="29"/>
  <c r="I15" i="29"/>
  <c r="J384" i="29"/>
  <c r="I568" i="29"/>
  <c r="J537" i="29"/>
  <c r="I143" i="29"/>
  <c r="I410" i="29"/>
  <c r="I408" i="29"/>
  <c r="J30" i="29"/>
  <c r="J367" i="29"/>
  <c r="J351" i="29"/>
  <c r="J302" i="29"/>
  <c r="J472" i="29"/>
  <c r="I337" i="29"/>
  <c r="J480" i="29"/>
  <c r="I392" i="29"/>
  <c r="J91" i="29"/>
  <c r="J136" i="29"/>
  <c r="J445" i="29"/>
  <c r="J465" i="29"/>
  <c r="J536" i="29"/>
  <c r="I315" i="29"/>
  <c r="I405" i="29"/>
  <c r="I61" i="29"/>
  <c r="J117" i="29"/>
  <c r="I201" i="29"/>
  <c r="I612" i="29"/>
  <c r="G622" i="29"/>
  <c r="J318" i="29"/>
  <c r="I421" i="29"/>
  <c r="I484" i="29"/>
  <c r="J390" i="29"/>
  <c r="J433" i="29"/>
  <c r="I232" i="29"/>
  <c r="J559" i="29"/>
  <c r="I580" i="29"/>
  <c r="I299" i="29"/>
  <c r="J608" i="29"/>
  <c r="I317" i="29"/>
  <c r="J326" i="29"/>
  <c r="I413" i="29"/>
  <c r="I286" i="29"/>
  <c r="I174" i="29"/>
  <c r="J185" i="29"/>
  <c r="I171" i="29"/>
  <c r="J553" i="29"/>
  <c r="J380" i="29"/>
  <c r="J466" i="29"/>
  <c r="I185" i="29"/>
  <c r="I372" i="29"/>
  <c r="J84" i="29"/>
  <c r="I437" i="29"/>
  <c r="J606" i="29"/>
  <c r="I184" i="29"/>
  <c r="I350" i="29"/>
  <c r="J458" i="29"/>
  <c r="J19" i="29"/>
  <c r="J85" i="29"/>
  <c r="J228" i="29"/>
  <c r="J522" i="29"/>
  <c r="J503" i="29"/>
  <c r="J175" i="29"/>
  <c r="I397" i="29"/>
  <c r="J500" i="29"/>
  <c r="J146" i="29"/>
  <c r="J35" i="29"/>
  <c r="I134" i="29"/>
  <c r="I578" i="29"/>
  <c r="I551" i="29"/>
  <c r="I116" i="29"/>
  <c r="J517" i="29"/>
  <c r="J496" i="29"/>
  <c r="I65" i="29"/>
  <c r="I209" i="29"/>
  <c r="I145" i="29"/>
  <c r="J129" i="29"/>
  <c r="J16" i="29"/>
  <c r="I33" i="29"/>
  <c r="J128" i="29"/>
  <c r="J446" i="29"/>
  <c r="I436" i="29"/>
  <c r="J534" i="29"/>
  <c r="I305" i="29"/>
  <c r="I482" i="29"/>
  <c r="I76" i="29"/>
  <c r="J133" i="29"/>
  <c r="J321" i="29"/>
  <c r="I395" i="29"/>
  <c r="I236" i="29"/>
  <c r="J402" i="29"/>
  <c r="J77" i="29"/>
  <c r="J163" i="29"/>
  <c r="J426" i="29"/>
  <c r="I471" i="29"/>
  <c r="I67" i="29"/>
  <c r="I386" i="29"/>
  <c r="I425" i="29"/>
  <c r="I476" i="29"/>
  <c r="I25" i="29"/>
  <c r="J80" i="29"/>
  <c r="I491" i="29"/>
  <c r="J438" i="29"/>
  <c r="I56" i="29"/>
  <c r="J89" i="29"/>
  <c r="I499" i="29"/>
  <c r="I565" i="29"/>
  <c r="I109" i="29"/>
  <c r="I453" i="29"/>
  <c r="J444" i="29"/>
  <c r="I532" i="29"/>
  <c r="J54" i="29"/>
  <c r="J304" i="29"/>
  <c r="J580" i="29"/>
  <c r="I540" i="29"/>
  <c r="I206" i="29"/>
  <c r="J469" i="29"/>
  <c r="I583" i="29"/>
  <c r="J358" i="29"/>
  <c r="I158" i="29"/>
  <c r="J192" i="29"/>
  <c r="I252" i="29"/>
  <c r="I151" i="29"/>
  <c r="I595" i="29"/>
  <c r="I443" i="29"/>
  <c r="I562" i="29"/>
  <c r="J422" i="29"/>
  <c r="J179" i="29"/>
  <c r="J285" i="29"/>
  <c r="I344" i="29"/>
  <c r="I411" i="29"/>
  <c r="J40" i="29"/>
  <c r="I376" i="29"/>
  <c r="I255" i="29"/>
  <c r="J199" i="29"/>
  <c r="I215" i="29"/>
  <c r="I307" i="29"/>
  <c r="J411" i="29"/>
  <c r="I523" i="29"/>
  <c r="I72" i="29"/>
  <c r="I85" i="29"/>
  <c r="I387" i="29"/>
  <c r="J412" i="29"/>
  <c r="J137" i="29"/>
  <c r="J74" i="29"/>
  <c r="I533" i="29"/>
  <c r="J484" i="29"/>
  <c r="J546" i="29"/>
  <c r="J36" i="29"/>
  <c r="I465" i="29"/>
  <c r="J497" i="29"/>
  <c r="J544" i="29"/>
  <c r="J298" i="29"/>
  <c r="I156" i="29"/>
  <c r="I51" i="29"/>
  <c r="I552" i="29"/>
  <c r="J249" i="29"/>
  <c r="I458" i="29"/>
  <c r="I548" i="29"/>
  <c r="J386" i="29"/>
  <c r="I358" i="29"/>
  <c r="J272" i="29"/>
  <c r="I294" i="29"/>
  <c r="J28" i="29"/>
  <c r="I382" i="29"/>
  <c r="J591" i="29"/>
  <c r="I189" i="29"/>
  <c r="I48" i="29"/>
  <c r="J582" i="29"/>
  <c r="I343" i="29"/>
  <c r="J327" i="29"/>
  <c r="I534" i="29"/>
  <c r="J578" i="29"/>
  <c r="J343" i="29"/>
  <c r="J125" i="29"/>
  <c r="I169" i="29"/>
  <c r="J27" i="29"/>
  <c r="I342" i="29"/>
  <c r="I485" i="29"/>
  <c r="J463" i="29"/>
  <c r="J462" i="29"/>
  <c r="I478" i="29"/>
  <c r="I178" i="29"/>
  <c r="I400" i="29"/>
  <c r="J349" i="29"/>
  <c r="I427" i="29"/>
  <c r="J232" i="29"/>
  <c r="J542" i="29"/>
  <c r="J481" i="29"/>
  <c r="J489" i="29"/>
  <c r="I351" i="29"/>
  <c r="J64" i="29"/>
  <c r="J363" i="29"/>
  <c r="I52" i="29"/>
  <c r="I244" i="29"/>
  <c r="I442" i="29"/>
  <c r="J394" i="29"/>
  <c r="I460" i="29"/>
  <c r="J568" i="29"/>
  <c r="I600" i="29"/>
  <c r="J230" i="29"/>
  <c r="J305" i="29"/>
  <c r="J404" i="29"/>
  <c r="I352" i="29"/>
  <c r="J281" i="29"/>
  <c r="I62" i="29"/>
  <c r="J554" i="29"/>
  <c r="I623" i="29"/>
  <c r="J397" i="29"/>
  <c r="J520" i="29"/>
  <c r="J362" i="29"/>
  <c r="I19" i="29"/>
  <c r="J41" i="29"/>
  <c r="I191" i="29"/>
  <c r="I208" i="29"/>
  <c r="I449" i="29"/>
  <c r="I46" i="29"/>
  <c r="I234" i="29"/>
  <c r="I123" i="29"/>
  <c r="J167" i="29"/>
  <c r="J103" i="29"/>
  <c r="J212" i="29"/>
  <c r="I173" i="29"/>
  <c r="J26" i="29"/>
  <c r="J188" i="29"/>
  <c r="I332" i="29"/>
  <c r="J270" i="29"/>
  <c r="I57" i="29"/>
  <c r="J213" i="29"/>
  <c r="I17" i="29"/>
  <c r="J209" i="29"/>
  <c r="I41" i="29"/>
  <c r="J291" i="29"/>
  <c r="I371" i="29"/>
  <c r="I503" i="29"/>
  <c r="I509" i="29"/>
  <c r="J315" i="29"/>
  <c r="I363" i="29"/>
  <c r="J88" i="29"/>
  <c r="J126" i="29"/>
  <c r="I80" i="29"/>
  <c r="I356" i="29"/>
  <c r="J97" i="29"/>
  <c r="J109" i="29"/>
  <c r="I526" i="29"/>
  <c r="I501" i="29"/>
  <c r="J256" i="29"/>
  <c r="I205" i="29"/>
  <c r="I47" i="29"/>
  <c r="J528" i="29"/>
  <c r="J335" i="29"/>
  <c r="J47" i="29"/>
  <c r="J29" i="29"/>
  <c r="J242" i="29"/>
  <c r="I246" i="29"/>
  <c r="J549" i="29"/>
  <c r="I225" i="29"/>
  <c r="J278" i="29"/>
  <c r="I35" i="29"/>
  <c r="J169" i="29"/>
  <c r="J205" i="29"/>
  <c r="J222" i="29"/>
  <c r="I588" i="29"/>
  <c r="J365" i="29"/>
  <c r="J182" i="29"/>
  <c r="I396" i="29"/>
  <c r="J392" i="29"/>
  <c r="I530" i="29"/>
  <c r="I228" i="29"/>
  <c r="J416" i="29"/>
  <c r="J329" i="29"/>
  <c r="J547" i="29"/>
  <c r="I279" i="29"/>
  <c r="J116" i="29"/>
  <c r="I179" i="29"/>
  <c r="J95" i="29"/>
  <c r="J98" i="29"/>
  <c r="J93" i="29"/>
  <c r="I237" i="29"/>
  <c r="J67" i="29"/>
  <c r="J217" i="29"/>
  <c r="J76" i="29"/>
  <c r="I60" i="29"/>
  <c r="I16" i="29"/>
  <c r="J457" i="29"/>
  <c r="J418" i="29"/>
  <c r="I30" i="29"/>
  <c r="I153" i="29"/>
  <c r="I149" i="29"/>
  <c r="I101" i="29"/>
  <c r="I572" i="29"/>
  <c r="I470" i="29"/>
  <c r="I26" i="29"/>
  <c r="J154" i="29"/>
  <c r="J356" i="29"/>
  <c r="J81" i="29"/>
  <c r="I338" i="29"/>
  <c r="I256" i="29"/>
  <c r="J251" i="29"/>
  <c r="J475" i="29"/>
  <c r="I218" i="29"/>
  <c r="J479" i="29"/>
  <c r="J403" i="29"/>
  <c r="I126" i="29"/>
  <c r="J276" i="29"/>
  <c r="J264" i="29"/>
  <c r="I381" i="29"/>
  <c r="I268" i="29"/>
  <c r="I254" i="29"/>
  <c r="I348" i="29"/>
  <c r="I624" i="29"/>
  <c r="I166" i="29"/>
  <c r="J112" i="29"/>
  <c r="J245" i="29"/>
  <c r="J560" i="29"/>
  <c r="J323" i="29"/>
  <c r="I247" i="29"/>
  <c r="I98" i="29"/>
  <c r="I270" i="29"/>
  <c r="J593" i="29"/>
  <c r="I295" i="29"/>
  <c r="J147" i="29"/>
  <c r="I207" i="29"/>
  <c r="J428" i="29"/>
  <c r="J420" i="29"/>
  <c r="I597" i="29"/>
  <c r="I146" i="29"/>
  <c r="I447" i="29"/>
  <c r="I88" i="29"/>
  <c r="J200" i="29"/>
  <c r="J260" i="29"/>
  <c r="I31" i="29"/>
  <c r="J573" i="29"/>
  <c r="J50" i="29"/>
  <c r="J513" i="29"/>
  <c r="I161" i="29"/>
  <c r="J237" i="29"/>
  <c r="J355" i="29"/>
  <c r="J483" i="29"/>
  <c r="J148" i="29"/>
  <c r="I219" i="29"/>
  <c r="I257" i="29"/>
  <c r="J92" i="29"/>
  <c r="I553" i="29"/>
  <c r="J166" i="29"/>
  <c r="I297" i="29"/>
  <c r="I269" i="29"/>
  <c r="J219" i="29"/>
  <c r="I628" i="29"/>
  <c r="I328" i="29"/>
  <c r="I456" i="29"/>
  <c r="J257" i="29"/>
  <c r="J69" i="29"/>
  <c r="I455" i="29"/>
  <c r="I182" i="29"/>
  <c r="I71" i="29"/>
  <c r="J312" i="29"/>
  <c r="I486" i="29"/>
  <c r="I607" i="29"/>
  <c r="I380" i="29"/>
  <c r="J594" i="29"/>
  <c r="I462" i="29"/>
  <c r="J307" i="29"/>
  <c r="J488" i="29"/>
  <c r="J505" i="29"/>
  <c r="I498" i="29"/>
  <c r="I265" i="29"/>
  <c r="J448" i="29"/>
  <c r="J561" i="29"/>
  <c r="J427" i="29"/>
  <c r="I211" i="29"/>
  <c r="J603" i="29"/>
  <c r="I556" i="29"/>
  <c r="J261" i="29"/>
  <c r="I296" i="29"/>
  <c r="J509" i="29"/>
  <c r="J197" i="29"/>
  <c r="J159" i="29"/>
  <c r="J162" i="29"/>
  <c r="J255" i="29"/>
  <c r="I346" i="29"/>
  <c r="J273" i="29"/>
  <c r="I28" i="29"/>
  <c r="I262" i="29"/>
  <c r="J512" i="29"/>
  <c r="I167" i="29"/>
  <c r="I204" i="29"/>
  <c r="J225" i="29"/>
  <c r="I289" i="29"/>
  <c r="I163" i="29"/>
  <c r="J57" i="29"/>
  <c r="I235" i="29"/>
  <c r="J508" i="29"/>
  <c r="J39" i="29"/>
  <c r="J405" i="29"/>
  <c r="I128" i="29"/>
  <c r="J337" i="29"/>
  <c r="J51" i="29"/>
  <c r="J18" i="29"/>
  <c r="J268" i="29"/>
  <c r="I141" i="29"/>
  <c r="I93" i="29"/>
  <c r="J499" i="29"/>
  <c r="J211" i="29"/>
  <c r="J141" i="29"/>
  <c r="J583" i="29"/>
  <c r="J470" i="29"/>
  <c r="J529" i="29"/>
  <c r="J58" i="29"/>
  <c r="I230" i="29"/>
  <c r="J319" i="29"/>
  <c r="J113" i="29"/>
  <c r="I157" i="29"/>
  <c r="J347" i="29"/>
  <c r="I82" i="29"/>
  <c r="I212" i="29"/>
  <c r="I200" i="29"/>
  <c r="I311" i="29"/>
  <c r="J105" i="29"/>
  <c r="I221" i="29"/>
  <c r="J453" i="29"/>
  <c r="J478" i="29"/>
  <c r="J43" i="29"/>
  <c r="J94" i="29"/>
  <c r="J485" i="29"/>
  <c r="J596" i="29"/>
  <c r="J138" i="29"/>
  <c r="I142" i="29"/>
  <c r="I298" i="29"/>
  <c r="I216" i="29"/>
  <c r="J600" i="29"/>
  <c r="J628" i="29"/>
  <c r="J240" i="29"/>
  <c r="J316" i="29"/>
  <c r="J540" i="29"/>
  <c r="I606" i="29"/>
  <c r="J395" i="29"/>
  <c r="J216" i="29"/>
  <c r="J459" i="29"/>
  <c r="J391" i="29"/>
  <c r="I259" i="29"/>
  <c r="J543" i="29"/>
  <c r="I196" i="29"/>
  <c r="I430" i="29"/>
  <c r="J244" i="29"/>
  <c r="I531" i="29"/>
  <c r="J290" i="29"/>
  <c r="I544" i="29"/>
  <c r="J75" i="29"/>
  <c r="J295" i="29"/>
  <c r="J523" i="29"/>
  <c r="I584" i="29"/>
  <c r="J241" i="29"/>
  <c r="I263" i="29"/>
  <c r="I369" i="29"/>
  <c r="I258" i="29"/>
  <c r="J364" i="29"/>
  <c r="J186" i="29"/>
  <c r="J37" i="29"/>
  <c r="J238" i="29"/>
  <c r="J239" i="29"/>
  <c r="I103" i="29"/>
  <c r="I155" i="29"/>
  <c r="I420" i="29"/>
  <c r="I339" i="29"/>
  <c r="I626" i="29"/>
  <c r="J15" i="29"/>
  <c r="J34" i="29"/>
  <c r="I264" i="29"/>
  <c r="I535" i="29"/>
  <c r="I118" i="29"/>
  <c r="J441" i="29"/>
  <c r="I610" i="29"/>
  <c r="I415" i="29"/>
  <c r="J190" i="29"/>
  <c r="J398" i="29"/>
  <c r="J623" i="29"/>
  <c r="J502" i="29"/>
  <c r="I494" i="29"/>
  <c r="I467" i="29"/>
  <c r="I508" i="29"/>
  <c r="I385" i="29"/>
  <c r="J333" i="29"/>
  <c r="J202" i="29"/>
  <c r="J156" i="29"/>
  <c r="I516" i="29"/>
  <c r="I278" i="29"/>
  <c r="I202" i="29"/>
  <c r="J515" i="29"/>
  <c r="J173" i="29"/>
  <c r="I564" i="29"/>
  <c r="J494" i="29"/>
  <c r="J332" i="29"/>
  <c r="I394" i="29"/>
  <c r="J439" i="29"/>
  <c r="I549" i="29"/>
  <c r="J269" i="29"/>
  <c r="I243" i="29"/>
  <c r="I224" i="29"/>
  <c r="J267" i="29"/>
  <c r="I231" i="29"/>
  <c r="I73" i="29"/>
  <c r="J108" i="29"/>
  <c r="I100" i="29"/>
  <c r="I507" i="29"/>
  <c r="I496" i="29"/>
  <c r="J599" i="29"/>
  <c r="J142" i="29"/>
  <c r="J149" i="29"/>
  <c r="J31" i="29"/>
  <c r="J626" i="29"/>
  <c r="I84" i="29"/>
  <c r="J220" i="29"/>
  <c r="I172" i="29"/>
  <c r="J324" i="29"/>
  <c r="I89" i="29"/>
  <c r="I330" i="29"/>
  <c r="J17" i="29"/>
  <c r="J414" i="29"/>
  <c r="J518" i="29"/>
  <c r="I426" i="29"/>
  <c r="J132" i="29"/>
  <c r="I63" i="29"/>
  <c r="J286" i="29"/>
  <c r="J22" i="29"/>
  <c r="I325" i="29"/>
  <c r="J259" i="29"/>
  <c r="I111" i="29"/>
  <c r="J236" i="29"/>
  <c r="I468" i="29"/>
  <c r="J227" i="29"/>
  <c r="J400" i="29"/>
  <c r="I418" i="29"/>
  <c r="I302" i="29"/>
  <c r="J246" i="29"/>
  <c r="J352" i="29"/>
  <c r="I347" i="29"/>
  <c r="J14" i="29"/>
  <c r="I480" i="29"/>
  <c r="I522" i="29"/>
  <c r="I377" i="29"/>
  <c r="J308" i="29"/>
  <c r="I291" i="29"/>
  <c r="I539" i="29"/>
  <c r="J193" i="29"/>
  <c r="I335" i="29"/>
  <c r="I424" i="29"/>
  <c r="I108" i="29"/>
  <c r="J288" i="29"/>
  <c r="I340" i="29"/>
  <c r="I308" i="29"/>
  <c r="J424" i="29"/>
  <c r="J214" i="29"/>
  <c r="J342" i="29"/>
  <c r="J82" i="29"/>
  <c r="J447" i="29"/>
  <c r="I341" i="29"/>
  <c r="J180" i="29"/>
  <c r="J473" i="29"/>
  <c r="J46" i="29"/>
  <c r="I490" i="29"/>
  <c r="I324" i="29"/>
  <c r="J96" i="29"/>
  <c r="J408" i="29"/>
  <c r="J293" i="29"/>
  <c r="I148" i="29"/>
  <c r="J206" i="29"/>
  <c r="J187" i="29"/>
  <c r="I59" i="29"/>
  <c r="J371" i="29"/>
  <c r="I417" i="29"/>
  <c r="I195" i="29"/>
  <c r="I416" i="29"/>
  <c r="I574" i="29"/>
  <c r="J296" i="29"/>
  <c r="J570" i="29"/>
  <c r="I124" i="29"/>
  <c r="I99" i="29"/>
  <c r="J477" i="29"/>
  <c r="J495" i="29"/>
  <c r="J78" i="29"/>
  <c r="I354" i="29"/>
  <c r="J368" i="29"/>
  <c r="J413" i="29"/>
  <c r="J134" i="29"/>
  <c r="I489" i="29"/>
  <c r="I34" i="29"/>
  <c r="J292" i="29"/>
  <c r="I110" i="29"/>
  <c r="I83" i="29"/>
  <c r="J23" i="29"/>
  <c r="I520" i="29"/>
  <c r="J155" i="29"/>
  <c r="J545" i="29"/>
  <c r="J140" i="29"/>
  <c r="J533" i="29"/>
  <c r="J63" i="29"/>
  <c r="J178" i="29"/>
  <c r="I175" i="29"/>
  <c r="I463" i="29"/>
  <c r="I165" i="29"/>
  <c r="J604" i="29"/>
  <c r="I96" i="29"/>
  <c r="J598" i="29"/>
  <c r="I423" i="29"/>
  <c r="J565" i="29"/>
  <c r="I512" i="29"/>
  <c r="I557" i="29"/>
  <c r="I613" i="29"/>
  <c r="I541" i="29"/>
  <c r="I131" i="29"/>
  <c r="J410" i="29"/>
  <c r="J170" i="29"/>
  <c r="J611" i="29"/>
  <c r="I113" i="29"/>
  <c r="J234" i="29"/>
  <c r="I466" i="29"/>
  <c r="I452" i="29"/>
  <c r="J555" i="29"/>
  <c r="J388" i="29"/>
  <c r="I27" i="29"/>
  <c r="J613" i="29"/>
  <c r="I367" i="29"/>
  <c r="I81" i="29"/>
  <c r="I272" i="29"/>
  <c r="J431" i="29"/>
  <c r="I362" i="29"/>
  <c r="I86" i="29"/>
  <c r="I159" i="29"/>
  <c r="I594" i="29"/>
  <c r="I95" i="29"/>
  <c r="J151" i="29"/>
  <c r="I451" i="29"/>
  <c r="J376" i="29"/>
  <c r="I186" i="29"/>
  <c r="J55" i="29"/>
  <c r="J120" i="29"/>
  <c r="I188" i="29"/>
  <c r="J150" i="29"/>
  <c r="I309" i="29"/>
  <c r="I125" i="29"/>
  <c r="J382" i="29"/>
  <c r="I384" i="29"/>
  <c r="J208" i="29"/>
  <c r="I223" i="29"/>
  <c r="I120" i="29"/>
  <c r="I140" i="29"/>
  <c r="I591" i="29"/>
  <c r="J317" i="29"/>
  <c r="I283" i="29"/>
  <c r="J271" i="29"/>
  <c r="J71" i="29"/>
  <c r="J399" i="29"/>
  <c r="J440" i="29"/>
  <c r="J266" i="29"/>
  <c r="J370" i="29"/>
  <c r="I112" i="29"/>
  <c r="J434" i="29"/>
  <c r="J174" i="29"/>
  <c r="J592" i="29"/>
  <c r="J378" i="29"/>
  <c r="J340" i="29"/>
  <c r="J586" i="29"/>
  <c r="I14" i="29"/>
  <c r="J248" i="29"/>
  <c r="J490" i="29"/>
  <c r="I192" i="29"/>
  <c r="I70" i="29"/>
  <c r="I87" i="29"/>
  <c r="J87" i="29"/>
  <c r="J104" i="29"/>
  <c r="I68" i="29"/>
  <c r="J299" i="29"/>
  <c r="I601" i="29"/>
  <c r="J566" i="29"/>
  <c r="I537" i="29"/>
  <c r="I180" i="29"/>
  <c r="J341" i="29"/>
  <c r="I409" i="29"/>
  <c r="J21" i="29"/>
  <c r="I590" i="29"/>
  <c r="I402" i="29"/>
  <c r="J282" i="29"/>
  <c r="J454" i="29"/>
  <c r="I401" i="29"/>
  <c r="J476" i="29"/>
  <c r="I529" i="29"/>
  <c r="I222" i="29"/>
  <c r="I519" i="29"/>
  <c r="I285" i="29"/>
  <c r="I176" i="29"/>
  <c r="J33" i="29"/>
  <c r="I281" i="29"/>
  <c r="I310" i="29"/>
  <c r="J461" i="29"/>
  <c r="J66" i="29"/>
  <c r="J115" i="29"/>
  <c r="J373" i="29"/>
  <c r="I40" i="29"/>
  <c r="J419" i="29"/>
  <c r="J511" i="29"/>
  <c r="J415" i="29"/>
  <c r="I518" i="29"/>
  <c r="I39" i="29"/>
  <c r="J577" i="29"/>
  <c r="I288" i="29"/>
  <c r="I434" i="29"/>
  <c r="J49" i="29"/>
  <c r="I545" i="29"/>
  <c r="I147" i="29"/>
  <c r="I500" i="29"/>
  <c r="J110" i="29"/>
  <c r="I438" i="29"/>
  <c r="J625" i="29"/>
  <c r="I566" i="29"/>
  <c r="I419" i="29"/>
  <c r="J567" i="29"/>
  <c r="I45" i="29"/>
  <c r="I543" i="29"/>
  <c r="J204" i="29"/>
  <c r="I249" i="29"/>
  <c r="J201" i="29"/>
  <c r="I121" i="29"/>
  <c r="I136" i="29"/>
  <c r="J456" i="29"/>
  <c r="J468" i="29"/>
  <c r="I575" i="29"/>
  <c r="I250" i="29"/>
  <c r="I227" i="29"/>
  <c r="I226" i="29"/>
  <c r="J525" i="29"/>
  <c r="J383" i="29"/>
  <c r="J215" i="29"/>
  <c r="I287" i="29"/>
  <c r="I50" i="29"/>
  <c r="I506" i="29"/>
  <c r="I598" i="29"/>
  <c r="J387" i="29"/>
  <c r="J452" i="29"/>
  <c r="I528" i="29"/>
  <c r="J487" i="29"/>
  <c r="I563" i="29"/>
  <c r="J153" i="29"/>
  <c r="J396" i="29"/>
  <c r="J429" i="29"/>
  <c r="J62" i="29"/>
  <c r="J191" i="29"/>
  <c r="J557" i="29"/>
  <c r="I53" i="29"/>
  <c r="I94" i="29"/>
  <c r="J498" i="29"/>
  <c r="J118" i="29"/>
  <c r="I210" i="29"/>
  <c r="J183" i="29"/>
  <c r="J59" i="29"/>
  <c r="J552" i="29"/>
  <c r="J514" i="29"/>
  <c r="J56" i="29"/>
  <c r="J143" i="29"/>
  <c r="I187" i="29"/>
  <c r="I301" i="29"/>
  <c r="J406" i="29"/>
  <c r="J558" i="29"/>
  <c r="J144" i="29"/>
  <c r="J224" i="29"/>
  <c r="I260" i="29"/>
  <c r="J223" i="29"/>
  <c r="I198" i="29"/>
  <c r="I290" i="29"/>
  <c r="I627" i="29"/>
  <c r="I29" i="29"/>
  <c r="J526" i="29"/>
  <c r="I477" i="29"/>
  <c r="I21" i="29"/>
  <c r="I326" i="29"/>
  <c r="J581" i="29"/>
  <c r="I183" i="29"/>
  <c r="J24" i="29"/>
  <c r="I190" i="29"/>
  <c r="J48" i="29"/>
  <c r="J184" i="29"/>
  <c r="I625" i="29"/>
  <c r="I492" i="29"/>
  <c r="I586" i="29"/>
  <c r="J100" i="29"/>
  <c r="J13" i="29"/>
  <c r="J624" i="29"/>
  <c r="I90" i="29"/>
  <c r="J353" i="29"/>
  <c r="I571" i="29"/>
  <c r="J114" i="29"/>
  <c r="J471" i="29"/>
  <c r="J165" i="29"/>
  <c r="J551" i="29"/>
  <c r="J235" i="29"/>
  <c r="I139" i="29"/>
  <c r="I322" i="29"/>
  <c r="I429" i="29"/>
  <c r="J301" i="29"/>
  <c r="J451" i="29"/>
  <c r="J99" i="29"/>
  <c r="I570" i="29"/>
  <c r="J229" i="29"/>
  <c r="I181" i="29"/>
  <c r="I253" i="29"/>
  <c r="J218" i="29"/>
  <c r="I66" i="29"/>
  <c r="I193" i="29"/>
  <c r="J572" i="29"/>
  <c r="J627" i="29"/>
  <c r="J274" i="29"/>
  <c r="J189" i="29"/>
  <c r="J283" i="29"/>
  <c r="J532" i="29"/>
  <c r="J313" i="29"/>
  <c r="I450" i="29"/>
  <c r="J443" i="29"/>
  <c r="I36" i="29"/>
  <c r="J610" i="29"/>
  <c r="J280" i="29"/>
  <c r="J310" i="29"/>
  <c r="J574" i="29"/>
  <c r="I323" i="29"/>
  <c r="J538" i="29"/>
  <c r="J122" i="29"/>
  <c r="J181" i="29"/>
  <c r="J107" i="29"/>
  <c r="I23" i="29"/>
  <c r="J531" i="29"/>
  <c r="J612" i="29"/>
  <c r="J121" i="29"/>
  <c r="I488" i="29"/>
  <c r="I115" i="29"/>
  <c r="J265" i="29"/>
  <c r="I127" i="29"/>
  <c r="J172" i="29"/>
  <c r="I214" i="29"/>
  <c r="I44" i="29"/>
  <c r="I43" i="29"/>
  <c r="I368" i="29"/>
  <c r="J127" i="29"/>
  <c r="J207" i="29"/>
  <c r="J294" i="29"/>
  <c r="I177" i="29"/>
  <c r="I22" i="29"/>
  <c r="K212" i="24" l="1"/>
  <c r="BK212" i="24"/>
  <c r="S212" i="24"/>
  <c r="T212" i="24" s="1"/>
  <c r="M212" i="24"/>
  <c r="EK212" i="24"/>
  <c r="EW212" i="24"/>
  <c r="FB212" i="24" s="1"/>
  <c r="BN216" i="24"/>
  <c r="BY216" i="24"/>
  <c r="CA216" i="24" s="1"/>
  <c r="CB216" i="24" s="1"/>
  <c r="X623" i="29"/>
  <c r="Y623" i="29" s="1"/>
  <c r="AH623" i="29"/>
  <c r="W628" i="29"/>
  <c r="AG628" i="29"/>
  <c r="V622" i="29"/>
  <c r="K622" i="29"/>
  <c r="P622" i="29"/>
  <c r="R622" i="29"/>
  <c r="U622" i="29"/>
  <c r="T622" i="29"/>
  <c r="Q622" i="29"/>
  <c r="I622" i="29"/>
  <c r="O622" i="29"/>
  <c r="S622" i="29"/>
  <c r="J622" i="29"/>
  <c r="L622" i="29"/>
  <c r="AH625" i="29"/>
  <c r="X625" i="29"/>
  <c r="Y625" i="29" s="1"/>
  <c r="X624" i="29"/>
  <c r="Y624" i="29" s="1"/>
  <c r="AH624" i="29"/>
  <c r="AH627" i="29"/>
  <c r="X627" i="29"/>
  <c r="Y627" i="29" s="1"/>
  <c r="AH628" i="29"/>
  <c r="X628" i="29"/>
  <c r="Y628" i="29" s="1"/>
  <c r="W623" i="29"/>
  <c r="J633" i="29" s="1"/>
  <c r="AG623" i="29"/>
  <c r="K633" i="29" s="1"/>
  <c r="W627" i="29"/>
  <c r="AG627" i="29"/>
  <c r="X626" i="29"/>
  <c r="Y626" i="29" s="1"/>
  <c r="AH626" i="29"/>
  <c r="AG624" i="29"/>
  <c r="K634" i="29" s="1"/>
  <c r="W624" i="29"/>
  <c r="J634" i="29" s="1"/>
  <c r="W626" i="29"/>
  <c r="J636" i="29" s="1"/>
  <c r="AG626" i="29"/>
  <c r="K636" i="29" s="1"/>
  <c r="AG625" i="29"/>
  <c r="K635" i="29" s="1"/>
  <c r="W625" i="29"/>
  <c r="J635" i="29" s="1"/>
  <c r="BK5" i="24"/>
  <c r="S5" i="24"/>
  <c r="T5" i="24" s="1"/>
  <c r="J5" i="24" s="1"/>
  <c r="ER212" i="24" l="1"/>
  <c r="FC212" i="24"/>
  <c r="FE212" i="24" s="1"/>
  <c r="U212" i="24"/>
  <c r="N212" i="24"/>
  <c r="J212" i="24"/>
  <c r="O212" i="24"/>
  <c r="BZ212" i="24" s="1"/>
  <c r="AD622" i="29"/>
  <c r="X622" i="29"/>
  <c r="Y622" i="29" s="1"/>
  <c r="AH622" i="29"/>
  <c r="AE622" i="29"/>
  <c r="W622" i="29"/>
  <c r="J632" i="29" s="1"/>
  <c r="AG622" i="29"/>
  <c r="K632" i="29" s="1"/>
  <c r="N5" i="24"/>
  <c r="P5" i="24" s="1"/>
  <c r="FI24" i="24" s="1"/>
  <c r="O5" i="24"/>
  <c r="BZ5" i="24" s="1"/>
  <c r="V5" i="24"/>
  <c r="W5" i="24"/>
  <c r="Y5" i="24" l="1"/>
  <c r="AE212" i="24"/>
  <c r="AI212" i="24"/>
  <c r="X212" i="24"/>
  <c r="AA212" i="24" s="1"/>
  <c r="AB212" i="24" s="1"/>
  <c r="AC212" i="24" s="1"/>
  <c r="Q212" i="24"/>
  <c r="AP212" i="24"/>
  <c r="P212" i="24"/>
  <c r="V212" i="24"/>
  <c r="W212" i="24"/>
  <c r="FF212" i="24"/>
  <c r="FJ212" i="24"/>
  <c r="Q5" i="24"/>
  <c r="R5" i="24" s="1"/>
  <c r="FI58" i="24"/>
  <c r="FJ62" i="24"/>
  <c r="FJ77" i="24"/>
  <c r="FJ35" i="24"/>
  <c r="FI51" i="24"/>
  <c r="FJ69" i="24"/>
  <c r="FJ24" i="24"/>
  <c r="FJ72" i="24"/>
  <c r="FI91" i="24"/>
  <c r="FI54" i="24"/>
  <c r="FI18" i="24"/>
  <c r="FJ27" i="24"/>
  <c r="FJ41" i="24"/>
  <c r="FJ103" i="24"/>
  <c r="FI60" i="24"/>
  <c r="FJ51" i="24"/>
  <c r="FJ5" i="24"/>
  <c r="FI87" i="24"/>
  <c r="FJ21" i="24"/>
  <c r="FI63" i="24"/>
  <c r="FJ29" i="24"/>
  <c r="FJ38" i="24"/>
  <c r="FI85" i="24"/>
  <c r="FJ64" i="24"/>
  <c r="FI36" i="24"/>
  <c r="FJ63" i="24"/>
  <c r="FI15" i="24"/>
  <c r="FJ99" i="24"/>
  <c r="FJ42" i="24"/>
  <c r="FJ19" i="24"/>
  <c r="FI62" i="24"/>
  <c r="FJ48" i="24"/>
  <c r="FI19" i="24"/>
  <c r="FJ88" i="24"/>
  <c r="FI11" i="24"/>
  <c r="FJ57" i="24"/>
  <c r="FI55" i="24"/>
  <c r="FI14" i="24"/>
  <c r="FI61" i="24"/>
  <c r="FJ45" i="24"/>
  <c r="FI69" i="24"/>
  <c r="FI89" i="24"/>
  <c r="FI70" i="24"/>
  <c r="FJ92" i="24"/>
  <c r="FI9" i="24"/>
  <c r="FI50" i="24"/>
  <c r="FJ60" i="24"/>
  <c r="FI47" i="24"/>
  <c r="FJ49" i="24"/>
  <c r="FI72" i="24"/>
  <c r="CF5" i="24"/>
  <c r="FJ58" i="24"/>
  <c r="FI90" i="24"/>
  <c r="FJ32" i="24"/>
  <c r="FJ95" i="24"/>
  <c r="FJ23" i="24"/>
  <c r="FI81" i="24"/>
  <c r="FJ16" i="24"/>
  <c r="FJ85" i="24"/>
  <c r="FJ82" i="24"/>
  <c r="FJ61" i="24"/>
  <c r="FJ71" i="24"/>
  <c r="FJ90" i="24"/>
  <c r="FI43" i="24"/>
  <c r="FJ12" i="24"/>
  <c r="FI25" i="24"/>
  <c r="FJ83" i="24"/>
  <c r="FJ40" i="24"/>
  <c r="FI68" i="24"/>
  <c r="FI59" i="24"/>
  <c r="FJ87" i="24"/>
  <c r="FI42" i="24"/>
  <c r="FI57" i="24"/>
  <c r="FI95" i="24"/>
  <c r="FI33" i="24"/>
  <c r="FI77" i="24"/>
  <c r="FJ43" i="24"/>
  <c r="FJ74" i="24"/>
  <c r="FJ6" i="24"/>
  <c r="FI92" i="24"/>
  <c r="FI103" i="24"/>
  <c r="FJ76" i="24"/>
  <c r="FJ56" i="24"/>
  <c r="FJ84" i="24"/>
  <c r="FI49" i="24"/>
  <c r="FJ78" i="24"/>
  <c r="FJ54" i="24"/>
  <c r="FI41" i="24"/>
  <c r="FI40" i="24"/>
  <c r="FJ89" i="24"/>
  <c r="FJ18" i="24"/>
  <c r="FI79" i="24"/>
  <c r="FI26" i="24"/>
  <c r="FI80" i="24"/>
  <c r="FI35" i="24"/>
  <c r="FJ37" i="24"/>
  <c r="FI27" i="24"/>
  <c r="FJ36" i="24"/>
  <c r="FI32" i="24"/>
  <c r="FI39" i="24"/>
  <c r="FJ44" i="24"/>
  <c r="FI30" i="24"/>
  <c r="FI78" i="24"/>
  <c r="FJ101" i="24"/>
  <c r="FJ104" i="24"/>
  <c r="FI13" i="24"/>
  <c r="FI7" i="24"/>
  <c r="FI45" i="24"/>
  <c r="FI48" i="24"/>
  <c r="FJ13" i="24"/>
  <c r="FI34" i="24"/>
  <c r="FJ33" i="24"/>
  <c r="FI8" i="24"/>
  <c r="FJ52" i="24"/>
  <c r="FJ86" i="24"/>
  <c r="CE5" i="24"/>
  <c r="FJ73" i="24"/>
  <c r="FJ17" i="24"/>
  <c r="FJ80" i="24"/>
  <c r="FJ20" i="24"/>
  <c r="FJ46" i="24"/>
  <c r="FJ22" i="24"/>
  <c r="FI94" i="24"/>
  <c r="FI97" i="24"/>
  <c r="FI88" i="24"/>
  <c r="FI105" i="24"/>
  <c r="FI22" i="24"/>
  <c r="FI46" i="24"/>
  <c r="FI38" i="24"/>
  <c r="FJ15" i="24"/>
  <c r="FI96" i="24"/>
  <c r="FI5" i="24"/>
  <c r="FI37" i="24"/>
  <c r="FJ81" i="24"/>
  <c r="FJ97" i="24"/>
  <c r="FJ34" i="24"/>
  <c r="FJ100" i="24"/>
  <c r="FI23" i="24"/>
  <c r="FI93" i="24"/>
  <c r="FI53" i="24"/>
  <c r="FI44" i="24"/>
  <c r="FI71" i="24"/>
  <c r="FJ50" i="24"/>
  <c r="FI99" i="24"/>
  <c r="FI104" i="24"/>
  <c r="FJ102" i="24"/>
  <c r="FJ25" i="24"/>
  <c r="FI83" i="24"/>
  <c r="FJ14" i="24"/>
  <c r="FI102" i="24"/>
  <c r="FJ31" i="24"/>
  <c r="FJ96" i="24"/>
  <c r="FJ59" i="24"/>
  <c r="FI100" i="24"/>
  <c r="FJ67" i="24"/>
  <c r="FI16" i="24"/>
  <c r="FJ70" i="24"/>
  <c r="FI31" i="24"/>
  <c r="FJ39" i="24"/>
  <c r="FI73" i="24"/>
  <c r="FJ55" i="24"/>
  <c r="FJ79" i="24"/>
  <c r="FI101" i="24"/>
  <c r="FI98" i="24"/>
  <c r="FJ7" i="24"/>
  <c r="FI29" i="24"/>
  <c r="FI86" i="24"/>
  <c r="FI21" i="24"/>
  <c r="FI66" i="24"/>
  <c r="FI64" i="24"/>
  <c r="FI10" i="24"/>
  <c r="FI12" i="24"/>
  <c r="FJ26" i="24"/>
  <c r="FJ30" i="24"/>
  <c r="FJ94" i="24"/>
  <c r="FJ8" i="24"/>
  <c r="AP5" i="24"/>
  <c r="FJ91" i="24"/>
  <c r="FJ66" i="24"/>
  <c r="FI17" i="24"/>
  <c r="FJ53" i="24"/>
  <c r="FJ98" i="24"/>
  <c r="FJ11" i="24"/>
  <c r="FI74" i="24"/>
  <c r="FI20" i="24"/>
  <c r="FI52" i="24"/>
  <c r="FI67" i="24"/>
  <c r="FI84" i="24"/>
  <c r="FI65" i="24"/>
  <c r="FJ47" i="24"/>
  <c r="FJ9" i="24"/>
  <c r="FI75" i="24"/>
  <c r="FJ75" i="24"/>
  <c r="FJ65" i="24"/>
  <c r="FI28" i="24"/>
  <c r="FI76" i="24"/>
  <c r="FJ93" i="24"/>
  <c r="FI56" i="24"/>
  <c r="FI82" i="24"/>
  <c r="FJ105" i="24"/>
  <c r="FJ28" i="24"/>
  <c r="FJ10" i="24"/>
  <c r="FJ68" i="24"/>
  <c r="FI6" i="24"/>
  <c r="AE5" i="24"/>
  <c r="AI5" i="24"/>
  <c r="X5" i="24"/>
  <c r="AA5" i="24" s="1"/>
  <c r="AB5" i="24" s="1"/>
  <c r="AC5" i="24" s="1"/>
  <c r="Y212" i="24" l="1"/>
  <c r="AA3" i="29" s="1"/>
  <c r="AJ212" i="24"/>
  <c r="AT212" i="24" s="1"/>
  <c r="AG212" i="24"/>
  <c r="AF212" i="24"/>
  <c r="AJ5" i="24"/>
  <c r="AG5" i="24"/>
  <c r="AF5" i="24"/>
  <c r="AK212" i="24" l="1"/>
  <c r="AN212" i="24"/>
  <c r="BI212" i="24" s="1"/>
  <c r="BA212" i="24"/>
  <c r="AT5" i="24"/>
  <c r="BA5" i="24" s="1"/>
  <c r="AV5" i="24"/>
  <c r="AN5" i="24"/>
  <c r="AK5" i="24"/>
  <c r="BH5" i="24" l="1"/>
  <c r="BI5" i="24"/>
  <c r="BL5" i="24" s="1"/>
  <c r="BU5" i="24"/>
  <c r="AQ212" i="24"/>
  <c r="CE212" i="24"/>
  <c r="BL212" i="24"/>
  <c r="AS212" i="24"/>
  <c r="BJ212" i="24"/>
  <c r="BW212" i="24"/>
  <c r="BU212" i="24"/>
  <c r="BH212" i="24"/>
  <c r="AX212" i="24"/>
  <c r="AS5" i="24"/>
  <c r="BJ5" i="24"/>
  <c r="AQ5" i="24"/>
  <c r="AX5" i="24"/>
  <c r="BW5" i="24"/>
  <c r="AU212" i="24" l="1"/>
  <c r="BB212" i="24" s="1"/>
  <c r="AW212" i="24"/>
  <c r="AU5" i="24"/>
  <c r="BB5" i="24" s="1"/>
  <c r="AW5" i="24"/>
  <c r="BE212" i="24" l="1"/>
  <c r="BT212" i="24" s="1"/>
  <c r="AY212" i="24"/>
  <c r="AZ212" i="24" s="1"/>
  <c r="BD212" i="24"/>
  <c r="BE5" i="24"/>
  <c r="BT5" i="24" s="1"/>
  <c r="BD5" i="24"/>
  <c r="AY5" i="24"/>
  <c r="AZ5" i="24" s="1"/>
  <c r="BG212" i="24" l="1"/>
  <c r="BS212" i="24"/>
  <c r="BX212" i="24" s="1"/>
  <c r="BS5" i="24"/>
  <c r="BV5" i="24" s="1"/>
  <c r="BX5" i="24" s="1"/>
  <c r="BG5" i="24"/>
  <c r="BM5" i="24" s="1"/>
  <c r="BY212" i="24" l="1"/>
  <c r="CA212" i="24" s="1"/>
  <c r="BM212" i="24"/>
  <c r="BN212" i="24" s="1"/>
  <c r="BY5" i="24"/>
  <c r="CA5" i="24" s="1"/>
  <c r="CB5" i="24" s="1"/>
  <c r="BN5" i="24"/>
  <c r="CB212" i="24" l="1"/>
  <c r="CF212" i="24"/>
  <c r="EM5" i="25" l="1"/>
  <c r="CX5" i="25" l="1"/>
  <c r="CS5" i="25"/>
  <c r="CT5" i="25"/>
  <c r="CU5" i="25" l="1"/>
  <c r="CW5" i="25"/>
  <c r="CV5" i="25"/>
  <c r="DS5" i="25"/>
  <c r="FD5" i="25"/>
  <c r="CY5" i="25"/>
  <c r="CO5" i="25" l="1"/>
  <c r="CZ5" i="25" s="1"/>
  <c r="DB5" i="25" s="1"/>
  <c r="DA5" i="25" l="1"/>
  <c r="DD5" i="25" s="1"/>
  <c r="DE5" i="25" s="1"/>
  <c r="DF5" i="25" s="1"/>
  <c r="DM5" i="25" s="1"/>
  <c r="DW5" i="25" s="1"/>
  <c r="DH5" i="25"/>
  <c r="DJ5" i="25" l="1"/>
  <c r="DI5" i="25"/>
  <c r="EB5" i="25"/>
  <c r="EA5" i="25"/>
  <c r="DQ5" i="25" l="1"/>
  <c r="DV5" i="25" s="1"/>
  <c r="DN5" i="25"/>
  <c r="FA5" i="25" l="1"/>
  <c r="EJ5" i="25"/>
  <c r="EL5" i="25"/>
  <c r="EY5" i="25"/>
  <c r="EK5" i="25"/>
  <c r="EN5" i="25" s="1"/>
  <c r="DT5" i="25"/>
  <c r="DX5" i="25"/>
  <c r="EC5" i="25" s="1"/>
  <c r="DY5" i="25"/>
  <c r="FL5" i="25" s="1"/>
  <c r="CH5" i="25" l="1"/>
  <c r="CG5" i="25"/>
  <c r="EF5" i="25"/>
  <c r="EW5" i="25" s="1"/>
  <c r="EG5" i="25"/>
  <c r="EX5" i="25" s="1"/>
  <c r="EE5" i="25"/>
  <c r="J5" i="25" l="1"/>
  <c r="N5" i="25" s="1"/>
  <c r="EV5" i="25"/>
  <c r="EZ5" i="25" s="1"/>
  <c r="FB5" i="25" s="1"/>
  <c r="EI5" i="25"/>
  <c r="EO5" i="25" s="1"/>
  <c r="L5" i="25" l="1"/>
  <c r="BI5" i="25"/>
  <c r="EP5" i="25"/>
  <c r="FC5" i="25"/>
  <c r="FE5" i="25" s="1"/>
  <c r="FF5" i="25" s="1"/>
  <c r="P5" i="25"/>
  <c r="O5" i="25"/>
  <c r="T5" i="25"/>
  <c r="Q5" i="25" l="1"/>
  <c r="BZ5" i="25"/>
  <c r="R5" i="25"/>
  <c r="AO5" i="25"/>
  <c r="S5" i="25"/>
  <c r="K5" i="25" s="1"/>
  <c r="U5" i="25"/>
  <c r="V5" i="25" l="1"/>
  <c r="X5" i="25" s="1"/>
  <c r="FI63" i="25"/>
  <c r="FJ62" i="25"/>
  <c r="FI39" i="25"/>
  <c r="FI79" i="25"/>
  <c r="FJ71" i="25"/>
  <c r="FI14" i="25"/>
  <c r="FJ57" i="25"/>
  <c r="FI56" i="25"/>
  <c r="FI43" i="25"/>
  <c r="FI60" i="25"/>
  <c r="FI69" i="25"/>
  <c r="FJ33" i="25"/>
  <c r="FJ98" i="25"/>
  <c r="FJ94" i="25"/>
  <c r="FJ89" i="25"/>
  <c r="FI16" i="25"/>
  <c r="FJ40" i="25"/>
  <c r="FI24" i="25"/>
  <c r="FI38" i="25"/>
  <c r="FJ48" i="25"/>
  <c r="FJ42" i="25"/>
  <c r="FJ8" i="25"/>
  <c r="FJ12" i="25"/>
  <c r="FJ83" i="25"/>
  <c r="FJ26" i="25"/>
  <c r="FJ60" i="25"/>
  <c r="FJ101" i="25"/>
  <c r="FJ73" i="25"/>
  <c r="FJ19" i="25"/>
  <c r="FJ69" i="25"/>
  <c r="FJ53" i="25"/>
  <c r="FI94" i="25"/>
  <c r="FI15" i="25"/>
  <c r="FI95" i="25"/>
  <c r="FI17" i="25"/>
  <c r="CE5" i="25"/>
  <c r="FI47" i="25"/>
  <c r="FJ27" i="25"/>
  <c r="FI20" i="25"/>
  <c r="FI66" i="25"/>
  <c r="FJ97" i="25"/>
  <c r="FI75" i="25"/>
  <c r="FJ88" i="25"/>
  <c r="FJ15" i="25"/>
  <c r="FJ16" i="25"/>
  <c r="FJ86" i="25"/>
  <c r="FJ52" i="25"/>
  <c r="FI102" i="25"/>
  <c r="FI32" i="25"/>
  <c r="FI104" i="25"/>
  <c r="FJ22" i="25"/>
  <c r="FJ96" i="25"/>
  <c r="FI55" i="25"/>
  <c r="FI54" i="25"/>
  <c r="FI40" i="25"/>
  <c r="FJ63" i="25"/>
  <c r="FJ32" i="25"/>
  <c r="FJ92" i="25"/>
  <c r="FI35" i="25"/>
  <c r="FI71" i="25"/>
  <c r="FJ25" i="25"/>
  <c r="FI96" i="25"/>
  <c r="FI61" i="25"/>
  <c r="FI22" i="25"/>
  <c r="FI19" i="25"/>
  <c r="FJ38" i="25"/>
  <c r="FI82" i="25"/>
  <c r="FJ76" i="25"/>
  <c r="FJ20" i="25"/>
  <c r="FI8" i="25"/>
  <c r="FI84" i="25"/>
  <c r="FI41" i="25"/>
  <c r="FI59" i="25"/>
  <c r="FJ78" i="25"/>
  <c r="FJ11" i="25"/>
  <c r="FJ100" i="25"/>
  <c r="FJ66" i="25"/>
  <c r="FI76" i="25"/>
  <c r="FI45" i="25"/>
  <c r="FI92" i="25"/>
  <c r="FI70" i="25"/>
  <c r="FI74" i="25"/>
  <c r="FI27" i="25"/>
  <c r="FJ43" i="25"/>
  <c r="FJ34" i="25"/>
  <c r="FI7" i="25"/>
  <c r="FI87" i="25"/>
  <c r="FJ75" i="25"/>
  <c r="FJ64" i="25"/>
  <c r="FI52" i="25"/>
  <c r="FI18" i="25"/>
  <c r="FI53" i="25"/>
  <c r="FI28" i="25"/>
  <c r="FJ37" i="25"/>
  <c r="FJ90" i="25"/>
  <c r="FI10" i="25"/>
  <c r="FI97" i="25"/>
  <c r="FJ36" i="25"/>
  <c r="FI49" i="25"/>
  <c r="FI44" i="25"/>
  <c r="FJ24" i="25"/>
  <c r="FJ58" i="25"/>
  <c r="FJ45" i="25"/>
  <c r="FI25" i="25"/>
  <c r="FI67" i="25"/>
  <c r="FJ72" i="25"/>
  <c r="FI85" i="25"/>
  <c r="FJ55" i="25"/>
  <c r="FI103" i="25"/>
  <c r="FI83" i="25"/>
  <c r="FJ91" i="25"/>
  <c r="FI42" i="25"/>
  <c r="FI5" i="25"/>
  <c r="FI23" i="25"/>
  <c r="FJ93" i="25"/>
  <c r="FJ29" i="25"/>
  <c r="FI80" i="25"/>
  <c r="FJ61" i="25"/>
  <c r="FI58" i="25"/>
  <c r="FJ56" i="25"/>
  <c r="FJ28" i="25"/>
  <c r="FI34" i="25"/>
  <c r="FI91" i="25"/>
  <c r="FI62" i="25"/>
  <c r="FI36" i="25"/>
  <c r="FJ7" i="25"/>
  <c r="FJ47" i="25"/>
  <c r="FI46" i="25"/>
  <c r="FI101" i="25"/>
  <c r="FI30" i="25"/>
  <c r="FJ30" i="25"/>
  <c r="FJ14" i="25"/>
  <c r="FI48" i="25"/>
  <c r="FJ74" i="25"/>
  <c r="FI50" i="25"/>
  <c r="FJ84" i="25"/>
  <c r="FI6" i="25"/>
  <c r="FI90" i="25"/>
  <c r="FI21" i="25"/>
  <c r="FJ23" i="25"/>
  <c r="FJ18" i="25"/>
  <c r="FI105" i="25"/>
  <c r="FJ67" i="25"/>
  <c r="FI78" i="25"/>
  <c r="FI81" i="25"/>
  <c r="FJ65" i="25"/>
  <c r="FJ13" i="25"/>
  <c r="FJ31" i="25"/>
  <c r="FI89" i="25"/>
  <c r="FI13" i="25"/>
  <c r="FI29" i="25"/>
  <c r="FI64" i="25"/>
  <c r="FJ87" i="25"/>
  <c r="FI93" i="25"/>
  <c r="FJ105" i="25"/>
  <c r="FJ104" i="25"/>
  <c r="CF5" i="25"/>
  <c r="FJ9" i="25"/>
  <c r="FJ85" i="25"/>
  <c r="FJ21" i="25"/>
  <c r="FI72" i="25"/>
  <c r="FJ68" i="25"/>
  <c r="FJ5" i="25"/>
  <c r="FJ95" i="25"/>
  <c r="FJ10" i="25"/>
  <c r="FI11" i="25"/>
  <c r="FJ6" i="25"/>
  <c r="FJ51" i="25"/>
  <c r="FI31" i="25"/>
  <c r="FI37" i="25"/>
  <c r="FJ59" i="25"/>
  <c r="FJ77" i="25"/>
  <c r="FI73" i="25"/>
  <c r="FJ103" i="25"/>
  <c r="FI9" i="25"/>
  <c r="FJ70" i="25"/>
  <c r="FJ49" i="25"/>
  <c r="FJ50" i="25"/>
  <c r="FJ17" i="25"/>
  <c r="FJ35" i="25"/>
  <c r="FJ39" i="25"/>
  <c r="FJ99" i="25"/>
  <c r="FJ81" i="25"/>
  <c r="FI100" i="25"/>
  <c r="FI33" i="25"/>
  <c r="FI86" i="25"/>
  <c r="FI68" i="25"/>
  <c r="FI57" i="25"/>
  <c r="FJ80" i="25"/>
  <c r="FJ41" i="25"/>
  <c r="FI12" i="25"/>
  <c r="FJ54" i="25"/>
  <c r="FJ44" i="25"/>
  <c r="FI99" i="25"/>
  <c r="FJ102" i="25"/>
  <c r="FI26" i="25"/>
  <c r="FI88" i="25"/>
  <c r="FI98" i="25"/>
  <c r="FI77" i="25"/>
  <c r="FJ82" i="25"/>
  <c r="FI51" i="25"/>
  <c r="FJ79" i="25"/>
  <c r="FI65" i="25"/>
  <c r="FJ46" i="25"/>
  <c r="W5" i="25" l="1"/>
  <c r="Z5" i="25" s="1"/>
  <c r="AA5" i="25" s="1"/>
  <c r="AB5" i="25" s="1"/>
  <c r="AI5" i="25" s="1"/>
  <c r="AD5" i="25"/>
  <c r="AE5" i="25" s="1"/>
  <c r="AS5" i="25" l="1"/>
  <c r="AW5" i="25" s="1"/>
  <c r="AF5" i="25"/>
  <c r="AM5" i="25" s="1"/>
  <c r="BF5" i="25" l="1"/>
  <c r="BG5" i="25"/>
  <c r="BJ5" i="25" s="1"/>
  <c r="AX5" i="25"/>
  <c r="AJ5" i="25"/>
  <c r="AR5" i="25"/>
  <c r="BH5" i="25"/>
  <c r="AP5" i="25"/>
  <c r="BU5" i="25"/>
  <c r="BW5" i="25"/>
  <c r="AT5" i="25" l="1"/>
  <c r="AY5" i="25" s="1"/>
  <c r="AU5" i="25"/>
  <c r="BC5" i="25" l="1"/>
  <c r="BT5" i="25" s="1"/>
  <c r="BB5" i="25"/>
  <c r="BS5" i="25" s="1"/>
  <c r="BA5" i="25"/>
  <c r="BR5" i="25" l="1"/>
  <c r="BV5" i="25" s="1"/>
  <c r="BX5" i="25" s="1"/>
  <c r="BE5" i="25"/>
  <c r="BK5" i="25" s="1"/>
  <c r="BY5" i="25" l="1"/>
  <c r="CA5" i="25" s="1"/>
  <c r="CB5" i="25" s="1"/>
  <c r="BL5" i="25"/>
  <c r="G17" i="25"/>
  <c r="F192" i="25"/>
  <c r="G192" i="25"/>
  <c r="G63" i="25"/>
  <c r="F122" i="25"/>
  <c r="G122" i="25"/>
  <c r="F137" i="25"/>
  <c r="G137" i="25"/>
  <c r="G80" i="25"/>
  <c r="F93" i="25"/>
  <c r="BM93" i="25" s="1"/>
  <c r="G93" i="25"/>
  <c r="F138" i="24"/>
  <c r="F272" i="24"/>
  <c r="F157" i="24"/>
  <c r="F111" i="24"/>
  <c r="F145" i="24"/>
  <c r="BO145" i="24" s="1"/>
  <c r="BR145" i="24" s="1"/>
  <c r="F223" i="24"/>
  <c r="F253" i="24"/>
  <c r="F143" i="24"/>
  <c r="F160" i="24"/>
  <c r="BO160" i="24" s="1"/>
  <c r="BR160" i="24" s="1"/>
  <c r="F62" i="24"/>
  <c r="F158" i="24"/>
  <c r="BO158" i="24" s="1"/>
  <c r="BR158" i="24" s="1"/>
  <c r="F292" i="24"/>
  <c r="F67" i="24"/>
  <c r="F224" i="24"/>
  <c r="F104" i="24"/>
  <c r="F22" i="24"/>
  <c r="I22" i="24" s="1"/>
  <c r="F241" i="24"/>
  <c r="F252" i="24"/>
  <c r="F114" i="24"/>
  <c r="F101" i="24"/>
  <c r="I101" i="24" s="1"/>
  <c r="F250" i="24"/>
  <c r="F165" i="24"/>
  <c r="F169" i="24"/>
  <c r="F97" i="24"/>
  <c r="F96" i="24"/>
  <c r="F14" i="24"/>
  <c r="BO14" i="24" s="1"/>
  <c r="BR14" i="24" s="1"/>
  <c r="F233" i="24"/>
  <c r="F298" i="24"/>
  <c r="F263" i="24"/>
  <c r="F237" i="25"/>
  <c r="G237" i="25"/>
  <c r="BN237" i="25" s="1"/>
  <c r="F42" i="25"/>
  <c r="G42" i="25"/>
  <c r="F71" i="25"/>
  <c r="G71" i="25"/>
  <c r="F16" i="25"/>
  <c r="BM16" i="25" s="1"/>
  <c r="G16" i="25"/>
  <c r="G53" i="25"/>
  <c r="BN53" i="25" s="1"/>
  <c r="F94" i="25"/>
  <c r="G94" i="25"/>
  <c r="I94" i="25" s="1"/>
  <c r="F38" i="25"/>
  <c r="BM38" i="25" s="1"/>
  <c r="G38" i="25"/>
  <c r="I38" i="25" s="1"/>
  <c r="F145" i="25"/>
  <c r="G145" i="25"/>
  <c r="F190" i="25"/>
  <c r="G190" i="25"/>
  <c r="I190" i="25" s="1"/>
  <c r="F236" i="25"/>
  <c r="G236" i="25"/>
  <c r="BN236" i="25" s="1"/>
  <c r="F105" i="25"/>
  <c r="G105" i="25"/>
  <c r="G87" i="25"/>
  <c r="BN87" i="25" s="1"/>
  <c r="F83" i="25"/>
  <c r="BM83" i="25" s="1"/>
  <c r="G83" i="25"/>
  <c r="BN83" i="25" s="1"/>
  <c r="G29" i="25"/>
  <c r="BN29" i="25" s="1"/>
  <c r="G82" i="25"/>
  <c r="BN82" i="25" s="1"/>
  <c r="F125" i="25"/>
  <c r="G125" i="25"/>
  <c r="BN125" i="25" s="1"/>
  <c r="F9" i="25"/>
  <c r="G9" i="25"/>
  <c r="F162" i="25"/>
  <c r="G162" i="25"/>
  <c r="G111" i="25"/>
  <c r="F163" i="25"/>
  <c r="G163" i="25"/>
  <c r="I163" i="25" s="1"/>
  <c r="F157" i="25"/>
  <c r="G157" i="25"/>
  <c r="I157" i="25" s="1"/>
  <c r="F245" i="25"/>
  <c r="G245" i="25"/>
  <c r="I245" i="25" s="1"/>
  <c r="F129" i="25"/>
  <c r="G129" i="25"/>
  <c r="F241" i="25"/>
  <c r="G241" i="25"/>
  <c r="BN241" i="25" s="1"/>
  <c r="F58" i="25"/>
  <c r="BM58" i="25" s="1"/>
  <c r="G58" i="25"/>
  <c r="BN58" i="25" s="1"/>
  <c r="G69" i="25"/>
  <c r="BN69" i="25" s="1"/>
  <c r="F8" i="25"/>
  <c r="G8" i="25"/>
  <c r="BN8" i="25" s="1"/>
  <c r="F186" i="25"/>
  <c r="BM186" i="25" s="1"/>
  <c r="G186" i="25"/>
  <c r="I186" i="25" s="1"/>
  <c r="F164" i="25"/>
  <c r="G164" i="25"/>
  <c r="BN164" i="25" s="1"/>
  <c r="F202" i="25"/>
  <c r="BM202" i="25" s="1"/>
  <c r="G202" i="25"/>
  <c r="I202" i="25" s="1"/>
  <c r="F195" i="25"/>
  <c r="G195" i="25"/>
  <c r="G257" i="25"/>
  <c r="BN257" i="25" s="1"/>
  <c r="F279" i="25"/>
  <c r="BM279" i="25" s="1"/>
  <c r="G279" i="25"/>
  <c r="I279" i="25" s="1"/>
  <c r="F11" i="25"/>
  <c r="G11" i="25"/>
  <c r="G30" i="25"/>
  <c r="BN30" i="25" s="1"/>
  <c r="F23" i="25"/>
  <c r="G23" i="25"/>
  <c r="BN23" i="25" s="1"/>
  <c r="F52" i="25"/>
  <c r="G52" i="25"/>
  <c r="I52" i="25" s="1"/>
  <c r="G310" i="25"/>
  <c r="I310" i="25" s="1"/>
  <c r="G34" i="25"/>
  <c r="F270" i="25"/>
  <c r="G270" i="25"/>
  <c r="I270" i="25" s="1"/>
  <c r="F226" i="25"/>
  <c r="G226" i="25"/>
  <c r="F53" i="25"/>
  <c r="BM53" i="25" s="1"/>
  <c r="F257" i="25"/>
  <c r="F188" i="24"/>
  <c r="F29" i="25"/>
  <c r="F277" i="24"/>
  <c r="F41" i="24"/>
  <c r="F74" i="24"/>
  <c r="BO74" i="24" s="1"/>
  <c r="BR74" i="24" s="1"/>
  <c r="F147" i="24"/>
  <c r="BO147" i="24" s="1"/>
  <c r="BR147" i="24" s="1"/>
  <c r="F261" i="24"/>
  <c r="F190" i="24"/>
  <c r="I190" i="24" s="1"/>
  <c r="F159" i="24"/>
  <c r="F286" i="24"/>
  <c r="F259" i="24"/>
  <c r="F77" i="24"/>
  <c r="F21" i="24"/>
  <c r="I21" i="24" s="1"/>
  <c r="F88" i="24"/>
  <c r="F56" i="24"/>
  <c r="F24" i="24"/>
  <c r="BO24" i="24" s="1"/>
  <c r="BR24" i="24" s="1"/>
  <c r="F38" i="24"/>
  <c r="F6" i="24"/>
  <c r="BO6" i="24" s="1"/>
  <c r="BR6" i="24" s="1"/>
  <c r="F134" i="24"/>
  <c r="F225" i="24"/>
  <c r="F268" i="24"/>
  <c r="F274" i="24"/>
  <c r="F130" i="24"/>
  <c r="F132" i="24"/>
  <c r="I132" i="24" s="1"/>
  <c r="F75" i="24"/>
  <c r="BO75" i="24" s="1"/>
  <c r="BR75" i="24" s="1"/>
  <c r="F129" i="24"/>
  <c r="BO129" i="24" s="1"/>
  <c r="BR129" i="24" s="1"/>
  <c r="F162" i="24"/>
  <c r="I162" i="24" s="1"/>
  <c r="F266" i="24"/>
  <c r="F296" i="24"/>
  <c r="F206" i="24"/>
  <c r="BO206" i="24" s="1"/>
  <c r="BR206" i="24" s="1"/>
  <c r="F192" i="24"/>
  <c r="BO192" i="24" s="1"/>
  <c r="BR192" i="24" s="1"/>
  <c r="F251" i="24"/>
  <c r="F71" i="24"/>
  <c r="F39" i="24"/>
  <c r="F7" i="24"/>
  <c r="I7" i="24" s="1"/>
  <c r="F94" i="24"/>
  <c r="BO94" i="24" s="1"/>
  <c r="BR94" i="24" s="1"/>
  <c r="F125" i="24"/>
  <c r="BO125" i="24" s="1"/>
  <c r="BR125" i="24" s="1"/>
  <c r="F281" i="24"/>
  <c r="F254" i="24"/>
  <c r="F228" i="24"/>
  <c r="F194" i="24"/>
  <c r="BO194" i="24" s="1"/>
  <c r="BR194" i="24" s="1"/>
  <c r="F12" i="24"/>
  <c r="F99" i="24"/>
  <c r="F117" i="24"/>
  <c r="F186" i="24"/>
  <c r="F133" i="24"/>
  <c r="F246" i="24"/>
  <c r="F118" i="24"/>
  <c r="F243" i="24"/>
  <c r="F45" i="24"/>
  <c r="I45" i="24" s="1"/>
  <c r="F54" i="24"/>
  <c r="F191" i="24"/>
  <c r="I191" i="24" s="1"/>
  <c r="F314" i="24"/>
  <c r="F177" i="24"/>
  <c r="BO177" i="24" s="1"/>
  <c r="BR177" i="24" s="1"/>
  <c r="F33" i="24"/>
  <c r="F100" i="24"/>
  <c r="BO100" i="24" s="1"/>
  <c r="BR100" i="24" s="1"/>
  <c r="F68" i="24"/>
  <c r="F36" i="24"/>
  <c r="BO36" i="24" s="1"/>
  <c r="BR36" i="24" s="1"/>
  <c r="F50" i="24"/>
  <c r="BO50" i="24" s="1"/>
  <c r="BR50" i="24" s="1"/>
  <c r="F18" i="24"/>
  <c r="F146" i="24"/>
  <c r="F280" i="24"/>
  <c r="F302" i="24"/>
  <c r="F176" i="24"/>
  <c r="F267" i="24"/>
  <c r="F46" i="24"/>
  <c r="F163" i="24"/>
  <c r="BO163" i="24" s="1"/>
  <c r="BR163" i="24" s="1"/>
  <c r="F142" i="24"/>
  <c r="I142" i="24" s="1"/>
  <c r="F198" i="24"/>
  <c r="BO198" i="24" s="1"/>
  <c r="BR198" i="24" s="1"/>
  <c r="F276" i="24"/>
  <c r="F115" i="24"/>
  <c r="F255" i="25"/>
  <c r="G255" i="25"/>
  <c r="I255" i="25" s="1"/>
  <c r="F266" i="25"/>
  <c r="G266" i="25"/>
  <c r="BN266" i="25" s="1"/>
  <c r="F182" i="25"/>
  <c r="G182" i="25"/>
  <c r="F210" i="25"/>
  <c r="G210" i="25"/>
  <c r="F269" i="25"/>
  <c r="G269" i="25"/>
  <c r="BN269" i="25" s="1"/>
  <c r="F152" i="25"/>
  <c r="BM152" i="25" s="1"/>
  <c r="G152" i="25"/>
  <c r="F300" i="25"/>
  <c r="G300" i="25"/>
  <c r="BN300" i="25" s="1"/>
  <c r="F37" i="25"/>
  <c r="G37" i="25"/>
  <c r="F180" i="25"/>
  <c r="BM180" i="25" s="1"/>
  <c r="G180" i="25"/>
  <c r="F165" i="25"/>
  <c r="G165" i="25"/>
  <c r="F189" i="25"/>
  <c r="G189" i="25"/>
  <c r="I189" i="25" s="1"/>
  <c r="G277" i="25"/>
  <c r="BN277" i="25" s="1"/>
  <c r="F70" i="25"/>
  <c r="G70" i="25"/>
  <c r="BN70" i="25" s="1"/>
  <c r="F232" i="25"/>
  <c r="BM232" i="25" s="1"/>
  <c r="G232" i="25"/>
  <c r="F6" i="25"/>
  <c r="BM6" i="25" s="1"/>
  <c r="G6" i="25"/>
  <c r="F265" i="25"/>
  <c r="G265" i="25"/>
  <c r="I265" i="25" s="1"/>
  <c r="F31" i="25"/>
  <c r="G31" i="25"/>
  <c r="I31" i="25" s="1"/>
  <c r="F59" i="25"/>
  <c r="G59" i="25"/>
  <c r="I59" i="25" s="1"/>
  <c r="F188" i="25"/>
  <c r="G188" i="25"/>
  <c r="F167" i="24"/>
  <c r="BO167" i="24" s="1"/>
  <c r="BR167" i="24" s="1"/>
  <c r="F237" i="24"/>
  <c r="F30" i="25"/>
  <c r="BM30" i="25" s="1"/>
  <c r="F230" i="24"/>
  <c r="F307" i="24"/>
  <c r="F83" i="24"/>
  <c r="BO83" i="24" s="1"/>
  <c r="BR83" i="24" s="1"/>
  <c r="F19" i="24"/>
  <c r="F170" i="24"/>
  <c r="F304" i="24"/>
  <c r="F205" i="24"/>
  <c r="F70" i="24"/>
  <c r="BO70" i="24" s="1"/>
  <c r="BR70" i="24" s="1"/>
  <c r="F131" i="24"/>
  <c r="BO131" i="24" s="1"/>
  <c r="BR131" i="24" s="1"/>
  <c r="F123" i="24"/>
  <c r="F201" i="24"/>
  <c r="F255" i="24"/>
  <c r="F52" i="24"/>
  <c r="F37" i="24"/>
  <c r="F285" i="24"/>
  <c r="F232" i="24"/>
  <c r="F103" i="24"/>
  <c r="F202" i="24"/>
  <c r="F137" i="24"/>
  <c r="F122" i="24"/>
  <c r="F44" i="24"/>
  <c r="I44" i="24" s="1"/>
  <c r="F309" i="24"/>
  <c r="F256" i="24"/>
  <c r="F152" i="24"/>
  <c r="BO152" i="24" s="1"/>
  <c r="BR152" i="24" s="1"/>
  <c r="F63" i="24"/>
  <c r="F273" i="24"/>
  <c r="F82" i="24"/>
  <c r="F179" i="24"/>
  <c r="F116" i="24"/>
  <c r="F119" i="24"/>
  <c r="I119" i="24" s="1"/>
  <c r="F55" i="24"/>
  <c r="BO55" i="24" s="1"/>
  <c r="BR55" i="24" s="1"/>
  <c r="F265" i="24"/>
  <c r="F171" i="24"/>
  <c r="F295" i="24"/>
  <c r="F13" i="25"/>
  <c r="G13" i="25"/>
  <c r="I13" i="25" s="1"/>
  <c r="F26" i="25"/>
  <c r="G26" i="25"/>
  <c r="BN26" i="25" s="1"/>
  <c r="F77" i="25"/>
  <c r="G77" i="25"/>
  <c r="I77" i="25" s="1"/>
  <c r="F203" i="25"/>
  <c r="BM203" i="25" s="1"/>
  <c r="G203" i="25"/>
  <c r="BN203" i="25" s="1"/>
  <c r="F206" i="25"/>
  <c r="G206" i="25"/>
  <c r="BN206" i="25" s="1"/>
  <c r="F160" i="25"/>
  <c r="G160" i="25"/>
  <c r="BN160" i="25" s="1"/>
  <c r="F280" i="25"/>
  <c r="G280" i="25"/>
  <c r="BN280" i="25" s="1"/>
  <c r="F174" i="25"/>
  <c r="G174" i="25"/>
  <c r="F208" i="25"/>
  <c r="G208" i="25"/>
  <c r="I208" i="25" s="1"/>
  <c r="F132" i="25"/>
  <c r="G132" i="25"/>
  <c r="I132" i="25" s="1"/>
  <c r="F194" i="25"/>
  <c r="G194" i="25"/>
  <c r="I194" i="25" s="1"/>
  <c r="F120" i="25"/>
  <c r="G120" i="25"/>
  <c r="I120" i="25" s="1"/>
  <c r="G218" i="25"/>
  <c r="BN218" i="25" s="1"/>
  <c r="F315" i="25"/>
  <c r="BM315" i="25" s="1"/>
  <c r="G315" i="25"/>
  <c r="BN315" i="25" s="1"/>
  <c r="F271" i="25"/>
  <c r="G271" i="25"/>
  <c r="I271" i="25" s="1"/>
  <c r="F62" i="25"/>
  <c r="G62" i="25"/>
  <c r="I62" i="25" s="1"/>
  <c r="F204" i="25"/>
  <c r="G204" i="25"/>
  <c r="I204" i="25" s="1"/>
  <c r="F74" i="25"/>
  <c r="G74" i="25"/>
  <c r="F177" i="25"/>
  <c r="G177" i="25"/>
  <c r="I177" i="25" s="1"/>
  <c r="F246" i="25"/>
  <c r="BM246" i="25" s="1"/>
  <c r="G246" i="25"/>
  <c r="F126" i="25"/>
  <c r="G126" i="25"/>
  <c r="G15" i="25"/>
  <c r="I15" i="25" s="1"/>
  <c r="F176" i="25"/>
  <c r="G176" i="25"/>
  <c r="F73" i="25"/>
  <c r="G73" i="25"/>
  <c r="F159" i="25"/>
  <c r="BM159" i="25" s="1"/>
  <c r="G159" i="25"/>
  <c r="BN159" i="25" s="1"/>
  <c r="F185" i="25"/>
  <c r="G185" i="25"/>
  <c r="BN185" i="25" s="1"/>
  <c r="F141" i="25"/>
  <c r="BM141" i="25" s="1"/>
  <c r="G141" i="25"/>
  <c r="BN141" i="25" s="1"/>
  <c r="F151" i="25"/>
  <c r="BM151" i="25" s="1"/>
  <c r="G151" i="25"/>
  <c r="BN151" i="25" s="1"/>
  <c r="F168" i="25"/>
  <c r="BM168" i="25" s="1"/>
  <c r="G168" i="25"/>
  <c r="BN168" i="25" s="1"/>
  <c r="F193" i="25"/>
  <c r="BM193" i="25" s="1"/>
  <c r="G193" i="25"/>
  <c r="BN193" i="25" s="1"/>
  <c r="F143" i="25"/>
  <c r="G143" i="25"/>
  <c r="BN143" i="25" s="1"/>
  <c r="F169" i="25"/>
  <c r="G169" i="25"/>
  <c r="BN169" i="25" s="1"/>
  <c r="F273" i="25"/>
  <c r="G273" i="25"/>
  <c r="BN273" i="25" s="1"/>
  <c r="F239" i="25"/>
  <c r="BM239" i="25" s="1"/>
  <c r="G239" i="25"/>
  <c r="I239" i="25" s="1"/>
  <c r="F44" i="25"/>
  <c r="BM44" i="25" s="1"/>
  <c r="G44" i="25"/>
  <c r="I44" i="25" s="1"/>
  <c r="F81" i="25"/>
  <c r="BM81" i="25" s="1"/>
  <c r="G81" i="25"/>
  <c r="I81" i="25" s="1"/>
  <c r="F219" i="25"/>
  <c r="G219" i="25"/>
  <c r="I219" i="25" s="1"/>
  <c r="F230" i="25"/>
  <c r="G230" i="25"/>
  <c r="BN230" i="25" s="1"/>
  <c r="F104" i="25"/>
  <c r="G104" i="25"/>
  <c r="I104" i="25" s="1"/>
  <c r="F21" i="25"/>
  <c r="G21" i="25"/>
  <c r="BN21" i="25" s="1"/>
  <c r="F179" i="25"/>
  <c r="G179" i="25"/>
  <c r="BN179" i="25" s="1"/>
  <c r="F198" i="25"/>
  <c r="G198" i="25"/>
  <c r="I198" i="25" s="1"/>
  <c r="F96" i="25"/>
  <c r="G96" i="25"/>
  <c r="F197" i="25"/>
  <c r="G197" i="25"/>
  <c r="BN197" i="25" s="1"/>
  <c r="F118" i="25"/>
  <c r="G118" i="25"/>
  <c r="BN118" i="25" s="1"/>
  <c r="F115" i="25"/>
  <c r="G115" i="25"/>
  <c r="BN115" i="25" s="1"/>
  <c r="F205" i="25"/>
  <c r="G205" i="25"/>
  <c r="BN205" i="25" s="1"/>
  <c r="F183" i="25"/>
  <c r="G183" i="25"/>
  <c r="BN183" i="25" s="1"/>
  <c r="F200" i="25"/>
  <c r="G200" i="25"/>
  <c r="BN200" i="25" s="1"/>
  <c r="F114" i="25"/>
  <c r="G114" i="25"/>
  <c r="BN114" i="25" s="1"/>
  <c r="F207" i="25"/>
  <c r="G207" i="25"/>
  <c r="BN207" i="25" s="1"/>
  <c r="F130" i="25"/>
  <c r="G130" i="25"/>
  <c r="BN130" i="25" s="1"/>
  <c r="F116" i="25"/>
  <c r="G116" i="25"/>
  <c r="BN116" i="25" s="1"/>
  <c r="F218" i="25"/>
  <c r="BM218" i="25" s="1"/>
  <c r="F168" i="24"/>
  <c r="BO168" i="24" s="1"/>
  <c r="BR168" i="24" s="1"/>
  <c r="F43" i="24"/>
  <c r="F86" i="24"/>
  <c r="BO86" i="24" s="1"/>
  <c r="BR86" i="24" s="1"/>
  <c r="F239" i="24"/>
  <c r="F73" i="24"/>
  <c r="F51" i="24"/>
  <c r="F195" i="24"/>
  <c r="BO195" i="24" s="1"/>
  <c r="BR195" i="24" s="1"/>
  <c r="F290" i="24"/>
  <c r="F291" i="24"/>
  <c r="F102" i="24"/>
  <c r="F257" i="24"/>
  <c r="F151" i="24"/>
  <c r="F164" i="24"/>
  <c r="BO164" i="24" s="1"/>
  <c r="BR164" i="24" s="1"/>
  <c r="F84" i="24"/>
  <c r="F20" i="24"/>
  <c r="F120" i="24"/>
  <c r="F141" i="24"/>
  <c r="F126" i="24"/>
  <c r="BO126" i="24" s="1"/>
  <c r="BR126" i="24" s="1"/>
  <c r="F283" i="24"/>
  <c r="F16" i="24"/>
  <c r="F187" i="24"/>
  <c r="F258" i="24"/>
  <c r="F247" i="24"/>
  <c r="F76" i="24"/>
  <c r="F58" i="24"/>
  <c r="F282" i="24"/>
  <c r="F185" i="24"/>
  <c r="BO185" i="24" s="1"/>
  <c r="BR185" i="24" s="1"/>
  <c r="F181" i="24"/>
  <c r="BO181" i="24" s="1"/>
  <c r="BR181" i="24" s="1"/>
  <c r="F95" i="24"/>
  <c r="F31" i="24"/>
  <c r="F182" i="24"/>
  <c r="F271" i="24"/>
  <c r="F69" i="24"/>
  <c r="F269" i="24"/>
  <c r="F175" i="24"/>
  <c r="BO175" i="24" s="1"/>
  <c r="BR175" i="24" s="1"/>
  <c r="F299" i="24"/>
  <c r="F87" i="24"/>
  <c r="F23" i="24"/>
  <c r="F174" i="24"/>
  <c r="F308" i="24"/>
  <c r="F204" i="24"/>
  <c r="F290" i="25"/>
  <c r="G290" i="25"/>
  <c r="BN290" i="25" s="1"/>
  <c r="F117" i="25"/>
  <c r="G117" i="25"/>
  <c r="I117" i="25" s="1"/>
  <c r="F297" i="25"/>
  <c r="G297" i="25"/>
  <c r="I297" i="25" s="1"/>
  <c r="F312" i="25"/>
  <c r="G312" i="25"/>
  <c r="BN312" i="25" s="1"/>
  <c r="F221" i="25"/>
  <c r="G221" i="25"/>
  <c r="I221" i="25" s="1"/>
  <c r="F49" i="25"/>
  <c r="G49" i="25"/>
  <c r="F35" i="25"/>
  <c r="G35" i="25"/>
  <c r="BN35" i="25" s="1"/>
  <c r="F48" i="25"/>
  <c r="BM48" i="25" s="1"/>
  <c r="G48" i="25"/>
  <c r="BN48" i="25" s="1"/>
  <c r="F85" i="25"/>
  <c r="G85" i="25"/>
  <c r="BN85" i="25" s="1"/>
  <c r="F91" i="25"/>
  <c r="G91" i="25"/>
  <c r="BN91" i="25" s="1"/>
  <c r="F20" i="25"/>
  <c r="G20" i="25"/>
  <c r="BN20" i="25" s="1"/>
  <c r="F57" i="25"/>
  <c r="G57" i="25"/>
  <c r="BN57" i="25" s="1"/>
  <c r="F98" i="25"/>
  <c r="G98" i="25"/>
  <c r="BN98" i="25" s="1"/>
  <c r="F24" i="25"/>
  <c r="G24" i="25"/>
  <c r="BN24" i="25" s="1"/>
  <c r="F22" i="25"/>
  <c r="G22" i="25"/>
  <c r="BN22" i="25" s="1"/>
  <c r="F123" i="25"/>
  <c r="G123" i="25"/>
  <c r="BN123" i="25" s="1"/>
  <c r="F140" i="25"/>
  <c r="G140" i="25"/>
  <c r="BN140" i="25" s="1"/>
  <c r="F149" i="25"/>
  <c r="G149" i="25"/>
  <c r="BN149" i="25" s="1"/>
  <c r="F127" i="25"/>
  <c r="G127" i="25"/>
  <c r="BN127" i="25" s="1"/>
  <c r="F153" i="25"/>
  <c r="G153" i="25"/>
  <c r="BN153" i="25" s="1"/>
  <c r="F196" i="25"/>
  <c r="G196" i="25"/>
  <c r="BN196" i="25" s="1"/>
  <c r="F135" i="25"/>
  <c r="G135" i="25"/>
  <c r="BN135" i="25" s="1"/>
  <c r="F307" i="25"/>
  <c r="G307" i="25"/>
  <c r="I307" i="25" s="1"/>
  <c r="F99" i="25"/>
  <c r="G99" i="25"/>
  <c r="F43" i="25"/>
  <c r="G43" i="25"/>
  <c r="BN43" i="25" s="1"/>
  <c r="F40" i="25"/>
  <c r="G40" i="25"/>
  <c r="BN40" i="25" s="1"/>
  <c r="F54" i="25"/>
  <c r="G54" i="25"/>
  <c r="BN54" i="25" s="1"/>
  <c r="F139" i="25"/>
  <c r="G139" i="25"/>
  <c r="BN139" i="25" s="1"/>
  <c r="F156" i="25"/>
  <c r="G156" i="25"/>
  <c r="I156" i="25" s="1"/>
  <c r="F278" i="25"/>
  <c r="G278" i="25"/>
  <c r="I278" i="25" s="1"/>
  <c r="F32" i="25"/>
  <c r="G32" i="25"/>
  <c r="F311" i="25"/>
  <c r="G311" i="25"/>
  <c r="I311" i="25" s="1"/>
  <c r="F150" i="25"/>
  <c r="G150" i="25"/>
  <c r="F260" i="25"/>
  <c r="G260" i="25"/>
  <c r="I260" i="25" s="1"/>
  <c r="F227" i="25"/>
  <c r="G227" i="25"/>
  <c r="I227" i="25" s="1"/>
  <c r="G97" i="25"/>
  <c r="F46" i="25"/>
  <c r="G46" i="25"/>
  <c r="BN46" i="25" s="1"/>
  <c r="F79" i="25"/>
  <c r="G79" i="25"/>
  <c r="BN79" i="25" s="1"/>
  <c r="F68" i="25"/>
  <c r="G68" i="25"/>
  <c r="BN68" i="25" s="1"/>
  <c r="F18" i="25"/>
  <c r="G18" i="25"/>
  <c r="BN18" i="25" s="1"/>
  <c r="F51" i="25"/>
  <c r="G51" i="25"/>
  <c r="BN51" i="25" s="1"/>
  <c r="F72" i="25"/>
  <c r="G72" i="25"/>
  <c r="BN72" i="25" s="1"/>
  <c r="F67" i="25"/>
  <c r="G67" i="25"/>
  <c r="BN67" i="25" s="1"/>
  <c r="F171" i="25"/>
  <c r="G171" i="25"/>
  <c r="BN171" i="25" s="1"/>
  <c r="F295" i="25"/>
  <c r="G295" i="25"/>
  <c r="BN295" i="25" s="1"/>
  <c r="F82" i="25"/>
  <c r="BM82" i="25" s="1"/>
  <c r="F34" i="25"/>
  <c r="BM34" i="25" s="1"/>
  <c r="F80" i="25"/>
  <c r="BM80" i="25" s="1"/>
  <c r="F284" i="24"/>
  <c r="F311" i="24"/>
  <c r="F148" i="24"/>
  <c r="BO148" i="24" s="1"/>
  <c r="BR148" i="24" s="1"/>
  <c r="F127" i="24"/>
  <c r="BO127" i="24" s="1"/>
  <c r="BR127" i="24" s="1"/>
  <c r="F150" i="24"/>
  <c r="BO150" i="24" s="1"/>
  <c r="BR150" i="24" s="1"/>
  <c r="F87" i="25"/>
  <c r="BM87" i="25" s="1"/>
  <c r="F61" i="24"/>
  <c r="BO61" i="24" s="1"/>
  <c r="BR61" i="24" s="1"/>
  <c r="F42" i="24"/>
  <c r="BO42" i="24" s="1"/>
  <c r="BR42" i="24" s="1"/>
  <c r="F60" i="24"/>
  <c r="BO60" i="24" s="1"/>
  <c r="BR60" i="24" s="1"/>
  <c r="F53" i="24"/>
  <c r="BO53" i="24" s="1"/>
  <c r="BR53" i="24" s="1"/>
  <c r="F81" i="24"/>
  <c r="BO81" i="24" s="1"/>
  <c r="BR81" i="24" s="1"/>
  <c r="F92" i="24"/>
  <c r="F293" i="24"/>
  <c r="F240" i="24"/>
  <c r="F200" i="24"/>
  <c r="F15" i="24"/>
  <c r="F166" i="24"/>
  <c r="F300" i="24"/>
  <c r="F17" i="24"/>
  <c r="F34" i="24"/>
  <c r="F221" i="24"/>
  <c r="F270" i="24"/>
  <c r="F13" i="24"/>
  <c r="F313" i="24"/>
  <c r="F260" i="24"/>
  <c r="F156" i="24"/>
  <c r="F90" i="24"/>
  <c r="F245" i="24"/>
  <c r="F217" i="24"/>
  <c r="F275" i="24"/>
  <c r="F8" i="24"/>
  <c r="F199" i="24"/>
  <c r="F155" i="24"/>
  <c r="F220" i="24"/>
  <c r="F180" i="24"/>
  <c r="F27" i="24"/>
  <c r="F178" i="24"/>
  <c r="BO178" i="24" s="1"/>
  <c r="BR178" i="24" s="1"/>
  <c r="F312" i="24"/>
  <c r="F208" i="24"/>
  <c r="F89" i="24"/>
  <c r="F113" i="24"/>
  <c r="F306" i="24"/>
  <c r="F128" i="24"/>
  <c r="F231" i="24"/>
  <c r="F286" i="25"/>
  <c r="G286" i="25"/>
  <c r="F276" i="25"/>
  <c r="G276" i="25"/>
  <c r="I276" i="25" s="1"/>
  <c r="F288" i="25"/>
  <c r="G288" i="25"/>
  <c r="BN288" i="25" s="1"/>
  <c r="F259" i="25"/>
  <c r="BM259" i="25" s="1"/>
  <c r="G259" i="25"/>
  <c r="I259" i="25" s="1"/>
  <c r="F308" i="25"/>
  <c r="G308" i="25"/>
  <c r="F283" i="25"/>
  <c r="G283" i="25"/>
  <c r="I283" i="25" s="1"/>
  <c r="F301" i="25"/>
  <c r="G301" i="25"/>
  <c r="F287" i="25"/>
  <c r="G287" i="25"/>
  <c r="I287" i="25" s="1"/>
  <c r="F268" i="25"/>
  <c r="G268" i="25"/>
  <c r="F12" i="25"/>
  <c r="G12" i="25"/>
  <c r="F314" i="25"/>
  <c r="G314" i="25"/>
  <c r="F274" i="25"/>
  <c r="G274" i="25"/>
  <c r="BN274" i="25" s="1"/>
  <c r="F263" i="25"/>
  <c r="G263" i="25"/>
  <c r="F253" i="25"/>
  <c r="G253" i="25"/>
  <c r="BN253" i="25" s="1"/>
  <c r="F100" i="25"/>
  <c r="G100" i="25"/>
  <c r="I100" i="25" s="1"/>
  <c r="F76" i="25"/>
  <c r="G76" i="25"/>
  <c r="I76" i="25" s="1"/>
  <c r="F84" i="25"/>
  <c r="G84" i="25"/>
  <c r="BN84" i="25" s="1"/>
  <c r="F90" i="25"/>
  <c r="G90" i="25"/>
  <c r="F45" i="25"/>
  <c r="G45" i="25"/>
  <c r="F64" i="25"/>
  <c r="G64" i="25"/>
  <c r="F14" i="25"/>
  <c r="G14" i="25"/>
  <c r="F36" i="25"/>
  <c r="G36" i="25"/>
  <c r="I36" i="25" s="1"/>
  <c r="F306" i="25"/>
  <c r="G306" i="25"/>
  <c r="F231" i="25"/>
  <c r="G231" i="25"/>
  <c r="BN231" i="25" s="1"/>
  <c r="F285" i="25"/>
  <c r="G285" i="25"/>
  <c r="F101" i="25"/>
  <c r="G101" i="25"/>
  <c r="F19" i="25"/>
  <c r="G19" i="25"/>
  <c r="F187" i="25"/>
  <c r="G187" i="25"/>
  <c r="F55" i="25"/>
  <c r="G55" i="25"/>
  <c r="G50" i="25"/>
  <c r="F142" i="25"/>
  <c r="G142" i="25"/>
  <c r="F166" i="25"/>
  <c r="G166" i="25"/>
  <c r="F256" i="25"/>
  <c r="BM256" i="25" s="1"/>
  <c r="G256" i="25"/>
  <c r="I256" i="25" s="1"/>
  <c r="F41" i="25"/>
  <c r="G41" i="25"/>
  <c r="BN41" i="25" s="1"/>
  <c r="F133" i="25"/>
  <c r="G133" i="25"/>
  <c r="I133" i="25" s="1"/>
  <c r="F119" i="25"/>
  <c r="G119" i="25"/>
  <c r="BN119" i="25" s="1"/>
  <c r="F131" i="25"/>
  <c r="G131" i="25"/>
  <c r="I131" i="25" s="1"/>
  <c r="F167" i="25"/>
  <c r="G167" i="25"/>
  <c r="F184" i="25"/>
  <c r="G184" i="25"/>
  <c r="F209" i="25"/>
  <c r="G209" i="25"/>
  <c r="F175" i="25"/>
  <c r="G175" i="25"/>
  <c r="F201" i="25"/>
  <c r="G201" i="25"/>
  <c r="F289" i="25"/>
  <c r="G289" i="25"/>
  <c r="I289" i="25" s="1"/>
  <c r="F238" i="25"/>
  <c r="G238" i="25"/>
  <c r="I238" i="25" s="1"/>
  <c r="F234" i="25"/>
  <c r="G234" i="25"/>
  <c r="F313" i="25"/>
  <c r="G313" i="25"/>
  <c r="I313" i="25" s="1"/>
  <c r="F304" i="25"/>
  <c r="G304" i="25"/>
  <c r="F60" i="25"/>
  <c r="G60" i="25"/>
  <c r="F75" i="25"/>
  <c r="G75" i="25"/>
  <c r="I75" i="25" s="1"/>
  <c r="F95" i="25"/>
  <c r="G95" i="25"/>
  <c r="I95" i="25" s="1"/>
  <c r="F264" i="25"/>
  <c r="G264" i="25"/>
  <c r="BN264" i="25" s="1"/>
  <c r="F235" i="25"/>
  <c r="G235" i="25"/>
  <c r="I235" i="25" s="1"/>
  <c r="F183" i="24"/>
  <c r="BO183" i="24" s="1"/>
  <c r="BR183" i="24" s="1"/>
  <c r="F105" i="24"/>
  <c r="F63" i="25"/>
  <c r="BM63" i="25" s="1"/>
  <c r="F26" i="24"/>
  <c r="BO26" i="24" s="1"/>
  <c r="BR26" i="24" s="1"/>
  <c r="F9" i="24"/>
  <c r="F48" i="24"/>
  <c r="BO48" i="24" s="1"/>
  <c r="BR48" i="24" s="1"/>
  <c r="F11" i="24"/>
  <c r="BO11" i="24" s="1"/>
  <c r="BR11" i="24" s="1"/>
  <c r="F28" i="24"/>
  <c r="BO28" i="24" s="1"/>
  <c r="BR28" i="24" s="1"/>
  <c r="F78" i="24"/>
  <c r="BO78" i="24" s="1"/>
  <c r="BR78" i="24" s="1"/>
  <c r="F29" i="24"/>
  <c r="BO29" i="24" s="1"/>
  <c r="BR29" i="24" s="1"/>
  <c r="F277" i="25"/>
  <c r="BM277" i="25" s="1"/>
  <c r="F310" i="25"/>
  <c r="BM310" i="25" s="1"/>
  <c r="F111" i="25"/>
  <c r="BM111" i="25" s="1"/>
  <c r="F69" i="25"/>
  <c r="BM69" i="25" s="1"/>
  <c r="F25" i="24"/>
  <c r="F226" i="24"/>
  <c r="F149" i="24"/>
  <c r="F124" i="24"/>
  <c r="F227" i="24"/>
  <c r="F47" i="24"/>
  <c r="F121" i="24"/>
  <c r="F278" i="24"/>
  <c r="F210" i="24"/>
  <c r="F287" i="24"/>
  <c r="F65" i="24"/>
  <c r="BO65" i="24" s="1"/>
  <c r="BR65" i="24" s="1"/>
  <c r="F66" i="24"/>
  <c r="F218" i="24"/>
  <c r="F264" i="24"/>
  <c r="F219" i="24"/>
  <c r="F57" i="24"/>
  <c r="F80" i="24"/>
  <c r="F294" i="24"/>
  <c r="F197" i="24"/>
  <c r="F189" i="24"/>
  <c r="F49" i="24"/>
  <c r="F93" i="24"/>
  <c r="F154" i="24"/>
  <c r="F288" i="24"/>
  <c r="F184" i="24"/>
  <c r="F40" i="24"/>
  <c r="F305" i="24"/>
  <c r="F316" i="24"/>
  <c r="F203" i="24"/>
  <c r="F139" i="24"/>
  <c r="F222" i="24"/>
  <c r="F235" i="24"/>
  <c r="F32" i="24"/>
  <c r="F297" i="24"/>
  <c r="F244" i="24"/>
  <c r="F140" i="24"/>
  <c r="F240" i="25"/>
  <c r="G240" i="25"/>
  <c r="BN240" i="25" s="1"/>
  <c r="F284" i="25"/>
  <c r="G284" i="25"/>
  <c r="F267" i="25"/>
  <c r="G267" i="25"/>
  <c r="F251" i="25"/>
  <c r="G251" i="25"/>
  <c r="F33" i="25"/>
  <c r="G33" i="25"/>
  <c r="F27" i="25"/>
  <c r="G27" i="25"/>
  <c r="F154" i="25"/>
  <c r="G154" i="25"/>
  <c r="F261" i="25"/>
  <c r="G261" i="25"/>
  <c r="F249" i="25"/>
  <c r="G249" i="25"/>
  <c r="F217" i="25"/>
  <c r="G217" i="25"/>
  <c r="BN217" i="25" s="1"/>
  <c r="F28" i="25"/>
  <c r="G28" i="25"/>
  <c r="F65" i="25"/>
  <c r="G65" i="25"/>
  <c r="F228" i="25"/>
  <c r="G228" i="25"/>
  <c r="F299" i="25"/>
  <c r="BM299" i="25" s="1"/>
  <c r="G299" i="25"/>
  <c r="F155" i="25"/>
  <c r="G155" i="25"/>
  <c r="F172" i="25"/>
  <c r="G172" i="25"/>
  <c r="F181" i="25"/>
  <c r="G181" i="25"/>
  <c r="I181" i="25" s="1"/>
  <c r="F191" i="25"/>
  <c r="G191" i="25"/>
  <c r="F178" i="25"/>
  <c r="G178" i="25"/>
  <c r="F173" i="25"/>
  <c r="G173" i="25"/>
  <c r="F309" i="25"/>
  <c r="G309" i="25"/>
  <c r="F7" i="25"/>
  <c r="G7" i="25"/>
  <c r="F92" i="25"/>
  <c r="G92" i="25"/>
  <c r="F78" i="25"/>
  <c r="G78" i="25"/>
  <c r="F229" i="25"/>
  <c r="G229" i="25"/>
  <c r="BN229" i="25" s="1"/>
  <c r="F303" i="25"/>
  <c r="BM303" i="25" s="1"/>
  <c r="G303" i="25"/>
  <c r="F282" i="25"/>
  <c r="G282" i="25"/>
  <c r="BN282" i="25" s="1"/>
  <c r="F172" i="24"/>
  <c r="BO172" i="24" s="1"/>
  <c r="BR172" i="24" s="1"/>
  <c r="F50" i="25"/>
  <c r="BM50" i="25" s="1"/>
  <c r="F17" i="25"/>
  <c r="BM17" i="25" s="1"/>
  <c r="F97" i="25"/>
  <c r="BM97" i="25" s="1"/>
  <c r="F59" i="24"/>
  <c r="BO59" i="24" s="1"/>
  <c r="BR59" i="24" s="1"/>
  <c r="F15" i="25"/>
  <c r="BM15" i="25" s="1"/>
  <c r="F85" i="24"/>
  <c r="F10" i="24"/>
  <c r="F229" i="24"/>
  <c r="F136" i="24"/>
  <c r="F79" i="24"/>
  <c r="F289" i="24"/>
  <c r="F236" i="24"/>
  <c r="F196" i="24"/>
  <c r="F98" i="24"/>
  <c r="BO98" i="24" s="1"/>
  <c r="BR98" i="24" s="1"/>
  <c r="F310" i="24"/>
  <c r="F209" i="24"/>
  <c r="F193" i="24"/>
  <c r="F315" i="24"/>
  <c r="F30" i="24"/>
  <c r="F249" i="24"/>
  <c r="F135" i="24"/>
  <c r="F279" i="24"/>
  <c r="F35" i="24"/>
  <c r="F207" i="24"/>
  <c r="F238" i="24"/>
  <c r="F112" i="24"/>
  <c r="F72" i="24"/>
  <c r="F262" i="24"/>
  <c r="F173" i="24"/>
  <c r="F234" i="24"/>
  <c r="F303" i="24"/>
  <c r="F91" i="24"/>
  <c r="F301" i="24"/>
  <c r="F248" i="24"/>
  <c r="F144" i="24"/>
  <c r="F64" i="24"/>
  <c r="F242" i="24"/>
  <c r="F153" i="24"/>
  <c r="F161" i="24"/>
  <c r="F250" i="25"/>
  <c r="G250" i="25"/>
  <c r="F25" i="25"/>
  <c r="G25" i="25"/>
  <c r="F66" i="25"/>
  <c r="G66" i="25"/>
  <c r="F39" i="25"/>
  <c r="G39" i="25"/>
  <c r="F61" i="25"/>
  <c r="G61" i="25"/>
  <c r="F170" i="25"/>
  <c r="G170" i="25"/>
  <c r="F272" i="25"/>
  <c r="G272" i="25"/>
  <c r="F242" i="25"/>
  <c r="G242" i="25"/>
  <c r="I242" i="25" s="1"/>
  <c r="F252" i="25"/>
  <c r="G252" i="25"/>
  <c r="F225" i="25"/>
  <c r="G225" i="25"/>
  <c r="F247" i="25"/>
  <c r="G247" i="25"/>
  <c r="BN247" i="25" s="1"/>
  <c r="F316" i="25"/>
  <c r="G316" i="25"/>
  <c r="F293" i="25"/>
  <c r="G293" i="25"/>
  <c r="F281" i="25"/>
  <c r="G281" i="25"/>
  <c r="I281" i="25" s="1"/>
  <c r="F89" i="25"/>
  <c r="G89" i="25"/>
  <c r="F47" i="25"/>
  <c r="G47" i="25"/>
  <c r="F56" i="25"/>
  <c r="G56" i="25"/>
  <c r="I56" i="25" s="1"/>
  <c r="F86" i="25"/>
  <c r="G86" i="25"/>
  <c r="G110" i="25"/>
  <c r="BN110" i="25" s="1"/>
  <c r="BQ110" i="25" s="1"/>
  <c r="F305" i="25"/>
  <c r="G305" i="25"/>
  <c r="F124" i="25"/>
  <c r="G124" i="25"/>
  <c r="F121" i="25"/>
  <c r="G121" i="25"/>
  <c r="F136" i="25"/>
  <c r="G136" i="25"/>
  <c r="F161" i="25"/>
  <c r="G161" i="25"/>
  <c r="F292" i="25"/>
  <c r="G292" i="25"/>
  <c r="F243" i="25"/>
  <c r="G243" i="25"/>
  <c r="G216" i="25"/>
  <c r="BN216" i="25" s="1"/>
  <c r="BQ216" i="25" s="1"/>
  <c r="F298" i="25"/>
  <c r="G298" i="25"/>
  <c r="BN298" i="25" s="1"/>
  <c r="F113" i="25"/>
  <c r="G113" i="25"/>
  <c r="F148" i="25"/>
  <c r="G148" i="25"/>
  <c r="F233" i="25"/>
  <c r="G233" i="25"/>
  <c r="BN233" i="25" s="1"/>
  <c r="F291" i="25"/>
  <c r="G291" i="25"/>
  <c r="I291" i="25" s="1"/>
  <c r="F262" i="25"/>
  <c r="BM262" i="25" s="1"/>
  <c r="G262" i="25"/>
  <c r="F144" i="25"/>
  <c r="G144" i="25"/>
  <c r="F199" i="25"/>
  <c r="G199" i="25"/>
  <c r="I199" i="25" s="1"/>
  <c r="F146" i="25"/>
  <c r="G146" i="25"/>
  <c r="BN146" i="25" s="1"/>
  <c r="F220" i="25"/>
  <c r="G220" i="25"/>
  <c r="I220" i="25" s="1"/>
  <c r="F258" i="25"/>
  <c r="G258" i="25"/>
  <c r="BN258" i="25" s="1"/>
  <c r="F296" i="25"/>
  <c r="G296" i="25"/>
  <c r="I296" i="25" s="1"/>
  <c r="F248" i="25"/>
  <c r="G248" i="25"/>
  <c r="I248" i="25" s="1"/>
  <c r="F134" i="25"/>
  <c r="G134" i="25"/>
  <c r="I134" i="25" s="1"/>
  <c r="F128" i="25"/>
  <c r="G128" i="25"/>
  <c r="BN128" i="25" s="1"/>
  <c r="F302" i="25"/>
  <c r="G302" i="25"/>
  <c r="I302" i="25" s="1"/>
  <c r="F254" i="25"/>
  <c r="G254" i="25"/>
  <c r="I254" i="25" s="1"/>
  <c r="F112" i="25"/>
  <c r="G112" i="25"/>
  <c r="F103" i="25"/>
  <c r="G103" i="25"/>
  <c r="F88" i="25"/>
  <c r="G88" i="25"/>
  <c r="F147" i="25"/>
  <c r="G147" i="25"/>
  <c r="F138" i="25"/>
  <c r="G138" i="25"/>
  <c r="I138" i="25" s="1"/>
  <c r="F224" i="25"/>
  <c r="BM224" i="25" s="1"/>
  <c r="G224" i="25"/>
  <c r="BN224" i="25" s="1"/>
  <c r="F275" i="25"/>
  <c r="G275" i="25"/>
  <c r="I275" i="25" s="1"/>
  <c r="F223" i="25"/>
  <c r="G223" i="25"/>
  <c r="I223" i="25" s="1"/>
  <c r="F158" i="25"/>
  <c r="G158" i="25"/>
  <c r="F222" i="25"/>
  <c r="G222" i="25"/>
  <c r="I222" i="25" s="1"/>
  <c r="F102" i="25"/>
  <c r="G102" i="25"/>
  <c r="F10" i="25"/>
  <c r="BM10" i="25" s="1"/>
  <c r="G10" i="25"/>
  <c r="F244" i="25"/>
  <c r="G244" i="25"/>
  <c r="I244" i="25" s="1"/>
  <c r="F294" i="25"/>
  <c r="G294" i="25"/>
  <c r="I294" i="25" s="1"/>
  <c r="BO228" i="24" l="1"/>
  <c r="BR228" i="24" s="1"/>
  <c r="BO302" i="24"/>
  <c r="BR302" i="24" s="1"/>
  <c r="BO277" i="24"/>
  <c r="BR277" i="24" s="1"/>
  <c r="BO250" i="24"/>
  <c r="BR250" i="24" s="1"/>
  <c r="BO235" i="24"/>
  <c r="BR235" i="24" s="1"/>
  <c r="BO284" i="24"/>
  <c r="BR284" i="24" s="1"/>
  <c r="BO259" i="24"/>
  <c r="BR259" i="24" s="1"/>
  <c r="BO223" i="24"/>
  <c r="BR223" i="24" s="1"/>
  <c r="I294" i="24"/>
  <c r="S294" i="24" s="1"/>
  <c r="T294" i="24" s="1"/>
  <c r="BO274" i="24"/>
  <c r="BR274" i="24" s="1"/>
  <c r="BO241" i="24"/>
  <c r="BR241" i="24" s="1"/>
  <c r="I257" i="24"/>
  <c r="M257" i="24" s="1"/>
  <c r="N257" i="24" s="1"/>
  <c r="P257" i="24" s="1"/>
  <c r="BO298" i="24"/>
  <c r="BR298" i="24" s="1"/>
  <c r="BO281" i="24"/>
  <c r="BR281" i="24" s="1"/>
  <c r="BO311" i="24"/>
  <c r="BR311" i="24" s="1"/>
  <c r="BO243" i="24"/>
  <c r="BR243" i="24" s="1"/>
  <c r="I236" i="24"/>
  <c r="BK236" i="24" s="1"/>
  <c r="BO251" i="24"/>
  <c r="BR251" i="24" s="1"/>
  <c r="I233" i="24"/>
  <c r="S233" i="24" s="1"/>
  <c r="T233" i="24" s="1"/>
  <c r="BO291" i="24"/>
  <c r="BR291" i="24" s="1"/>
  <c r="I264" i="24"/>
  <c r="K264" i="24" s="1"/>
  <c r="BO285" i="24"/>
  <c r="BR285" i="24" s="1"/>
  <c r="BO275" i="24"/>
  <c r="BR275" i="24" s="1"/>
  <c r="BO283" i="24"/>
  <c r="BR283" i="24" s="1"/>
  <c r="BO307" i="24"/>
  <c r="BR307" i="24" s="1"/>
  <c r="I292" i="24"/>
  <c r="BQ218" i="25"/>
  <c r="BO105" i="24"/>
  <c r="BR105" i="24" s="1"/>
  <c r="BQ82" i="25"/>
  <c r="BQ69" i="25"/>
  <c r="BQ87" i="25"/>
  <c r="J29" i="25"/>
  <c r="BI29" i="25" s="1"/>
  <c r="J257" i="25"/>
  <c r="N257" i="25" s="1"/>
  <c r="T257" i="25" s="1"/>
  <c r="J179" i="25"/>
  <c r="BI179" i="25" s="1"/>
  <c r="J143" i="25"/>
  <c r="N143" i="25" s="1"/>
  <c r="P143" i="25" s="1"/>
  <c r="I69" i="25"/>
  <c r="J293" i="25"/>
  <c r="N293" i="25" s="1"/>
  <c r="T293" i="25" s="1"/>
  <c r="BQ30" i="25"/>
  <c r="I274" i="25"/>
  <c r="I43" i="25"/>
  <c r="J110" i="25"/>
  <c r="N110" i="25" s="1"/>
  <c r="O110" i="25" s="1"/>
  <c r="J265" i="25"/>
  <c r="BI265" i="25" s="1"/>
  <c r="BQ193" i="25"/>
  <c r="J11" i="25"/>
  <c r="L11" i="25" s="1"/>
  <c r="BN202" i="25"/>
  <c r="BQ202" i="25" s="1"/>
  <c r="BQ141" i="25"/>
  <c r="I253" i="25"/>
  <c r="BN186" i="25"/>
  <c r="BQ186" i="25" s="1"/>
  <c r="J129" i="25"/>
  <c r="N129" i="25" s="1"/>
  <c r="O129" i="25" s="1"/>
  <c r="I41" i="24"/>
  <c r="M41" i="24" s="1"/>
  <c r="BN81" i="25"/>
  <c r="BQ81" i="25" s="1"/>
  <c r="I40" i="25"/>
  <c r="I35" i="25"/>
  <c r="I230" i="25"/>
  <c r="I141" i="25"/>
  <c r="J77" i="25"/>
  <c r="BI77" i="25" s="1"/>
  <c r="BN52" i="25"/>
  <c r="I257" i="25"/>
  <c r="BQ224" i="25"/>
  <c r="J258" i="25"/>
  <c r="BI258" i="25" s="1"/>
  <c r="J131" i="25"/>
  <c r="N131" i="25" s="1"/>
  <c r="I290" i="25"/>
  <c r="BQ159" i="25"/>
  <c r="J237" i="25"/>
  <c r="L237" i="25" s="1"/>
  <c r="BO45" i="24"/>
  <c r="BR45" i="24" s="1"/>
  <c r="BN235" i="25"/>
  <c r="I119" i="25"/>
  <c r="BN156" i="25"/>
  <c r="I149" i="25"/>
  <c r="I280" i="25"/>
  <c r="I203" i="25"/>
  <c r="J189" i="25"/>
  <c r="BI189" i="25" s="1"/>
  <c r="BQ53" i="25"/>
  <c r="I164" i="25"/>
  <c r="I8" i="25"/>
  <c r="I241" i="25"/>
  <c r="I125" i="25"/>
  <c r="I87" i="25"/>
  <c r="I55" i="24"/>
  <c r="BK55" i="24" s="1"/>
  <c r="J28" i="25"/>
  <c r="BI28" i="25" s="1"/>
  <c r="I24" i="25"/>
  <c r="I193" i="25"/>
  <c r="J177" i="25"/>
  <c r="N177" i="25" s="1"/>
  <c r="T177" i="25" s="1"/>
  <c r="J280" i="25"/>
  <c r="L280" i="25" s="1"/>
  <c r="I72" i="25"/>
  <c r="I54" i="25"/>
  <c r="I207" i="25"/>
  <c r="BN239" i="25"/>
  <c r="BQ239" i="25" s="1"/>
  <c r="BN95" i="25"/>
  <c r="J104" i="25"/>
  <c r="L104" i="25" s="1"/>
  <c r="I206" i="25"/>
  <c r="I277" i="25"/>
  <c r="I83" i="25"/>
  <c r="J94" i="25"/>
  <c r="BI94" i="25" s="1"/>
  <c r="BO233" i="24"/>
  <c r="BR233" i="24" s="1"/>
  <c r="I160" i="24"/>
  <c r="S160" i="24" s="1"/>
  <c r="T160" i="24" s="1"/>
  <c r="I233" i="25"/>
  <c r="BN276" i="25"/>
  <c r="I171" i="25"/>
  <c r="I18" i="25"/>
  <c r="I79" i="25"/>
  <c r="I135" i="25"/>
  <c r="I153" i="25"/>
  <c r="I123" i="25"/>
  <c r="I57" i="25"/>
  <c r="I91" i="25"/>
  <c r="I48" i="25"/>
  <c r="I205" i="25"/>
  <c r="BN44" i="25"/>
  <c r="BQ44" i="25" s="1"/>
  <c r="I185" i="25"/>
  <c r="I218" i="25"/>
  <c r="BN77" i="25"/>
  <c r="BN13" i="25"/>
  <c r="I269" i="25"/>
  <c r="BM257" i="25"/>
  <c r="BQ257" i="25" s="1"/>
  <c r="I236" i="25"/>
  <c r="BM143" i="25"/>
  <c r="BQ143" i="25" s="1"/>
  <c r="BN131" i="25"/>
  <c r="BN133" i="25"/>
  <c r="BN256" i="25"/>
  <c r="BQ256" i="25" s="1"/>
  <c r="I231" i="25"/>
  <c r="BN287" i="25"/>
  <c r="I130" i="25"/>
  <c r="I197" i="25"/>
  <c r="BN198" i="25"/>
  <c r="BN104" i="25"/>
  <c r="I160" i="25"/>
  <c r="I26" i="25"/>
  <c r="BN245" i="25"/>
  <c r="BN38" i="25"/>
  <c r="BQ38" i="25" s="1"/>
  <c r="BN220" i="25"/>
  <c r="I146" i="25"/>
  <c r="I41" i="25"/>
  <c r="BN36" i="25"/>
  <c r="BN76" i="25"/>
  <c r="BN311" i="25"/>
  <c r="BQ48" i="25"/>
  <c r="I200" i="25"/>
  <c r="I179" i="25"/>
  <c r="I143" i="25"/>
  <c r="I151" i="25"/>
  <c r="BN177" i="25"/>
  <c r="BN270" i="25"/>
  <c r="I23" i="25"/>
  <c r="BN294" i="25"/>
  <c r="I128" i="25"/>
  <c r="I84" i="25"/>
  <c r="BN100" i="25"/>
  <c r="BN259" i="25"/>
  <c r="BQ259" i="25" s="1"/>
  <c r="BN227" i="25"/>
  <c r="I139" i="25"/>
  <c r="I115" i="25"/>
  <c r="I159" i="25"/>
  <c r="BN271" i="25"/>
  <c r="I300" i="25"/>
  <c r="I58" i="25"/>
  <c r="BN302" i="25"/>
  <c r="I67" i="25"/>
  <c r="I51" i="25"/>
  <c r="I68" i="25"/>
  <c r="I46" i="25"/>
  <c r="I196" i="25"/>
  <c r="I127" i="25"/>
  <c r="I140" i="25"/>
  <c r="I22" i="25"/>
  <c r="I98" i="25"/>
  <c r="I20" i="25"/>
  <c r="I85" i="25"/>
  <c r="I312" i="25"/>
  <c r="I315" i="25"/>
  <c r="I70" i="25"/>
  <c r="BN189" i="25"/>
  <c r="BN255" i="25"/>
  <c r="J190" i="25"/>
  <c r="L190" i="25" s="1"/>
  <c r="BN94" i="25"/>
  <c r="BQ277" i="25"/>
  <c r="I183" i="25"/>
  <c r="I273" i="25"/>
  <c r="BM29" i="25"/>
  <c r="BQ29" i="25" s="1"/>
  <c r="BN310" i="25"/>
  <c r="BQ310" i="25" s="1"/>
  <c r="BQ58" i="25"/>
  <c r="I237" i="25"/>
  <c r="BN134" i="25"/>
  <c r="BN283" i="25"/>
  <c r="I116" i="25"/>
  <c r="I118" i="25"/>
  <c r="I21" i="25"/>
  <c r="BQ315" i="25"/>
  <c r="I30" i="25"/>
  <c r="I82" i="25"/>
  <c r="I258" i="25"/>
  <c r="BN248" i="25"/>
  <c r="I282" i="25"/>
  <c r="BN75" i="25"/>
  <c r="BN307" i="25"/>
  <c r="I114" i="25"/>
  <c r="BN265" i="25"/>
  <c r="I266" i="25"/>
  <c r="BK44" i="24"/>
  <c r="S44" i="24"/>
  <c r="T44" i="24" s="1"/>
  <c r="S236" i="24"/>
  <c r="T236" i="24" s="1"/>
  <c r="AL291" i="25"/>
  <c r="CC291" i="25"/>
  <c r="H291" i="25"/>
  <c r="J291" i="25"/>
  <c r="L291" i="25" s="1"/>
  <c r="BM291" i="25"/>
  <c r="BN305" i="25"/>
  <c r="I305" i="25"/>
  <c r="BN275" i="25"/>
  <c r="BN161" i="25"/>
  <c r="K72" i="24"/>
  <c r="AM72" i="24"/>
  <c r="H72" i="24"/>
  <c r="CE72" i="24"/>
  <c r="CF72" i="24"/>
  <c r="I72" i="24"/>
  <c r="M72" i="24" s="1"/>
  <c r="N72" i="24" s="1"/>
  <c r="BO72" i="24"/>
  <c r="BR72" i="24" s="1"/>
  <c r="K30" i="24"/>
  <c r="AM30" i="24"/>
  <c r="H30" i="24"/>
  <c r="I30" i="24"/>
  <c r="M30" i="24" s="1"/>
  <c r="N30" i="24" s="1"/>
  <c r="BO30" i="24"/>
  <c r="BR30" i="24" s="1"/>
  <c r="CE289" i="24"/>
  <c r="CF289" i="24"/>
  <c r="H289" i="24"/>
  <c r="AM289" i="24"/>
  <c r="I289" i="24"/>
  <c r="K289" i="24" s="1"/>
  <c r="BO289" i="24"/>
  <c r="BR289" i="24" s="1"/>
  <c r="I28" i="25"/>
  <c r="BN28" i="25"/>
  <c r="CC154" i="25"/>
  <c r="AL154" i="25"/>
  <c r="H154" i="25"/>
  <c r="J154" i="25"/>
  <c r="L154" i="25" s="1"/>
  <c r="BM154" i="25"/>
  <c r="I267" i="25"/>
  <c r="BN267" i="25"/>
  <c r="AM219" i="24"/>
  <c r="H219" i="24"/>
  <c r="CE219" i="24"/>
  <c r="CF219" i="24"/>
  <c r="I219" i="24"/>
  <c r="M219" i="24" s="1"/>
  <c r="N219" i="24" s="1"/>
  <c r="BO219" i="24"/>
  <c r="BR219" i="24" s="1"/>
  <c r="CF121" i="24"/>
  <c r="AM121" i="24"/>
  <c r="H121" i="24"/>
  <c r="CE121" i="24"/>
  <c r="I121" i="24"/>
  <c r="M121" i="24" s="1"/>
  <c r="N121" i="24" s="1"/>
  <c r="BO121" i="24"/>
  <c r="BR121" i="24" s="1"/>
  <c r="CF9" i="24"/>
  <c r="CE9" i="24"/>
  <c r="AM9" i="24"/>
  <c r="K9" i="24"/>
  <c r="H9" i="24"/>
  <c r="I9" i="24"/>
  <c r="I187" i="25"/>
  <c r="BN187" i="25"/>
  <c r="AL222" i="25"/>
  <c r="H222" i="25"/>
  <c r="CC222" i="25"/>
  <c r="BM222" i="25"/>
  <c r="J222" i="25"/>
  <c r="CE103" i="25"/>
  <c r="H103" i="25"/>
  <c r="CF103" i="25"/>
  <c r="AL103" i="25"/>
  <c r="CC103" i="25"/>
  <c r="J103" i="25"/>
  <c r="CC128" i="25"/>
  <c r="H128" i="25"/>
  <c r="AL128" i="25"/>
  <c r="J128" i="25"/>
  <c r="I148" i="25"/>
  <c r="BN199" i="25"/>
  <c r="CC136" i="25"/>
  <c r="AL136" i="25"/>
  <c r="H136" i="25"/>
  <c r="J136" i="25"/>
  <c r="BM136" i="25"/>
  <c r="H56" i="25"/>
  <c r="AL56" i="25"/>
  <c r="CC56" i="25"/>
  <c r="BM56" i="25"/>
  <c r="J56" i="25"/>
  <c r="L56" i="25" s="1"/>
  <c r="BN293" i="25"/>
  <c r="I293" i="25"/>
  <c r="H252" i="25"/>
  <c r="AL252" i="25"/>
  <c r="CC252" i="25"/>
  <c r="BM252" i="25"/>
  <c r="J252" i="25"/>
  <c r="L252" i="25" s="1"/>
  <c r="I61" i="25"/>
  <c r="H250" i="25"/>
  <c r="CC250" i="25"/>
  <c r="AL250" i="25"/>
  <c r="BM250" i="25"/>
  <c r="J250" i="25"/>
  <c r="L250" i="25" s="1"/>
  <c r="H91" i="24"/>
  <c r="CF91" i="24"/>
  <c r="AM91" i="24"/>
  <c r="CE91" i="24"/>
  <c r="K91" i="24"/>
  <c r="I91" i="24"/>
  <c r="AM207" i="24"/>
  <c r="CF207" i="24"/>
  <c r="CE207" i="24"/>
  <c r="H207" i="24"/>
  <c r="I207" i="24"/>
  <c r="K207" i="24" s="1"/>
  <c r="BO207" i="24"/>
  <c r="BR207" i="24" s="1"/>
  <c r="AM209" i="24"/>
  <c r="H209" i="24"/>
  <c r="I209" i="24"/>
  <c r="K209" i="24" s="1"/>
  <c r="BO209" i="24"/>
  <c r="BR209" i="24" s="1"/>
  <c r="H229" i="24"/>
  <c r="CF229" i="24"/>
  <c r="AM229" i="24"/>
  <c r="CE229" i="24"/>
  <c r="I229" i="24"/>
  <c r="K229" i="24" s="1"/>
  <c r="BO229" i="24"/>
  <c r="BR229" i="24" s="1"/>
  <c r="CE17" i="25"/>
  <c r="CF17" i="25"/>
  <c r="CC17" i="25"/>
  <c r="AL17" i="25"/>
  <c r="H17" i="25"/>
  <c r="J17" i="25"/>
  <c r="H303" i="25"/>
  <c r="AL303" i="25"/>
  <c r="CC303" i="25"/>
  <c r="J303" i="25"/>
  <c r="L303" i="25" s="1"/>
  <c r="I7" i="25"/>
  <c r="H191" i="25"/>
  <c r="AL191" i="25"/>
  <c r="CC191" i="25"/>
  <c r="BM191" i="25"/>
  <c r="I299" i="25"/>
  <c r="BN299" i="25"/>
  <c r="BQ299" i="25" s="1"/>
  <c r="AL217" i="25"/>
  <c r="CC217" i="25"/>
  <c r="H217" i="25"/>
  <c r="J217" i="25"/>
  <c r="L217" i="25" s="1"/>
  <c r="BM217" i="25"/>
  <c r="BQ217" i="25" s="1"/>
  <c r="I27" i="25"/>
  <c r="BN27" i="25"/>
  <c r="H284" i="25"/>
  <c r="AL284" i="25"/>
  <c r="CC284" i="25"/>
  <c r="J284" i="25"/>
  <c r="BM284" i="25"/>
  <c r="CF140" i="24"/>
  <c r="CE140" i="24"/>
  <c r="AM140" i="24"/>
  <c r="H140" i="24"/>
  <c r="I140" i="24"/>
  <c r="K140" i="24" s="1"/>
  <c r="BO140" i="24"/>
  <c r="BR140" i="24" s="1"/>
  <c r="AM316" i="24"/>
  <c r="H316" i="24"/>
  <c r="CE316" i="24"/>
  <c r="I316" i="24"/>
  <c r="K316" i="24" s="1"/>
  <c r="CE189" i="24"/>
  <c r="AM189" i="24"/>
  <c r="CF189" i="24"/>
  <c r="H189" i="24"/>
  <c r="I189" i="24"/>
  <c r="BO189" i="24"/>
  <c r="BR189" i="24" s="1"/>
  <c r="H66" i="24"/>
  <c r="AM66" i="24"/>
  <c r="K66" i="24"/>
  <c r="I66" i="24"/>
  <c r="BO66" i="24"/>
  <c r="BR66" i="24" s="1"/>
  <c r="H124" i="24"/>
  <c r="AM124" i="24"/>
  <c r="BO124" i="24"/>
  <c r="BR124" i="24" s="1"/>
  <c r="I124" i="24"/>
  <c r="K124" i="24" s="1"/>
  <c r="CC310" i="25"/>
  <c r="H310" i="25"/>
  <c r="AL310" i="25"/>
  <c r="J310" i="25"/>
  <c r="L310" i="25" s="1"/>
  <c r="H29" i="24"/>
  <c r="CF29" i="24"/>
  <c r="CE29" i="24"/>
  <c r="AM29" i="24"/>
  <c r="K29" i="24"/>
  <c r="I29" i="24"/>
  <c r="BO79" i="24"/>
  <c r="BR79" i="24" s="1"/>
  <c r="AM105" i="24"/>
  <c r="K105" i="24"/>
  <c r="H105" i="24"/>
  <c r="I105" i="24"/>
  <c r="H60" i="25"/>
  <c r="CC60" i="25"/>
  <c r="AL60" i="25"/>
  <c r="J60" i="25"/>
  <c r="L60" i="25" s="1"/>
  <c r="BM60" i="25"/>
  <c r="BN238" i="25"/>
  <c r="I209" i="25"/>
  <c r="BN209" i="25"/>
  <c r="BN50" i="25"/>
  <c r="BQ50" i="25" s="1"/>
  <c r="AL19" i="25"/>
  <c r="CC19" i="25"/>
  <c r="CE19" i="25"/>
  <c r="CF19" i="25"/>
  <c r="H19" i="25"/>
  <c r="J19" i="25"/>
  <c r="L19" i="25" s="1"/>
  <c r="BM19" i="25"/>
  <c r="CC231" i="25"/>
  <c r="H231" i="25"/>
  <c r="AL231" i="25"/>
  <c r="BM231" i="25"/>
  <c r="BQ231" i="25" s="1"/>
  <c r="J231" i="25"/>
  <c r="H64" i="25"/>
  <c r="AL64" i="25"/>
  <c r="CC64" i="25"/>
  <c r="J64" i="25"/>
  <c r="BM64" i="25"/>
  <c r="AL84" i="25"/>
  <c r="CC84" i="25"/>
  <c r="CF84" i="25"/>
  <c r="CE84" i="25"/>
  <c r="H84" i="25"/>
  <c r="BM84" i="25"/>
  <c r="BQ84" i="25" s="1"/>
  <c r="J84" i="25"/>
  <c r="CC76" i="25"/>
  <c r="H76" i="25"/>
  <c r="AL76" i="25"/>
  <c r="CF76" i="25"/>
  <c r="CE76" i="25"/>
  <c r="BM76" i="25"/>
  <c r="J76" i="25"/>
  <c r="L76" i="25" s="1"/>
  <c r="H100" i="25"/>
  <c r="CF100" i="25"/>
  <c r="CE100" i="25"/>
  <c r="AL100" i="25"/>
  <c r="CC100" i="25"/>
  <c r="BM100" i="25"/>
  <c r="J100" i="25"/>
  <c r="L100" i="25" s="1"/>
  <c r="CC253" i="25"/>
  <c r="H253" i="25"/>
  <c r="AL253" i="25"/>
  <c r="BM253" i="25"/>
  <c r="BQ253" i="25" s="1"/>
  <c r="J253" i="25"/>
  <c r="L253" i="25" s="1"/>
  <c r="I268" i="25"/>
  <c r="BN268" i="25"/>
  <c r="AL301" i="25"/>
  <c r="H301" i="25"/>
  <c r="CC301" i="25"/>
  <c r="BM301" i="25"/>
  <c r="J301" i="25"/>
  <c r="L301" i="25" s="1"/>
  <c r="I308" i="25"/>
  <c r="BN308" i="25"/>
  <c r="H288" i="25"/>
  <c r="AL288" i="25"/>
  <c r="CC288" i="25"/>
  <c r="J288" i="25"/>
  <c r="L288" i="25" s="1"/>
  <c r="I286" i="25"/>
  <c r="BN286" i="25"/>
  <c r="H113" i="24"/>
  <c r="CF113" i="24"/>
  <c r="CE113" i="24"/>
  <c r="AM113" i="24"/>
  <c r="I113" i="24"/>
  <c r="K113" i="24" s="1"/>
  <c r="BO113" i="24"/>
  <c r="BR113" i="24" s="1"/>
  <c r="CF155" i="24"/>
  <c r="CE155" i="24"/>
  <c r="AM155" i="24"/>
  <c r="H155" i="24"/>
  <c r="I155" i="24"/>
  <c r="K155" i="24" s="1"/>
  <c r="BO155" i="24"/>
  <c r="BR155" i="24" s="1"/>
  <c r="CE260" i="24"/>
  <c r="H260" i="24"/>
  <c r="CF260" i="24"/>
  <c r="AM260" i="24"/>
  <c r="I260" i="24"/>
  <c r="K260" i="24" s="1"/>
  <c r="BO260" i="24"/>
  <c r="BR260" i="24" s="1"/>
  <c r="AM166" i="24"/>
  <c r="H166" i="24"/>
  <c r="I166" i="24"/>
  <c r="K166" i="24" s="1"/>
  <c r="AM60" i="24"/>
  <c r="H60" i="24"/>
  <c r="CE60" i="24"/>
  <c r="K60" i="24"/>
  <c r="CF60" i="24"/>
  <c r="I60" i="24"/>
  <c r="H148" i="24"/>
  <c r="CF148" i="24"/>
  <c r="AM148" i="24"/>
  <c r="CE148" i="24"/>
  <c r="I148" i="24"/>
  <c r="K148" i="24" s="1"/>
  <c r="H171" i="25"/>
  <c r="AL171" i="25"/>
  <c r="CC171" i="25"/>
  <c r="BM171" i="25"/>
  <c r="BQ171" i="25" s="1"/>
  <c r="AL67" i="25"/>
  <c r="H67" i="25"/>
  <c r="CC67" i="25"/>
  <c r="CE67" i="25"/>
  <c r="CF67" i="25"/>
  <c r="J67" i="25"/>
  <c r="L67" i="25" s="1"/>
  <c r="BM67" i="25"/>
  <c r="BQ67" i="25" s="1"/>
  <c r="H72" i="25"/>
  <c r="CC72" i="25"/>
  <c r="AL72" i="25"/>
  <c r="BM72" i="25"/>
  <c r="BQ72" i="25" s="1"/>
  <c r="J72" i="25"/>
  <c r="L72" i="25" s="1"/>
  <c r="CC51" i="25"/>
  <c r="CF51" i="25"/>
  <c r="CE51" i="25"/>
  <c r="AL51" i="25"/>
  <c r="H51" i="25"/>
  <c r="J51" i="25"/>
  <c r="BM51" i="25"/>
  <c r="BQ51" i="25" s="1"/>
  <c r="H18" i="25"/>
  <c r="AL18" i="25"/>
  <c r="CC18" i="25"/>
  <c r="CE18" i="25"/>
  <c r="CF18" i="25"/>
  <c r="J18" i="25"/>
  <c r="BM18" i="25"/>
  <c r="BQ18" i="25" s="1"/>
  <c r="CC68" i="25"/>
  <c r="CE68" i="25"/>
  <c r="CF68" i="25"/>
  <c r="AL68" i="25"/>
  <c r="H68" i="25"/>
  <c r="BM68" i="25"/>
  <c r="BQ68" i="25" s="1"/>
  <c r="J68" i="25"/>
  <c r="L68" i="25" s="1"/>
  <c r="CC79" i="25"/>
  <c r="AL79" i="25"/>
  <c r="H79" i="25"/>
  <c r="J79" i="25"/>
  <c r="BM79" i="25"/>
  <c r="BQ79" i="25" s="1"/>
  <c r="H46" i="25"/>
  <c r="AL46" i="25"/>
  <c r="CC46" i="25"/>
  <c r="CF46" i="25"/>
  <c r="CE46" i="25"/>
  <c r="J46" i="25"/>
  <c r="L46" i="25" s="1"/>
  <c r="BM46" i="25"/>
  <c r="BQ46" i="25" s="1"/>
  <c r="H156" i="25"/>
  <c r="CC156" i="25"/>
  <c r="AL156" i="25"/>
  <c r="BM156" i="25"/>
  <c r="J156" i="25"/>
  <c r="L156" i="25" s="1"/>
  <c r="AL139" i="25"/>
  <c r="CC139" i="25"/>
  <c r="H139" i="25"/>
  <c r="J139" i="25"/>
  <c r="BM139" i="25"/>
  <c r="BQ139" i="25" s="1"/>
  <c r="CF54" i="25"/>
  <c r="AL54" i="25"/>
  <c r="CC54" i="25"/>
  <c r="CE54" i="25"/>
  <c r="H54" i="25"/>
  <c r="BM54" i="25"/>
  <c r="BQ54" i="25" s="1"/>
  <c r="H40" i="25"/>
  <c r="AL40" i="25"/>
  <c r="CC40" i="25"/>
  <c r="CE40" i="25"/>
  <c r="CF40" i="25"/>
  <c r="J40" i="25"/>
  <c r="L40" i="25" s="1"/>
  <c r="BM40" i="25"/>
  <c r="BQ40" i="25" s="1"/>
  <c r="CE43" i="25"/>
  <c r="AL43" i="25"/>
  <c r="CC43" i="25"/>
  <c r="CF43" i="25"/>
  <c r="H43" i="25"/>
  <c r="BM43" i="25"/>
  <c r="BQ43" i="25" s="1"/>
  <c r="AL312" i="25"/>
  <c r="CC312" i="25"/>
  <c r="H312" i="25"/>
  <c r="BM312" i="25"/>
  <c r="BQ312" i="25" s="1"/>
  <c r="J312" i="25"/>
  <c r="BN297" i="25"/>
  <c r="BN117" i="25"/>
  <c r="CF174" i="24"/>
  <c r="H174" i="24"/>
  <c r="CE174" i="24"/>
  <c r="AM174" i="24"/>
  <c r="I174" i="24"/>
  <c r="K174" i="24" s="1"/>
  <c r="BO174" i="24"/>
  <c r="BR174" i="24" s="1"/>
  <c r="AM151" i="24"/>
  <c r="H151" i="24"/>
  <c r="BO151" i="24"/>
  <c r="BR151" i="24" s="1"/>
  <c r="CF239" i="24"/>
  <c r="AM239" i="24"/>
  <c r="H239" i="24"/>
  <c r="I239" i="24"/>
  <c r="K239" i="24" s="1"/>
  <c r="BO239" i="24"/>
  <c r="BR239" i="24" s="1"/>
  <c r="BO49" i="24"/>
  <c r="BR49" i="24" s="1"/>
  <c r="CC205" i="25"/>
  <c r="AL205" i="25"/>
  <c r="H205" i="25"/>
  <c r="J205" i="25"/>
  <c r="L205" i="25" s="1"/>
  <c r="BM205" i="25"/>
  <c r="BQ205" i="25" s="1"/>
  <c r="BN96" i="25"/>
  <c r="I96" i="25"/>
  <c r="BN219" i="25"/>
  <c r="H273" i="25"/>
  <c r="AL273" i="25"/>
  <c r="CC273" i="25"/>
  <c r="J273" i="25"/>
  <c r="N273" i="25" s="1"/>
  <c r="BM273" i="25"/>
  <c r="BQ273" i="25" s="1"/>
  <c r="I168" i="25"/>
  <c r="BQ151" i="25"/>
  <c r="BN15" i="25"/>
  <c r="BQ15" i="25" s="1"/>
  <c r="AM52" i="24"/>
  <c r="H52" i="24"/>
  <c r="K52" i="24"/>
  <c r="CE52" i="24"/>
  <c r="CF52" i="24"/>
  <c r="I52" i="24"/>
  <c r="M52" i="24" s="1"/>
  <c r="N52" i="24" s="1"/>
  <c r="BK45" i="24"/>
  <c r="S45" i="24"/>
  <c r="T45" i="24" s="1"/>
  <c r="M45" i="24"/>
  <c r="N45" i="24" s="1"/>
  <c r="K88" i="24"/>
  <c r="AM88" i="24"/>
  <c r="H88" i="24"/>
  <c r="I88" i="24"/>
  <c r="M88" i="24" s="1"/>
  <c r="N88" i="24" s="1"/>
  <c r="BO88" i="24"/>
  <c r="BR88" i="24" s="1"/>
  <c r="BM288" i="25"/>
  <c r="BQ288" i="25" s="1"/>
  <c r="I42" i="25"/>
  <c r="BN42" i="25"/>
  <c r="CE169" i="24"/>
  <c r="AM169" i="24"/>
  <c r="CF169" i="24"/>
  <c r="H169" i="24"/>
  <c r="I169" i="24"/>
  <c r="K169" i="24" s="1"/>
  <c r="BO169" i="24"/>
  <c r="BR169" i="24" s="1"/>
  <c r="I161" i="25"/>
  <c r="BN242" i="25"/>
  <c r="BO180" i="24"/>
  <c r="BR180" i="24" s="1"/>
  <c r="J169" i="25"/>
  <c r="L169" i="25" s="1"/>
  <c r="J54" i="25"/>
  <c r="BM45" i="25"/>
  <c r="J191" i="25"/>
  <c r="I85" i="24"/>
  <c r="H296" i="25"/>
  <c r="AL296" i="25"/>
  <c r="CC296" i="25"/>
  <c r="J296" i="25"/>
  <c r="N296" i="25" s="1"/>
  <c r="BM296" i="25"/>
  <c r="BN225" i="25"/>
  <c r="I225" i="25"/>
  <c r="AL170" i="25"/>
  <c r="CC170" i="25"/>
  <c r="H170" i="25"/>
  <c r="BM170" i="25"/>
  <c r="J170" i="25"/>
  <c r="N170" i="25" s="1"/>
  <c r="I178" i="25"/>
  <c r="BN178" i="25"/>
  <c r="AL155" i="25"/>
  <c r="CC155" i="25"/>
  <c r="H155" i="25"/>
  <c r="J155" i="25"/>
  <c r="L155" i="25" s="1"/>
  <c r="BM155" i="25"/>
  <c r="CC244" i="25"/>
  <c r="H244" i="25"/>
  <c r="AL244" i="25"/>
  <c r="J244" i="25"/>
  <c r="BM244" i="25"/>
  <c r="BN158" i="25"/>
  <c r="AL138" i="25"/>
  <c r="CC138" i="25"/>
  <c r="H138" i="25"/>
  <c r="BM138" i="25"/>
  <c r="J138" i="25"/>
  <c r="L138" i="25" s="1"/>
  <c r="I112" i="25"/>
  <c r="BN112" i="25"/>
  <c r="AL199" i="25"/>
  <c r="CC199" i="25"/>
  <c r="H199" i="25"/>
  <c r="J199" i="25"/>
  <c r="N199" i="25" s="1"/>
  <c r="BM199" i="25"/>
  <c r="H233" i="25"/>
  <c r="AL233" i="25"/>
  <c r="CC233" i="25"/>
  <c r="J233" i="25"/>
  <c r="BM233" i="25"/>
  <c r="BQ233" i="25" s="1"/>
  <c r="H298" i="25"/>
  <c r="AL298" i="25"/>
  <c r="CC298" i="25"/>
  <c r="J298" i="25"/>
  <c r="J216" i="25"/>
  <c r="BN148" i="25"/>
  <c r="BN138" i="25"/>
  <c r="AL243" i="25"/>
  <c r="CC243" i="25"/>
  <c r="H243" i="25"/>
  <c r="BM243" i="25"/>
  <c r="J243" i="25"/>
  <c r="N243" i="25" s="1"/>
  <c r="I121" i="25"/>
  <c r="BN47" i="25"/>
  <c r="I47" i="25"/>
  <c r="H316" i="25"/>
  <c r="AL316" i="25"/>
  <c r="CC316" i="25"/>
  <c r="T322" i="25"/>
  <c r="J316" i="25"/>
  <c r="BM316" i="25"/>
  <c r="H39" i="25"/>
  <c r="CC39" i="25"/>
  <c r="AL39" i="25"/>
  <c r="CE39" i="25"/>
  <c r="CF39" i="25"/>
  <c r="J39" i="25"/>
  <c r="L39" i="25" s="1"/>
  <c r="BM39" i="25"/>
  <c r="AM242" i="24"/>
  <c r="H242" i="24"/>
  <c r="CF242" i="24"/>
  <c r="BO242" i="24"/>
  <c r="BR242" i="24" s="1"/>
  <c r="I242" i="24"/>
  <c r="H173" i="24"/>
  <c r="AM173" i="24"/>
  <c r="BO173" i="24"/>
  <c r="BR173" i="24" s="1"/>
  <c r="I173" i="24"/>
  <c r="K173" i="24" s="1"/>
  <c r="AM135" i="24"/>
  <c r="H135" i="24"/>
  <c r="I135" i="24"/>
  <c r="CF196" i="24"/>
  <c r="CE196" i="24"/>
  <c r="AM196" i="24"/>
  <c r="H196" i="24"/>
  <c r="I196" i="24"/>
  <c r="K196" i="24" s="1"/>
  <c r="BO196" i="24"/>
  <c r="BR196" i="24" s="1"/>
  <c r="H15" i="25"/>
  <c r="CF15" i="25"/>
  <c r="CE15" i="25"/>
  <c r="AL15" i="25"/>
  <c r="CC15" i="25"/>
  <c r="H309" i="25"/>
  <c r="AL309" i="25"/>
  <c r="CC309" i="25"/>
  <c r="J309" i="25"/>
  <c r="BM309" i="25"/>
  <c r="BN181" i="25"/>
  <c r="H228" i="25"/>
  <c r="AL228" i="25"/>
  <c r="CC228" i="25"/>
  <c r="BM228" i="25"/>
  <c r="J228" i="25"/>
  <c r="I249" i="25"/>
  <c r="BN249" i="25"/>
  <c r="CC33" i="25"/>
  <c r="AL33" i="25"/>
  <c r="CF33" i="25"/>
  <c r="CE33" i="25"/>
  <c r="H33" i="25"/>
  <c r="BM33" i="25"/>
  <c r="J33" i="25"/>
  <c r="AM32" i="24"/>
  <c r="CE32" i="24"/>
  <c r="CF32" i="24"/>
  <c r="K32" i="24"/>
  <c r="H32" i="24"/>
  <c r="I32" i="24"/>
  <c r="M32" i="24" s="1"/>
  <c r="BO32" i="24"/>
  <c r="BR32" i="24" s="1"/>
  <c r="CF184" i="24"/>
  <c r="H184" i="24"/>
  <c r="AM184" i="24"/>
  <c r="CE184" i="24"/>
  <c r="I184" i="24"/>
  <c r="K184" i="24" s="1"/>
  <c r="BO184" i="24"/>
  <c r="BR184" i="24" s="1"/>
  <c r="K80" i="24"/>
  <c r="H80" i="24"/>
  <c r="AM80" i="24"/>
  <c r="BO80" i="24"/>
  <c r="BR80" i="24" s="1"/>
  <c r="I80" i="24"/>
  <c r="AM210" i="24"/>
  <c r="H210" i="24"/>
  <c r="I210" i="24"/>
  <c r="K210" i="24" s="1"/>
  <c r="BO210" i="24"/>
  <c r="BR210" i="24" s="1"/>
  <c r="AM25" i="24"/>
  <c r="CE25" i="24"/>
  <c r="K25" i="24"/>
  <c r="CF25" i="24"/>
  <c r="H25" i="24"/>
  <c r="BO25" i="24"/>
  <c r="BR25" i="24" s="1"/>
  <c r="H111" i="25"/>
  <c r="AL111" i="25"/>
  <c r="CC111" i="25"/>
  <c r="J111" i="25"/>
  <c r="BM251" i="25"/>
  <c r="CC63" i="25"/>
  <c r="AL63" i="25"/>
  <c r="H63" i="25"/>
  <c r="CF63" i="25"/>
  <c r="CE63" i="25"/>
  <c r="J63" i="25"/>
  <c r="CC95" i="25"/>
  <c r="AL95" i="25"/>
  <c r="H95" i="25"/>
  <c r="CF95" i="25"/>
  <c r="CE95" i="25"/>
  <c r="BM95" i="25"/>
  <c r="J95" i="25"/>
  <c r="N95" i="25" s="1"/>
  <c r="AL75" i="25"/>
  <c r="CF75" i="25"/>
  <c r="CE75" i="25"/>
  <c r="CC75" i="25"/>
  <c r="H75" i="25"/>
  <c r="BM75" i="25"/>
  <c r="J75" i="25"/>
  <c r="L75" i="25" s="1"/>
  <c r="I304" i="25"/>
  <c r="BN304" i="25"/>
  <c r="AL234" i="25"/>
  <c r="H234" i="25"/>
  <c r="CC234" i="25"/>
  <c r="BM234" i="25"/>
  <c r="J234" i="25"/>
  <c r="CC184" i="25"/>
  <c r="AL184" i="25"/>
  <c r="H184" i="25"/>
  <c r="J184" i="25"/>
  <c r="BM184" i="25"/>
  <c r="BN101" i="25"/>
  <c r="I101" i="25"/>
  <c r="I45" i="25"/>
  <c r="BN45" i="25"/>
  <c r="H312" i="24"/>
  <c r="CE312" i="24"/>
  <c r="AM312" i="24"/>
  <c r="I312" i="24"/>
  <c r="M312" i="24" s="1"/>
  <c r="N312" i="24" s="1"/>
  <c r="BO312" i="24"/>
  <c r="BR312" i="24" s="1"/>
  <c r="CF275" i="24"/>
  <c r="AM275" i="24"/>
  <c r="H275" i="24"/>
  <c r="I275" i="24"/>
  <c r="H270" i="24"/>
  <c r="CF270" i="24"/>
  <c r="AM270" i="24"/>
  <c r="I270" i="24"/>
  <c r="M270" i="24" s="1"/>
  <c r="N270" i="24" s="1"/>
  <c r="BO270" i="24"/>
  <c r="BR270" i="24" s="1"/>
  <c r="CF240" i="24"/>
  <c r="H240" i="24"/>
  <c r="AM240" i="24"/>
  <c r="CE240" i="24"/>
  <c r="I240" i="24"/>
  <c r="K240" i="24" s="1"/>
  <c r="BO240" i="24"/>
  <c r="BR240" i="24" s="1"/>
  <c r="BO245" i="24"/>
  <c r="BR245" i="24" s="1"/>
  <c r="H295" i="25"/>
  <c r="AL295" i="25"/>
  <c r="CC295" i="25"/>
  <c r="J295" i="25"/>
  <c r="BM295" i="25"/>
  <c r="BQ295" i="25" s="1"/>
  <c r="AL260" i="25"/>
  <c r="CC260" i="25"/>
  <c r="H260" i="25"/>
  <c r="J260" i="25"/>
  <c r="L260" i="25" s="1"/>
  <c r="BM260" i="25"/>
  <c r="CC278" i="25"/>
  <c r="H278" i="25"/>
  <c r="AL278" i="25"/>
  <c r="BM278" i="25"/>
  <c r="J278" i="25"/>
  <c r="AL221" i="25"/>
  <c r="CC221" i="25"/>
  <c r="H221" i="25"/>
  <c r="BM221" i="25"/>
  <c r="J221" i="25"/>
  <c r="AM299" i="24"/>
  <c r="H299" i="24"/>
  <c r="I299" i="24"/>
  <c r="BO299" i="24"/>
  <c r="BR299" i="24" s="1"/>
  <c r="H120" i="24"/>
  <c r="CF120" i="24"/>
  <c r="CE120" i="24"/>
  <c r="AM120" i="24"/>
  <c r="I120" i="24"/>
  <c r="M120" i="24" s="1"/>
  <c r="BO120" i="24"/>
  <c r="BR120" i="24" s="1"/>
  <c r="AM290" i="24"/>
  <c r="CF290" i="24"/>
  <c r="H290" i="24"/>
  <c r="I290" i="24"/>
  <c r="M290" i="24" s="1"/>
  <c r="N290" i="24" s="1"/>
  <c r="BO290" i="24"/>
  <c r="BR290" i="24" s="1"/>
  <c r="BO58" i="24"/>
  <c r="BR58" i="24" s="1"/>
  <c r="BN244" i="25"/>
  <c r="H114" i="25"/>
  <c r="AL114" i="25"/>
  <c r="CC114" i="25"/>
  <c r="J114" i="25"/>
  <c r="N114" i="25" s="1"/>
  <c r="BM114" i="25"/>
  <c r="BQ114" i="25" s="1"/>
  <c r="I169" i="25"/>
  <c r="H204" i="25"/>
  <c r="CC204" i="25"/>
  <c r="AL204" i="25"/>
  <c r="BM204" i="25"/>
  <c r="J204" i="25"/>
  <c r="N204" i="25" s="1"/>
  <c r="BQ203" i="25"/>
  <c r="AM171" i="24"/>
  <c r="H171" i="24"/>
  <c r="CE171" i="24"/>
  <c r="CF171" i="24"/>
  <c r="I171" i="24"/>
  <c r="BO171" i="24"/>
  <c r="BR171" i="24" s="1"/>
  <c r="AM230" i="24"/>
  <c r="H230" i="24"/>
  <c r="CE230" i="24"/>
  <c r="I230" i="24"/>
  <c r="BO230" i="24"/>
  <c r="BR230" i="24" s="1"/>
  <c r="I210" i="25"/>
  <c r="BN210" i="25"/>
  <c r="BK142" i="24"/>
  <c r="S142" i="24"/>
  <c r="T142" i="24" s="1"/>
  <c r="CE254" i="24"/>
  <c r="CF254" i="24"/>
  <c r="H254" i="24"/>
  <c r="AM254" i="24"/>
  <c r="BO254" i="24"/>
  <c r="BR254" i="24" s="1"/>
  <c r="I254" i="24"/>
  <c r="BK132" i="24"/>
  <c r="S132" i="24"/>
  <c r="T132" i="24" s="1"/>
  <c r="M132" i="24"/>
  <c r="N132" i="24" s="1"/>
  <c r="CE134" i="24"/>
  <c r="AM134" i="24"/>
  <c r="H134" i="24"/>
  <c r="CF134" i="24"/>
  <c r="I134" i="24"/>
  <c r="K134" i="24" s="1"/>
  <c r="BO134" i="24"/>
  <c r="BR134" i="24" s="1"/>
  <c r="BK21" i="24"/>
  <c r="S21" i="24"/>
  <c r="T21" i="24" s="1"/>
  <c r="BN121" i="25"/>
  <c r="I247" i="25"/>
  <c r="I78" i="24"/>
  <c r="AL262" i="25"/>
  <c r="H262" i="25"/>
  <c r="CC262" i="25"/>
  <c r="J262" i="25"/>
  <c r="L262" i="25" s="1"/>
  <c r="AL275" i="25"/>
  <c r="CC275" i="25"/>
  <c r="H275" i="25"/>
  <c r="J275" i="25"/>
  <c r="N275" i="25" s="1"/>
  <c r="BM275" i="25"/>
  <c r="I88" i="25"/>
  <c r="BN88" i="25"/>
  <c r="AL305" i="25"/>
  <c r="CC305" i="25"/>
  <c r="H305" i="25"/>
  <c r="BM305" i="25"/>
  <c r="J305" i="25"/>
  <c r="N305" i="25" s="1"/>
  <c r="BN10" i="25"/>
  <c r="BQ10" i="25" s="1"/>
  <c r="CC223" i="25"/>
  <c r="H223" i="25"/>
  <c r="AL223" i="25"/>
  <c r="BM223" i="25"/>
  <c r="J223" i="25"/>
  <c r="I147" i="25"/>
  <c r="BN147" i="25"/>
  <c r="CC302" i="25"/>
  <c r="H302" i="25"/>
  <c r="AL302" i="25"/>
  <c r="J302" i="25"/>
  <c r="L302" i="25" s="1"/>
  <c r="BM302" i="25"/>
  <c r="AL248" i="25"/>
  <c r="CC248" i="25"/>
  <c r="H248" i="25"/>
  <c r="BM248" i="25"/>
  <c r="J248" i="25"/>
  <c r="N248" i="25" s="1"/>
  <c r="I144" i="25"/>
  <c r="I298" i="25"/>
  <c r="BN292" i="25"/>
  <c r="I292" i="25"/>
  <c r="AL124" i="25"/>
  <c r="CC124" i="25"/>
  <c r="H124" i="25"/>
  <c r="J124" i="25"/>
  <c r="L124" i="25" s="1"/>
  <c r="BM124" i="25"/>
  <c r="I110" i="25"/>
  <c r="AL89" i="25"/>
  <c r="CC89" i="25"/>
  <c r="H89" i="25"/>
  <c r="J89" i="25"/>
  <c r="N89" i="25" s="1"/>
  <c r="BM89" i="25"/>
  <c r="H272" i="25"/>
  <c r="CC272" i="25"/>
  <c r="AL272" i="25"/>
  <c r="BM272" i="25"/>
  <c r="J272" i="25"/>
  <c r="L272" i="25" s="1"/>
  <c r="BN66" i="25"/>
  <c r="I66" i="25"/>
  <c r="H248" i="24"/>
  <c r="AM248" i="24"/>
  <c r="CE248" i="24"/>
  <c r="CF248" i="24"/>
  <c r="I248" i="24"/>
  <c r="M248" i="24" s="1"/>
  <c r="CE112" i="24"/>
  <c r="CF112" i="24"/>
  <c r="AM112" i="24"/>
  <c r="H112" i="24"/>
  <c r="BO112" i="24"/>
  <c r="BR112" i="24" s="1"/>
  <c r="H315" i="24"/>
  <c r="CE315" i="24"/>
  <c r="AM315" i="24"/>
  <c r="BO315" i="24"/>
  <c r="BR315" i="24" s="1"/>
  <c r="I315" i="24"/>
  <c r="K315" i="24" s="1"/>
  <c r="H79" i="24"/>
  <c r="AM79" i="24"/>
  <c r="K79" i="24"/>
  <c r="I79" i="24"/>
  <c r="M79" i="24" s="1"/>
  <c r="H172" i="24"/>
  <c r="CF172" i="24"/>
  <c r="CE172" i="24"/>
  <c r="AM172" i="24"/>
  <c r="I172" i="24"/>
  <c r="M172" i="24" s="1"/>
  <c r="N172" i="24" s="1"/>
  <c r="H282" i="25"/>
  <c r="AL282" i="25"/>
  <c r="CC282" i="25"/>
  <c r="BM282" i="25"/>
  <c r="BQ282" i="25" s="1"/>
  <c r="J282" i="25"/>
  <c r="N282" i="25" s="1"/>
  <c r="H78" i="25"/>
  <c r="AL78" i="25"/>
  <c r="CC78" i="25"/>
  <c r="CF78" i="25"/>
  <c r="CE78" i="25"/>
  <c r="BM78" i="25"/>
  <c r="J78" i="25"/>
  <c r="L78" i="25" s="1"/>
  <c r="I173" i="25"/>
  <c r="BN173" i="25"/>
  <c r="AL172" i="25"/>
  <c r="CC172" i="25"/>
  <c r="H172" i="25"/>
  <c r="J172" i="25"/>
  <c r="BM172" i="25"/>
  <c r="I65" i="25"/>
  <c r="BN65" i="25"/>
  <c r="CC261" i="25"/>
  <c r="H261" i="25"/>
  <c r="AL261" i="25"/>
  <c r="BM261" i="25"/>
  <c r="J261" i="25"/>
  <c r="N261" i="25" s="1"/>
  <c r="I251" i="25"/>
  <c r="BN251" i="25"/>
  <c r="H139" i="24"/>
  <c r="AM139" i="24"/>
  <c r="I139" i="24"/>
  <c r="BO139" i="24"/>
  <c r="BR139" i="24" s="1"/>
  <c r="AM93" i="24"/>
  <c r="CF93" i="24"/>
  <c r="CE93" i="24"/>
  <c r="K93" i="24"/>
  <c r="H93" i="24"/>
  <c r="BO93" i="24"/>
  <c r="BR93" i="24" s="1"/>
  <c r="I93" i="24"/>
  <c r="H264" i="24"/>
  <c r="CE264" i="24"/>
  <c r="CF264" i="24"/>
  <c r="AM264" i="24"/>
  <c r="BO264" i="24"/>
  <c r="BR264" i="24" s="1"/>
  <c r="K47" i="24"/>
  <c r="H47" i="24"/>
  <c r="AM47" i="24"/>
  <c r="CF47" i="24"/>
  <c r="CE47" i="24"/>
  <c r="I47" i="24"/>
  <c r="M47" i="24" s="1"/>
  <c r="N47" i="24" s="1"/>
  <c r="BO47" i="24"/>
  <c r="BR47" i="24" s="1"/>
  <c r="K28" i="24"/>
  <c r="AM28" i="24"/>
  <c r="H28" i="24"/>
  <c r="CE28" i="24"/>
  <c r="CF28" i="24"/>
  <c r="I28" i="24"/>
  <c r="AM48" i="24"/>
  <c r="K48" i="24"/>
  <c r="H48" i="24"/>
  <c r="CE48" i="24"/>
  <c r="CF48" i="24"/>
  <c r="I48" i="24"/>
  <c r="M48" i="24" s="1"/>
  <c r="N48" i="24" s="1"/>
  <c r="CC201" i="25"/>
  <c r="AL201" i="25"/>
  <c r="H201" i="25"/>
  <c r="J201" i="25"/>
  <c r="N201" i="25" s="1"/>
  <c r="BM201" i="25"/>
  <c r="BN167" i="25"/>
  <c r="I167" i="25"/>
  <c r="AL166" i="25"/>
  <c r="CC166" i="25"/>
  <c r="H166" i="25"/>
  <c r="J166" i="25"/>
  <c r="BM166" i="25"/>
  <c r="I55" i="25"/>
  <c r="BN55" i="25"/>
  <c r="H285" i="25"/>
  <c r="AL285" i="25"/>
  <c r="CC285" i="25"/>
  <c r="BM285" i="25"/>
  <c r="J285" i="25"/>
  <c r="I306" i="25"/>
  <c r="BN306" i="25"/>
  <c r="AL90" i="25"/>
  <c r="CC90" i="25"/>
  <c r="H90" i="25"/>
  <c r="J90" i="25"/>
  <c r="L90" i="25" s="1"/>
  <c r="BM90" i="25"/>
  <c r="I263" i="25"/>
  <c r="BN263" i="25"/>
  <c r="H314" i="25"/>
  <c r="AL314" i="25"/>
  <c r="CC314" i="25"/>
  <c r="BM314" i="25"/>
  <c r="J314" i="25"/>
  <c r="N314" i="25" s="1"/>
  <c r="AL287" i="25"/>
  <c r="H287" i="25"/>
  <c r="CC287" i="25"/>
  <c r="J287" i="25"/>
  <c r="L287" i="25" s="1"/>
  <c r="BM287" i="25"/>
  <c r="CC259" i="25"/>
  <c r="H259" i="25"/>
  <c r="AL259" i="25"/>
  <c r="J259" i="25"/>
  <c r="N259" i="25" s="1"/>
  <c r="CF128" i="24"/>
  <c r="CE128" i="24"/>
  <c r="AM128" i="24"/>
  <c r="H128" i="24"/>
  <c r="I128" i="24"/>
  <c r="K128" i="24" s="1"/>
  <c r="H180" i="24"/>
  <c r="AM180" i="24"/>
  <c r="I180" i="24"/>
  <c r="M180" i="24" s="1"/>
  <c r="AM90" i="24"/>
  <c r="K90" i="24"/>
  <c r="H90" i="24"/>
  <c r="CF90" i="24"/>
  <c r="CE90" i="24"/>
  <c r="I90" i="24"/>
  <c r="M90" i="24" s="1"/>
  <c r="BO90" i="24"/>
  <c r="BR90" i="24" s="1"/>
  <c r="K17" i="24"/>
  <c r="H17" i="24"/>
  <c r="AM17" i="24"/>
  <c r="CF17" i="24"/>
  <c r="CE17" i="24"/>
  <c r="I17" i="24"/>
  <c r="BO17" i="24"/>
  <c r="BR17" i="24" s="1"/>
  <c r="K61" i="24"/>
  <c r="H61" i="24"/>
  <c r="AM61" i="24"/>
  <c r="I61" i="24"/>
  <c r="M61" i="24" s="1"/>
  <c r="N61" i="24" s="1"/>
  <c r="BO316" i="24"/>
  <c r="BR316" i="24" s="1"/>
  <c r="CC34" i="25"/>
  <c r="AL34" i="25"/>
  <c r="CF34" i="25"/>
  <c r="H34" i="25"/>
  <c r="CE34" i="25"/>
  <c r="J34" i="25"/>
  <c r="N34" i="25" s="1"/>
  <c r="I295" i="25"/>
  <c r="H227" i="25"/>
  <c r="AL227" i="25"/>
  <c r="CC227" i="25"/>
  <c r="J227" i="25"/>
  <c r="L227" i="25" s="1"/>
  <c r="BM227" i="25"/>
  <c r="BN260" i="25"/>
  <c r="BN278" i="25"/>
  <c r="BN221" i="25"/>
  <c r="AM204" i="24"/>
  <c r="H204" i="24"/>
  <c r="BO204" i="24"/>
  <c r="BR204" i="24" s="1"/>
  <c r="I204" i="24"/>
  <c r="K204" i="24" s="1"/>
  <c r="CE69" i="24"/>
  <c r="K69" i="24"/>
  <c r="H69" i="24"/>
  <c r="AM69" i="24"/>
  <c r="CF69" i="24"/>
  <c r="I69" i="24"/>
  <c r="BO69" i="24"/>
  <c r="BR69" i="24" s="1"/>
  <c r="AM31" i="24"/>
  <c r="CF31" i="24"/>
  <c r="CE31" i="24"/>
  <c r="K31" i="24"/>
  <c r="H31" i="24"/>
  <c r="I31" i="24"/>
  <c r="BO31" i="24"/>
  <c r="BR31" i="24" s="1"/>
  <c r="BM292" i="25"/>
  <c r="BN223" i="25"/>
  <c r="AL116" i="25"/>
  <c r="H116" i="25"/>
  <c r="CC116" i="25"/>
  <c r="J116" i="25"/>
  <c r="BM116" i="25"/>
  <c r="BQ116" i="25" s="1"/>
  <c r="AL118" i="25"/>
  <c r="CC118" i="25"/>
  <c r="H118" i="25"/>
  <c r="J118" i="25"/>
  <c r="BM118" i="25"/>
  <c r="BQ118" i="25" s="1"/>
  <c r="AL96" i="25"/>
  <c r="CC96" i="25"/>
  <c r="H96" i="25"/>
  <c r="J96" i="25"/>
  <c r="L96" i="25" s="1"/>
  <c r="BM96" i="25"/>
  <c r="CC21" i="25"/>
  <c r="H21" i="25"/>
  <c r="AL21" i="25"/>
  <c r="J21" i="25"/>
  <c r="N21" i="25" s="1"/>
  <c r="BM21" i="25"/>
  <c r="BQ21" i="25" s="1"/>
  <c r="I176" i="25"/>
  <c r="BN176" i="25"/>
  <c r="AL126" i="25"/>
  <c r="CC126" i="25"/>
  <c r="H126" i="25"/>
  <c r="BM126" i="25"/>
  <c r="H174" i="25"/>
  <c r="AL174" i="25"/>
  <c r="CC174" i="25"/>
  <c r="AM201" i="24"/>
  <c r="H201" i="24"/>
  <c r="BO201" i="24"/>
  <c r="BR201" i="24" s="1"/>
  <c r="I201" i="24"/>
  <c r="AM77" i="24"/>
  <c r="CF77" i="24"/>
  <c r="CE77" i="24"/>
  <c r="H77" i="24"/>
  <c r="K77" i="24"/>
  <c r="BO77" i="24"/>
  <c r="BR77" i="24" s="1"/>
  <c r="I77" i="24"/>
  <c r="BQ83" i="25"/>
  <c r="I240" i="25"/>
  <c r="I288" i="25"/>
  <c r="BO52" i="24"/>
  <c r="BR52" i="24" s="1"/>
  <c r="BM298" i="25"/>
  <c r="BQ298" i="25" s="1"/>
  <c r="J43" i="25"/>
  <c r="BK22" i="24"/>
  <c r="S22" i="24"/>
  <c r="T22" i="24" s="1"/>
  <c r="CC178" i="25"/>
  <c r="AL178" i="25"/>
  <c r="H178" i="25"/>
  <c r="BM178" i="25"/>
  <c r="J178" i="25"/>
  <c r="N178" i="25" s="1"/>
  <c r="AL267" i="25"/>
  <c r="CC267" i="25"/>
  <c r="H267" i="25"/>
  <c r="J267" i="25"/>
  <c r="N267" i="25" s="1"/>
  <c r="BM267" i="25"/>
  <c r="CF244" i="24"/>
  <c r="AM244" i="24"/>
  <c r="H244" i="24"/>
  <c r="CE244" i="24"/>
  <c r="I244" i="24"/>
  <c r="BO244" i="24"/>
  <c r="BR244" i="24" s="1"/>
  <c r="H65" i="24"/>
  <c r="CF65" i="24"/>
  <c r="CE65" i="24"/>
  <c r="K65" i="24"/>
  <c r="AM65" i="24"/>
  <c r="I65" i="24"/>
  <c r="AL187" i="25"/>
  <c r="CC187" i="25"/>
  <c r="H187" i="25"/>
  <c r="J187" i="25"/>
  <c r="BM187" i="25"/>
  <c r="H14" i="25"/>
  <c r="CC14" i="25"/>
  <c r="AL14" i="25"/>
  <c r="J14" i="25"/>
  <c r="N14" i="25" s="1"/>
  <c r="BM14" i="25"/>
  <c r="AM89" i="24"/>
  <c r="CE89" i="24"/>
  <c r="CF89" i="24"/>
  <c r="K89" i="24"/>
  <c r="H89" i="24"/>
  <c r="I89" i="24"/>
  <c r="BO89" i="24"/>
  <c r="BR89" i="24" s="1"/>
  <c r="H199" i="24"/>
  <c r="AM199" i="24"/>
  <c r="I199" i="24"/>
  <c r="M199" i="24" s="1"/>
  <c r="N199" i="24" s="1"/>
  <c r="AM313" i="24"/>
  <c r="CE313" i="24"/>
  <c r="CF313" i="24"/>
  <c r="H313" i="24"/>
  <c r="I313" i="24"/>
  <c r="M313" i="24" s="1"/>
  <c r="BO313" i="24"/>
  <c r="BR313" i="24" s="1"/>
  <c r="H15" i="24"/>
  <c r="AM15" i="24"/>
  <c r="CE15" i="24"/>
  <c r="CF15" i="24"/>
  <c r="K15" i="24"/>
  <c r="I15" i="24"/>
  <c r="BO15" i="24"/>
  <c r="BR15" i="24" s="1"/>
  <c r="BO91" i="24"/>
  <c r="BR91" i="24" s="1"/>
  <c r="CF53" i="24"/>
  <c r="AM53" i="24"/>
  <c r="CE53" i="24"/>
  <c r="K53" i="24"/>
  <c r="H53" i="24"/>
  <c r="I53" i="24"/>
  <c r="M53" i="24" s="1"/>
  <c r="N53" i="24" s="1"/>
  <c r="BO154" i="24"/>
  <c r="BR154" i="24" s="1"/>
  <c r="AM127" i="24"/>
  <c r="H127" i="24"/>
  <c r="I127" i="24"/>
  <c r="M127" i="24" s="1"/>
  <c r="N127" i="24" s="1"/>
  <c r="BO199" i="24"/>
  <c r="BR199" i="24" s="1"/>
  <c r="BN97" i="25"/>
  <c r="BQ97" i="25" s="1"/>
  <c r="I97" i="25"/>
  <c r="I150" i="25"/>
  <c r="BN150" i="25"/>
  <c r="CC32" i="25"/>
  <c r="CF32" i="25"/>
  <c r="CE32" i="25"/>
  <c r="H32" i="25"/>
  <c r="AL32" i="25"/>
  <c r="J32" i="25"/>
  <c r="N32" i="25" s="1"/>
  <c r="BM32" i="25"/>
  <c r="BN99" i="25"/>
  <c r="I99" i="25"/>
  <c r="H49" i="25"/>
  <c r="CF49" i="25"/>
  <c r="CE49" i="25"/>
  <c r="CC49" i="25"/>
  <c r="AL49" i="25"/>
  <c r="BM49" i="25"/>
  <c r="J49" i="25"/>
  <c r="L49" i="25" s="1"/>
  <c r="AM23" i="24"/>
  <c r="K23" i="24"/>
  <c r="H23" i="24"/>
  <c r="I23" i="24"/>
  <c r="BO23" i="24"/>
  <c r="BR23" i="24" s="1"/>
  <c r="CF86" i="24"/>
  <c r="K86" i="24"/>
  <c r="H86" i="24"/>
  <c r="AM86" i="24"/>
  <c r="CE86" i="24"/>
  <c r="I86" i="24"/>
  <c r="M86" i="24" s="1"/>
  <c r="N86" i="24" s="1"/>
  <c r="I224" i="25"/>
  <c r="H183" i="25"/>
  <c r="AL183" i="25"/>
  <c r="CC183" i="25"/>
  <c r="BM183" i="25"/>
  <c r="BQ183" i="25" s="1"/>
  <c r="J183" i="25"/>
  <c r="L183" i="25" s="1"/>
  <c r="H179" i="25"/>
  <c r="AL179" i="25"/>
  <c r="CC179" i="25"/>
  <c r="BM179" i="25"/>
  <c r="BQ179" i="25" s="1"/>
  <c r="BQ168" i="25"/>
  <c r="I246" i="25"/>
  <c r="BN246" i="25"/>
  <c r="BQ246" i="25" s="1"/>
  <c r="H59" i="25"/>
  <c r="AL59" i="25"/>
  <c r="CC59" i="25"/>
  <c r="CE59" i="25"/>
  <c r="CF59" i="25"/>
  <c r="BM59" i="25"/>
  <c r="J59" i="25"/>
  <c r="L59" i="25" s="1"/>
  <c r="I232" i="25"/>
  <c r="BN232" i="25"/>
  <c r="BQ232" i="25" s="1"/>
  <c r="I180" i="25"/>
  <c r="BN180" i="25"/>
  <c r="BQ180" i="25" s="1"/>
  <c r="CC255" i="25"/>
  <c r="H255" i="25"/>
  <c r="AL255" i="25"/>
  <c r="J255" i="25"/>
  <c r="N255" i="25" s="1"/>
  <c r="BM255" i="25"/>
  <c r="I162" i="25"/>
  <c r="BN162" i="25"/>
  <c r="BO135" i="24"/>
  <c r="BR135" i="24" s="1"/>
  <c r="J304" i="25"/>
  <c r="L304" i="25" s="1"/>
  <c r="CC88" i="25"/>
  <c r="AL88" i="25"/>
  <c r="H88" i="25"/>
  <c r="J88" i="25"/>
  <c r="BM88" i="25"/>
  <c r="H161" i="24"/>
  <c r="AM161" i="24"/>
  <c r="I161" i="24"/>
  <c r="K161" i="24" s="1"/>
  <c r="AM303" i="24"/>
  <c r="H303" i="24"/>
  <c r="CE303" i="24"/>
  <c r="CF303" i="24"/>
  <c r="I303" i="24"/>
  <c r="M303" i="24" s="1"/>
  <c r="BO303" i="24"/>
  <c r="BR303" i="24" s="1"/>
  <c r="H10" i="24"/>
  <c r="CF10" i="24"/>
  <c r="CE10" i="24"/>
  <c r="K10" i="24"/>
  <c r="AM10" i="24"/>
  <c r="I10" i="24"/>
  <c r="M10" i="24" s="1"/>
  <c r="AL28" i="25"/>
  <c r="H28" i="25"/>
  <c r="CE28" i="25"/>
  <c r="CF28" i="25"/>
  <c r="CC28" i="25"/>
  <c r="BM28" i="25"/>
  <c r="I154" i="25"/>
  <c r="H197" i="24"/>
  <c r="CF197" i="24"/>
  <c r="CE197" i="24"/>
  <c r="AM197" i="24"/>
  <c r="I197" i="24"/>
  <c r="BO197" i="24"/>
  <c r="BR197" i="24" s="1"/>
  <c r="H149" i="24"/>
  <c r="CF149" i="24"/>
  <c r="CE149" i="24"/>
  <c r="AM149" i="24"/>
  <c r="I149" i="24"/>
  <c r="K149" i="24" s="1"/>
  <c r="BO149" i="24"/>
  <c r="BR149" i="24" s="1"/>
  <c r="H264" i="25"/>
  <c r="AL264" i="25"/>
  <c r="CC264" i="25"/>
  <c r="J264" i="25"/>
  <c r="L264" i="25" s="1"/>
  <c r="BM264" i="25"/>
  <c r="BQ264" i="25" s="1"/>
  <c r="AL313" i="25"/>
  <c r="CC313" i="25"/>
  <c r="H313" i="25"/>
  <c r="J313" i="25"/>
  <c r="L313" i="25" s="1"/>
  <c r="I175" i="25"/>
  <c r="BN175" i="25"/>
  <c r="I142" i="25"/>
  <c r="BN142" i="25"/>
  <c r="I12" i="25"/>
  <c r="BN12" i="25"/>
  <c r="CC294" i="25"/>
  <c r="H294" i="25"/>
  <c r="AL294" i="25"/>
  <c r="J294" i="25"/>
  <c r="BM294" i="25"/>
  <c r="CC224" i="25"/>
  <c r="H224" i="25"/>
  <c r="AL224" i="25"/>
  <c r="J224" i="25"/>
  <c r="L224" i="25" s="1"/>
  <c r="BN103" i="25"/>
  <c r="I103" i="25"/>
  <c r="BN254" i="25"/>
  <c r="CC146" i="25"/>
  <c r="H146" i="25"/>
  <c r="AL146" i="25"/>
  <c r="J146" i="25"/>
  <c r="L146" i="25" s="1"/>
  <c r="BM146" i="25"/>
  <c r="BQ146" i="25" s="1"/>
  <c r="BN291" i="25"/>
  <c r="BN296" i="25"/>
  <c r="I113" i="25"/>
  <c r="BN136" i="25"/>
  <c r="I136" i="25"/>
  <c r="BN56" i="25"/>
  <c r="CC293" i="25"/>
  <c r="H293" i="25"/>
  <c r="AL293" i="25"/>
  <c r="BM293" i="25"/>
  <c r="BN252" i="25"/>
  <c r="I252" i="25"/>
  <c r="CF61" i="25"/>
  <c r="H61" i="25"/>
  <c r="AL61" i="25"/>
  <c r="CC61" i="25"/>
  <c r="CE61" i="25"/>
  <c r="J61" i="25"/>
  <c r="BM61" i="25"/>
  <c r="BN250" i="25"/>
  <c r="I250" i="25"/>
  <c r="AM64" i="24"/>
  <c r="CE64" i="24"/>
  <c r="CF64" i="24"/>
  <c r="K64" i="24"/>
  <c r="H64" i="24"/>
  <c r="BO64" i="24"/>
  <c r="BR64" i="24" s="1"/>
  <c r="I64" i="24"/>
  <c r="AM262" i="24"/>
  <c r="CE262" i="24"/>
  <c r="H262" i="24"/>
  <c r="I262" i="24"/>
  <c r="BO262" i="24"/>
  <c r="BR262" i="24" s="1"/>
  <c r="AM249" i="24"/>
  <c r="H249" i="24"/>
  <c r="CE249" i="24"/>
  <c r="CF249" i="24"/>
  <c r="I249" i="24"/>
  <c r="K249" i="24" s="1"/>
  <c r="BO249" i="24"/>
  <c r="BR249" i="24" s="1"/>
  <c r="CE236" i="24"/>
  <c r="H236" i="24"/>
  <c r="CF236" i="24"/>
  <c r="AM236" i="24"/>
  <c r="BO236" i="24"/>
  <c r="BR236" i="24" s="1"/>
  <c r="I303" i="25"/>
  <c r="BN303" i="25"/>
  <c r="BQ303" i="25" s="1"/>
  <c r="AL7" i="25"/>
  <c r="CC7" i="25"/>
  <c r="H7" i="25"/>
  <c r="CF7" i="25"/>
  <c r="CE7" i="25"/>
  <c r="J7" i="25"/>
  <c r="L7" i="25" s="1"/>
  <c r="BM7" i="25"/>
  <c r="I191" i="25"/>
  <c r="BN191" i="25"/>
  <c r="AL299" i="25"/>
  <c r="CC299" i="25"/>
  <c r="H299" i="25"/>
  <c r="J299" i="25"/>
  <c r="L299" i="25" s="1"/>
  <c r="H27" i="25"/>
  <c r="AL27" i="25"/>
  <c r="CC27" i="25"/>
  <c r="BM27" i="25"/>
  <c r="J27" i="25"/>
  <c r="I284" i="25"/>
  <c r="BN284" i="25"/>
  <c r="CF235" i="24"/>
  <c r="H235" i="24"/>
  <c r="AM235" i="24"/>
  <c r="CE235" i="24"/>
  <c r="I235" i="24"/>
  <c r="CE288" i="24"/>
  <c r="AM288" i="24"/>
  <c r="H288" i="24"/>
  <c r="I288" i="24"/>
  <c r="K288" i="24" s="1"/>
  <c r="BO288" i="24"/>
  <c r="BR288" i="24" s="1"/>
  <c r="CE57" i="24"/>
  <c r="CF57" i="24"/>
  <c r="K57" i="24"/>
  <c r="H57" i="24"/>
  <c r="AM57" i="24"/>
  <c r="I57" i="24"/>
  <c r="BO57" i="24"/>
  <c r="BR57" i="24" s="1"/>
  <c r="CE278" i="24"/>
  <c r="H278" i="24"/>
  <c r="CF278" i="24"/>
  <c r="AM278" i="24"/>
  <c r="I278" i="24"/>
  <c r="K278" i="24" s="1"/>
  <c r="BO278" i="24"/>
  <c r="BR278" i="24" s="1"/>
  <c r="H69" i="25"/>
  <c r="CE69" i="25"/>
  <c r="AL69" i="25"/>
  <c r="CC69" i="25"/>
  <c r="CF69" i="25"/>
  <c r="J69" i="25"/>
  <c r="L69" i="25" s="1"/>
  <c r="K26" i="24"/>
  <c r="CF26" i="24"/>
  <c r="CE26" i="24"/>
  <c r="AM26" i="24"/>
  <c r="H26" i="24"/>
  <c r="I26" i="24"/>
  <c r="I60" i="25"/>
  <c r="BN60" i="25"/>
  <c r="BN313" i="25"/>
  <c r="AL209" i="25"/>
  <c r="CC209" i="25"/>
  <c r="H209" i="25"/>
  <c r="BM209" i="25"/>
  <c r="J209" i="25"/>
  <c r="L209" i="25" s="1"/>
  <c r="H131" i="25"/>
  <c r="AL131" i="25"/>
  <c r="CC131" i="25"/>
  <c r="BM131" i="25"/>
  <c r="CC119" i="25"/>
  <c r="H119" i="25"/>
  <c r="AL119" i="25"/>
  <c r="J119" i="25"/>
  <c r="BM119" i="25"/>
  <c r="BQ119" i="25" s="1"/>
  <c r="AL133" i="25"/>
  <c r="CC133" i="25"/>
  <c r="H133" i="25"/>
  <c r="BM133" i="25"/>
  <c r="J133" i="25"/>
  <c r="L133" i="25" s="1"/>
  <c r="AL41" i="25"/>
  <c r="H41" i="25"/>
  <c r="CC41" i="25"/>
  <c r="CE41" i="25"/>
  <c r="CF41" i="25"/>
  <c r="J41" i="25"/>
  <c r="BM41" i="25"/>
  <c r="BQ41" i="25" s="1"/>
  <c r="AL256" i="25"/>
  <c r="H256" i="25"/>
  <c r="CC256" i="25"/>
  <c r="J256" i="25"/>
  <c r="I19" i="25"/>
  <c r="AL36" i="25"/>
  <c r="CC36" i="25"/>
  <c r="CF36" i="25"/>
  <c r="CE36" i="25"/>
  <c r="H36" i="25"/>
  <c r="BM36" i="25"/>
  <c r="J36" i="25"/>
  <c r="I64" i="25"/>
  <c r="BN64" i="25"/>
  <c r="AL274" i="25"/>
  <c r="CC274" i="25"/>
  <c r="H274" i="25"/>
  <c r="BM274" i="25"/>
  <c r="BQ274" i="25" s="1"/>
  <c r="J274" i="25"/>
  <c r="L274" i="25" s="1"/>
  <c r="H268" i="25"/>
  <c r="AL268" i="25"/>
  <c r="CC268" i="25"/>
  <c r="J268" i="25"/>
  <c r="L268" i="25" s="1"/>
  <c r="BM268" i="25"/>
  <c r="I301" i="25"/>
  <c r="BN301" i="25"/>
  <c r="H308" i="25"/>
  <c r="AL308" i="25"/>
  <c r="CC308" i="25"/>
  <c r="J308" i="25"/>
  <c r="CC286" i="25"/>
  <c r="H286" i="25"/>
  <c r="AL286" i="25"/>
  <c r="J286" i="25"/>
  <c r="BM286" i="25"/>
  <c r="AM178" i="24"/>
  <c r="H178" i="24"/>
  <c r="I178" i="24"/>
  <c r="H217" i="24"/>
  <c r="AM217" i="24"/>
  <c r="CE217" i="24"/>
  <c r="BO217" i="24"/>
  <c r="BR217" i="24" s="1"/>
  <c r="I217" i="24"/>
  <c r="K217" i="24" s="1"/>
  <c r="H221" i="24"/>
  <c r="CF221" i="24"/>
  <c r="AM221" i="24"/>
  <c r="CE221" i="24"/>
  <c r="I221" i="24"/>
  <c r="K221" i="24" s="1"/>
  <c r="BO221" i="24"/>
  <c r="BR221" i="24" s="1"/>
  <c r="CE293" i="24"/>
  <c r="CF293" i="24"/>
  <c r="H293" i="24"/>
  <c r="AM293" i="24"/>
  <c r="BO293" i="24"/>
  <c r="BR293" i="24" s="1"/>
  <c r="I293" i="24"/>
  <c r="K293" i="24" s="1"/>
  <c r="H135" i="25"/>
  <c r="AL135" i="25"/>
  <c r="CC135" i="25"/>
  <c r="J135" i="25"/>
  <c r="L135" i="25" s="1"/>
  <c r="BM135" i="25"/>
  <c r="BQ135" i="25" s="1"/>
  <c r="AL196" i="25"/>
  <c r="CC196" i="25"/>
  <c r="H196" i="25"/>
  <c r="J196" i="25"/>
  <c r="BM196" i="25"/>
  <c r="BQ196" i="25" s="1"/>
  <c r="CC153" i="25"/>
  <c r="H153" i="25"/>
  <c r="AL153" i="25"/>
  <c r="J153" i="25"/>
  <c r="H127" i="25"/>
  <c r="AL127" i="25"/>
  <c r="CC127" i="25"/>
  <c r="BM127" i="25"/>
  <c r="BQ127" i="25" s="1"/>
  <c r="J127" i="25"/>
  <c r="L127" i="25" s="1"/>
  <c r="AL149" i="25"/>
  <c r="CC149" i="25"/>
  <c r="H149" i="25"/>
  <c r="J149" i="25"/>
  <c r="BM149" i="25"/>
  <c r="BQ149" i="25" s="1"/>
  <c r="AL140" i="25"/>
  <c r="CC140" i="25"/>
  <c r="H140" i="25"/>
  <c r="BM140" i="25"/>
  <c r="BQ140" i="25" s="1"/>
  <c r="J140" i="25"/>
  <c r="L140" i="25" s="1"/>
  <c r="H123" i="25"/>
  <c r="AL123" i="25"/>
  <c r="CC123" i="25"/>
  <c r="J123" i="25"/>
  <c r="BM123" i="25"/>
  <c r="BQ123" i="25" s="1"/>
  <c r="H22" i="25"/>
  <c r="AL22" i="25"/>
  <c r="CC22" i="25"/>
  <c r="J22" i="25"/>
  <c r="L22" i="25" s="1"/>
  <c r="BM22" i="25"/>
  <c r="BQ22" i="25" s="1"/>
  <c r="CE24" i="25"/>
  <c r="AL24" i="25"/>
  <c r="H24" i="25"/>
  <c r="CC24" i="25"/>
  <c r="CF24" i="25"/>
  <c r="J24" i="25"/>
  <c r="BM24" i="25"/>
  <c r="BQ24" i="25" s="1"/>
  <c r="CC98" i="25"/>
  <c r="H98" i="25"/>
  <c r="AL98" i="25"/>
  <c r="BM98" i="25"/>
  <c r="BQ98" i="25" s="1"/>
  <c r="J98" i="25"/>
  <c r="CC57" i="25"/>
  <c r="H57" i="25"/>
  <c r="AL57" i="25"/>
  <c r="BM57" i="25"/>
  <c r="BQ57" i="25" s="1"/>
  <c r="J57" i="25"/>
  <c r="L57" i="25" s="1"/>
  <c r="H20" i="25"/>
  <c r="CF20" i="25"/>
  <c r="CE20" i="25"/>
  <c r="CC20" i="25"/>
  <c r="AL20" i="25"/>
  <c r="J20" i="25"/>
  <c r="L20" i="25" s="1"/>
  <c r="BM20" i="25"/>
  <c r="BQ20" i="25" s="1"/>
  <c r="CC91" i="25"/>
  <c r="AL91" i="25"/>
  <c r="CF91" i="25"/>
  <c r="H91" i="25"/>
  <c r="CE91" i="25"/>
  <c r="J91" i="25"/>
  <c r="CC85" i="25"/>
  <c r="H85" i="25"/>
  <c r="CF85" i="25"/>
  <c r="CE85" i="25"/>
  <c r="AL85" i="25"/>
  <c r="J85" i="25"/>
  <c r="BM85" i="25"/>
  <c r="BQ85" i="25" s="1"/>
  <c r="CF48" i="25"/>
  <c r="CE48" i="25"/>
  <c r="H48" i="25"/>
  <c r="AL48" i="25"/>
  <c r="CC48" i="25"/>
  <c r="J48" i="25"/>
  <c r="CE35" i="25"/>
  <c r="CF35" i="25"/>
  <c r="H35" i="25"/>
  <c r="CC35" i="25"/>
  <c r="AL35" i="25"/>
  <c r="BM35" i="25"/>
  <c r="BQ35" i="25" s="1"/>
  <c r="J35" i="25"/>
  <c r="H175" i="24"/>
  <c r="AM175" i="24"/>
  <c r="I175" i="24"/>
  <c r="K95" i="24"/>
  <c r="H95" i="24"/>
  <c r="AM95" i="24"/>
  <c r="CE95" i="24"/>
  <c r="CF95" i="24"/>
  <c r="I95" i="24"/>
  <c r="BO95" i="24"/>
  <c r="BR95" i="24" s="1"/>
  <c r="CE258" i="24"/>
  <c r="H258" i="24"/>
  <c r="CF258" i="24"/>
  <c r="AM258" i="24"/>
  <c r="I258" i="24"/>
  <c r="BO258" i="24"/>
  <c r="BR258" i="24" s="1"/>
  <c r="BM66" i="25"/>
  <c r="BM92" i="25"/>
  <c r="BN222" i="25"/>
  <c r="CC207" i="25"/>
  <c r="AL207" i="25"/>
  <c r="H207" i="25"/>
  <c r="J207" i="25"/>
  <c r="BM207" i="25"/>
  <c r="BQ207" i="25" s="1"/>
  <c r="CC230" i="25"/>
  <c r="H230" i="25"/>
  <c r="AL230" i="25"/>
  <c r="J230" i="25"/>
  <c r="L230" i="25" s="1"/>
  <c r="BM230" i="25"/>
  <c r="BQ230" i="25" s="1"/>
  <c r="BN74" i="25"/>
  <c r="I74" i="25"/>
  <c r="AL62" i="25"/>
  <c r="CC62" i="25"/>
  <c r="H62" i="25"/>
  <c r="BM62" i="25"/>
  <c r="J62" i="25"/>
  <c r="N62" i="25" s="1"/>
  <c r="CF237" i="24"/>
  <c r="AM237" i="24"/>
  <c r="H237" i="24"/>
  <c r="CE237" i="24"/>
  <c r="BO237" i="24"/>
  <c r="BR237" i="24" s="1"/>
  <c r="I237" i="24"/>
  <c r="M237" i="24" s="1"/>
  <c r="N237" i="24" s="1"/>
  <c r="BK162" i="24"/>
  <c r="S162" i="24"/>
  <c r="T162" i="24" s="1"/>
  <c r="M162" i="24"/>
  <c r="N162" i="24" s="1"/>
  <c r="I16" i="25"/>
  <c r="BN16" i="25"/>
  <c r="BQ16" i="25" s="1"/>
  <c r="I50" i="25"/>
  <c r="BM220" i="25"/>
  <c r="BO166" i="24"/>
  <c r="BR166" i="24" s="1"/>
  <c r="BM91" i="25"/>
  <c r="BQ91" i="25" s="1"/>
  <c r="BM103" i="25"/>
  <c r="J87" i="25"/>
  <c r="N87" i="25" s="1"/>
  <c r="AL113" i="25"/>
  <c r="CC113" i="25"/>
  <c r="H113" i="25"/>
  <c r="J113" i="25"/>
  <c r="N113" i="25" s="1"/>
  <c r="BM113" i="25"/>
  <c r="AL225" i="25"/>
  <c r="CC225" i="25"/>
  <c r="H225" i="25"/>
  <c r="BM225" i="25"/>
  <c r="J225" i="25"/>
  <c r="L225" i="25" s="1"/>
  <c r="CC25" i="25"/>
  <c r="AL25" i="25"/>
  <c r="CE25" i="25"/>
  <c r="CF25" i="25"/>
  <c r="H25" i="25"/>
  <c r="BM25" i="25"/>
  <c r="J25" i="25"/>
  <c r="L25" i="25" s="1"/>
  <c r="H310" i="24"/>
  <c r="AM310" i="24"/>
  <c r="I310" i="24"/>
  <c r="M310" i="24" s="1"/>
  <c r="BO310" i="24"/>
  <c r="BR310" i="24" s="1"/>
  <c r="CC97" i="25"/>
  <c r="H97" i="25"/>
  <c r="AL97" i="25"/>
  <c r="J97" i="25"/>
  <c r="L97" i="25" s="1"/>
  <c r="I92" i="25"/>
  <c r="BN92" i="25"/>
  <c r="I155" i="25"/>
  <c r="BN155" i="25"/>
  <c r="H305" i="24"/>
  <c r="AM305" i="24"/>
  <c r="CE305" i="24"/>
  <c r="I305" i="24"/>
  <c r="K305" i="24" s="1"/>
  <c r="BO305" i="24"/>
  <c r="BR305" i="24" s="1"/>
  <c r="H158" i="25"/>
  <c r="AL158" i="25"/>
  <c r="CC158" i="25"/>
  <c r="J158" i="25"/>
  <c r="N158" i="25" s="1"/>
  <c r="H112" i="25"/>
  <c r="CC112" i="25"/>
  <c r="AL112" i="25"/>
  <c r="BM112" i="25"/>
  <c r="J112" i="25"/>
  <c r="L112" i="25" s="1"/>
  <c r="H134" i="25"/>
  <c r="AL134" i="25"/>
  <c r="CC134" i="25"/>
  <c r="J134" i="25"/>
  <c r="L134" i="25" s="1"/>
  <c r="BM134" i="25"/>
  <c r="H258" i="25"/>
  <c r="AL258" i="25"/>
  <c r="CC258" i="25"/>
  <c r="BM258" i="25"/>
  <c r="BQ258" i="25" s="1"/>
  <c r="I216" i="25"/>
  <c r="BN113" i="25"/>
  <c r="BN243" i="25"/>
  <c r="I243" i="25"/>
  <c r="H121" i="25"/>
  <c r="AL121" i="25"/>
  <c r="CC121" i="25"/>
  <c r="J121" i="25"/>
  <c r="L121" i="25" s="1"/>
  <c r="BM121" i="25"/>
  <c r="H47" i="25"/>
  <c r="CF47" i="25"/>
  <c r="CE47" i="25"/>
  <c r="AL47" i="25"/>
  <c r="CC47" i="25"/>
  <c r="J47" i="25"/>
  <c r="BM47" i="25"/>
  <c r="BN316" i="25"/>
  <c r="I316" i="25"/>
  <c r="AL242" i="25"/>
  <c r="CC242" i="25"/>
  <c r="H242" i="25"/>
  <c r="BM242" i="25"/>
  <c r="J242" i="25"/>
  <c r="BN39" i="25"/>
  <c r="I39" i="25"/>
  <c r="H301" i="24"/>
  <c r="AM301" i="24"/>
  <c r="CE301" i="24"/>
  <c r="CF301" i="24"/>
  <c r="I301" i="24"/>
  <c r="BO301" i="24"/>
  <c r="BR301" i="24" s="1"/>
  <c r="AM238" i="24"/>
  <c r="H238" i="24"/>
  <c r="I238" i="24"/>
  <c r="M238" i="24" s="1"/>
  <c r="N238" i="24" s="1"/>
  <c r="BO238" i="24"/>
  <c r="BR238" i="24" s="1"/>
  <c r="H193" i="24"/>
  <c r="AM193" i="24"/>
  <c r="I193" i="24"/>
  <c r="M193" i="24" s="1"/>
  <c r="BO193" i="24"/>
  <c r="BR193" i="24" s="1"/>
  <c r="H136" i="24"/>
  <c r="AM136" i="24"/>
  <c r="CF136" i="24"/>
  <c r="CE136" i="24"/>
  <c r="I136" i="24"/>
  <c r="BO136" i="24"/>
  <c r="BR136" i="24" s="1"/>
  <c r="CC50" i="25"/>
  <c r="AL50" i="25"/>
  <c r="H50" i="25"/>
  <c r="CE50" i="25"/>
  <c r="CF50" i="25"/>
  <c r="J50" i="25"/>
  <c r="AL229" i="25"/>
  <c r="CC229" i="25"/>
  <c r="H229" i="25"/>
  <c r="J229" i="25"/>
  <c r="N229" i="25" s="1"/>
  <c r="BM229" i="25"/>
  <c r="BQ229" i="25" s="1"/>
  <c r="I309" i="25"/>
  <c r="BN309" i="25"/>
  <c r="AL181" i="25"/>
  <c r="CC181" i="25"/>
  <c r="H181" i="25"/>
  <c r="BM181" i="25"/>
  <c r="J181" i="25"/>
  <c r="I228" i="25"/>
  <c r="BN228" i="25"/>
  <c r="AL249" i="25"/>
  <c r="CC249" i="25"/>
  <c r="H249" i="25"/>
  <c r="J249" i="25"/>
  <c r="L249" i="25" s="1"/>
  <c r="BM249" i="25"/>
  <c r="BN33" i="25"/>
  <c r="I33" i="25"/>
  <c r="H240" i="25"/>
  <c r="CC240" i="25"/>
  <c r="AL240" i="25"/>
  <c r="J240" i="25"/>
  <c r="N240" i="25" s="1"/>
  <c r="BM240" i="25"/>
  <c r="BQ240" i="25" s="1"/>
  <c r="H203" i="24"/>
  <c r="AM203" i="24"/>
  <c r="I203" i="24"/>
  <c r="K203" i="24" s="1"/>
  <c r="BO203" i="24"/>
  <c r="BR203" i="24" s="1"/>
  <c r="H49" i="24"/>
  <c r="AM49" i="24"/>
  <c r="CF49" i="24"/>
  <c r="CE49" i="24"/>
  <c r="K49" i="24"/>
  <c r="I49" i="24"/>
  <c r="H218" i="24"/>
  <c r="CF218" i="24"/>
  <c r="AM218" i="24"/>
  <c r="I218" i="24"/>
  <c r="M218" i="24" s="1"/>
  <c r="BO218" i="24"/>
  <c r="BR218" i="24" s="1"/>
  <c r="CF227" i="24"/>
  <c r="AM227" i="24"/>
  <c r="CE227" i="24"/>
  <c r="H227" i="24"/>
  <c r="BO227" i="24"/>
  <c r="BR227" i="24" s="1"/>
  <c r="I227" i="24"/>
  <c r="M227" i="24" s="1"/>
  <c r="BM158" i="25"/>
  <c r="AL277" i="25"/>
  <c r="CC277" i="25"/>
  <c r="H277" i="25"/>
  <c r="J277" i="25"/>
  <c r="L277" i="25" s="1"/>
  <c r="H78" i="24"/>
  <c r="AM78" i="24"/>
  <c r="K78" i="24"/>
  <c r="H11" i="24"/>
  <c r="CF11" i="24"/>
  <c r="CE11" i="24"/>
  <c r="AM11" i="24"/>
  <c r="K11" i="24"/>
  <c r="I11" i="24"/>
  <c r="CE183" i="24"/>
  <c r="H183" i="24"/>
  <c r="CF183" i="24"/>
  <c r="AM183" i="24"/>
  <c r="I183" i="24"/>
  <c r="H235" i="25"/>
  <c r="AL235" i="25"/>
  <c r="CC235" i="25"/>
  <c r="J235" i="25"/>
  <c r="L235" i="25" s="1"/>
  <c r="BM235" i="25"/>
  <c r="AL304" i="25"/>
  <c r="CC304" i="25"/>
  <c r="H304" i="25"/>
  <c r="I234" i="25"/>
  <c r="BN234" i="25"/>
  <c r="AL289" i="25"/>
  <c r="CC289" i="25"/>
  <c r="H289" i="25"/>
  <c r="BM289" i="25"/>
  <c r="J289" i="25"/>
  <c r="I184" i="25"/>
  <c r="BN184" i="25"/>
  <c r="AL101" i="25"/>
  <c r="CC101" i="25"/>
  <c r="H101" i="25"/>
  <c r="J101" i="25"/>
  <c r="BM101" i="25"/>
  <c r="H45" i="25"/>
  <c r="AL45" i="25"/>
  <c r="CC45" i="25"/>
  <c r="J45" i="25"/>
  <c r="L45" i="25" s="1"/>
  <c r="H306" i="24"/>
  <c r="AM306" i="24"/>
  <c r="I306" i="24"/>
  <c r="M306" i="24" s="1"/>
  <c r="H220" i="24"/>
  <c r="CE220" i="24"/>
  <c r="CF220" i="24"/>
  <c r="AM220" i="24"/>
  <c r="BO220" i="24"/>
  <c r="BR220" i="24" s="1"/>
  <c r="I220" i="24"/>
  <c r="K220" i="24" s="1"/>
  <c r="AM156" i="24"/>
  <c r="H156" i="24"/>
  <c r="I156" i="24"/>
  <c r="BO156" i="24"/>
  <c r="BR156" i="24" s="1"/>
  <c r="CE300" i="24"/>
  <c r="CF300" i="24"/>
  <c r="H300" i="24"/>
  <c r="AM300" i="24"/>
  <c r="I300" i="24"/>
  <c r="BO300" i="24"/>
  <c r="BR300" i="24" s="1"/>
  <c r="CF42" i="24"/>
  <c r="AM42" i="24"/>
  <c r="CE42" i="24"/>
  <c r="K42" i="24"/>
  <c r="H42" i="24"/>
  <c r="I42" i="24"/>
  <c r="AM311" i="24"/>
  <c r="H311" i="24"/>
  <c r="CE311" i="24"/>
  <c r="I311" i="24"/>
  <c r="K311" i="24" s="1"/>
  <c r="H80" i="25"/>
  <c r="CC80" i="25"/>
  <c r="AL80" i="25"/>
  <c r="J80" i="25"/>
  <c r="L80" i="25" s="1"/>
  <c r="AL311" i="25"/>
  <c r="CC311" i="25"/>
  <c r="H311" i="25"/>
  <c r="J311" i="25"/>
  <c r="L311" i="25" s="1"/>
  <c r="BM311" i="25"/>
  <c r="AL307" i="25"/>
  <c r="CC307" i="25"/>
  <c r="H307" i="25"/>
  <c r="J307" i="25"/>
  <c r="BM307" i="25"/>
  <c r="CE308" i="24"/>
  <c r="AM308" i="24"/>
  <c r="H308" i="24"/>
  <c r="I308" i="24"/>
  <c r="K308" i="24" s="1"/>
  <c r="BO308" i="24"/>
  <c r="BR308" i="24" s="1"/>
  <c r="AM271" i="24"/>
  <c r="H271" i="24"/>
  <c r="CE271" i="24"/>
  <c r="BO271" i="24"/>
  <c r="BR271" i="24" s="1"/>
  <c r="I271" i="24"/>
  <c r="M271" i="24" s="1"/>
  <c r="N271" i="24" s="1"/>
  <c r="AM181" i="24"/>
  <c r="CF181" i="24"/>
  <c r="H181" i="24"/>
  <c r="CE181" i="24"/>
  <c r="I181" i="24"/>
  <c r="M181" i="24" s="1"/>
  <c r="N181" i="24" s="1"/>
  <c r="CE58" i="24"/>
  <c r="K58" i="24"/>
  <c r="H58" i="24"/>
  <c r="AM58" i="24"/>
  <c r="CF58" i="24"/>
  <c r="I58" i="24"/>
  <c r="K84" i="24"/>
  <c r="H84" i="24"/>
  <c r="AM84" i="24"/>
  <c r="BO84" i="24"/>
  <c r="BR84" i="24" s="1"/>
  <c r="I84" i="24"/>
  <c r="K51" i="24"/>
  <c r="AM51" i="24"/>
  <c r="H51" i="24"/>
  <c r="CF51" i="24"/>
  <c r="CE51" i="24"/>
  <c r="I51" i="24"/>
  <c r="BO51" i="24"/>
  <c r="BR51" i="24" s="1"/>
  <c r="K43" i="24"/>
  <c r="H43" i="24"/>
  <c r="AM43" i="24"/>
  <c r="CE43" i="24"/>
  <c r="CF43" i="24"/>
  <c r="I43" i="24"/>
  <c r="M43" i="24" s="1"/>
  <c r="N43" i="24" s="1"/>
  <c r="BO43" i="24"/>
  <c r="BR43" i="24" s="1"/>
  <c r="I158" i="25"/>
  <c r="AL115" i="25"/>
  <c r="H115" i="25"/>
  <c r="CC115" i="25"/>
  <c r="J115" i="25"/>
  <c r="BM115" i="25"/>
  <c r="BQ115" i="25" s="1"/>
  <c r="BN7" i="25"/>
  <c r="CF44" i="24"/>
  <c r="K44" i="24"/>
  <c r="H44" i="24"/>
  <c r="AM44" i="24"/>
  <c r="CE44" i="24"/>
  <c r="M44" i="24"/>
  <c r="N44" i="24" s="1"/>
  <c r="BO44" i="24"/>
  <c r="BR44" i="24" s="1"/>
  <c r="AL31" i="25"/>
  <c r="CC31" i="25"/>
  <c r="CE31" i="25"/>
  <c r="CF31" i="25"/>
  <c r="H31" i="25"/>
  <c r="J31" i="25"/>
  <c r="N31" i="25" s="1"/>
  <c r="BM31" i="25"/>
  <c r="CF115" i="24"/>
  <c r="CE115" i="24"/>
  <c r="AM115" i="24"/>
  <c r="H115" i="24"/>
  <c r="I115" i="24"/>
  <c r="BO115" i="24"/>
  <c r="BR115" i="24" s="1"/>
  <c r="BK191" i="24"/>
  <c r="S191" i="24"/>
  <c r="T191" i="24" s="1"/>
  <c r="M191" i="24"/>
  <c r="N191" i="24" s="1"/>
  <c r="CE246" i="24"/>
  <c r="CF246" i="24"/>
  <c r="H246" i="24"/>
  <c r="AM246" i="24"/>
  <c r="I246" i="24"/>
  <c r="BO246" i="24"/>
  <c r="BR246" i="24" s="1"/>
  <c r="I229" i="25"/>
  <c r="BK101" i="24"/>
  <c r="S101" i="24"/>
  <c r="T101" i="24" s="1"/>
  <c r="BK292" i="24"/>
  <c r="S292" i="24"/>
  <c r="T292" i="24" s="1"/>
  <c r="M292" i="24"/>
  <c r="N292" i="24" s="1"/>
  <c r="BN289" i="25"/>
  <c r="BN19" i="25"/>
  <c r="BN154" i="25"/>
  <c r="BN61" i="25"/>
  <c r="BM313" i="25"/>
  <c r="BM308" i="25"/>
  <c r="BM128" i="25"/>
  <c r="BQ128" i="25" s="1"/>
  <c r="BM174" i="25"/>
  <c r="BO128" i="24"/>
  <c r="BR128" i="24" s="1"/>
  <c r="I151" i="24"/>
  <c r="K151" i="24" s="1"/>
  <c r="H102" i="25"/>
  <c r="AL102" i="25"/>
  <c r="CC102" i="25"/>
  <c r="J102" i="25"/>
  <c r="BM102" i="25"/>
  <c r="AL254" i="25"/>
  <c r="CC254" i="25"/>
  <c r="H254" i="25"/>
  <c r="BM254" i="25"/>
  <c r="J254" i="25"/>
  <c r="L254" i="25" s="1"/>
  <c r="H161" i="25"/>
  <c r="AL161" i="25"/>
  <c r="CC161" i="25"/>
  <c r="J161" i="25"/>
  <c r="N161" i="25" s="1"/>
  <c r="BM161" i="25"/>
  <c r="AL86" i="25"/>
  <c r="H86" i="25"/>
  <c r="CC86" i="25"/>
  <c r="BM86" i="25"/>
  <c r="J86" i="25"/>
  <c r="BN170" i="25"/>
  <c r="I170" i="25"/>
  <c r="AM35" i="24"/>
  <c r="CF35" i="24"/>
  <c r="CE35" i="24"/>
  <c r="K35" i="24"/>
  <c r="H35" i="24"/>
  <c r="I35" i="24"/>
  <c r="BO35" i="24"/>
  <c r="BR35" i="24" s="1"/>
  <c r="AL10" i="25"/>
  <c r="H10" i="25"/>
  <c r="CC10" i="25"/>
  <c r="J10" i="25"/>
  <c r="L10" i="25" s="1"/>
  <c r="H147" i="25"/>
  <c r="AL147" i="25"/>
  <c r="CC147" i="25"/>
  <c r="J147" i="25"/>
  <c r="N147" i="25" s="1"/>
  <c r="BM147" i="25"/>
  <c r="AL220" i="25"/>
  <c r="CC220" i="25"/>
  <c r="H220" i="25"/>
  <c r="J220" i="25"/>
  <c r="L220" i="25" s="1"/>
  <c r="CC144" i="25"/>
  <c r="AL144" i="25"/>
  <c r="H144" i="25"/>
  <c r="BM144" i="25"/>
  <c r="J144" i="25"/>
  <c r="AL148" i="25"/>
  <c r="H148" i="25"/>
  <c r="CC148" i="25"/>
  <c r="J148" i="25"/>
  <c r="N148" i="25" s="1"/>
  <c r="BM148" i="25"/>
  <c r="AL292" i="25"/>
  <c r="CC292" i="25"/>
  <c r="H292" i="25"/>
  <c r="J292" i="25"/>
  <c r="N292" i="25" s="1"/>
  <c r="BN124" i="25"/>
  <c r="I124" i="25"/>
  <c r="BN89" i="25"/>
  <c r="I89" i="25"/>
  <c r="H247" i="25"/>
  <c r="AL247" i="25"/>
  <c r="CC247" i="25"/>
  <c r="J247" i="25"/>
  <c r="N247" i="25" s="1"/>
  <c r="BN272" i="25"/>
  <c r="I272" i="25"/>
  <c r="H66" i="25"/>
  <c r="AL66" i="25"/>
  <c r="CC66" i="25"/>
  <c r="CF66" i="25"/>
  <c r="CE66" i="25"/>
  <c r="J66" i="25"/>
  <c r="L66" i="25" s="1"/>
  <c r="CF153" i="24"/>
  <c r="AM153" i="24"/>
  <c r="H153" i="24"/>
  <c r="CE153" i="24"/>
  <c r="I153" i="24"/>
  <c r="K153" i="24" s="1"/>
  <c r="BO153" i="24"/>
  <c r="BR153" i="24" s="1"/>
  <c r="CE234" i="24"/>
  <c r="H234" i="24"/>
  <c r="CF234" i="24"/>
  <c r="AM234" i="24"/>
  <c r="I234" i="24"/>
  <c r="M234" i="24" s="1"/>
  <c r="BO234" i="24"/>
  <c r="BR234" i="24" s="1"/>
  <c r="CE279" i="24"/>
  <c r="AM279" i="24"/>
  <c r="H279" i="24"/>
  <c r="I279" i="24"/>
  <c r="M279" i="24" s="1"/>
  <c r="BO279" i="24"/>
  <c r="BR279" i="24" s="1"/>
  <c r="AM98" i="24"/>
  <c r="K98" i="24"/>
  <c r="H98" i="24"/>
  <c r="I98" i="24"/>
  <c r="AM85" i="24"/>
  <c r="CF85" i="24"/>
  <c r="CE85" i="24"/>
  <c r="K85" i="24"/>
  <c r="H85" i="24"/>
  <c r="BO85" i="24"/>
  <c r="BR85" i="24" s="1"/>
  <c r="K59" i="24"/>
  <c r="AM59" i="24"/>
  <c r="H59" i="24"/>
  <c r="CF59" i="24"/>
  <c r="CE59" i="24"/>
  <c r="I59" i="24"/>
  <c r="I78" i="25"/>
  <c r="BN78" i="25"/>
  <c r="CC173" i="25"/>
  <c r="H173" i="25"/>
  <c r="AL173" i="25"/>
  <c r="J173" i="25"/>
  <c r="N173" i="25" s="1"/>
  <c r="BM173" i="25"/>
  <c r="I172" i="25"/>
  <c r="BN172" i="25"/>
  <c r="H65" i="25"/>
  <c r="AL65" i="25"/>
  <c r="CC65" i="25"/>
  <c r="BM65" i="25"/>
  <c r="J65" i="25"/>
  <c r="L65" i="25" s="1"/>
  <c r="I261" i="25"/>
  <c r="BN261" i="25"/>
  <c r="AL251" i="25"/>
  <c r="CC251" i="25"/>
  <c r="H251" i="25"/>
  <c r="J251" i="25"/>
  <c r="L251" i="25" s="1"/>
  <c r="AM297" i="24"/>
  <c r="H297" i="24"/>
  <c r="I297" i="24"/>
  <c r="BO297" i="24"/>
  <c r="BR297" i="24" s="1"/>
  <c r="AM40" i="24"/>
  <c r="K40" i="24"/>
  <c r="H40" i="24"/>
  <c r="CE40" i="24"/>
  <c r="CF40" i="24"/>
  <c r="BO40" i="24"/>
  <c r="BR40" i="24" s="1"/>
  <c r="I40" i="24"/>
  <c r="M40" i="24" s="1"/>
  <c r="H294" i="24"/>
  <c r="CE294" i="24"/>
  <c r="CF294" i="24"/>
  <c r="AM294" i="24"/>
  <c r="BO294" i="24"/>
  <c r="BR294" i="24" s="1"/>
  <c r="CF287" i="24"/>
  <c r="AM287" i="24"/>
  <c r="H287" i="24"/>
  <c r="I287" i="24"/>
  <c r="M287" i="24" s="1"/>
  <c r="BO287" i="24"/>
  <c r="BR287" i="24" s="1"/>
  <c r="CE226" i="24"/>
  <c r="CF226" i="24"/>
  <c r="AM226" i="24"/>
  <c r="H226" i="24"/>
  <c r="I226" i="24"/>
  <c r="M226" i="24" s="1"/>
  <c r="BO226" i="24"/>
  <c r="BR226" i="24" s="1"/>
  <c r="BO10" i="24"/>
  <c r="BR10" i="24" s="1"/>
  <c r="BO9" i="24"/>
  <c r="BR9" i="24" s="1"/>
  <c r="I201" i="25"/>
  <c r="BN201" i="25"/>
  <c r="AL167" i="25"/>
  <c r="CC167" i="25"/>
  <c r="H167" i="25"/>
  <c r="J167" i="25"/>
  <c r="N167" i="25" s="1"/>
  <c r="BM167" i="25"/>
  <c r="I166" i="25"/>
  <c r="BN166" i="25"/>
  <c r="H55" i="25"/>
  <c r="AL55" i="25"/>
  <c r="CC55" i="25"/>
  <c r="J55" i="25"/>
  <c r="BM55" i="25"/>
  <c r="I285" i="25"/>
  <c r="BN285" i="25"/>
  <c r="H306" i="25"/>
  <c r="AL306" i="25"/>
  <c r="CC306" i="25"/>
  <c r="J306" i="25"/>
  <c r="N306" i="25" s="1"/>
  <c r="BM306" i="25"/>
  <c r="I90" i="25"/>
  <c r="BN90" i="25"/>
  <c r="H263" i="25"/>
  <c r="AL263" i="25"/>
  <c r="CC263" i="25"/>
  <c r="J263" i="25"/>
  <c r="BM263" i="25"/>
  <c r="I314" i="25"/>
  <c r="BN314" i="25"/>
  <c r="H283" i="25"/>
  <c r="CC283" i="25"/>
  <c r="AL283" i="25"/>
  <c r="J283" i="25"/>
  <c r="N283" i="25" s="1"/>
  <c r="BM283" i="25"/>
  <c r="AL276" i="25"/>
  <c r="CC276" i="25"/>
  <c r="H276" i="25"/>
  <c r="J276" i="25"/>
  <c r="N276" i="25" s="1"/>
  <c r="BM276" i="25"/>
  <c r="H208" i="24"/>
  <c r="AM208" i="24"/>
  <c r="I208" i="24"/>
  <c r="BO208" i="24"/>
  <c r="BR208" i="24" s="1"/>
  <c r="CE8" i="24"/>
  <c r="H8" i="24"/>
  <c r="CF8" i="24"/>
  <c r="AM8" i="24"/>
  <c r="K8" i="24"/>
  <c r="I8" i="24"/>
  <c r="BO8" i="24"/>
  <c r="BR8" i="24" s="1"/>
  <c r="CE13" i="24"/>
  <c r="AM13" i="24"/>
  <c r="K13" i="24"/>
  <c r="H13" i="24"/>
  <c r="CF13" i="24"/>
  <c r="BO13" i="24"/>
  <c r="BR13" i="24" s="1"/>
  <c r="I13" i="24"/>
  <c r="AM200" i="24"/>
  <c r="H200" i="24"/>
  <c r="I200" i="24"/>
  <c r="M200" i="24" s="1"/>
  <c r="BO200" i="24"/>
  <c r="BR200" i="24" s="1"/>
  <c r="AM81" i="24"/>
  <c r="K81" i="24"/>
  <c r="H81" i="24"/>
  <c r="I81" i="24"/>
  <c r="AM150" i="24"/>
  <c r="H150" i="24"/>
  <c r="I150" i="24"/>
  <c r="M150" i="24" s="1"/>
  <c r="N150" i="24" s="1"/>
  <c r="AM284" i="24"/>
  <c r="H284" i="24"/>
  <c r="I284" i="24"/>
  <c r="H117" i="25"/>
  <c r="AL117" i="25"/>
  <c r="CC117" i="25"/>
  <c r="BM117" i="25"/>
  <c r="CC290" i="25"/>
  <c r="H290" i="25"/>
  <c r="AL290" i="25"/>
  <c r="J290" i="25"/>
  <c r="BM290" i="25"/>
  <c r="BQ290" i="25" s="1"/>
  <c r="K87" i="24"/>
  <c r="H87" i="24"/>
  <c r="AM87" i="24"/>
  <c r="I87" i="24"/>
  <c r="BO87" i="24"/>
  <c r="BR87" i="24" s="1"/>
  <c r="H187" i="24"/>
  <c r="CF187" i="24"/>
  <c r="CE187" i="24"/>
  <c r="AM187" i="24"/>
  <c r="I187" i="24"/>
  <c r="K187" i="24" s="1"/>
  <c r="BO187" i="24"/>
  <c r="BR187" i="24" s="1"/>
  <c r="H200" i="25"/>
  <c r="CC200" i="25"/>
  <c r="AL200" i="25"/>
  <c r="BM200" i="25"/>
  <c r="BQ200" i="25" s="1"/>
  <c r="J200" i="25"/>
  <c r="L200" i="25" s="1"/>
  <c r="AL198" i="25"/>
  <c r="CC198" i="25"/>
  <c r="H198" i="25"/>
  <c r="J198" i="25"/>
  <c r="N198" i="25" s="1"/>
  <c r="BM198" i="25"/>
  <c r="BK119" i="24"/>
  <c r="S119" i="24"/>
  <c r="T119" i="24" s="1"/>
  <c r="M119" i="24"/>
  <c r="N119" i="24" s="1"/>
  <c r="CE159" i="24"/>
  <c r="H159" i="24"/>
  <c r="AM159" i="24"/>
  <c r="CF159" i="24"/>
  <c r="I159" i="24"/>
  <c r="BO159" i="24"/>
  <c r="BR159" i="24" s="1"/>
  <c r="H188" i="24"/>
  <c r="CE188" i="24"/>
  <c r="AM188" i="24"/>
  <c r="CF188" i="24"/>
  <c r="BO188" i="24"/>
  <c r="BR188" i="24" s="1"/>
  <c r="I188" i="24"/>
  <c r="M188" i="24" s="1"/>
  <c r="N188" i="24" s="1"/>
  <c r="BN144" i="25"/>
  <c r="I71" i="25"/>
  <c r="BN71" i="25"/>
  <c r="AM263" i="24"/>
  <c r="CE263" i="24"/>
  <c r="H263" i="24"/>
  <c r="BO263" i="24"/>
  <c r="BR263" i="24" s="1"/>
  <c r="K104" i="24"/>
  <c r="H104" i="24"/>
  <c r="AM104" i="24"/>
  <c r="I104" i="24"/>
  <c r="BO104" i="24"/>
  <c r="BR104" i="24" s="1"/>
  <c r="I10" i="25"/>
  <c r="BN281" i="25"/>
  <c r="I122" i="25"/>
  <c r="BN122" i="25"/>
  <c r="BM304" i="25"/>
  <c r="BM153" i="25"/>
  <c r="BQ153" i="25" s="1"/>
  <c r="BO248" i="24"/>
  <c r="BR248" i="24" s="1"/>
  <c r="J117" i="25"/>
  <c r="L117" i="25" s="1"/>
  <c r="J15" i="25"/>
  <c r="L15" i="25" s="1"/>
  <c r="I25" i="24"/>
  <c r="M25" i="24" s="1"/>
  <c r="N25" i="24" s="1"/>
  <c r="I112" i="24"/>
  <c r="I263" i="24"/>
  <c r="J171" i="25"/>
  <c r="L171" i="25" s="1"/>
  <c r="I102" i="25"/>
  <c r="BN102" i="25"/>
  <c r="I262" i="25"/>
  <c r="BN262" i="25"/>
  <c r="BQ262" i="25" s="1"/>
  <c r="BN86" i="25"/>
  <c r="I86" i="25"/>
  <c r="AL281" i="25"/>
  <c r="CC281" i="25"/>
  <c r="H281" i="25"/>
  <c r="BM281" i="25"/>
  <c r="J281" i="25"/>
  <c r="L281" i="25" s="1"/>
  <c r="BN25" i="25"/>
  <c r="I25" i="25"/>
  <c r="H144" i="24"/>
  <c r="CF144" i="24"/>
  <c r="CE144" i="24"/>
  <c r="AM144" i="24"/>
  <c r="I144" i="24"/>
  <c r="BO144" i="24"/>
  <c r="BR144" i="24" s="1"/>
  <c r="H92" i="25"/>
  <c r="AL92" i="25"/>
  <c r="CC92" i="25"/>
  <c r="J92" i="25"/>
  <c r="N92" i="25" s="1"/>
  <c r="AM222" i="24"/>
  <c r="H222" i="24"/>
  <c r="CE222" i="24"/>
  <c r="CF222" i="24"/>
  <c r="I222" i="24"/>
  <c r="BO222" i="24"/>
  <c r="BR222" i="24" s="1"/>
  <c r="H154" i="24"/>
  <c r="CF154" i="24"/>
  <c r="CE154" i="24"/>
  <c r="AM154" i="24"/>
  <c r="I154" i="24"/>
  <c r="CC238" i="25"/>
  <c r="H238" i="25"/>
  <c r="AL238" i="25"/>
  <c r="J238" i="25"/>
  <c r="N238" i="25" s="1"/>
  <c r="BM238" i="25"/>
  <c r="H175" i="25"/>
  <c r="AL175" i="25"/>
  <c r="CC175" i="25"/>
  <c r="BM175" i="25"/>
  <c r="J175" i="25"/>
  <c r="CC142" i="25"/>
  <c r="H142" i="25"/>
  <c r="AL142" i="25"/>
  <c r="BM142" i="25"/>
  <c r="J142" i="25"/>
  <c r="L142" i="25" s="1"/>
  <c r="I14" i="25"/>
  <c r="BN14" i="25"/>
  <c r="AL12" i="25"/>
  <c r="CC12" i="25"/>
  <c r="H12" i="25"/>
  <c r="CF12" i="25"/>
  <c r="CE12" i="25"/>
  <c r="J12" i="25"/>
  <c r="L12" i="25" s="1"/>
  <c r="BM12" i="25"/>
  <c r="CE231" i="24"/>
  <c r="CF231" i="24"/>
  <c r="H231" i="24"/>
  <c r="AM231" i="24"/>
  <c r="I231" i="24"/>
  <c r="M231" i="24" s="1"/>
  <c r="BO231" i="24"/>
  <c r="BR231" i="24" s="1"/>
  <c r="AM27" i="24"/>
  <c r="K27" i="24"/>
  <c r="H27" i="24"/>
  <c r="I27" i="24"/>
  <c r="M27" i="24" s="1"/>
  <c r="N27" i="24" s="1"/>
  <c r="BO27" i="24"/>
  <c r="BR27" i="24" s="1"/>
  <c r="AM245" i="24"/>
  <c r="H245" i="24"/>
  <c r="CE245" i="24"/>
  <c r="I245" i="24"/>
  <c r="AM34" i="24"/>
  <c r="CE34" i="24"/>
  <c r="CF34" i="24"/>
  <c r="K34" i="24"/>
  <c r="H34" i="24"/>
  <c r="BO34" i="24"/>
  <c r="BR34" i="24" s="1"/>
  <c r="I34" i="24"/>
  <c r="AM92" i="24"/>
  <c r="K92" i="24"/>
  <c r="H92" i="24"/>
  <c r="BO92" i="24"/>
  <c r="BR92" i="24" s="1"/>
  <c r="I92" i="24"/>
  <c r="AL87" i="25"/>
  <c r="CF87" i="25"/>
  <c r="CE87" i="25"/>
  <c r="H87" i="25"/>
  <c r="CC87" i="25"/>
  <c r="AL82" i="25"/>
  <c r="CC82" i="25"/>
  <c r="H82" i="25"/>
  <c r="J82" i="25"/>
  <c r="N82" i="25" s="1"/>
  <c r="H150" i="25"/>
  <c r="AL150" i="25"/>
  <c r="CC150" i="25"/>
  <c r="BM150" i="25"/>
  <c r="J150" i="25"/>
  <c r="L150" i="25" s="1"/>
  <c r="BN32" i="25"/>
  <c r="I32" i="25"/>
  <c r="H99" i="25"/>
  <c r="AL99" i="25"/>
  <c r="CC99" i="25"/>
  <c r="CF99" i="25"/>
  <c r="CE99" i="25"/>
  <c r="J99" i="25"/>
  <c r="L99" i="25" s="1"/>
  <c r="BM99" i="25"/>
  <c r="I49" i="25"/>
  <c r="BN49" i="25"/>
  <c r="H297" i="25"/>
  <c r="AL297" i="25"/>
  <c r="CC297" i="25"/>
  <c r="J297" i="25"/>
  <c r="BM297" i="25"/>
  <c r="H269" i="24"/>
  <c r="AM269" i="24"/>
  <c r="CE269" i="24"/>
  <c r="I269" i="24"/>
  <c r="BO269" i="24"/>
  <c r="BR269" i="24" s="1"/>
  <c r="AM182" i="24"/>
  <c r="H182" i="24"/>
  <c r="I182" i="24"/>
  <c r="M182" i="24" s="1"/>
  <c r="N182" i="24" s="1"/>
  <c r="BO182" i="24"/>
  <c r="BR182" i="24" s="1"/>
  <c r="H76" i="24"/>
  <c r="CE76" i="24"/>
  <c r="CF76" i="24"/>
  <c r="AM76" i="24"/>
  <c r="K76" i="24"/>
  <c r="I76" i="24"/>
  <c r="M76" i="24" s="1"/>
  <c r="N76" i="24" s="1"/>
  <c r="BO76" i="24"/>
  <c r="BR76" i="24" s="1"/>
  <c r="K16" i="24"/>
  <c r="H16" i="24"/>
  <c r="AM16" i="24"/>
  <c r="CF16" i="24"/>
  <c r="CE16" i="24"/>
  <c r="I16" i="24"/>
  <c r="M16" i="24" s="1"/>
  <c r="BO16" i="24"/>
  <c r="BR16" i="24" s="1"/>
  <c r="H141" i="24"/>
  <c r="CF141" i="24"/>
  <c r="CE141" i="24"/>
  <c r="AM141" i="24"/>
  <c r="I141" i="24"/>
  <c r="K141" i="24" s="1"/>
  <c r="BO141" i="24"/>
  <c r="BR141" i="24" s="1"/>
  <c r="CF164" i="24"/>
  <c r="CE164" i="24"/>
  <c r="AM164" i="24"/>
  <c r="H164" i="24"/>
  <c r="I164" i="24"/>
  <c r="K164" i="24" s="1"/>
  <c r="K73" i="24"/>
  <c r="H73" i="24"/>
  <c r="AM73" i="24"/>
  <c r="I73" i="24"/>
  <c r="BO73" i="24"/>
  <c r="BR73" i="24" s="1"/>
  <c r="BM247" i="25"/>
  <c r="BQ247" i="25" s="1"/>
  <c r="CC130" i="25"/>
  <c r="AL130" i="25"/>
  <c r="H130" i="25"/>
  <c r="J130" i="25"/>
  <c r="L130" i="25" s="1"/>
  <c r="BM130" i="25"/>
  <c r="BQ130" i="25" s="1"/>
  <c r="H197" i="25"/>
  <c r="AL197" i="25"/>
  <c r="CC197" i="25"/>
  <c r="J197" i="25"/>
  <c r="BM197" i="25"/>
  <c r="BQ197" i="25" s="1"/>
  <c r="H104" i="25"/>
  <c r="AL104" i="25"/>
  <c r="CC104" i="25"/>
  <c r="BM104" i="25"/>
  <c r="H219" i="25"/>
  <c r="AL219" i="25"/>
  <c r="CC219" i="25"/>
  <c r="J219" i="25"/>
  <c r="L219" i="25" s="1"/>
  <c r="BM219" i="25"/>
  <c r="BN73" i="25"/>
  <c r="I73" i="25"/>
  <c r="AL271" i="25"/>
  <c r="H271" i="25"/>
  <c r="CC271" i="25"/>
  <c r="BM271" i="25"/>
  <c r="J271" i="25"/>
  <c r="L271" i="25" s="1"/>
  <c r="H137" i="24"/>
  <c r="AM137" i="24"/>
  <c r="BO137" i="24"/>
  <c r="BR137" i="24" s="1"/>
  <c r="I137" i="24"/>
  <c r="K137" i="24" s="1"/>
  <c r="H265" i="25"/>
  <c r="AL265" i="25"/>
  <c r="CC265" i="25"/>
  <c r="BM265" i="25"/>
  <c r="BK7" i="24"/>
  <c r="S7" i="24"/>
  <c r="T7" i="24" s="1"/>
  <c r="BK190" i="24"/>
  <c r="S190" i="24"/>
  <c r="T190" i="24" s="1"/>
  <c r="BO161" i="24"/>
  <c r="BR161" i="24" s="1"/>
  <c r="I226" i="25"/>
  <c r="BN226" i="25"/>
  <c r="I217" i="25"/>
  <c r="CF253" i="24"/>
  <c r="AM253" i="24"/>
  <c r="H253" i="24"/>
  <c r="CE253" i="24"/>
  <c r="I253" i="24"/>
  <c r="K253" i="24" s="1"/>
  <c r="BO253" i="24"/>
  <c r="BR253" i="24" s="1"/>
  <c r="H157" i="24"/>
  <c r="AM157" i="24"/>
  <c r="I157" i="24"/>
  <c r="K157" i="24" s="1"/>
  <c r="BO157" i="24"/>
  <c r="BR157" i="24" s="1"/>
  <c r="I264" i="25"/>
  <c r="BO306" i="24"/>
  <c r="BR306" i="24" s="1"/>
  <c r="J126" i="25"/>
  <c r="J174" i="25"/>
  <c r="N174" i="25" s="1"/>
  <c r="J73" i="25"/>
  <c r="L73" i="25" s="1"/>
  <c r="AM179" i="24"/>
  <c r="H179" i="24"/>
  <c r="H309" i="24"/>
  <c r="CE309" i="24"/>
  <c r="AM309" i="24"/>
  <c r="I309" i="24"/>
  <c r="K309" i="24" s="1"/>
  <c r="H232" i="24"/>
  <c r="AM232" i="24"/>
  <c r="CE232" i="24"/>
  <c r="I232" i="24"/>
  <c r="K232" i="24" s="1"/>
  <c r="CF304" i="24"/>
  <c r="AM304" i="24"/>
  <c r="H304" i="24"/>
  <c r="I304" i="24"/>
  <c r="K304" i="24" s="1"/>
  <c r="AL30" i="25"/>
  <c r="CC30" i="25"/>
  <c r="H30" i="25"/>
  <c r="J30" i="25"/>
  <c r="N30" i="25" s="1"/>
  <c r="H300" i="25"/>
  <c r="CC300" i="25"/>
  <c r="AL300" i="25"/>
  <c r="H266" i="25"/>
  <c r="AL266" i="25"/>
  <c r="CC266" i="25"/>
  <c r="CF176" i="24"/>
  <c r="CE176" i="24"/>
  <c r="AM176" i="24"/>
  <c r="H176" i="24"/>
  <c r="AM118" i="24"/>
  <c r="H118" i="24"/>
  <c r="H117" i="24"/>
  <c r="AM117" i="24"/>
  <c r="I117" i="24"/>
  <c r="AM12" i="24"/>
  <c r="K12" i="24"/>
  <c r="CE12" i="24"/>
  <c r="H12" i="24"/>
  <c r="CF12" i="24"/>
  <c r="CE266" i="24"/>
  <c r="CF266" i="24"/>
  <c r="H266" i="24"/>
  <c r="AM266" i="24"/>
  <c r="I266" i="24"/>
  <c r="K266" i="24" s="1"/>
  <c r="H225" i="24"/>
  <c r="AM225" i="24"/>
  <c r="I225" i="24"/>
  <c r="M225" i="24" s="1"/>
  <c r="N225" i="24" s="1"/>
  <c r="AM286" i="24"/>
  <c r="H286" i="24"/>
  <c r="CE286" i="24"/>
  <c r="I286" i="24"/>
  <c r="K286" i="24" s="1"/>
  <c r="AM41" i="24"/>
  <c r="CF41" i="24"/>
  <c r="CE41" i="24"/>
  <c r="K41" i="24"/>
  <c r="H41" i="24"/>
  <c r="BN34" i="25"/>
  <c r="BQ34" i="25" s="1"/>
  <c r="I34" i="25"/>
  <c r="H129" i="25"/>
  <c r="AL129" i="25"/>
  <c r="CC129" i="25"/>
  <c r="CC245" i="25"/>
  <c r="AL245" i="25"/>
  <c r="H245" i="25"/>
  <c r="CC105" i="25"/>
  <c r="AL105" i="25"/>
  <c r="H105" i="25"/>
  <c r="AL236" i="25"/>
  <c r="CC236" i="25"/>
  <c r="H236" i="25"/>
  <c r="J236" i="25"/>
  <c r="L236" i="25" s="1"/>
  <c r="CC145" i="25"/>
  <c r="H145" i="25"/>
  <c r="AL145" i="25"/>
  <c r="K22" i="24"/>
  <c r="H22" i="24"/>
  <c r="AM22" i="24"/>
  <c r="CE224" i="24"/>
  <c r="AM224" i="24"/>
  <c r="H224" i="24"/>
  <c r="AM143" i="24"/>
  <c r="H143" i="24"/>
  <c r="CE143" i="24"/>
  <c r="CF143" i="24"/>
  <c r="BN93" i="25"/>
  <c r="BQ93" i="25" s="1"/>
  <c r="I93" i="25"/>
  <c r="BN63" i="25"/>
  <c r="BQ63" i="25" s="1"/>
  <c r="I63" i="25"/>
  <c r="BN192" i="25"/>
  <c r="I192" i="25"/>
  <c r="J71" i="25"/>
  <c r="N71" i="25" s="1"/>
  <c r="BO12" i="24"/>
  <c r="BR12" i="24" s="1"/>
  <c r="BM94" i="25"/>
  <c r="BM162" i="25"/>
  <c r="BM169" i="25"/>
  <c r="BQ169" i="25" s="1"/>
  <c r="BO162" i="24"/>
  <c r="BR162" i="24" s="1"/>
  <c r="J125" i="25"/>
  <c r="L125" i="25" s="1"/>
  <c r="J203" i="25"/>
  <c r="L203" i="25" s="1"/>
  <c r="J13" i="25"/>
  <c r="N13" i="25" s="1"/>
  <c r="I147" i="24"/>
  <c r="M147" i="24" s="1"/>
  <c r="N147" i="24" s="1"/>
  <c r="I130" i="24"/>
  <c r="M130" i="24" s="1"/>
  <c r="BM13" i="25"/>
  <c r="BO119" i="24"/>
  <c r="BR119" i="24" s="1"/>
  <c r="BO33" i="24"/>
  <c r="BR33" i="24" s="1"/>
  <c r="BO19" i="24"/>
  <c r="BR19" i="24" s="1"/>
  <c r="BM8" i="25"/>
  <c r="BQ8" i="25" s="1"/>
  <c r="BM129" i="25"/>
  <c r="BO256" i="24"/>
  <c r="BR256" i="24" s="1"/>
  <c r="BO82" i="24"/>
  <c r="BR82" i="24" s="1"/>
  <c r="BO116" i="24"/>
  <c r="BR116" i="24" s="1"/>
  <c r="BO280" i="24"/>
  <c r="BR280" i="24" s="1"/>
  <c r="BO247" i="24"/>
  <c r="BR247" i="24" s="1"/>
  <c r="BM270" i="25"/>
  <c r="BM71" i="25"/>
  <c r="BM206" i="25"/>
  <c r="BQ206" i="25" s="1"/>
  <c r="I205" i="24"/>
  <c r="M205" i="24" s="1"/>
  <c r="N205" i="24" s="1"/>
  <c r="I116" i="24"/>
  <c r="M116" i="24" s="1"/>
  <c r="I97" i="24"/>
  <c r="M97" i="24" s="1"/>
  <c r="I194" i="24"/>
  <c r="K194" i="24" s="1"/>
  <c r="AM282" i="24"/>
  <c r="CE282" i="24"/>
  <c r="CF282" i="24"/>
  <c r="H282" i="24"/>
  <c r="I282" i="24"/>
  <c r="K282" i="24" s="1"/>
  <c r="AM126" i="24"/>
  <c r="H126" i="24"/>
  <c r="I126" i="24"/>
  <c r="AM102" i="24"/>
  <c r="K102" i="24"/>
  <c r="H102" i="24"/>
  <c r="I102" i="24"/>
  <c r="AL218" i="25"/>
  <c r="CC218" i="25"/>
  <c r="H218" i="25"/>
  <c r="J218" i="25"/>
  <c r="L218" i="25" s="1"/>
  <c r="CC176" i="25"/>
  <c r="AL176" i="25"/>
  <c r="H176" i="25"/>
  <c r="I126" i="25"/>
  <c r="BN126" i="25"/>
  <c r="H74" i="25"/>
  <c r="CC74" i="25"/>
  <c r="AL74" i="25"/>
  <c r="BN204" i="25"/>
  <c r="BN62" i="25"/>
  <c r="H120" i="25"/>
  <c r="AL120" i="25"/>
  <c r="CC120" i="25"/>
  <c r="J120" i="25"/>
  <c r="L120" i="25" s="1"/>
  <c r="CC194" i="25"/>
  <c r="AL194" i="25"/>
  <c r="H194" i="25"/>
  <c r="AL132" i="25"/>
  <c r="CC132" i="25"/>
  <c r="H132" i="25"/>
  <c r="CC208" i="25"/>
  <c r="AL208" i="25"/>
  <c r="H208" i="25"/>
  <c r="J208" i="25"/>
  <c r="L208" i="25" s="1"/>
  <c r="H55" i="24"/>
  <c r="K55" i="24"/>
  <c r="AM55" i="24"/>
  <c r="H63" i="24"/>
  <c r="K63" i="24"/>
  <c r="AM63" i="24"/>
  <c r="CF63" i="24"/>
  <c r="CE63" i="24"/>
  <c r="I63" i="24"/>
  <c r="K103" i="24"/>
  <c r="H103" i="24"/>
  <c r="AM103" i="24"/>
  <c r="I103" i="24"/>
  <c r="CF131" i="24"/>
  <c r="H131" i="24"/>
  <c r="AM131" i="24"/>
  <c r="CE131" i="24"/>
  <c r="I131" i="24"/>
  <c r="K131" i="24" s="1"/>
  <c r="H188" i="25"/>
  <c r="AL188" i="25"/>
  <c r="CC188" i="25"/>
  <c r="J188" i="25"/>
  <c r="L188" i="25" s="1"/>
  <c r="BN59" i="25"/>
  <c r="BN31" i="25"/>
  <c r="I6" i="25"/>
  <c r="BN6" i="25"/>
  <c r="BQ6" i="25" s="1"/>
  <c r="BN165" i="25"/>
  <c r="I165" i="25"/>
  <c r="CF198" i="24"/>
  <c r="AM198" i="24"/>
  <c r="CE198" i="24"/>
  <c r="H198" i="24"/>
  <c r="CE267" i="24"/>
  <c r="H267" i="24"/>
  <c r="AM267" i="24"/>
  <c r="H146" i="24"/>
  <c r="CF146" i="24"/>
  <c r="CE146" i="24"/>
  <c r="AM146" i="24"/>
  <c r="AM100" i="24"/>
  <c r="CE100" i="24"/>
  <c r="CF100" i="24"/>
  <c r="H100" i="24"/>
  <c r="K100" i="24"/>
  <c r="I100" i="24"/>
  <c r="H314" i="24"/>
  <c r="CF314" i="24"/>
  <c r="AM314" i="24"/>
  <c r="CE314" i="24"/>
  <c r="I314" i="24"/>
  <c r="H186" i="24"/>
  <c r="AM186" i="24"/>
  <c r="H99" i="24"/>
  <c r="AM99" i="24"/>
  <c r="CF99" i="24"/>
  <c r="K99" i="24"/>
  <c r="CE99" i="24"/>
  <c r="I99" i="24"/>
  <c r="CF125" i="24"/>
  <c r="CE125" i="24"/>
  <c r="AM125" i="24"/>
  <c r="H125" i="24"/>
  <c r="CE39" i="24"/>
  <c r="K39" i="24"/>
  <c r="AM39" i="24"/>
  <c r="H39" i="24"/>
  <c r="CF39" i="24"/>
  <c r="H296" i="24"/>
  <c r="AM296" i="24"/>
  <c r="CE296" i="24"/>
  <c r="CF296" i="24"/>
  <c r="AM75" i="24"/>
  <c r="K75" i="24"/>
  <c r="H75" i="24"/>
  <c r="CE75" i="24"/>
  <c r="CF75" i="24"/>
  <c r="CF38" i="24"/>
  <c r="CE38" i="24"/>
  <c r="K38" i="24"/>
  <c r="H38" i="24"/>
  <c r="AM38" i="24"/>
  <c r="I38" i="24"/>
  <c r="CF259" i="24"/>
  <c r="AM259" i="24"/>
  <c r="H259" i="24"/>
  <c r="CE259" i="24"/>
  <c r="I259" i="24"/>
  <c r="K259" i="24" s="1"/>
  <c r="AM261" i="24"/>
  <c r="H261" i="24"/>
  <c r="CE261" i="24"/>
  <c r="CF261" i="24"/>
  <c r="K74" i="24"/>
  <c r="AM74" i="24"/>
  <c r="H74" i="24"/>
  <c r="H277" i="24"/>
  <c r="CF277" i="24"/>
  <c r="AM277" i="24"/>
  <c r="I277" i="24"/>
  <c r="AL53" i="25"/>
  <c r="CC53" i="25"/>
  <c r="CE53" i="25"/>
  <c r="CF53" i="25"/>
  <c r="H53" i="25"/>
  <c r="J53" i="25"/>
  <c r="L53" i="25" s="1"/>
  <c r="CE11" i="25"/>
  <c r="AL11" i="25"/>
  <c r="CC11" i="25"/>
  <c r="H11" i="25"/>
  <c r="CF11" i="25"/>
  <c r="CC279" i="25"/>
  <c r="H279" i="25"/>
  <c r="AL279" i="25"/>
  <c r="I195" i="25"/>
  <c r="BN195" i="25"/>
  <c r="H157" i="25"/>
  <c r="AL157" i="25"/>
  <c r="CC157" i="25"/>
  <c r="AL163" i="25"/>
  <c r="CC163" i="25"/>
  <c r="H163" i="25"/>
  <c r="H190" i="25"/>
  <c r="AL190" i="25"/>
  <c r="CC190" i="25"/>
  <c r="I53" i="25"/>
  <c r="AM241" i="24"/>
  <c r="H241" i="24"/>
  <c r="CE241" i="24"/>
  <c r="I241" i="24"/>
  <c r="AL137" i="25"/>
  <c r="CC137" i="25"/>
  <c r="H137" i="25"/>
  <c r="BO170" i="24"/>
  <c r="BR170" i="24" s="1"/>
  <c r="BO190" i="24"/>
  <c r="BR190" i="24" s="1"/>
  <c r="J145" i="25"/>
  <c r="J165" i="25"/>
  <c r="L165" i="25" s="1"/>
  <c r="BO102" i="24"/>
  <c r="BR102" i="24" s="1"/>
  <c r="BO142" i="24"/>
  <c r="BR142" i="24" s="1"/>
  <c r="BM26" i="25"/>
  <c r="BQ26" i="25" s="1"/>
  <c r="BM11" i="25"/>
  <c r="BO179" i="24"/>
  <c r="BR179" i="24" s="1"/>
  <c r="BO143" i="24"/>
  <c r="BR143" i="24" s="1"/>
  <c r="J246" i="25"/>
  <c r="N246" i="25" s="1"/>
  <c r="I71" i="24"/>
  <c r="J210" i="25"/>
  <c r="L210" i="25" s="1"/>
  <c r="I74" i="24"/>
  <c r="I39" i="24"/>
  <c r="I179" i="24"/>
  <c r="I206" i="24"/>
  <c r="K206" i="24" s="1"/>
  <c r="I146" i="24"/>
  <c r="K146" i="24" s="1"/>
  <c r="I198" i="24"/>
  <c r="K198" i="24" s="1"/>
  <c r="I176" i="24"/>
  <c r="I12" i="24"/>
  <c r="CE247" i="24"/>
  <c r="CF247" i="24"/>
  <c r="H247" i="24"/>
  <c r="AM247" i="24"/>
  <c r="I247" i="24"/>
  <c r="K247" i="24" s="1"/>
  <c r="CF20" i="24"/>
  <c r="K20" i="24"/>
  <c r="H20" i="24"/>
  <c r="AM20" i="24"/>
  <c r="CE20" i="24"/>
  <c r="CF195" i="24"/>
  <c r="AM195" i="24"/>
  <c r="CE195" i="24"/>
  <c r="H195" i="24"/>
  <c r="AL177" i="25"/>
  <c r="H177" i="25"/>
  <c r="CC177" i="25"/>
  <c r="CE295" i="24"/>
  <c r="CF295" i="24"/>
  <c r="AM295" i="24"/>
  <c r="H295" i="24"/>
  <c r="I295" i="24"/>
  <c r="K295" i="24" s="1"/>
  <c r="AM122" i="24"/>
  <c r="CF122" i="24"/>
  <c r="CE122" i="24"/>
  <c r="H122" i="24"/>
  <c r="CF255" i="24"/>
  <c r="AM255" i="24"/>
  <c r="CE255" i="24"/>
  <c r="H255" i="24"/>
  <c r="I255" i="24"/>
  <c r="K255" i="24" s="1"/>
  <c r="AM19" i="24"/>
  <c r="CF19" i="24"/>
  <c r="CE19" i="24"/>
  <c r="K19" i="24"/>
  <c r="H19" i="24"/>
  <c r="I19" i="24"/>
  <c r="M19" i="24" s="1"/>
  <c r="H307" i="24"/>
  <c r="AM307" i="24"/>
  <c r="I307" i="24"/>
  <c r="M307" i="24" s="1"/>
  <c r="N307" i="24" s="1"/>
  <c r="AM167" i="24"/>
  <c r="CF167" i="24"/>
  <c r="CE167" i="24"/>
  <c r="H167" i="24"/>
  <c r="I167" i="24"/>
  <c r="K167" i="24" s="1"/>
  <c r="CC70" i="25"/>
  <c r="AL70" i="25"/>
  <c r="CE70" i="25"/>
  <c r="CF70" i="25"/>
  <c r="H70" i="25"/>
  <c r="CE37" i="25"/>
  <c r="CF37" i="25"/>
  <c r="CC37" i="25"/>
  <c r="AL37" i="25"/>
  <c r="H37" i="25"/>
  <c r="J37" i="25"/>
  <c r="BN152" i="25"/>
  <c r="BQ152" i="25" s="1"/>
  <c r="I152" i="25"/>
  <c r="CC182" i="25"/>
  <c r="H182" i="25"/>
  <c r="AL182" i="25"/>
  <c r="CE276" i="24"/>
  <c r="AM276" i="24"/>
  <c r="H276" i="24"/>
  <c r="I276" i="24"/>
  <c r="K276" i="24" s="1"/>
  <c r="CF280" i="24"/>
  <c r="H280" i="24"/>
  <c r="AM280" i="24"/>
  <c r="CE280" i="24"/>
  <c r="I280" i="24"/>
  <c r="AM191" i="24"/>
  <c r="K191" i="24"/>
  <c r="H191" i="24"/>
  <c r="CE133" i="24"/>
  <c r="H133" i="24"/>
  <c r="CF133" i="24"/>
  <c r="AM133" i="24"/>
  <c r="I133" i="24"/>
  <c r="M133" i="24" s="1"/>
  <c r="N133" i="24" s="1"/>
  <c r="CE251" i="24"/>
  <c r="CF251" i="24"/>
  <c r="H251" i="24"/>
  <c r="AM251" i="24"/>
  <c r="I251" i="24"/>
  <c r="K251" i="24" s="1"/>
  <c r="CF192" i="24"/>
  <c r="CE192" i="24"/>
  <c r="AM192" i="24"/>
  <c r="H192" i="24"/>
  <c r="I192" i="24"/>
  <c r="H129" i="24"/>
  <c r="CF129" i="24"/>
  <c r="CE129" i="24"/>
  <c r="AM129" i="24"/>
  <c r="K6" i="24"/>
  <c r="H6" i="24"/>
  <c r="AM6" i="24"/>
  <c r="I6" i="24"/>
  <c r="M6" i="24" s="1"/>
  <c r="N6" i="24" s="1"/>
  <c r="M21" i="24"/>
  <c r="N21" i="24" s="1"/>
  <c r="CF190" i="24"/>
  <c r="CE190" i="24"/>
  <c r="K190" i="24"/>
  <c r="AM190" i="24"/>
  <c r="H190" i="24"/>
  <c r="BO232" i="24"/>
  <c r="BR232" i="24" s="1"/>
  <c r="BN279" i="25"/>
  <c r="BQ279" i="25" s="1"/>
  <c r="CF58" i="25"/>
  <c r="CE58" i="25"/>
  <c r="AL58" i="25"/>
  <c r="CC58" i="25"/>
  <c r="H58" i="25"/>
  <c r="J58" i="25"/>
  <c r="H241" i="25"/>
  <c r="AL241" i="25"/>
  <c r="CC241" i="25"/>
  <c r="H9" i="25"/>
  <c r="CE9" i="25"/>
  <c r="CF9" i="25"/>
  <c r="AL9" i="25"/>
  <c r="CC9" i="25"/>
  <c r="H125" i="25"/>
  <c r="AL125" i="25"/>
  <c r="CC125" i="25"/>
  <c r="I29" i="25"/>
  <c r="M22" i="24"/>
  <c r="N22" i="24" s="1"/>
  <c r="H223" i="24"/>
  <c r="CE223" i="24"/>
  <c r="CF223" i="24"/>
  <c r="AM223" i="24"/>
  <c r="I223" i="24"/>
  <c r="K223" i="24" s="1"/>
  <c r="AM111" i="24"/>
  <c r="H111" i="24"/>
  <c r="J315" i="25"/>
  <c r="L315" i="25" s="1"/>
  <c r="J44" i="25"/>
  <c r="L44" i="25" s="1"/>
  <c r="BO286" i="24"/>
  <c r="BR286" i="24" s="1"/>
  <c r="I285" i="24"/>
  <c r="K285" i="24" s="1"/>
  <c r="J182" i="25"/>
  <c r="J279" i="25"/>
  <c r="J241" i="25"/>
  <c r="BM23" i="25"/>
  <c r="BQ23" i="25" s="1"/>
  <c r="J157" i="25"/>
  <c r="J81" i="25"/>
  <c r="L81" i="25" s="1"/>
  <c r="BO99" i="24"/>
  <c r="BR99" i="24" s="1"/>
  <c r="BM160" i="25"/>
  <c r="BQ160" i="25" s="1"/>
  <c r="J105" i="25"/>
  <c r="L105" i="25" s="1"/>
  <c r="J176" i="25"/>
  <c r="BO132" i="24"/>
  <c r="BR132" i="24" s="1"/>
  <c r="BM105" i="25"/>
  <c r="BO103" i="24"/>
  <c r="BR103" i="24" s="1"/>
  <c r="BO133" i="24"/>
  <c r="BR133" i="24" s="1"/>
  <c r="BO38" i="24"/>
  <c r="BR38" i="24" s="1"/>
  <c r="BM300" i="25"/>
  <c r="BQ300" i="25" s="1"/>
  <c r="BM194" i="25"/>
  <c r="I118" i="24"/>
  <c r="K118" i="24" s="1"/>
  <c r="BM9" i="25"/>
  <c r="BO191" i="24"/>
  <c r="BR191" i="24" s="1"/>
  <c r="BO276" i="24"/>
  <c r="BR276" i="24" s="1"/>
  <c r="BO266" i="24"/>
  <c r="BR266" i="24" s="1"/>
  <c r="BO224" i="24"/>
  <c r="BR224" i="24" s="1"/>
  <c r="I129" i="24"/>
  <c r="M129" i="24" s="1"/>
  <c r="N129" i="24" s="1"/>
  <c r="AL73" i="25"/>
  <c r="H73" i="25"/>
  <c r="CF73" i="25"/>
  <c r="CE73" i="25"/>
  <c r="CC73" i="25"/>
  <c r="AL246" i="25"/>
  <c r="CC246" i="25"/>
  <c r="H246" i="25"/>
  <c r="BN120" i="25"/>
  <c r="BN194" i="25"/>
  <c r="BN132" i="25"/>
  <c r="BN208" i="25"/>
  <c r="H116" i="24"/>
  <c r="CF116" i="24"/>
  <c r="AM116" i="24"/>
  <c r="CE116" i="24"/>
  <c r="CE256" i="24"/>
  <c r="H256" i="24"/>
  <c r="AM256" i="24"/>
  <c r="I256" i="24"/>
  <c r="AM205" i="24"/>
  <c r="H205" i="24"/>
  <c r="CC232" i="25"/>
  <c r="H232" i="25"/>
  <c r="AL232" i="25"/>
  <c r="J232" i="25"/>
  <c r="N232" i="25" s="1"/>
  <c r="CC180" i="25"/>
  <c r="H180" i="25"/>
  <c r="AL180" i="25"/>
  <c r="CC210" i="25"/>
  <c r="AL210" i="25"/>
  <c r="H210" i="25"/>
  <c r="H163" i="24"/>
  <c r="AM163" i="24"/>
  <c r="I163" i="24"/>
  <c r="M163" i="24" s="1"/>
  <c r="N163" i="24" s="1"/>
  <c r="CF302" i="24"/>
  <c r="AM302" i="24"/>
  <c r="H302" i="24"/>
  <c r="I302" i="24"/>
  <c r="K302" i="24" s="1"/>
  <c r="K50" i="24"/>
  <c r="H50" i="24"/>
  <c r="AM50" i="24"/>
  <c r="CF50" i="24"/>
  <c r="CE50" i="24"/>
  <c r="AM162" i="24"/>
  <c r="K162" i="24"/>
  <c r="H162" i="24"/>
  <c r="H56" i="24"/>
  <c r="AM56" i="24"/>
  <c r="K56" i="24"/>
  <c r="H21" i="24"/>
  <c r="K21" i="24"/>
  <c r="AM21" i="24"/>
  <c r="BM177" i="25"/>
  <c r="BM266" i="25"/>
  <c r="BQ266" i="25" s="1"/>
  <c r="AL226" i="25"/>
  <c r="CC226" i="25"/>
  <c r="H226" i="25"/>
  <c r="BN157" i="25"/>
  <c r="BN163" i="25"/>
  <c r="CC162" i="25"/>
  <c r="AL162" i="25"/>
  <c r="H162" i="25"/>
  <c r="BN190" i="25"/>
  <c r="AL16" i="25"/>
  <c r="CC16" i="25"/>
  <c r="H16" i="25"/>
  <c r="CF16" i="25"/>
  <c r="CE16" i="25"/>
  <c r="AL71" i="25"/>
  <c r="H71" i="25"/>
  <c r="CC71" i="25"/>
  <c r="H42" i="25"/>
  <c r="AL42" i="25"/>
  <c r="CC42" i="25"/>
  <c r="CE42" i="25"/>
  <c r="CF42" i="25"/>
  <c r="K96" i="24"/>
  <c r="H96" i="24"/>
  <c r="AM96" i="24"/>
  <c r="CF96" i="24"/>
  <c r="CE96" i="24"/>
  <c r="AM97" i="24"/>
  <c r="H97" i="24"/>
  <c r="K97" i="24"/>
  <c r="CF145" i="24"/>
  <c r="CE145" i="24"/>
  <c r="AM145" i="24"/>
  <c r="H145" i="24"/>
  <c r="I145" i="24"/>
  <c r="H138" i="24"/>
  <c r="CF138" i="24"/>
  <c r="AM138" i="24"/>
  <c r="CE138" i="24"/>
  <c r="AL122" i="25"/>
  <c r="CC122" i="25"/>
  <c r="H122" i="25"/>
  <c r="J122" i="25"/>
  <c r="L122" i="25" s="1"/>
  <c r="BM73" i="25"/>
  <c r="BO21" i="24"/>
  <c r="BR21" i="24" s="1"/>
  <c r="BO39" i="24"/>
  <c r="BR39" i="24" s="1"/>
  <c r="BO225" i="24"/>
  <c r="BR225" i="24" s="1"/>
  <c r="BM195" i="25"/>
  <c r="BO295" i="24"/>
  <c r="BR295" i="24" s="1"/>
  <c r="BO309" i="24"/>
  <c r="BR309" i="24" s="1"/>
  <c r="J300" i="25"/>
  <c r="L300" i="25" s="1"/>
  <c r="J245" i="25"/>
  <c r="J137" i="25"/>
  <c r="J6" i="25"/>
  <c r="N6" i="25" s="1"/>
  <c r="T6" i="25" s="1"/>
  <c r="BM52" i="25"/>
  <c r="BO186" i="24"/>
  <c r="BR186" i="24" s="1"/>
  <c r="BO176" i="24"/>
  <c r="BR176" i="24" s="1"/>
  <c r="J23" i="25"/>
  <c r="L23" i="25" s="1"/>
  <c r="I20" i="24"/>
  <c r="I111" i="24"/>
  <c r="J163" i="25"/>
  <c r="J180" i="25"/>
  <c r="J132" i="25"/>
  <c r="J74" i="25"/>
  <c r="L74" i="25" s="1"/>
  <c r="I195" i="24"/>
  <c r="K195" i="24" s="1"/>
  <c r="J206" i="25"/>
  <c r="N206" i="25" s="1"/>
  <c r="H291" i="24"/>
  <c r="AM291" i="24"/>
  <c r="CE291" i="24"/>
  <c r="I291" i="24"/>
  <c r="K291" i="24" s="1"/>
  <c r="H169" i="25"/>
  <c r="AL169" i="25"/>
  <c r="CC169" i="25"/>
  <c r="CC143" i="25"/>
  <c r="AL143" i="25"/>
  <c r="H143" i="25"/>
  <c r="AL193" i="25"/>
  <c r="H193" i="25"/>
  <c r="CC193" i="25"/>
  <c r="CC168" i="25"/>
  <c r="AL168" i="25"/>
  <c r="H168" i="25"/>
  <c r="AL151" i="25"/>
  <c r="H151" i="25"/>
  <c r="CC151" i="25"/>
  <c r="CC141" i="25"/>
  <c r="H141" i="25"/>
  <c r="AL141" i="25"/>
  <c r="AL185" i="25"/>
  <c r="CC185" i="25"/>
  <c r="H185" i="25"/>
  <c r="AL159" i="25"/>
  <c r="CC159" i="25"/>
  <c r="H159" i="25"/>
  <c r="BN174" i="25"/>
  <c r="I174" i="25"/>
  <c r="CF265" i="24"/>
  <c r="AM265" i="24"/>
  <c r="H265" i="24"/>
  <c r="CE265" i="24"/>
  <c r="I265" i="24"/>
  <c r="CF273" i="24"/>
  <c r="AM273" i="24"/>
  <c r="CE273" i="24"/>
  <c r="H273" i="24"/>
  <c r="I273" i="24"/>
  <c r="H202" i="24"/>
  <c r="AM202" i="24"/>
  <c r="AM37" i="24"/>
  <c r="CF37" i="24"/>
  <c r="CE37" i="24"/>
  <c r="K37" i="24"/>
  <c r="H37" i="24"/>
  <c r="CF123" i="24"/>
  <c r="CE123" i="24"/>
  <c r="AM123" i="24"/>
  <c r="H123" i="24"/>
  <c r="I123" i="24"/>
  <c r="AL269" i="25"/>
  <c r="CC269" i="25"/>
  <c r="H269" i="25"/>
  <c r="J269" i="25"/>
  <c r="L269" i="25" s="1"/>
  <c r="K142" i="24"/>
  <c r="H142" i="24"/>
  <c r="CF142" i="24"/>
  <c r="CE142" i="24"/>
  <c r="AM142" i="24"/>
  <c r="H18" i="24"/>
  <c r="AM18" i="24"/>
  <c r="CF18" i="24"/>
  <c r="CE18" i="24"/>
  <c r="K18" i="24"/>
  <c r="I18" i="24"/>
  <c r="M18" i="24" s="1"/>
  <c r="N18" i="24" s="1"/>
  <c r="CF228" i="24"/>
  <c r="H228" i="24"/>
  <c r="AM228" i="24"/>
  <c r="CE228" i="24"/>
  <c r="M7" i="24"/>
  <c r="N7" i="24" s="1"/>
  <c r="CE24" i="24"/>
  <c r="CF24" i="24"/>
  <c r="K24" i="24"/>
  <c r="AM24" i="24"/>
  <c r="H24" i="24"/>
  <c r="I24" i="24"/>
  <c r="M24" i="24" s="1"/>
  <c r="N24" i="24" s="1"/>
  <c r="M190" i="24"/>
  <c r="N190" i="24" s="1"/>
  <c r="H147" i="24"/>
  <c r="CE147" i="24"/>
  <c r="AM147" i="24"/>
  <c r="CF147" i="24"/>
  <c r="H257" i="25"/>
  <c r="AL257" i="25"/>
  <c r="CC257" i="25"/>
  <c r="AL270" i="25"/>
  <c r="CC270" i="25"/>
  <c r="H270" i="25"/>
  <c r="BN129" i="25"/>
  <c r="I129" i="25"/>
  <c r="I111" i="25"/>
  <c r="BN111" i="25"/>
  <c r="BQ111" i="25" s="1"/>
  <c r="AL83" i="25"/>
  <c r="H83" i="25"/>
  <c r="CC83" i="25"/>
  <c r="CF83" i="25"/>
  <c r="CE83" i="25"/>
  <c r="J83" i="25"/>
  <c r="L83" i="25" s="1"/>
  <c r="I105" i="25"/>
  <c r="BN105" i="25"/>
  <c r="I145" i="25"/>
  <c r="BN145" i="25"/>
  <c r="AM14" i="24"/>
  <c r="K14" i="24"/>
  <c r="H14" i="24"/>
  <c r="I14" i="24"/>
  <c r="M14" i="24" s="1"/>
  <c r="N14" i="24" s="1"/>
  <c r="AM101" i="24"/>
  <c r="K101" i="24"/>
  <c r="H101" i="24"/>
  <c r="CF252" i="24"/>
  <c r="H252" i="24"/>
  <c r="AM252" i="24"/>
  <c r="CE252" i="24"/>
  <c r="K62" i="24"/>
  <c r="H62" i="24"/>
  <c r="AM62" i="24"/>
  <c r="I62" i="24"/>
  <c r="M62" i="24" s="1"/>
  <c r="N62" i="24" s="1"/>
  <c r="CE160" i="24"/>
  <c r="AM160" i="24"/>
  <c r="H160" i="24"/>
  <c r="CF160" i="24"/>
  <c r="CE272" i="24"/>
  <c r="AM272" i="24"/>
  <c r="H272" i="24"/>
  <c r="I272" i="24"/>
  <c r="M272" i="24" s="1"/>
  <c r="N272" i="24" s="1"/>
  <c r="CC93" i="25"/>
  <c r="AL93" i="25"/>
  <c r="CF93" i="25"/>
  <c r="H93" i="25"/>
  <c r="CE93" i="25"/>
  <c r="J93" i="25"/>
  <c r="L93" i="25" s="1"/>
  <c r="AL192" i="25"/>
  <c r="CC192" i="25"/>
  <c r="H192" i="25"/>
  <c r="J192" i="25"/>
  <c r="N192" i="25" s="1"/>
  <c r="T192" i="25" s="1"/>
  <c r="J194" i="25"/>
  <c r="L194" i="25" s="1"/>
  <c r="J193" i="25"/>
  <c r="L193" i="25" s="1"/>
  <c r="BO272" i="24"/>
  <c r="BR272" i="24" s="1"/>
  <c r="BM157" i="25"/>
  <c r="BM132" i="25"/>
  <c r="BO68" i="24"/>
  <c r="BR68" i="24" s="1"/>
  <c r="BO41" i="24"/>
  <c r="BR41" i="24" s="1"/>
  <c r="BO205" i="24"/>
  <c r="BR205" i="24" s="1"/>
  <c r="BM210" i="25"/>
  <c r="BM125" i="25"/>
  <c r="BQ125" i="25" s="1"/>
  <c r="BM190" i="25"/>
  <c r="BO96" i="24"/>
  <c r="BR96" i="24" s="1"/>
  <c r="BO101" i="24"/>
  <c r="BR101" i="24" s="1"/>
  <c r="BO255" i="24"/>
  <c r="BR255" i="24" s="1"/>
  <c r="BO314" i="24"/>
  <c r="BR314" i="24" s="1"/>
  <c r="BO20" i="24"/>
  <c r="BR20" i="24" s="1"/>
  <c r="BO62" i="24"/>
  <c r="BR62" i="24" s="1"/>
  <c r="BM42" i="25"/>
  <c r="BO138" i="24"/>
  <c r="BR138" i="24" s="1"/>
  <c r="BO117" i="24"/>
  <c r="BR117" i="24" s="1"/>
  <c r="I50" i="24"/>
  <c r="BM163" i="25"/>
  <c r="BO282" i="24"/>
  <c r="BR282" i="24" s="1"/>
  <c r="BO122" i="24"/>
  <c r="BR122" i="24" s="1"/>
  <c r="BM192" i="25"/>
  <c r="BO123" i="24"/>
  <c r="BR123" i="24" s="1"/>
  <c r="BO267" i="24"/>
  <c r="BR267" i="24" s="1"/>
  <c r="BM145" i="25"/>
  <c r="BO7" i="24"/>
  <c r="BR7" i="24" s="1"/>
  <c r="I75" i="24"/>
  <c r="I122" i="24"/>
  <c r="K122" i="24" s="1"/>
  <c r="I261" i="24"/>
  <c r="I228" i="24"/>
  <c r="K228" i="24" s="1"/>
  <c r="I138" i="24"/>
  <c r="K138" i="24" s="1"/>
  <c r="I296" i="24"/>
  <c r="I267" i="24"/>
  <c r="I202" i="24"/>
  <c r="I252" i="24"/>
  <c r="K252" i="24" s="1"/>
  <c r="H160" i="25"/>
  <c r="AL160" i="25"/>
  <c r="CC160" i="25"/>
  <c r="J160" i="25"/>
  <c r="H206" i="25"/>
  <c r="CC206" i="25"/>
  <c r="AL206" i="25"/>
  <c r="H203" i="25"/>
  <c r="AL203" i="25"/>
  <c r="CC203" i="25"/>
  <c r="AL77" i="25"/>
  <c r="CC77" i="25"/>
  <c r="H77" i="25"/>
  <c r="CC26" i="25"/>
  <c r="AL26" i="25"/>
  <c r="H26" i="25"/>
  <c r="J26" i="25"/>
  <c r="L26" i="25" s="1"/>
  <c r="H13" i="25"/>
  <c r="CC13" i="25"/>
  <c r="AL13" i="25"/>
  <c r="CE13" i="25"/>
  <c r="CF13" i="25"/>
  <c r="AM82" i="24"/>
  <c r="CF82" i="24"/>
  <c r="CE82" i="24"/>
  <c r="K82" i="24"/>
  <c r="H82" i="24"/>
  <c r="I82" i="24"/>
  <c r="CE285" i="24"/>
  <c r="H285" i="24"/>
  <c r="AM285" i="24"/>
  <c r="AM170" i="24"/>
  <c r="H170" i="24"/>
  <c r="AM83" i="24"/>
  <c r="CF83" i="24"/>
  <c r="CE83" i="24"/>
  <c r="H83" i="24"/>
  <c r="K83" i="24"/>
  <c r="I83" i="24"/>
  <c r="M83" i="24" s="1"/>
  <c r="BN188" i="25"/>
  <c r="I188" i="25"/>
  <c r="H6" i="25"/>
  <c r="CC6" i="25"/>
  <c r="AL6" i="25"/>
  <c r="AL165" i="25"/>
  <c r="H165" i="25"/>
  <c r="CC165" i="25"/>
  <c r="AM68" i="24"/>
  <c r="CE68" i="24"/>
  <c r="CF68" i="24"/>
  <c r="K68" i="24"/>
  <c r="H68" i="24"/>
  <c r="I68" i="24"/>
  <c r="M68" i="24" s="1"/>
  <c r="N68" i="24" s="1"/>
  <c r="AM33" i="24"/>
  <c r="CE33" i="24"/>
  <c r="CF33" i="24"/>
  <c r="K33" i="24"/>
  <c r="H33" i="24"/>
  <c r="CE177" i="24"/>
  <c r="H177" i="24"/>
  <c r="AM177" i="24"/>
  <c r="CF177" i="24"/>
  <c r="I177" i="24"/>
  <c r="K177" i="24" s="1"/>
  <c r="AM54" i="24"/>
  <c r="K54" i="24"/>
  <c r="H54" i="24"/>
  <c r="I54" i="24"/>
  <c r="CE243" i="24"/>
  <c r="H243" i="24"/>
  <c r="AM243" i="24"/>
  <c r="H194" i="24"/>
  <c r="CE194" i="24"/>
  <c r="AM194" i="24"/>
  <c r="CF194" i="24"/>
  <c r="CF7" i="24"/>
  <c r="K7" i="24"/>
  <c r="AM7" i="24"/>
  <c r="H7" i="24"/>
  <c r="CE7" i="24"/>
  <c r="AM71" i="24"/>
  <c r="CE71" i="24"/>
  <c r="CF71" i="24"/>
  <c r="K71" i="24"/>
  <c r="H71" i="24"/>
  <c r="CF130" i="24"/>
  <c r="CE130" i="24"/>
  <c r="AM130" i="24"/>
  <c r="H130" i="24"/>
  <c r="AM268" i="24"/>
  <c r="CE268" i="24"/>
  <c r="H268" i="24"/>
  <c r="I268" i="24"/>
  <c r="M268" i="24" s="1"/>
  <c r="N268" i="24" s="1"/>
  <c r="BO202" i="24"/>
  <c r="BR202" i="24" s="1"/>
  <c r="H52" i="25"/>
  <c r="AL52" i="25"/>
  <c r="CC52" i="25"/>
  <c r="H23" i="25"/>
  <c r="CC23" i="25"/>
  <c r="AL23" i="25"/>
  <c r="CF23" i="25"/>
  <c r="CE23" i="25"/>
  <c r="BN11" i="25"/>
  <c r="I11" i="25"/>
  <c r="H195" i="25"/>
  <c r="AL195" i="25"/>
  <c r="CC195" i="25"/>
  <c r="J195" i="25"/>
  <c r="CC202" i="25"/>
  <c r="AL202" i="25"/>
  <c r="H202" i="25"/>
  <c r="J202" i="25"/>
  <c r="L202" i="25" s="1"/>
  <c r="H164" i="25"/>
  <c r="AL164" i="25"/>
  <c r="CC164" i="25"/>
  <c r="J164" i="25"/>
  <c r="L164" i="25" s="1"/>
  <c r="H186" i="25"/>
  <c r="AL186" i="25"/>
  <c r="CC186" i="25"/>
  <c r="H8" i="25"/>
  <c r="CC8" i="25"/>
  <c r="AL8" i="25"/>
  <c r="CF8" i="25"/>
  <c r="CE8" i="25"/>
  <c r="J8" i="25"/>
  <c r="L8" i="25" s="1"/>
  <c r="H237" i="25"/>
  <c r="AL237" i="25"/>
  <c r="CC237" i="25"/>
  <c r="H233" i="24"/>
  <c r="AM233" i="24"/>
  <c r="CF250" i="24"/>
  <c r="H250" i="24"/>
  <c r="AM250" i="24"/>
  <c r="I250" i="24"/>
  <c r="AM114" i="24"/>
  <c r="H114" i="24"/>
  <c r="CF114" i="24"/>
  <c r="CE114" i="24"/>
  <c r="I114" i="24"/>
  <c r="CF67" i="24"/>
  <c r="CE67" i="24"/>
  <c r="AM67" i="24"/>
  <c r="K67" i="24"/>
  <c r="H67" i="24"/>
  <c r="I67" i="24"/>
  <c r="CF158" i="24"/>
  <c r="CE158" i="24"/>
  <c r="AM158" i="24"/>
  <c r="H158" i="24"/>
  <c r="I158" i="24"/>
  <c r="K158" i="24" s="1"/>
  <c r="BN80" i="25"/>
  <c r="BQ80" i="25" s="1"/>
  <c r="I80" i="25"/>
  <c r="BN137" i="25"/>
  <c r="I137" i="25"/>
  <c r="BO265" i="24"/>
  <c r="BR265" i="24" s="1"/>
  <c r="BM269" i="25"/>
  <c r="BQ269" i="25" s="1"/>
  <c r="BO130" i="24"/>
  <c r="BR130" i="24" s="1"/>
  <c r="BO97" i="24"/>
  <c r="BR97" i="24" s="1"/>
  <c r="BO111" i="24"/>
  <c r="BR111" i="24" s="1"/>
  <c r="BM208" i="25"/>
  <c r="BO261" i="24"/>
  <c r="BR261" i="24" s="1"/>
  <c r="J270" i="25"/>
  <c r="I170" i="24"/>
  <c r="K170" i="24" s="1"/>
  <c r="J266" i="25"/>
  <c r="J16" i="25"/>
  <c r="BM226" i="25"/>
  <c r="BO118" i="24"/>
  <c r="BR118" i="24" s="1"/>
  <c r="J185" i="25"/>
  <c r="J186" i="25"/>
  <c r="N186" i="25" s="1"/>
  <c r="J52" i="25"/>
  <c r="J70" i="25"/>
  <c r="I96" i="24"/>
  <c r="J151" i="25"/>
  <c r="I224" i="24"/>
  <c r="I125" i="24"/>
  <c r="K125" i="24" s="1"/>
  <c r="I33" i="24"/>
  <c r="J159" i="25"/>
  <c r="I143" i="24"/>
  <c r="H185" i="24"/>
  <c r="AM185" i="24"/>
  <c r="I185" i="24"/>
  <c r="K185" i="24" s="1"/>
  <c r="CE283" i="24"/>
  <c r="CF283" i="24"/>
  <c r="H283" i="24"/>
  <c r="AM283" i="24"/>
  <c r="I283" i="24"/>
  <c r="H257" i="24"/>
  <c r="AM257" i="24"/>
  <c r="CE257" i="24"/>
  <c r="H168" i="24"/>
  <c r="AM168" i="24"/>
  <c r="AL81" i="25"/>
  <c r="CC81" i="25"/>
  <c r="H81" i="25"/>
  <c r="H44" i="25"/>
  <c r="CE44" i="25"/>
  <c r="CC44" i="25"/>
  <c r="AL44" i="25"/>
  <c r="CF44" i="25"/>
  <c r="AL239" i="25"/>
  <c r="CC239" i="25"/>
  <c r="H239" i="25"/>
  <c r="J239" i="25"/>
  <c r="L239" i="25" s="1"/>
  <c r="H315" i="25"/>
  <c r="AL315" i="25"/>
  <c r="CC315" i="25"/>
  <c r="H280" i="25"/>
  <c r="AL280" i="25"/>
  <c r="CC280" i="25"/>
  <c r="K119" i="24"/>
  <c r="H119" i="24"/>
  <c r="AM119" i="24"/>
  <c r="CF152" i="24"/>
  <c r="CE152" i="24"/>
  <c r="AM152" i="24"/>
  <c r="H152" i="24"/>
  <c r="K70" i="24"/>
  <c r="AM70" i="24"/>
  <c r="H70" i="24"/>
  <c r="CE70" i="24"/>
  <c r="CF70" i="24"/>
  <c r="I70" i="24"/>
  <c r="AL189" i="25"/>
  <c r="CC189" i="25"/>
  <c r="H189" i="25"/>
  <c r="BN37" i="25"/>
  <c r="I37" i="25"/>
  <c r="CC152" i="25"/>
  <c r="AL152" i="25"/>
  <c r="H152" i="25"/>
  <c r="J152" i="25"/>
  <c r="L152" i="25" s="1"/>
  <c r="BN182" i="25"/>
  <c r="I182" i="25"/>
  <c r="M142" i="24"/>
  <c r="AM46" i="24"/>
  <c r="CE46" i="24"/>
  <c r="CF46" i="24"/>
  <c r="K46" i="24"/>
  <c r="H46" i="24"/>
  <c r="I46" i="24"/>
  <c r="H36" i="24"/>
  <c r="CE36" i="24"/>
  <c r="CF36" i="24"/>
  <c r="AM36" i="24"/>
  <c r="K36" i="24"/>
  <c r="I36" i="24"/>
  <c r="AM45" i="24"/>
  <c r="K45" i="24"/>
  <c r="H45" i="24"/>
  <c r="CE281" i="24"/>
  <c r="AM281" i="24"/>
  <c r="H281" i="24"/>
  <c r="I281" i="24"/>
  <c r="K94" i="24"/>
  <c r="AM94" i="24"/>
  <c r="H94" i="24"/>
  <c r="CF94" i="24"/>
  <c r="CE94" i="24"/>
  <c r="I94" i="24"/>
  <c r="AM206" i="24"/>
  <c r="H206" i="24"/>
  <c r="AM132" i="24"/>
  <c r="K132" i="24"/>
  <c r="H132" i="24"/>
  <c r="CE274" i="24"/>
  <c r="H274" i="24"/>
  <c r="AM274" i="24"/>
  <c r="I274" i="24"/>
  <c r="K274" i="24" s="1"/>
  <c r="BO268" i="24"/>
  <c r="BR268" i="24" s="1"/>
  <c r="CF29" i="25"/>
  <c r="H29" i="25"/>
  <c r="AL29" i="25"/>
  <c r="CC29" i="25"/>
  <c r="CE29" i="25"/>
  <c r="BN9" i="25"/>
  <c r="I9" i="25"/>
  <c r="AL38" i="25"/>
  <c r="CC38" i="25"/>
  <c r="CE38" i="25"/>
  <c r="CF38" i="25"/>
  <c r="H38" i="25"/>
  <c r="J38" i="25"/>
  <c r="L38" i="25" s="1"/>
  <c r="CF94" i="25"/>
  <c r="AL94" i="25"/>
  <c r="CC94" i="25"/>
  <c r="CE94" i="25"/>
  <c r="H94" i="25"/>
  <c r="CE298" i="24"/>
  <c r="CF298" i="24"/>
  <c r="H298" i="24"/>
  <c r="AM298" i="24"/>
  <c r="I298" i="24"/>
  <c r="K298" i="24" s="1"/>
  <c r="H165" i="24"/>
  <c r="AM165" i="24"/>
  <c r="I165" i="24"/>
  <c r="M101" i="24"/>
  <c r="CE292" i="24"/>
  <c r="AM292" i="24"/>
  <c r="H292" i="24"/>
  <c r="K292" i="24"/>
  <c r="BN17" i="25"/>
  <c r="BQ17" i="25" s="1"/>
  <c r="I17" i="25"/>
  <c r="I243" i="24"/>
  <c r="BM280" i="25"/>
  <c r="BQ280" i="25" s="1"/>
  <c r="BM122" i="25"/>
  <c r="BM165" i="25"/>
  <c r="BM164" i="25"/>
  <c r="BQ164" i="25" s="1"/>
  <c r="BO165" i="24"/>
  <c r="BR165" i="24" s="1"/>
  <c r="BM185" i="25"/>
  <c r="BQ185" i="25" s="1"/>
  <c r="I186" i="24"/>
  <c r="J42" i="25"/>
  <c r="J141" i="25"/>
  <c r="J9" i="25"/>
  <c r="BO46" i="24"/>
  <c r="BR46" i="24" s="1"/>
  <c r="BM189" i="25"/>
  <c r="BM70" i="25"/>
  <c r="BQ70" i="25" s="1"/>
  <c r="BO18" i="24"/>
  <c r="BR18" i="24" s="1"/>
  <c r="BO56" i="24"/>
  <c r="BR56" i="24" s="1"/>
  <c r="BM241" i="25"/>
  <c r="BQ241" i="25" s="1"/>
  <c r="BO146" i="24"/>
  <c r="BR146" i="24" s="1"/>
  <c r="BM237" i="25"/>
  <c r="BQ237" i="25" s="1"/>
  <c r="BO71" i="24"/>
  <c r="BR71" i="24" s="1"/>
  <c r="BO37" i="24"/>
  <c r="BR37" i="24" s="1"/>
  <c r="BM188" i="25"/>
  <c r="BM176" i="25"/>
  <c r="J226" i="25"/>
  <c r="I152" i="24"/>
  <c r="K152" i="24" s="1"/>
  <c r="I37" i="24"/>
  <c r="J162" i="25"/>
  <c r="BO54" i="24"/>
  <c r="BR54" i="24" s="1"/>
  <c r="BM245" i="25"/>
  <c r="BM74" i="25"/>
  <c r="BO63" i="24"/>
  <c r="BR63" i="24" s="1"/>
  <c r="BO273" i="24"/>
  <c r="BR273" i="24" s="1"/>
  <c r="BM182" i="25"/>
  <c r="BM236" i="25"/>
  <c r="BQ236" i="25" s="1"/>
  <c r="BM137" i="25"/>
  <c r="BO252" i="24"/>
  <c r="BR252" i="24" s="1"/>
  <c r="BO257" i="24"/>
  <c r="BR257" i="24" s="1"/>
  <c r="BO22" i="24"/>
  <c r="BR22" i="24" s="1"/>
  <c r="BO296" i="24"/>
  <c r="BR296" i="24" s="1"/>
  <c r="BM77" i="25"/>
  <c r="BO304" i="24"/>
  <c r="BR304" i="24" s="1"/>
  <c r="BM37" i="25"/>
  <c r="BO114" i="24"/>
  <c r="BR114" i="24" s="1"/>
  <c r="BO292" i="24"/>
  <c r="BR292" i="24" s="1"/>
  <c r="BO67" i="24"/>
  <c r="BR67" i="24" s="1"/>
  <c r="BM120" i="25"/>
  <c r="I168" i="24"/>
  <c r="I56" i="24"/>
  <c r="J168" i="25"/>
  <c r="BK233" i="24" l="1"/>
  <c r="M236" i="24"/>
  <c r="N236" i="24" s="1"/>
  <c r="K236" i="24"/>
  <c r="M233" i="24"/>
  <c r="N233" i="24" s="1"/>
  <c r="P233" i="24" s="1"/>
  <c r="K294" i="24"/>
  <c r="K233" i="24"/>
  <c r="BK294" i="24"/>
  <c r="M294" i="24"/>
  <c r="N294" i="24" s="1"/>
  <c r="AP294" i="24" s="1"/>
  <c r="BK264" i="24"/>
  <c r="M264" i="24"/>
  <c r="N264" i="24" s="1"/>
  <c r="P264" i="24" s="1"/>
  <c r="U237" i="24"/>
  <c r="S257" i="24"/>
  <c r="T257" i="24" s="1"/>
  <c r="J257" i="24" s="1"/>
  <c r="U219" i="24"/>
  <c r="BK257" i="24"/>
  <c r="S264" i="24"/>
  <c r="T264" i="24" s="1"/>
  <c r="J264" i="24" s="1"/>
  <c r="Q257" i="24"/>
  <c r="K257" i="24"/>
  <c r="U290" i="24"/>
  <c r="U268" i="24"/>
  <c r="U279" i="24"/>
  <c r="U312" i="24"/>
  <c r="U310" i="24"/>
  <c r="U248" i="24"/>
  <c r="U313" i="24"/>
  <c r="U292" i="24"/>
  <c r="V292" i="24" s="1"/>
  <c r="U271" i="24"/>
  <c r="U287" i="24"/>
  <c r="U306" i="24"/>
  <c r="U226" i="24"/>
  <c r="U257" i="24"/>
  <c r="V257" i="24" s="1"/>
  <c r="U218" i="24"/>
  <c r="U225" i="24"/>
  <c r="V225" i="24" s="1"/>
  <c r="U234" i="24"/>
  <c r="U303" i="24"/>
  <c r="U270" i="24"/>
  <c r="U272" i="24"/>
  <c r="U238" i="24"/>
  <c r="U307" i="24"/>
  <c r="U236" i="24"/>
  <c r="U231" i="24"/>
  <c r="U227" i="24"/>
  <c r="BQ227" i="25"/>
  <c r="N190" i="25"/>
  <c r="T190" i="25" s="1"/>
  <c r="U190" i="25" s="1"/>
  <c r="BI190" i="25"/>
  <c r="L94" i="25"/>
  <c r="K160" i="24"/>
  <c r="BK160" i="24"/>
  <c r="L29" i="25"/>
  <c r="BI257" i="25"/>
  <c r="BQ177" i="25"/>
  <c r="N94" i="25"/>
  <c r="T94" i="25" s="1"/>
  <c r="U94" i="25" s="1"/>
  <c r="BQ104" i="25"/>
  <c r="M55" i="24"/>
  <c r="N55" i="24" s="1"/>
  <c r="AP55" i="24" s="1"/>
  <c r="BQ270" i="25"/>
  <c r="S55" i="24"/>
  <c r="T55" i="24" s="1"/>
  <c r="J55" i="24" s="1"/>
  <c r="L257" i="25"/>
  <c r="BQ161" i="25"/>
  <c r="N262" i="25"/>
  <c r="T262" i="25" s="1"/>
  <c r="M160" i="24"/>
  <c r="N160" i="24" s="1"/>
  <c r="P160" i="24" s="1"/>
  <c r="U45" i="24"/>
  <c r="V45" i="24" s="1"/>
  <c r="BQ225" i="25"/>
  <c r="BK41" i="24"/>
  <c r="BQ42" i="25"/>
  <c r="BQ308" i="25"/>
  <c r="S41" i="24"/>
  <c r="T41" i="24" s="1"/>
  <c r="J41" i="24" s="1"/>
  <c r="BQ242" i="25"/>
  <c r="N155" i="25"/>
  <c r="T155" i="25" s="1"/>
  <c r="BQ297" i="25"/>
  <c r="N11" i="25"/>
  <c r="T11" i="25" s="1"/>
  <c r="U11" i="25" s="1"/>
  <c r="BI280" i="25"/>
  <c r="BI11" i="25"/>
  <c r="N280" i="25"/>
  <c r="T280" i="25" s="1"/>
  <c r="U280" i="25" s="1"/>
  <c r="U119" i="24"/>
  <c r="V119" i="24" s="1"/>
  <c r="U162" i="24"/>
  <c r="V162" i="24" s="1"/>
  <c r="K130" i="24"/>
  <c r="U132" i="24"/>
  <c r="V132" i="24" s="1"/>
  <c r="BQ162" i="25"/>
  <c r="BQ37" i="25"/>
  <c r="K116" i="24"/>
  <c r="M289" i="24"/>
  <c r="BI143" i="25"/>
  <c r="L177" i="25"/>
  <c r="L143" i="25"/>
  <c r="BQ88" i="25"/>
  <c r="N189" i="25"/>
  <c r="T189" i="25" s="1"/>
  <c r="U189" i="25" s="1"/>
  <c r="BI237" i="25"/>
  <c r="N29" i="25"/>
  <c r="T29" i="25" s="1"/>
  <c r="U29" i="25" s="1"/>
  <c r="N237" i="25"/>
  <c r="T237" i="25" s="1"/>
  <c r="U237" i="25" s="1"/>
  <c r="BQ263" i="25"/>
  <c r="BQ189" i="25"/>
  <c r="L258" i="25"/>
  <c r="N258" i="25"/>
  <c r="P258" i="25" s="1"/>
  <c r="BQ73" i="25"/>
  <c r="T13" i="25"/>
  <c r="U13" i="25" s="1"/>
  <c r="BQ74" i="25"/>
  <c r="BQ148" i="25"/>
  <c r="BQ302" i="25"/>
  <c r="BQ255" i="25"/>
  <c r="BI293" i="25"/>
  <c r="BQ265" i="25"/>
  <c r="M223" i="24"/>
  <c r="U223" i="24" s="1"/>
  <c r="BQ219" i="25"/>
  <c r="L87" i="25"/>
  <c r="K225" i="24"/>
  <c r="BQ55" i="25"/>
  <c r="L293" i="25"/>
  <c r="BQ120" i="25"/>
  <c r="BQ167" i="25"/>
  <c r="BQ187" i="25"/>
  <c r="BQ293" i="25"/>
  <c r="T143" i="25"/>
  <c r="U143" i="25" s="1"/>
  <c r="BI177" i="25"/>
  <c r="BQ117" i="25"/>
  <c r="BQ96" i="25"/>
  <c r="N179" i="25"/>
  <c r="P179" i="25" s="1"/>
  <c r="BQ220" i="25"/>
  <c r="BQ275" i="25"/>
  <c r="N265" i="25"/>
  <c r="T265" i="25" s="1"/>
  <c r="U265" i="25" s="1"/>
  <c r="BQ313" i="25"/>
  <c r="L265" i="25"/>
  <c r="L179" i="25"/>
  <c r="BQ165" i="25"/>
  <c r="BQ137" i="25"/>
  <c r="K147" i="24"/>
  <c r="BQ122" i="25"/>
  <c r="BQ66" i="25"/>
  <c r="BI129" i="25"/>
  <c r="L206" i="25"/>
  <c r="U191" i="24"/>
  <c r="V191" i="24" s="1"/>
  <c r="BQ294" i="25"/>
  <c r="BQ103" i="25"/>
  <c r="O143" i="25"/>
  <c r="AO143" i="25" s="1"/>
  <c r="N97" i="25"/>
  <c r="T97" i="25" s="1"/>
  <c r="BQ77" i="25"/>
  <c r="L189" i="25"/>
  <c r="BQ306" i="25"/>
  <c r="L110" i="25"/>
  <c r="BQ112" i="25"/>
  <c r="N28" i="25"/>
  <c r="T28" i="25" s="1"/>
  <c r="U28" i="25" s="1"/>
  <c r="T110" i="25"/>
  <c r="U110" i="25" s="1"/>
  <c r="P110" i="25"/>
  <c r="BZ110" i="25" s="1"/>
  <c r="BQ176" i="25"/>
  <c r="BQ13" i="25"/>
  <c r="L129" i="25"/>
  <c r="BQ158" i="25"/>
  <c r="L28" i="25"/>
  <c r="N291" i="25"/>
  <c r="T291" i="25" s="1"/>
  <c r="BQ95" i="25"/>
  <c r="N77" i="25"/>
  <c r="L77" i="25"/>
  <c r="BQ94" i="25"/>
  <c r="BQ283" i="25"/>
  <c r="BQ311" i="25"/>
  <c r="BQ134" i="25"/>
  <c r="BQ292" i="25"/>
  <c r="BI110" i="25"/>
  <c r="BQ245" i="25"/>
  <c r="BQ304" i="25"/>
  <c r="P129" i="25"/>
  <c r="BZ129" i="25" s="1"/>
  <c r="T129" i="25"/>
  <c r="U129" i="25" s="1"/>
  <c r="BQ52" i="25"/>
  <c r="BQ47" i="25"/>
  <c r="BQ133" i="25"/>
  <c r="BQ76" i="25"/>
  <c r="BQ121" i="25"/>
  <c r="K188" i="24"/>
  <c r="M251" i="24"/>
  <c r="N251" i="24" s="1"/>
  <c r="AP251" i="24" s="1"/>
  <c r="M137" i="24"/>
  <c r="N137" i="24" s="1"/>
  <c r="K127" i="24"/>
  <c r="BQ100" i="25"/>
  <c r="BQ195" i="25"/>
  <c r="BQ156" i="25"/>
  <c r="M167" i="24"/>
  <c r="N167" i="24" s="1"/>
  <c r="P167" i="24" s="1"/>
  <c r="BQ192" i="25"/>
  <c r="BQ178" i="25"/>
  <c r="BQ99" i="25"/>
  <c r="BQ267" i="25"/>
  <c r="BQ157" i="25"/>
  <c r="BQ150" i="25"/>
  <c r="BQ181" i="25"/>
  <c r="BQ305" i="25"/>
  <c r="BQ226" i="25"/>
  <c r="N104" i="25"/>
  <c r="T104" i="25" s="1"/>
  <c r="U104" i="25" s="1"/>
  <c r="BI131" i="25"/>
  <c r="N154" i="25"/>
  <c r="P154" i="25" s="1"/>
  <c r="BQ238" i="25"/>
  <c r="L173" i="25"/>
  <c r="BQ307" i="25"/>
  <c r="BQ147" i="25"/>
  <c r="T131" i="25"/>
  <c r="U131" i="25" s="1"/>
  <c r="BQ210" i="25"/>
  <c r="BQ198" i="25"/>
  <c r="L131" i="25"/>
  <c r="BQ199" i="25"/>
  <c r="BQ12" i="25"/>
  <c r="L199" i="25"/>
  <c r="BQ145" i="25"/>
  <c r="BQ190" i="25"/>
  <c r="N41" i="24"/>
  <c r="AP41" i="24" s="1"/>
  <c r="U41" i="24"/>
  <c r="V41" i="24" s="1"/>
  <c r="BQ194" i="25"/>
  <c r="K200" i="24"/>
  <c r="K193" i="24"/>
  <c r="K237" i="24"/>
  <c r="K306" i="24"/>
  <c r="K313" i="24"/>
  <c r="M77" i="24"/>
  <c r="N77" i="24" s="1"/>
  <c r="AP77" i="24" s="1"/>
  <c r="N96" i="25"/>
  <c r="T96" i="25" s="1"/>
  <c r="U96" i="25" s="1"/>
  <c r="K248" i="24"/>
  <c r="K279" i="24"/>
  <c r="K234" i="24"/>
  <c r="BQ182" i="25"/>
  <c r="L6" i="25"/>
  <c r="M285" i="24"/>
  <c r="K205" i="24"/>
  <c r="K307" i="24"/>
  <c r="BQ71" i="25"/>
  <c r="K182" i="24"/>
  <c r="L167" i="25"/>
  <c r="BQ254" i="25"/>
  <c r="K246" i="24"/>
  <c r="M84" i="24"/>
  <c r="N84" i="24" s="1"/>
  <c r="BQ235" i="25"/>
  <c r="K227" i="24"/>
  <c r="BQ268" i="25"/>
  <c r="V236" i="24"/>
  <c r="K303" i="24"/>
  <c r="M134" i="24"/>
  <c r="N134" i="24" s="1"/>
  <c r="AP134" i="24" s="1"/>
  <c r="U88" i="24"/>
  <c r="V88" i="24" s="1"/>
  <c r="BI104" i="25"/>
  <c r="K272" i="24"/>
  <c r="K226" i="24"/>
  <c r="K310" i="24"/>
  <c r="BQ209" i="25"/>
  <c r="BQ27" i="25"/>
  <c r="BQ287" i="25"/>
  <c r="L71" i="25"/>
  <c r="T232" i="25"/>
  <c r="U232" i="25" s="1"/>
  <c r="BQ276" i="25"/>
  <c r="BQ188" i="25"/>
  <c r="M252" i="24"/>
  <c r="N252" i="24" s="1"/>
  <c r="P252" i="24" s="1"/>
  <c r="K290" i="24"/>
  <c r="L13" i="25"/>
  <c r="BQ175" i="25"/>
  <c r="BQ173" i="25"/>
  <c r="M246" i="24"/>
  <c r="N246" i="24" s="1"/>
  <c r="AP246" i="24" s="1"/>
  <c r="M286" i="24"/>
  <c r="N286" i="24" s="1"/>
  <c r="U7" i="24"/>
  <c r="V7" i="24" s="1"/>
  <c r="M276" i="24"/>
  <c r="N276" i="24" s="1"/>
  <c r="AP276" i="24" s="1"/>
  <c r="M157" i="24"/>
  <c r="N157" i="24" s="1"/>
  <c r="AP157" i="24" s="1"/>
  <c r="K218" i="24"/>
  <c r="N59" i="25"/>
  <c r="T59" i="25" s="1"/>
  <c r="BQ248" i="25"/>
  <c r="BQ142" i="25"/>
  <c r="L306" i="25"/>
  <c r="BQ86" i="25"/>
  <c r="L161" i="25"/>
  <c r="BQ249" i="25"/>
  <c r="BQ113" i="25"/>
  <c r="BQ131" i="25"/>
  <c r="T255" i="25"/>
  <c r="U255" i="25" s="1"/>
  <c r="L32" i="25"/>
  <c r="L95" i="25"/>
  <c r="T296" i="25"/>
  <c r="U296" i="25" s="1"/>
  <c r="L273" i="25"/>
  <c r="BQ208" i="25"/>
  <c r="L198" i="25"/>
  <c r="BQ65" i="25"/>
  <c r="BQ286" i="25"/>
  <c r="L14" i="25"/>
  <c r="L114" i="25"/>
  <c r="BQ251" i="25"/>
  <c r="L147" i="25"/>
  <c r="L229" i="25"/>
  <c r="BQ28" i="25"/>
  <c r="L248" i="25"/>
  <c r="BQ271" i="25"/>
  <c r="L276" i="25"/>
  <c r="L247" i="25"/>
  <c r="L158" i="25"/>
  <c r="BQ36" i="25"/>
  <c r="L261" i="25"/>
  <c r="L186" i="25"/>
  <c r="L292" i="25"/>
  <c r="L148" i="25"/>
  <c r="BQ101" i="25"/>
  <c r="L113" i="25"/>
  <c r="L255" i="25"/>
  <c r="L243" i="25"/>
  <c r="L240" i="25"/>
  <c r="BQ75" i="25"/>
  <c r="T186" i="25"/>
  <c r="U186" i="25" s="1"/>
  <c r="L192" i="25"/>
  <c r="L283" i="25"/>
  <c r="U192" i="25"/>
  <c r="Q6" i="24"/>
  <c r="R6" i="24" s="1"/>
  <c r="P6" i="24"/>
  <c r="U257" i="25"/>
  <c r="BK165" i="24"/>
  <c r="S165" i="24"/>
  <c r="T165" i="24" s="1"/>
  <c r="M165" i="24"/>
  <c r="N165" i="24" s="1"/>
  <c r="BK33" i="24"/>
  <c r="S33" i="24"/>
  <c r="T33" i="24" s="1"/>
  <c r="M33" i="24"/>
  <c r="N33" i="24" s="1"/>
  <c r="AP33" i="24" s="1"/>
  <c r="BI162" i="25"/>
  <c r="N162" i="25"/>
  <c r="T162" i="25" s="1"/>
  <c r="BI9" i="25"/>
  <c r="N9" i="25"/>
  <c r="T9" i="25" s="1"/>
  <c r="L9" i="25"/>
  <c r="AP45" i="24"/>
  <c r="AH239" i="25"/>
  <c r="BK224" i="24"/>
  <c r="S224" i="24"/>
  <c r="T224" i="24" s="1"/>
  <c r="K224" i="24"/>
  <c r="U18" i="24"/>
  <c r="BK111" i="24"/>
  <c r="S111" i="24"/>
  <c r="T111" i="24" s="1"/>
  <c r="K111" i="24"/>
  <c r="M111" i="24"/>
  <c r="N111" i="24" s="1"/>
  <c r="BI245" i="25"/>
  <c r="N245" i="25"/>
  <c r="T245" i="25" s="1"/>
  <c r="L245" i="25"/>
  <c r="N97" i="24"/>
  <c r="U97" i="24"/>
  <c r="P82" i="25"/>
  <c r="O82" i="25"/>
  <c r="P27" i="24"/>
  <c r="Q27" i="24"/>
  <c r="R27" i="24" s="1"/>
  <c r="P148" i="25"/>
  <c r="O148" i="25"/>
  <c r="T148" i="25"/>
  <c r="P147" i="25"/>
  <c r="O147" i="25"/>
  <c r="AO147" i="25" s="1"/>
  <c r="P240" i="25"/>
  <c r="O240" i="25"/>
  <c r="AO240" i="25" s="1"/>
  <c r="T240" i="25"/>
  <c r="P113" i="25"/>
  <c r="O113" i="25"/>
  <c r="AO113" i="25" s="1"/>
  <c r="T113" i="25"/>
  <c r="P237" i="24"/>
  <c r="Q237" i="24"/>
  <c r="N303" i="24"/>
  <c r="AP303" i="24" s="1"/>
  <c r="P267" i="25"/>
  <c r="O267" i="25"/>
  <c r="AO267" i="25" s="1"/>
  <c r="N90" i="24"/>
  <c r="AP90" i="24" s="1"/>
  <c r="U90" i="24"/>
  <c r="N79" i="24"/>
  <c r="AP79" i="24" s="1"/>
  <c r="U79" i="24"/>
  <c r="BK281" i="24"/>
  <c r="S281" i="24"/>
  <c r="T281" i="24" s="1"/>
  <c r="M281" i="24"/>
  <c r="N281" i="24" s="1"/>
  <c r="AH81" i="25"/>
  <c r="BI168" i="25"/>
  <c r="N168" i="25"/>
  <c r="T168" i="25" s="1"/>
  <c r="L168" i="25"/>
  <c r="U147" i="24"/>
  <c r="BK37" i="24"/>
  <c r="S37" i="24"/>
  <c r="T37" i="24" s="1"/>
  <c r="M37" i="24"/>
  <c r="N37" i="24" s="1"/>
  <c r="AP37" i="24" s="1"/>
  <c r="BI141" i="25"/>
  <c r="N141" i="25"/>
  <c r="T141" i="25" s="1"/>
  <c r="L141" i="25"/>
  <c r="AH38" i="25"/>
  <c r="BK94" i="24"/>
  <c r="S94" i="24"/>
  <c r="T94" i="24" s="1"/>
  <c r="M94" i="24"/>
  <c r="AH315" i="25"/>
  <c r="AH44" i="25"/>
  <c r="S283" i="24"/>
  <c r="T283" i="24" s="1"/>
  <c r="BK283" i="24"/>
  <c r="M283" i="24"/>
  <c r="N283" i="24" s="1"/>
  <c r="AP283" i="24" s="1"/>
  <c r="K283" i="24"/>
  <c r="BI151" i="25"/>
  <c r="N151" i="25"/>
  <c r="T151" i="25" s="1"/>
  <c r="L151" i="25"/>
  <c r="BI16" i="25"/>
  <c r="L16" i="25"/>
  <c r="N16" i="25"/>
  <c r="T16" i="25" s="1"/>
  <c r="AH8" i="25"/>
  <c r="N83" i="24"/>
  <c r="AP83" i="24" s="1"/>
  <c r="U83" i="24"/>
  <c r="BI160" i="25"/>
  <c r="N160" i="25"/>
  <c r="BK261" i="24"/>
  <c r="S261" i="24"/>
  <c r="T261" i="24" s="1"/>
  <c r="M261" i="24"/>
  <c r="N261" i="24" s="1"/>
  <c r="AP261" i="24" s="1"/>
  <c r="K261" i="24"/>
  <c r="Q129" i="24"/>
  <c r="P129" i="24"/>
  <c r="M224" i="24"/>
  <c r="N224" i="24" s="1"/>
  <c r="N116" i="24"/>
  <c r="AP116" i="24" s="1"/>
  <c r="U116" i="24"/>
  <c r="N130" i="24"/>
  <c r="AP130" i="24" s="1"/>
  <c r="U130" i="24"/>
  <c r="P92" i="25"/>
  <c r="O92" i="25"/>
  <c r="T92" i="25"/>
  <c r="Q238" i="24"/>
  <c r="P238" i="24"/>
  <c r="N10" i="24"/>
  <c r="AP10" i="24" s="1"/>
  <c r="U10" i="24"/>
  <c r="P259" i="25"/>
  <c r="O259" i="25"/>
  <c r="T259" i="25"/>
  <c r="P89" i="25"/>
  <c r="O89" i="25"/>
  <c r="T89" i="25"/>
  <c r="N32" i="24"/>
  <c r="AP32" i="24" s="1"/>
  <c r="U32" i="24"/>
  <c r="P243" i="25"/>
  <c r="O243" i="25"/>
  <c r="AO243" i="25" s="1"/>
  <c r="T243" i="25"/>
  <c r="BK243" i="24"/>
  <c r="S243" i="24"/>
  <c r="T243" i="24" s="1"/>
  <c r="BK67" i="24"/>
  <c r="S67" i="24"/>
  <c r="T67" i="24" s="1"/>
  <c r="M67" i="24"/>
  <c r="N67" i="24" s="1"/>
  <c r="AP67" i="24" s="1"/>
  <c r="AP268" i="24"/>
  <c r="P192" i="25"/>
  <c r="O192" i="25"/>
  <c r="P307" i="24"/>
  <c r="Q307" i="24"/>
  <c r="P206" i="25"/>
  <c r="O206" i="25"/>
  <c r="T206" i="25"/>
  <c r="P246" i="25"/>
  <c r="O246" i="25"/>
  <c r="AO246" i="25" s="1"/>
  <c r="Q205" i="24"/>
  <c r="P205" i="24"/>
  <c r="P238" i="25"/>
  <c r="O238" i="25"/>
  <c r="AO238" i="25" s="1"/>
  <c r="T238" i="25"/>
  <c r="P292" i="25"/>
  <c r="O292" i="25"/>
  <c r="AO292" i="25" s="1"/>
  <c r="T292" i="25"/>
  <c r="N193" i="24"/>
  <c r="U193" i="24"/>
  <c r="P32" i="25"/>
  <c r="O32" i="25"/>
  <c r="AO32" i="25" s="1"/>
  <c r="T32" i="25"/>
  <c r="Q199" i="24"/>
  <c r="P199" i="24"/>
  <c r="P201" i="25"/>
  <c r="O201" i="25"/>
  <c r="AO201" i="25" s="1"/>
  <c r="T201" i="25"/>
  <c r="N248" i="24"/>
  <c r="AP248" i="24" s="1"/>
  <c r="P95" i="25"/>
  <c r="O95" i="25"/>
  <c r="AO95" i="25" s="1"/>
  <c r="T95" i="25"/>
  <c r="BK56" i="24"/>
  <c r="S56" i="24"/>
  <c r="T56" i="24" s="1"/>
  <c r="M56" i="24"/>
  <c r="N56" i="24" s="1"/>
  <c r="BI42" i="25"/>
  <c r="N42" i="25"/>
  <c r="T42" i="25" s="1"/>
  <c r="L42" i="25"/>
  <c r="N142" i="24"/>
  <c r="AP142" i="24" s="1"/>
  <c r="U142" i="24"/>
  <c r="BK250" i="24"/>
  <c r="S250" i="24"/>
  <c r="T250" i="24" s="1"/>
  <c r="M250" i="24"/>
  <c r="N250" i="24" s="1"/>
  <c r="AP250" i="24" s="1"/>
  <c r="K165" i="24"/>
  <c r="AP132" i="24"/>
  <c r="AH189" i="25"/>
  <c r="BI70" i="25"/>
  <c r="L70" i="25"/>
  <c r="N70" i="25"/>
  <c r="BK170" i="24"/>
  <c r="S170" i="24"/>
  <c r="T170" i="24" s="1"/>
  <c r="M170" i="24"/>
  <c r="N170" i="24" s="1"/>
  <c r="BI8" i="25"/>
  <c r="N8" i="25"/>
  <c r="T8" i="25" s="1"/>
  <c r="BI164" i="25"/>
  <c r="N164" i="25"/>
  <c r="T164" i="25" s="1"/>
  <c r="BI202" i="25"/>
  <c r="N202" i="25"/>
  <c r="BI195" i="25"/>
  <c r="L195" i="25"/>
  <c r="N195" i="25"/>
  <c r="T195" i="25" s="1"/>
  <c r="AP7" i="24"/>
  <c r="K243" i="24"/>
  <c r="BK82" i="24"/>
  <c r="S82" i="24"/>
  <c r="T82" i="24" s="1"/>
  <c r="M82" i="24"/>
  <c r="N82" i="24" s="1"/>
  <c r="AP82" i="24" s="1"/>
  <c r="P163" i="24"/>
  <c r="Q163" i="24"/>
  <c r="BI81" i="25"/>
  <c r="N81" i="25"/>
  <c r="BI44" i="25"/>
  <c r="N44" i="25"/>
  <c r="AP191" i="24"/>
  <c r="P13" i="25"/>
  <c r="O13" i="25"/>
  <c r="AO13" i="25" s="1"/>
  <c r="O71" i="25"/>
  <c r="P71" i="25"/>
  <c r="T71" i="25"/>
  <c r="N200" i="24"/>
  <c r="U200" i="24"/>
  <c r="P306" i="25"/>
  <c r="O306" i="25"/>
  <c r="T306" i="25"/>
  <c r="N40" i="24"/>
  <c r="AP40" i="24" s="1"/>
  <c r="U40" i="24"/>
  <c r="P173" i="25"/>
  <c r="O173" i="25"/>
  <c r="AO173" i="25" s="1"/>
  <c r="T173" i="25"/>
  <c r="P31" i="25"/>
  <c r="O31" i="25"/>
  <c r="AO31" i="25" s="1"/>
  <c r="N227" i="24"/>
  <c r="AP227" i="24" s="1"/>
  <c r="N218" i="24"/>
  <c r="AP218" i="24" s="1"/>
  <c r="N310" i="24"/>
  <c r="P314" i="25"/>
  <c r="O314" i="25"/>
  <c r="AO314" i="25" s="1"/>
  <c r="P47" i="24"/>
  <c r="Q47" i="24"/>
  <c r="R47" i="24" s="1"/>
  <c r="N120" i="24"/>
  <c r="AP120" i="24" s="1"/>
  <c r="U120" i="24"/>
  <c r="P270" i="24"/>
  <c r="Q270" i="24"/>
  <c r="P273" i="25"/>
  <c r="O273" i="25"/>
  <c r="AO273" i="25" s="1"/>
  <c r="T273" i="25"/>
  <c r="BK152" i="24"/>
  <c r="S152" i="24"/>
  <c r="T152" i="24" s="1"/>
  <c r="M152" i="24"/>
  <c r="N152" i="24" s="1"/>
  <c r="AP152" i="24" s="1"/>
  <c r="P147" i="24"/>
  <c r="Q147" i="24"/>
  <c r="BK70" i="24"/>
  <c r="S70" i="24"/>
  <c r="T70" i="24" s="1"/>
  <c r="M70" i="24"/>
  <c r="N70" i="24" s="1"/>
  <c r="AP70" i="24" s="1"/>
  <c r="BK186" i="24"/>
  <c r="S186" i="24"/>
  <c r="T186" i="24" s="1"/>
  <c r="M186" i="24"/>
  <c r="N186" i="24" s="1"/>
  <c r="K186" i="24"/>
  <c r="Q24" i="24"/>
  <c r="R24" i="24" s="1"/>
  <c r="P24" i="24"/>
  <c r="BK168" i="24"/>
  <c r="S168" i="24"/>
  <c r="T168" i="24" s="1"/>
  <c r="M168" i="24"/>
  <c r="N168" i="24" s="1"/>
  <c r="AP168" i="24" s="1"/>
  <c r="AP292" i="24"/>
  <c r="BK298" i="24"/>
  <c r="S298" i="24"/>
  <c r="T298" i="24" s="1"/>
  <c r="M298" i="24"/>
  <c r="U298" i="24" s="1"/>
  <c r="AH94" i="25"/>
  <c r="BK274" i="24"/>
  <c r="S274" i="24"/>
  <c r="T274" i="24" s="1"/>
  <c r="M274" i="24"/>
  <c r="N274" i="24" s="1"/>
  <c r="K281" i="24"/>
  <c r="Q18" i="24"/>
  <c r="R18" i="24" s="1"/>
  <c r="P18" i="24"/>
  <c r="AP119" i="24"/>
  <c r="K168" i="24"/>
  <c r="BK143" i="24"/>
  <c r="S143" i="24"/>
  <c r="T143" i="24" s="1"/>
  <c r="M143" i="24"/>
  <c r="N143" i="24" s="1"/>
  <c r="AP143" i="24" s="1"/>
  <c r="K143" i="24"/>
  <c r="U6" i="25"/>
  <c r="BK202" i="24"/>
  <c r="S202" i="24"/>
  <c r="T202" i="24" s="1"/>
  <c r="M202" i="24"/>
  <c r="N202" i="24" s="1"/>
  <c r="K202" i="24"/>
  <c r="BK50" i="24"/>
  <c r="S50" i="24"/>
  <c r="T50" i="24" s="1"/>
  <c r="M50" i="24"/>
  <c r="N50" i="24" s="1"/>
  <c r="AP50" i="24" s="1"/>
  <c r="BQ132" i="25"/>
  <c r="U14" i="24"/>
  <c r="AH257" i="25"/>
  <c r="AH141" i="25"/>
  <c r="AH168" i="25"/>
  <c r="P283" i="25"/>
  <c r="O283" i="25"/>
  <c r="AO283" i="25" s="1"/>
  <c r="T283" i="25"/>
  <c r="P167" i="25"/>
  <c r="O167" i="25"/>
  <c r="AO167" i="25" s="1"/>
  <c r="T167" i="25"/>
  <c r="N313" i="24"/>
  <c r="AP313" i="24" s="1"/>
  <c r="P178" i="25"/>
  <c r="O178" i="25"/>
  <c r="AO178" i="25" s="1"/>
  <c r="T178" i="25"/>
  <c r="P248" i="25"/>
  <c r="O248" i="25"/>
  <c r="AO248" i="25" s="1"/>
  <c r="T248" i="25"/>
  <c r="P114" i="25"/>
  <c r="O114" i="25"/>
  <c r="AO114" i="25" s="1"/>
  <c r="T114" i="25"/>
  <c r="Q290" i="24"/>
  <c r="P290" i="24"/>
  <c r="P199" i="25"/>
  <c r="O199" i="25"/>
  <c r="AO199" i="25" s="1"/>
  <c r="AH186" i="25"/>
  <c r="BI226" i="25"/>
  <c r="L226" i="25"/>
  <c r="N226" i="25"/>
  <c r="Q14" i="24"/>
  <c r="R14" i="24" s="1"/>
  <c r="P14" i="24"/>
  <c r="AH29" i="25"/>
  <c r="BK185" i="24"/>
  <c r="S185" i="24"/>
  <c r="T185" i="24" s="1"/>
  <c r="M185" i="24"/>
  <c r="N185" i="24" s="1"/>
  <c r="N101" i="24"/>
  <c r="U101" i="24"/>
  <c r="BI38" i="25"/>
  <c r="N38" i="25"/>
  <c r="P257" i="25"/>
  <c r="O257" i="25"/>
  <c r="AO257" i="25" s="1"/>
  <c r="BK46" i="24"/>
  <c r="S46" i="24"/>
  <c r="T46" i="24" s="1"/>
  <c r="M46" i="24"/>
  <c r="AH152" i="25"/>
  <c r="BI239" i="25"/>
  <c r="N239" i="25"/>
  <c r="P186" i="25"/>
  <c r="O186" i="25"/>
  <c r="AO186" i="25" s="1"/>
  <c r="K250" i="24"/>
  <c r="L160" i="25"/>
  <c r="AH270" i="25"/>
  <c r="BK265" i="24"/>
  <c r="S265" i="24"/>
  <c r="T265" i="24" s="1"/>
  <c r="M265" i="24"/>
  <c r="N265" i="24" s="1"/>
  <c r="AP265" i="24" s="1"/>
  <c r="K265" i="24"/>
  <c r="BI132" i="25"/>
  <c r="N132" i="25"/>
  <c r="T132" i="25" s="1"/>
  <c r="L132" i="25"/>
  <c r="L162" i="25"/>
  <c r="N19" i="24"/>
  <c r="AP19" i="24" s="1"/>
  <c r="U19" i="24"/>
  <c r="P174" i="25"/>
  <c r="O174" i="25"/>
  <c r="AO174" i="25" s="1"/>
  <c r="P87" i="25"/>
  <c r="O87" i="25"/>
  <c r="T87" i="25"/>
  <c r="AH280" i="25"/>
  <c r="N185" i="25"/>
  <c r="T185" i="25" s="1"/>
  <c r="BI185" i="25"/>
  <c r="AH23" i="25"/>
  <c r="BK296" i="24"/>
  <c r="M296" i="24"/>
  <c r="N296" i="24" s="1"/>
  <c r="AP296" i="24" s="1"/>
  <c r="S296" i="24"/>
  <c r="T296" i="24" s="1"/>
  <c r="K296" i="24"/>
  <c r="U62" i="24"/>
  <c r="M243" i="24"/>
  <c r="N243" i="24" s="1"/>
  <c r="L185" i="25"/>
  <c r="AP163" i="24"/>
  <c r="BQ9" i="25"/>
  <c r="N241" i="25"/>
  <c r="T241" i="25" s="1"/>
  <c r="BI241" i="25"/>
  <c r="L241" i="25"/>
  <c r="BI58" i="25"/>
  <c r="N58" i="25"/>
  <c r="T58" i="25" s="1"/>
  <c r="L58" i="25"/>
  <c r="AH182" i="25"/>
  <c r="Q76" i="24"/>
  <c r="R76" i="24" s="1"/>
  <c r="P76" i="24"/>
  <c r="P25" i="24"/>
  <c r="Q25" i="24"/>
  <c r="R25" i="24" s="1"/>
  <c r="P276" i="25"/>
  <c r="O276" i="25"/>
  <c r="AO276" i="25" s="1"/>
  <c r="N226" i="24"/>
  <c r="AP226" i="24" s="1"/>
  <c r="N287" i="24"/>
  <c r="AP287" i="24" s="1"/>
  <c r="P247" i="25"/>
  <c r="O247" i="25"/>
  <c r="AO247" i="25" s="1"/>
  <c r="P161" i="25"/>
  <c r="O161" i="25"/>
  <c r="AO161" i="25" s="1"/>
  <c r="N306" i="24"/>
  <c r="P158" i="25"/>
  <c r="O158" i="25"/>
  <c r="AO158" i="25" s="1"/>
  <c r="T158" i="25"/>
  <c r="P21" i="25"/>
  <c r="O21" i="25"/>
  <c r="T21" i="25"/>
  <c r="N180" i="24"/>
  <c r="U180" i="24"/>
  <c r="P282" i="25"/>
  <c r="O282" i="25"/>
  <c r="AO282" i="25" s="1"/>
  <c r="T282" i="25"/>
  <c r="Q312" i="24"/>
  <c r="P312" i="24"/>
  <c r="Q272" i="24"/>
  <c r="P272" i="24"/>
  <c r="BI152" i="25"/>
  <c r="N152" i="25"/>
  <c r="T152" i="25" s="1"/>
  <c r="Q62" i="24"/>
  <c r="R62" i="24" s="1"/>
  <c r="P62" i="24"/>
  <c r="BK36" i="24"/>
  <c r="S36" i="24"/>
  <c r="T36" i="24" s="1"/>
  <c r="M36" i="24"/>
  <c r="N36" i="24" s="1"/>
  <c r="AP36" i="24" s="1"/>
  <c r="Q268" i="24"/>
  <c r="P268" i="24"/>
  <c r="BK138" i="24"/>
  <c r="S138" i="24"/>
  <c r="T138" i="24" s="1"/>
  <c r="M138" i="24"/>
  <c r="N138" i="24" s="1"/>
  <c r="AP138" i="24" s="1"/>
  <c r="BI193" i="25"/>
  <c r="N193" i="25"/>
  <c r="T193" i="25" s="1"/>
  <c r="BK273" i="24"/>
  <c r="S273" i="24"/>
  <c r="T273" i="24" s="1"/>
  <c r="M273" i="24"/>
  <c r="N273" i="24" s="1"/>
  <c r="AP273" i="24" s="1"/>
  <c r="K273" i="24"/>
  <c r="P232" i="25"/>
  <c r="O232" i="25"/>
  <c r="BK6" i="24"/>
  <c r="S6" i="24"/>
  <c r="T6" i="24" s="1"/>
  <c r="U6" i="24"/>
  <c r="N16" i="24"/>
  <c r="AP16" i="24" s="1"/>
  <c r="U16" i="24"/>
  <c r="N231" i="24"/>
  <c r="AP231" i="24" s="1"/>
  <c r="P150" i="24"/>
  <c r="Q150" i="24"/>
  <c r="N279" i="24"/>
  <c r="AP279" i="24" s="1"/>
  <c r="N234" i="24"/>
  <c r="AP234" i="24" s="1"/>
  <c r="P271" i="24"/>
  <c r="Q271" i="24"/>
  <c r="P229" i="25"/>
  <c r="O229" i="25"/>
  <c r="AO229" i="25" s="1"/>
  <c r="T229" i="25"/>
  <c r="P14" i="25"/>
  <c r="O14" i="25"/>
  <c r="T14" i="25"/>
  <c r="P261" i="25"/>
  <c r="O261" i="25"/>
  <c r="T261" i="25"/>
  <c r="P30" i="25"/>
  <c r="O30" i="25"/>
  <c r="BK12" i="24"/>
  <c r="S12" i="24"/>
  <c r="T12" i="24" s="1"/>
  <c r="M12" i="24"/>
  <c r="N12" i="24" s="1"/>
  <c r="AP12" i="24" s="1"/>
  <c r="BK74" i="24"/>
  <c r="S74" i="24"/>
  <c r="T74" i="24" s="1"/>
  <c r="M74" i="24"/>
  <c r="N74" i="24" s="1"/>
  <c r="AP74" i="24" s="1"/>
  <c r="AH208" i="25"/>
  <c r="AH74" i="25"/>
  <c r="BI203" i="25"/>
  <c r="BI30" i="25"/>
  <c r="L30" i="25"/>
  <c r="BI73" i="25"/>
  <c r="AH130" i="25"/>
  <c r="P182" i="24"/>
  <c r="Q182" i="24"/>
  <c r="AP182" i="24"/>
  <c r="BK269" i="24"/>
  <c r="S269" i="24"/>
  <c r="T269" i="24" s="1"/>
  <c r="M269" i="24"/>
  <c r="N269" i="24" s="1"/>
  <c r="BK245" i="24"/>
  <c r="S245" i="24"/>
  <c r="T245" i="24" s="1"/>
  <c r="BI175" i="25"/>
  <c r="AH238" i="25"/>
  <c r="BK222" i="24"/>
  <c r="S222" i="24"/>
  <c r="T222" i="24" s="1"/>
  <c r="Q119" i="24"/>
  <c r="P119" i="24"/>
  <c r="Q43" i="24"/>
  <c r="R43" i="24" s="1"/>
  <c r="P43" i="24"/>
  <c r="BK87" i="24"/>
  <c r="S87" i="24"/>
  <c r="T87" i="24" s="1"/>
  <c r="M87" i="24"/>
  <c r="N87" i="24" s="1"/>
  <c r="BI290" i="25"/>
  <c r="N290" i="25"/>
  <c r="T290" i="25" s="1"/>
  <c r="L290" i="25"/>
  <c r="BK284" i="24"/>
  <c r="S284" i="24"/>
  <c r="T284" i="24" s="1"/>
  <c r="BK81" i="24"/>
  <c r="S81" i="24"/>
  <c r="T81" i="24" s="1"/>
  <c r="BK208" i="24"/>
  <c r="S208" i="24"/>
  <c r="T208" i="24" s="1"/>
  <c r="BI263" i="25"/>
  <c r="BK297" i="24"/>
  <c r="S297" i="24"/>
  <c r="T297" i="24" s="1"/>
  <c r="K297" i="24"/>
  <c r="AH65" i="25"/>
  <c r="BK98" i="24"/>
  <c r="S98" i="24"/>
  <c r="T98" i="24" s="1"/>
  <c r="BI144" i="25"/>
  <c r="L144" i="25"/>
  <c r="P275" i="25"/>
  <c r="O275" i="25"/>
  <c r="AO275" i="25" s="1"/>
  <c r="BK35" i="24"/>
  <c r="S35" i="24"/>
  <c r="T35" i="24" s="1"/>
  <c r="BI102" i="25"/>
  <c r="BQ174" i="25"/>
  <c r="AH115" i="25"/>
  <c r="BK43" i="24"/>
  <c r="S43" i="24"/>
  <c r="T43" i="24" s="1"/>
  <c r="Q181" i="24"/>
  <c r="P181" i="24"/>
  <c r="AP271" i="24"/>
  <c r="BI101" i="25"/>
  <c r="BI289" i="25"/>
  <c r="BI50" i="25"/>
  <c r="N50" i="25"/>
  <c r="T50" i="25" s="1"/>
  <c r="BK136" i="24"/>
  <c r="S136" i="24"/>
  <c r="T136" i="24" s="1"/>
  <c r="BI47" i="25"/>
  <c r="AH258" i="25"/>
  <c r="AH134" i="25"/>
  <c r="AH207" i="25"/>
  <c r="BK258" i="24"/>
  <c r="S258" i="24"/>
  <c r="T258" i="24" s="1"/>
  <c r="M258" i="24"/>
  <c r="N258" i="24" s="1"/>
  <c r="AP258" i="24" s="1"/>
  <c r="BI35" i="25"/>
  <c r="N35" i="25"/>
  <c r="T35" i="25" s="1"/>
  <c r="BI91" i="25"/>
  <c r="N91" i="25"/>
  <c r="T91" i="25" s="1"/>
  <c r="AH57" i="25"/>
  <c r="BI24" i="25"/>
  <c r="N24" i="25"/>
  <c r="T24" i="25" s="1"/>
  <c r="L24" i="25"/>
  <c r="BI149" i="25"/>
  <c r="N149" i="25"/>
  <c r="T149" i="25" s="1"/>
  <c r="BK178" i="24"/>
  <c r="S178" i="24"/>
  <c r="T178" i="24" s="1"/>
  <c r="M178" i="24"/>
  <c r="N178" i="24" s="1"/>
  <c r="BI36" i="25"/>
  <c r="N36" i="25"/>
  <c r="T36" i="25" s="1"/>
  <c r="BI256" i="25"/>
  <c r="N256" i="25"/>
  <c r="T256" i="25" s="1"/>
  <c r="BI119" i="25"/>
  <c r="N119" i="25"/>
  <c r="T119" i="25" s="1"/>
  <c r="AH131" i="25"/>
  <c r="N61" i="25"/>
  <c r="T61" i="25" s="1"/>
  <c r="BI61" i="25"/>
  <c r="AH61" i="25"/>
  <c r="U293" i="25"/>
  <c r="AH146" i="25"/>
  <c r="AH294" i="25"/>
  <c r="AH264" i="25"/>
  <c r="BI88" i="25"/>
  <c r="BQ59" i="25"/>
  <c r="AH179" i="25"/>
  <c r="Q86" i="24"/>
  <c r="R86" i="24" s="1"/>
  <c r="P86" i="24"/>
  <c r="BK23" i="24"/>
  <c r="S23" i="24"/>
  <c r="T23" i="24" s="1"/>
  <c r="BK15" i="24"/>
  <c r="S15" i="24"/>
  <c r="T15" i="24" s="1"/>
  <c r="BK244" i="24"/>
  <c r="S244" i="24"/>
  <c r="T244" i="24" s="1"/>
  <c r="O22" i="24"/>
  <c r="BZ22" i="24" s="1"/>
  <c r="J22" i="24"/>
  <c r="BK201" i="24"/>
  <c r="S201" i="24"/>
  <c r="T201" i="24" s="1"/>
  <c r="T174" i="25"/>
  <c r="AH21" i="25"/>
  <c r="AH96" i="25"/>
  <c r="AH116" i="25"/>
  <c r="AH314" i="25"/>
  <c r="AH166" i="25"/>
  <c r="AH201" i="25"/>
  <c r="BK28" i="24"/>
  <c r="S28" i="24"/>
  <c r="T28" i="24" s="1"/>
  <c r="BQ261" i="25"/>
  <c r="BI172" i="25"/>
  <c r="BK172" i="24"/>
  <c r="S172" i="24"/>
  <c r="T172" i="24" s="1"/>
  <c r="AH272" i="25"/>
  <c r="AH89" i="25"/>
  <c r="AH110" i="25"/>
  <c r="BI305" i="25"/>
  <c r="BI275" i="25"/>
  <c r="AH275" i="25"/>
  <c r="AH262" i="25"/>
  <c r="BK254" i="24"/>
  <c r="S254" i="24"/>
  <c r="T254" i="24" s="1"/>
  <c r="BK230" i="24"/>
  <c r="S230" i="24"/>
  <c r="T230" i="24" s="1"/>
  <c r="BK171" i="24"/>
  <c r="S171" i="24"/>
  <c r="T171" i="24" s="1"/>
  <c r="K171" i="24"/>
  <c r="P204" i="25"/>
  <c r="O204" i="25"/>
  <c r="AO204" i="25" s="1"/>
  <c r="AH295" i="25"/>
  <c r="BK275" i="24"/>
  <c r="S275" i="24"/>
  <c r="T275" i="24" s="1"/>
  <c r="BI234" i="25"/>
  <c r="BK135" i="24"/>
  <c r="S135" i="24"/>
  <c r="T135" i="24" s="1"/>
  <c r="BI316" i="25"/>
  <c r="BI298" i="25"/>
  <c r="BI244" i="25"/>
  <c r="AH244" i="25"/>
  <c r="BK85" i="24"/>
  <c r="S85" i="24"/>
  <c r="T85" i="24" s="1"/>
  <c r="AH43" i="25"/>
  <c r="AH54" i="25"/>
  <c r="AH46" i="25"/>
  <c r="BI51" i="25"/>
  <c r="N51" i="25"/>
  <c r="T51" i="25" s="1"/>
  <c r="AH72" i="25"/>
  <c r="AH171" i="25"/>
  <c r="M81" i="24"/>
  <c r="N81" i="24" s="1"/>
  <c r="BQ301" i="25"/>
  <c r="BQ60" i="25"/>
  <c r="AH217" i="25"/>
  <c r="BI17" i="25"/>
  <c r="N17" i="25"/>
  <c r="T17" i="25" s="1"/>
  <c r="BK91" i="24"/>
  <c r="S91" i="24"/>
  <c r="T91" i="24" s="1"/>
  <c r="M91" i="24"/>
  <c r="N91" i="24" s="1"/>
  <c r="AP91" i="24" s="1"/>
  <c r="BI136" i="25"/>
  <c r="N136" i="25"/>
  <c r="T136" i="25" s="1"/>
  <c r="L136" i="25"/>
  <c r="BI128" i="25"/>
  <c r="N128" i="25"/>
  <c r="T128" i="25" s="1"/>
  <c r="L128" i="25"/>
  <c r="AH222" i="25"/>
  <c r="BK9" i="24"/>
  <c r="S9" i="24"/>
  <c r="T9" i="24" s="1"/>
  <c r="AH154" i="25"/>
  <c r="M15" i="24"/>
  <c r="N15" i="24" s="1"/>
  <c r="AP15" i="24" s="1"/>
  <c r="N75" i="25"/>
  <c r="M208" i="24"/>
  <c r="N208" i="24" s="1"/>
  <c r="M305" i="24"/>
  <c r="N305" i="24" s="1"/>
  <c r="M85" i="24"/>
  <c r="M34" i="24"/>
  <c r="N34" i="24" s="1"/>
  <c r="AP34" i="24" s="1"/>
  <c r="P131" i="25"/>
  <c r="O131" i="25"/>
  <c r="N144" i="25"/>
  <c r="T144" i="25" s="1"/>
  <c r="BI159" i="25"/>
  <c r="N159" i="25"/>
  <c r="BI52" i="25"/>
  <c r="BI270" i="25"/>
  <c r="N270" i="25"/>
  <c r="T270" i="25" s="1"/>
  <c r="BK114" i="24"/>
  <c r="S114" i="24"/>
  <c r="T114" i="24" s="1"/>
  <c r="M114" i="24"/>
  <c r="K114" i="24"/>
  <c r="BK68" i="24"/>
  <c r="S68" i="24"/>
  <c r="T68" i="24" s="1"/>
  <c r="AH13" i="25"/>
  <c r="AH160" i="25"/>
  <c r="BK122" i="24"/>
  <c r="S122" i="24"/>
  <c r="T122" i="24" s="1"/>
  <c r="AP18" i="24"/>
  <c r="P6" i="25"/>
  <c r="O6" i="25"/>
  <c r="AH193" i="25"/>
  <c r="BI180" i="25"/>
  <c r="BI6" i="25"/>
  <c r="AH122" i="25"/>
  <c r="AH16" i="25"/>
  <c r="AH162" i="25"/>
  <c r="AH226" i="25"/>
  <c r="BK302" i="24"/>
  <c r="S302" i="24"/>
  <c r="T302" i="24" s="1"/>
  <c r="M302" i="24"/>
  <c r="N302" i="24" s="1"/>
  <c r="BK256" i="24"/>
  <c r="S256" i="24"/>
  <c r="T256" i="24" s="1"/>
  <c r="AH246" i="25"/>
  <c r="AH73" i="25"/>
  <c r="BI157" i="25"/>
  <c r="N157" i="25"/>
  <c r="BI315" i="25"/>
  <c r="N315" i="25"/>
  <c r="AH125" i="25"/>
  <c r="AH241" i="25"/>
  <c r="AP6" i="24"/>
  <c r="K129" i="24"/>
  <c r="AP129" i="24"/>
  <c r="M118" i="24"/>
  <c r="N118" i="24" s="1"/>
  <c r="L182" i="25"/>
  <c r="BI37" i="25"/>
  <c r="AH70" i="25"/>
  <c r="BK307" i="24"/>
  <c r="S307" i="24"/>
  <c r="T307" i="24" s="1"/>
  <c r="BI210" i="25"/>
  <c r="K241" i="24"/>
  <c r="L157" i="25"/>
  <c r="AH53" i="25"/>
  <c r="BK99" i="24"/>
  <c r="S99" i="24"/>
  <c r="T99" i="24" s="1"/>
  <c r="M99" i="24"/>
  <c r="N99" i="24" s="1"/>
  <c r="AP99" i="24" s="1"/>
  <c r="BK314" i="24"/>
  <c r="M314" i="24"/>
  <c r="N314" i="24" s="1"/>
  <c r="AP314" i="24" s="1"/>
  <c r="S314" i="24"/>
  <c r="T314" i="24" s="1"/>
  <c r="K314" i="24"/>
  <c r="BK103" i="24"/>
  <c r="S103" i="24"/>
  <c r="T103" i="24" s="1"/>
  <c r="M103" i="24"/>
  <c r="AH194" i="25"/>
  <c r="BI120" i="25"/>
  <c r="N120" i="25"/>
  <c r="T120" i="25" s="1"/>
  <c r="BI125" i="25"/>
  <c r="U22" i="24"/>
  <c r="BK117" i="24"/>
  <c r="S117" i="24"/>
  <c r="T117" i="24" s="1"/>
  <c r="M117" i="24"/>
  <c r="T30" i="25"/>
  <c r="BI271" i="25"/>
  <c r="K269" i="24"/>
  <c r="L82" i="25"/>
  <c r="K222" i="24"/>
  <c r="L92" i="25"/>
  <c r="AH92" i="25"/>
  <c r="AH281" i="25"/>
  <c r="K159" i="24"/>
  <c r="O119" i="24"/>
  <c r="BZ119" i="24" s="1"/>
  <c r="J119" i="24"/>
  <c r="K150" i="24"/>
  <c r="AH263" i="25"/>
  <c r="BK40" i="24"/>
  <c r="S40" i="24"/>
  <c r="T40" i="24" s="1"/>
  <c r="BI66" i="25"/>
  <c r="BI247" i="25"/>
  <c r="AH148" i="25"/>
  <c r="BQ144" i="25"/>
  <c r="P296" i="25"/>
  <c r="O296" i="25"/>
  <c r="AO296" i="25" s="1"/>
  <c r="AH254" i="25"/>
  <c r="BK246" i="24"/>
  <c r="S246" i="24"/>
  <c r="T246" i="24" s="1"/>
  <c r="M115" i="24"/>
  <c r="N115" i="24" s="1"/>
  <c r="AP115" i="24" s="1"/>
  <c r="BQ31" i="25"/>
  <c r="L31" i="25"/>
  <c r="U44" i="24"/>
  <c r="AP44" i="24"/>
  <c r="BI115" i="25"/>
  <c r="U43" i="24"/>
  <c r="BI80" i="25"/>
  <c r="N80" i="25"/>
  <c r="T80" i="25" s="1"/>
  <c r="Q53" i="24"/>
  <c r="R53" i="24" s="1"/>
  <c r="P53" i="24"/>
  <c r="BK156" i="24"/>
  <c r="S156" i="24"/>
  <c r="T156" i="24" s="1"/>
  <c r="K156" i="24"/>
  <c r="BI45" i="25"/>
  <c r="BQ289" i="25"/>
  <c r="AH304" i="25"/>
  <c r="BI235" i="25"/>
  <c r="BK11" i="24"/>
  <c r="S11" i="24"/>
  <c r="T11" i="24" s="1"/>
  <c r="M11" i="24"/>
  <c r="N11" i="24" s="1"/>
  <c r="AP11" i="24" s="1"/>
  <c r="AH181" i="25"/>
  <c r="BK301" i="24"/>
  <c r="S301" i="24"/>
  <c r="T301" i="24" s="1"/>
  <c r="BI242" i="25"/>
  <c r="L242" i="25"/>
  <c r="AH121" i="25"/>
  <c r="BI112" i="25"/>
  <c r="BI97" i="25"/>
  <c r="AH25" i="25"/>
  <c r="L91" i="25"/>
  <c r="BI98" i="25"/>
  <c r="N98" i="25"/>
  <c r="AH98" i="25"/>
  <c r="BI140" i="25"/>
  <c r="N140" i="25"/>
  <c r="AH140" i="25"/>
  <c r="BI196" i="25"/>
  <c r="N196" i="25"/>
  <c r="L196" i="25"/>
  <c r="K178" i="24"/>
  <c r="BI308" i="25"/>
  <c r="N308" i="25"/>
  <c r="T308" i="25" s="1"/>
  <c r="AH308" i="25"/>
  <c r="AH268" i="25"/>
  <c r="BI133" i="25"/>
  <c r="N133" i="25"/>
  <c r="T133" i="25" s="1"/>
  <c r="AH133" i="25"/>
  <c r="P48" i="24"/>
  <c r="Q48" i="24"/>
  <c r="R48" i="24" s="1"/>
  <c r="BK278" i="24"/>
  <c r="S278" i="24"/>
  <c r="T278" i="24" s="1"/>
  <c r="M278" i="24"/>
  <c r="N278" i="24" s="1"/>
  <c r="AP278" i="24" s="1"/>
  <c r="K235" i="24"/>
  <c r="BI27" i="25"/>
  <c r="N27" i="25"/>
  <c r="AP236" i="24"/>
  <c r="BI294" i="25"/>
  <c r="N294" i="25"/>
  <c r="T294" i="25" s="1"/>
  <c r="BI183" i="25"/>
  <c r="N183" i="25"/>
  <c r="U86" i="24"/>
  <c r="BK53" i="24"/>
  <c r="S53" i="24"/>
  <c r="T53" i="24" s="1"/>
  <c r="AH187" i="25"/>
  <c r="BI178" i="25"/>
  <c r="AH126" i="25"/>
  <c r="AH118" i="25"/>
  <c r="BI116" i="25"/>
  <c r="BI227" i="25"/>
  <c r="N227" i="25"/>
  <c r="T227" i="25" s="1"/>
  <c r="BK17" i="24"/>
  <c r="S17" i="24"/>
  <c r="T17" i="24" s="1"/>
  <c r="BK90" i="24"/>
  <c r="S90" i="24"/>
  <c r="T90" i="24" s="1"/>
  <c r="K180" i="24"/>
  <c r="BK128" i="24"/>
  <c r="S128" i="24"/>
  <c r="T128" i="24" s="1"/>
  <c r="AP47" i="24"/>
  <c r="BK93" i="24"/>
  <c r="S93" i="24"/>
  <c r="T93" i="24" s="1"/>
  <c r="BK139" i="24"/>
  <c r="S139" i="24"/>
  <c r="T139" i="24" s="1"/>
  <c r="AH261" i="25"/>
  <c r="L172" i="25"/>
  <c r="L282" i="25"/>
  <c r="U172" i="24"/>
  <c r="BQ89" i="25"/>
  <c r="L305" i="25"/>
  <c r="T275" i="25"/>
  <c r="M254" i="24"/>
  <c r="N254" i="24" s="1"/>
  <c r="AP254" i="24" s="1"/>
  <c r="BQ204" i="25"/>
  <c r="K120" i="24"/>
  <c r="BI221" i="25"/>
  <c r="BQ260" i="25"/>
  <c r="K312" i="24"/>
  <c r="BQ234" i="25"/>
  <c r="L234" i="25"/>
  <c r="BI111" i="25"/>
  <c r="N111" i="25"/>
  <c r="T111" i="25" s="1"/>
  <c r="AP25" i="24"/>
  <c r="BK184" i="24"/>
  <c r="S184" i="24"/>
  <c r="T184" i="24" s="1"/>
  <c r="AH33" i="25"/>
  <c r="AH15" i="25"/>
  <c r="BQ39" i="25"/>
  <c r="BI243" i="25"/>
  <c r="AH243" i="25"/>
  <c r="BI199" i="25"/>
  <c r="BQ138" i="25"/>
  <c r="L244" i="25"/>
  <c r="BI191" i="25"/>
  <c r="N191" i="25"/>
  <c r="T191" i="25" s="1"/>
  <c r="M169" i="24"/>
  <c r="N169" i="24" s="1"/>
  <c r="AP169" i="24" s="1"/>
  <c r="AH312" i="25"/>
  <c r="AH40" i="25"/>
  <c r="BI68" i="25"/>
  <c r="N68" i="25"/>
  <c r="BI18" i="25"/>
  <c r="N18" i="25"/>
  <c r="AH51" i="25"/>
  <c r="BK166" i="24"/>
  <c r="S166" i="24"/>
  <c r="T166" i="24" s="1"/>
  <c r="M166" i="24"/>
  <c r="N166" i="24" s="1"/>
  <c r="AH301" i="25"/>
  <c r="BI100" i="25"/>
  <c r="N100" i="25"/>
  <c r="AH84" i="25"/>
  <c r="BI231" i="25"/>
  <c r="N231" i="25"/>
  <c r="L231" i="25"/>
  <c r="N60" i="25"/>
  <c r="T60" i="25" s="1"/>
  <c r="BI60" i="25"/>
  <c r="BI310" i="25"/>
  <c r="N310" i="25"/>
  <c r="T310" i="25" s="1"/>
  <c r="BK189" i="24"/>
  <c r="S189" i="24"/>
  <c r="T189" i="24" s="1"/>
  <c r="M189" i="24"/>
  <c r="N189" i="24" s="1"/>
  <c r="AP189" i="24" s="1"/>
  <c r="BQ284" i="25"/>
  <c r="N217" i="25"/>
  <c r="BI217" i="25"/>
  <c r="BI56" i="25"/>
  <c r="N56" i="25"/>
  <c r="BI222" i="25"/>
  <c r="N222" i="25"/>
  <c r="L222" i="25"/>
  <c r="BK72" i="24"/>
  <c r="S72" i="24"/>
  <c r="T72" i="24" s="1"/>
  <c r="M210" i="24"/>
  <c r="N244" i="25"/>
  <c r="T244" i="25" s="1"/>
  <c r="N235" i="25"/>
  <c r="T235" i="25" s="1"/>
  <c r="M297" i="24"/>
  <c r="M244" i="24"/>
  <c r="N244" i="24" s="1"/>
  <c r="AP244" i="24" s="1"/>
  <c r="N124" i="25"/>
  <c r="T124" i="25" s="1"/>
  <c r="M245" i="24"/>
  <c r="N245" i="24" s="1"/>
  <c r="P293" i="25"/>
  <c r="O293" i="25"/>
  <c r="N220" i="25"/>
  <c r="M275" i="24"/>
  <c r="N254" i="25"/>
  <c r="T254" i="25" s="1"/>
  <c r="BI186" i="25"/>
  <c r="L52" i="25"/>
  <c r="AH52" i="25"/>
  <c r="BK177" i="24"/>
  <c r="S177" i="24"/>
  <c r="T177" i="24" s="1"/>
  <c r="AH6" i="25"/>
  <c r="AH77" i="25"/>
  <c r="AH206" i="25"/>
  <c r="BK252" i="24"/>
  <c r="S252" i="24"/>
  <c r="T252" i="24" s="1"/>
  <c r="BK75" i="24"/>
  <c r="S75" i="24"/>
  <c r="T75" i="24" s="1"/>
  <c r="M75" i="24"/>
  <c r="N75" i="24" s="1"/>
  <c r="BQ163" i="25"/>
  <c r="BI192" i="25"/>
  <c r="AH93" i="25"/>
  <c r="BK272" i="24"/>
  <c r="S272" i="24"/>
  <c r="T272" i="24" s="1"/>
  <c r="BK14" i="24"/>
  <c r="S14" i="24"/>
  <c r="T14" i="24" s="1"/>
  <c r="AP24" i="24"/>
  <c r="Q133" i="24"/>
  <c r="P133" i="24"/>
  <c r="AH143" i="25"/>
  <c r="BI163" i="25"/>
  <c r="N163" i="25"/>
  <c r="T163" i="25" s="1"/>
  <c r="BI137" i="25"/>
  <c r="N137" i="25"/>
  <c r="T137" i="25" s="1"/>
  <c r="AH42" i="25"/>
  <c r="U21" i="24"/>
  <c r="AH232" i="25"/>
  <c r="AP205" i="24"/>
  <c r="BQ105" i="25"/>
  <c r="AH177" i="25"/>
  <c r="BK247" i="24"/>
  <c r="S247" i="24"/>
  <c r="T247" i="24" s="1"/>
  <c r="BK176" i="24"/>
  <c r="S176" i="24"/>
  <c r="T176" i="24" s="1"/>
  <c r="M176" i="24"/>
  <c r="N176" i="24" s="1"/>
  <c r="AP176" i="24" s="1"/>
  <c r="BK71" i="24"/>
  <c r="S71" i="24"/>
  <c r="T71" i="24" s="1"/>
  <c r="BI165" i="25"/>
  <c r="AH190" i="25"/>
  <c r="L163" i="25"/>
  <c r="AH279" i="25"/>
  <c r="BK277" i="24"/>
  <c r="S277" i="24"/>
  <c r="T277" i="24" s="1"/>
  <c r="M277" i="24"/>
  <c r="U277" i="24" s="1"/>
  <c r="K277" i="24"/>
  <c r="M195" i="24"/>
  <c r="AH145" i="25"/>
  <c r="BK225" i="24"/>
  <c r="S225" i="24"/>
  <c r="T225" i="24" s="1"/>
  <c r="K117" i="24"/>
  <c r="BK232" i="24"/>
  <c r="S232" i="24"/>
  <c r="T232" i="24" s="1"/>
  <c r="M232" i="24"/>
  <c r="U232" i="24" s="1"/>
  <c r="BI174" i="25"/>
  <c r="M253" i="24"/>
  <c r="BK137" i="24"/>
  <c r="S137" i="24"/>
  <c r="T137" i="24" s="1"/>
  <c r="N219" i="25"/>
  <c r="BK182" i="24"/>
  <c r="S182" i="24"/>
  <c r="T182" i="24" s="1"/>
  <c r="AH150" i="25"/>
  <c r="K231" i="24"/>
  <c r="BI12" i="25"/>
  <c r="BI142" i="25"/>
  <c r="AH142" i="25"/>
  <c r="AH175" i="25"/>
  <c r="BK263" i="24"/>
  <c r="S263" i="24"/>
  <c r="T263" i="24" s="1"/>
  <c r="M263" i="24"/>
  <c r="U263" i="24" s="1"/>
  <c r="M159" i="24"/>
  <c r="N159" i="24" s="1"/>
  <c r="AP159" i="24" s="1"/>
  <c r="AH198" i="25"/>
  <c r="BI200" i="25"/>
  <c r="N200" i="25"/>
  <c r="BK187" i="24"/>
  <c r="S187" i="24"/>
  <c r="T187" i="24" s="1"/>
  <c r="M187" i="24"/>
  <c r="BK8" i="24"/>
  <c r="S8" i="24"/>
  <c r="T8" i="24" s="1"/>
  <c r="AH276" i="25"/>
  <c r="BI283" i="25"/>
  <c r="AH283" i="25"/>
  <c r="AH167" i="25"/>
  <c r="K287" i="24"/>
  <c r="AH66" i="25"/>
  <c r="T247" i="25"/>
  <c r="BI10" i="25"/>
  <c r="AH161" i="25"/>
  <c r="P292" i="24"/>
  <c r="Q292" i="24"/>
  <c r="L115" i="25"/>
  <c r="U181" i="24"/>
  <c r="BI307" i="25"/>
  <c r="AH311" i="25"/>
  <c r="AH80" i="25"/>
  <c r="AH235" i="25"/>
  <c r="N277" i="25"/>
  <c r="BI277" i="25"/>
  <c r="BK203" i="24"/>
  <c r="S203" i="24"/>
  <c r="T203" i="24" s="1"/>
  <c r="AH229" i="25"/>
  <c r="L50" i="25"/>
  <c r="AH97" i="25"/>
  <c r="BI225" i="25"/>
  <c r="AH225" i="25"/>
  <c r="P162" i="24"/>
  <c r="Q162" i="24"/>
  <c r="AP237" i="24"/>
  <c r="AH62" i="25"/>
  <c r="BI230" i="25"/>
  <c r="N230" i="25"/>
  <c r="AH20" i="25"/>
  <c r="AH22" i="25"/>
  <c r="AH123" i="25"/>
  <c r="AH135" i="25"/>
  <c r="BK217" i="24"/>
  <c r="S217" i="24"/>
  <c r="T217" i="24" s="1"/>
  <c r="M217" i="24"/>
  <c r="N217" i="24" s="1"/>
  <c r="BI274" i="25"/>
  <c r="N274" i="25"/>
  <c r="AH41" i="25"/>
  <c r="AH119" i="25"/>
  <c r="BI209" i="25"/>
  <c r="N209" i="25"/>
  <c r="M28" i="24"/>
  <c r="N28" i="24" s="1"/>
  <c r="AP28" i="24" s="1"/>
  <c r="AH27" i="25"/>
  <c r="BK262" i="24"/>
  <c r="S262" i="24"/>
  <c r="T262" i="24" s="1"/>
  <c r="M262" i="24"/>
  <c r="U262" i="24" s="1"/>
  <c r="L61" i="25"/>
  <c r="L294" i="25"/>
  <c r="BI264" i="25"/>
  <c r="BK161" i="24"/>
  <c r="S161" i="24"/>
  <c r="T161" i="24" s="1"/>
  <c r="J160" i="24"/>
  <c r="O160" i="24"/>
  <c r="BZ160" i="24" s="1"/>
  <c r="N52" i="25"/>
  <c r="T52" i="25" s="1"/>
  <c r="BK86" i="24"/>
  <c r="S86" i="24"/>
  <c r="T86" i="24" s="1"/>
  <c r="AP86" i="24"/>
  <c r="AH49" i="25"/>
  <c r="U53" i="24"/>
  <c r="BK89" i="24"/>
  <c r="S89" i="24"/>
  <c r="T89" i="24" s="1"/>
  <c r="M201" i="24"/>
  <c r="N201" i="24" s="1"/>
  <c r="L174" i="25"/>
  <c r="L21" i="25"/>
  <c r="L116" i="25"/>
  <c r="AH34" i="25"/>
  <c r="BI287" i="25"/>
  <c r="BQ166" i="25"/>
  <c r="L201" i="25"/>
  <c r="BK315" i="24"/>
  <c r="S315" i="24"/>
  <c r="T315" i="24" s="1"/>
  <c r="BI89" i="25"/>
  <c r="L89" i="25"/>
  <c r="BQ124" i="25"/>
  <c r="AH302" i="25"/>
  <c r="BI223" i="25"/>
  <c r="T305" i="25"/>
  <c r="O21" i="24"/>
  <c r="BZ21" i="24" s="1"/>
  <c r="J21" i="24"/>
  <c r="K230" i="24"/>
  <c r="T204" i="25"/>
  <c r="M247" i="24"/>
  <c r="U247" i="24" s="1"/>
  <c r="BQ221" i="25"/>
  <c r="AH278" i="25"/>
  <c r="BI260" i="25"/>
  <c r="AP312" i="24"/>
  <c r="BQ184" i="25"/>
  <c r="AH184" i="25"/>
  <c r="AH75" i="25"/>
  <c r="BK80" i="24"/>
  <c r="S80" i="24"/>
  <c r="T80" i="24" s="1"/>
  <c r="BQ309" i="25"/>
  <c r="BI39" i="25"/>
  <c r="AH39" i="25"/>
  <c r="AH316" i="25"/>
  <c r="BQ243" i="25"/>
  <c r="AH199" i="25"/>
  <c r="AH155" i="25"/>
  <c r="BQ45" i="25"/>
  <c r="BK239" i="24"/>
  <c r="S239" i="24"/>
  <c r="T239" i="24" s="1"/>
  <c r="M239" i="24"/>
  <c r="U239" i="24" s="1"/>
  <c r="BI139" i="25"/>
  <c r="N139" i="25"/>
  <c r="AH18" i="25"/>
  <c r="BI67" i="25"/>
  <c r="N67" i="25"/>
  <c r="AH67" i="25"/>
  <c r="BI288" i="25"/>
  <c r="N288" i="25"/>
  <c r="AH64" i="25"/>
  <c r="AH310" i="25"/>
  <c r="AH17" i="25"/>
  <c r="BQ56" i="25"/>
  <c r="BQ222" i="25"/>
  <c r="AH291" i="25"/>
  <c r="M80" i="24"/>
  <c r="P236" i="24"/>
  <c r="Q236" i="24"/>
  <c r="AO110" i="25"/>
  <c r="R110" i="25"/>
  <c r="S110" i="25"/>
  <c r="K110" i="25" s="1"/>
  <c r="Q110" i="25"/>
  <c r="N45" i="25"/>
  <c r="T45" i="25" s="1"/>
  <c r="N115" i="25"/>
  <c r="N142" i="25"/>
  <c r="N251" i="25"/>
  <c r="N39" i="25"/>
  <c r="M128" i="24"/>
  <c r="N128" i="24" s="1"/>
  <c r="AP128" i="24" s="1"/>
  <c r="M35" i="24"/>
  <c r="N35" i="24" s="1"/>
  <c r="M301" i="24"/>
  <c r="M315" i="24"/>
  <c r="U315" i="24" s="1"/>
  <c r="N223" i="25"/>
  <c r="AP190" i="24"/>
  <c r="BK192" i="24"/>
  <c r="S192" i="24"/>
  <c r="T192" i="24" s="1"/>
  <c r="M192" i="24"/>
  <c r="N192" i="24" s="1"/>
  <c r="AP192" i="24" s="1"/>
  <c r="BK198" i="24"/>
  <c r="S198" i="24"/>
  <c r="T198" i="24" s="1"/>
  <c r="M198" i="24"/>
  <c r="N198" i="24" s="1"/>
  <c r="AP198" i="24" s="1"/>
  <c r="BI246" i="25"/>
  <c r="BI145" i="25"/>
  <c r="N145" i="25"/>
  <c r="T145" i="25" s="1"/>
  <c r="BK241" i="24"/>
  <c r="S241" i="24"/>
  <c r="T241" i="24" s="1"/>
  <c r="M241" i="24"/>
  <c r="N241" i="24" s="1"/>
  <c r="AH120" i="25"/>
  <c r="AH176" i="25"/>
  <c r="AH218" i="25"/>
  <c r="BK102" i="24"/>
  <c r="S102" i="24"/>
  <c r="T102" i="24" s="1"/>
  <c r="M102" i="24"/>
  <c r="N102" i="24" s="1"/>
  <c r="BK194" i="24"/>
  <c r="S194" i="24"/>
  <c r="T194" i="24" s="1"/>
  <c r="M194" i="24"/>
  <c r="BI236" i="25"/>
  <c r="N236" i="25"/>
  <c r="T236" i="25" s="1"/>
  <c r="AH245" i="25"/>
  <c r="AO129" i="25"/>
  <c r="AH129" i="25"/>
  <c r="BI126" i="25"/>
  <c r="AH219" i="25"/>
  <c r="AH104" i="25"/>
  <c r="BK73" i="24"/>
  <c r="S73" i="24"/>
  <c r="T73" i="24" s="1"/>
  <c r="M73" i="24"/>
  <c r="N73" i="24" s="1"/>
  <c r="BK76" i="24"/>
  <c r="S76" i="24"/>
  <c r="T76" i="24" s="1"/>
  <c r="U182" i="24"/>
  <c r="BI82" i="25"/>
  <c r="BK34" i="24"/>
  <c r="S34" i="24"/>
  <c r="T34" i="24" s="1"/>
  <c r="BK154" i="24"/>
  <c r="S154" i="24"/>
  <c r="T154" i="24" s="1"/>
  <c r="BK144" i="24"/>
  <c r="S144" i="24"/>
  <c r="T144" i="24" s="1"/>
  <c r="BI281" i="25"/>
  <c r="BK112" i="24"/>
  <c r="S112" i="24"/>
  <c r="T112" i="24" s="1"/>
  <c r="Q188" i="24"/>
  <c r="P188" i="24"/>
  <c r="P198" i="25"/>
  <c r="O198" i="25"/>
  <c r="AH290" i="25"/>
  <c r="BK150" i="24"/>
  <c r="S150" i="24"/>
  <c r="T150" i="24" s="1"/>
  <c r="BK13" i="24"/>
  <c r="S13" i="24"/>
  <c r="T13" i="24" s="1"/>
  <c r="AH306" i="25"/>
  <c r="P219" i="24"/>
  <c r="Q219" i="24"/>
  <c r="BI65" i="25"/>
  <c r="P305" i="25"/>
  <c r="O305" i="25"/>
  <c r="AO305" i="25" s="1"/>
  <c r="BI147" i="25"/>
  <c r="BI254" i="25"/>
  <c r="AH102" i="25"/>
  <c r="BK115" i="24"/>
  <c r="S115" i="24"/>
  <c r="T115" i="24" s="1"/>
  <c r="BI31" i="25"/>
  <c r="Q44" i="24"/>
  <c r="R44" i="24" s="1"/>
  <c r="P44" i="24"/>
  <c r="AP43" i="24"/>
  <c r="P127" i="24"/>
  <c r="Q127" i="24"/>
  <c r="BK300" i="24"/>
  <c r="S300" i="24"/>
  <c r="T300" i="24" s="1"/>
  <c r="BK49" i="24"/>
  <c r="S49" i="24"/>
  <c r="T49" i="24" s="1"/>
  <c r="BI181" i="25"/>
  <c r="L181" i="25"/>
  <c r="K136" i="24"/>
  <c r="M98" i="24"/>
  <c r="N98" i="24" s="1"/>
  <c r="BK238" i="24"/>
  <c r="S238" i="24"/>
  <c r="T238" i="24" s="1"/>
  <c r="P177" i="25"/>
  <c r="O177" i="25"/>
  <c r="J162" i="24"/>
  <c r="O162" i="24"/>
  <c r="BZ162" i="24" s="1"/>
  <c r="BK237" i="24"/>
  <c r="S237" i="24"/>
  <c r="T237" i="24" s="1"/>
  <c r="BK175" i="24"/>
  <c r="S175" i="24"/>
  <c r="T175" i="24" s="1"/>
  <c r="M175" i="24"/>
  <c r="N175" i="24" s="1"/>
  <c r="BI85" i="25"/>
  <c r="N85" i="25"/>
  <c r="T85" i="25" s="1"/>
  <c r="BI57" i="25"/>
  <c r="N57" i="25"/>
  <c r="T57" i="25" s="1"/>
  <c r="BI153" i="25"/>
  <c r="N153" i="25"/>
  <c r="T153" i="25" s="1"/>
  <c r="AH286" i="25"/>
  <c r="L119" i="25"/>
  <c r="BI69" i="25"/>
  <c r="N69" i="25"/>
  <c r="T69" i="25" s="1"/>
  <c r="BK235" i="24"/>
  <c r="S235" i="24"/>
  <c r="T235" i="24" s="1"/>
  <c r="M235" i="24"/>
  <c r="N235" i="24" s="1"/>
  <c r="AP235" i="24" s="1"/>
  <c r="AH299" i="25"/>
  <c r="BI146" i="25"/>
  <c r="N146" i="25"/>
  <c r="T146" i="25" s="1"/>
  <c r="AH224" i="25"/>
  <c r="BK197" i="24"/>
  <c r="S197" i="24"/>
  <c r="T197" i="24" s="1"/>
  <c r="BK127" i="24"/>
  <c r="S127" i="24"/>
  <c r="T127" i="24" s="1"/>
  <c r="BK199" i="24"/>
  <c r="S199" i="24"/>
  <c r="T199" i="24" s="1"/>
  <c r="AH14" i="25"/>
  <c r="L187" i="25"/>
  <c r="BK65" i="24"/>
  <c r="S65" i="24"/>
  <c r="T65" i="24" s="1"/>
  <c r="L267" i="25"/>
  <c r="BI43" i="25"/>
  <c r="N43" i="25"/>
  <c r="T43" i="25" s="1"/>
  <c r="BI118" i="25"/>
  <c r="L118" i="25"/>
  <c r="BK69" i="24"/>
  <c r="S69" i="24"/>
  <c r="T69" i="24" s="1"/>
  <c r="M69" i="24"/>
  <c r="N69" i="24" s="1"/>
  <c r="AP69" i="24" s="1"/>
  <c r="AH227" i="25"/>
  <c r="U61" i="24"/>
  <c r="AH259" i="25"/>
  <c r="AH287" i="25"/>
  <c r="BQ90" i="25"/>
  <c r="BI285" i="25"/>
  <c r="BI166" i="25"/>
  <c r="BK48" i="24"/>
  <c r="S48" i="24"/>
  <c r="T48" i="24" s="1"/>
  <c r="M65" i="24"/>
  <c r="N65" i="24" s="1"/>
  <c r="AP65" i="24" s="1"/>
  <c r="BI124" i="25"/>
  <c r="AH248" i="25"/>
  <c r="BQ223" i="25"/>
  <c r="AH223" i="25"/>
  <c r="BK270" i="24"/>
  <c r="S270" i="24"/>
  <c r="T270" i="24" s="1"/>
  <c r="BI184" i="25"/>
  <c r="L184" i="25"/>
  <c r="BI63" i="25"/>
  <c r="N63" i="25"/>
  <c r="BI309" i="25"/>
  <c r="AH309" i="25"/>
  <c r="BK196" i="24"/>
  <c r="S196" i="24"/>
  <c r="T196" i="24" s="1"/>
  <c r="BK242" i="24"/>
  <c r="S242" i="24"/>
  <c r="T242" i="24" s="1"/>
  <c r="L316" i="25"/>
  <c r="L298" i="25"/>
  <c r="BI233" i="25"/>
  <c r="AH233" i="25"/>
  <c r="BQ155" i="25"/>
  <c r="BI54" i="25"/>
  <c r="N54" i="25"/>
  <c r="T54" i="25" s="1"/>
  <c r="BK169" i="24"/>
  <c r="S169" i="24"/>
  <c r="T169" i="24" s="1"/>
  <c r="AP88" i="24"/>
  <c r="M295" i="24"/>
  <c r="N295" i="24" s="1"/>
  <c r="L54" i="25"/>
  <c r="AH156" i="25"/>
  <c r="AH79" i="25"/>
  <c r="L51" i="25"/>
  <c r="BK60" i="24"/>
  <c r="S60" i="24"/>
  <c r="T60" i="24" s="1"/>
  <c r="M60" i="24"/>
  <c r="N60" i="24" s="1"/>
  <c r="BQ64" i="25"/>
  <c r="AH231" i="25"/>
  <c r="AH19" i="25"/>
  <c r="BK66" i="24"/>
  <c r="S66" i="24"/>
  <c r="T66" i="24" s="1"/>
  <c r="M66" i="24"/>
  <c r="N66" i="24" s="1"/>
  <c r="BI284" i="25"/>
  <c r="N284" i="25"/>
  <c r="T284" i="25" s="1"/>
  <c r="AH284" i="25"/>
  <c r="BK207" i="24"/>
  <c r="S207" i="24"/>
  <c r="T207" i="24" s="1"/>
  <c r="M207" i="24"/>
  <c r="N207" i="24" s="1"/>
  <c r="AP207" i="24" s="1"/>
  <c r="BI252" i="25"/>
  <c r="N252" i="25"/>
  <c r="T252" i="25" s="1"/>
  <c r="BQ154" i="25"/>
  <c r="U30" i="24"/>
  <c r="AP30" i="24"/>
  <c r="U72" i="24"/>
  <c r="BQ291" i="25"/>
  <c r="M89" i="24"/>
  <c r="M184" i="24"/>
  <c r="O236" i="24"/>
  <c r="BZ236" i="24" s="1"/>
  <c r="J236" i="24"/>
  <c r="M299" i="24"/>
  <c r="N299" i="24" s="1"/>
  <c r="N316" i="25"/>
  <c r="T316" i="25" s="1"/>
  <c r="N12" i="25"/>
  <c r="N88" i="25"/>
  <c r="T88" i="25" s="1"/>
  <c r="M23" i="24"/>
  <c r="N23" i="24" s="1"/>
  <c r="M49" i="24"/>
  <c r="N49" i="24" s="1"/>
  <c r="AP49" i="24" s="1"/>
  <c r="M112" i="24"/>
  <c r="N112" i="24" s="1"/>
  <c r="AP112" i="24" s="1"/>
  <c r="AP257" i="24"/>
  <c r="BK125" i="24"/>
  <c r="S125" i="24"/>
  <c r="T125" i="24" s="1"/>
  <c r="M125" i="24"/>
  <c r="N125" i="24" s="1"/>
  <c r="AP125" i="24" s="1"/>
  <c r="AH164" i="25"/>
  <c r="AH202" i="25"/>
  <c r="BK268" i="24"/>
  <c r="S268" i="24"/>
  <c r="T268" i="24" s="1"/>
  <c r="BK54" i="24"/>
  <c r="S54" i="24"/>
  <c r="T54" i="24" s="1"/>
  <c r="M54" i="24"/>
  <c r="AP68" i="24"/>
  <c r="AH165" i="25"/>
  <c r="BI26" i="25"/>
  <c r="BK267" i="24"/>
  <c r="S267" i="24"/>
  <c r="T267" i="24" s="1"/>
  <c r="M267" i="24"/>
  <c r="N267" i="24" s="1"/>
  <c r="AP62" i="24"/>
  <c r="AH83" i="25"/>
  <c r="AP147" i="24"/>
  <c r="M177" i="24"/>
  <c r="N177" i="24" s="1"/>
  <c r="AP177" i="24" s="1"/>
  <c r="N203" i="25"/>
  <c r="AH159" i="25"/>
  <c r="AH185" i="25"/>
  <c r="BI206" i="25"/>
  <c r="BK20" i="24"/>
  <c r="S20" i="24"/>
  <c r="T20" i="24" s="1"/>
  <c r="BI300" i="25"/>
  <c r="N300" i="25"/>
  <c r="T300" i="25" s="1"/>
  <c r="BI122" i="25"/>
  <c r="AP21" i="24"/>
  <c r="K163" i="24"/>
  <c r="L246" i="25"/>
  <c r="U190" i="24"/>
  <c r="BK118" i="24"/>
  <c r="S118" i="24"/>
  <c r="T118" i="24" s="1"/>
  <c r="N176" i="25"/>
  <c r="T176" i="25" s="1"/>
  <c r="BI176" i="25"/>
  <c r="BI279" i="25"/>
  <c r="N279" i="25"/>
  <c r="T279" i="25" s="1"/>
  <c r="Q22" i="24"/>
  <c r="R22" i="24" s="1"/>
  <c r="P22" i="24"/>
  <c r="BK133" i="24"/>
  <c r="S133" i="24"/>
  <c r="T133" i="24" s="1"/>
  <c r="BK167" i="24"/>
  <c r="S167" i="24"/>
  <c r="T167" i="24" s="1"/>
  <c r="BK255" i="24"/>
  <c r="S255" i="24"/>
  <c r="T255" i="24" s="1"/>
  <c r="BK146" i="24"/>
  <c r="S146" i="24"/>
  <c r="T146" i="24" s="1"/>
  <c r="M146" i="24"/>
  <c r="AH137" i="25"/>
  <c r="BK38" i="24"/>
  <c r="S38" i="24"/>
  <c r="T38" i="24" s="1"/>
  <c r="M38" i="24"/>
  <c r="K267" i="24"/>
  <c r="BK131" i="24"/>
  <c r="M131" i="24"/>
  <c r="S131" i="24"/>
  <c r="T131" i="24" s="1"/>
  <c r="BK282" i="24"/>
  <c r="S282" i="24"/>
  <c r="T282" i="24" s="1"/>
  <c r="M282" i="24"/>
  <c r="U282" i="24" s="1"/>
  <c r="BK97" i="24"/>
  <c r="S97" i="24"/>
  <c r="T97" i="24" s="1"/>
  <c r="K176" i="24"/>
  <c r="K179" i="24"/>
  <c r="O190" i="24"/>
  <c r="BZ190" i="24" s="1"/>
  <c r="J190" i="24"/>
  <c r="N271" i="25"/>
  <c r="T271" i="25" s="1"/>
  <c r="AH271" i="25"/>
  <c r="BI219" i="25"/>
  <c r="BK16" i="24"/>
  <c r="S16" i="24"/>
  <c r="T16" i="24" s="1"/>
  <c r="T82" i="25"/>
  <c r="BK231" i="24"/>
  <c r="S231" i="24"/>
  <c r="T231" i="24" s="1"/>
  <c r="L175" i="25"/>
  <c r="BQ281" i="25"/>
  <c r="BK25" i="24"/>
  <c r="S25" i="24"/>
  <c r="T25" i="24" s="1"/>
  <c r="M104" i="24"/>
  <c r="N104" i="24" s="1"/>
  <c r="BK188" i="24"/>
  <c r="S188" i="24"/>
  <c r="T188" i="24" s="1"/>
  <c r="U150" i="24"/>
  <c r="K208" i="24"/>
  <c r="L263" i="25"/>
  <c r="BI167" i="25"/>
  <c r="Q121" i="24"/>
  <c r="P121" i="24"/>
  <c r="Q72" i="24"/>
  <c r="R72" i="24" s="1"/>
  <c r="P72" i="24"/>
  <c r="BK153" i="24"/>
  <c r="S153" i="24"/>
  <c r="T153" i="24" s="1"/>
  <c r="BI148" i="25"/>
  <c r="AH144" i="25"/>
  <c r="T147" i="25"/>
  <c r="J292" i="24"/>
  <c r="O292" i="24"/>
  <c r="BZ292" i="24" s="1"/>
  <c r="T31" i="25"/>
  <c r="BK84" i="24"/>
  <c r="S84" i="24"/>
  <c r="T84" i="24" s="1"/>
  <c r="BK58" i="24"/>
  <c r="S58" i="24"/>
  <c r="T58" i="24" s="1"/>
  <c r="BK308" i="24"/>
  <c r="S308" i="24"/>
  <c r="T308" i="24" s="1"/>
  <c r="BK42" i="24"/>
  <c r="S42" i="24"/>
  <c r="T42" i="24" s="1"/>
  <c r="M42" i="24"/>
  <c r="BK306" i="24"/>
  <c r="S306" i="24"/>
  <c r="T306" i="24" s="1"/>
  <c r="AH45" i="25"/>
  <c r="AH101" i="25"/>
  <c r="BK183" i="24"/>
  <c r="S183" i="24"/>
  <c r="T183" i="24" s="1"/>
  <c r="M183" i="24"/>
  <c r="BI229" i="25"/>
  <c r="K301" i="24"/>
  <c r="AH47" i="25"/>
  <c r="AH112" i="25"/>
  <c r="N10" i="25"/>
  <c r="BI25" i="25"/>
  <c r="BI87" i="25"/>
  <c r="BI62" i="25"/>
  <c r="L62" i="25"/>
  <c r="AH48" i="25"/>
  <c r="AH85" i="25"/>
  <c r="L98" i="25"/>
  <c r="BI123" i="25"/>
  <c r="N123" i="25"/>
  <c r="L123" i="25"/>
  <c r="AH149" i="25"/>
  <c r="AH127" i="25"/>
  <c r="P34" i="25"/>
  <c r="O34" i="25"/>
  <c r="L308" i="25"/>
  <c r="AH36" i="25"/>
  <c r="L256" i="25"/>
  <c r="BI41" i="25"/>
  <c r="N41" i="25"/>
  <c r="BK26" i="24"/>
  <c r="S26" i="24"/>
  <c r="T26" i="24" s="1"/>
  <c r="M26" i="24"/>
  <c r="L27" i="25"/>
  <c r="BK249" i="24"/>
  <c r="S249" i="24"/>
  <c r="T249" i="24" s="1"/>
  <c r="M249" i="24"/>
  <c r="U249" i="24" s="1"/>
  <c r="AH28" i="25"/>
  <c r="AH255" i="25"/>
  <c r="U199" i="24"/>
  <c r="K244" i="24"/>
  <c r="AH267" i="25"/>
  <c r="M71" i="24"/>
  <c r="BQ126" i="25"/>
  <c r="BI96" i="25"/>
  <c r="BK61" i="24"/>
  <c r="S61" i="24"/>
  <c r="T61" i="24" s="1"/>
  <c r="AP61" i="24"/>
  <c r="BK180" i="24"/>
  <c r="S180" i="24"/>
  <c r="T180" i="24" s="1"/>
  <c r="L314" i="25"/>
  <c r="BI90" i="25"/>
  <c r="BQ285" i="25"/>
  <c r="AH285" i="25"/>
  <c r="L166" i="25"/>
  <c r="BQ201" i="25"/>
  <c r="AP48" i="24"/>
  <c r="BI282" i="25"/>
  <c r="K172" i="24"/>
  <c r="AP172" i="24"/>
  <c r="BI302" i="25"/>
  <c r="BI262" i="25"/>
  <c r="J233" i="24"/>
  <c r="O233" i="24"/>
  <c r="BZ233" i="24" s="1"/>
  <c r="P132" i="24"/>
  <c r="Q132" i="24"/>
  <c r="M255" i="24"/>
  <c r="U255" i="24" s="1"/>
  <c r="N26" i="25"/>
  <c r="AP290" i="24"/>
  <c r="L221" i="25"/>
  <c r="K275" i="24"/>
  <c r="BI95" i="25"/>
  <c r="L63" i="25"/>
  <c r="BK210" i="24"/>
  <c r="S210" i="24"/>
  <c r="T210" i="24" s="1"/>
  <c r="BI33" i="25"/>
  <c r="L33" i="25"/>
  <c r="BI228" i="25"/>
  <c r="AH228" i="25"/>
  <c r="L233" i="25"/>
  <c r="AH138" i="25"/>
  <c r="BI155" i="25"/>
  <c r="BI170" i="25"/>
  <c r="AH170" i="25"/>
  <c r="BQ296" i="25"/>
  <c r="BI169" i="25"/>
  <c r="N169" i="25"/>
  <c r="P45" i="24"/>
  <c r="Q45" i="24"/>
  <c r="R45" i="24" s="1"/>
  <c r="BK52" i="24"/>
  <c r="S52" i="24"/>
  <c r="T52" i="24" s="1"/>
  <c r="AP52" i="24"/>
  <c r="BI273" i="25"/>
  <c r="AH273" i="25"/>
  <c r="BI79" i="25"/>
  <c r="N79" i="25"/>
  <c r="L79" i="25"/>
  <c r="L18" i="25"/>
  <c r="BI72" i="25"/>
  <c r="N72" i="25"/>
  <c r="M284" i="24"/>
  <c r="BK113" i="24"/>
  <c r="S113" i="24"/>
  <c r="T113" i="24" s="1"/>
  <c r="M113" i="24"/>
  <c r="AH288" i="25"/>
  <c r="AH253" i="25"/>
  <c r="BI64" i="25"/>
  <c r="N64" i="25"/>
  <c r="T64" i="25" s="1"/>
  <c r="L64" i="25"/>
  <c r="BK29" i="24"/>
  <c r="S29" i="24"/>
  <c r="T29" i="24" s="1"/>
  <c r="M29" i="24"/>
  <c r="BK124" i="24"/>
  <c r="S124" i="24"/>
  <c r="T124" i="24" s="1"/>
  <c r="M124" i="24"/>
  <c r="N124" i="24" s="1"/>
  <c r="BK140" i="24"/>
  <c r="S140" i="24"/>
  <c r="T140" i="24" s="1"/>
  <c r="M140" i="24"/>
  <c r="BQ252" i="25"/>
  <c r="BK219" i="24"/>
  <c r="S219" i="24"/>
  <c r="T219" i="24" s="1"/>
  <c r="BI154" i="25"/>
  <c r="BK30" i="24"/>
  <c r="S30" i="24"/>
  <c r="T30" i="24" s="1"/>
  <c r="BI291" i="25"/>
  <c r="N233" i="25"/>
  <c r="T233" i="25" s="1"/>
  <c r="N307" i="25"/>
  <c r="M196" i="24"/>
  <c r="N196" i="24" s="1"/>
  <c r="M153" i="24"/>
  <c r="N260" i="25"/>
  <c r="N65" i="25"/>
  <c r="T65" i="25" s="1"/>
  <c r="N263" i="25"/>
  <c r="T263" i="25" s="1"/>
  <c r="M161" i="24"/>
  <c r="N166" i="25"/>
  <c r="T166" i="25" s="1"/>
  <c r="M203" i="24"/>
  <c r="M308" i="24"/>
  <c r="U308" i="24" s="1"/>
  <c r="N264" i="25"/>
  <c r="N116" i="25"/>
  <c r="AH192" i="25"/>
  <c r="BI93" i="25"/>
  <c r="N93" i="25"/>
  <c r="BK62" i="24"/>
  <c r="S62" i="24"/>
  <c r="T62" i="24" s="1"/>
  <c r="Q190" i="24"/>
  <c r="P190" i="24"/>
  <c r="P7" i="24"/>
  <c r="Q7" i="24"/>
  <c r="R7" i="24" s="1"/>
  <c r="P68" i="24"/>
  <c r="Q68" i="24"/>
  <c r="R68" i="24" s="1"/>
  <c r="BK123" i="24"/>
  <c r="S123" i="24"/>
  <c r="T123" i="24" s="1"/>
  <c r="M123" i="24"/>
  <c r="AH169" i="25"/>
  <c r="BI23" i="25"/>
  <c r="BK145" i="24"/>
  <c r="S145" i="24"/>
  <c r="T145" i="24" s="1"/>
  <c r="M145" i="24"/>
  <c r="BI232" i="25"/>
  <c r="L232" i="25"/>
  <c r="BI105" i="25"/>
  <c r="N105" i="25"/>
  <c r="BI182" i="25"/>
  <c r="BK223" i="24"/>
  <c r="S223" i="24"/>
  <c r="T223" i="24" s="1"/>
  <c r="AH9" i="25"/>
  <c r="Q225" i="24"/>
  <c r="P225" i="24"/>
  <c r="U133" i="24"/>
  <c r="AP133" i="24"/>
  <c r="BK276" i="24"/>
  <c r="S276" i="24"/>
  <c r="T276" i="24" s="1"/>
  <c r="AH37" i="25"/>
  <c r="AP307" i="24"/>
  <c r="BK295" i="24"/>
  <c r="S295" i="24"/>
  <c r="T295" i="24" s="1"/>
  <c r="BK206" i="24"/>
  <c r="S206" i="24"/>
  <c r="T206" i="24" s="1"/>
  <c r="M206" i="24"/>
  <c r="AH11" i="25"/>
  <c r="L176" i="25"/>
  <c r="BK116" i="24"/>
  <c r="S116" i="24"/>
  <c r="T116" i="24" s="1"/>
  <c r="BK130" i="24"/>
  <c r="S130" i="24"/>
  <c r="T130" i="24" s="1"/>
  <c r="BK286" i="24"/>
  <c r="S286" i="24"/>
  <c r="T286" i="24" s="1"/>
  <c r="AP225" i="24"/>
  <c r="AH30" i="25"/>
  <c r="BK157" i="24"/>
  <c r="S157" i="24"/>
  <c r="T157" i="24" s="1"/>
  <c r="BK253" i="24"/>
  <c r="S253" i="24"/>
  <c r="T253" i="24" s="1"/>
  <c r="N37" i="25"/>
  <c r="T37" i="25" s="1"/>
  <c r="AH265" i="25"/>
  <c r="BI197" i="25"/>
  <c r="N197" i="25"/>
  <c r="AH197" i="25"/>
  <c r="BI130" i="25"/>
  <c r="N130" i="25"/>
  <c r="T130" i="25" s="1"/>
  <c r="BK141" i="24"/>
  <c r="S141" i="24"/>
  <c r="T141" i="24" s="1"/>
  <c r="M141" i="24"/>
  <c r="U76" i="24"/>
  <c r="AH297" i="25"/>
  <c r="BI150" i="25"/>
  <c r="N150" i="25"/>
  <c r="T150" i="25" s="1"/>
  <c r="BK92" i="24"/>
  <c r="S92" i="24"/>
  <c r="T92" i="24" s="1"/>
  <c r="BI92" i="25"/>
  <c r="K144" i="24"/>
  <c r="BI15" i="25"/>
  <c r="N15" i="25"/>
  <c r="T15" i="25" s="1"/>
  <c r="BK159" i="24"/>
  <c r="S159" i="24"/>
  <c r="T159" i="24" s="1"/>
  <c r="BI198" i="25"/>
  <c r="AH117" i="25"/>
  <c r="BI55" i="25"/>
  <c r="AH55" i="25"/>
  <c r="BI251" i="25"/>
  <c r="AH251" i="25"/>
  <c r="BK59" i="24"/>
  <c r="S59" i="24"/>
  <c r="T59" i="24" s="1"/>
  <c r="P30" i="24"/>
  <c r="Q30" i="24"/>
  <c r="R30" i="24" s="1"/>
  <c r="AH292" i="25"/>
  <c r="AH220" i="25"/>
  <c r="AH147" i="25"/>
  <c r="AH86" i="25"/>
  <c r="R129" i="25"/>
  <c r="S129" i="25"/>
  <c r="K129" i="25" s="1"/>
  <c r="Q129" i="25"/>
  <c r="P191" i="24"/>
  <c r="Q191" i="24"/>
  <c r="AH31" i="25"/>
  <c r="AP181" i="24"/>
  <c r="BK271" i="24"/>
  <c r="S271" i="24"/>
  <c r="T271" i="24" s="1"/>
  <c r="AH307" i="25"/>
  <c r="BK218" i="24"/>
  <c r="S218" i="24"/>
  <c r="T218" i="24" s="1"/>
  <c r="BK193" i="24"/>
  <c r="S193" i="24"/>
  <c r="T193" i="24" s="1"/>
  <c r="BI134" i="25"/>
  <c r="BQ25" i="25"/>
  <c r="BQ62" i="25"/>
  <c r="BQ92" i="25"/>
  <c r="L85" i="25"/>
  <c r="BI127" i="25"/>
  <c r="N127" i="25"/>
  <c r="T127" i="25" s="1"/>
  <c r="AH153" i="25"/>
  <c r="AH196" i="25"/>
  <c r="P61" i="24"/>
  <c r="Q61" i="24"/>
  <c r="R61" i="24" s="1"/>
  <c r="BK288" i="24"/>
  <c r="S288" i="24"/>
  <c r="T288" i="24" s="1"/>
  <c r="M288" i="24"/>
  <c r="U288" i="24" s="1"/>
  <c r="BQ7" i="25"/>
  <c r="Q172" i="24"/>
  <c r="P172" i="24"/>
  <c r="AH293" i="25"/>
  <c r="BI224" i="25"/>
  <c r="N224" i="25"/>
  <c r="BI313" i="25"/>
  <c r="AH313" i="25"/>
  <c r="BK149" i="24"/>
  <c r="S149" i="24"/>
  <c r="T149" i="24" s="1"/>
  <c r="BK303" i="24"/>
  <c r="S303" i="24"/>
  <c r="T303" i="24" s="1"/>
  <c r="AH59" i="25"/>
  <c r="AH183" i="25"/>
  <c r="BI49" i="25"/>
  <c r="AH32" i="25"/>
  <c r="U127" i="24"/>
  <c r="AP53" i="24"/>
  <c r="BK77" i="24"/>
  <c r="S77" i="24"/>
  <c r="T77" i="24" s="1"/>
  <c r="N210" i="25"/>
  <c r="N126" i="25"/>
  <c r="T126" i="25" s="1"/>
  <c r="L126" i="25"/>
  <c r="BK31" i="24"/>
  <c r="S31" i="24"/>
  <c r="T31" i="24" s="1"/>
  <c r="M31" i="24"/>
  <c r="N31" i="24" s="1"/>
  <c r="AP31" i="24" s="1"/>
  <c r="BI34" i="25"/>
  <c r="L34" i="25"/>
  <c r="BI314" i="25"/>
  <c r="BI201" i="25"/>
  <c r="U48" i="24"/>
  <c r="AH282" i="25"/>
  <c r="BK79" i="24"/>
  <c r="S79" i="24"/>
  <c r="T79" i="24" s="1"/>
  <c r="BK248" i="24"/>
  <c r="S248" i="24"/>
  <c r="T248" i="24" s="1"/>
  <c r="BI272" i="25"/>
  <c r="AH305" i="25"/>
  <c r="J132" i="24"/>
  <c r="O132" i="24"/>
  <c r="BZ132" i="24" s="1"/>
  <c r="M230" i="24"/>
  <c r="N230" i="24" s="1"/>
  <c r="AH204" i="25"/>
  <c r="BK120" i="24"/>
  <c r="S120" i="24"/>
  <c r="T120" i="24" s="1"/>
  <c r="BK299" i="24"/>
  <c r="S299" i="24"/>
  <c r="T299" i="24" s="1"/>
  <c r="K299" i="24"/>
  <c r="BI278" i="25"/>
  <c r="BK240" i="24"/>
  <c r="S240" i="24"/>
  <c r="T240" i="24" s="1"/>
  <c r="AH95" i="25"/>
  <c r="AH111" i="25"/>
  <c r="BQ33" i="25"/>
  <c r="BQ228" i="25"/>
  <c r="L309" i="25"/>
  <c r="K135" i="24"/>
  <c r="BK173" i="24"/>
  <c r="S173" i="24"/>
  <c r="T173" i="24" s="1"/>
  <c r="K242" i="24"/>
  <c r="BQ170" i="25"/>
  <c r="AH296" i="25"/>
  <c r="Q52" i="24"/>
  <c r="R52" i="24" s="1"/>
  <c r="P52" i="24"/>
  <c r="BI205" i="25"/>
  <c r="N205" i="25"/>
  <c r="BI312" i="25"/>
  <c r="N312" i="25"/>
  <c r="T312" i="25" s="1"/>
  <c r="AH139" i="25"/>
  <c r="BK148" i="24"/>
  <c r="S148" i="24"/>
  <c r="T148" i="24" s="1"/>
  <c r="M148" i="24"/>
  <c r="BK155" i="24"/>
  <c r="S155" i="24"/>
  <c r="T155" i="24" s="1"/>
  <c r="M155" i="24"/>
  <c r="N155" i="24" s="1"/>
  <c r="AP155" i="24" s="1"/>
  <c r="N253" i="25"/>
  <c r="T253" i="25" s="1"/>
  <c r="BI253" i="25"/>
  <c r="AH100" i="25"/>
  <c r="BI84" i="25"/>
  <c r="N84" i="25"/>
  <c r="L84" i="25"/>
  <c r="BQ19" i="25"/>
  <c r="AH60" i="25"/>
  <c r="AH191" i="25"/>
  <c r="BI303" i="25"/>
  <c r="N303" i="25"/>
  <c r="L17" i="25"/>
  <c r="M59" i="24"/>
  <c r="BK209" i="24"/>
  <c r="S209" i="24"/>
  <c r="T209" i="24" s="1"/>
  <c r="M209" i="24"/>
  <c r="BI250" i="25"/>
  <c r="N250" i="25"/>
  <c r="T250" i="25" s="1"/>
  <c r="AH252" i="25"/>
  <c r="AH136" i="25"/>
  <c r="AH103" i="25"/>
  <c r="AP121" i="24"/>
  <c r="K219" i="24"/>
  <c r="BK289" i="24"/>
  <c r="S289" i="24"/>
  <c r="T289" i="24" s="1"/>
  <c r="N175" i="25"/>
  <c r="N278" i="25"/>
  <c r="M135" i="24"/>
  <c r="N135" i="24" s="1"/>
  <c r="N242" i="25"/>
  <c r="M300" i="24"/>
  <c r="N313" i="25"/>
  <c r="N172" i="25"/>
  <c r="T172" i="25" s="1"/>
  <c r="N33" i="25"/>
  <c r="T33" i="25" s="1"/>
  <c r="M144" i="24"/>
  <c r="N144" i="24" s="1"/>
  <c r="N221" i="25"/>
  <c r="N184" i="25"/>
  <c r="T184" i="25" s="1"/>
  <c r="N302" i="25"/>
  <c r="N90" i="25"/>
  <c r="M93" i="24"/>
  <c r="N118" i="25"/>
  <c r="N49" i="25"/>
  <c r="T49" i="25" s="1"/>
  <c r="N25" i="25"/>
  <c r="M13" i="24"/>
  <c r="N13" i="24" s="1"/>
  <c r="BI83" i="25"/>
  <c r="N83" i="25"/>
  <c r="T83" i="25" s="1"/>
  <c r="BK24" i="24"/>
  <c r="S24" i="24"/>
  <c r="T24" i="24" s="1"/>
  <c r="AH269" i="25"/>
  <c r="L159" i="25"/>
  <c r="AH151" i="25"/>
  <c r="BK291" i="24"/>
  <c r="S291" i="24"/>
  <c r="T291" i="24" s="1"/>
  <c r="M291" i="24"/>
  <c r="N291" i="24" s="1"/>
  <c r="BK195" i="24"/>
  <c r="S195" i="24"/>
  <c r="T195" i="24" s="1"/>
  <c r="AP162" i="24"/>
  <c r="BK163" i="24"/>
  <c r="S163" i="24"/>
  <c r="T163" i="24" s="1"/>
  <c r="AH210" i="25"/>
  <c r="AH180" i="25"/>
  <c r="T246" i="25"/>
  <c r="BK129" i="24"/>
  <c r="S129" i="24"/>
  <c r="T129" i="24" s="1"/>
  <c r="BK285" i="24"/>
  <c r="S285" i="24"/>
  <c r="T285" i="24" s="1"/>
  <c r="P21" i="24"/>
  <c r="Q21" i="24"/>
  <c r="R21" i="24" s="1"/>
  <c r="U129" i="24"/>
  <c r="K192" i="24"/>
  <c r="N180" i="25"/>
  <c r="T180" i="25" s="1"/>
  <c r="U177" i="25"/>
  <c r="BK179" i="24"/>
  <c r="S179" i="24"/>
  <c r="T179" i="24" s="1"/>
  <c r="M179" i="24"/>
  <c r="N179" i="24" s="1"/>
  <c r="BQ11" i="25"/>
  <c r="L137" i="25"/>
  <c r="N53" i="25"/>
  <c r="BI53" i="25"/>
  <c r="AH188" i="25"/>
  <c r="AH132" i="25"/>
  <c r="BK205" i="24"/>
  <c r="S205" i="24"/>
  <c r="T205" i="24" s="1"/>
  <c r="U205" i="24"/>
  <c r="BK147" i="24"/>
  <c r="S147" i="24"/>
  <c r="T147" i="24" s="1"/>
  <c r="AP22" i="24"/>
  <c r="AH236" i="25"/>
  <c r="AH266" i="25"/>
  <c r="AH300" i="25"/>
  <c r="BK304" i="24"/>
  <c r="S304" i="24"/>
  <c r="T304" i="24" s="1"/>
  <c r="M304" i="24"/>
  <c r="N304" i="24" s="1"/>
  <c r="AP304" i="24" s="1"/>
  <c r="BI99" i="25"/>
  <c r="N99" i="25"/>
  <c r="K245" i="24"/>
  <c r="BK27" i="24"/>
  <c r="S27" i="24"/>
  <c r="T27" i="24" s="1"/>
  <c r="AP27" i="24"/>
  <c r="K154" i="24"/>
  <c r="BK104" i="24"/>
  <c r="S104" i="24"/>
  <c r="T104" i="24" s="1"/>
  <c r="U188" i="24"/>
  <c r="M122" i="24"/>
  <c r="T198" i="25"/>
  <c r="K284" i="24"/>
  <c r="AP150" i="24"/>
  <c r="BI276" i="25"/>
  <c r="BK287" i="24"/>
  <c r="S287" i="24"/>
  <c r="T287" i="24" s="1"/>
  <c r="BK234" i="24"/>
  <c r="S234" i="24"/>
  <c r="T234" i="24" s="1"/>
  <c r="P170" i="25"/>
  <c r="O170" i="25"/>
  <c r="BI220" i="25"/>
  <c r="AH10" i="25"/>
  <c r="BI161" i="25"/>
  <c r="L102" i="25"/>
  <c r="BK151" i="24"/>
  <c r="S151" i="24"/>
  <c r="T151" i="24" s="1"/>
  <c r="J101" i="24"/>
  <c r="O101" i="24"/>
  <c r="BZ101" i="24" s="1"/>
  <c r="J191" i="24"/>
  <c r="O191" i="24"/>
  <c r="BZ191" i="24" s="1"/>
  <c r="BK51" i="24"/>
  <c r="S51" i="24"/>
  <c r="T51" i="24" s="1"/>
  <c r="BI311" i="25"/>
  <c r="BK311" i="24"/>
  <c r="S311" i="24"/>
  <c r="T311" i="24" s="1"/>
  <c r="M311" i="24"/>
  <c r="N311" i="24" s="1"/>
  <c r="BK220" i="24"/>
  <c r="S220" i="24"/>
  <c r="T220" i="24" s="1"/>
  <c r="L101" i="25"/>
  <c r="AH289" i="25"/>
  <c r="AH277" i="25"/>
  <c r="BK227" i="24"/>
  <c r="S227" i="24"/>
  <c r="T227" i="24" s="1"/>
  <c r="AH240" i="25"/>
  <c r="BI249" i="25"/>
  <c r="AH249" i="25"/>
  <c r="AH50" i="25"/>
  <c r="L47" i="25"/>
  <c r="BI121" i="25"/>
  <c r="AH216" i="25"/>
  <c r="BK305" i="24"/>
  <c r="S305" i="24"/>
  <c r="T305" i="24" s="1"/>
  <c r="AH113" i="25"/>
  <c r="U68" i="24"/>
  <c r="P62" i="25"/>
  <c r="O62" i="25"/>
  <c r="AH230" i="25"/>
  <c r="BK95" i="24"/>
  <c r="S95" i="24"/>
  <c r="T95" i="24" s="1"/>
  <c r="M95" i="24"/>
  <c r="AH35" i="25"/>
  <c r="BI48" i="25"/>
  <c r="N48" i="25"/>
  <c r="T48" i="25" s="1"/>
  <c r="AH91" i="25"/>
  <c r="BI20" i="25"/>
  <c r="N20" i="25"/>
  <c r="T20" i="25" s="1"/>
  <c r="L149" i="25"/>
  <c r="BK293" i="24"/>
  <c r="S293" i="24"/>
  <c r="T293" i="24" s="1"/>
  <c r="M293" i="24"/>
  <c r="N293" i="24" s="1"/>
  <c r="BK221" i="24"/>
  <c r="S221" i="24"/>
  <c r="T221" i="24" s="1"/>
  <c r="M221" i="24"/>
  <c r="N221" i="24" s="1"/>
  <c r="AP221" i="24" s="1"/>
  <c r="AH274" i="25"/>
  <c r="AH209" i="25"/>
  <c r="BI7" i="25"/>
  <c r="N7" i="25"/>
  <c r="T7" i="25" s="1"/>
  <c r="AH88" i="25"/>
  <c r="BI304" i="25"/>
  <c r="N125" i="25"/>
  <c r="P255" i="25"/>
  <c r="O255" i="25"/>
  <c r="M20" i="24"/>
  <c r="N20" i="24" s="1"/>
  <c r="BQ49" i="25"/>
  <c r="BQ32" i="25"/>
  <c r="BQ14" i="25"/>
  <c r="BI187" i="25"/>
  <c r="BI267" i="25"/>
  <c r="AH178" i="25"/>
  <c r="N165" i="25"/>
  <c r="AH174" i="25"/>
  <c r="BI21" i="25"/>
  <c r="T34" i="25"/>
  <c r="BI259" i="25"/>
  <c r="L259" i="25"/>
  <c r="BQ314" i="25"/>
  <c r="BK47" i="24"/>
  <c r="S47" i="24"/>
  <c r="T47" i="24" s="1"/>
  <c r="BQ172" i="25"/>
  <c r="BI78" i="25"/>
  <c r="K112" i="24"/>
  <c r="BQ272" i="25"/>
  <c r="L275" i="25"/>
  <c r="M171" i="24"/>
  <c r="N171" i="24" s="1"/>
  <c r="AP171" i="24" s="1"/>
  <c r="N73" i="25"/>
  <c r="BK290" i="24"/>
  <c r="S290" i="24"/>
  <c r="T290" i="24" s="1"/>
  <c r="BQ278" i="25"/>
  <c r="AH260" i="25"/>
  <c r="BI295" i="25"/>
  <c r="L295" i="25"/>
  <c r="K270" i="24"/>
  <c r="BK312" i="24"/>
  <c r="S312" i="24"/>
  <c r="T312" i="24" s="1"/>
  <c r="BI75" i="25"/>
  <c r="BI296" i="25"/>
  <c r="Q88" i="24"/>
  <c r="R88" i="24" s="1"/>
  <c r="P88" i="24"/>
  <c r="O45" i="24"/>
  <c r="BZ45" i="24" s="1"/>
  <c r="J45" i="24"/>
  <c r="BI46" i="25"/>
  <c r="N46" i="25"/>
  <c r="T46" i="25" s="1"/>
  <c r="AH68" i="25"/>
  <c r="BI19" i="25"/>
  <c r="N19" i="25"/>
  <c r="T19" i="25" s="1"/>
  <c r="BK105" i="24"/>
  <c r="S105" i="24"/>
  <c r="T105" i="24" s="1"/>
  <c r="M105" i="24"/>
  <c r="N105" i="24" s="1"/>
  <c r="BK316" i="24"/>
  <c r="S316" i="24"/>
  <c r="T316" i="24" s="1"/>
  <c r="M316" i="24"/>
  <c r="U316" i="24" s="1"/>
  <c r="L284" i="25"/>
  <c r="BQ191" i="25"/>
  <c r="BQ250" i="25"/>
  <c r="AH250" i="25"/>
  <c r="AH56" i="25"/>
  <c r="AH128" i="25"/>
  <c r="BI103" i="25"/>
  <c r="N103" i="25"/>
  <c r="L103" i="25"/>
  <c r="BK121" i="24"/>
  <c r="S121" i="24"/>
  <c r="T121" i="24" s="1"/>
  <c r="K121" i="24"/>
  <c r="AP219" i="24"/>
  <c r="N234" i="25"/>
  <c r="N66" i="25"/>
  <c r="N112" i="25"/>
  <c r="O44" i="24"/>
  <c r="BZ44" i="24" s="1"/>
  <c r="J44" i="24"/>
  <c r="O294" i="24"/>
  <c r="BZ294" i="24" s="1"/>
  <c r="J294" i="24"/>
  <c r="M173" i="24"/>
  <c r="N173" i="24" s="1"/>
  <c r="AP173" i="24" s="1"/>
  <c r="N47" i="25"/>
  <c r="M156" i="24"/>
  <c r="N156" i="24" s="1"/>
  <c r="M149" i="24"/>
  <c r="N228" i="25"/>
  <c r="N289" i="25"/>
  <c r="N249" i="25"/>
  <c r="N102" i="25"/>
  <c r="T102" i="25" s="1"/>
  <c r="N187" i="25"/>
  <c r="M139" i="24"/>
  <c r="N225" i="25"/>
  <c r="M58" i="24"/>
  <c r="N311" i="25"/>
  <c r="T311" i="25" s="1"/>
  <c r="M154" i="24"/>
  <c r="N154" i="24" s="1"/>
  <c r="N281" i="25"/>
  <c r="N55" i="25"/>
  <c r="BK96" i="24"/>
  <c r="S96" i="24"/>
  <c r="T96" i="24" s="1"/>
  <c r="M96" i="24"/>
  <c r="N96" i="24" s="1"/>
  <c r="AP96" i="24" s="1"/>
  <c r="BI266" i="25"/>
  <c r="N266" i="25"/>
  <c r="BK158" i="24"/>
  <c r="S158" i="24"/>
  <c r="T158" i="24" s="1"/>
  <c r="M158" i="24"/>
  <c r="AH237" i="25"/>
  <c r="AH195" i="25"/>
  <c r="K268" i="24"/>
  <c r="BK83" i="24"/>
  <c r="S83" i="24"/>
  <c r="T83" i="24" s="1"/>
  <c r="AH26" i="25"/>
  <c r="AH203" i="25"/>
  <c r="BK228" i="24"/>
  <c r="S228" i="24"/>
  <c r="T228" i="24" s="1"/>
  <c r="M228" i="24"/>
  <c r="U228" i="24" s="1"/>
  <c r="BI194" i="25"/>
  <c r="N194" i="25"/>
  <c r="AP272" i="24"/>
  <c r="AP14" i="24"/>
  <c r="L270" i="25"/>
  <c r="U24" i="24"/>
  <c r="BK18" i="24"/>
  <c r="S18" i="24"/>
  <c r="T18" i="24" s="1"/>
  <c r="BI269" i="25"/>
  <c r="N269" i="25"/>
  <c r="T269" i="25" s="1"/>
  <c r="K123" i="24"/>
  <c r="BI74" i="25"/>
  <c r="N74" i="25"/>
  <c r="K145" i="24"/>
  <c r="AH71" i="25"/>
  <c r="U163" i="24"/>
  <c r="L180" i="25"/>
  <c r="K256" i="24"/>
  <c r="AH58" i="25"/>
  <c r="BK251" i="24"/>
  <c r="S251" i="24"/>
  <c r="T251" i="24" s="1"/>
  <c r="K133" i="24"/>
  <c r="BK280" i="24"/>
  <c r="S280" i="24"/>
  <c r="T280" i="24" s="1"/>
  <c r="K280" i="24"/>
  <c r="L37" i="25"/>
  <c r="BK19" i="24"/>
  <c r="S19" i="24"/>
  <c r="T19" i="24" s="1"/>
  <c r="BK39" i="24"/>
  <c r="S39" i="24"/>
  <c r="T39" i="24" s="1"/>
  <c r="M39" i="24"/>
  <c r="AH163" i="25"/>
  <c r="AH157" i="25"/>
  <c r="L279" i="25"/>
  <c r="BK259" i="24"/>
  <c r="S259" i="24"/>
  <c r="T259" i="24" s="1"/>
  <c r="M259" i="24"/>
  <c r="U259" i="24" s="1"/>
  <c r="BK100" i="24"/>
  <c r="S100" i="24"/>
  <c r="T100" i="24" s="1"/>
  <c r="M100" i="24"/>
  <c r="BI188" i="25"/>
  <c r="N188" i="25"/>
  <c r="BK63" i="24"/>
  <c r="S63" i="24"/>
  <c r="T63" i="24" s="1"/>
  <c r="M63" i="24"/>
  <c r="BI208" i="25"/>
  <c r="N208" i="25"/>
  <c r="BI218" i="25"/>
  <c r="N218" i="25"/>
  <c r="BK126" i="24"/>
  <c r="S126" i="24"/>
  <c r="T126" i="24" s="1"/>
  <c r="M126" i="24"/>
  <c r="K126" i="24"/>
  <c r="BQ129" i="25"/>
  <c r="BI13" i="25"/>
  <c r="BI71" i="25"/>
  <c r="L145" i="25"/>
  <c r="AH105" i="25"/>
  <c r="BK266" i="24"/>
  <c r="S266" i="24"/>
  <c r="T266" i="24" s="1"/>
  <c r="M266" i="24"/>
  <c r="U266" i="24" s="1"/>
  <c r="L266" i="25"/>
  <c r="BK309" i="24"/>
  <c r="S309" i="24"/>
  <c r="T309" i="24" s="1"/>
  <c r="M309" i="24"/>
  <c r="U309" i="24" s="1"/>
  <c r="N122" i="25"/>
  <c r="N23" i="25"/>
  <c r="J7" i="24"/>
  <c r="O7" i="24"/>
  <c r="BZ7" i="24" s="1"/>
  <c r="L197" i="25"/>
  <c r="BK164" i="24"/>
  <c r="S164" i="24"/>
  <c r="T164" i="24" s="1"/>
  <c r="M164" i="24"/>
  <c r="AP76" i="24"/>
  <c r="BI297" i="25"/>
  <c r="N297" i="25"/>
  <c r="L297" i="25"/>
  <c r="AH99" i="25"/>
  <c r="AH82" i="25"/>
  <c r="AH87" i="25"/>
  <c r="U27" i="24"/>
  <c r="AH12" i="25"/>
  <c r="BI238" i="25"/>
  <c r="L238" i="25"/>
  <c r="BI171" i="25"/>
  <c r="N171" i="25"/>
  <c r="BI117" i="25"/>
  <c r="N117" i="25"/>
  <c r="T117" i="25" s="1"/>
  <c r="K263" i="24"/>
  <c r="AP188" i="24"/>
  <c r="AH200" i="25"/>
  <c r="BK200" i="24"/>
  <c r="S200" i="24"/>
  <c r="T200" i="24" s="1"/>
  <c r="T276" i="25"/>
  <c r="BI306" i="25"/>
  <c r="L55" i="25"/>
  <c r="BK226" i="24"/>
  <c r="S226" i="24"/>
  <c r="T226" i="24" s="1"/>
  <c r="BI173" i="25"/>
  <c r="AH173" i="25"/>
  <c r="BK279" i="24"/>
  <c r="S279" i="24"/>
  <c r="T279" i="24" s="1"/>
  <c r="AH247" i="25"/>
  <c r="BI292" i="25"/>
  <c r="BI86" i="25"/>
  <c r="L86" i="25"/>
  <c r="T161" i="25"/>
  <c r="BQ102" i="25"/>
  <c r="K115" i="24"/>
  <c r="N182" i="25"/>
  <c r="T182" i="25" s="1"/>
  <c r="M51" i="24"/>
  <c r="N51" i="24" s="1"/>
  <c r="BK181" i="24"/>
  <c r="S181" i="24"/>
  <c r="T181" i="24" s="1"/>
  <c r="K181" i="24"/>
  <c r="K271" i="24"/>
  <c r="L307" i="25"/>
  <c r="K300" i="24"/>
  <c r="L289" i="25"/>
  <c r="K183" i="24"/>
  <c r="BI240" i="25"/>
  <c r="AP238" i="24"/>
  <c r="K238" i="24"/>
  <c r="AH242" i="25"/>
  <c r="BI158" i="25"/>
  <c r="AH158" i="25"/>
  <c r="BK310" i="24"/>
  <c r="S310" i="24"/>
  <c r="T310" i="24" s="1"/>
  <c r="BI113" i="25"/>
  <c r="M280" i="24"/>
  <c r="U280" i="24" s="1"/>
  <c r="T62" i="25"/>
  <c r="BI207" i="25"/>
  <c r="N207" i="25"/>
  <c r="L207" i="25"/>
  <c r="K258" i="24"/>
  <c r="K175" i="24"/>
  <c r="L35" i="25"/>
  <c r="L48" i="25"/>
  <c r="AH24" i="25"/>
  <c r="BI22" i="25"/>
  <c r="N22" i="25"/>
  <c r="L153" i="25"/>
  <c r="BI135" i="25"/>
  <c r="N135" i="25"/>
  <c r="BI286" i="25"/>
  <c r="N286" i="25"/>
  <c r="L286" i="25"/>
  <c r="BI268" i="25"/>
  <c r="N268" i="25"/>
  <c r="L36" i="25"/>
  <c r="AH256" i="25"/>
  <c r="L41" i="25"/>
  <c r="AH69" i="25"/>
  <c r="BK57" i="24"/>
  <c r="S57" i="24"/>
  <c r="T57" i="24" s="1"/>
  <c r="M57" i="24"/>
  <c r="BI299" i="25"/>
  <c r="N299" i="25"/>
  <c r="AH7" i="25"/>
  <c r="K262" i="24"/>
  <c r="BK64" i="24"/>
  <c r="S64" i="24"/>
  <c r="T64" i="24" s="1"/>
  <c r="M64" i="24"/>
  <c r="BQ61" i="25"/>
  <c r="K197" i="24"/>
  <c r="BK10" i="24"/>
  <c r="S10" i="24"/>
  <c r="T10" i="24" s="1"/>
  <c r="L88" i="25"/>
  <c r="BI255" i="25"/>
  <c r="BI59" i="25"/>
  <c r="BI32" i="25"/>
  <c r="AP127" i="24"/>
  <c r="BK313" i="24"/>
  <c r="S313" i="24"/>
  <c r="T313" i="24" s="1"/>
  <c r="K199" i="24"/>
  <c r="AP199" i="24"/>
  <c r="BI14" i="25"/>
  <c r="T267" i="25"/>
  <c r="L178" i="25"/>
  <c r="K201" i="24"/>
  <c r="M256" i="24"/>
  <c r="N256" i="24" s="1"/>
  <c r="BK204" i="24"/>
  <c r="S204" i="24"/>
  <c r="T204" i="24" s="1"/>
  <c r="M204" i="24"/>
  <c r="T314" i="25"/>
  <c r="AH90" i="25"/>
  <c r="L285" i="25"/>
  <c r="U47" i="24"/>
  <c r="K139" i="24"/>
  <c r="BI261" i="25"/>
  <c r="AH172" i="25"/>
  <c r="BQ78" i="25"/>
  <c r="AH78" i="25"/>
  <c r="AH124" i="25"/>
  <c r="BI248" i="25"/>
  <c r="L223" i="25"/>
  <c r="BK78" i="24"/>
  <c r="S78" i="24"/>
  <c r="T78" i="24" s="1"/>
  <c r="M78" i="24"/>
  <c r="BK134" i="24"/>
  <c r="S134" i="24"/>
  <c r="T134" i="24" s="1"/>
  <c r="K254" i="24"/>
  <c r="J142" i="24"/>
  <c r="O142" i="24"/>
  <c r="BZ142" i="24" s="1"/>
  <c r="BI204" i="25"/>
  <c r="L204" i="25"/>
  <c r="BI114" i="25"/>
  <c r="AH114" i="25"/>
  <c r="AH221" i="25"/>
  <c r="L278" i="25"/>
  <c r="AP270" i="24"/>
  <c r="AH234" i="25"/>
  <c r="AH63" i="25"/>
  <c r="M9" i="24"/>
  <c r="N9" i="24" s="1"/>
  <c r="AP9" i="24" s="1"/>
  <c r="L111" i="25"/>
  <c r="U25" i="24"/>
  <c r="BK32" i="24"/>
  <c r="S32" i="24"/>
  <c r="T32" i="24" s="1"/>
  <c r="L228" i="25"/>
  <c r="BQ316" i="25"/>
  <c r="L216" i="25"/>
  <c r="BI216" i="25"/>
  <c r="N216" i="25"/>
  <c r="AH298" i="25"/>
  <c r="T199" i="25"/>
  <c r="BI138" i="25"/>
  <c r="BQ244" i="25"/>
  <c r="T170" i="25"/>
  <c r="L170" i="25"/>
  <c r="L296" i="25"/>
  <c r="BK88" i="24"/>
  <c r="S88" i="24"/>
  <c r="T88" i="24" s="1"/>
  <c r="U52" i="24"/>
  <c r="AH205" i="25"/>
  <c r="M151" i="24"/>
  <c r="N151" i="24" s="1"/>
  <c r="BK174" i="24"/>
  <c r="S174" i="24"/>
  <c r="T174" i="24" s="1"/>
  <c r="M174" i="24"/>
  <c r="L312" i="25"/>
  <c r="L43" i="25"/>
  <c r="BI40" i="25"/>
  <c r="N40" i="25"/>
  <c r="L139" i="25"/>
  <c r="BI156" i="25"/>
  <c r="N156" i="25"/>
  <c r="BK260" i="24"/>
  <c r="S260" i="24"/>
  <c r="T260" i="24" s="1"/>
  <c r="M260" i="24"/>
  <c r="U260" i="24" s="1"/>
  <c r="BI301" i="25"/>
  <c r="N301" i="25"/>
  <c r="BI76" i="25"/>
  <c r="N76" i="25"/>
  <c r="AH76" i="25"/>
  <c r="K189" i="24"/>
  <c r="L191" i="25"/>
  <c r="AH303" i="25"/>
  <c r="BK229" i="24"/>
  <c r="S229" i="24"/>
  <c r="T229" i="24" s="1"/>
  <c r="M229" i="24"/>
  <c r="U229" i="24" s="1"/>
  <c r="BQ136" i="25"/>
  <c r="U121" i="24"/>
  <c r="AP72" i="24"/>
  <c r="N295" i="25"/>
  <c r="N272" i="25"/>
  <c r="N138" i="25"/>
  <c r="N101" i="25"/>
  <c r="M242" i="24"/>
  <c r="N242" i="24" s="1"/>
  <c r="N298" i="25"/>
  <c r="M220" i="24"/>
  <c r="U220" i="24" s="1"/>
  <c r="M197" i="24"/>
  <c r="N197" i="24" s="1"/>
  <c r="AP197" i="24" s="1"/>
  <c r="N78" i="25"/>
  <c r="N285" i="25"/>
  <c r="T285" i="25" s="1"/>
  <c r="M17" i="24"/>
  <c r="N17" i="24" s="1"/>
  <c r="N309" i="25"/>
  <c r="T309" i="25" s="1"/>
  <c r="M92" i="24"/>
  <c r="N92" i="24" s="1"/>
  <c r="N304" i="25"/>
  <c r="N181" i="25"/>
  <c r="M8" i="24"/>
  <c r="M136" i="24"/>
  <c r="N136" i="24" s="1"/>
  <c r="N86" i="25"/>
  <c r="N287" i="25"/>
  <c r="M240" i="24"/>
  <c r="N240" i="24" s="1"/>
  <c r="M222" i="24"/>
  <c r="N121" i="25"/>
  <c r="N134" i="25"/>
  <c r="T134" i="25" s="1"/>
  <c r="Q233" i="24" l="1"/>
  <c r="AP230" i="24"/>
  <c r="AP233" i="24"/>
  <c r="AP264" i="24"/>
  <c r="U233" i="24"/>
  <c r="V233" i="24" s="1"/>
  <c r="W257" i="24"/>
  <c r="P294" i="24"/>
  <c r="P190" i="25"/>
  <c r="Q294" i="24"/>
  <c r="AP175" i="24"/>
  <c r="Q264" i="24"/>
  <c r="Q84" i="24"/>
  <c r="R84" i="24" s="1"/>
  <c r="AP281" i="24"/>
  <c r="U264" i="24"/>
  <c r="V264" i="24" s="1"/>
  <c r="O190" i="25"/>
  <c r="S190" i="25" s="1"/>
  <c r="K190" i="25" s="1"/>
  <c r="P262" i="25"/>
  <c r="O264" i="24"/>
  <c r="BZ264" i="24" s="1"/>
  <c r="U294" i="24"/>
  <c r="V294" i="24" s="1"/>
  <c r="O257" i="24"/>
  <c r="BZ257" i="24" s="1"/>
  <c r="U241" i="24"/>
  <c r="U276" i="24"/>
  <c r="V276" i="24" s="1"/>
  <c r="N301" i="24"/>
  <c r="AP301" i="24" s="1"/>
  <c r="U301" i="24"/>
  <c r="U295" i="24"/>
  <c r="U258" i="24"/>
  <c r="V258" i="24" s="1"/>
  <c r="U243" i="24"/>
  <c r="N284" i="24"/>
  <c r="P284" i="24" s="1"/>
  <c r="U284" i="24"/>
  <c r="V284" i="24" s="1"/>
  <c r="U251" i="24"/>
  <c r="V251" i="24" s="1"/>
  <c r="U244" i="24"/>
  <c r="U217" i="24"/>
  <c r="V217" i="24" s="1"/>
  <c r="U240" i="24"/>
  <c r="U256" i="24"/>
  <c r="U265" i="24"/>
  <c r="V265" i="24" s="1"/>
  <c r="N222" i="24"/>
  <c r="Q222" i="24" s="1"/>
  <c r="U222" i="24"/>
  <c r="N253" i="24"/>
  <c r="AP253" i="24" s="1"/>
  <c r="U253" i="24"/>
  <c r="V253" i="24" s="1"/>
  <c r="N275" i="24"/>
  <c r="AP275" i="24" s="1"/>
  <c r="U275" i="24"/>
  <c r="U291" i="24"/>
  <c r="U250" i="24"/>
  <c r="U246" i="24"/>
  <c r="V246" i="24" s="1"/>
  <c r="U286" i="24"/>
  <c r="V286" i="24" s="1"/>
  <c r="U304" i="24"/>
  <c r="U281" i="24"/>
  <c r="V281" i="24" s="1"/>
  <c r="U269" i="24"/>
  <c r="V269" i="24" s="1"/>
  <c r="N300" i="24"/>
  <c r="P300" i="24" s="1"/>
  <c r="U300" i="24"/>
  <c r="N285" i="24"/>
  <c r="AP285" i="24" s="1"/>
  <c r="U285" i="24"/>
  <c r="V285" i="24" s="1"/>
  <c r="U311" i="24"/>
  <c r="V311" i="24" s="1"/>
  <c r="U299" i="24"/>
  <c r="U224" i="24"/>
  <c r="V224" i="24" s="1"/>
  <c r="U254" i="24"/>
  <c r="V254" i="24" s="1"/>
  <c r="U283" i="24"/>
  <c r="U221" i="24"/>
  <c r="U267" i="24"/>
  <c r="V267" i="24" s="1"/>
  <c r="U278" i="24"/>
  <c r="V278" i="24" s="1"/>
  <c r="U305" i="24"/>
  <c r="V305" i="24" s="1"/>
  <c r="U261" i="24"/>
  <c r="U314" i="24"/>
  <c r="V314" i="24" s="1"/>
  <c r="U252" i="24"/>
  <c r="V252" i="24" s="1"/>
  <c r="U302" i="24"/>
  <c r="V302" i="24" s="1"/>
  <c r="U242" i="24"/>
  <c r="U230" i="24"/>
  <c r="V230" i="24" s="1"/>
  <c r="U296" i="24"/>
  <c r="V296" i="24" s="1"/>
  <c r="N297" i="24"/>
  <c r="AP297" i="24" s="1"/>
  <c r="U297" i="24"/>
  <c r="N289" i="24"/>
  <c r="P289" i="24" s="1"/>
  <c r="U289" i="24"/>
  <c r="V289" i="24" s="1"/>
  <c r="U274" i="24"/>
  <c r="V274" i="24" s="1"/>
  <c r="U293" i="24"/>
  <c r="U273" i="24"/>
  <c r="V273" i="24" s="1"/>
  <c r="U235" i="24"/>
  <c r="U245" i="24"/>
  <c r="AP224" i="24"/>
  <c r="AP118" i="24"/>
  <c r="AO30" i="25"/>
  <c r="AO21" i="25"/>
  <c r="AP23" i="24"/>
  <c r="Q137" i="24"/>
  <c r="AO14" i="25"/>
  <c r="AP66" i="24"/>
  <c r="AP111" i="24"/>
  <c r="AP217" i="24"/>
  <c r="AO6" i="25"/>
  <c r="AP87" i="24"/>
  <c r="AP269" i="24"/>
  <c r="AP165" i="24"/>
  <c r="AP97" i="24"/>
  <c r="AP305" i="24"/>
  <c r="O55" i="24"/>
  <c r="BZ55" i="24" s="1"/>
  <c r="AP267" i="24"/>
  <c r="AP56" i="24"/>
  <c r="O262" i="25"/>
  <c r="AO262" i="25" s="1"/>
  <c r="AP208" i="24"/>
  <c r="AP193" i="24"/>
  <c r="AP299" i="24"/>
  <c r="O94" i="25"/>
  <c r="S94" i="25" s="1"/>
  <c r="K94" i="25" s="1"/>
  <c r="AP101" i="24"/>
  <c r="AP202" i="24"/>
  <c r="P55" i="24"/>
  <c r="Q55" i="24"/>
  <c r="R55" i="24" s="1"/>
  <c r="U55" i="24"/>
  <c r="V55" i="24" s="1"/>
  <c r="P94" i="25"/>
  <c r="Q160" i="24"/>
  <c r="AP286" i="24"/>
  <c r="AP81" i="24"/>
  <c r="AP180" i="24"/>
  <c r="AP310" i="24"/>
  <c r="AP98" i="24"/>
  <c r="AP306" i="24"/>
  <c r="AP200" i="24"/>
  <c r="AP160" i="24"/>
  <c r="W45" i="24"/>
  <c r="Y45" i="24" s="1"/>
  <c r="AO71" i="25"/>
  <c r="Y257" i="24"/>
  <c r="U105" i="24"/>
  <c r="V105" i="24" s="1"/>
  <c r="P11" i="25"/>
  <c r="U160" i="24"/>
  <c r="V160" i="24" s="1"/>
  <c r="O11" i="25"/>
  <c r="AO11" i="25" s="1"/>
  <c r="AP252" i="24"/>
  <c r="O41" i="24"/>
  <c r="BZ41" i="24" s="1"/>
  <c r="AP186" i="24"/>
  <c r="P280" i="25"/>
  <c r="O280" i="25"/>
  <c r="Q280" i="25" s="1"/>
  <c r="AP245" i="24"/>
  <c r="BZ273" i="25"/>
  <c r="BZ306" i="25"/>
  <c r="BZ31" i="25"/>
  <c r="AO306" i="25"/>
  <c r="O155" i="25"/>
  <c r="AO155" i="25" s="1"/>
  <c r="P155" i="25"/>
  <c r="AP241" i="24"/>
  <c r="AP178" i="24"/>
  <c r="U87" i="24"/>
  <c r="V87" i="24" s="1"/>
  <c r="O96" i="25"/>
  <c r="P96" i="25"/>
  <c r="T154" i="25"/>
  <c r="U154" i="25" s="1"/>
  <c r="Q286" i="24"/>
  <c r="P286" i="24"/>
  <c r="Q252" i="24"/>
  <c r="P77" i="24"/>
  <c r="Q77" i="24"/>
  <c r="R77" i="24" s="1"/>
  <c r="P137" i="24"/>
  <c r="P246" i="24"/>
  <c r="AP137" i="24"/>
  <c r="AP84" i="24"/>
  <c r="Q246" i="24"/>
  <c r="U137" i="24"/>
  <c r="V137" i="24" s="1"/>
  <c r="P84" i="24"/>
  <c r="U74" i="24"/>
  <c r="V74" i="24" s="1"/>
  <c r="BZ147" i="25"/>
  <c r="O154" i="25"/>
  <c r="AO154" i="25" s="1"/>
  <c r="U118" i="24"/>
  <c r="V118" i="24" s="1"/>
  <c r="P276" i="24"/>
  <c r="P189" i="25"/>
  <c r="Q276" i="24"/>
  <c r="Q143" i="25"/>
  <c r="N223" i="24"/>
  <c r="AP223" i="24" s="1"/>
  <c r="U12" i="24"/>
  <c r="V12" i="24" s="1"/>
  <c r="AP170" i="24"/>
  <c r="BZ114" i="25"/>
  <c r="U35" i="24"/>
  <c r="V35" i="24" s="1"/>
  <c r="U60" i="24"/>
  <c r="V60" i="24" s="1"/>
  <c r="O97" i="25"/>
  <c r="AP166" i="24"/>
  <c r="Q157" i="24"/>
  <c r="P157" i="24"/>
  <c r="O29" i="25"/>
  <c r="R29" i="25" s="1"/>
  <c r="P251" i="24"/>
  <c r="U152" i="24"/>
  <c r="V152" i="24" s="1"/>
  <c r="AO92" i="25"/>
  <c r="P29" i="25"/>
  <c r="P134" i="24"/>
  <c r="U157" i="24"/>
  <c r="V157" i="24" s="1"/>
  <c r="Q251" i="24"/>
  <c r="BZ174" i="25"/>
  <c r="Q134" i="24"/>
  <c r="U178" i="24"/>
  <c r="V178" i="24" s="1"/>
  <c r="AP274" i="24"/>
  <c r="R143" i="25"/>
  <c r="S143" i="25"/>
  <c r="K143" i="25" s="1"/>
  <c r="V143" i="25" s="1"/>
  <c r="X143" i="25" s="1"/>
  <c r="BZ143" i="25"/>
  <c r="BZ267" i="25"/>
  <c r="O189" i="25"/>
  <c r="AO189" i="25" s="1"/>
  <c r="BZ292" i="25"/>
  <c r="P97" i="25"/>
  <c r="U81" i="24"/>
  <c r="V81" i="24" s="1"/>
  <c r="O265" i="25"/>
  <c r="AO265" i="25" s="1"/>
  <c r="U207" i="24"/>
  <c r="V207" i="24" s="1"/>
  <c r="AP167" i="24"/>
  <c r="P265" i="25"/>
  <c r="Q167" i="24"/>
  <c r="U91" i="24"/>
  <c r="V91" i="24" s="1"/>
  <c r="U166" i="24"/>
  <c r="V166" i="24" s="1"/>
  <c r="U67" i="24"/>
  <c r="V67" i="24" s="1"/>
  <c r="BZ161" i="25"/>
  <c r="BZ71" i="25"/>
  <c r="P237" i="25"/>
  <c r="BZ247" i="25"/>
  <c r="O179" i="25"/>
  <c r="R179" i="25" s="1"/>
  <c r="T179" i="25"/>
  <c r="U179" i="25" s="1"/>
  <c r="T258" i="25"/>
  <c r="U258" i="25" s="1"/>
  <c r="O237" i="25"/>
  <c r="R237" i="25" s="1"/>
  <c r="O258" i="25"/>
  <c r="BZ258" i="25" s="1"/>
  <c r="BZ167" i="25"/>
  <c r="U66" i="24"/>
  <c r="V66" i="24" s="1"/>
  <c r="BZ82" i="25"/>
  <c r="U99" i="24"/>
  <c r="V99" i="24" s="1"/>
  <c r="BZ30" i="25"/>
  <c r="BZ238" i="25"/>
  <c r="BZ32" i="25"/>
  <c r="BZ13" i="25"/>
  <c r="AO82" i="25"/>
  <c r="O104" i="25"/>
  <c r="BZ199" i="25"/>
  <c r="BZ248" i="25"/>
  <c r="P104" i="25"/>
  <c r="O291" i="25"/>
  <c r="AO291" i="25" s="1"/>
  <c r="P291" i="25"/>
  <c r="P59" i="25"/>
  <c r="O59" i="25"/>
  <c r="S59" i="25" s="1"/>
  <c r="K59" i="25" s="1"/>
  <c r="V59" i="25" s="1"/>
  <c r="O28" i="25"/>
  <c r="AO28" i="25" s="1"/>
  <c r="BZ14" i="25"/>
  <c r="P28" i="25"/>
  <c r="BZ276" i="25"/>
  <c r="BZ305" i="25"/>
  <c r="BZ178" i="25"/>
  <c r="BZ283" i="25"/>
  <c r="BZ95" i="25"/>
  <c r="BZ204" i="25"/>
  <c r="BZ206" i="25"/>
  <c r="BZ259" i="25"/>
  <c r="BZ92" i="25"/>
  <c r="BZ229" i="25"/>
  <c r="AO259" i="25"/>
  <c r="BZ243" i="25"/>
  <c r="AO206" i="25"/>
  <c r="BZ240" i="25"/>
  <c r="V129" i="25"/>
  <c r="X129" i="25" s="1"/>
  <c r="FI212" i="25"/>
  <c r="FJ212" i="25"/>
  <c r="BZ293" i="25"/>
  <c r="U11" i="24"/>
  <c r="V11" i="24" s="1"/>
  <c r="U173" i="24"/>
  <c r="V173" i="24" s="1"/>
  <c r="U20" i="24"/>
  <c r="V20" i="24" s="1"/>
  <c r="U49" i="24"/>
  <c r="V49" i="24" s="1"/>
  <c r="U125" i="24"/>
  <c r="V125" i="24" s="1"/>
  <c r="U167" i="24"/>
  <c r="V167" i="24" s="1"/>
  <c r="U175" i="24"/>
  <c r="V175" i="24" s="1"/>
  <c r="U82" i="24"/>
  <c r="V82" i="24" s="1"/>
  <c r="BZ173" i="25"/>
  <c r="BZ21" i="25"/>
  <c r="BZ201" i="25"/>
  <c r="BZ192" i="25"/>
  <c r="BZ89" i="25"/>
  <c r="P77" i="25"/>
  <c r="O77" i="25"/>
  <c r="T77" i="25"/>
  <c r="U77" i="25" s="1"/>
  <c r="AO293" i="25"/>
  <c r="BZ314" i="25"/>
  <c r="U208" i="24"/>
  <c r="V208" i="24" s="1"/>
  <c r="U13" i="24"/>
  <c r="V13" i="24" s="1"/>
  <c r="U201" i="24"/>
  <c r="V201" i="24" s="1"/>
  <c r="U155" i="24"/>
  <c r="V155" i="24" s="1"/>
  <c r="BZ87" i="25"/>
  <c r="BZ261" i="25"/>
  <c r="BZ232" i="25"/>
  <c r="BZ148" i="25"/>
  <c r="BZ296" i="25"/>
  <c r="BZ6" i="25"/>
  <c r="U124" i="24"/>
  <c r="AO87" i="25"/>
  <c r="U169" i="24"/>
  <c r="V169" i="24" s="1"/>
  <c r="U165" i="24"/>
  <c r="V165" i="24" s="1"/>
  <c r="BZ158" i="25"/>
  <c r="AO232" i="25"/>
  <c r="AO261" i="25"/>
  <c r="U202" i="24"/>
  <c r="V202" i="24" s="1"/>
  <c r="U70" i="24"/>
  <c r="V70" i="24" s="1"/>
  <c r="U189" i="24"/>
  <c r="V189" i="24" s="1"/>
  <c r="W236" i="24"/>
  <c r="Y236" i="24" s="1"/>
  <c r="BZ282" i="25"/>
  <c r="BZ246" i="25"/>
  <c r="BZ113" i="25"/>
  <c r="AO148" i="25"/>
  <c r="U198" i="24"/>
  <c r="V198" i="24" s="1"/>
  <c r="AO192" i="25"/>
  <c r="AO89" i="25"/>
  <c r="U15" i="24"/>
  <c r="V15" i="24" s="1"/>
  <c r="BZ34" i="25"/>
  <c r="U37" i="24"/>
  <c r="P41" i="24"/>
  <c r="Q41" i="24"/>
  <c r="R41" i="24" s="1"/>
  <c r="U77" i="24"/>
  <c r="V77" i="24" s="1"/>
  <c r="U50" i="24"/>
  <c r="V50" i="24" s="1"/>
  <c r="U128" i="24"/>
  <c r="V128" i="24" s="1"/>
  <c r="BZ275" i="25"/>
  <c r="U84" i="24"/>
  <c r="V84" i="24" s="1"/>
  <c r="U56" i="24"/>
  <c r="V56" i="24" s="1"/>
  <c r="U134" i="24"/>
  <c r="V134" i="24" s="1"/>
  <c r="BZ186" i="25"/>
  <c r="U193" i="25"/>
  <c r="U151" i="25"/>
  <c r="U245" i="25"/>
  <c r="U102" i="25"/>
  <c r="U271" i="25"/>
  <c r="U263" i="25"/>
  <c r="U284" i="25"/>
  <c r="U164" i="25"/>
  <c r="U309" i="25"/>
  <c r="U17" i="25"/>
  <c r="U311" i="25"/>
  <c r="U48" i="25"/>
  <c r="U236" i="25"/>
  <c r="U60" i="25"/>
  <c r="U152" i="25"/>
  <c r="U241" i="25"/>
  <c r="U269" i="25"/>
  <c r="U8" i="25"/>
  <c r="U16" i="25"/>
  <c r="U88" i="25"/>
  <c r="U132" i="25"/>
  <c r="U117" i="25"/>
  <c r="U182" i="25"/>
  <c r="U83" i="25"/>
  <c r="U130" i="25"/>
  <c r="U37" i="25"/>
  <c r="U141" i="25"/>
  <c r="U134" i="25"/>
  <c r="U166" i="25"/>
  <c r="U43" i="25"/>
  <c r="N220" i="24"/>
  <c r="J88" i="24"/>
  <c r="O88" i="24"/>
  <c r="BZ88" i="24" s="1"/>
  <c r="U7" i="25"/>
  <c r="U20" i="25"/>
  <c r="U180" i="25"/>
  <c r="P240" i="24"/>
  <c r="Q240" i="24"/>
  <c r="Q256" i="24"/>
  <c r="P256" i="24"/>
  <c r="J19" i="24"/>
  <c r="W19" i="24" s="1"/>
  <c r="O19" i="24"/>
  <c r="BZ19" i="24" s="1"/>
  <c r="P138" i="25"/>
  <c r="O138" i="25"/>
  <c r="T138" i="25"/>
  <c r="N229" i="24"/>
  <c r="U312" i="25"/>
  <c r="V312" i="24"/>
  <c r="V290" i="24"/>
  <c r="N78" i="24"/>
  <c r="U78" i="24"/>
  <c r="J204" i="24"/>
  <c r="O204" i="24"/>
  <c r="BZ204" i="24" s="1"/>
  <c r="J64" i="24"/>
  <c r="O64" i="24"/>
  <c r="BZ64" i="24" s="1"/>
  <c r="P135" i="25"/>
  <c r="O135" i="25"/>
  <c r="T135" i="25"/>
  <c r="U150" i="25"/>
  <c r="N164" i="24"/>
  <c r="U164" i="24"/>
  <c r="AE7" i="24"/>
  <c r="AI7" i="24"/>
  <c r="X7" i="24"/>
  <c r="AA7" i="24" s="1"/>
  <c r="AB7" i="24" s="1"/>
  <c r="AC7" i="24" s="1"/>
  <c r="N266" i="24"/>
  <c r="P218" i="25"/>
  <c r="O218" i="25"/>
  <c r="T218" i="25"/>
  <c r="P188" i="25"/>
  <c r="O188" i="25"/>
  <c r="T188" i="25"/>
  <c r="N100" i="24"/>
  <c r="U100" i="24"/>
  <c r="N39" i="24"/>
  <c r="U39" i="24"/>
  <c r="J251" i="24"/>
  <c r="O251" i="24"/>
  <c r="BZ251" i="24" s="1"/>
  <c r="J158" i="24"/>
  <c r="O158" i="24"/>
  <c r="BZ158" i="24" s="1"/>
  <c r="O96" i="24"/>
  <c r="BZ96" i="24" s="1"/>
  <c r="J96" i="24"/>
  <c r="P225" i="25"/>
  <c r="O225" i="25"/>
  <c r="T225" i="25"/>
  <c r="Q156" i="24"/>
  <c r="P156" i="24"/>
  <c r="P66" i="25"/>
  <c r="O66" i="25"/>
  <c r="Q105" i="24"/>
  <c r="R105" i="24" s="1"/>
  <c r="P105" i="24"/>
  <c r="J290" i="24"/>
  <c r="W290" i="24" s="1"/>
  <c r="O290" i="24"/>
  <c r="BZ290" i="24" s="1"/>
  <c r="Q293" i="24"/>
  <c r="P293" i="24"/>
  <c r="J234" i="24"/>
  <c r="W234" i="24" s="1"/>
  <c r="O234" i="24"/>
  <c r="BZ234" i="24" s="1"/>
  <c r="O205" i="24"/>
  <c r="BZ205" i="24" s="1"/>
  <c r="J205" i="24"/>
  <c r="W205" i="24" s="1"/>
  <c r="O179" i="24"/>
  <c r="BZ179" i="24" s="1"/>
  <c r="J179" i="24"/>
  <c r="U246" i="25"/>
  <c r="P302" i="25"/>
  <c r="O302" i="25"/>
  <c r="T302" i="25"/>
  <c r="P242" i="25"/>
  <c r="O242" i="25"/>
  <c r="T242" i="25"/>
  <c r="N209" i="24"/>
  <c r="U209" i="24"/>
  <c r="P253" i="25"/>
  <c r="O253" i="25"/>
  <c r="J248" i="24"/>
  <c r="W248" i="24" s="1"/>
  <c r="O248" i="24"/>
  <c r="BZ248" i="24" s="1"/>
  <c r="J79" i="24"/>
  <c r="O79" i="24"/>
  <c r="BZ79" i="24" s="1"/>
  <c r="O77" i="24"/>
  <c r="BZ77" i="24" s="1"/>
  <c r="J77" i="24"/>
  <c r="N288" i="24"/>
  <c r="O276" i="24"/>
  <c r="BZ276" i="24" s="1"/>
  <c r="J276" i="24"/>
  <c r="J123" i="24"/>
  <c r="O123" i="24"/>
  <c r="BZ123" i="24" s="1"/>
  <c r="P93" i="25"/>
  <c r="O93" i="25"/>
  <c r="T93" i="25"/>
  <c r="P116" i="25"/>
  <c r="O116" i="25"/>
  <c r="T116" i="25"/>
  <c r="P65" i="25"/>
  <c r="O65" i="25"/>
  <c r="J30" i="24"/>
  <c r="W30" i="24" s="1"/>
  <c r="O30" i="24"/>
  <c r="BZ30" i="24" s="1"/>
  <c r="J124" i="24"/>
  <c r="O124" i="24"/>
  <c r="BZ124" i="24" s="1"/>
  <c r="P72" i="25"/>
  <c r="O72" i="25"/>
  <c r="T72" i="25"/>
  <c r="O52" i="24"/>
  <c r="BZ52" i="24" s="1"/>
  <c r="J52" i="24"/>
  <c r="W52" i="24" s="1"/>
  <c r="J61" i="24"/>
  <c r="W61" i="24" s="1"/>
  <c r="O61" i="24"/>
  <c r="BZ61" i="24" s="1"/>
  <c r="V199" i="24"/>
  <c r="O26" i="24"/>
  <c r="BZ26" i="24" s="1"/>
  <c r="J26" i="24"/>
  <c r="J183" i="24"/>
  <c r="O183" i="24"/>
  <c r="BZ183" i="24" s="1"/>
  <c r="AP154" i="24"/>
  <c r="J97" i="24"/>
  <c r="W97" i="24" s="1"/>
  <c r="O97" i="24"/>
  <c r="BZ97" i="24" s="1"/>
  <c r="W190" i="24"/>
  <c r="V190" i="24"/>
  <c r="N54" i="24"/>
  <c r="U54" i="24"/>
  <c r="P125" i="24"/>
  <c r="Q125" i="24"/>
  <c r="Q112" i="24"/>
  <c r="P112" i="24"/>
  <c r="Q299" i="24"/>
  <c r="P299" i="24"/>
  <c r="P54" i="25"/>
  <c r="O54" i="25"/>
  <c r="J196" i="24"/>
  <c r="O196" i="24"/>
  <c r="BZ196" i="24" s="1"/>
  <c r="V61" i="24"/>
  <c r="O237" i="24"/>
  <c r="BZ237" i="24" s="1"/>
  <c r="J237" i="24"/>
  <c r="W237" i="24" s="1"/>
  <c r="J238" i="24"/>
  <c r="W238" i="24" s="1"/>
  <c r="O238" i="24"/>
  <c r="BZ238" i="24" s="1"/>
  <c r="Q102" i="24"/>
  <c r="R102" i="24" s="1"/>
  <c r="P102" i="24"/>
  <c r="FJ110" i="25"/>
  <c r="FJ209" i="25"/>
  <c r="FI207" i="25"/>
  <c r="FI176" i="25"/>
  <c r="FJ164" i="25"/>
  <c r="FI113" i="25"/>
  <c r="FI204" i="25"/>
  <c r="FJ129" i="25"/>
  <c r="FI151" i="25"/>
  <c r="FI126" i="25"/>
  <c r="FI187" i="25"/>
  <c r="FI137" i="25"/>
  <c r="FJ189" i="25"/>
  <c r="FJ170" i="25"/>
  <c r="FI142" i="25"/>
  <c r="FJ158" i="25"/>
  <c r="FJ172" i="25"/>
  <c r="FI135" i="25"/>
  <c r="FI183" i="25"/>
  <c r="FJ123" i="25"/>
  <c r="FI168" i="25"/>
  <c r="FI157" i="25"/>
  <c r="FJ182" i="25"/>
  <c r="FI110" i="25"/>
  <c r="FJ141" i="25"/>
  <c r="F212" i="25"/>
  <c r="FI123" i="25"/>
  <c r="FI122" i="25"/>
  <c r="FI125" i="25"/>
  <c r="FJ190" i="25"/>
  <c r="FJ111" i="25"/>
  <c r="FJ148" i="25"/>
  <c r="FI166" i="25"/>
  <c r="FI201" i="25"/>
  <c r="FJ208" i="25"/>
  <c r="FJ203" i="25"/>
  <c r="FI190" i="25"/>
  <c r="FI174" i="25"/>
  <c r="FJ120" i="25"/>
  <c r="FI194" i="25"/>
  <c r="FJ142" i="25"/>
  <c r="FJ124" i="25"/>
  <c r="FI170" i="25"/>
  <c r="FJ121" i="25"/>
  <c r="FJ185" i="25"/>
  <c r="FJ153" i="25"/>
  <c r="FI156" i="25"/>
  <c r="FI143" i="25"/>
  <c r="FI121" i="25"/>
  <c r="FI119" i="25"/>
  <c r="FJ174" i="25"/>
  <c r="FI193" i="25"/>
  <c r="FI162" i="25"/>
  <c r="FI165" i="25"/>
  <c r="FJ161" i="25"/>
  <c r="FJ160" i="25"/>
  <c r="FJ191" i="25"/>
  <c r="FJ193" i="25"/>
  <c r="FJ207" i="25"/>
  <c r="FJ152" i="25"/>
  <c r="FJ177" i="25"/>
  <c r="FJ184" i="25"/>
  <c r="FI173" i="25"/>
  <c r="FI148" i="25"/>
  <c r="FI127" i="25"/>
  <c r="FI158" i="25"/>
  <c r="FI208" i="25"/>
  <c r="FJ130" i="25"/>
  <c r="FI167" i="25"/>
  <c r="FJ187" i="25"/>
  <c r="FI199" i="25"/>
  <c r="FJ195" i="25"/>
  <c r="FI180" i="25"/>
  <c r="FJ150" i="25"/>
  <c r="FJ127" i="25"/>
  <c r="FI131" i="25"/>
  <c r="FJ134" i="25"/>
  <c r="G212" i="25"/>
  <c r="FJ112" i="25"/>
  <c r="FI154" i="25"/>
  <c r="FI205" i="25"/>
  <c r="FJ167" i="25"/>
  <c r="FI140" i="25"/>
  <c r="FJ176" i="25"/>
  <c r="FI178" i="25"/>
  <c r="FI163" i="25"/>
  <c r="FJ114" i="25"/>
  <c r="FJ145" i="25"/>
  <c r="FI195" i="25"/>
  <c r="FJ186" i="25"/>
  <c r="FI197" i="25"/>
  <c r="FI116" i="25"/>
  <c r="FJ205" i="25"/>
  <c r="FI179" i="25"/>
  <c r="FI182" i="25"/>
  <c r="FI169" i="25"/>
  <c r="FI111" i="25"/>
  <c r="FJ157" i="25"/>
  <c r="FJ149" i="25"/>
  <c r="FJ175" i="25"/>
  <c r="FI206" i="25"/>
  <c r="FI115" i="25"/>
  <c r="FI185" i="25"/>
  <c r="FJ143" i="25"/>
  <c r="FI172" i="25"/>
  <c r="FI192" i="25"/>
  <c r="FJ173" i="25"/>
  <c r="FJ171" i="25"/>
  <c r="FJ116" i="25"/>
  <c r="FI129" i="25"/>
  <c r="FJ180" i="25"/>
  <c r="FJ163" i="25"/>
  <c r="FI198" i="25"/>
  <c r="FJ118" i="25"/>
  <c r="CE110" i="25"/>
  <c r="FI112" i="25"/>
  <c r="FI133" i="25"/>
  <c r="FJ137" i="25"/>
  <c r="FI124" i="25"/>
  <c r="FJ168" i="25"/>
  <c r="FJ178" i="25"/>
  <c r="FI164" i="25"/>
  <c r="FI175" i="25"/>
  <c r="FI186" i="25"/>
  <c r="FJ159" i="25"/>
  <c r="FI150" i="25"/>
  <c r="FI144" i="25"/>
  <c r="FJ169" i="25"/>
  <c r="FJ166" i="25"/>
  <c r="FJ181" i="25"/>
  <c r="FJ126" i="25"/>
  <c r="FJ131" i="25"/>
  <c r="FJ201" i="25"/>
  <c r="FJ128" i="25"/>
  <c r="FJ144" i="25"/>
  <c r="FI146" i="25"/>
  <c r="FI177" i="25"/>
  <c r="FI149" i="25"/>
  <c r="FJ200" i="25"/>
  <c r="FI196" i="25"/>
  <c r="FJ202" i="25"/>
  <c r="FJ198" i="25"/>
  <c r="FJ136" i="25"/>
  <c r="FI139" i="25"/>
  <c r="FI202" i="25"/>
  <c r="FJ155" i="25"/>
  <c r="FI188" i="25"/>
  <c r="FJ125" i="25"/>
  <c r="FJ117" i="25"/>
  <c r="FJ156" i="25"/>
  <c r="FJ132" i="25"/>
  <c r="FJ188" i="25"/>
  <c r="FI209" i="25"/>
  <c r="FJ140" i="25"/>
  <c r="FJ135" i="25"/>
  <c r="FI117" i="25"/>
  <c r="FJ179" i="25"/>
  <c r="FJ154" i="25"/>
  <c r="FJ194" i="25"/>
  <c r="FJ119" i="25"/>
  <c r="FJ133" i="25"/>
  <c r="FI210" i="25"/>
  <c r="FI134" i="25"/>
  <c r="FI153" i="25"/>
  <c r="FJ197" i="25"/>
  <c r="FI152" i="25"/>
  <c r="FI160" i="25"/>
  <c r="FJ204" i="25"/>
  <c r="FJ162" i="25"/>
  <c r="FI118" i="25"/>
  <c r="FI189" i="25"/>
  <c r="FI128" i="25"/>
  <c r="FI155" i="25"/>
  <c r="FI161" i="25"/>
  <c r="FJ115" i="25"/>
  <c r="FI159" i="25"/>
  <c r="FJ138" i="25"/>
  <c r="FJ183" i="25"/>
  <c r="FJ199" i="25"/>
  <c r="FJ192" i="25"/>
  <c r="FJ196" i="25"/>
  <c r="FI141" i="25"/>
  <c r="FI171" i="25"/>
  <c r="FI181" i="25"/>
  <c r="FJ147" i="25"/>
  <c r="FI114" i="25"/>
  <c r="FJ165" i="25"/>
  <c r="FI120" i="25"/>
  <c r="FI184" i="25"/>
  <c r="FJ151" i="25"/>
  <c r="FI136" i="25"/>
  <c r="FJ206" i="25"/>
  <c r="FI130" i="25"/>
  <c r="FJ210" i="25"/>
  <c r="FJ146" i="25"/>
  <c r="FI200" i="25"/>
  <c r="FI138" i="25"/>
  <c r="FJ139" i="25"/>
  <c r="FI203" i="25"/>
  <c r="FI191" i="25"/>
  <c r="FJ122" i="25"/>
  <c r="FI145" i="25"/>
  <c r="FI132" i="25"/>
  <c r="FJ113" i="25"/>
  <c r="FI147" i="25"/>
  <c r="CF110" i="25"/>
  <c r="CF128" i="25"/>
  <c r="CE136" i="25"/>
  <c r="CE118" i="25"/>
  <c r="CF118" i="25"/>
  <c r="CF126" i="25"/>
  <c r="CF119" i="25"/>
  <c r="CF123" i="25"/>
  <c r="CF142" i="25"/>
  <c r="CF150" i="25"/>
  <c r="CE141" i="25"/>
  <c r="CE114" i="25"/>
  <c r="CE119" i="25"/>
  <c r="CF133" i="25"/>
  <c r="CE140" i="25"/>
  <c r="CF158" i="25"/>
  <c r="CE167" i="25"/>
  <c r="CE150" i="25"/>
  <c r="CF157" i="25"/>
  <c r="CE128" i="25"/>
  <c r="CF178" i="25"/>
  <c r="CE146" i="25"/>
  <c r="CE133" i="25"/>
  <c r="CF127" i="25"/>
  <c r="CF140" i="25"/>
  <c r="CE123" i="25"/>
  <c r="CE158" i="25"/>
  <c r="CF188" i="25"/>
  <c r="CE157" i="25"/>
  <c r="CF122" i="25"/>
  <c r="CF136" i="25"/>
  <c r="CE155" i="25"/>
  <c r="CE178" i="25"/>
  <c r="CF131" i="25"/>
  <c r="CE149" i="25"/>
  <c r="CE197" i="25"/>
  <c r="CE188" i="25"/>
  <c r="CE139" i="25"/>
  <c r="CF146" i="25"/>
  <c r="CE127" i="25"/>
  <c r="CF149" i="25"/>
  <c r="CE134" i="25"/>
  <c r="CE131" i="25"/>
  <c r="CF134" i="25"/>
  <c r="CE144" i="25"/>
  <c r="CF148" i="25"/>
  <c r="CE122" i="25"/>
  <c r="CE143" i="25"/>
  <c r="CF139" i="25"/>
  <c r="CF155" i="25"/>
  <c r="CE187" i="25"/>
  <c r="CF144" i="25"/>
  <c r="CF129" i="25"/>
  <c r="CF145" i="25"/>
  <c r="CF120" i="25"/>
  <c r="CE137" i="25"/>
  <c r="CF143" i="25"/>
  <c r="CF141" i="25"/>
  <c r="CF114" i="25"/>
  <c r="CE126" i="25"/>
  <c r="CF187" i="25"/>
  <c r="CE148" i="25"/>
  <c r="CF167" i="25"/>
  <c r="CE142" i="25"/>
  <c r="CF197" i="25"/>
  <c r="CE129" i="25"/>
  <c r="CE145" i="25"/>
  <c r="CE120" i="25"/>
  <c r="CF137" i="25"/>
  <c r="CF195" i="25"/>
  <c r="CE195" i="25"/>
  <c r="AO34" i="25"/>
  <c r="P52" i="25"/>
  <c r="O52" i="25"/>
  <c r="U308" i="25"/>
  <c r="BZ62" i="25"/>
  <c r="U80" i="25"/>
  <c r="AP35" i="24"/>
  <c r="P200" i="25"/>
  <c r="O200" i="25"/>
  <c r="T200" i="25"/>
  <c r="BZ177" i="25"/>
  <c r="V21" i="24"/>
  <c r="W21" i="24"/>
  <c r="O177" i="24"/>
  <c r="BZ177" i="24" s="1"/>
  <c r="J177" i="24"/>
  <c r="P235" i="25"/>
  <c r="O235" i="25"/>
  <c r="P222" i="25"/>
  <c r="O222" i="25"/>
  <c r="T222" i="25"/>
  <c r="P310" i="25"/>
  <c r="O310" i="25"/>
  <c r="P166" i="24"/>
  <c r="Q166" i="24"/>
  <c r="U28" i="24"/>
  <c r="P133" i="25"/>
  <c r="O133" i="25"/>
  <c r="P98" i="25"/>
  <c r="O98" i="25"/>
  <c r="T98" i="25"/>
  <c r="P80" i="25"/>
  <c r="O80" i="25"/>
  <c r="O246" i="24"/>
  <c r="BZ246" i="24" s="1"/>
  <c r="J246" i="24"/>
  <c r="P118" i="24"/>
  <c r="Q118" i="24"/>
  <c r="P315" i="25"/>
  <c r="O315" i="25"/>
  <c r="T315" i="25"/>
  <c r="Q34" i="24"/>
  <c r="R34" i="24" s="1"/>
  <c r="P34" i="24"/>
  <c r="Q15" i="24"/>
  <c r="R15" i="24" s="1"/>
  <c r="P15" i="24"/>
  <c r="O85" i="24"/>
  <c r="BZ85" i="24" s="1"/>
  <c r="J85" i="24"/>
  <c r="J135" i="24"/>
  <c r="O135" i="24"/>
  <c r="BZ135" i="24" s="1"/>
  <c r="S204" i="25"/>
  <c r="K204" i="25" s="1"/>
  <c r="V204" i="25" s="1"/>
  <c r="R204" i="25"/>
  <c r="Q204" i="25"/>
  <c r="U174" i="25"/>
  <c r="S275" i="25"/>
  <c r="K275" i="25" s="1"/>
  <c r="V275" i="25" s="1"/>
  <c r="R275" i="25"/>
  <c r="Q275" i="25"/>
  <c r="J208" i="24"/>
  <c r="O208" i="24"/>
  <c r="BZ208" i="24" s="1"/>
  <c r="P74" i="24"/>
  <c r="Q74" i="24"/>
  <c r="R74" i="24" s="1"/>
  <c r="R14" i="25"/>
  <c r="S14" i="25"/>
  <c r="K14" i="25" s="1"/>
  <c r="V14" i="25" s="1"/>
  <c r="Q14" i="25"/>
  <c r="Q16" i="24"/>
  <c r="R16" i="24" s="1"/>
  <c r="P16" i="24"/>
  <c r="Q138" i="24"/>
  <c r="P138" i="24"/>
  <c r="V180" i="24"/>
  <c r="U158" i="25"/>
  <c r="V62" i="24"/>
  <c r="P185" i="25"/>
  <c r="O185" i="25"/>
  <c r="U87" i="25"/>
  <c r="U192" i="24"/>
  <c r="P239" i="25"/>
  <c r="O239" i="25"/>
  <c r="T239" i="25"/>
  <c r="N46" i="24"/>
  <c r="U46" i="24"/>
  <c r="S248" i="25"/>
  <c r="K248" i="25" s="1"/>
  <c r="V248" i="25" s="1"/>
  <c r="R248" i="25"/>
  <c r="Q248" i="25"/>
  <c r="V272" i="24"/>
  <c r="O168" i="24"/>
  <c r="BZ168" i="24" s="1"/>
  <c r="J168" i="24"/>
  <c r="O186" i="24"/>
  <c r="BZ186" i="24" s="1"/>
  <c r="J186" i="24"/>
  <c r="Q310" i="24"/>
  <c r="P310" i="24"/>
  <c r="U306" i="25"/>
  <c r="U73" i="24"/>
  <c r="Q142" i="24"/>
  <c r="P142" i="24"/>
  <c r="V193" i="24"/>
  <c r="U243" i="25"/>
  <c r="U89" i="25"/>
  <c r="Q130" i="24"/>
  <c r="P130" i="24"/>
  <c r="N94" i="24"/>
  <c r="U94" i="24"/>
  <c r="P168" i="25"/>
  <c r="O168" i="25"/>
  <c r="V79" i="24"/>
  <c r="P97" i="24"/>
  <c r="Q97" i="24"/>
  <c r="R97" i="24" s="1"/>
  <c r="P165" i="24"/>
  <c r="Q165" i="24"/>
  <c r="N8" i="24"/>
  <c r="U8" i="24"/>
  <c r="P121" i="25"/>
  <c r="O121" i="25"/>
  <c r="P242" i="24"/>
  <c r="Q242" i="24"/>
  <c r="P268" i="25"/>
  <c r="O268" i="25"/>
  <c r="T268" i="25"/>
  <c r="Q51" i="24"/>
  <c r="R51" i="24" s="1"/>
  <c r="P51" i="24"/>
  <c r="V27" i="24"/>
  <c r="U300" i="25"/>
  <c r="P289" i="25"/>
  <c r="O289" i="25"/>
  <c r="U199" i="25"/>
  <c r="N64" i="24"/>
  <c r="U64" i="24"/>
  <c r="J126" i="24"/>
  <c r="O126" i="24"/>
  <c r="BZ126" i="24" s="1"/>
  <c r="P86" i="25"/>
  <c r="O86" i="25"/>
  <c r="T86" i="25"/>
  <c r="P285" i="25"/>
  <c r="O285" i="25"/>
  <c r="V121" i="24"/>
  <c r="P136" i="24"/>
  <c r="Q136" i="24"/>
  <c r="P78" i="25"/>
  <c r="O78" i="25"/>
  <c r="T78" i="25"/>
  <c r="P272" i="25"/>
  <c r="O272" i="25"/>
  <c r="T272" i="25"/>
  <c r="U128" i="25"/>
  <c r="U191" i="25"/>
  <c r="U19" i="25"/>
  <c r="J260" i="24"/>
  <c r="O260" i="24"/>
  <c r="BZ260" i="24" s="1"/>
  <c r="O32" i="24"/>
  <c r="BZ32" i="24" s="1"/>
  <c r="J32" i="24"/>
  <c r="W32" i="24" s="1"/>
  <c r="J78" i="24"/>
  <c r="O78" i="24"/>
  <c r="BZ78" i="24" s="1"/>
  <c r="U314" i="25"/>
  <c r="U267" i="25"/>
  <c r="N57" i="24"/>
  <c r="U57" i="24"/>
  <c r="P286" i="25"/>
  <c r="O286" i="25"/>
  <c r="T286" i="25"/>
  <c r="O207" i="25"/>
  <c r="P207" i="25"/>
  <c r="T207" i="25"/>
  <c r="AE55" i="24"/>
  <c r="AI55" i="24"/>
  <c r="X55" i="24"/>
  <c r="AA55" i="24" s="1"/>
  <c r="AB55" i="24" s="1"/>
  <c r="AC55" i="24" s="1"/>
  <c r="U136" i="24"/>
  <c r="U276" i="25"/>
  <c r="P23" i="25"/>
  <c r="O23" i="25"/>
  <c r="T23" i="25"/>
  <c r="J266" i="24"/>
  <c r="O266" i="24"/>
  <c r="BZ266" i="24" s="1"/>
  <c r="N63" i="24"/>
  <c r="U63" i="24"/>
  <c r="O100" i="24"/>
  <c r="BZ100" i="24" s="1"/>
  <c r="J100" i="24"/>
  <c r="J259" i="24"/>
  <c r="O259" i="24"/>
  <c r="BZ259" i="24" s="1"/>
  <c r="P194" i="25"/>
  <c r="O194" i="25"/>
  <c r="T194" i="25"/>
  <c r="N139" i="24"/>
  <c r="U139" i="24"/>
  <c r="P47" i="25"/>
  <c r="O47" i="25"/>
  <c r="P234" i="25"/>
  <c r="O234" i="25"/>
  <c r="O105" i="24"/>
  <c r="BZ105" i="24" s="1"/>
  <c r="J105" i="24"/>
  <c r="AE45" i="24"/>
  <c r="X45" i="24"/>
  <c r="AA45" i="24" s="1"/>
  <c r="AB45" i="24" s="1"/>
  <c r="AC45" i="24" s="1"/>
  <c r="AI45" i="24"/>
  <c r="O293" i="24"/>
  <c r="BZ293" i="24" s="1"/>
  <c r="J293" i="24"/>
  <c r="P311" i="24"/>
  <c r="Q311" i="24"/>
  <c r="R170" i="25"/>
  <c r="S170" i="25"/>
  <c r="K170" i="25" s="1"/>
  <c r="V170" i="25" s="1"/>
  <c r="Q170" i="25"/>
  <c r="U198" i="25"/>
  <c r="P53" i="25"/>
  <c r="O53" i="25"/>
  <c r="P184" i="25"/>
  <c r="O184" i="25"/>
  <c r="Q135" i="24"/>
  <c r="P135" i="24"/>
  <c r="V219" i="24"/>
  <c r="P230" i="24"/>
  <c r="Q230" i="24"/>
  <c r="U262" i="25"/>
  <c r="V127" i="24"/>
  <c r="J303" i="24"/>
  <c r="W303" i="24" s="1"/>
  <c r="O303" i="24"/>
  <c r="BZ303" i="24" s="1"/>
  <c r="U57" i="25"/>
  <c r="P15" i="25"/>
  <c r="O15" i="25"/>
  <c r="O157" i="24"/>
  <c r="BZ157" i="24" s="1"/>
  <c r="J157" i="24"/>
  <c r="J286" i="24"/>
  <c r="O286" i="24"/>
  <c r="BZ286" i="24" s="1"/>
  <c r="O116" i="24"/>
  <c r="BZ116" i="24" s="1"/>
  <c r="J116" i="24"/>
  <c r="J223" i="24"/>
  <c r="W223" i="24" s="1"/>
  <c r="O223" i="24"/>
  <c r="BZ223" i="24" s="1"/>
  <c r="P264" i="25"/>
  <c r="O264" i="25"/>
  <c r="T264" i="25"/>
  <c r="P260" i="25"/>
  <c r="O260" i="25"/>
  <c r="T260" i="25"/>
  <c r="N113" i="24"/>
  <c r="U113" i="24"/>
  <c r="BZ255" i="25"/>
  <c r="V238" i="24"/>
  <c r="U31" i="25"/>
  <c r="N38" i="24"/>
  <c r="U38" i="24"/>
  <c r="J167" i="24"/>
  <c r="O167" i="24"/>
  <c r="BZ167" i="24" s="1"/>
  <c r="Q267" i="24"/>
  <c r="P267" i="24"/>
  <c r="O54" i="24"/>
  <c r="BZ54" i="24" s="1"/>
  <c r="J54" i="24"/>
  <c r="J268" i="24"/>
  <c r="W268" i="24" s="1"/>
  <c r="O268" i="24"/>
  <c r="BZ268" i="24" s="1"/>
  <c r="U35" i="25"/>
  <c r="Q69" i="24"/>
  <c r="R69" i="24" s="1"/>
  <c r="P69" i="24"/>
  <c r="P235" i="24"/>
  <c r="Q235" i="24"/>
  <c r="P69" i="25"/>
  <c r="O69" i="25"/>
  <c r="P153" i="25"/>
  <c r="O153" i="25"/>
  <c r="P85" i="25"/>
  <c r="O85" i="25"/>
  <c r="R198" i="25"/>
  <c r="S198" i="25"/>
  <c r="K198" i="25" s="1"/>
  <c r="Q198" i="25"/>
  <c r="O198" i="24"/>
  <c r="BZ198" i="24" s="1"/>
  <c r="J198" i="24"/>
  <c r="N239" i="24"/>
  <c r="O89" i="24"/>
  <c r="BZ89" i="24" s="1"/>
  <c r="J89" i="24"/>
  <c r="N262" i="24"/>
  <c r="Q217" i="24"/>
  <c r="P217" i="24"/>
  <c r="N277" i="24"/>
  <c r="P176" i="24"/>
  <c r="Q176" i="24"/>
  <c r="AP291" i="24"/>
  <c r="P220" i="25"/>
  <c r="O220" i="25"/>
  <c r="T220" i="25"/>
  <c r="P244" i="25"/>
  <c r="O244" i="25"/>
  <c r="P100" i="25"/>
  <c r="O100" i="25"/>
  <c r="T100" i="25"/>
  <c r="O166" i="24"/>
  <c r="BZ166" i="24" s="1"/>
  <c r="J166" i="24"/>
  <c r="P68" i="25"/>
  <c r="O68" i="25"/>
  <c r="T68" i="25"/>
  <c r="J184" i="24"/>
  <c r="O184" i="24"/>
  <c r="BZ184" i="24" s="1"/>
  <c r="P111" i="25"/>
  <c r="O111" i="25"/>
  <c r="O93" i="24"/>
  <c r="BZ93" i="24" s="1"/>
  <c r="J93" i="24"/>
  <c r="U119" i="25"/>
  <c r="U149" i="25"/>
  <c r="W22" i="24"/>
  <c r="V22" i="24"/>
  <c r="P99" i="24"/>
  <c r="Q99" i="24"/>
  <c r="R99" i="24" s="1"/>
  <c r="P302" i="24"/>
  <c r="Q302" i="24"/>
  <c r="N114" i="24"/>
  <c r="U114" i="24"/>
  <c r="Q81" i="24"/>
  <c r="R81" i="24" s="1"/>
  <c r="P81" i="24"/>
  <c r="O254" i="24"/>
  <c r="BZ254" i="24" s="1"/>
  <c r="J254" i="24"/>
  <c r="P61" i="25"/>
  <c r="O61" i="25"/>
  <c r="AO131" i="25"/>
  <c r="P178" i="24"/>
  <c r="Q178" i="24"/>
  <c r="J74" i="24"/>
  <c r="O74" i="24"/>
  <c r="BZ74" i="24" s="1"/>
  <c r="V6" i="24"/>
  <c r="P180" i="24"/>
  <c r="Q180" i="24"/>
  <c r="R158" i="25"/>
  <c r="S158" i="25"/>
  <c r="K158" i="25" s="1"/>
  <c r="V158" i="25" s="1"/>
  <c r="Q158" i="25"/>
  <c r="V287" i="24"/>
  <c r="U154" i="24"/>
  <c r="S87" i="25"/>
  <c r="K87" i="25" s="1"/>
  <c r="V87" i="25" s="1"/>
  <c r="R87" i="25"/>
  <c r="Q87" i="25"/>
  <c r="S174" i="25"/>
  <c r="K174" i="25" s="1"/>
  <c r="R174" i="25"/>
  <c r="Q174" i="25"/>
  <c r="J46" i="24"/>
  <c r="O46" i="24"/>
  <c r="BZ46" i="24" s="1"/>
  <c r="W101" i="24"/>
  <c r="V101" i="24"/>
  <c r="P226" i="25"/>
  <c r="O226" i="25"/>
  <c r="U92" i="24"/>
  <c r="V120" i="24"/>
  <c r="R306" i="25"/>
  <c r="S306" i="25"/>
  <c r="K306" i="25" s="1"/>
  <c r="Q306" i="25"/>
  <c r="P202" i="25"/>
  <c r="O202" i="25"/>
  <c r="P70" i="25"/>
  <c r="O70" i="25"/>
  <c r="U32" i="25"/>
  <c r="P193" i="24"/>
  <c r="Q193" i="24"/>
  <c r="R243" i="25"/>
  <c r="S243" i="25"/>
  <c r="K243" i="25" s="1"/>
  <c r="V243" i="25" s="1"/>
  <c r="Q243" i="25"/>
  <c r="R89" i="25"/>
  <c r="S89" i="25"/>
  <c r="K89" i="25" s="1"/>
  <c r="V89" i="25" s="1"/>
  <c r="Q89" i="25"/>
  <c r="V116" i="24"/>
  <c r="O160" i="25"/>
  <c r="P160" i="25"/>
  <c r="T160" i="25"/>
  <c r="Q283" i="24"/>
  <c r="P283" i="24"/>
  <c r="J94" i="24"/>
  <c r="O94" i="24"/>
  <c r="BZ94" i="24" s="1"/>
  <c r="Q37" i="24"/>
  <c r="R37" i="24" s="1"/>
  <c r="P37" i="24"/>
  <c r="Q281" i="24"/>
  <c r="P281" i="24"/>
  <c r="Q79" i="24"/>
  <c r="R79" i="24" s="1"/>
  <c r="P79" i="24"/>
  <c r="J111" i="24"/>
  <c r="O111" i="24"/>
  <c r="BZ111" i="24" s="1"/>
  <c r="P9" i="25"/>
  <c r="O9" i="25"/>
  <c r="J165" i="24"/>
  <c r="O165" i="24"/>
  <c r="BZ165" i="24" s="1"/>
  <c r="P295" i="25"/>
  <c r="O295" i="25"/>
  <c r="J229" i="24"/>
  <c r="O229" i="24"/>
  <c r="BZ229" i="24" s="1"/>
  <c r="U253" i="25"/>
  <c r="N174" i="24"/>
  <c r="U174" i="24"/>
  <c r="U170" i="25"/>
  <c r="T295" i="25"/>
  <c r="AE142" i="24"/>
  <c r="AI142" i="24"/>
  <c r="X142" i="24"/>
  <c r="AA142" i="24" s="1"/>
  <c r="AB142" i="24" s="1"/>
  <c r="AC142" i="24" s="1"/>
  <c r="V47" i="24"/>
  <c r="U50" i="25"/>
  <c r="U161" i="25"/>
  <c r="P171" i="25"/>
  <c r="O171" i="25"/>
  <c r="O164" i="24"/>
  <c r="BZ164" i="24" s="1"/>
  <c r="J164" i="24"/>
  <c r="P122" i="25"/>
  <c r="O122" i="25"/>
  <c r="T122" i="25"/>
  <c r="J63" i="24"/>
  <c r="O63" i="24"/>
  <c r="BZ63" i="24" s="1"/>
  <c r="J39" i="24"/>
  <c r="O39" i="24"/>
  <c r="BZ39" i="24" s="1"/>
  <c r="P269" i="25"/>
  <c r="O269" i="25"/>
  <c r="P187" i="25"/>
  <c r="O187" i="25"/>
  <c r="P173" i="24"/>
  <c r="Q173" i="24"/>
  <c r="J121" i="24"/>
  <c r="W121" i="24" s="1"/>
  <c r="O121" i="24"/>
  <c r="BZ121" i="24" s="1"/>
  <c r="P73" i="25"/>
  <c r="O73" i="25"/>
  <c r="T73" i="25"/>
  <c r="J47" i="24"/>
  <c r="O47" i="24"/>
  <c r="BZ47" i="24" s="1"/>
  <c r="N95" i="24"/>
  <c r="U95" i="24"/>
  <c r="J51" i="24"/>
  <c r="O51" i="24"/>
  <c r="BZ51" i="24" s="1"/>
  <c r="AE101" i="24"/>
  <c r="X101" i="24"/>
  <c r="AA101" i="24" s="1"/>
  <c r="AB101" i="24" s="1"/>
  <c r="AC101" i="24" s="1"/>
  <c r="AI101" i="24"/>
  <c r="N122" i="24"/>
  <c r="U122" i="24"/>
  <c r="P304" i="24"/>
  <c r="Q304" i="24"/>
  <c r="Q13" i="24"/>
  <c r="R13" i="24" s="1"/>
  <c r="P13" i="24"/>
  <c r="P221" i="25"/>
  <c r="O221" i="25"/>
  <c r="T221" i="25"/>
  <c r="P278" i="25"/>
  <c r="O278" i="25"/>
  <c r="T278" i="25"/>
  <c r="J209" i="24"/>
  <c r="O209" i="24"/>
  <c r="BZ209" i="24" s="1"/>
  <c r="O288" i="24"/>
  <c r="BZ288" i="24" s="1"/>
  <c r="J288" i="24"/>
  <c r="O92" i="24"/>
  <c r="BZ92" i="24" s="1"/>
  <c r="J92" i="24"/>
  <c r="O295" i="24"/>
  <c r="BZ295" i="24" s="1"/>
  <c r="J295" i="24"/>
  <c r="N145" i="24"/>
  <c r="U145" i="24"/>
  <c r="N308" i="24"/>
  <c r="N153" i="24"/>
  <c r="U153" i="24"/>
  <c r="N29" i="24"/>
  <c r="U29" i="24"/>
  <c r="P64" i="25"/>
  <c r="O64" i="25"/>
  <c r="J113" i="24"/>
  <c r="O113" i="24"/>
  <c r="BZ113" i="24" s="1"/>
  <c r="AP151" i="24"/>
  <c r="U124" i="25"/>
  <c r="J180" i="24"/>
  <c r="O180" i="24"/>
  <c r="BZ180" i="24" s="1"/>
  <c r="N71" i="24"/>
  <c r="U71" i="24"/>
  <c r="U197" i="24"/>
  <c r="O306" i="24"/>
  <c r="BZ306" i="24" s="1"/>
  <c r="J306" i="24"/>
  <c r="W306" i="24" s="1"/>
  <c r="O16" i="24"/>
  <c r="BZ16" i="24" s="1"/>
  <c r="J16" i="24"/>
  <c r="W16" i="24" s="1"/>
  <c r="U163" i="25"/>
  <c r="N146" i="24"/>
  <c r="U146" i="24"/>
  <c r="P203" i="25"/>
  <c r="O203" i="25"/>
  <c r="T203" i="25"/>
  <c r="J125" i="24"/>
  <c r="O125" i="24"/>
  <c r="BZ125" i="24" s="1"/>
  <c r="AE264" i="24"/>
  <c r="AI264" i="24"/>
  <c r="X264" i="24"/>
  <c r="AA264" i="24" s="1"/>
  <c r="AB264" i="24" s="1"/>
  <c r="AC264" i="24" s="1"/>
  <c r="AE236" i="24"/>
  <c r="AI236" i="24"/>
  <c r="X236" i="24"/>
  <c r="AA236" i="24" s="1"/>
  <c r="AB236" i="24" s="1"/>
  <c r="AC236" i="24" s="1"/>
  <c r="P252" i="25"/>
  <c r="O252" i="25"/>
  <c r="P63" i="25"/>
  <c r="O63" i="25"/>
  <c r="O270" i="24"/>
  <c r="BZ270" i="24" s="1"/>
  <c r="J270" i="24"/>
  <c r="W270" i="24" s="1"/>
  <c r="P65" i="24"/>
  <c r="Q65" i="24"/>
  <c r="R65" i="24" s="1"/>
  <c r="J69" i="24"/>
  <c r="O69" i="24"/>
  <c r="BZ69" i="24" s="1"/>
  <c r="O65" i="24"/>
  <c r="BZ65" i="24" s="1"/>
  <c r="J65" i="24"/>
  <c r="P146" i="25"/>
  <c r="O146" i="25"/>
  <c r="O112" i="24"/>
  <c r="BZ112" i="24" s="1"/>
  <c r="J112" i="24"/>
  <c r="O154" i="24"/>
  <c r="BZ154" i="24" s="1"/>
  <c r="J154" i="24"/>
  <c r="P73" i="24"/>
  <c r="Q73" i="24"/>
  <c r="R73" i="24" s="1"/>
  <c r="J102" i="24"/>
  <c r="O102" i="24"/>
  <c r="BZ102" i="24" s="1"/>
  <c r="O145" i="25"/>
  <c r="P145" i="25"/>
  <c r="AD110" i="25"/>
  <c r="W110" i="25"/>
  <c r="Z110" i="25" s="1"/>
  <c r="AA110" i="25" s="1"/>
  <c r="AB110" i="25" s="1"/>
  <c r="AI110" i="25" s="1"/>
  <c r="AP60" i="24"/>
  <c r="O239" i="24"/>
  <c r="BZ239" i="24" s="1"/>
  <c r="J239" i="24"/>
  <c r="J80" i="24"/>
  <c r="O80" i="24"/>
  <c r="BZ80" i="24" s="1"/>
  <c r="U227" i="25"/>
  <c r="AE160" i="24"/>
  <c r="AI160" i="24"/>
  <c r="X160" i="24"/>
  <c r="AA160" i="24" s="1"/>
  <c r="AB160" i="24" s="1"/>
  <c r="AC160" i="24" s="1"/>
  <c r="O262" i="24"/>
  <c r="BZ262" i="24" s="1"/>
  <c r="J262" i="24"/>
  <c r="U36" i="25"/>
  <c r="AP73" i="24"/>
  <c r="O277" i="24"/>
  <c r="BZ277" i="24" s="1"/>
  <c r="J277" i="24"/>
  <c r="AO190" i="25"/>
  <c r="J176" i="24"/>
  <c r="O176" i="24"/>
  <c r="BZ176" i="24" s="1"/>
  <c r="P137" i="25"/>
  <c r="O137" i="25"/>
  <c r="O252" i="24"/>
  <c r="BZ252" i="24" s="1"/>
  <c r="J252" i="24"/>
  <c r="R293" i="25"/>
  <c r="S293" i="25"/>
  <c r="K293" i="25" s="1"/>
  <c r="Q293" i="25"/>
  <c r="N210" i="24"/>
  <c r="U210" i="24"/>
  <c r="U244" i="25"/>
  <c r="Q254" i="24"/>
  <c r="P254" i="24"/>
  <c r="V172" i="24"/>
  <c r="O139" i="24"/>
  <c r="BZ139" i="24" s="1"/>
  <c r="J139" i="24"/>
  <c r="J53" i="24"/>
  <c r="W53" i="24" s="1"/>
  <c r="O53" i="24"/>
  <c r="BZ53" i="24" s="1"/>
  <c r="U256" i="25"/>
  <c r="U24" i="25"/>
  <c r="O156" i="24"/>
  <c r="BZ156" i="24" s="1"/>
  <c r="J156" i="24"/>
  <c r="S296" i="25"/>
  <c r="K296" i="25" s="1"/>
  <c r="R296" i="25"/>
  <c r="Q296" i="25"/>
  <c r="O40" i="24"/>
  <c r="BZ40" i="24" s="1"/>
  <c r="J40" i="24"/>
  <c r="W40" i="24" s="1"/>
  <c r="AP92" i="24"/>
  <c r="O99" i="24"/>
  <c r="BZ99" i="24" s="1"/>
  <c r="J99" i="24"/>
  <c r="P157" i="25"/>
  <c r="O157" i="25"/>
  <c r="O122" i="24"/>
  <c r="BZ122" i="24" s="1"/>
  <c r="J122" i="24"/>
  <c r="P159" i="25"/>
  <c r="O159" i="25"/>
  <c r="T159" i="25"/>
  <c r="Q91" i="24"/>
  <c r="R91" i="24" s="1"/>
  <c r="P91" i="24"/>
  <c r="J201" i="24"/>
  <c r="O201" i="24"/>
  <c r="BZ201" i="24" s="1"/>
  <c r="O244" i="24"/>
  <c r="BZ244" i="24" s="1"/>
  <c r="J244" i="24"/>
  <c r="O23" i="24"/>
  <c r="BZ23" i="24" s="1"/>
  <c r="J23" i="24"/>
  <c r="P36" i="25"/>
  <c r="O36" i="25"/>
  <c r="J178" i="24"/>
  <c r="O178" i="24"/>
  <c r="BZ178" i="24" s="1"/>
  <c r="O136" i="24"/>
  <c r="BZ136" i="24" s="1"/>
  <c r="J136" i="24"/>
  <c r="J43" i="24"/>
  <c r="W43" i="24" s="1"/>
  <c r="O43" i="24"/>
  <c r="BZ43" i="24" s="1"/>
  <c r="O6" i="24"/>
  <c r="BZ6" i="24" s="1"/>
  <c r="J6" i="24"/>
  <c r="Q273" i="24"/>
  <c r="P273" i="24"/>
  <c r="J138" i="24"/>
  <c r="O138" i="24"/>
  <c r="BZ138" i="24" s="1"/>
  <c r="U21" i="25"/>
  <c r="P287" i="24"/>
  <c r="Q287" i="24"/>
  <c r="P101" i="24"/>
  <c r="Q101" i="24"/>
  <c r="R101" i="24" s="1"/>
  <c r="T226" i="25"/>
  <c r="U69" i="24"/>
  <c r="U51" i="24"/>
  <c r="Q202" i="24"/>
  <c r="P202" i="24"/>
  <c r="U273" i="25"/>
  <c r="P120" i="24"/>
  <c r="Q120" i="24"/>
  <c r="U65" i="24"/>
  <c r="V218" i="24"/>
  <c r="U173" i="25"/>
  <c r="P81" i="25"/>
  <c r="O81" i="25"/>
  <c r="T81" i="25"/>
  <c r="Q82" i="24"/>
  <c r="R82" i="24" s="1"/>
  <c r="P82" i="24"/>
  <c r="T202" i="25"/>
  <c r="Q250" i="24"/>
  <c r="P250" i="24"/>
  <c r="V248" i="24"/>
  <c r="S32" i="25"/>
  <c r="K32" i="25" s="1"/>
  <c r="V32" i="25" s="1"/>
  <c r="R32" i="25"/>
  <c r="Q32" i="25"/>
  <c r="U238" i="25"/>
  <c r="U206" i="25"/>
  <c r="U177" i="24"/>
  <c r="P67" i="24"/>
  <c r="Q67" i="24"/>
  <c r="R67" i="24" s="1"/>
  <c r="Q116" i="24"/>
  <c r="P116" i="24"/>
  <c r="O281" i="24"/>
  <c r="BZ281" i="24" s="1"/>
  <c r="J281" i="24"/>
  <c r="V90" i="24"/>
  <c r="O245" i="25"/>
  <c r="P245" i="25"/>
  <c r="Q33" i="24"/>
  <c r="R33" i="24" s="1"/>
  <c r="P33" i="24"/>
  <c r="U36" i="24"/>
  <c r="P181" i="25"/>
  <c r="O181" i="25"/>
  <c r="U250" i="25"/>
  <c r="O174" i="24"/>
  <c r="BZ174" i="24" s="1"/>
  <c r="J174" i="24"/>
  <c r="V52" i="24"/>
  <c r="P216" i="25"/>
  <c r="O216" i="25"/>
  <c r="T216" i="25"/>
  <c r="O10" i="24"/>
  <c r="BZ10" i="24" s="1"/>
  <c r="J10" i="24"/>
  <c r="W10" i="24" s="1"/>
  <c r="J57" i="24"/>
  <c r="O57" i="24"/>
  <c r="BZ57" i="24" s="1"/>
  <c r="J226" i="24"/>
  <c r="W226" i="24" s="1"/>
  <c r="O226" i="24"/>
  <c r="BZ226" i="24" s="1"/>
  <c r="N309" i="24"/>
  <c r="U176" i="25"/>
  <c r="J280" i="24"/>
  <c r="O280" i="24"/>
  <c r="BZ280" i="24" s="1"/>
  <c r="P266" i="25"/>
  <c r="O266" i="25"/>
  <c r="P55" i="25"/>
  <c r="O55" i="25"/>
  <c r="P102" i="25"/>
  <c r="O102" i="25"/>
  <c r="AE294" i="24"/>
  <c r="X294" i="24"/>
  <c r="AA294" i="24" s="1"/>
  <c r="AB294" i="24" s="1"/>
  <c r="AC294" i="24" s="1"/>
  <c r="AI294" i="24"/>
  <c r="N316" i="24"/>
  <c r="AP242" i="24"/>
  <c r="P171" i="24"/>
  <c r="Q171" i="24"/>
  <c r="P165" i="25"/>
  <c r="O165" i="25"/>
  <c r="T165" i="25"/>
  <c r="P221" i="24"/>
  <c r="Q221" i="24"/>
  <c r="J95" i="24"/>
  <c r="O95" i="24"/>
  <c r="BZ95" i="24" s="1"/>
  <c r="R62" i="25"/>
  <c r="S62" i="25"/>
  <c r="K62" i="25" s="1"/>
  <c r="V62" i="25" s="1"/>
  <c r="Q62" i="25"/>
  <c r="O311" i="24"/>
  <c r="BZ311" i="24" s="1"/>
  <c r="J311" i="24"/>
  <c r="J151" i="24"/>
  <c r="O151" i="24"/>
  <c r="BZ151" i="24" s="1"/>
  <c r="V188" i="24"/>
  <c r="J285" i="24"/>
  <c r="O285" i="24"/>
  <c r="BZ285" i="24" s="1"/>
  <c r="O195" i="24"/>
  <c r="BZ195" i="24" s="1"/>
  <c r="J195" i="24"/>
  <c r="P25" i="25"/>
  <c r="O25" i="25"/>
  <c r="T25" i="25"/>
  <c r="Q144" i="24"/>
  <c r="P144" i="24"/>
  <c r="Q155" i="24"/>
  <c r="P155" i="24"/>
  <c r="O205" i="25"/>
  <c r="P205" i="25"/>
  <c r="T205" i="25"/>
  <c r="U184" i="25"/>
  <c r="J299" i="24"/>
  <c r="O299" i="24"/>
  <c r="BZ299" i="24" s="1"/>
  <c r="AE132" i="24"/>
  <c r="X132" i="24"/>
  <c r="AA132" i="24" s="1"/>
  <c r="AB132" i="24" s="1"/>
  <c r="AC132" i="24" s="1"/>
  <c r="AI132" i="24"/>
  <c r="J193" i="24"/>
  <c r="O193" i="24"/>
  <c r="BZ193" i="24" s="1"/>
  <c r="U65" i="25"/>
  <c r="P130" i="25"/>
  <c r="O130" i="25"/>
  <c r="P197" i="25"/>
  <c r="O197" i="25"/>
  <c r="T197" i="25"/>
  <c r="O145" i="24"/>
  <c r="BZ145" i="24" s="1"/>
  <c r="J145" i="24"/>
  <c r="P196" i="24"/>
  <c r="Q196" i="24"/>
  <c r="V270" i="24"/>
  <c r="AE233" i="24"/>
  <c r="X233" i="24"/>
  <c r="AA233" i="24" s="1"/>
  <c r="AB233" i="24" s="1"/>
  <c r="AC233" i="24" s="1"/>
  <c r="AI233" i="24"/>
  <c r="AO255" i="25"/>
  <c r="U146" i="25"/>
  <c r="AP311" i="24"/>
  <c r="J308" i="24"/>
  <c r="O308" i="24"/>
  <c r="BZ308" i="24" s="1"/>
  <c r="J84" i="24"/>
  <c r="O84" i="24"/>
  <c r="BZ84" i="24" s="1"/>
  <c r="AE292" i="24"/>
  <c r="X292" i="24"/>
  <c r="AA292" i="24" s="1"/>
  <c r="AB292" i="24" s="1"/>
  <c r="AC292" i="24" s="1"/>
  <c r="AI292" i="24"/>
  <c r="O188" i="24"/>
  <c r="BZ188" i="24" s="1"/>
  <c r="J188" i="24"/>
  <c r="N282" i="24"/>
  <c r="J38" i="24"/>
  <c r="O38" i="24"/>
  <c r="BZ38" i="24" s="1"/>
  <c r="P176" i="25"/>
  <c r="O176" i="25"/>
  <c r="J20" i="24"/>
  <c r="O20" i="24"/>
  <c r="BZ20" i="24" s="1"/>
  <c r="J267" i="24"/>
  <c r="O267" i="24"/>
  <c r="BZ267" i="24" s="1"/>
  <c r="Q49" i="24"/>
  <c r="R49" i="24" s="1"/>
  <c r="P49" i="24"/>
  <c r="P284" i="25"/>
  <c r="O284" i="25"/>
  <c r="J127" i="24"/>
  <c r="O127" i="24"/>
  <c r="BZ127" i="24" s="1"/>
  <c r="J235" i="24"/>
  <c r="O235" i="24"/>
  <c r="BZ235" i="24" s="1"/>
  <c r="J115" i="24"/>
  <c r="O115" i="24"/>
  <c r="BZ115" i="24" s="1"/>
  <c r="J13" i="24"/>
  <c r="O13" i="24"/>
  <c r="BZ13" i="24" s="1"/>
  <c r="V182" i="24"/>
  <c r="J73" i="24"/>
  <c r="O73" i="24"/>
  <c r="BZ73" i="24" s="1"/>
  <c r="Q192" i="24"/>
  <c r="P192" i="24"/>
  <c r="P223" i="25"/>
  <c r="O223" i="25"/>
  <c r="T223" i="25"/>
  <c r="P39" i="25"/>
  <c r="O39" i="25"/>
  <c r="T39" i="25"/>
  <c r="P67" i="25"/>
  <c r="O67" i="25"/>
  <c r="T67" i="25"/>
  <c r="AE21" i="24"/>
  <c r="AI21" i="24"/>
  <c r="X21" i="24"/>
  <c r="AA21" i="24" s="1"/>
  <c r="AB21" i="24" s="1"/>
  <c r="AC21" i="24" s="1"/>
  <c r="O315" i="24"/>
  <c r="BZ315" i="24" s="1"/>
  <c r="J315" i="24"/>
  <c r="Q28" i="24"/>
  <c r="R28" i="24" s="1"/>
  <c r="P28" i="24"/>
  <c r="P274" i="25"/>
  <c r="O274" i="25"/>
  <c r="T274" i="25"/>
  <c r="O217" i="24"/>
  <c r="BZ217" i="24" s="1"/>
  <c r="J217" i="24"/>
  <c r="P230" i="25"/>
  <c r="O230" i="25"/>
  <c r="T230" i="25"/>
  <c r="T47" i="25"/>
  <c r="U235" i="25"/>
  <c r="J263" i="24"/>
  <c r="O263" i="24"/>
  <c r="BZ263" i="24" s="1"/>
  <c r="N232" i="24"/>
  <c r="N195" i="24"/>
  <c r="U195" i="24"/>
  <c r="AO177" i="25"/>
  <c r="J272" i="24"/>
  <c r="W272" i="24" s="1"/>
  <c r="O272" i="24"/>
  <c r="BZ272" i="24" s="1"/>
  <c r="U136" i="25"/>
  <c r="U275" i="25"/>
  <c r="J17" i="24"/>
  <c r="O17" i="24"/>
  <c r="BZ17" i="24" s="1"/>
  <c r="P294" i="25"/>
  <c r="O294" i="25"/>
  <c r="P27" i="25"/>
  <c r="O27" i="25"/>
  <c r="T27" i="25"/>
  <c r="P278" i="24"/>
  <c r="Q278" i="24"/>
  <c r="P308" i="25"/>
  <c r="O308" i="25"/>
  <c r="O301" i="24"/>
  <c r="BZ301" i="24" s="1"/>
  <c r="J301" i="24"/>
  <c r="P11" i="24"/>
  <c r="Q11" i="24"/>
  <c r="R11" i="24" s="1"/>
  <c r="AE119" i="24"/>
  <c r="X119" i="24"/>
  <c r="AA119" i="24" s="1"/>
  <c r="AB119" i="24" s="1"/>
  <c r="AC119" i="24" s="1"/>
  <c r="AI119" i="24"/>
  <c r="U30" i="25"/>
  <c r="J302" i="24"/>
  <c r="O302" i="24"/>
  <c r="BZ302" i="24" s="1"/>
  <c r="J68" i="24"/>
  <c r="W68" i="24" s="1"/>
  <c r="O68" i="24"/>
  <c r="BZ68" i="24" s="1"/>
  <c r="J114" i="24"/>
  <c r="O114" i="24"/>
  <c r="BZ114" i="24" s="1"/>
  <c r="N85" i="24"/>
  <c r="U85" i="24"/>
  <c r="P136" i="25"/>
  <c r="O136" i="25"/>
  <c r="P24" i="25"/>
  <c r="O24" i="25"/>
  <c r="P91" i="25"/>
  <c r="O91" i="25"/>
  <c r="O35" i="24"/>
  <c r="BZ35" i="24" s="1"/>
  <c r="J35" i="24"/>
  <c r="P290" i="25"/>
  <c r="O290" i="25"/>
  <c r="O222" i="24"/>
  <c r="BZ222" i="24" s="1"/>
  <c r="J222" i="24"/>
  <c r="R30" i="25"/>
  <c r="S30" i="25"/>
  <c r="K30" i="25" s="1"/>
  <c r="V30" i="25" s="1"/>
  <c r="Q30" i="25"/>
  <c r="U261" i="25"/>
  <c r="V234" i="24"/>
  <c r="Q36" i="24"/>
  <c r="R36" i="24" s="1"/>
  <c r="P36" i="24"/>
  <c r="S21" i="25"/>
  <c r="K21" i="25" s="1"/>
  <c r="V21" i="25" s="1"/>
  <c r="R21" i="25"/>
  <c r="Q21" i="25"/>
  <c r="V306" i="24"/>
  <c r="V226" i="24"/>
  <c r="Q243" i="24"/>
  <c r="P243" i="24"/>
  <c r="O296" i="24"/>
  <c r="BZ296" i="24" s="1"/>
  <c r="J296" i="24"/>
  <c r="U31" i="24"/>
  <c r="U185" i="24"/>
  <c r="T266" i="25"/>
  <c r="U178" i="25"/>
  <c r="U167" i="25"/>
  <c r="V14" i="24"/>
  <c r="Q50" i="24"/>
  <c r="R50" i="24" s="1"/>
  <c r="P50" i="24"/>
  <c r="J202" i="24"/>
  <c r="O202" i="24"/>
  <c r="BZ202" i="24" s="1"/>
  <c r="U143" i="24"/>
  <c r="Q274" i="24"/>
  <c r="P274" i="24"/>
  <c r="Q70" i="24"/>
  <c r="R70" i="24" s="1"/>
  <c r="P70" i="24"/>
  <c r="S273" i="25"/>
  <c r="K273" i="25" s="1"/>
  <c r="V273" i="25" s="1"/>
  <c r="R273" i="25"/>
  <c r="Q273" i="25"/>
  <c r="Q218" i="24"/>
  <c r="P218" i="24"/>
  <c r="S173" i="25"/>
  <c r="K173" i="25" s="1"/>
  <c r="V173" i="25" s="1"/>
  <c r="R173" i="25"/>
  <c r="Q173" i="25"/>
  <c r="V200" i="24"/>
  <c r="U71" i="25"/>
  <c r="U168" i="25"/>
  <c r="J82" i="24"/>
  <c r="O82" i="24"/>
  <c r="BZ82" i="24" s="1"/>
  <c r="T70" i="25"/>
  <c r="P56" i="24"/>
  <c r="Q56" i="24"/>
  <c r="R56" i="24" s="1"/>
  <c r="P248" i="24"/>
  <c r="Q248" i="24"/>
  <c r="S238" i="25"/>
  <c r="K238" i="25" s="1"/>
  <c r="V238" i="25" s="1"/>
  <c r="R238" i="25"/>
  <c r="Q238" i="25"/>
  <c r="R206" i="25"/>
  <c r="S206" i="25"/>
  <c r="K206" i="25" s="1"/>
  <c r="Q206" i="25"/>
  <c r="W132" i="24"/>
  <c r="Y132" i="24" s="1"/>
  <c r="U259" i="25"/>
  <c r="U104" i="24"/>
  <c r="U176" i="24"/>
  <c r="J37" i="24"/>
  <c r="O37" i="24"/>
  <c r="BZ37" i="24" s="1"/>
  <c r="Q90" i="24"/>
  <c r="R90" i="24" s="1"/>
  <c r="P90" i="24"/>
  <c r="U113" i="25"/>
  <c r="R147" i="25"/>
  <c r="S147" i="25"/>
  <c r="K147" i="25" s="1"/>
  <c r="V147" i="25" s="1"/>
  <c r="Q147" i="25"/>
  <c r="V18" i="24"/>
  <c r="U33" i="24"/>
  <c r="P134" i="25"/>
  <c r="O134" i="25"/>
  <c r="P298" i="25"/>
  <c r="O298" i="25"/>
  <c r="V25" i="24"/>
  <c r="U172" i="25"/>
  <c r="J313" i="24"/>
  <c r="W313" i="24" s="1"/>
  <c r="O313" i="24"/>
  <c r="BZ313" i="24" s="1"/>
  <c r="U49" i="25"/>
  <c r="U127" i="25"/>
  <c r="U62" i="25"/>
  <c r="J310" i="24"/>
  <c r="W310" i="24" s="1"/>
  <c r="O310" i="24"/>
  <c r="BZ310" i="24" s="1"/>
  <c r="V271" i="24"/>
  <c r="U290" i="25"/>
  <c r="O309" i="24"/>
  <c r="BZ309" i="24" s="1"/>
  <c r="J309" i="24"/>
  <c r="N126" i="24"/>
  <c r="U126" i="24"/>
  <c r="P208" i="25"/>
  <c r="O208" i="25"/>
  <c r="T208" i="25"/>
  <c r="N228" i="24"/>
  <c r="P281" i="25"/>
  <c r="O281" i="25"/>
  <c r="P249" i="25"/>
  <c r="O249" i="25"/>
  <c r="T249" i="25"/>
  <c r="J316" i="24"/>
  <c r="O316" i="24"/>
  <c r="BZ316" i="24" s="1"/>
  <c r="P46" i="25"/>
  <c r="O46" i="25"/>
  <c r="J312" i="24"/>
  <c r="W312" i="24" s="1"/>
  <c r="O312" i="24"/>
  <c r="BZ312" i="24" s="1"/>
  <c r="Q20" i="24"/>
  <c r="R20" i="24" s="1"/>
  <c r="P20" i="24"/>
  <c r="O305" i="24"/>
  <c r="BZ305" i="24" s="1"/>
  <c r="J305" i="24"/>
  <c r="O287" i="24"/>
  <c r="BZ287" i="24" s="1"/>
  <c r="J287" i="24"/>
  <c r="J104" i="24"/>
  <c r="O104" i="24"/>
  <c r="BZ104" i="24" s="1"/>
  <c r="P99" i="25"/>
  <c r="O99" i="25"/>
  <c r="J304" i="24"/>
  <c r="O304" i="24"/>
  <c r="BZ304" i="24" s="1"/>
  <c r="O147" i="24"/>
  <c r="BZ147" i="24" s="1"/>
  <c r="J147" i="24"/>
  <c r="W147" i="24" s="1"/>
  <c r="U137" i="25"/>
  <c r="J24" i="24"/>
  <c r="W24" i="24" s="1"/>
  <c r="O24" i="24"/>
  <c r="BZ24" i="24" s="1"/>
  <c r="P49" i="25"/>
  <c r="O49" i="25"/>
  <c r="P33" i="25"/>
  <c r="O33" i="25"/>
  <c r="P175" i="25"/>
  <c r="O175" i="25"/>
  <c r="U252" i="25"/>
  <c r="N59" i="24"/>
  <c r="U59" i="24"/>
  <c r="U64" i="25"/>
  <c r="N148" i="24"/>
  <c r="U148" i="24"/>
  <c r="O173" i="24"/>
  <c r="BZ173" i="24" s="1"/>
  <c r="J173" i="24"/>
  <c r="O149" i="24"/>
  <c r="BZ149" i="24" s="1"/>
  <c r="J149" i="24"/>
  <c r="P224" i="25"/>
  <c r="O224" i="25"/>
  <c r="T224" i="25"/>
  <c r="U69" i="25"/>
  <c r="O271" i="24"/>
  <c r="BZ271" i="24" s="1"/>
  <c r="J271" i="24"/>
  <c r="W271" i="24" s="1"/>
  <c r="AD129" i="25"/>
  <c r="W129" i="25"/>
  <c r="Z129" i="25" s="1"/>
  <c r="AA129" i="25" s="1"/>
  <c r="AB129" i="25" s="1"/>
  <c r="AI129" i="25" s="1"/>
  <c r="T281" i="25"/>
  <c r="V76" i="24"/>
  <c r="U145" i="25"/>
  <c r="N203" i="24"/>
  <c r="U203" i="24"/>
  <c r="P307" i="25"/>
  <c r="O307" i="25"/>
  <c r="T307" i="25"/>
  <c r="J29" i="24"/>
  <c r="O29" i="24"/>
  <c r="BZ29" i="24" s="1"/>
  <c r="N249" i="24"/>
  <c r="P41" i="25"/>
  <c r="O41" i="25"/>
  <c r="T41" i="25"/>
  <c r="P123" i="25"/>
  <c r="O123" i="25"/>
  <c r="T123" i="25"/>
  <c r="U147" i="25"/>
  <c r="O153" i="24"/>
  <c r="BZ153" i="24" s="1"/>
  <c r="J153" i="24"/>
  <c r="J282" i="24"/>
  <c r="O282" i="24"/>
  <c r="BZ282" i="24" s="1"/>
  <c r="J146" i="24"/>
  <c r="O146" i="24"/>
  <c r="BZ146" i="24" s="1"/>
  <c r="O255" i="24"/>
  <c r="BZ255" i="24" s="1"/>
  <c r="J255" i="24"/>
  <c r="Q23" i="24"/>
  <c r="R23" i="24" s="1"/>
  <c r="P23" i="24"/>
  <c r="N184" i="24"/>
  <c r="U184" i="24"/>
  <c r="V30" i="24"/>
  <c r="P295" i="24"/>
  <c r="Q295" i="24"/>
  <c r="O48" i="24"/>
  <c r="BZ48" i="24" s="1"/>
  <c r="J48" i="24"/>
  <c r="W48" i="24" s="1"/>
  <c r="O197" i="24"/>
  <c r="BZ197" i="24" s="1"/>
  <c r="J197" i="24"/>
  <c r="P175" i="24"/>
  <c r="Q175" i="24"/>
  <c r="AE162" i="24"/>
  <c r="X162" i="24"/>
  <c r="AA162" i="24" s="1"/>
  <c r="AB162" i="24" s="1"/>
  <c r="AC162" i="24" s="1"/>
  <c r="AI162" i="24"/>
  <c r="P98" i="24"/>
  <c r="Q98" i="24"/>
  <c r="R98" i="24" s="1"/>
  <c r="T175" i="25"/>
  <c r="N194" i="24"/>
  <c r="U194" i="24"/>
  <c r="AP20" i="24"/>
  <c r="N315" i="24"/>
  <c r="P251" i="25"/>
  <c r="O251" i="25"/>
  <c r="T251" i="25"/>
  <c r="U316" i="25"/>
  <c r="N247" i="24"/>
  <c r="U17" i="24"/>
  <c r="J86" i="24"/>
  <c r="W86" i="24" s="1"/>
  <c r="O86" i="24"/>
  <c r="BZ86" i="24" s="1"/>
  <c r="O161" i="24"/>
  <c r="BZ161" i="24" s="1"/>
  <c r="J161" i="24"/>
  <c r="P209" i="25"/>
  <c r="O209" i="25"/>
  <c r="T209" i="25"/>
  <c r="U133" i="25"/>
  <c r="P277" i="25"/>
  <c r="O277" i="25"/>
  <c r="T277" i="25"/>
  <c r="T289" i="25"/>
  <c r="N187" i="24"/>
  <c r="U187" i="24"/>
  <c r="P219" i="25"/>
  <c r="O219" i="25"/>
  <c r="T219" i="25"/>
  <c r="J232" i="24"/>
  <c r="O232" i="24"/>
  <c r="BZ232" i="24" s="1"/>
  <c r="U120" i="25"/>
  <c r="P245" i="24"/>
  <c r="Q245" i="24"/>
  <c r="O72" i="24"/>
  <c r="BZ72" i="24" s="1"/>
  <c r="J72" i="24"/>
  <c r="W72" i="24" s="1"/>
  <c r="P56" i="25"/>
  <c r="O56" i="25"/>
  <c r="T56" i="25"/>
  <c r="Q189" i="24"/>
  <c r="P189" i="24"/>
  <c r="P60" i="25"/>
  <c r="O60" i="25"/>
  <c r="U151" i="24"/>
  <c r="J128" i="24"/>
  <c r="O128" i="24"/>
  <c r="BZ128" i="24" s="1"/>
  <c r="O278" i="24"/>
  <c r="BZ278" i="24" s="1"/>
  <c r="J278" i="24"/>
  <c r="U91" i="25"/>
  <c r="V44" i="24"/>
  <c r="W44" i="24"/>
  <c r="N117" i="24"/>
  <c r="U117" i="24"/>
  <c r="J314" i="24"/>
  <c r="O314" i="24"/>
  <c r="BZ314" i="24" s="1"/>
  <c r="J307" i="24"/>
  <c r="W307" i="24" s="1"/>
  <c r="O307" i="24"/>
  <c r="BZ307" i="24" s="1"/>
  <c r="P305" i="24"/>
  <c r="Q305" i="24"/>
  <c r="J91" i="24"/>
  <c r="O91" i="24"/>
  <c r="BZ91" i="24" s="1"/>
  <c r="P17" i="25"/>
  <c r="O17" i="25"/>
  <c r="AP196" i="24"/>
  <c r="J171" i="24"/>
  <c r="O171" i="24"/>
  <c r="BZ171" i="24" s="1"/>
  <c r="P119" i="25"/>
  <c r="O119" i="25"/>
  <c r="P50" i="25"/>
  <c r="O50" i="25"/>
  <c r="J98" i="24"/>
  <c r="O98" i="24"/>
  <c r="BZ98" i="24" s="1"/>
  <c r="J81" i="24"/>
  <c r="O81" i="24"/>
  <c r="BZ81" i="24" s="1"/>
  <c r="J245" i="24"/>
  <c r="O245" i="24"/>
  <c r="BZ245" i="24" s="1"/>
  <c r="Q12" i="24"/>
  <c r="R12" i="24" s="1"/>
  <c r="P12" i="24"/>
  <c r="S261" i="25"/>
  <c r="K261" i="25" s="1"/>
  <c r="R261" i="25"/>
  <c r="Q261" i="25"/>
  <c r="U229" i="25"/>
  <c r="P234" i="24"/>
  <c r="Q234" i="24"/>
  <c r="J273" i="24"/>
  <c r="O273" i="24"/>
  <c r="BZ273" i="24" s="1"/>
  <c r="P193" i="25"/>
  <c r="O193" i="25"/>
  <c r="O152" i="25"/>
  <c r="P152" i="25"/>
  <c r="P306" i="24"/>
  <c r="Q306" i="24"/>
  <c r="P226" i="24"/>
  <c r="Q226" i="24"/>
  <c r="U102" i="24"/>
  <c r="P296" i="24"/>
  <c r="Q296" i="24"/>
  <c r="T53" i="25"/>
  <c r="P132" i="25"/>
  <c r="O132" i="25"/>
  <c r="P265" i="24"/>
  <c r="Q265" i="24"/>
  <c r="R257" i="25"/>
  <c r="S257" i="25"/>
  <c r="K257" i="25" s="1"/>
  <c r="Q257" i="25"/>
  <c r="Q185" i="24"/>
  <c r="P185" i="24"/>
  <c r="U114" i="25"/>
  <c r="S178" i="25"/>
  <c r="K178" i="25" s="1"/>
  <c r="V178" i="25" s="1"/>
  <c r="R178" i="25"/>
  <c r="Q178" i="25"/>
  <c r="S167" i="25"/>
  <c r="K167" i="25" s="1"/>
  <c r="R167" i="25"/>
  <c r="Q167" i="25"/>
  <c r="J274" i="24"/>
  <c r="O274" i="24"/>
  <c r="BZ274" i="24" s="1"/>
  <c r="N298" i="24"/>
  <c r="J70" i="24"/>
  <c r="O70" i="24"/>
  <c r="BZ70" i="24" s="1"/>
  <c r="P152" i="24"/>
  <c r="Q152" i="24"/>
  <c r="V227" i="24"/>
  <c r="P200" i="24"/>
  <c r="Q200" i="24"/>
  <c r="P195" i="25"/>
  <c r="O195" i="25"/>
  <c r="P8" i="25"/>
  <c r="O8" i="25"/>
  <c r="U170" i="24"/>
  <c r="J250" i="24"/>
  <c r="O250" i="24"/>
  <c r="BZ250" i="24" s="1"/>
  <c r="O56" i="24"/>
  <c r="BZ56" i="24" s="1"/>
  <c r="J56" i="24"/>
  <c r="T63" i="25"/>
  <c r="U201" i="25"/>
  <c r="U292" i="25"/>
  <c r="S246" i="25"/>
  <c r="K246" i="25" s="1"/>
  <c r="R246" i="25"/>
  <c r="Q246" i="25"/>
  <c r="J67" i="24"/>
  <c r="O67" i="24"/>
  <c r="BZ67" i="24" s="1"/>
  <c r="R259" i="25"/>
  <c r="S259" i="25"/>
  <c r="K259" i="25" s="1"/>
  <c r="Q259" i="25"/>
  <c r="U92" i="25"/>
  <c r="Q224" i="24"/>
  <c r="P224" i="24"/>
  <c r="V83" i="24"/>
  <c r="P151" i="25"/>
  <c r="O151" i="25"/>
  <c r="O283" i="24"/>
  <c r="BZ283" i="24" s="1"/>
  <c r="J283" i="24"/>
  <c r="R267" i="25"/>
  <c r="S267" i="25"/>
  <c r="K267" i="25" s="1"/>
  <c r="V267" i="25" s="1"/>
  <c r="Q267" i="25"/>
  <c r="R113" i="25"/>
  <c r="S113" i="25"/>
  <c r="K113" i="25" s="1"/>
  <c r="V113" i="25" s="1"/>
  <c r="Q113" i="25"/>
  <c r="AP302" i="24"/>
  <c r="O162" i="25"/>
  <c r="P162" i="25"/>
  <c r="O33" i="24"/>
  <c r="BZ33" i="24" s="1"/>
  <c r="J33" i="24"/>
  <c r="Q197" i="24"/>
  <c r="P197" i="24"/>
  <c r="P304" i="25"/>
  <c r="O304" i="25"/>
  <c r="T304" i="25"/>
  <c r="P151" i="24"/>
  <c r="Q151" i="24"/>
  <c r="P74" i="25"/>
  <c r="O74" i="25"/>
  <c r="T74" i="25"/>
  <c r="P103" i="25"/>
  <c r="O103" i="25"/>
  <c r="U285" i="25"/>
  <c r="U126" i="25"/>
  <c r="R255" i="25"/>
  <c r="S255" i="25"/>
  <c r="K255" i="25" s="1"/>
  <c r="Q255" i="25"/>
  <c r="P7" i="25"/>
  <c r="O7" i="25"/>
  <c r="J221" i="24"/>
  <c r="O221" i="24"/>
  <c r="BZ221" i="24" s="1"/>
  <c r="V68" i="24"/>
  <c r="V129" i="24"/>
  <c r="J129" i="24"/>
  <c r="O129" i="24"/>
  <c r="BZ129" i="24" s="1"/>
  <c r="P291" i="24"/>
  <c r="Q291" i="24"/>
  <c r="P118" i="25"/>
  <c r="O118" i="25"/>
  <c r="P172" i="25"/>
  <c r="O172" i="25"/>
  <c r="U291" i="25"/>
  <c r="J289" i="24"/>
  <c r="O289" i="24"/>
  <c r="BZ289" i="24" s="1"/>
  <c r="P250" i="25"/>
  <c r="O250" i="25"/>
  <c r="J155" i="24"/>
  <c r="O155" i="24"/>
  <c r="BZ155" i="24" s="1"/>
  <c r="U54" i="25"/>
  <c r="U155" i="25"/>
  <c r="J240" i="24"/>
  <c r="O240" i="24"/>
  <c r="BZ240" i="24" s="1"/>
  <c r="Q31" i="24"/>
  <c r="R31" i="24" s="1"/>
  <c r="P31" i="24"/>
  <c r="P126" i="25"/>
  <c r="O126" i="25"/>
  <c r="U153" i="25"/>
  <c r="V237" i="24"/>
  <c r="T181" i="25"/>
  <c r="P150" i="25"/>
  <c r="O150" i="25"/>
  <c r="N141" i="24"/>
  <c r="U141" i="24"/>
  <c r="O105" i="25"/>
  <c r="P105" i="25"/>
  <c r="O62" i="24"/>
  <c r="BZ62" i="24" s="1"/>
  <c r="J62" i="24"/>
  <c r="W62" i="24" s="1"/>
  <c r="P166" i="25"/>
  <c r="O166" i="25"/>
  <c r="P233" i="25"/>
  <c r="O233" i="25"/>
  <c r="N140" i="24"/>
  <c r="U140" i="24"/>
  <c r="P79" i="25"/>
  <c r="O79" i="25"/>
  <c r="T79" i="25"/>
  <c r="BZ170" i="25"/>
  <c r="P26" i="25"/>
  <c r="O26" i="25"/>
  <c r="T26" i="25"/>
  <c r="U85" i="25"/>
  <c r="P10" i="25"/>
  <c r="O10" i="25"/>
  <c r="T10" i="25"/>
  <c r="V150" i="24"/>
  <c r="Q104" i="24"/>
  <c r="R104" i="24" s="1"/>
  <c r="P104" i="24"/>
  <c r="AP144" i="24"/>
  <c r="J231" i="24"/>
  <c r="W231" i="24" s="1"/>
  <c r="O231" i="24"/>
  <c r="BZ231" i="24" s="1"/>
  <c r="J131" i="24"/>
  <c r="O131" i="24"/>
  <c r="BZ131" i="24" s="1"/>
  <c r="J133" i="24"/>
  <c r="W133" i="24" s="1"/>
  <c r="O133" i="24"/>
  <c r="BZ133" i="24" s="1"/>
  <c r="P88" i="25"/>
  <c r="O88" i="25"/>
  <c r="N89" i="24"/>
  <c r="U89" i="24"/>
  <c r="P207" i="24"/>
  <c r="Q207" i="24"/>
  <c r="Q60" i="24"/>
  <c r="R60" i="24" s="1"/>
  <c r="P60" i="24"/>
  <c r="J242" i="24"/>
  <c r="O242" i="24"/>
  <c r="BZ242" i="24" s="1"/>
  <c r="T234" i="25"/>
  <c r="AP17" i="24"/>
  <c r="J199" i="24"/>
  <c r="W199" i="24" s="1"/>
  <c r="O199" i="24"/>
  <c r="BZ199" i="24" s="1"/>
  <c r="J175" i="24"/>
  <c r="O175" i="24"/>
  <c r="BZ175" i="24" s="1"/>
  <c r="S177" i="25"/>
  <c r="K177" i="25" s="1"/>
  <c r="R177" i="25"/>
  <c r="Q177" i="25"/>
  <c r="O34" i="24"/>
  <c r="BZ34" i="24" s="1"/>
  <c r="J34" i="24"/>
  <c r="J76" i="24"/>
  <c r="O76" i="24"/>
  <c r="BZ76" i="24" s="1"/>
  <c r="O236" i="25"/>
  <c r="P236" i="25"/>
  <c r="O192" i="24"/>
  <c r="BZ192" i="24" s="1"/>
  <c r="J192" i="24"/>
  <c r="P142" i="25"/>
  <c r="O142" i="25"/>
  <c r="T142" i="25"/>
  <c r="O139" i="25"/>
  <c r="P139" i="25"/>
  <c r="T139" i="25"/>
  <c r="U111" i="25"/>
  <c r="U204" i="25"/>
  <c r="U305" i="25"/>
  <c r="U294" i="25"/>
  <c r="AP136" i="24"/>
  <c r="U45" i="25"/>
  <c r="T66" i="25"/>
  <c r="P159" i="24"/>
  <c r="Q159" i="24"/>
  <c r="J225" i="24"/>
  <c r="O225" i="24"/>
  <c r="BZ225" i="24" s="1"/>
  <c r="V307" i="24"/>
  <c r="P163" i="25"/>
  <c r="O163" i="25"/>
  <c r="Q75" i="24"/>
  <c r="R75" i="24" s="1"/>
  <c r="P75" i="24"/>
  <c r="P124" i="25"/>
  <c r="O124" i="25"/>
  <c r="P217" i="25"/>
  <c r="O217" i="25"/>
  <c r="T217" i="25"/>
  <c r="O189" i="24"/>
  <c r="BZ189" i="24" s="1"/>
  <c r="J189" i="24"/>
  <c r="P18" i="25"/>
  <c r="O18" i="25"/>
  <c r="T18" i="25"/>
  <c r="P169" i="24"/>
  <c r="Q169" i="24"/>
  <c r="U135" i="24"/>
  <c r="V110" i="25"/>
  <c r="X110" i="25" s="1"/>
  <c r="AE257" i="24"/>
  <c r="X257" i="24"/>
  <c r="AA257" i="24" s="1"/>
  <c r="AB257" i="24" s="1"/>
  <c r="AC257" i="24" s="1"/>
  <c r="AI257" i="24"/>
  <c r="U23" i="24"/>
  <c r="J11" i="24"/>
  <c r="O11" i="24"/>
  <c r="BZ11" i="24" s="1"/>
  <c r="V43" i="24"/>
  <c r="Q314" i="24"/>
  <c r="P314" i="24"/>
  <c r="S6" i="25"/>
  <c r="K6" i="25" s="1"/>
  <c r="R6" i="25"/>
  <c r="Q6" i="25"/>
  <c r="P270" i="25"/>
  <c r="O270" i="25"/>
  <c r="O144" i="25"/>
  <c r="P144" i="25"/>
  <c r="P208" i="24"/>
  <c r="Q208" i="24"/>
  <c r="AP105" i="24"/>
  <c r="P51" i="25"/>
  <c r="O51" i="25"/>
  <c r="J15" i="24"/>
  <c r="O15" i="24"/>
  <c r="BZ15" i="24" s="1"/>
  <c r="Q258" i="24"/>
  <c r="P258" i="24"/>
  <c r="AP51" i="24"/>
  <c r="P269" i="24"/>
  <c r="Q269" i="24"/>
  <c r="J12" i="24"/>
  <c r="O12" i="24"/>
  <c r="BZ12" i="24" s="1"/>
  <c r="R229" i="25"/>
  <c r="S229" i="25"/>
  <c r="K229" i="25" s="1"/>
  <c r="V229" i="25" s="1"/>
  <c r="Q229" i="25"/>
  <c r="V279" i="24"/>
  <c r="V231" i="24"/>
  <c r="AP256" i="24"/>
  <c r="J36" i="24"/>
  <c r="O36" i="24"/>
  <c r="BZ36" i="24" s="1"/>
  <c r="U282" i="25"/>
  <c r="S161" i="25"/>
  <c r="K161" i="25" s="1"/>
  <c r="V161" i="25" s="1"/>
  <c r="R161" i="25"/>
  <c r="Q161" i="25"/>
  <c r="S276" i="25"/>
  <c r="K276" i="25" s="1"/>
  <c r="V276" i="25" s="1"/>
  <c r="R276" i="25"/>
  <c r="Q276" i="25"/>
  <c r="P241" i="25"/>
  <c r="O241" i="25"/>
  <c r="U115" i="24"/>
  <c r="U179" i="24"/>
  <c r="J265" i="24"/>
  <c r="O265" i="24"/>
  <c r="BZ265" i="24" s="1"/>
  <c r="S186" i="25"/>
  <c r="K186" i="25" s="1"/>
  <c r="R186" i="25"/>
  <c r="Q186" i="25"/>
  <c r="S114" i="25"/>
  <c r="K114" i="25" s="1"/>
  <c r="R114" i="25"/>
  <c r="Q114" i="25"/>
  <c r="J50" i="24"/>
  <c r="O50" i="24"/>
  <c r="BZ50" i="24" s="1"/>
  <c r="P143" i="24"/>
  <c r="Q143" i="24"/>
  <c r="J298" i="24"/>
  <c r="O298" i="24"/>
  <c r="BZ298" i="24" s="1"/>
  <c r="U186" i="24"/>
  <c r="P227" i="24"/>
  <c r="Q227" i="24"/>
  <c r="V40" i="24"/>
  <c r="U34" i="24"/>
  <c r="S71" i="25"/>
  <c r="K71" i="25" s="1"/>
  <c r="R71" i="25"/>
  <c r="Q71" i="25"/>
  <c r="P170" i="24"/>
  <c r="Q170" i="24"/>
  <c r="U42" i="25"/>
  <c r="U95" i="25"/>
  <c r="R201" i="25"/>
  <c r="S201" i="25"/>
  <c r="K201" i="25" s="1"/>
  <c r="V201" i="25" s="1"/>
  <c r="Q201" i="25"/>
  <c r="S292" i="25"/>
  <c r="K292" i="25" s="1"/>
  <c r="V292" i="25" s="1"/>
  <c r="R292" i="25"/>
  <c r="Q292" i="25"/>
  <c r="T99" i="25"/>
  <c r="V32" i="24"/>
  <c r="R92" i="25"/>
  <c r="S92" i="25"/>
  <c r="K92" i="25" s="1"/>
  <c r="Q92" i="25"/>
  <c r="Q261" i="24"/>
  <c r="P261" i="24"/>
  <c r="Q83" i="24"/>
  <c r="R83" i="24" s="1"/>
  <c r="P83" i="24"/>
  <c r="U148" i="25"/>
  <c r="R82" i="25"/>
  <c r="S82" i="25"/>
  <c r="K82" i="25" s="1"/>
  <c r="V82" i="25" s="1"/>
  <c r="Q82" i="25"/>
  <c r="U111" i="24"/>
  <c r="U162" i="25"/>
  <c r="P301" i="25"/>
  <c r="O301" i="25"/>
  <c r="T301" i="25"/>
  <c r="N280" i="24"/>
  <c r="J18" i="24"/>
  <c r="O18" i="24"/>
  <c r="BZ18" i="24" s="1"/>
  <c r="Q154" i="24"/>
  <c r="P154" i="24"/>
  <c r="AE44" i="24"/>
  <c r="X44" i="24"/>
  <c r="AA44" i="24" s="1"/>
  <c r="AB44" i="24" s="1"/>
  <c r="AC44" i="24" s="1"/>
  <c r="AI44" i="24"/>
  <c r="U46" i="25"/>
  <c r="Q9" i="24"/>
  <c r="R9" i="24" s="1"/>
  <c r="P9" i="24"/>
  <c r="P299" i="25"/>
  <c r="O299" i="25"/>
  <c r="T299" i="25"/>
  <c r="O181" i="24"/>
  <c r="BZ181" i="24" s="1"/>
  <c r="J181" i="24"/>
  <c r="W181" i="24" s="1"/>
  <c r="V163" i="24"/>
  <c r="P228" i="25"/>
  <c r="O228" i="25"/>
  <c r="T228" i="25"/>
  <c r="O19" i="25"/>
  <c r="P19" i="25"/>
  <c r="T298" i="25"/>
  <c r="U34" i="25"/>
  <c r="AE41" i="24"/>
  <c r="X41" i="24"/>
  <c r="AA41" i="24" s="1"/>
  <c r="AB41" i="24" s="1"/>
  <c r="AC41" i="24" s="1"/>
  <c r="AI41" i="24"/>
  <c r="P20" i="25"/>
  <c r="O20" i="25"/>
  <c r="P48" i="25"/>
  <c r="O48" i="25"/>
  <c r="O227" i="24"/>
  <c r="BZ227" i="24" s="1"/>
  <c r="J227" i="24"/>
  <c r="W227" i="24" s="1"/>
  <c r="AE191" i="24"/>
  <c r="AI191" i="24"/>
  <c r="X191" i="24"/>
  <c r="AA191" i="24" s="1"/>
  <c r="AB191" i="24" s="1"/>
  <c r="AC191" i="24" s="1"/>
  <c r="V205" i="24"/>
  <c r="Q179" i="24"/>
  <c r="P179" i="24"/>
  <c r="P180" i="25"/>
  <c r="O180" i="25"/>
  <c r="J163" i="24"/>
  <c r="W163" i="24" s="1"/>
  <c r="O163" i="24"/>
  <c r="BZ163" i="24" s="1"/>
  <c r="O291" i="24"/>
  <c r="BZ291" i="24" s="1"/>
  <c r="J291" i="24"/>
  <c r="N93" i="24"/>
  <c r="U93" i="24"/>
  <c r="P313" i="25"/>
  <c r="O313" i="25"/>
  <c r="T313" i="25"/>
  <c r="P303" i="25"/>
  <c r="O303" i="25"/>
  <c r="T303" i="25"/>
  <c r="P84" i="25"/>
  <c r="O84" i="25"/>
  <c r="T84" i="25"/>
  <c r="J148" i="24"/>
  <c r="O148" i="24"/>
  <c r="BZ148" i="24" s="1"/>
  <c r="P312" i="25"/>
  <c r="O312" i="25"/>
  <c r="U233" i="25"/>
  <c r="O120" i="24"/>
  <c r="BZ120" i="24" s="1"/>
  <c r="J120" i="24"/>
  <c r="B83" i="2"/>
  <c r="D83" i="2" s="1"/>
  <c r="O210" i="25"/>
  <c r="P210" i="25"/>
  <c r="T210" i="25"/>
  <c r="P127" i="25"/>
  <c r="O127" i="25"/>
  <c r="J218" i="24"/>
  <c r="O218" i="24"/>
  <c r="BZ218" i="24" s="1"/>
  <c r="O159" i="24"/>
  <c r="BZ159" i="24" s="1"/>
  <c r="J159" i="24"/>
  <c r="U144" i="24"/>
  <c r="O141" i="24"/>
  <c r="BZ141" i="24" s="1"/>
  <c r="J141" i="24"/>
  <c r="J253" i="24"/>
  <c r="O253" i="24"/>
  <c r="BZ253" i="24" s="1"/>
  <c r="O130" i="24"/>
  <c r="BZ130" i="24" s="1"/>
  <c r="J130" i="24"/>
  <c r="W130" i="24" s="1"/>
  <c r="N206" i="24"/>
  <c r="U206" i="24"/>
  <c r="V133" i="24"/>
  <c r="N123" i="24"/>
  <c r="U123" i="24"/>
  <c r="N161" i="24"/>
  <c r="U161" i="24"/>
  <c r="Q124" i="24"/>
  <c r="P124" i="24"/>
  <c r="N255" i="24"/>
  <c r="T118" i="25"/>
  <c r="J249" i="24"/>
  <c r="O249" i="24"/>
  <c r="BZ249" i="24" s="1"/>
  <c r="N42" i="24"/>
  <c r="U42" i="24"/>
  <c r="P271" i="25"/>
  <c r="O271" i="25"/>
  <c r="N131" i="24"/>
  <c r="U131" i="24"/>
  <c r="J118" i="24"/>
  <c r="O118" i="24"/>
  <c r="BZ118" i="24" s="1"/>
  <c r="P12" i="25"/>
  <c r="O12" i="25"/>
  <c r="T12" i="25"/>
  <c r="O207" i="24"/>
  <c r="BZ207" i="24" s="1"/>
  <c r="J207" i="24"/>
  <c r="Q66" i="24"/>
  <c r="R66" i="24" s="1"/>
  <c r="P66" i="24"/>
  <c r="O169" i="24"/>
  <c r="BZ169" i="24" s="1"/>
  <c r="J169" i="24"/>
  <c r="P43" i="25"/>
  <c r="O43" i="25"/>
  <c r="P57" i="25"/>
  <c r="O57" i="25"/>
  <c r="O49" i="24"/>
  <c r="BZ49" i="24" s="1"/>
  <c r="J49" i="24"/>
  <c r="J300" i="24"/>
  <c r="O300" i="24"/>
  <c r="BZ300" i="24" s="1"/>
  <c r="S305" i="25"/>
  <c r="K305" i="25" s="1"/>
  <c r="V305" i="25" s="1"/>
  <c r="R305" i="25"/>
  <c r="Q305" i="25"/>
  <c r="O150" i="24"/>
  <c r="BZ150" i="24" s="1"/>
  <c r="J150" i="24"/>
  <c r="AP179" i="24"/>
  <c r="J194" i="24"/>
  <c r="O194" i="24"/>
  <c r="BZ194" i="24" s="1"/>
  <c r="Q241" i="24"/>
  <c r="P241" i="24"/>
  <c r="Q35" i="24"/>
  <c r="R35" i="24" s="1"/>
  <c r="P35" i="24"/>
  <c r="P115" i="25"/>
  <c r="O115" i="25"/>
  <c r="T115" i="25"/>
  <c r="U9" i="24"/>
  <c r="P288" i="25"/>
  <c r="O288" i="25"/>
  <c r="T288" i="25"/>
  <c r="U97" i="25"/>
  <c r="U156" i="24"/>
  <c r="U144" i="25"/>
  <c r="U98" i="24"/>
  <c r="J187" i="24"/>
  <c r="O187" i="24"/>
  <c r="BZ187" i="24" s="1"/>
  <c r="BZ198" i="25"/>
  <c r="N263" i="24"/>
  <c r="J182" i="24"/>
  <c r="W182" i="24" s="1"/>
  <c r="O182" i="24"/>
  <c r="BZ182" i="24" s="1"/>
  <c r="U270" i="25"/>
  <c r="J71" i="24"/>
  <c r="O71" i="24"/>
  <c r="BZ71" i="24" s="1"/>
  <c r="J247" i="24"/>
  <c r="O247" i="24"/>
  <c r="BZ247" i="24" s="1"/>
  <c r="AP295" i="24"/>
  <c r="W162" i="24"/>
  <c r="Y162" i="24" s="1"/>
  <c r="J14" i="24"/>
  <c r="O14" i="24"/>
  <c r="BZ14" i="24" s="1"/>
  <c r="P244" i="24"/>
  <c r="Q244" i="24"/>
  <c r="P191" i="25"/>
  <c r="O191" i="25"/>
  <c r="V86" i="24"/>
  <c r="U61" i="25"/>
  <c r="P196" i="25"/>
  <c r="O196" i="25"/>
  <c r="T196" i="25"/>
  <c r="O117" i="24"/>
  <c r="BZ117" i="24" s="1"/>
  <c r="J117" i="24"/>
  <c r="P120" i="25"/>
  <c r="O120" i="25"/>
  <c r="N103" i="24"/>
  <c r="U103" i="24"/>
  <c r="O256" i="24"/>
  <c r="BZ256" i="24" s="1"/>
  <c r="J256" i="24"/>
  <c r="S131" i="25"/>
  <c r="K131" i="25" s="1"/>
  <c r="R131" i="25"/>
  <c r="Q131" i="25"/>
  <c r="P75" i="25"/>
  <c r="O75" i="25"/>
  <c r="T75" i="25"/>
  <c r="J9" i="24"/>
  <c r="O9" i="24"/>
  <c r="BZ9" i="24" s="1"/>
  <c r="J275" i="24"/>
  <c r="O275" i="24"/>
  <c r="BZ275" i="24" s="1"/>
  <c r="J230" i="24"/>
  <c r="O230" i="24"/>
  <c r="BZ230" i="24" s="1"/>
  <c r="O28" i="24"/>
  <c r="BZ28" i="24" s="1"/>
  <c r="J28" i="24"/>
  <c r="P35" i="25"/>
  <c r="O35" i="25"/>
  <c r="AP156" i="24"/>
  <c r="O297" i="24"/>
  <c r="BZ297" i="24" s="1"/>
  <c r="J297" i="24"/>
  <c r="Q87" i="24"/>
  <c r="R87" i="24" s="1"/>
  <c r="P87" i="24"/>
  <c r="T187" i="25"/>
  <c r="Q279" i="24"/>
  <c r="P279" i="24"/>
  <c r="P231" i="24"/>
  <c r="Q231" i="24"/>
  <c r="R232" i="25"/>
  <c r="S232" i="25"/>
  <c r="K232" i="25" s="1"/>
  <c r="Q232" i="25"/>
  <c r="R282" i="25"/>
  <c r="S282" i="25"/>
  <c r="K282" i="25" s="1"/>
  <c r="V282" i="25" s="1"/>
  <c r="Q282" i="25"/>
  <c r="U58" i="25"/>
  <c r="U185" i="25"/>
  <c r="U112" i="24"/>
  <c r="V19" i="24"/>
  <c r="O185" i="24"/>
  <c r="BZ185" i="24" s="1"/>
  <c r="J185" i="24"/>
  <c r="S199" i="25"/>
  <c r="K199" i="25" s="1"/>
  <c r="V199" i="25" s="1"/>
  <c r="R199" i="25"/>
  <c r="Q199" i="25"/>
  <c r="V313" i="24"/>
  <c r="U283" i="25"/>
  <c r="V223" i="24"/>
  <c r="J143" i="24"/>
  <c r="O143" i="24"/>
  <c r="BZ143" i="24" s="1"/>
  <c r="Q168" i="24"/>
  <c r="P168" i="24"/>
  <c r="P186" i="24"/>
  <c r="Q186" i="24"/>
  <c r="O152" i="24"/>
  <c r="BZ152" i="24" s="1"/>
  <c r="J152" i="24"/>
  <c r="S31" i="25"/>
  <c r="K31" i="25" s="1"/>
  <c r="R31" i="25"/>
  <c r="Q31" i="25"/>
  <c r="Q40" i="24"/>
  <c r="R40" i="24" s="1"/>
  <c r="P40" i="24"/>
  <c r="R13" i="25"/>
  <c r="S13" i="25"/>
  <c r="K13" i="25" s="1"/>
  <c r="Q13" i="25"/>
  <c r="U9" i="25"/>
  <c r="U195" i="25"/>
  <c r="P164" i="25"/>
  <c r="O164" i="25"/>
  <c r="U96" i="24"/>
  <c r="S95" i="25"/>
  <c r="K95" i="25" s="1"/>
  <c r="V95" i="25" s="1"/>
  <c r="R95" i="25"/>
  <c r="Q95" i="25"/>
  <c r="S192" i="25"/>
  <c r="K192" i="25" s="1"/>
  <c r="R192" i="25"/>
  <c r="Q192" i="25"/>
  <c r="J243" i="24"/>
  <c r="O243" i="24"/>
  <c r="BZ243" i="24" s="1"/>
  <c r="P32" i="24"/>
  <c r="Q32" i="24"/>
  <c r="R32" i="24" s="1"/>
  <c r="V10" i="24"/>
  <c r="W7" i="24"/>
  <c r="Y7" i="24" s="1"/>
  <c r="P16" i="25"/>
  <c r="O16" i="25"/>
  <c r="P141" i="25"/>
  <c r="O141" i="25"/>
  <c r="V147" i="24"/>
  <c r="T103" i="25"/>
  <c r="V303" i="24"/>
  <c r="U240" i="25"/>
  <c r="S148" i="25"/>
  <c r="K148" i="25" s="1"/>
  <c r="V148" i="25" s="1"/>
  <c r="R148" i="25"/>
  <c r="Q148" i="25"/>
  <c r="P111" i="24"/>
  <c r="Q111" i="24"/>
  <c r="J224" i="24"/>
  <c r="O224" i="24"/>
  <c r="BZ224" i="24" s="1"/>
  <c r="P40" i="25"/>
  <c r="O40" i="25"/>
  <c r="T40" i="25"/>
  <c r="P92" i="24"/>
  <c r="Q92" i="24"/>
  <c r="R92" i="24" s="1"/>
  <c r="U51" i="25"/>
  <c r="U15" i="25"/>
  <c r="P22" i="25"/>
  <c r="O22" i="25"/>
  <c r="T22" i="25"/>
  <c r="U279" i="25"/>
  <c r="V24" i="24"/>
  <c r="P309" i="25"/>
  <c r="O309" i="25"/>
  <c r="J134" i="24"/>
  <c r="O134" i="24"/>
  <c r="BZ134" i="24" s="1"/>
  <c r="N204" i="24"/>
  <c r="U204" i="24"/>
  <c r="P182" i="25"/>
  <c r="O182" i="25"/>
  <c r="J228" i="24"/>
  <c r="O228" i="24"/>
  <c r="BZ228" i="24" s="1"/>
  <c r="P311" i="25"/>
  <c r="O311" i="25"/>
  <c r="P287" i="25"/>
  <c r="O287" i="25"/>
  <c r="T287" i="25"/>
  <c r="Q17" i="24"/>
  <c r="R17" i="24" s="1"/>
  <c r="P17" i="24"/>
  <c r="P101" i="25"/>
  <c r="O101" i="25"/>
  <c r="P76" i="25"/>
  <c r="O76" i="25"/>
  <c r="T76" i="25"/>
  <c r="N260" i="24"/>
  <c r="P156" i="25"/>
  <c r="O156" i="25"/>
  <c r="T156" i="25"/>
  <c r="U33" i="25"/>
  <c r="AP240" i="24"/>
  <c r="U171" i="24"/>
  <c r="T121" i="25"/>
  <c r="J279" i="24"/>
  <c r="W279" i="24" s="1"/>
  <c r="O279" i="24"/>
  <c r="BZ279" i="24" s="1"/>
  <c r="O200" i="24"/>
  <c r="BZ200" i="24" s="1"/>
  <c r="J200" i="24"/>
  <c r="W200" i="24" s="1"/>
  <c r="P117" i="25"/>
  <c r="O117" i="25"/>
  <c r="P297" i="25"/>
  <c r="O297" i="25"/>
  <c r="T297" i="25"/>
  <c r="N259" i="24"/>
  <c r="J83" i="24"/>
  <c r="W83" i="24" s="1"/>
  <c r="O83" i="24"/>
  <c r="BZ83" i="24" s="1"/>
  <c r="U52" i="25"/>
  <c r="N158" i="24"/>
  <c r="U158" i="24"/>
  <c r="Q96" i="24"/>
  <c r="R96" i="24" s="1"/>
  <c r="P96" i="24"/>
  <c r="N58" i="24"/>
  <c r="U58" i="24"/>
  <c r="N149" i="24"/>
  <c r="U149" i="24"/>
  <c r="O112" i="25"/>
  <c r="P112" i="25"/>
  <c r="T112" i="25"/>
  <c r="P125" i="25"/>
  <c r="O125" i="25"/>
  <c r="T125" i="25"/>
  <c r="J220" i="24"/>
  <c r="O220" i="24"/>
  <c r="BZ220" i="24" s="1"/>
  <c r="U254" i="25"/>
  <c r="J27" i="24"/>
  <c r="O27" i="24"/>
  <c r="BZ27" i="24" s="1"/>
  <c r="P83" i="25"/>
  <c r="O83" i="25"/>
  <c r="P90" i="25"/>
  <c r="O90" i="25"/>
  <c r="T90" i="25"/>
  <c r="U196" i="24"/>
  <c r="V48" i="24"/>
  <c r="O31" i="24"/>
  <c r="BZ31" i="24" s="1"/>
  <c r="J31" i="24"/>
  <c r="AP293" i="24"/>
  <c r="J59" i="24"/>
  <c r="O59" i="24"/>
  <c r="BZ59" i="24" s="1"/>
  <c r="P37" i="25"/>
  <c r="O37" i="25"/>
  <c r="O206" i="24"/>
  <c r="BZ206" i="24" s="1"/>
  <c r="J206" i="24"/>
  <c r="P263" i="25"/>
  <c r="O263" i="25"/>
  <c r="O219" i="24"/>
  <c r="BZ219" i="24" s="1"/>
  <c r="J219" i="24"/>
  <c r="W219" i="24" s="1"/>
  <c r="J140" i="24"/>
  <c r="O140" i="24"/>
  <c r="BZ140" i="24" s="1"/>
  <c r="O169" i="25"/>
  <c r="P169" i="25"/>
  <c r="T169" i="25"/>
  <c r="AO170" i="25"/>
  <c r="AP135" i="24"/>
  <c r="O210" i="24"/>
  <c r="BZ210" i="24" s="1"/>
  <c r="J210" i="24"/>
  <c r="N26" i="24"/>
  <c r="U26" i="24"/>
  <c r="R34" i="25"/>
  <c r="S34" i="25"/>
  <c r="K34" i="25" s="1"/>
  <c r="Q34" i="25"/>
  <c r="N183" i="24"/>
  <c r="U183" i="24"/>
  <c r="O42" i="24"/>
  <c r="BZ42" i="24" s="1"/>
  <c r="J42" i="24"/>
  <c r="J58" i="24"/>
  <c r="O58" i="24"/>
  <c r="BZ58" i="24" s="1"/>
  <c r="O25" i="24"/>
  <c r="BZ25" i="24" s="1"/>
  <c r="J25" i="24"/>
  <c r="W25" i="24" s="1"/>
  <c r="U82" i="25"/>
  <c r="AE190" i="24"/>
  <c r="X190" i="24"/>
  <c r="AA190" i="24" s="1"/>
  <c r="AB190" i="24" s="1"/>
  <c r="AC190" i="24" s="1"/>
  <c r="AI190" i="24"/>
  <c r="P279" i="25"/>
  <c r="O279" i="25"/>
  <c r="P300" i="25"/>
  <c r="O300" i="25"/>
  <c r="Q177" i="24"/>
  <c r="P177" i="24"/>
  <c r="P316" i="25"/>
  <c r="O316" i="25"/>
  <c r="B86" i="2"/>
  <c r="V72" i="24"/>
  <c r="J66" i="24"/>
  <c r="O66" i="24"/>
  <c r="BZ66" i="24" s="1"/>
  <c r="J60" i="24"/>
  <c r="O60" i="24"/>
  <c r="BZ60" i="24" s="1"/>
  <c r="AP13" i="24"/>
  <c r="J144" i="24"/>
  <c r="O144" i="24"/>
  <c r="BZ144" i="24" s="1"/>
  <c r="O241" i="24"/>
  <c r="BZ241" i="24" s="1"/>
  <c r="J241" i="24"/>
  <c r="P198" i="24"/>
  <c r="Q198" i="24"/>
  <c r="P128" i="24"/>
  <c r="Q128" i="24"/>
  <c r="P45" i="25"/>
  <c r="O45" i="25"/>
  <c r="N80" i="24"/>
  <c r="U80" i="24"/>
  <c r="AP124" i="24"/>
  <c r="U310" i="25"/>
  <c r="Q201" i="24"/>
  <c r="P201" i="24"/>
  <c r="V53" i="24"/>
  <c r="U59" i="25"/>
  <c r="AO62" i="25"/>
  <c r="J203" i="24"/>
  <c r="O203" i="24"/>
  <c r="BZ203" i="24" s="1"/>
  <c r="V181" i="24"/>
  <c r="U247" i="25"/>
  <c r="O8" i="24"/>
  <c r="BZ8" i="24" s="1"/>
  <c r="J8" i="24"/>
  <c r="AO198" i="25"/>
  <c r="AP104" i="24"/>
  <c r="O137" i="24"/>
  <c r="BZ137" i="24" s="1"/>
  <c r="J137" i="24"/>
  <c r="W41" i="24"/>
  <c r="Y41" i="24" s="1"/>
  <c r="AP102" i="24"/>
  <c r="U75" i="24"/>
  <c r="W191" i="24"/>
  <c r="Y191" i="24" s="1"/>
  <c r="O75" i="24"/>
  <c r="BZ75" i="24" s="1"/>
  <c r="J75" i="24"/>
  <c r="P254" i="25"/>
  <c r="O254" i="25"/>
  <c r="P231" i="25"/>
  <c r="O231" i="25"/>
  <c r="T231" i="25"/>
  <c r="O90" i="24"/>
  <c r="BZ90" i="24" s="1"/>
  <c r="J90" i="24"/>
  <c r="P227" i="25"/>
  <c r="O227" i="25"/>
  <c r="AP201" i="24"/>
  <c r="P183" i="25"/>
  <c r="O183" i="25"/>
  <c r="T183" i="25"/>
  <c r="P140" i="25"/>
  <c r="O140" i="25"/>
  <c r="T140" i="25"/>
  <c r="T101" i="25"/>
  <c r="P115" i="24"/>
  <c r="Q115" i="24"/>
  <c r="J103" i="24"/>
  <c r="O103" i="24"/>
  <c r="BZ103" i="24" s="1"/>
  <c r="AP75" i="24"/>
  <c r="T157" i="25"/>
  <c r="P128" i="25"/>
  <c r="O128" i="25"/>
  <c r="T171" i="25"/>
  <c r="J172" i="24"/>
  <c r="O172" i="24"/>
  <c r="BZ172" i="24" s="1"/>
  <c r="AE22" i="24"/>
  <c r="X22" i="24"/>
  <c r="AA22" i="24" s="1"/>
  <c r="AB22" i="24" s="1"/>
  <c r="AC22" i="24" s="1"/>
  <c r="AI22" i="24"/>
  <c r="BZ131" i="25"/>
  <c r="P256" i="25"/>
  <c r="O256" i="25"/>
  <c r="P149" i="25"/>
  <c r="O149" i="25"/>
  <c r="O258" i="24"/>
  <c r="BZ258" i="24" s="1"/>
  <c r="J258" i="24"/>
  <c r="O284" i="24"/>
  <c r="BZ284" i="24" s="1"/>
  <c r="J284" i="24"/>
  <c r="O87" i="24"/>
  <c r="BZ87" i="24" s="1"/>
  <c r="J87" i="24"/>
  <c r="O269" i="24"/>
  <c r="BZ269" i="24" s="1"/>
  <c r="J269" i="24"/>
  <c r="U14" i="25"/>
  <c r="V16" i="24"/>
  <c r="U138" i="24"/>
  <c r="R247" i="25"/>
  <c r="S247" i="25"/>
  <c r="K247" i="25" s="1"/>
  <c r="V247" i="25" s="1"/>
  <c r="Q247" i="25"/>
  <c r="P58" i="25"/>
  <c r="O58" i="25"/>
  <c r="Q19" i="24"/>
  <c r="R19" i="24" s="1"/>
  <c r="P19" i="24"/>
  <c r="U168" i="24"/>
  <c r="P38" i="25"/>
  <c r="O38" i="25"/>
  <c r="T38" i="25"/>
  <c r="U248" i="25"/>
  <c r="Q313" i="24"/>
  <c r="P313" i="24"/>
  <c r="S283" i="25"/>
  <c r="K283" i="25" s="1"/>
  <c r="V283" i="25" s="1"/>
  <c r="R283" i="25"/>
  <c r="Q283" i="25"/>
  <c r="BZ257" i="25"/>
  <c r="AP243" i="24"/>
  <c r="AP185" i="24"/>
  <c r="S314" i="25"/>
  <c r="K314" i="25" s="1"/>
  <c r="V314" i="25" s="1"/>
  <c r="R314" i="25"/>
  <c r="Q314" i="25"/>
  <c r="V310" i="24"/>
  <c r="T55" i="25"/>
  <c r="P44" i="25"/>
  <c r="O44" i="25"/>
  <c r="T44" i="25"/>
  <c r="J170" i="24"/>
  <c r="O170" i="24"/>
  <c r="BZ170" i="24" s="1"/>
  <c r="W119" i="24"/>
  <c r="Y119" i="24" s="1"/>
  <c r="V142" i="24"/>
  <c r="W142" i="24"/>
  <c r="P42" i="25"/>
  <c r="O42" i="25"/>
  <c r="U159" i="24"/>
  <c r="P10" i="24"/>
  <c r="Q10" i="24"/>
  <c r="R10" i="24" s="1"/>
  <c r="V130" i="24"/>
  <c r="V268" i="24"/>
  <c r="J261" i="24"/>
  <c r="O261" i="24"/>
  <c r="BZ261" i="24" s="1"/>
  <c r="Q303" i="24"/>
  <c r="P303" i="24"/>
  <c r="R240" i="25"/>
  <c r="S240" i="25"/>
  <c r="K240" i="25" s="1"/>
  <c r="V240" i="25" s="1"/>
  <c r="Q240" i="25"/>
  <c r="V97" i="24"/>
  <c r="T105" i="25"/>
  <c r="W292" i="24"/>
  <c r="Y292" i="24" s="1"/>
  <c r="Q300" i="24" l="1"/>
  <c r="W233" i="24"/>
  <c r="Y233" i="24" s="1"/>
  <c r="BZ190" i="25"/>
  <c r="AP284" i="24"/>
  <c r="Q190" i="25"/>
  <c r="R190" i="25"/>
  <c r="W294" i="24"/>
  <c r="Y294" i="24" s="1"/>
  <c r="Q301" i="24"/>
  <c r="P301" i="24"/>
  <c r="W264" i="24"/>
  <c r="Y264" i="24" s="1"/>
  <c r="AP300" i="24"/>
  <c r="AP289" i="24"/>
  <c r="P222" i="24"/>
  <c r="AP222" i="24"/>
  <c r="Q284" i="24"/>
  <c r="Q275" i="24"/>
  <c r="P275" i="24"/>
  <c r="P253" i="24"/>
  <c r="Q253" i="24"/>
  <c r="Q297" i="24"/>
  <c r="P297" i="24"/>
  <c r="Q289" i="24"/>
  <c r="Q285" i="24"/>
  <c r="P285" i="24"/>
  <c r="R262" i="25"/>
  <c r="Q262" i="25"/>
  <c r="S262" i="25"/>
  <c r="K262" i="25" s="1"/>
  <c r="V262" i="25" s="1"/>
  <c r="X262" i="25" s="1"/>
  <c r="BZ262" i="25"/>
  <c r="X170" i="25"/>
  <c r="AO96" i="25"/>
  <c r="Q94" i="25"/>
  <c r="BZ94" i="25"/>
  <c r="R94" i="25"/>
  <c r="AO94" i="25"/>
  <c r="Y270" i="24"/>
  <c r="W55" i="24"/>
  <c r="Y55" i="24" s="1"/>
  <c r="Y268" i="24"/>
  <c r="Y97" i="24"/>
  <c r="Y61" i="24"/>
  <c r="Y205" i="24"/>
  <c r="Y248" i="24"/>
  <c r="Y238" i="24"/>
  <c r="Y313" i="24"/>
  <c r="Y237" i="24"/>
  <c r="Y303" i="24"/>
  <c r="Y133" i="24"/>
  <c r="X62" i="25"/>
  <c r="Y130" i="24"/>
  <c r="Y52" i="24"/>
  <c r="Y32" i="24"/>
  <c r="Y24" i="24"/>
  <c r="Y30" i="24"/>
  <c r="X248" i="25"/>
  <c r="Y142" i="24"/>
  <c r="Y310" i="24"/>
  <c r="Y68" i="24"/>
  <c r="Y48" i="24"/>
  <c r="Y306" i="24"/>
  <c r="Y223" i="24"/>
  <c r="Y226" i="24"/>
  <c r="Y231" i="24"/>
  <c r="X204" i="25"/>
  <c r="Y16" i="24"/>
  <c r="Y234" i="24"/>
  <c r="Y43" i="24"/>
  <c r="X147" i="25"/>
  <c r="X82" i="25"/>
  <c r="AO104" i="25"/>
  <c r="Y147" i="24"/>
  <c r="Y307" i="24"/>
  <c r="Y181" i="24"/>
  <c r="X59" i="25"/>
  <c r="X275" i="25"/>
  <c r="X14" i="25"/>
  <c r="X229" i="25"/>
  <c r="Y182" i="24"/>
  <c r="Y272" i="24"/>
  <c r="Y271" i="24"/>
  <c r="Y190" i="24"/>
  <c r="Y219" i="24"/>
  <c r="X89" i="25"/>
  <c r="Y199" i="24"/>
  <c r="Y227" i="24"/>
  <c r="Y121" i="24"/>
  <c r="X283" i="25"/>
  <c r="X161" i="25"/>
  <c r="Y279" i="24"/>
  <c r="Y290" i="24"/>
  <c r="Y163" i="24"/>
  <c r="Y200" i="24"/>
  <c r="Y312" i="24"/>
  <c r="X292" i="25"/>
  <c r="X113" i="25"/>
  <c r="X199" i="25"/>
  <c r="X201" i="25"/>
  <c r="X238" i="25"/>
  <c r="X158" i="25"/>
  <c r="X32" i="25"/>
  <c r="X267" i="25"/>
  <c r="X282" i="25"/>
  <c r="X273" i="25"/>
  <c r="X314" i="25"/>
  <c r="X247" i="25"/>
  <c r="X178" i="25"/>
  <c r="X21" i="25"/>
  <c r="X276" i="25"/>
  <c r="X87" i="25"/>
  <c r="X240" i="25"/>
  <c r="X148" i="25"/>
  <c r="X95" i="25"/>
  <c r="X305" i="25"/>
  <c r="X30" i="25"/>
  <c r="X173" i="25"/>
  <c r="X243" i="25"/>
  <c r="Y86" i="24"/>
  <c r="Y19" i="24"/>
  <c r="Y22" i="24"/>
  <c r="Y72" i="24"/>
  <c r="Y44" i="24"/>
  <c r="Y53" i="24"/>
  <c r="Y10" i="24"/>
  <c r="Y40" i="24"/>
  <c r="Y83" i="24"/>
  <c r="Y21" i="24"/>
  <c r="Y25" i="24"/>
  <c r="Y101" i="24"/>
  <c r="Y62" i="24"/>
  <c r="W160" i="24"/>
  <c r="Y160" i="24" s="1"/>
  <c r="S11" i="25"/>
  <c r="K11" i="25" s="1"/>
  <c r="V11" i="25" s="1"/>
  <c r="X11" i="25" s="1"/>
  <c r="R11" i="25"/>
  <c r="Q11" i="25"/>
  <c r="R280" i="25"/>
  <c r="S280" i="25"/>
  <c r="K280" i="25" s="1"/>
  <c r="V280" i="25" s="1"/>
  <c r="X280" i="25" s="1"/>
  <c r="BZ11" i="25"/>
  <c r="AO280" i="25"/>
  <c r="BZ280" i="25"/>
  <c r="W305" i="24"/>
  <c r="Y305" i="24" s="1"/>
  <c r="S155" i="25"/>
  <c r="K155" i="25" s="1"/>
  <c r="W155" i="25" s="1"/>
  <c r="Z155" i="25" s="1"/>
  <c r="AA155" i="25" s="1"/>
  <c r="AB155" i="25" s="1"/>
  <c r="AI155" i="25" s="1"/>
  <c r="R155" i="25"/>
  <c r="W267" i="24"/>
  <c r="Y267" i="24" s="1"/>
  <c r="AJ191" i="24"/>
  <c r="AT191" i="24" s="1"/>
  <c r="Q155" i="25"/>
  <c r="W252" i="24"/>
  <c r="Y252" i="24" s="1"/>
  <c r="AJ190" i="24"/>
  <c r="AT190" i="24" s="1"/>
  <c r="W152" i="24"/>
  <c r="Y152" i="24" s="1"/>
  <c r="Q96" i="25"/>
  <c r="W12" i="24"/>
  <c r="Y12" i="24" s="1"/>
  <c r="R96" i="25"/>
  <c r="S96" i="25"/>
  <c r="K96" i="25" s="1"/>
  <c r="AD96" i="25" s="1"/>
  <c r="W178" i="24"/>
  <c r="Y178" i="24" s="1"/>
  <c r="W128" i="24"/>
  <c r="Y128" i="24" s="1"/>
  <c r="BZ155" i="25"/>
  <c r="W87" i="24"/>
  <c r="Y87" i="24" s="1"/>
  <c r="BZ96" i="25"/>
  <c r="W137" i="24"/>
  <c r="Y137" i="24" s="1"/>
  <c r="W276" i="24"/>
  <c r="Y276" i="24" s="1"/>
  <c r="W74" i="24"/>
  <c r="Y74" i="24" s="1"/>
  <c r="W286" i="24"/>
  <c r="Y286" i="24" s="1"/>
  <c r="W254" i="24"/>
  <c r="Y254" i="24" s="1"/>
  <c r="W60" i="24"/>
  <c r="Y60" i="24" s="1"/>
  <c r="W143" i="25"/>
  <c r="Z143" i="25" s="1"/>
  <c r="AA143" i="25" s="1"/>
  <c r="AB143" i="25" s="1"/>
  <c r="AI143" i="25" s="1"/>
  <c r="AS143" i="25" s="1"/>
  <c r="Q265" i="25"/>
  <c r="AD143" i="25"/>
  <c r="AE143" i="25" s="1"/>
  <c r="AJ162" i="24"/>
  <c r="AT162" i="24" s="1"/>
  <c r="AJ160" i="24"/>
  <c r="AT160" i="24" s="1"/>
  <c r="Q154" i="25"/>
  <c r="S154" i="25"/>
  <c r="K154" i="25" s="1"/>
  <c r="V154" i="25" s="1"/>
  <c r="X154" i="25" s="1"/>
  <c r="R154" i="25"/>
  <c r="W296" i="24"/>
  <c r="Y296" i="24" s="1"/>
  <c r="BZ154" i="25"/>
  <c r="W314" i="24"/>
  <c r="Y314" i="24" s="1"/>
  <c r="AJ101" i="24"/>
  <c r="W165" i="24"/>
  <c r="Y165" i="24" s="1"/>
  <c r="W157" i="24"/>
  <c r="Y157" i="24" s="1"/>
  <c r="W217" i="24"/>
  <c r="Y217" i="24" s="1"/>
  <c r="W91" i="24"/>
  <c r="Y91" i="24" s="1"/>
  <c r="P223" i="24"/>
  <c r="Q223" i="24"/>
  <c r="BZ97" i="25"/>
  <c r="W230" i="24"/>
  <c r="Y230" i="24" s="1"/>
  <c r="Q97" i="25"/>
  <c r="R97" i="25"/>
  <c r="S97" i="25"/>
  <c r="K97" i="25" s="1"/>
  <c r="V97" i="25" s="1"/>
  <c r="X97" i="25" s="1"/>
  <c r="AO97" i="25"/>
  <c r="Q258" i="25"/>
  <c r="S258" i="25"/>
  <c r="K258" i="25" s="1"/>
  <c r="V258" i="25" s="1"/>
  <c r="X258" i="25" s="1"/>
  <c r="W302" i="24"/>
  <c r="Y302" i="24" s="1"/>
  <c r="R258" i="25"/>
  <c r="AO258" i="25"/>
  <c r="W208" i="24"/>
  <c r="Y208" i="24" s="1"/>
  <c r="W49" i="24"/>
  <c r="Y49" i="24" s="1"/>
  <c r="S265" i="25"/>
  <c r="K265" i="25" s="1"/>
  <c r="AD265" i="25" s="1"/>
  <c r="BZ29" i="25"/>
  <c r="R265" i="25"/>
  <c r="Q291" i="25"/>
  <c r="AO29" i="25"/>
  <c r="R291" i="25"/>
  <c r="Q29" i="25"/>
  <c r="S291" i="25"/>
  <c r="K291" i="25" s="1"/>
  <c r="V291" i="25" s="1"/>
  <c r="X291" i="25" s="1"/>
  <c r="S29" i="25"/>
  <c r="K29" i="25" s="1"/>
  <c r="AD29" i="25" s="1"/>
  <c r="BZ265" i="25"/>
  <c r="R59" i="25"/>
  <c r="Q189" i="25"/>
  <c r="W37" i="24"/>
  <c r="S189" i="25"/>
  <c r="K189" i="25" s="1"/>
  <c r="W189" i="25" s="1"/>
  <c r="Z189" i="25" s="1"/>
  <c r="AA189" i="25" s="1"/>
  <c r="AB189" i="25" s="1"/>
  <c r="AI189" i="25" s="1"/>
  <c r="R189" i="25"/>
  <c r="BZ189" i="25"/>
  <c r="AO179" i="25"/>
  <c r="BZ179" i="25"/>
  <c r="Q179" i="25"/>
  <c r="S179" i="25"/>
  <c r="K179" i="25" s="1"/>
  <c r="V179" i="25" s="1"/>
  <c r="X179" i="25" s="1"/>
  <c r="BZ291" i="25"/>
  <c r="V37" i="24"/>
  <c r="W125" i="24"/>
  <c r="Y125" i="24" s="1"/>
  <c r="R28" i="25"/>
  <c r="W50" i="24"/>
  <c r="Y50" i="24" s="1"/>
  <c r="W265" i="24"/>
  <c r="Y265" i="24" s="1"/>
  <c r="W11" i="24"/>
  <c r="Y11" i="24" s="1"/>
  <c r="W175" i="24"/>
  <c r="Y175" i="24" s="1"/>
  <c r="W201" i="24"/>
  <c r="Y201" i="24" s="1"/>
  <c r="Q104" i="25"/>
  <c r="Q28" i="25"/>
  <c r="S28" i="25"/>
  <c r="K28" i="25" s="1"/>
  <c r="AD28" i="25" s="1"/>
  <c r="W253" i="24"/>
  <c r="Y253" i="24" s="1"/>
  <c r="Q59" i="25"/>
  <c r="R104" i="25"/>
  <c r="S104" i="25"/>
  <c r="K104" i="25" s="1"/>
  <c r="W104" i="25" s="1"/>
  <c r="Z104" i="25" s="1"/>
  <c r="AA104" i="25" s="1"/>
  <c r="AB104" i="25" s="1"/>
  <c r="AI104" i="25" s="1"/>
  <c r="Q237" i="25"/>
  <c r="BZ237" i="25"/>
  <c r="AO237" i="25"/>
  <c r="S237" i="25"/>
  <c r="K237" i="25" s="1"/>
  <c r="V237" i="25" s="1"/>
  <c r="X237" i="25" s="1"/>
  <c r="BZ104" i="25"/>
  <c r="BZ28" i="25"/>
  <c r="BZ59" i="25"/>
  <c r="AO59" i="25"/>
  <c r="W274" i="24"/>
  <c r="Y274" i="24" s="1"/>
  <c r="W20" i="24"/>
  <c r="Y20" i="24" s="1"/>
  <c r="W70" i="24"/>
  <c r="Y70" i="24" s="1"/>
  <c r="BN212" i="25"/>
  <c r="I212" i="25"/>
  <c r="CC212" i="25"/>
  <c r="BM212" i="25"/>
  <c r="AL212" i="25"/>
  <c r="J212" i="25"/>
  <c r="L212" i="25" s="1"/>
  <c r="AJ21" i="24"/>
  <c r="W124" i="24"/>
  <c r="AJ45" i="24"/>
  <c r="W224" i="24"/>
  <c r="Y224" i="24" s="1"/>
  <c r="W198" i="24"/>
  <c r="Y198" i="24" s="1"/>
  <c r="V124" i="24"/>
  <c r="W56" i="24"/>
  <c r="Y56" i="24" s="1"/>
  <c r="W169" i="24"/>
  <c r="Y169" i="24" s="1"/>
  <c r="AO77" i="25"/>
  <c r="S77" i="25"/>
  <c r="K77" i="25" s="1"/>
  <c r="BZ77" i="25"/>
  <c r="R77" i="25"/>
  <c r="Q77" i="25"/>
  <c r="AJ44" i="24"/>
  <c r="AJ55" i="24"/>
  <c r="AJ294" i="24"/>
  <c r="AT294" i="24" s="1"/>
  <c r="AJ41" i="24"/>
  <c r="AJ257" i="24"/>
  <c r="AT257" i="24" s="1"/>
  <c r="AJ119" i="24"/>
  <c r="AT119" i="24" s="1"/>
  <c r="AJ7" i="24"/>
  <c r="AJ233" i="24"/>
  <c r="AT233" i="24" s="1"/>
  <c r="AE284" i="24"/>
  <c r="AI284" i="24"/>
  <c r="X284" i="24"/>
  <c r="AA284" i="24" s="1"/>
  <c r="AB284" i="24" s="1"/>
  <c r="AC284" i="24" s="1"/>
  <c r="AE210" i="24"/>
  <c r="AI210" i="24"/>
  <c r="X210" i="24"/>
  <c r="AA210" i="24" s="1"/>
  <c r="AB210" i="24" s="1"/>
  <c r="AC210" i="24" s="1"/>
  <c r="U288" i="25"/>
  <c r="AE120" i="24"/>
  <c r="AI120" i="24"/>
  <c r="X120" i="24"/>
  <c r="AA120" i="24" s="1"/>
  <c r="AB120" i="24" s="1"/>
  <c r="AC120" i="24" s="1"/>
  <c r="U303" i="25"/>
  <c r="AD114" i="25"/>
  <c r="W114" i="25"/>
  <c r="Z114" i="25" s="1"/>
  <c r="AA114" i="25" s="1"/>
  <c r="AB114" i="25" s="1"/>
  <c r="AI114" i="25" s="1"/>
  <c r="V295" i="24"/>
  <c r="W295" i="24"/>
  <c r="S18" i="25"/>
  <c r="K18" i="25" s="1"/>
  <c r="V18" i="25" s="1"/>
  <c r="R18" i="25"/>
  <c r="Q18" i="25"/>
  <c r="AO18" i="25"/>
  <c r="BZ18" i="25"/>
  <c r="S88" i="25"/>
  <c r="K88" i="25" s="1"/>
  <c r="R88" i="25"/>
  <c r="Q88" i="25"/>
  <c r="AO88" i="25"/>
  <c r="BZ88" i="25"/>
  <c r="AE155" i="24"/>
  <c r="AI155" i="24"/>
  <c r="X155" i="24"/>
  <c r="AA155" i="24" s="1"/>
  <c r="AB155" i="24" s="1"/>
  <c r="AC155" i="24" s="1"/>
  <c r="AE250" i="24"/>
  <c r="AI250" i="24"/>
  <c r="X250" i="24"/>
  <c r="AA250" i="24" s="1"/>
  <c r="AB250" i="24" s="1"/>
  <c r="AC250" i="24" s="1"/>
  <c r="W298" i="24"/>
  <c r="V298" i="24"/>
  <c r="AD167" i="25"/>
  <c r="W167" i="25"/>
  <c r="Z167" i="25" s="1"/>
  <c r="AA167" i="25" s="1"/>
  <c r="AB167" i="25" s="1"/>
  <c r="AI167" i="25" s="1"/>
  <c r="AE81" i="24"/>
  <c r="AI81" i="24"/>
  <c r="X81" i="24"/>
  <c r="AA81" i="24" s="1"/>
  <c r="AB81" i="24" s="1"/>
  <c r="AC81" i="24" s="1"/>
  <c r="Q117" i="24"/>
  <c r="P117" i="24"/>
  <c r="AP117" i="24"/>
  <c r="AE278" i="24"/>
  <c r="AI278" i="24"/>
  <c r="X278" i="24"/>
  <c r="AA278" i="24" s="1"/>
  <c r="AB278" i="24" s="1"/>
  <c r="AC278" i="24" s="1"/>
  <c r="S56" i="25"/>
  <c r="K56" i="25" s="1"/>
  <c r="V56" i="25" s="1"/>
  <c r="R56" i="25"/>
  <c r="Q56" i="25"/>
  <c r="BZ56" i="25"/>
  <c r="AO56" i="25"/>
  <c r="AE232" i="24"/>
  <c r="AI232" i="24"/>
  <c r="X232" i="24"/>
  <c r="AA232" i="24" s="1"/>
  <c r="AB232" i="24" s="1"/>
  <c r="AC232" i="24" s="1"/>
  <c r="Q187" i="24"/>
  <c r="P187" i="24"/>
  <c r="AP187" i="24"/>
  <c r="W17" i="24"/>
  <c r="V17" i="24"/>
  <c r="R251" i="25"/>
  <c r="S251" i="25"/>
  <c r="K251" i="25" s="1"/>
  <c r="V251" i="25" s="1"/>
  <c r="Q251" i="25"/>
  <c r="AO251" i="25"/>
  <c r="BZ251" i="25"/>
  <c r="AG162" i="24"/>
  <c r="AF162" i="24"/>
  <c r="AE282" i="24"/>
  <c r="AI282" i="24"/>
  <c r="X282" i="24"/>
  <c r="AA282" i="24" s="1"/>
  <c r="AB282" i="24" s="1"/>
  <c r="AC282" i="24" s="1"/>
  <c r="V59" i="24"/>
  <c r="W59" i="24"/>
  <c r="R49" i="25"/>
  <c r="S49" i="25"/>
  <c r="K49" i="25" s="1"/>
  <c r="Q49" i="25"/>
  <c r="AO49" i="25"/>
  <c r="BZ49" i="25"/>
  <c r="AE305" i="24"/>
  <c r="AI305" i="24"/>
  <c r="X305" i="24"/>
  <c r="AA305" i="24" s="1"/>
  <c r="AB305" i="24" s="1"/>
  <c r="AC305" i="24" s="1"/>
  <c r="R249" i="25"/>
  <c r="S249" i="25"/>
  <c r="K249" i="25" s="1"/>
  <c r="V249" i="25" s="1"/>
  <c r="Q249" i="25"/>
  <c r="AO249" i="25"/>
  <c r="BZ249" i="25"/>
  <c r="V126" i="24"/>
  <c r="W126" i="24"/>
  <c r="AD206" i="25"/>
  <c r="W206" i="25"/>
  <c r="Z206" i="25" s="1"/>
  <c r="AA206" i="25" s="1"/>
  <c r="AB206" i="25" s="1"/>
  <c r="AI206" i="25" s="1"/>
  <c r="V31" i="24"/>
  <c r="W31" i="24"/>
  <c r="AE114" i="24"/>
  <c r="AI114" i="24"/>
  <c r="X114" i="24"/>
  <c r="AA114" i="24" s="1"/>
  <c r="AB114" i="24" s="1"/>
  <c r="AC114" i="24" s="1"/>
  <c r="S294" i="25"/>
  <c r="K294" i="25" s="1"/>
  <c r="R294" i="25"/>
  <c r="Q294" i="25"/>
  <c r="BZ294" i="25"/>
  <c r="AO294" i="25"/>
  <c r="W81" i="24"/>
  <c r="Y81" i="24" s="1"/>
  <c r="U230" i="25"/>
  <c r="AG21" i="24"/>
  <c r="AF21" i="24"/>
  <c r="AE73" i="24"/>
  <c r="AI73" i="24"/>
  <c r="X73" i="24"/>
  <c r="AA73" i="24" s="1"/>
  <c r="AB73" i="24" s="1"/>
  <c r="AC73" i="24" s="1"/>
  <c r="AE115" i="24"/>
  <c r="AI115" i="24"/>
  <c r="X115" i="24"/>
  <c r="AA115" i="24" s="1"/>
  <c r="AB115" i="24" s="1"/>
  <c r="AC115" i="24" s="1"/>
  <c r="AE38" i="24"/>
  <c r="AI38" i="24"/>
  <c r="X38" i="24"/>
  <c r="AA38" i="24" s="1"/>
  <c r="AB38" i="24" s="1"/>
  <c r="AC38" i="24" s="1"/>
  <c r="AE188" i="24"/>
  <c r="AI188" i="24"/>
  <c r="X188" i="24"/>
  <c r="AA188" i="24" s="1"/>
  <c r="AB188" i="24" s="1"/>
  <c r="AC188" i="24" s="1"/>
  <c r="AE308" i="24"/>
  <c r="AI308" i="24"/>
  <c r="X308" i="24"/>
  <c r="AA308" i="24" s="1"/>
  <c r="AB308" i="24" s="1"/>
  <c r="AC308" i="24" s="1"/>
  <c r="U197" i="25"/>
  <c r="AG132" i="24"/>
  <c r="AF132" i="24"/>
  <c r="R25" i="25"/>
  <c r="S25" i="25"/>
  <c r="K25" i="25" s="1"/>
  <c r="V25" i="25" s="1"/>
  <c r="Q25" i="25"/>
  <c r="BZ25" i="25"/>
  <c r="AO25" i="25"/>
  <c r="AE151" i="24"/>
  <c r="AI151" i="24"/>
  <c r="X151" i="24"/>
  <c r="AA151" i="24" s="1"/>
  <c r="AB151" i="24" s="1"/>
  <c r="AC151" i="24" s="1"/>
  <c r="AE280" i="24"/>
  <c r="AI280" i="24"/>
  <c r="X280" i="24"/>
  <c r="AA280" i="24" s="1"/>
  <c r="AB280" i="24" s="1"/>
  <c r="AC280" i="24" s="1"/>
  <c r="V244" i="24"/>
  <c r="W244" i="24"/>
  <c r="AG160" i="24"/>
  <c r="AF160" i="24"/>
  <c r="AE65" i="24"/>
  <c r="AI65" i="24"/>
  <c r="X65" i="24"/>
  <c r="AA65" i="24" s="1"/>
  <c r="AB65" i="24" s="1"/>
  <c r="AC65" i="24" s="1"/>
  <c r="Q146" i="24"/>
  <c r="P146" i="24"/>
  <c r="AP146" i="24"/>
  <c r="P71" i="24"/>
  <c r="Q71" i="24"/>
  <c r="R71" i="24" s="1"/>
  <c r="AP71" i="24"/>
  <c r="AE113" i="24"/>
  <c r="AI113" i="24"/>
  <c r="X113" i="24"/>
  <c r="AA113" i="24" s="1"/>
  <c r="AB113" i="24" s="1"/>
  <c r="AC113" i="24" s="1"/>
  <c r="Q153" i="24"/>
  <c r="P153" i="24"/>
  <c r="AP153" i="24"/>
  <c r="U122" i="25"/>
  <c r="AE165" i="24"/>
  <c r="AI165" i="24"/>
  <c r="X165" i="24"/>
  <c r="AA165" i="24" s="1"/>
  <c r="AB165" i="24" s="1"/>
  <c r="AC165" i="24" s="1"/>
  <c r="AD306" i="25"/>
  <c r="W306" i="25"/>
  <c r="Z306" i="25" s="1"/>
  <c r="AA306" i="25" s="1"/>
  <c r="AB306" i="25" s="1"/>
  <c r="AI306" i="25" s="1"/>
  <c r="AE254" i="24"/>
  <c r="AI254" i="24"/>
  <c r="X254" i="24"/>
  <c r="AA254" i="24" s="1"/>
  <c r="AB254" i="24" s="1"/>
  <c r="AC254" i="24" s="1"/>
  <c r="AE166" i="24"/>
  <c r="AI166" i="24"/>
  <c r="X166" i="24"/>
  <c r="AA166" i="24" s="1"/>
  <c r="AB166" i="24" s="1"/>
  <c r="AC166" i="24" s="1"/>
  <c r="S220" i="25"/>
  <c r="K220" i="25" s="1"/>
  <c r="V220" i="25" s="1"/>
  <c r="R220" i="25"/>
  <c r="Q220" i="25"/>
  <c r="AO220" i="25"/>
  <c r="BZ220" i="25"/>
  <c r="R260" i="25"/>
  <c r="S260" i="25"/>
  <c r="K260" i="25" s="1"/>
  <c r="V260" i="25" s="1"/>
  <c r="Q260" i="25"/>
  <c r="BZ260" i="25"/>
  <c r="AO260" i="25"/>
  <c r="R15" i="25"/>
  <c r="S15" i="25"/>
  <c r="K15" i="25" s="1"/>
  <c r="Q15" i="25"/>
  <c r="BZ15" i="25"/>
  <c r="AO15" i="25"/>
  <c r="AE105" i="24"/>
  <c r="AI105" i="24"/>
  <c r="X105" i="24"/>
  <c r="AA105" i="24" s="1"/>
  <c r="AB105" i="24" s="1"/>
  <c r="AC105" i="24" s="1"/>
  <c r="Q63" i="24"/>
  <c r="R63" i="24" s="1"/>
  <c r="P63" i="24"/>
  <c r="AP63" i="24"/>
  <c r="S207" i="25"/>
  <c r="K207" i="25" s="1"/>
  <c r="V207" i="25" s="1"/>
  <c r="R207" i="25"/>
  <c r="Q207" i="25"/>
  <c r="AO207" i="25"/>
  <c r="BZ207" i="25"/>
  <c r="AE32" i="24"/>
  <c r="AI32" i="24"/>
  <c r="X32" i="24"/>
  <c r="AA32" i="24" s="1"/>
  <c r="AB32" i="24" s="1"/>
  <c r="AC32" i="24" s="1"/>
  <c r="R78" i="25"/>
  <c r="S78" i="25"/>
  <c r="K78" i="25" s="1"/>
  <c r="V78" i="25" s="1"/>
  <c r="Q78" i="25"/>
  <c r="AO78" i="25"/>
  <c r="BZ78" i="25"/>
  <c r="U86" i="25"/>
  <c r="R239" i="25"/>
  <c r="S239" i="25"/>
  <c r="K239" i="25" s="1"/>
  <c r="V239" i="25" s="1"/>
  <c r="Q239" i="25"/>
  <c r="BZ239" i="25"/>
  <c r="AO239" i="25"/>
  <c r="AD14" i="25"/>
  <c r="W14" i="25"/>
  <c r="Z14" i="25" s="1"/>
  <c r="AA14" i="25" s="1"/>
  <c r="AB14" i="25" s="1"/>
  <c r="AI14" i="25" s="1"/>
  <c r="U315" i="25"/>
  <c r="AE276" i="24"/>
  <c r="AI276" i="24"/>
  <c r="X276" i="24"/>
  <c r="AA276" i="24" s="1"/>
  <c r="AB276" i="24" s="1"/>
  <c r="AC276" i="24" s="1"/>
  <c r="AE79" i="24"/>
  <c r="AI79" i="24"/>
  <c r="X79" i="24"/>
  <c r="AA79" i="24" s="1"/>
  <c r="AB79" i="24" s="1"/>
  <c r="AC79" i="24" s="1"/>
  <c r="U302" i="25"/>
  <c r="AE179" i="24"/>
  <c r="AI179" i="24"/>
  <c r="X179" i="24"/>
  <c r="AA179" i="24" s="1"/>
  <c r="AB179" i="24" s="1"/>
  <c r="AC179" i="24" s="1"/>
  <c r="S66" i="25"/>
  <c r="K66" i="25" s="1"/>
  <c r="V66" i="25" s="1"/>
  <c r="R66" i="25"/>
  <c r="Q66" i="25"/>
  <c r="AO66" i="25"/>
  <c r="BZ66" i="25"/>
  <c r="AE251" i="24"/>
  <c r="AI251" i="24"/>
  <c r="X251" i="24"/>
  <c r="AA251" i="24" s="1"/>
  <c r="AB251" i="24" s="1"/>
  <c r="AC251" i="24" s="1"/>
  <c r="W251" i="24"/>
  <c r="Y251" i="24" s="1"/>
  <c r="AG7" i="24"/>
  <c r="AF7" i="24"/>
  <c r="W78" i="24"/>
  <c r="V78" i="24"/>
  <c r="W105" i="24"/>
  <c r="Y105" i="24" s="1"/>
  <c r="AE172" i="24"/>
  <c r="AI172" i="24"/>
  <c r="X172" i="24"/>
  <c r="AA172" i="24" s="1"/>
  <c r="AB172" i="24" s="1"/>
  <c r="AC172" i="24" s="1"/>
  <c r="V75" i="24"/>
  <c r="W75" i="24"/>
  <c r="S169" i="25"/>
  <c r="K169" i="25" s="1"/>
  <c r="V169" i="25" s="1"/>
  <c r="R169" i="25"/>
  <c r="Q169" i="25"/>
  <c r="BZ169" i="25"/>
  <c r="AO169" i="25"/>
  <c r="R112" i="25"/>
  <c r="S112" i="25"/>
  <c r="K112" i="25" s="1"/>
  <c r="V112" i="25" s="1"/>
  <c r="Q112" i="25"/>
  <c r="BZ112" i="25"/>
  <c r="AO112" i="25"/>
  <c r="V204" i="24"/>
  <c r="W204" i="24"/>
  <c r="AD232" i="25"/>
  <c r="V232" i="25"/>
  <c r="X232" i="25" s="1"/>
  <c r="W232" i="25"/>
  <c r="Z232" i="25" s="1"/>
  <c r="AA232" i="25" s="1"/>
  <c r="AB232" i="25" s="1"/>
  <c r="AI232" i="25" s="1"/>
  <c r="AE118" i="24"/>
  <c r="AI118" i="24"/>
  <c r="X118" i="24"/>
  <c r="AA118" i="24" s="1"/>
  <c r="AB118" i="24" s="1"/>
  <c r="AC118" i="24" s="1"/>
  <c r="AE141" i="24"/>
  <c r="AI141" i="24"/>
  <c r="X141" i="24"/>
  <c r="AA141" i="24" s="1"/>
  <c r="AB141" i="24" s="1"/>
  <c r="AC141" i="24" s="1"/>
  <c r="R312" i="25"/>
  <c r="S312" i="25"/>
  <c r="K312" i="25" s="1"/>
  <c r="Q312" i="25"/>
  <c r="AO312" i="25"/>
  <c r="BZ312" i="25"/>
  <c r="Q93" i="24"/>
  <c r="R93" i="24" s="1"/>
  <c r="P93" i="24"/>
  <c r="AP93" i="24"/>
  <c r="U99" i="25"/>
  <c r="AE298" i="24"/>
  <c r="AI298" i="24"/>
  <c r="X298" i="24"/>
  <c r="AA298" i="24" s="1"/>
  <c r="AB298" i="24" s="1"/>
  <c r="AC298" i="24" s="1"/>
  <c r="AE265" i="24"/>
  <c r="AI265" i="24"/>
  <c r="X265" i="24"/>
  <c r="AA265" i="24" s="1"/>
  <c r="AB265" i="24" s="1"/>
  <c r="AC265" i="24" s="1"/>
  <c r="AE131" i="24"/>
  <c r="AI131" i="24"/>
  <c r="X131" i="24"/>
  <c r="AA131" i="24" s="1"/>
  <c r="AB131" i="24" s="1"/>
  <c r="AC131" i="24" s="1"/>
  <c r="V140" i="24"/>
  <c r="W140" i="24"/>
  <c r="AE289" i="24"/>
  <c r="AI289" i="24"/>
  <c r="X289" i="24"/>
  <c r="AA289" i="24" s="1"/>
  <c r="AB289" i="24" s="1"/>
  <c r="AC289" i="24" s="1"/>
  <c r="AD259" i="25"/>
  <c r="W259" i="25"/>
  <c r="Z259" i="25" s="1"/>
  <c r="AA259" i="25" s="1"/>
  <c r="AB259" i="25" s="1"/>
  <c r="AI259" i="25" s="1"/>
  <c r="U101" i="25"/>
  <c r="S183" i="25"/>
  <c r="K183" i="25" s="1"/>
  <c r="V183" i="25" s="1"/>
  <c r="R183" i="25"/>
  <c r="Q183" i="25"/>
  <c r="AO183" i="25"/>
  <c r="BZ183" i="25"/>
  <c r="U231" i="25"/>
  <c r="R279" i="25"/>
  <c r="S279" i="25"/>
  <c r="K279" i="25" s="1"/>
  <c r="Q279" i="25"/>
  <c r="AO279" i="25"/>
  <c r="BZ279" i="25"/>
  <c r="AE31" i="24"/>
  <c r="AI31" i="24"/>
  <c r="X31" i="24"/>
  <c r="AA31" i="24" s="1"/>
  <c r="AB31" i="24" s="1"/>
  <c r="AC31" i="24" s="1"/>
  <c r="V149" i="24"/>
  <c r="W149" i="24"/>
  <c r="U156" i="25"/>
  <c r="U287" i="25"/>
  <c r="Q204" i="24"/>
  <c r="P204" i="24"/>
  <c r="AP204" i="24"/>
  <c r="AD148" i="25"/>
  <c r="W148" i="25"/>
  <c r="Z148" i="25" s="1"/>
  <c r="AA148" i="25" s="1"/>
  <c r="AB148" i="25" s="1"/>
  <c r="AI148" i="25" s="1"/>
  <c r="R141" i="25"/>
  <c r="S141" i="25"/>
  <c r="K141" i="25" s="1"/>
  <c r="Q141" i="25"/>
  <c r="AO141" i="25"/>
  <c r="BZ141" i="25"/>
  <c r="AE28" i="24"/>
  <c r="AI28" i="24"/>
  <c r="X28" i="24"/>
  <c r="AA28" i="24" s="1"/>
  <c r="AB28" i="24" s="1"/>
  <c r="AC28" i="24" s="1"/>
  <c r="R120" i="25"/>
  <c r="S120" i="25"/>
  <c r="K120" i="25" s="1"/>
  <c r="Q120" i="25"/>
  <c r="AO120" i="25"/>
  <c r="BZ120" i="25"/>
  <c r="R191" i="25"/>
  <c r="S191" i="25"/>
  <c r="K191" i="25" s="1"/>
  <c r="Q191" i="25"/>
  <c r="BZ191" i="25"/>
  <c r="AO191" i="25"/>
  <c r="AE14" i="24"/>
  <c r="AI14" i="24"/>
  <c r="X14" i="24"/>
  <c r="AA14" i="24" s="1"/>
  <c r="AB14" i="24" s="1"/>
  <c r="AC14" i="24" s="1"/>
  <c r="R288" i="25"/>
  <c r="S288" i="25"/>
  <c r="K288" i="25" s="1"/>
  <c r="V288" i="25" s="1"/>
  <c r="Q288" i="25"/>
  <c r="BZ288" i="25"/>
  <c r="AO288" i="25"/>
  <c r="AE49" i="24"/>
  <c r="AI49" i="24"/>
  <c r="X49" i="24"/>
  <c r="AA49" i="24" s="1"/>
  <c r="AB49" i="24" s="1"/>
  <c r="AC49" i="24" s="1"/>
  <c r="V206" i="24"/>
  <c r="W206" i="24"/>
  <c r="AE218" i="24"/>
  <c r="AI218" i="24"/>
  <c r="X218" i="24"/>
  <c r="AA218" i="24" s="1"/>
  <c r="AB218" i="24" s="1"/>
  <c r="AC218" i="24" s="1"/>
  <c r="S303" i="25"/>
  <c r="K303" i="25" s="1"/>
  <c r="V303" i="25" s="1"/>
  <c r="R303" i="25"/>
  <c r="Q303" i="25"/>
  <c r="BZ303" i="25"/>
  <c r="AO303" i="25"/>
  <c r="AG191" i="24"/>
  <c r="AF191" i="24"/>
  <c r="V179" i="24"/>
  <c r="W179" i="24"/>
  <c r="AD59" i="25"/>
  <c r="W59" i="25"/>
  <c r="Z59" i="25" s="1"/>
  <c r="AA59" i="25" s="1"/>
  <c r="AB59" i="25" s="1"/>
  <c r="AI59" i="25" s="1"/>
  <c r="AE76" i="24"/>
  <c r="AI76" i="24"/>
  <c r="X76" i="24"/>
  <c r="AA76" i="24" s="1"/>
  <c r="AB76" i="24" s="1"/>
  <c r="AC76" i="24" s="1"/>
  <c r="AE199" i="24"/>
  <c r="AI199" i="24"/>
  <c r="X199" i="24"/>
  <c r="AA199" i="24" s="1"/>
  <c r="AB199" i="24" s="1"/>
  <c r="AC199" i="24" s="1"/>
  <c r="U79" i="25"/>
  <c r="Q140" i="24"/>
  <c r="P140" i="24"/>
  <c r="AP140" i="24"/>
  <c r="R105" i="25"/>
  <c r="S105" i="25"/>
  <c r="K105" i="25" s="1"/>
  <c r="V105" i="25" s="1"/>
  <c r="Q105" i="25"/>
  <c r="AO105" i="25"/>
  <c r="BZ105" i="25"/>
  <c r="AE240" i="24"/>
  <c r="AI240" i="24"/>
  <c r="X240" i="24"/>
  <c r="AA240" i="24" s="1"/>
  <c r="AB240" i="24" s="1"/>
  <c r="AC240" i="24" s="1"/>
  <c r="AE221" i="24"/>
  <c r="AI221" i="24"/>
  <c r="X221" i="24"/>
  <c r="AA221" i="24" s="1"/>
  <c r="AB221" i="24" s="1"/>
  <c r="AC221" i="24" s="1"/>
  <c r="W170" i="24"/>
  <c r="V170" i="24"/>
  <c r="Q298" i="24"/>
  <c r="P298" i="24"/>
  <c r="AP298" i="24"/>
  <c r="R132" i="25"/>
  <c r="S132" i="25"/>
  <c r="K132" i="25" s="1"/>
  <c r="Q132" i="25"/>
  <c r="AO132" i="25"/>
  <c r="BZ132" i="25"/>
  <c r="AE273" i="24"/>
  <c r="AI273" i="24"/>
  <c r="X273" i="24"/>
  <c r="AA273" i="24" s="1"/>
  <c r="AB273" i="24" s="1"/>
  <c r="AC273" i="24" s="1"/>
  <c r="AD261" i="25"/>
  <c r="W261" i="25"/>
  <c r="Z261" i="25" s="1"/>
  <c r="AA261" i="25" s="1"/>
  <c r="AB261" i="25" s="1"/>
  <c r="AI261" i="25" s="1"/>
  <c r="R119" i="25"/>
  <c r="S119" i="25"/>
  <c r="K119" i="25" s="1"/>
  <c r="Q119" i="25"/>
  <c r="AO119" i="25"/>
  <c r="BZ119" i="25"/>
  <c r="S17" i="25"/>
  <c r="K17" i="25" s="1"/>
  <c r="R17" i="25"/>
  <c r="Q17" i="25"/>
  <c r="AO17" i="25"/>
  <c r="BZ17" i="25"/>
  <c r="AE161" i="24"/>
  <c r="AI161" i="24"/>
  <c r="X161" i="24"/>
  <c r="AA161" i="24" s="1"/>
  <c r="AB161" i="24" s="1"/>
  <c r="AC161" i="24" s="1"/>
  <c r="U175" i="25"/>
  <c r="W249" i="24"/>
  <c r="V249" i="24"/>
  <c r="P59" i="24"/>
  <c r="Q59" i="24"/>
  <c r="R59" i="24" s="1"/>
  <c r="AP59" i="24"/>
  <c r="AE104" i="24"/>
  <c r="AI104" i="24"/>
  <c r="X104" i="24"/>
  <c r="AA104" i="24" s="1"/>
  <c r="AB104" i="24" s="1"/>
  <c r="AC104" i="24" s="1"/>
  <c r="S46" i="25"/>
  <c r="K46" i="25" s="1"/>
  <c r="R46" i="25"/>
  <c r="Q46" i="25"/>
  <c r="BZ46" i="25"/>
  <c r="AO46" i="25"/>
  <c r="P126" i="24"/>
  <c r="Q126" i="24"/>
  <c r="AP126" i="24"/>
  <c r="V261" i="24"/>
  <c r="W261" i="24"/>
  <c r="U70" i="25"/>
  <c r="AD273" i="25"/>
  <c r="W273" i="25"/>
  <c r="Z273" i="25" s="1"/>
  <c r="AA273" i="25" s="1"/>
  <c r="AB273" i="25" s="1"/>
  <c r="AI273" i="25" s="1"/>
  <c r="AE202" i="24"/>
  <c r="AI202" i="24"/>
  <c r="X202" i="24"/>
  <c r="AA202" i="24" s="1"/>
  <c r="AB202" i="24" s="1"/>
  <c r="AC202" i="24" s="1"/>
  <c r="AE296" i="24"/>
  <c r="AI296" i="24"/>
  <c r="X296" i="24"/>
  <c r="AA296" i="24" s="1"/>
  <c r="AB296" i="24" s="1"/>
  <c r="AC296" i="24" s="1"/>
  <c r="AE222" i="24"/>
  <c r="AI222" i="24"/>
  <c r="X222" i="24"/>
  <c r="AA222" i="24" s="1"/>
  <c r="AB222" i="24" s="1"/>
  <c r="AC222" i="24" s="1"/>
  <c r="S308" i="25"/>
  <c r="K308" i="25" s="1"/>
  <c r="R308" i="25"/>
  <c r="Q308" i="25"/>
  <c r="BZ308" i="25"/>
  <c r="AO308" i="25"/>
  <c r="V195" i="24"/>
  <c r="W195" i="24"/>
  <c r="S230" i="25"/>
  <c r="K230" i="25" s="1"/>
  <c r="R230" i="25"/>
  <c r="Q230" i="25"/>
  <c r="BZ230" i="25"/>
  <c r="AO230" i="25"/>
  <c r="U223" i="25"/>
  <c r="AE267" i="24"/>
  <c r="AI267" i="24"/>
  <c r="X267" i="24"/>
  <c r="AA267" i="24" s="1"/>
  <c r="AB267" i="24" s="1"/>
  <c r="AC267" i="24" s="1"/>
  <c r="R197" i="25"/>
  <c r="S197" i="25"/>
  <c r="K197" i="25" s="1"/>
  <c r="V197" i="25" s="1"/>
  <c r="Q197" i="25"/>
  <c r="AO197" i="25"/>
  <c r="BZ197" i="25"/>
  <c r="AE311" i="24"/>
  <c r="AI311" i="24"/>
  <c r="X311" i="24"/>
  <c r="AA311" i="24" s="1"/>
  <c r="AB311" i="24" s="1"/>
  <c r="AC311" i="24" s="1"/>
  <c r="V316" i="24"/>
  <c r="W316" i="24"/>
  <c r="S55" i="25"/>
  <c r="K55" i="25" s="1"/>
  <c r="V55" i="25" s="1"/>
  <c r="R55" i="25"/>
  <c r="Q55" i="25"/>
  <c r="AO55" i="25"/>
  <c r="BZ55" i="25"/>
  <c r="V309" i="24"/>
  <c r="W309" i="24"/>
  <c r="W36" i="24"/>
  <c r="V36" i="24"/>
  <c r="AE281" i="24"/>
  <c r="AI281" i="24"/>
  <c r="X281" i="24"/>
  <c r="AA281" i="24" s="1"/>
  <c r="AB281" i="24" s="1"/>
  <c r="AC281" i="24" s="1"/>
  <c r="AD32" i="25"/>
  <c r="W32" i="25"/>
  <c r="Z32" i="25" s="1"/>
  <c r="AA32" i="25" s="1"/>
  <c r="AB32" i="25" s="1"/>
  <c r="AI32" i="25" s="1"/>
  <c r="AE99" i="24"/>
  <c r="AI99" i="24"/>
  <c r="X99" i="24"/>
  <c r="AA99" i="24" s="1"/>
  <c r="AB99" i="24" s="1"/>
  <c r="AC99" i="24" s="1"/>
  <c r="AE277" i="24"/>
  <c r="AI277" i="24"/>
  <c r="X277" i="24"/>
  <c r="AA277" i="24" s="1"/>
  <c r="AB277" i="24" s="1"/>
  <c r="AC277" i="24" s="1"/>
  <c r="AS110" i="25"/>
  <c r="AE102" i="24"/>
  <c r="AI102" i="24"/>
  <c r="X102" i="24"/>
  <c r="AA102" i="24" s="1"/>
  <c r="AB102" i="24" s="1"/>
  <c r="AC102" i="24" s="1"/>
  <c r="AE270" i="24"/>
  <c r="AI270" i="24"/>
  <c r="X270" i="24"/>
  <c r="AA270" i="24" s="1"/>
  <c r="AB270" i="24" s="1"/>
  <c r="AC270" i="24" s="1"/>
  <c r="AG264" i="24"/>
  <c r="AF264" i="24"/>
  <c r="R64" i="25"/>
  <c r="S64" i="25"/>
  <c r="K64" i="25" s="1"/>
  <c r="Q64" i="25"/>
  <c r="AO64" i="25"/>
  <c r="BZ64" i="25"/>
  <c r="W308" i="24"/>
  <c r="V308" i="24"/>
  <c r="AE288" i="24"/>
  <c r="AI288" i="24"/>
  <c r="X288" i="24"/>
  <c r="AA288" i="24" s="1"/>
  <c r="AB288" i="24" s="1"/>
  <c r="AC288" i="24" s="1"/>
  <c r="AE209" i="24"/>
  <c r="AI209" i="24"/>
  <c r="X209" i="24"/>
  <c r="AA209" i="24" s="1"/>
  <c r="AB209" i="24" s="1"/>
  <c r="AC209" i="24" s="1"/>
  <c r="AE121" i="24"/>
  <c r="AI121" i="24"/>
  <c r="X121" i="24"/>
  <c r="AA121" i="24" s="1"/>
  <c r="AB121" i="24" s="1"/>
  <c r="AC121" i="24" s="1"/>
  <c r="S122" i="25"/>
  <c r="K122" i="25" s="1"/>
  <c r="V122" i="25" s="1"/>
  <c r="R122" i="25"/>
  <c r="Q122" i="25"/>
  <c r="BZ122" i="25"/>
  <c r="AO122" i="25"/>
  <c r="S9" i="25"/>
  <c r="K9" i="25" s="1"/>
  <c r="R9" i="25"/>
  <c r="Q9" i="25"/>
  <c r="BZ9" i="25"/>
  <c r="AO9" i="25"/>
  <c r="U160" i="25"/>
  <c r="V154" i="24"/>
  <c r="W154" i="24"/>
  <c r="W114" i="24"/>
  <c r="V114" i="24"/>
  <c r="S85" i="25"/>
  <c r="K85" i="25" s="1"/>
  <c r="R85" i="25"/>
  <c r="Q85" i="25"/>
  <c r="BZ85" i="25"/>
  <c r="AO85" i="25"/>
  <c r="S53" i="25"/>
  <c r="K53" i="25" s="1"/>
  <c r="V53" i="25" s="1"/>
  <c r="R53" i="25"/>
  <c r="Q53" i="25"/>
  <c r="AO53" i="25"/>
  <c r="BZ53" i="25"/>
  <c r="U286" i="25"/>
  <c r="R86" i="25"/>
  <c r="S86" i="25"/>
  <c r="K86" i="25" s="1"/>
  <c r="Q86" i="25"/>
  <c r="BZ86" i="25"/>
  <c r="AO86" i="25"/>
  <c r="W8" i="24"/>
  <c r="V8" i="24"/>
  <c r="V94" i="24"/>
  <c r="W94" i="24"/>
  <c r="AE168" i="24"/>
  <c r="AI168" i="24"/>
  <c r="X168" i="24"/>
  <c r="AA168" i="24" s="1"/>
  <c r="AB168" i="24" s="1"/>
  <c r="AC168" i="24" s="1"/>
  <c r="AD275" i="25"/>
  <c r="W275" i="25"/>
  <c r="Z275" i="25" s="1"/>
  <c r="AA275" i="25" s="1"/>
  <c r="AB275" i="25" s="1"/>
  <c r="AI275" i="25" s="1"/>
  <c r="S315" i="25"/>
  <c r="K315" i="25" s="1"/>
  <c r="R315" i="25"/>
  <c r="Q315" i="25"/>
  <c r="AO315" i="25"/>
  <c r="BZ315" i="25"/>
  <c r="V297" i="24"/>
  <c r="W297" i="24"/>
  <c r="V28" i="24"/>
  <c r="W28" i="24"/>
  <c r="S235" i="25"/>
  <c r="K235" i="25" s="1"/>
  <c r="R235" i="25"/>
  <c r="Q235" i="25"/>
  <c r="AO235" i="25"/>
  <c r="BZ235" i="25"/>
  <c r="W99" i="24"/>
  <c r="Y99" i="24" s="1"/>
  <c r="AD94" i="25"/>
  <c r="W94" i="25"/>
  <c r="Z94" i="25" s="1"/>
  <c r="AA94" i="25" s="1"/>
  <c r="AB94" i="25" s="1"/>
  <c r="AI94" i="25" s="1"/>
  <c r="V94" i="25"/>
  <c r="X94" i="25" s="1"/>
  <c r="AE52" i="24"/>
  <c r="AI52" i="24"/>
  <c r="X52" i="24"/>
  <c r="AA52" i="24" s="1"/>
  <c r="AB52" i="24" s="1"/>
  <c r="AC52" i="24" s="1"/>
  <c r="U93" i="25"/>
  <c r="W288" i="24"/>
  <c r="V288" i="24"/>
  <c r="V209" i="24"/>
  <c r="W209" i="24"/>
  <c r="R302" i="25"/>
  <c r="S302" i="25"/>
  <c r="K302" i="25" s="1"/>
  <c r="V302" i="25" s="1"/>
  <c r="Q302" i="25"/>
  <c r="AO302" i="25"/>
  <c r="BZ302" i="25"/>
  <c r="U218" i="25"/>
  <c r="W164" i="24"/>
  <c r="V164" i="24"/>
  <c r="P78" i="24"/>
  <c r="Q78" i="24"/>
  <c r="R78" i="24" s="1"/>
  <c r="AP78" i="24"/>
  <c r="AE19" i="24"/>
  <c r="AI19" i="24"/>
  <c r="X19" i="24"/>
  <c r="AA19" i="24" s="1"/>
  <c r="AB19" i="24" s="1"/>
  <c r="AC19" i="24" s="1"/>
  <c r="W275" i="24"/>
  <c r="V275" i="24"/>
  <c r="AE25" i="24"/>
  <c r="AI25" i="24"/>
  <c r="X25" i="24"/>
  <c r="AA25" i="24" s="1"/>
  <c r="AB25" i="24" s="1"/>
  <c r="AC25" i="24" s="1"/>
  <c r="AE206" i="24"/>
  <c r="AI206" i="24"/>
  <c r="X206" i="24"/>
  <c r="AA206" i="24" s="1"/>
  <c r="AB206" i="24" s="1"/>
  <c r="AC206" i="24" s="1"/>
  <c r="S117" i="25"/>
  <c r="K117" i="25" s="1"/>
  <c r="R117" i="25"/>
  <c r="Q117" i="25"/>
  <c r="AO117" i="25"/>
  <c r="BZ117" i="25"/>
  <c r="R40" i="25"/>
  <c r="S40" i="25"/>
  <c r="K40" i="25" s="1"/>
  <c r="V40" i="25" s="1"/>
  <c r="Q40" i="25"/>
  <c r="AO40" i="25"/>
  <c r="BZ40" i="25"/>
  <c r="S164" i="25"/>
  <c r="K164" i="25" s="1"/>
  <c r="R164" i="25"/>
  <c r="Q164" i="25"/>
  <c r="AO164" i="25"/>
  <c r="BZ164" i="25"/>
  <c r="P255" i="24"/>
  <c r="Q255" i="24"/>
  <c r="AP255" i="24"/>
  <c r="R58" i="25"/>
  <c r="S58" i="25"/>
  <c r="K58" i="25" s="1"/>
  <c r="Q58" i="25"/>
  <c r="BZ58" i="25"/>
  <c r="AO58" i="25"/>
  <c r="AE103" i="24"/>
  <c r="AI103" i="24"/>
  <c r="X103" i="24"/>
  <c r="AA103" i="24" s="1"/>
  <c r="AB103" i="24" s="1"/>
  <c r="AC103" i="24" s="1"/>
  <c r="R231" i="25"/>
  <c r="S231" i="25"/>
  <c r="K231" i="25" s="1"/>
  <c r="V231" i="25" s="1"/>
  <c r="Q231" i="25"/>
  <c r="BZ231" i="25"/>
  <c r="AO231" i="25"/>
  <c r="R316" i="25"/>
  <c r="S316" i="25"/>
  <c r="K316" i="25" s="1"/>
  <c r="Q316" i="25"/>
  <c r="BZ316" i="25"/>
  <c r="AO316" i="25"/>
  <c r="AE140" i="24"/>
  <c r="AI140" i="24"/>
  <c r="X140" i="24"/>
  <c r="AA140" i="24" s="1"/>
  <c r="AB140" i="24" s="1"/>
  <c r="AC140" i="24" s="1"/>
  <c r="P149" i="24"/>
  <c r="Q149" i="24"/>
  <c r="AP149" i="24"/>
  <c r="AE200" i="24"/>
  <c r="AI200" i="24"/>
  <c r="X200" i="24"/>
  <c r="AA200" i="24" s="1"/>
  <c r="AB200" i="24" s="1"/>
  <c r="AC200" i="24" s="1"/>
  <c r="U121" i="25"/>
  <c r="W171" i="24"/>
  <c r="V171" i="24"/>
  <c r="R156" i="25"/>
  <c r="S156" i="25"/>
  <c r="K156" i="25" s="1"/>
  <c r="Q156" i="25"/>
  <c r="AO156" i="25"/>
  <c r="BZ156" i="25"/>
  <c r="S287" i="25"/>
  <c r="K287" i="25" s="1"/>
  <c r="V287" i="25" s="1"/>
  <c r="R287" i="25"/>
  <c r="Q287" i="25"/>
  <c r="BZ287" i="25"/>
  <c r="AO287" i="25"/>
  <c r="AD95" i="25"/>
  <c r="W95" i="25"/>
  <c r="Z95" i="25" s="1"/>
  <c r="AA95" i="25" s="1"/>
  <c r="AB95" i="25" s="1"/>
  <c r="AI95" i="25" s="1"/>
  <c r="AD131" i="25"/>
  <c r="W131" i="25"/>
  <c r="Z131" i="25" s="1"/>
  <c r="AA131" i="25" s="1"/>
  <c r="AB131" i="25" s="1"/>
  <c r="AI131" i="25" s="1"/>
  <c r="V131" i="25"/>
  <c r="X131" i="25" s="1"/>
  <c r="AE187" i="24"/>
  <c r="AI187" i="24"/>
  <c r="X187" i="24"/>
  <c r="AA187" i="24" s="1"/>
  <c r="AB187" i="24" s="1"/>
  <c r="AC187" i="24" s="1"/>
  <c r="AE150" i="24"/>
  <c r="AI150" i="24"/>
  <c r="X150" i="24"/>
  <c r="AA150" i="24" s="1"/>
  <c r="AB150" i="24" s="1"/>
  <c r="AC150" i="24" s="1"/>
  <c r="R43" i="25"/>
  <c r="S43" i="25"/>
  <c r="K43" i="25" s="1"/>
  <c r="Q43" i="25"/>
  <c r="BZ43" i="25"/>
  <c r="AO43" i="25"/>
  <c r="AE207" i="24"/>
  <c r="AI207" i="24"/>
  <c r="X207" i="24"/>
  <c r="AA207" i="24" s="1"/>
  <c r="AB207" i="24" s="1"/>
  <c r="AC207" i="24" s="1"/>
  <c r="V161" i="24"/>
  <c r="W161" i="24"/>
  <c r="P206" i="24"/>
  <c r="Q206" i="24"/>
  <c r="AP206" i="24"/>
  <c r="V144" i="24"/>
  <c r="W144" i="24"/>
  <c r="R127" i="25"/>
  <c r="S127" i="25"/>
  <c r="K127" i="25" s="1"/>
  <c r="Q127" i="25"/>
  <c r="AO127" i="25"/>
  <c r="BZ127" i="25"/>
  <c r="AE291" i="24"/>
  <c r="AI291" i="24"/>
  <c r="X291" i="24"/>
  <c r="AA291" i="24" s="1"/>
  <c r="AB291" i="24" s="1"/>
  <c r="AC291" i="24" s="1"/>
  <c r="AE227" i="24"/>
  <c r="AI227" i="24"/>
  <c r="X227" i="24"/>
  <c r="AA227" i="24" s="1"/>
  <c r="AB227" i="24" s="1"/>
  <c r="AC227" i="24" s="1"/>
  <c r="AD92" i="25"/>
  <c r="W92" i="25"/>
  <c r="Z92" i="25" s="1"/>
  <c r="AA92" i="25" s="1"/>
  <c r="AB92" i="25" s="1"/>
  <c r="AI92" i="25" s="1"/>
  <c r="V115" i="24"/>
  <c r="W115" i="24"/>
  <c r="AE36" i="24"/>
  <c r="AI36" i="24"/>
  <c r="X36" i="24"/>
  <c r="AA36" i="24" s="1"/>
  <c r="AB36" i="24" s="1"/>
  <c r="AC36" i="24" s="1"/>
  <c r="AE11" i="24"/>
  <c r="AI11" i="24"/>
  <c r="X11" i="24"/>
  <c r="AA11" i="24" s="1"/>
  <c r="AB11" i="24" s="1"/>
  <c r="AC11" i="24" s="1"/>
  <c r="AE189" i="24"/>
  <c r="AI189" i="24"/>
  <c r="X189" i="24"/>
  <c r="AA189" i="24" s="1"/>
  <c r="AB189" i="24" s="1"/>
  <c r="AC189" i="24" s="1"/>
  <c r="AE34" i="24"/>
  <c r="AI34" i="24"/>
  <c r="X34" i="24"/>
  <c r="AA34" i="24" s="1"/>
  <c r="AB34" i="24" s="1"/>
  <c r="AC34" i="24" s="1"/>
  <c r="S79" i="25"/>
  <c r="K79" i="25" s="1"/>
  <c r="V79" i="25" s="1"/>
  <c r="R79" i="25"/>
  <c r="Q79" i="25"/>
  <c r="BZ79" i="25"/>
  <c r="AO79" i="25"/>
  <c r="S233" i="25"/>
  <c r="K233" i="25" s="1"/>
  <c r="R233" i="25"/>
  <c r="Q233" i="25"/>
  <c r="AO233" i="25"/>
  <c r="BZ233" i="25"/>
  <c r="AE129" i="24"/>
  <c r="AI129" i="24"/>
  <c r="X129" i="24"/>
  <c r="AA129" i="24" s="1"/>
  <c r="AB129" i="24" s="1"/>
  <c r="AC129" i="24" s="1"/>
  <c r="R7" i="25"/>
  <c r="S7" i="25"/>
  <c r="K7" i="25" s="1"/>
  <c r="Q7" i="25"/>
  <c r="AO7" i="25"/>
  <c r="BZ7" i="25"/>
  <c r="S8" i="25"/>
  <c r="K8" i="25" s="1"/>
  <c r="R8" i="25"/>
  <c r="Q8" i="25"/>
  <c r="AO8" i="25"/>
  <c r="BZ8" i="25"/>
  <c r="AE307" i="24"/>
  <c r="AI307" i="24"/>
  <c r="X307" i="24"/>
  <c r="AA307" i="24" s="1"/>
  <c r="AB307" i="24" s="1"/>
  <c r="AC307" i="24" s="1"/>
  <c r="W151" i="24"/>
  <c r="V151" i="24"/>
  <c r="AE72" i="24"/>
  <c r="AI72" i="24"/>
  <c r="X72" i="24"/>
  <c r="AA72" i="24" s="1"/>
  <c r="AB72" i="24" s="1"/>
  <c r="AC72" i="24" s="1"/>
  <c r="W256" i="24"/>
  <c r="V256" i="24"/>
  <c r="W247" i="24"/>
  <c r="V247" i="24"/>
  <c r="W315" i="24"/>
  <c r="V315" i="24"/>
  <c r="AE255" i="24"/>
  <c r="AI255" i="24"/>
  <c r="X255" i="24"/>
  <c r="AA255" i="24" s="1"/>
  <c r="AB255" i="24" s="1"/>
  <c r="AC255" i="24" s="1"/>
  <c r="V300" i="24"/>
  <c r="W300" i="24"/>
  <c r="P249" i="24"/>
  <c r="Q249" i="24"/>
  <c r="AP249" i="24"/>
  <c r="AE29" i="24"/>
  <c r="AI29" i="24"/>
  <c r="X29" i="24"/>
  <c r="AA29" i="24" s="1"/>
  <c r="AB29" i="24" s="1"/>
  <c r="AC29" i="24" s="1"/>
  <c r="U224" i="25"/>
  <c r="AE173" i="24"/>
  <c r="AI173" i="24"/>
  <c r="X173" i="24"/>
  <c r="AA173" i="24" s="1"/>
  <c r="AB173" i="24" s="1"/>
  <c r="AC173" i="24" s="1"/>
  <c r="AE147" i="24"/>
  <c r="AI147" i="24"/>
  <c r="X147" i="24"/>
  <c r="AA147" i="24" s="1"/>
  <c r="AB147" i="24" s="1"/>
  <c r="AC147" i="24" s="1"/>
  <c r="AE287" i="24"/>
  <c r="AI287" i="24"/>
  <c r="X287" i="24"/>
  <c r="AA287" i="24" s="1"/>
  <c r="AB287" i="24" s="1"/>
  <c r="AC287" i="24" s="1"/>
  <c r="R281" i="25"/>
  <c r="S281" i="25"/>
  <c r="K281" i="25" s="1"/>
  <c r="V281" i="25" s="1"/>
  <c r="Q281" i="25"/>
  <c r="BZ281" i="25"/>
  <c r="AO281" i="25"/>
  <c r="AE309" i="24"/>
  <c r="AI309" i="24"/>
  <c r="X309" i="24"/>
  <c r="AA309" i="24" s="1"/>
  <c r="AB309" i="24" s="1"/>
  <c r="AC309" i="24" s="1"/>
  <c r="V33" i="24"/>
  <c r="W33" i="24"/>
  <c r="W176" i="24"/>
  <c r="V176" i="24"/>
  <c r="U266" i="25"/>
  <c r="S91" i="25"/>
  <c r="K91" i="25" s="1"/>
  <c r="R91" i="25"/>
  <c r="Q91" i="25"/>
  <c r="AO91" i="25"/>
  <c r="BZ91" i="25"/>
  <c r="AE68" i="24"/>
  <c r="AI68" i="24"/>
  <c r="X68" i="24"/>
  <c r="AA68" i="24" s="1"/>
  <c r="AB68" i="24" s="1"/>
  <c r="AC68" i="24" s="1"/>
  <c r="P195" i="24"/>
  <c r="Q195" i="24"/>
  <c r="AP195" i="24"/>
  <c r="U67" i="25"/>
  <c r="S223" i="25"/>
  <c r="K223" i="25" s="1"/>
  <c r="V223" i="25" s="1"/>
  <c r="R223" i="25"/>
  <c r="Q223" i="25"/>
  <c r="BZ223" i="25"/>
  <c r="AO223" i="25"/>
  <c r="AE235" i="24"/>
  <c r="AI235" i="24"/>
  <c r="X235" i="24"/>
  <c r="AA235" i="24" s="1"/>
  <c r="AB235" i="24" s="1"/>
  <c r="AC235" i="24" s="1"/>
  <c r="S284" i="25"/>
  <c r="K284" i="25" s="1"/>
  <c r="R284" i="25"/>
  <c r="Q284" i="25"/>
  <c r="BZ284" i="25"/>
  <c r="AO284" i="25"/>
  <c r="W282" i="24"/>
  <c r="V282" i="24"/>
  <c r="AE299" i="24"/>
  <c r="AI299" i="24"/>
  <c r="X299" i="24"/>
  <c r="AA299" i="24" s="1"/>
  <c r="AB299" i="24" s="1"/>
  <c r="AC299" i="24" s="1"/>
  <c r="AE195" i="24"/>
  <c r="AI195" i="24"/>
  <c r="X195" i="24"/>
  <c r="AA195" i="24" s="1"/>
  <c r="AB195" i="24" s="1"/>
  <c r="AC195" i="24" s="1"/>
  <c r="U165" i="25"/>
  <c r="P316" i="24"/>
  <c r="Q316" i="24"/>
  <c r="AP316" i="24"/>
  <c r="P309" i="24"/>
  <c r="Q309" i="24"/>
  <c r="AP309" i="24"/>
  <c r="AE57" i="24"/>
  <c r="AI57" i="24"/>
  <c r="X57" i="24"/>
  <c r="AA57" i="24" s="1"/>
  <c r="AB57" i="24" s="1"/>
  <c r="AC57" i="24" s="1"/>
  <c r="W177" i="24"/>
  <c r="V177" i="24"/>
  <c r="V51" i="24"/>
  <c r="W51" i="24"/>
  <c r="AE6" i="24"/>
  <c r="AI6" i="24"/>
  <c r="X6" i="24"/>
  <c r="AA6" i="24" s="1"/>
  <c r="AB6" i="24" s="1"/>
  <c r="AC6" i="24" s="1"/>
  <c r="AE23" i="24"/>
  <c r="AI23" i="24"/>
  <c r="X23" i="24"/>
  <c r="AA23" i="24" s="1"/>
  <c r="AB23" i="24" s="1"/>
  <c r="AC23" i="24" s="1"/>
  <c r="U159" i="25"/>
  <c r="AE139" i="24"/>
  <c r="AI139" i="24"/>
  <c r="X139" i="24"/>
  <c r="AA139" i="24" s="1"/>
  <c r="AB139" i="24" s="1"/>
  <c r="AC139" i="24" s="1"/>
  <c r="AE252" i="24"/>
  <c r="AI252" i="24"/>
  <c r="X252" i="24"/>
  <c r="AA252" i="24" s="1"/>
  <c r="AB252" i="24" s="1"/>
  <c r="AC252" i="24" s="1"/>
  <c r="W278" i="24"/>
  <c r="Y278" i="24" s="1"/>
  <c r="AF110" i="25"/>
  <c r="AE110" i="25"/>
  <c r="S146" i="25"/>
  <c r="K146" i="25" s="1"/>
  <c r="R146" i="25"/>
  <c r="Q146" i="25"/>
  <c r="BZ146" i="25"/>
  <c r="AO146" i="25"/>
  <c r="R252" i="25"/>
  <c r="S252" i="25"/>
  <c r="K252" i="25" s="1"/>
  <c r="Q252" i="25"/>
  <c r="BZ252" i="25"/>
  <c r="AO252" i="25"/>
  <c r="AE180" i="24"/>
  <c r="AI180" i="24"/>
  <c r="X180" i="24"/>
  <c r="AA180" i="24" s="1"/>
  <c r="AB180" i="24" s="1"/>
  <c r="AC180" i="24" s="1"/>
  <c r="Q308" i="24"/>
  <c r="P308" i="24"/>
  <c r="AP308" i="24"/>
  <c r="U278" i="25"/>
  <c r="AG101" i="24"/>
  <c r="AF101" i="24"/>
  <c r="AE47" i="24"/>
  <c r="AI47" i="24"/>
  <c r="X47" i="24"/>
  <c r="AA47" i="24" s="1"/>
  <c r="AB47" i="24" s="1"/>
  <c r="AC47" i="24" s="1"/>
  <c r="W47" i="24"/>
  <c r="Y47" i="24" s="1"/>
  <c r="W174" i="24"/>
  <c r="V174" i="24"/>
  <c r="AD243" i="25"/>
  <c r="W243" i="25"/>
  <c r="Z243" i="25" s="1"/>
  <c r="AA243" i="25" s="1"/>
  <c r="AB243" i="25" s="1"/>
  <c r="AI243" i="25" s="1"/>
  <c r="R70" i="25"/>
  <c r="S70" i="25"/>
  <c r="K70" i="25" s="1"/>
  <c r="Q70" i="25"/>
  <c r="BZ70" i="25"/>
  <c r="AO70" i="25"/>
  <c r="W120" i="24"/>
  <c r="Y120" i="24" s="1"/>
  <c r="W273" i="24"/>
  <c r="Y273" i="24" s="1"/>
  <c r="Q114" i="24"/>
  <c r="P114" i="24"/>
  <c r="AP114" i="24"/>
  <c r="AE184" i="24"/>
  <c r="AI184" i="24"/>
  <c r="X184" i="24"/>
  <c r="AA184" i="24" s="1"/>
  <c r="AB184" i="24" s="1"/>
  <c r="AC184" i="24" s="1"/>
  <c r="U100" i="25"/>
  <c r="AE268" i="24"/>
  <c r="AI268" i="24"/>
  <c r="X268" i="24"/>
  <c r="AA268" i="24" s="1"/>
  <c r="AB268" i="24" s="1"/>
  <c r="AC268" i="24" s="1"/>
  <c r="W113" i="24"/>
  <c r="V113" i="24"/>
  <c r="U264" i="25"/>
  <c r="AE116" i="24"/>
  <c r="AI116" i="24"/>
  <c r="X116" i="24"/>
  <c r="AA116" i="24" s="1"/>
  <c r="AB116" i="24" s="1"/>
  <c r="AC116" i="24" s="1"/>
  <c r="AD170" i="25"/>
  <c r="W170" i="25"/>
  <c r="Z170" i="25" s="1"/>
  <c r="AA170" i="25" s="1"/>
  <c r="AB170" i="25" s="1"/>
  <c r="AI170" i="25" s="1"/>
  <c r="R234" i="25"/>
  <c r="S234" i="25"/>
  <c r="K234" i="25" s="1"/>
  <c r="V234" i="25" s="1"/>
  <c r="Q234" i="25"/>
  <c r="AO234" i="25"/>
  <c r="BZ234" i="25"/>
  <c r="U194" i="25"/>
  <c r="AE266" i="24"/>
  <c r="AI266" i="24"/>
  <c r="X266" i="24"/>
  <c r="AA266" i="24" s="1"/>
  <c r="AB266" i="24" s="1"/>
  <c r="AC266" i="24" s="1"/>
  <c r="V136" i="24"/>
  <c r="W136" i="24"/>
  <c r="R286" i="25"/>
  <c r="S286" i="25"/>
  <c r="K286" i="25" s="1"/>
  <c r="Q286" i="25"/>
  <c r="AO286" i="25"/>
  <c r="BZ286" i="25"/>
  <c r="U268" i="25"/>
  <c r="P8" i="24"/>
  <c r="Q8" i="24"/>
  <c r="R8" i="24" s="1"/>
  <c r="AP8" i="24"/>
  <c r="Q94" i="24"/>
  <c r="R94" i="24" s="1"/>
  <c r="P94" i="24"/>
  <c r="AP94" i="24"/>
  <c r="V73" i="24"/>
  <c r="W73" i="24"/>
  <c r="W192" i="24"/>
  <c r="V192" i="24"/>
  <c r="AE246" i="24"/>
  <c r="AI246" i="24"/>
  <c r="W246" i="24"/>
  <c r="Y246" i="24" s="1"/>
  <c r="X246" i="24"/>
  <c r="AA246" i="24" s="1"/>
  <c r="AB246" i="24" s="1"/>
  <c r="AC246" i="24" s="1"/>
  <c r="U98" i="25"/>
  <c r="S52" i="25"/>
  <c r="K52" i="25" s="1"/>
  <c r="R52" i="25"/>
  <c r="Q52" i="25"/>
  <c r="BZ52" i="25"/>
  <c r="AO52" i="25"/>
  <c r="H212" i="25"/>
  <c r="AE238" i="24"/>
  <c r="AI238" i="24"/>
  <c r="X238" i="24"/>
  <c r="AA238" i="24" s="1"/>
  <c r="AB238" i="24" s="1"/>
  <c r="AC238" i="24" s="1"/>
  <c r="AE183" i="24"/>
  <c r="AI183" i="24"/>
  <c r="X183" i="24"/>
  <c r="AA183" i="24" s="1"/>
  <c r="AB183" i="24" s="1"/>
  <c r="AC183" i="24" s="1"/>
  <c r="AE61" i="24"/>
  <c r="AI61" i="24"/>
  <c r="X61" i="24"/>
  <c r="AA61" i="24" s="1"/>
  <c r="AB61" i="24" s="1"/>
  <c r="AC61" i="24" s="1"/>
  <c r="R93" i="25"/>
  <c r="S93" i="25"/>
  <c r="K93" i="25" s="1"/>
  <c r="Q93" i="25"/>
  <c r="AO93" i="25"/>
  <c r="BZ93" i="25"/>
  <c r="Q288" i="24"/>
  <c r="P288" i="24"/>
  <c r="AP288" i="24"/>
  <c r="AE248" i="24"/>
  <c r="AI248" i="24"/>
  <c r="X248" i="24"/>
  <c r="AA248" i="24" s="1"/>
  <c r="AB248" i="24" s="1"/>
  <c r="AC248" i="24" s="1"/>
  <c r="P209" i="24"/>
  <c r="Q209" i="24"/>
  <c r="AP209" i="24"/>
  <c r="AE205" i="24"/>
  <c r="AI205" i="24"/>
  <c r="X205" i="24"/>
  <c r="AA205" i="24" s="1"/>
  <c r="AB205" i="24" s="1"/>
  <c r="AC205" i="24" s="1"/>
  <c r="AE158" i="24"/>
  <c r="AI158" i="24"/>
  <c r="X158" i="24"/>
  <c r="AA158" i="24" s="1"/>
  <c r="AB158" i="24" s="1"/>
  <c r="AC158" i="24" s="1"/>
  <c r="V39" i="24"/>
  <c r="W39" i="24"/>
  <c r="S218" i="25"/>
  <c r="K218" i="25" s="1"/>
  <c r="V218" i="25" s="1"/>
  <c r="R218" i="25"/>
  <c r="Q218" i="25"/>
  <c r="AO218" i="25"/>
  <c r="BZ218" i="25"/>
  <c r="P164" i="24"/>
  <c r="Q164" i="24"/>
  <c r="AP164" i="24"/>
  <c r="W311" i="24"/>
  <c r="Y311" i="24" s="1"/>
  <c r="S44" i="25"/>
  <c r="K44" i="25" s="1"/>
  <c r="V44" i="25" s="1"/>
  <c r="R44" i="25"/>
  <c r="Q44" i="25"/>
  <c r="AO44" i="25"/>
  <c r="BZ44" i="25"/>
  <c r="R256" i="25"/>
  <c r="S256" i="25"/>
  <c r="K256" i="25" s="1"/>
  <c r="Q256" i="25"/>
  <c r="AO256" i="25"/>
  <c r="BZ256" i="25"/>
  <c r="Q26" i="24"/>
  <c r="R26" i="24" s="1"/>
  <c r="P26" i="24"/>
  <c r="AP26" i="24"/>
  <c r="Q158" i="24"/>
  <c r="P158" i="24"/>
  <c r="AP158" i="24"/>
  <c r="Q103" i="24"/>
  <c r="R103" i="24" s="1"/>
  <c r="P103" i="24"/>
  <c r="AP103" i="24"/>
  <c r="S271" i="25"/>
  <c r="K271" i="25" s="1"/>
  <c r="R271" i="25"/>
  <c r="Q271" i="25"/>
  <c r="AO271" i="25"/>
  <c r="BZ271" i="25"/>
  <c r="U55" i="25"/>
  <c r="U105" i="25"/>
  <c r="W138" i="24"/>
  <c r="V138" i="24"/>
  <c r="AE258" i="24"/>
  <c r="AI258" i="24"/>
  <c r="X258" i="24"/>
  <c r="AA258" i="24" s="1"/>
  <c r="AB258" i="24" s="1"/>
  <c r="AC258" i="24" s="1"/>
  <c r="U171" i="25"/>
  <c r="R254" i="25"/>
  <c r="S254" i="25"/>
  <c r="K254" i="25" s="1"/>
  <c r="Q254" i="25"/>
  <c r="BZ254" i="25"/>
  <c r="AO254" i="25"/>
  <c r="AE60" i="24"/>
  <c r="AI60" i="24"/>
  <c r="X60" i="24"/>
  <c r="AA60" i="24" s="1"/>
  <c r="AB60" i="24" s="1"/>
  <c r="AC60" i="24" s="1"/>
  <c r="AD34" i="25"/>
  <c r="W34" i="25"/>
  <c r="Z34" i="25" s="1"/>
  <c r="AA34" i="25" s="1"/>
  <c r="AB34" i="25" s="1"/>
  <c r="AI34" i="25" s="1"/>
  <c r="R182" i="25"/>
  <c r="S182" i="25"/>
  <c r="K182" i="25" s="1"/>
  <c r="Q182" i="25"/>
  <c r="AO182" i="25"/>
  <c r="BZ182" i="25"/>
  <c r="AE243" i="24"/>
  <c r="AI243" i="24"/>
  <c r="X243" i="24"/>
  <c r="AA243" i="24" s="1"/>
  <c r="AB243" i="24" s="1"/>
  <c r="AC243" i="24" s="1"/>
  <c r="AE256" i="24"/>
  <c r="AI256" i="24"/>
  <c r="X256" i="24"/>
  <c r="AA256" i="24" s="1"/>
  <c r="AB256" i="24" s="1"/>
  <c r="AC256" i="24" s="1"/>
  <c r="AE117" i="24"/>
  <c r="AI117" i="24"/>
  <c r="X117" i="24"/>
  <c r="AA117" i="24" s="1"/>
  <c r="AB117" i="24" s="1"/>
  <c r="AC117" i="24" s="1"/>
  <c r="W98" i="24"/>
  <c r="V98" i="24"/>
  <c r="S57" i="25"/>
  <c r="K57" i="25" s="1"/>
  <c r="R57" i="25"/>
  <c r="Q57" i="25"/>
  <c r="BZ57" i="25"/>
  <c r="AO57" i="25"/>
  <c r="Q161" i="24"/>
  <c r="P161" i="24"/>
  <c r="AP161" i="24"/>
  <c r="AE130" i="24"/>
  <c r="AI130" i="24"/>
  <c r="X130" i="24"/>
  <c r="AA130" i="24" s="1"/>
  <c r="AB130" i="24" s="1"/>
  <c r="AC130" i="24" s="1"/>
  <c r="AE159" i="24"/>
  <c r="AI159" i="24"/>
  <c r="X159" i="24"/>
  <c r="AA159" i="24" s="1"/>
  <c r="AB159" i="24" s="1"/>
  <c r="AC159" i="24" s="1"/>
  <c r="AE148" i="24"/>
  <c r="AI148" i="24"/>
  <c r="X148" i="24"/>
  <c r="AA148" i="24" s="1"/>
  <c r="AB148" i="24" s="1"/>
  <c r="AC148" i="24" s="1"/>
  <c r="R19" i="25"/>
  <c r="S19" i="25"/>
  <c r="K19" i="25" s="1"/>
  <c r="Q19" i="25"/>
  <c r="AO19" i="25"/>
  <c r="BZ19" i="25"/>
  <c r="AE18" i="24"/>
  <c r="AI18" i="24"/>
  <c r="X18" i="24"/>
  <c r="AA18" i="24" s="1"/>
  <c r="AB18" i="24" s="1"/>
  <c r="AC18" i="24" s="1"/>
  <c r="U301" i="25"/>
  <c r="AD292" i="25"/>
  <c r="W292" i="25"/>
  <c r="Z292" i="25" s="1"/>
  <c r="AA292" i="25" s="1"/>
  <c r="AB292" i="25" s="1"/>
  <c r="AI292" i="25" s="1"/>
  <c r="AD276" i="25"/>
  <c r="W276" i="25"/>
  <c r="Z276" i="25" s="1"/>
  <c r="AA276" i="25" s="1"/>
  <c r="AB276" i="25" s="1"/>
  <c r="AI276" i="25" s="1"/>
  <c r="AE15" i="24"/>
  <c r="AI15" i="24"/>
  <c r="X15" i="24"/>
  <c r="AA15" i="24" s="1"/>
  <c r="AB15" i="24" s="1"/>
  <c r="AC15" i="24" s="1"/>
  <c r="AD6" i="25"/>
  <c r="V6" i="25"/>
  <c r="X6" i="25" s="1"/>
  <c r="W6" i="25"/>
  <c r="Z6" i="25" s="1"/>
  <c r="AA6" i="25" s="1"/>
  <c r="AB6" i="25" s="1"/>
  <c r="AI6" i="25" s="1"/>
  <c r="W23" i="24"/>
  <c r="V23" i="24"/>
  <c r="S163" i="25"/>
  <c r="K163" i="25" s="1"/>
  <c r="R163" i="25"/>
  <c r="Q163" i="25"/>
  <c r="BZ163" i="25"/>
  <c r="AO163" i="25"/>
  <c r="AE225" i="24"/>
  <c r="AI225" i="24"/>
  <c r="W225" i="24"/>
  <c r="Y225" i="24" s="1"/>
  <c r="X225" i="24"/>
  <c r="AA225" i="24" s="1"/>
  <c r="AB225" i="24" s="1"/>
  <c r="AC225" i="24" s="1"/>
  <c r="U139" i="25"/>
  <c r="AE192" i="24"/>
  <c r="AI192" i="24"/>
  <c r="X192" i="24"/>
  <c r="AA192" i="24" s="1"/>
  <c r="AB192" i="24" s="1"/>
  <c r="AC192" i="24" s="1"/>
  <c r="AD177" i="25"/>
  <c r="W177" i="25"/>
  <c r="Z177" i="25" s="1"/>
  <c r="AA177" i="25" s="1"/>
  <c r="AB177" i="25" s="1"/>
  <c r="AI177" i="25" s="1"/>
  <c r="V177" i="25"/>
  <c r="X177" i="25" s="1"/>
  <c r="AE231" i="24"/>
  <c r="AI231" i="24"/>
  <c r="X231" i="24"/>
  <c r="AA231" i="24" s="1"/>
  <c r="AB231" i="24" s="1"/>
  <c r="AC231" i="24" s="1"/>
  <c r="U10" i="25"/>
  <c r="S126" i="25"/>
  <c r="K126" i="25" s="1"/>
  <c r="R126" i="25"/>
  <c r="Q126" i="25"/>
  <c r="BZ126" i="25"/>
  <c r="AO126" i="25"/>
  <c r="S172" i="25"/>
  <c r="K172" i="25" s="1"/>
  <c r="R172" i="25"/>
  <c r="Q172" i="25"/>
  <c r="BZ172" i="25"/>
  <c r="AO172" i="25"/>
  <c r="W129" i="24"/>
  <c r="Y129" i="24" s="1"/>
  <c r="S103" i="25"/>
  <c r="K103" i="25" s="1"/>
  <c r="V103" i="25" s="1"/>
  <c r="R103" i="25"/>
  <c r="Q103" i="25"/>
  <c r="BZ103" i="25"/>
  <c r="AO103" i="25"/>
  <c r="AE283" i="24"/>
  <c r="AI283" i="24"/>
  <c r="X283" i="24"/>
  <c r="AA283" i="24" s="1"/>
  <c r="AB283" i="24" s="1"/>
  <c r="AC283" i="24" s="1"/>
  <c r="AE274" i="24"/>
  <c r="AI274" i="24"/>
  <c r="X274" i="24"/>
  <c r="AA274" i="24" s="1"/>
  <c r="AB274" i="24" s="1"/>
  <c r="AC274" i="24" s="1"/>
  <c r="AD178" i="25"/>
  <c r="W178" i="25"/>
  <c r="Z178" i="25" s="1"/>
  <c r="AA178" i="25" s="1"/>
  <c r="AB178" i="25" s="1"/>
  <c r="AI178" i="25" s="1"/>
  <c r="AD257" i="25"/>
  <c r="W257" i="25"/>
  <c r="Z257" i="25" s="1"/>
  <c r="AA257" i="25" s="1"/>
  <c r="AB257" i="25" s="1"/>
  <c r="AI257" i="25" s="1"/>
  <c r="V257" i="25"/>
  <c r="X257" i="25" s="1"/>
  <c r="U53" i="25"/>
  <c r="AE128" i="24"/>
  <c r="AI128" i="24"/>
  <c r="X128" i="24"/>
  <c r="AA128" i="24" s="1"/>
  <c r="AB128" i="24" s="1"/>
  <c r="AC128" i="24" s="1"/>
  <c r="S60" i="25"/>
  <c r="K60" i="25" s="1"/>
  <c r="R60" i="25"/>
  <c r="Q60" i="25"/>
  <c r="AO60" i="25"/>
  <c r="BZ60" i="25"/>
  <c r="U219" i="25"/>
  <c r="U289" i="25"/>
  <c r="U209" i="25"/>
  <c r="P247" i="24"/>
  <c r="Q247" i="24"/>
  <c r="AP247" i="24"/>
  <c r="Q315" i="24"/>
  <c r="P315" i="24"/>
  <c r="AP315" i="24"/>
  <c r="U123" i="25"/>
  <c r="U307" i="25"/>
  <c r="AS129" i="25"/>
  <c r="S224" i="25"/>
  <c r="K224" i="25" s="1"/>
  <c r="R224" i="25"/>
  <c r="Q224" i="25"/>
  <c r="AO224" i="25"/>
  <c r="BZ224" i="25"/>
  <c r="AE24" i="24"/>
  <c r="AI24" i="24"/>
  <c r="X24" i="24"/>
  <c r="AA24" i="24" s="1"/>
  <c r="AB24" i="24" s="1"/>
  <c r="AC24" i="24" s="1"/>
  <c r="AE313" i="24"/>
  <c r="AI313" i="24"/>
  <c r="X313" i="24"/>
  <c r="AA313" i="24" s="1"/>
  <c r="AB313" i="24" s="1"/>
  <c r="AC313" i="24" s="1"/>
  <c r="W173" i="24"/>
  <c r="Y173" i="24" s="1"/>
  <c r="W18" i="24"/>
  <c r="Y18" i="24" s="1"/>
  <c r="W104" i="24"/>
  <c r="V104" i="24"/>
  <c r="AE82" i="24"/>
  <c r="AI82" i="24"/>
  <c r="X82" i="24"/>
  <c r="AA82" i="24" s="1"/>
  <c r="AB82" i="24" s="1"/>
  <c r="AC82" i="24" s="1"/>
  <c r="V261" i="25"/>
  <c r="X261" i="25" s="1"/>
  <c r="R290" i="25"/>
  <c r="S290" i="25"/>
  <c r="K290" i="25" s="1"/>
  <c r="Q290" i="25"/>
  <c r="BZ290" i="25"/>
  <c r="AO290" i="25"/>
  <c r="S136" i="25"/>
  <c r="K136" i="25" s="1"/>
  <c r="Q136" i="25"/>
  <c r="R136" i="25"/>
  <c r="AO136" i="25"/>
  <c r="BZ136" i="25"/>
  <c r="W232" i="24"/>
  <c r="V232" i="24"/>
  <c r="AE217" i="24"/>
  <c r="AI217" i="24"/>
  <c r="X217" i="24"/>
  <c r="AA217" i="24" s="1"/>
  <c r="AB217" i="24" s="1"/>
  <c r="AC217" i="24" s="1"/>
  <c r="S67" i="25"/>
  <c r="K67" i="25" s="1"/>
  <c r="R67" i="25"/>
  <c r="Q67" i="25"/>
  <c r="BZ67" i="25"/>
  <c r="AO67" i="25"/>
  <c r="AE20" i="24"/>
  <c r="AI20" i="24"/>
  <c r="X20" i="24"/>
  <c r="AA20" i="24" s="1"/>
  <c r="AB20" i="24" s="1"/>
  <c r="AC20" i="24" s="1"/>
  <c r="P282" i="24"/>
  <c r="Q282" i="24"/>
  <c r="AP282" i="24"/>
  <c r="AJ292" i="24"/>
  <c r="AE145" i="24"/>
  <c r="AI145" i="24"/>
  <c r="X145" i="24"/>
  <c r="AA145" i="24" s="1"/>
  <c r="AB145" i="24" s="1"/>
  <c r="AC145" i="24" s="1"/>
  <c r="R130" i="25"/>
  <c r="S130" i="25"/>
  <c r="K130" i="25" s="1"/>
  <c r="Q130" i="25"/>
  <c r="BZ130" i="25"/>
  <c r="AO130" i="25"/>
  <c r="R165" i="25"/>
  <c r="S165" i="25"/>
  <c r="K165" i="25" s="1"/>
  <c r="V165" i="25" s="1"/>
  <c r="Q165" i="25"/>
  <c r="BZ165" i="25"/>
  <c r="AO165" i="25"/>
  <c r="S266" i="25"/>
  <c r="K266" i="25" s="1"/>
  <c r="V266" i="25" s="1"/>
  <c r="R266" i="25"/>
  <c r="Q266" i="25"/>
  <c r="AO266" i="25"/>
  <c r="BZ266" i="25"/>
  <c r="AE174" i="24"/>
  <c r="AI174" i="24"/>
  <c r="X174" i="24"/>
  <c r="AA174" i="24" s="1"/>
  <c r="AB174" i="24" s="1"/>
  <c r="AC174" i="24" s="1"/>
  <c r="U202" i="25"/>
  <c r="W69" i="24"/>
  <c r="V69" i="24"/>
  <c r="AE178" i="24"/>
  <c r="AI178" i="24"/>
  <c r="X178" i="24"/>
  <c r="AA178" i="24" s="1"/>
  <c r="AB178" i="24" s="1"/>
  <c r="AC178" i="24" s="1"/>
  <c r="S159" i="25"/>
  <c r="K159" i="25" s="1"/>
  <c r="V159" i="25" s="1"/>
  <c r="R159" i="25"/>
  <c r="Q159" i="25"/>
  <c r="AO159" i="25"/>
  <c r="BZ159" i="25"/>
  <c r="V210" i="24"/>
  <c r="W210" i="24"/>
  <c r="AE69" i="24"/>
  <c r="AI69" i="24"/>
  <c r="X69" i="24"/>
  <c r="AA69" i="24" s="1"/>
  <c r="AB69" i="24" s="1"/>
  <c r="AC69" i="24" s="1"/>
  <c r="S63" i="25"/>
  <c r="K63" i="25" s="1"/>
  <c r="V63" i="25" s="1"/>
  <c r="R63" i="25"/>
  <c r="Q63" i="25"/>
  <c r="AO63" i="25"/>
  <c r="BZ63" i="25"/>
  <c r="AE125" i="24"/>
  <c r="AI125" i="24"/>
  <c r="X125" i="24"/>
  <c r="AA125" i="24" s="1"/>
  <c r="AB125" i="24" s="1"/>
  <c r="AC125" i="24" s="1"/>
  <c r="W29" i="24"/>
  <c r="V29" i="24"/>
  <c r="V145" i="24"/>
  <c r="W145" i="24"/>
  <c r="R278" i="25"/>
  <c r="S278" i="25"/>
  <c r="K278" i="25" s="1"/>
  <c r="Q278" i="25"/>
  <c r="BZ278" i="25"/>
  <c r="AO278" i="25"/>
  <c r="U73" i="25"/>
  <c r="AE164" i="24"/>
  <c r="AI164" i="24"/>
  <c r="X164" i="24"/>
  <c r="AA164" i="24" s="1"/>
  <c r="AB164" i="24" s="1"/>
  <c r="AC164" i="24" s="1"/>
  <c r="P174" i="24"/>
  <c r="Q174" i="24"/>
  <c r="AP174" i="24"/>
  <c r="R160" i="25"/>
  <c r="S160" i="25"/>
  <c r="K160" i="25" s="1"/>
  <c r="V160" i="25" s="1"/>
  <c r="Q160" i="25"/>
  <c r="AO160" i="25"/>
  <c r="BZ160" i="25"/>
  <c r="W202" i="24"/>
  <c r="Y202" i="24" s="1"/>
  <c r="AD174" i="25"/>
  <c r="W174" i="25"/>
  <c r="Z174" i="25" s="1"/>
  <c r="AA174" i="25" s="1"/>
  <c r="AB174" i="25" s="1"/>
  <c r="AI174" i="25" s="1"/>
  <c r="W287" i="24"/>
  <c r="Y287" i="24" s="1"/>
  <c r="R61" i="25"/>
  <c r="S61" i="25"/>
  <c r="K61" i="25" s="1"/>
  <c r="Q61" i="25"/>
  <c r="BZ61" i="25"/>
  <c r="AO61" i="25"/>
  <c r="S100" i="25"/>
  <c r="K100" i="25" s="1"/>
  <c r="R100" i="25"/>
  <c r="Q100" i="25"/>
  <c r="AO100" i="25"/>
  <c r="BZ100" i="25"/>
  <c r="V239" i="24"/>
  <c r="W239" i="24"/>
  <c r="R153" i="25"/>
  <c r="S153" i="25"/>
  <c r="K153" i="25" s="1"/>
  <c r="Q153" i="25"/>
  <c r="AO153" i="25"/>
  <c r="BZ153" i="25"/>
  <c r="AE54" i="24"/>
  <c r="AI54" i="24"/>
  <c r="X54" i="24"/>
  <c r="AA54" i="24" s="1"/>
  <c r="AB54" i="24" s="1"/>
  <c r="AC54" i="24" s="1"/>
  <c r="AE167" i="24"/>
  <c r="AI167" i="24"/>
  <c r="W167" i="24"/>
  <c r="Y167" i="24" s="1"/>
  <c r="X167" i="24"/>
  <c r="AA167" i="24" s="1"/>
  <c r="AB167" i="24" s="1"/>
  <c r="AC167" i="24" s="1"/>
  <c r="Q113" i="24"/>
  <c r="P113" i="24"/>
  <c r="AP113" i="24"/>
  <c r="R264" i="25"/>
  <c r="S264" i="25"/>
  <c r="K264" i="25" s="1"/>
  <c r="Q264" i="25"/>
  <c r="BZ264" i="25"/>
  <c r="AO264" i="25"/>
  <c r="R194" i="25"/>
  <c r="S194" i="25"/>
  <c r="K194" i="25" s="1"/>
  <c r="V194" i="25" s="1"/>
  <c r="Q194" i="25"/>
  <c r="AO194" i="25"/>
  <c r="BZ194" i="25"/>
  <c r="U23" i="25"/>
  <c r="R268" i="25"/>
  <c r="S268" i="25"/>
  <c r="K268" i="25" s="1"/>
  <c r="Q268" i="25"/>
  <c r="AO268" i="25"/>
  <c r="BZ268" i="25"/>
  <c r="V283" i="24"/>
  <c r="W283" i="24"/>
  <c r="V306" i="25"/>
  <c r="X306" i="25" s="1"/>
  <c r="W180" i="24"/>
  <c r="Y180" i="24" s="1"/>
  <c r="R98" i="25"/>
  <c r="S98" i="25"/>
  <c r="K98" i="25" s="1"/>
  <c r="Q98" i="25"/>
  <c r="AO98" i="25"/>
  <c r="BZ98" i="25"/>
  <c r="AE237" i="24"/>
  <c r="AI237" i="24"/>
  <c r="X237" i="24"/>
  <c r="AA237" i="24" s="1"/>
  <c r="AB237" i="24" s="1"/>
  <c r="AC237" i="24" s="1"/>
  <c r="AE196" i="24"/>
  <c r="AI196" i="24"/>
  <c r="X196" i="24"/>
  <c r="AA196" i="24" s="1"/>
  <c r="AB196" i="24" s="1"/>
  <c r="AC196" i="24" s="1"/>
  <c r="U72" i="25"/>
  <c r="AE30" i="24"/>
  <c r="AI30" i="24"/>
  <c r="X30" i="24"/>
  <c r="AA30" i="24" s="1"/>
  <c r="AB30" i="24" s="1"/>
  <c r="AC30" i="24" s="1"/>
  <c r="W118" i="24"/>
  <c r="Y118" i="24" s="1"/>
  <c r="AE234" i="24"/>
  <c r="AI234" i="24"/>
  <c r="X234" i="24"/>
  <c r="AA234" i="24" s="1"/>
  <c r="AB234" i="24" s="1"/>
  <c r="AC234" i="24" s="1"/>
  <c r="AE290" i="24"/>
  <c r="AI290" i="24"/>
  <c r="X290" i="24"/>
  <c r="AA290" i="24" s="1"/>
  <c r="AB290" i="24" s="1"/>
  <c r="AC290" i="24" s="1"/>
  <c r="Q39" i="24"/>
  <c r="R39" i="24" s="1"/>
  <c r="P39" i="24"/>
  <c r="AP39" i="24"/>
  <c r="AE64" i="24"/>
  <c r="AI64" i="24"/>
  <c r="X64" i="24"/>
  <c r="AA64" i="24" s="1"/>
  <c r="AB64" i="24" s="1"/>
  <c r="AC64" i="24" s="1"/>
  <c r="V229" i="24"/>
  <c r="W229" i="24"/>
  <c r="W155" i="24"/>
  <c r="Y155" i="24" s="1"/>
  <c r="U183" i="25"/>
  <c r="S83" i="25"/>
  <c r="K83" i="25" s="1"/>
  <c r="R83" i="25"/>
  <c r="Q83" i="25"/>
  <c r="BZ83" i="25"/>
  <c r="AO83" i="25"/>
  <c r="AE185" i="24"/>
  <c r="AI185" i="24"/>
  <c r="X185" i="24"/>
  <c r="AA185" i="24" s="1"/>
  <c r="AB185" i="24" s="1"/>
  <c r="AC185" i="24" s="1"/>
  <c r="AE300" i="24"/>
  <c r="AI300" i="24"/>
  <c r="X300" i="24"/>
  <c r="AA300" i="24" s="1"/>
  <c r="AB300" i="24" s="1"/>
  <c r="AC300" i="24" s="1"/>
  <c r="V299" i="24"/>
  <c r="W299" i="24"/>
  <c r="AE261" i="24"/>
  <c r="AI261" i="24"/>
  <c r="X261" i="24"/>
  <c r="AA261" i="24" s="1"/>
  <c r="AB261" i="24" s="1"/>
  <c r="AC261" i="24" s="1"/>
  <c r="U38" i="25"/>
  <c r="AE269" i="24"/>
  <c r="AI269" i="24"/>
  <c r="X269" i="24"/>
  <c r="AA269" i="24" s="1"/>
  <c r="AB269" i="24" s="1"/>
  <c r="AC269" i="24" s="1"/>
  <c r="U140" i="25"/>
  <c r="AE144" i="24"/>
  <c r="AI144" i="24"/>
  <c r="X144" i="24"/>
  <c r="AA144" i="24" s="1"/>
  <c r="AB144" i="24" s="1"/>
  <c r="AC144" i="24" s="1"/>
  <c r="AE58" i="24"/>
  <c r="AI58" i="24"/>
  <c r="X58" i="24"/>
  <c r="AA58" i="24" s="1"/>
  <c r="AB58" i="24" s="1"/>
  <c r="AC58" i="24" s="1"/>
  <c r="AE219" i="24"/>
  <c r="AI219" i="24"/>
  <c r="X219" i="24"/>
  <c r="AA219" i="24" s="1"/>
  <c r="AB219" i="24" s="1"/>
  <c r="AC219" i="24" s="1"/>
  <c r="V58" i="24"/>
  <c r="W58" i="24"/>
  <c r="AE134" i="24"/>
  <c r="AI134" i="24"/>
  <c r="W134" i="24"/>
  <c r="Y134" i="24" s="1"/>
  <c r="X134" i="24"/>
  <c r="AA134" i="24" s="1"/>
  <c r="AB134" i="24" s="1"/>
  <c r="AC134" i="24" s="1"/>
  <c r="S16" i="25"/>
  <c r="K16" i="25" s="1"/>
  <c r="R16" i="25"/>
  <c r="Q16" i="25"/>
  <c r="BZ16" i="25"/>
  <c r="AO16" i="25"/>
  <c r="W159" i="24"/>
  <c r="V159" i="24"/>
  <c r="AD283" i="25"/>
  <c r="W283" i="25"/>
  <c r="Z283" i="25" s="1"/>
  <c r="AA283" i="25" s="1"/>
  <c r="AB283" i="25" s="1"/>
  <c r="AI283" i="25" s="1"/>
  <c r="S38" i="25"/>
  <c r="K38" i="25" s="1"/>
  <c r="V38" i="25" s="1"/>
  <c r="R38" i="25"/>
  <c r="Q38" i="25"/>
  <c r="BZ38" i="25"/>
  <c r="AO38" i="25"/>
  <c r="AJ22" i="24"/>
  <c r="R128" i="25"/>
  <c r="S128" i="25"/>
  <c r="K128" i="25" s="1"/>
  <c r="Q128" i="25"/>
  <c r="AO128" i="25"/>
  <c r="BZ128" i="25"/>
  <c r="W245" i="24"/>
  <c r="V245" i="24"/>
  <c r="R140" i="25"/>
  <c r="S140" i="25"/>
  <c r="K140" i="25" s="1"/>
  <c r="V140" i="25" s="1"/>
  <c r="Q140" i="25"/>
  <c r="BZ140" i="25"/>
  <c r="AO140" i="25"/>
  <c r="S227" i="25"/>
  <c r="K227" i="25" s="1"/>
  <c r="R227" i="25"/>
  <c r="Q227" i="25"/>
  <c r="AO227" i="25"/>
  <c r="BZ227" i="25"/>
  <c r="AE42" i="24"/>
  <c r="AI42" i="24"/>
  <c r="X42" i="24"/>
  <c r="AA42" i="24" s="1"/>
  <c r="AB42" i="24" s="1"/>
  <c r="AC42" i="24" s="1"/>
  <c r="R37" i="25"/>
  <c r="S37" i="25"/>
  <c r="K37" i="25" s="1"/>
  <c r="Q37" i="25"/>
  <c r="AO37" i="25"/>
  <c r="BZ37" i="25"/>
  <c r="AE220" i="24"/>
  <c r="AI220" i="24"/>
  <c r="X220" i="24"/>
  <c r="AA220" i="24" s="1"/>
  <c r="AB220" i="24" s="1"/>
  <c r="AC220" i="24" s="1"/>
  <c r="Q58" i="24"/>
  <c r="R58" i="24" s="1"/>
  <c r="P58" i="24"/>
  <c r="AP58" i="24"/>
  <c r="AE83" i="24"/>
  <c r="AI83" i="24"/>
  <c r="X83" i="24"/>
  <c r="AA83" i="24" s="1"/>
  <c r="AB83" i="24" s="1"/>
  <c r="AC83" i="24" s="1"/>
  <c r="V260" i="24"/>
  <c r="W260" i="24"/>
  <c r="W289" i="24"/>
  <c r="Y289" i="24" s="1"/>
  <c r="R311" i="25"/>
  <c r="S311" i="25"/>
  <c r="K311" i="25" s="1"/>
  <c r="Q311" i="25"/>
  <c r="BZ311" i="25"/>
  <c r="AO311" i="25"/>
  <c r="R309" i="25"/>
  <c r="S309" i="25"/>
  <c r="K309" i="25" s="1"/>
  <c r="Q309" i="25"/>
  <c r="BZ309" i="25"/>
  <c r="AO309" i="25"/>
  <c r="AE224" i="24"/>
  <c r="AI224" i="24"/>
  <c r="X224" i="24"/>
  <c r="AA224" i="24" s="1"/>
  <c r="AB224" i="24" s="1"/>
  <c r="AC224" i="24" s="1"/>
  <c r="AD282" i="25"/>
  <c r="W282" i="25"/>
  <c r="Z282" i="25" s="1"/>
  <c r="AA282" i="25" s="1"/>
  <c r="AB282" i="25" s="1"/>
  <c r="AI282" i="25" s="1"/>
  <c r="R35" i="25"/>
  <c r="S35" i="25"/>
  <c r="K35" i="25" s="1"/>
  <c r="Q35" i="25"/>
  <c r="BZ35" i="25"/>
  <c r="AO35" i="25"/>
  <c r="AE9" i="24"/>
  <c r="AI9" i="24"/>
  <c r="X9" i="24"/>
  <c r="AA9" i="24" s="1"/>
  <c r="AB9" i="24" s="1"/>
  <c r="AC9" i="24" s="1"/>
  <c r="W189" i="24"/>
  <c r="Y189" i="24" s="1"/>
  <c r="U12" i="25"/>
  <c r="W42" i="24"/>
  <c r="V42" i="24"/>
  <c r="B117" i="2"/>
  <c r="U210" i="25"/>
  <c r="U313" i="25"/>
  <c r="AG41" i="24"/>
  <c r="AF41" i="24"/>
  <c r="AE181" i="24"/>
  <c r="AI181" i="24"/>
  <c r="X181" i="24"/>
  <c r="AA181" i="24" s="1"/>
  <c r="AB181" i="24" s="1"/>
  <c r="AC181" i="24" s="1"/>
  <c r="S301" i="25"/>
  <c r="K301" i="25" s="1"/>
  <c r="R301" i="25"/>
  <c r="Q301" i="25"/>
  <c r="AO301" i="25"/>
  <c r="BZ301" i="25"/>
  <c r="W111" i="24"/>
  <c r="V111" i="24"/>
  <c r="W186" i="24"/>
  <c r="V186" i="24"/>
  <c r="AD186" i="25"/>
  <c r="W186" i="25"/>
  <c r="Z186" i="25" s="1"/>
  <c r="AA186" i="25" s="1"/>
  <c r="AB186" i="25" s="1"/>
  <c r="AI186" i="25" s="1"/>
  <c r="V186" i="25"/>
  <c r="X186" i="25" s="1"/>
  <c r="S241" i="25"/>
  <c r="K241" i="25" s="1"/>
  <c r="R241" i="25"/>
  <c r="Q241" i="25"/>
  <c r="BZ241" i="25"/>
  <c r="AO241" i="25"/>
  <c r="AD229" i="25"/>
  <c r="W229" i="25"/>
  <c r="Z229" i="25" s="1"/>
  <c r="AA229" i="25" s="1"/>
  <c r="AB229" i="25" s="1"/>
  <c r="AI229" i="25" s="1"/>
  <c r="W258" i="24"/>
  <c r="Y258" i="24" s="1"/>
  <c r="W135" i="24"/>
  <c r="V135" i="24"/>
  <c r="U217" i="25"/>
  <c r="AE133" i="24"/>
  <c r="AI133" i="24"/>
  <c r="X133" i="24"/>
  <c r="AA133" i="24" s="1"/>
  <c r="AB133" i="24" s="1"/>
  <c r="AC133" i="24" s="1"/>
  <c r="R10" i="25"/>
  <c r="S10" i="25"/>
  <c r="K10" i="25" s="1"/>
  <c r="V10" i="25" s="1"/>
  <c r="Q10" i="25"/>
  <c r="AO10" i="25"/>
  <c r="BZ10" i="25"/>
  <c r="R166" i="25"/>
  <c r="S166" i="25"/>
  <c r="K166" i="25" s="1"/>
  <c r="Q166" i="25"/>
  <c r="BZ166" i="25"/>
  <c r="AO166" i="25"/>
  <c r="U181" i="25"/>
  <c r="AE33" i="24"/>
  <c r="AI33" i="24"/>
  <c r="X33" i="24"/>
  <c r="AA33" i="24" s="1"/>
  <c r="AB33" i="24" s="1"/>
  <c r="AC33" i="24" s="1"/>
  <c r="AD113" i="25"/>
  <c r="W113" i="25"/>
  <c r="Z113" i="25" s="1"/>
  <c r="AA113" i="25" s="1"/>
  <c r="AB113" i="25" s="1"/>
  <c r="AI113" i="25" s="1"/>
  <c r="AE67" i="24"/>
  <c r="AI67" i="24"/>
  <c r="X67" i="24"/>
  <c r="AA67" i="24" s="1"/>
  <c r="AB67" i="24" s="1"/>
  <c r="AC67" i="24" s="1"/>
  <c r="U63" i="25"/>
  <c r="R195" i="25"/>
  <c r="S195" i="25"/>
  <c r="K195" i="25" s="1"/>
  <c r="Q195" i="25"/>
  <c r="AO195" i="25"/>
  <c r="BZ195" i="25"/>
  <c r="V114" i="25"/>
  <c r="X114" i="25" s="1"/>
  <c r="AE98" i="24"/>
  <c r="AI98" i="24"/>
  <c r="X98" i="24"/>
  <c r="AA98" i="24" s="1"/>
  <c r="AB98" i="24" s="1"/>
  <c r="AC98" i="24" s="1"/>
  <c r="AE91" i="24"/>
  <c r="AI91" i="24"/>
  <c r="X91" i="24"/>
  <c r="AA91" i="24" s="1"/>
  <c r="AB91" i="24" s="1"/>
  <c r="AC91" i="24" s="1"/>
  <c r="R219" i="25"/>
  <c r="S219" i="25"/>
  <c r="K219" i="25" s="1"/>
  <c r="Q219" i="25"/>
  <c r="AO219" i="25"/>
  <c r="BZ219" i="25"/>
  <c r="U277" i="25"/>
  <c r="S209" i="25"/>
  <c r="K209" i="25" s="1"/>
  <c r="V209" i="25" s="1"/>
  <c r="R209" i="25"/>
  <c r="Q209" i="25"/>
  <c r="BZ209" i="25"/>
  <c r="AO209" i="25"/>
  <c r="AE86" i="24"/>
  <c r="AI86" i="24"/>
  <c r="X86" i="24"/>
  <c r="AA86" i="24" s="1"/>
  <c r="AB86" i="24" s="1"/>
  <c r="AC86" i="24" s="1"/>
  <c r="AE197" i="24"/>
  <c r="AI197" i="24"/>
  <c r="X197" i="24"/>
  <c r="AA197" i="24" s="1"/>
  <c r="AB197" i="24" s="1"/>
  <c r="AC197" i="24" s="1"/>
  <c r="V184" i="24"/>
  <c r="W184" i="24"/>
  <c r="R123" i="25"/>
  <c r="S123" i="25"/>
  <c r="K123" i="25" s="1"/>
  <c r="V123" i="25" s="1"/>
  <c r="Q123" i="25"/>
  <c r="AO123" i="25"/>
  <c r="BZ123" i="25"/>
  <c r="R307" i="25"/>
  <c r="S307" i="25"/>
  <c r="K307" i="25" s="1"/>
  <c r="V307" i="25" s="1"/>
  <c r="Q307" i="25"/>
  <c r="BZ307" i="25"/>
  <c r="AO307" i="25"/>
  <c r="W76" i="24"/>
  <c r="Y76" i="24" s="1"/>
  <c r="AF129" i="25"/>
  <c r="AE129" i="25"/>
  <c r="V148" i="24"/>
  <c r="W148" i="24"/>
  <c r="R175" i="25"/>
  <c r="S175" i="25"/>
  <c r="K175" i="25" s="1"/>
  <c r="V175" i="25" s="1"/>
  <c r="Q175" i="25"/>
  <c r="BZ175" i="25"/>
  <c r="AO175" i="25"/>
  <c r="AE316" i="24"/>
  <c r="AI316" i="24"/>
  <c r="X316" i="24"/>
  <c r="AA316" i="24" s="1"/>
  <c r="AB316" i="24" s="1"/>
  <c r="AC316" i="24" s="1"/>
  <c r="W228" i="24"/>
  <c r="V228" i="24"/>
  <c r="V259" i="25"/>
  <c r="X259" i="25" s="1"/>
  <c r="AD238" i="25"/>
  <c r="W238" i="25"/>
  <c r="Z238" i="25" s="1"/>
  <c r="AA238" i="25" s="1"/>
  <c r="AB238" i="25" s="1"/>
  <c r="AI238" i="25" s="1"/>
  <c r="AD173" i="25"/>
  <c r="W173" i="25"/>
  <c r="Z173" i="25" s="1"/>
  <c r="AA173" i="25" s="1"/>
  <c r="AB173" i="25" s="1"/>
  <c r="AI173" i="25" s="1"/>
  <c r="W14" i="24"/>
  <c r="Y14" i="24" s="1"/>
  <c r="S24" i="25"/>
  <c r="K24" i="25" s="1"/>
  <c r="R24" i="25"/>
  <c r="Q24" i="25"/>
  <c r="BZ24" i="25"/>
  <c r="AO24" i="25"/>
  <c r="AE301" i="24"/>
  <c r="AI301" i="24"/>
  <c r="X301" i="24"/>
  <c r="AA301" i="24" s="1"/>
  <c r="AB301" i="24" s="1"/>
  <c r="AC301" i="24" s="1"/>
  <c r="AE17" i="24"/>
  <c r="AI17" i="24"/>
  <c r="X17" i="24"/>
  <c r="AA17" i="24" s="1"/>
  <c r="AB17" i="24" s="1"/>
  <c r="AC17" i="24" s="1"/>
  <c r="P232" i="24"/>
  <c r="Q232" i="24"/>
  <c r="AP232" i="24"/>
  <c r="AE315" i="24"/>
  <c r="AI315" i="24"/>
  <c r="X315" i="24"/>
  <c r="AA315" i="24" s="1"/>
  <c r="AB315" i="24" s="1"/>
  <c r="AC315" i="24" s="1"/>
  <c r="AE127" i="24"/>
  <c r="AI127" i="24"/>
  <c r="X127" i="24"/>
  <c r="AA127" i="24" s="1"/>
  <c r="AB127" i="24" s="1"/>
  <c r="AC127" i="24" s="1"/>
  <c r="R176" i="25"/>
  <c r="S176" i="25"/>
  <c r="K176" i="25" s="1"/>
  <c r="Q176" i="25"/>
  <c r="AO176" i="25"/>
  <c r="BZ176" i="25"/>
  <c r="AG292" i="24"/>
  <c r="AF292" i="24"/>
  <c r="AE193" i="24"/>
  <c r="AI193" i="24"/>
  <c r="X193" i="24"/>
  <c r="AA193" i="24" s="1"/>
  <c r="AB193" i="24" s="1"/>
  <c r="AC193" i="24" s="1"/>
  <c r="W188" i="24"/>
  <c r="Y188" i="24" s="1"/>
  <c r="AD62" i="25"/>
  <c r="W62" i="25"/>
  <c r="Z62" i="25" s="1"/>
  <c r="AA62" i="25" s="1"/>
  <c r="AB62" i="25" s="1"/>
  <c r="AI62" i="25" s="1"/>
  <c r="W284" i="24"/>
  <c r="Y284" i="24" s="1"/>
  <c r="V206" i="25"/>
  <c r="X206" i="25" s="1"/>
  <c r="W218" i="24"/>
  <c r="Y218" i="24" s="1"/>
  <c r="U226" i="25"/>
  <c r="R36" i="25"/>
  <c r="S36" i="25"/>
  <c r="K36" i="25" s="1"/>
  <c r="Q36" i="25"/>
  <c r="AO36" i="25"/>
  <c r="BZ36" i="25"/>
  <c r="AE244" i="24"/>
  <c r="AI244" i="24"/>
  <c r="X244" i="24"/>
  <c r="AA244" i="24" s="1"/>
  <c r="AB244" i="24" s="1"/>
  <c r="AC244" i="24" s="1"/>
  <c r="W269" i="24"/>
  <c r="Y269" i="24" s="1"/>
  <c r="AD296" i="25"/>
  <c r="W296" i="25"/>
  <c r="Z296" i="25" s="1"/>
  <c r="AA296" i="25" s="1"/>
  <c r="AB296" i="25" s="1"/>
  <c r="AI296" i="25" s="1"/>
  <c r="V296" i="25"/>
  <c r="X296" i="25" s="1"/>
  <c r="W172" i="24"/>
  <c r="Y172" i="24" s="1"/>
  <c r="Q210" i="24"/>
  <c r="P210" i="24"/>
  <c r="AP210" i="24"/>
  <c r="R137" i="25"/>
  <c r="S137" i="25"/>
  <c r="K137" i="25" s="1"/>
  <c r="Q137" i="25"/>
  <c r="AO137" i="25"/>
  <c r="BZ137" i="25"/>
  <c r="V222" i="24"/>
  <c r="W222" i="24"/>
  <c r="AE262" i="24"/>
  <c r="AI262" i="24"/>
  <c r="X262" i="24"/>
  <c r="AA262" i="24" s="1"/>
  <c r="AB262" i="24" s="1"/>
  <c r="AC262" i="24" s="1"/>
  <c r="AE80" i="24"/>
  <c r="AI80" i="24"/>
  <c r="X80" i="24"/>
  <c r="AA80" i="24" s="1"/>
  <c r="AB80" i="24" s="1"/>
  <c r="AC80" i="24" s="1"/>
  <c r="AJ236" i="24"/>
  <c r="U203" i="25"/>
  <c r="AE306" i="24"/>
  <c r="AI306" i="24"/>
  <c r="X306" i="24"/>
  <c r="AA306" i="24" s="1"/>
  <c r="AB306" i="24" s="1"/>
  <c r="AC306" i="24" s="1"/>
  <c r="P29" i="24"/>
  <c r="Q29" i="24"/>
  <c r="R29" i="24" s="1"/>
  <c r="AP29" i="24"/>
  <c r="P145" i="24"/>
  <c r="Q145" i="24"/>
  <c r="AP145" i="24"/>
  <c r="AE92" i="24"/>
  <c r="AI92" i="24"/>
  <c r="X92" i="24"/>
  <c r="AA92" i="24" s="1"/>
  <c r="AB92" i="24" s="1"/>
  <c r="AC92" i="24" s="1"/>
  <c r="AE51" i="24"/>
  <c r="AI51" i="24"/>
  <c r="X51" i="24"/>
  <c r="AA51" i="24" s="1"/>
  <c r="AB51" i="24" s="1"/>
  <c r="AC51" i="24" s="1"/>
  <c r="R73" i="25"/>
  <c r="S73" i="25"/>
  <c r="K73" i="25" s="1"/>
  <c r="V73" i="25" s="1"/>
  <c r="Q73" i="25"/>
  <c r="AO73" i="25"/>
  <c r="BZ73" i="25"/>
  <c r="R187" i="25"/>
  <c r="S187" i="25"/>
  <c r="K187" i="25" s="1"/>
  <c r="V187" i="25" s="1"/>
  <c r="Q187" i="25"/>
  <c r="BZ187" i="25"/>
  <c r="AO187" i="25"/>
  <c r="AE39" i="24"/>
  <c r="AI39" i="24"/>
  <c r="X39" i="24"/>
  <c r="AA39" i="24" s="1"/>
  <c r="AB39" i="24" s="1"/>
  <c r="AC39" i="24" s="1"/>
  <c r="AJ142" i="24"/>
  <c r="AE229" i="24"/>
  <c r="AI229" i="24"/>
  <c r="X229" i="24"/>
  <c r="AA229" i="24" s="1"/>
  <c r="AB229" i="24" s="1"/>
  <c r="AC229" i="24" s="1"/>
  <c r="AE111" i="24"/>
  <c r="AI111" i="24"/>
  <c r="X111" i="24"/>
  <c r="AA111" i="24" s="1"/>
  <c r="AB111" i="24" s="1"/>
  <c r="AC111" i="24" s="1"/>
  <c r="W116" i="24"/>
  <c r="Y116" i="24" s="1"/>
  <c r="W67" i="24"/>
  <c r="Y67" i="24" s="1"/>
  <c r="W92" i="24"/>
  <c r="V92" i="24"/>
  <c r="AE46" i="24"/>
  <c r="AI46" i="24"/>
  <c r="X46" i="24"/>
  <c r="AA46" i="24" s="1"/>
  <c r="AB46" i="24" s="1"/>
  <c r="AC46" i="24" s="1"/>
  <c r="W6" i="24"/>
  <c r="Y6" i="24" s="1"/>
  <c r="W277" i="24"/>
  <c r="V277" i="24"/>
  <c r="Q239" i="24"/>
  <c r="P239" i="24"/>
  <c r="AP239" i="24"/>
  <c r="W38" i="24"/>
  <c r="V38" i="24"/>
  <c r="R47" i="25"/>
  <c r="S47" i="25"/>
  <c r="K47" i="25" s="1"/>
  <c r="V47" i="25" s="1"/>
  <c r="Q47" i="25"/>
  <c r="AO47" i="25"/>
  <c r="BZ47" i="25"/>
  <c r="AE259" i="24"/>
  <c r="AI259" i="24"/>
  <c r="X259" i="24"/>
  <c r="AA259" i="24" s="1"/>
  <c r="AB259" i="24" s="1"/>
  <c r="AC259" i="24" s="1"/>
  <c r="S23" i="25"/>
  <c r="K23" i="25" s="1"/>
  <c r="R23" i="25"/>
  <c r="Q23" i="25"/>
  <c r="AO23" i="25"/>
  <c r="BZ23" i="25"/>
  <c r="V57" i="24"/>
  <c r="W57" i="24"/>
  <c r="U272" i="25"/>
  <c r="AE126" i="24"/>
  <c r="AI126" i="24"/>
  <c r="X126" i="24"/>
  <c r="AA126" i="24" s="1"/>
  <c r="AB126" i="24" s="1"/>
  <c r="AC126" i="24" s="1"/>
  <c r="V235" i="24"/>
  <c r="W235" i="24"/>
  <c r="W193" i="24"/>
  <c r="Y193" i="24" s="1"/>
  <c r="AD248" i="25"/>
  <c r="W248" i="25"/>
  <c r="Z248" i="25" s="1"/>
  <c r="AA248" i="25" s="1"/>
  <c r="AB248" i="25" s="1"/>
  <c r="AI248" i="25" s="1"/>
  <c r="V174" i="25"/>
  <c r="X174" i="25" s="1"/>
  <c r="AD204" i="25"/>
  <c r="W204" i="25"/>
  <c r="Z204" i="25" s="1"/>
  <c r="AA204" i="25" s="1"/>
  <c r="AB204" i="25" s="1"/>
  <c r="AI204" i="25" s="1"/>
  <c r="S80" i="25"/>
  <c r="K80" i="25" s="1"/>
  <c r="R80" i="25"/>
  <c r="Q80" i="25"/>
  <c r="AO80" i="25"/>
  <c r="BZ80" i="25"/>
  <c r="R310" i="25"/>
  <c r="S310" i="25"/>
  <c r="K310" i="25" s="1"/>
  <c r="Q310" i="25"/>
  <c r="AO310" i="25"/>
  <c r="BZ310" i="25"/>
  <c r="FJ211" i="25"/>
  <c r="R54" i="25"/>
  <c r="S54" i="25"/>
  <c r="K54" i="25" s="1"/>
  <c r="Q54" i="25"/>
  <c r="BZ54" i="25"/>
  <c r="AO54" i="25"/>
  <c r="S72" i="25"/>
  <c r="K72" i="25" s="1"/>
  <c r="R72" i="25"/>
  <c r="Q72" i="25"/>
  <c r="AO72" i="25"/>
  <c r="BZ72" i="25"/>
  <c r="R65" i="25"/>
  <c r="S65" i="25"/>
  <c r="K65" i="25" s="1"/>
  <c r="Q65" i="25"/>
  <c r="BZ65" i="25"/>
  <c r="AO65" i="25"/>
  <c r="U225" i="25"/>
  <c r="W291" i="24"/>
  <c r="V291" i="24"/>
  <c r="V100" i="24"/>
  <c r="W100" i="24"/>
  <c r="W266" i="24"/>
  <c r="V266" i="24"/>
  <c r="Q229" i="24"/>
  <c r="P229" i="24"/>
  <c r="AP229" i="24"/>
  <c r="AE88" i="24"/>
  <c r="AI88" i="24"/>
  <c r="W88" i="24"/>
  <c r="Y88" i="24" s="1"/>
  <c r="X88" i="24"/>
  <c r="AA88" i="24" s="1"/>
  <c r="AB88" i="24" s="1"/>
  <c r="AC88" i="24" s="1"/>
  <c r="AE170" i="24"/>
  <c r="AI170" i="24"/>
  <c r="X170" i="24"/>
  <c r="AA170" i="24" s="1"/>
  <c r="AB170" i="24" s="1"/>
  <c r="AC170" i="24" s="1"/>
  <c r="AD247" i="25"/>
  <c r="W247" i="25"/>
  <c r="Z247" i="25" s="1"/>
  <c r="AA247" i="25" s="1"/>
  <c r="AB247" i="25" s="1"/>
  <c r="AI247" i="25" s="1"/>
  <c r="R149" i="25"/>
  <c r="S149" i="25"/>
  <c r="K149" i="25" s="1"/>
  <c r="Q149" i="25"/>
  <c r="AO149" i="25"/>
  <c r="BZ149" i="25"/>
  <c r="AG22" i="24"/>
  <c r="AF22" i="24"/>
  <c r="W80" i="24"/>
  <c r="V80" i="24"/>
  <c r="AE241" i="24"/>
  <c r="AI241" i="24"/>
  <c r="X241" i="24"/>
  <c r="AA241" i="24" s="1"/>
  <c r="AB241" i="24" s="1"/>
  <c r="AC241" i="24" s="1"/>
  <c r="AE66" i="24"/>
  <c r="AI66" i="24"/>
  <c r="X66" i="24"/>
  <c r="AA66" i="24" s="1"/>
  <c r="AB66" i="24" s="1"/>
  <c r="AC66" i="24" s="1"/>
  <c r="AG190" i="24"/>
  <c r="AF190" i="24"/>
  <c r="R263" i="25"/>
  <c r="S263" i="25"/>
  <c r="K263" i="25" s="1"/>
  <c r="Q263" i="25"/>
  <c r="AO263" i="25"/>
  <c r="BZ263" i="25"/>
  <c r="U90" i="25"/>
  <c r="U125" i="25"/>
  <c r="U297" i="25"/>
  <c r="AE279" i="24"/>
  <c r="AI279" i="24"/>
  <c r="X279" i="24"/>
  <c r="AA279" i="24" s="1"/>
  <c r="AB279" i="24" s="1"/>
  <c r="AC279" i="24" s="1"/>
  <c r="P260" i="24"/>
  <c r="Q260" i="24"/>
  <c r="AP260" i="24"/>
  <c r="S101" i="25"/>
  <c r="K101" i="25" s="1"/>
  <c r="V101" i="25" s="1"/>
  <c r="R101" i="25"/>
  <c r="Q101" i="25"/>
  <c r="AO101" i="25"/>
  <c r="BZ101" i="25"/>
  <c r="AD31" i="25"/>
  <c r="W31" i="25"/>
  <c r="Z31" i="25" s="1"/>
  <c r="AA31" i="25" s="1"/>
  <c r="AB31" i="25" s="1"/>
  <c r="AI31" i="25" s="1"/>
  <c r="V112" i="24"/>
  <c r="W112" i="24"/>
  <c r="AE230" i="24"/>
  <c r="AI230" i="24"/>
  <c r="X230" i="24"/>
  <c r="AA230" i="24" s="1"/>
  <c r="AB230" i="24" s="1"/>
  <c r="AC230" i="24" s="1"/>
  <c r="U75" i="25"/>
  <c r="AE247" i="24"/>
  <c r="AI247" i="24"/>
  <c r="X247" i="24"/>
  <c r="AA247" i="24" s="1"/>
  <c r="AB247" i="24" s="1"/>
  <c r="AC247" i="24" s="1"/>
  <c r="AE182" i="24"/>
  <c r="AI182" i="24"/>
  <c r="X182" i="24"/>
  <c r="AA182" i="24" s="1"/>
  <c r="AB182" i="24" s="1"/>
  <c r="AC182" i="24" s="1"/>
  <c r="V9" i="24"/>
  <c r="W9" i="24"/>
  <c r="S12" i="25"/>
  <c r="K12" i="25" s="1"/>
  <c r="R12" i="25"/>
  <c r="Q12" i="25"/>
  <c r="AO12" i="25"/>
  <c r="BZ12" i="25"/>
  <c r="W131" i="24"/>
  <c r="V131" i="24"/>
  <c r="P42" i="24"/>
  <c r="Q42" i="24"/>
  <c r="R42" i="24" s="1"/>
  <c r="AP42" i="24"/>
  <c r="AE249" i="24"/>
  <c r="AI249" i="24"/>
  <c r="X249" i="24"/>
  <c r="AA249" i="24" s="1"/>
  <c r="AB249" i="24" s="1"/>
  <c r="AC249" i="24" s="1"/>
  <c r="V123" i="24"/>
  <c r="W123" i="24"/>
  <c r="U84" i="25"/>
  <c r="S313" i="25"/>
  <c r="K313" i="25" s="1"/>
  <c r="R313" i="25"/>
  <c r="Q313" i="25"/>
  <c r="AO313" i="25"/>
  <c r="BZ313" i="25"/>
  <c r="AE163" i="24"/>
  <c r="AI163" i="24"/>
  <c r="X163" i="24"/>
  <c r="AA163" i="24" s="1"/>
  <c r="AB163" i="24" s="1"/>
  <c r="AC163" i="24" s="1"/>
  <c r="S48" i="25"/>
  <c r="K48" i="25" s="1"/>
  <c r="R48" i="25"/>
  <c r="Q48" i="25"/>
  <c r="BZ48" i="25"/>
  <c r="AO48" i="25"/>
  <c r="V34" i="25"/>
  <c r="X34" i="25" s="1"/>
  <c r="U228" i="25"/>
  <c r="W280" i="24"/>
  <c r="V280" i="24"/>
  <c r="AD201" i="25"/>
  <c r="W201" i="25"/>
  <c r="Z201" i="25" s="1"/>
  <c r="AA201" i="25" s="1"/>
  <c r="AB201" i="25" s="1"/>
  <c r="AI201" i="25" s="1"/>
  <c r="AE50" i="24"/>
  <c r="AI50" i="24"/>
  <c r="X50" i="24"/>
  <c r="AA50" i="24" s="1"/>
  <c r="AB50" i="24" s="1"/>
  <c r="AC50" i="24" s="1"/>
  <c r="S144" i="25"/>
  <c r="K144" i="25" s="1"/>
  <c r="R144" i="25"/>
  <c r="Q144" i="25"/>
  <c r="AO144" i="25"/>
  <c r="BZ144" i="25"/>
  <c r="S217" i="25"/>
  <c r="K217" i="25" s="1"/>
  <c r="V217" i="25" s="1"/>
  <c r="R217" i="25"/>
  <c r="Q217" i="25"/>
  <c r="AO217" i="25"/>
  <c r="BZ217" i="25"/>
  <c r="R139" i="25"/>
  <c r="S139" i="25"/>
  <c r="K139" i="25" s="1"/>
  <c r="V139" i="25" s="1"/>
  <c r="Q139" i="25"/>
  <c r="AO139" i="25"/>
  <c r="BZ139" i="25"/>
  <c r="AE175" i="24"/>
  <c r="AI175" i="24"/>
  <c r="X175" i="24"/>
  <c r="AA175" i="24" s="1"/>
  <c r="AB175" i="24" s="1"/>
  <c r="AC175" i="24" s="1"/>
  <c r="U234" i="25"/>
  <c r="U26" i="25"/>
  <c r="W141" i="24"/>
  <c r="V141" i="24"/>
  <c r="S250" i="25"/>
  <c r="K250" i="25" s="1"/>
  <c r="R250" i="25"/>
  <c r="Q250" i="25"/>
  <c r="AO250" i="25"/>
  <c r="BZ250" i="25"/>
  <c r="R118" i="25"/>
  <c r="S118" i="25"/>
  <c r="K118" i="25" s="1"/>
  <c r="V118" i="25" s="1"/>
  <c r="Q118" i="25"/>
  <c r="AO118" i="25"/>
  <c r="BZ118" i="25"/>
  <c r="AD255" i="25"/>
  <c r="W255" i="25"/>
  <c r="Z255" i="25" s="1"/>
  <c r="AA255" i="25" s="1"/>
  <c r="AB255" i="25" s="1"/>
  <c r="AI255" i="25" s="1"/>
  <c r="V255" i="25"/>
  <c r="X255" i="25" s="1"/>
  <c r="U74" i="25"/>
  <c r="R151" i="25"/>
  <c r="S151" i="25"/>
  <c r="K151" i="25" s="1"/>
  <c r="Q151" i="25"/>
  <c r="AO151" i="25"/>
  <c r="BZ151" i="25"/>
  <c r="V92" i="25"/>
  <c r="X92" i="25" s="1"/>
  <c r="AE56" i="24"/>
  <c r="AI56" i="24"/>
  <c r="X56" i="24"/>
  <c r="AA56" i="24" s="1"/>
  <c r="AB56" i="24" s="1"/>
  <c r="AC56" i="24" s="1"/>
  <c r="AE70" i="24"/>
  <c r="AI70" i="24"/>
  <c r="X70" i="24"/>
  <c r="AA70" i="24" s="1"/>
  <c r="AB70" i="24" s="1"/>
  <c r="AC70" i="24" s="1"/>
  <c r="S152" i="25"/>
  <c r="K152" i="25" s="1"/>
  <c r="R152" i="25"/>
  <c r="Q152" i="25"/>
  <c r="AO152" i="25"/>
  <c r="BZ152" i="25"/>
  <c r="S50" i="25"/>
  <c r="K50" i="25" s="1"/>
  <c r="R50" i="25"/>
  <c r="Q50" i="25"/>
  <c r="AO50" i="25"/>
  <c r="BZ50" i="25"/>
  <c r="S277" i="25"/>
  <c r="K277" i="25" s="1"/>
  <c r="R277" i="25"/>
  <c r="Q277" i="25"/>
  <c r="AO277" i="25"/>
  <c r="BZ277" i="25"/>
  <c r="P184" i="24"/>
  <c r="Q184" i="24"/>
  <c r="AP184" i="24"/>
  <c r="AE146" i="24"/>
  <c r="AI146" i="24"/>
  <c r="X146" i="24"/>
  <c r="AA146" i="24" s="1"/>
  <c r="AB146" i="24" s="1"/>
  <c r="AC146" i="24" s="1"/>
  <c r="AE153" i="24"/>
  <c r="AI153" i="24"/>
  <c r="X153" i="24"/>
  <c r="AA153" i="24" s="1"/>
  <c r="AB153" i="24" s="1"/>
  <c r="AC153" i="24" s="1"/>
  <c r="AE271" i="24"/>
  <c r="AI271" i="24"/>
  <c r="X271" i="24"/>
  <c r="AA271" i="24" s="1"/>
  <c r="AB271" i="24" s="1"/>
  <c r="AC271" i="24" s="1"/>
  <c r="AE149" i="24"/>
  <c r="AI149" i="24"/>
  <c r="X149" i="24"/>
  <c r="AA149" i="24" s="1"/>
  <c r="AB149" i="24" s="1"/>
  <c r="AC149" i="24" s="1"/>
  <c r="P148" i="24"/>
  <c r="Q148" i="24"/>
  <c r="AP148" i="24"/>
  <c r="AE304" i="24"/>
  <c r="AI304" i="24"/>
  <c r="X304" i="24"/>
  <c r="AA304" i="24" s="1"/>
  <c r="AB304" i="24" s="1"/>
  <c r="AC304" i="24" s="1"/>
  <c r="Q228" i="24"/>
  <c r="P228" i="24"/>
  <c r="AP228" i="24"/>
  <c r="U208" i="25"/>
  <c r="R298" i="25"/>
  <c r="S298" i="25"/>
  <c r="K298" i="25" s="1"/>
  <c r="V298" i="25" s="1"/>
  <c r="Q298" i="25"/>
  <c r="BZ298" i="25"/>
  <c r="AO298" i="25"/>
  <c r="W241" i="24"/>
  <c r="V241" i="24"/>
  <c r="V185" i="24"/>
  <c r="W185" i="24"/>
  <c r="AD21" i="25"/>
  <c r="W21" i="25"/>
  <c r="Z21" i="25" s="1"/>
  <c r="AA21" i="25" s="1"/>
  <c r="AB21" i="25" s="1"/>
  <c r="AI21" i="25" s="1"/>
  <c r="AE35" i="24"/>
  <c r="AI35" i="24"/>
  <c r="X35" i="24"/>
  <c r="AA35" i="24" s="1"/>
  <c r="AB35" i="24" s="1"/>
  <c r="AC35" i="24" s="1"/>
  <c r="W85" i="24"/>
  <c r="V85" i="24"/>
  <c r="U27" i="25"/>
  <c r="U274" i="25"/>
  <c r="U205" i="25"/>
  <c r="AE10" i="24"/>
  <c r="AI10" i="24"/>
  <c r="X10" i="24"/>
  <c r="AA10" i="24" s="1"/>
  <c r="AB10" i="24" s="1"/>
  <c r="AC10" i="24" s="1"/>
  <c r="W65" i="24"/>
  <c r="V65" i="24"/>
  <c r="W82" i="24"/>
  <c r="Y82" i="24" s="1"/>
  <c r="AE43" i="24"/>
  <c r="AI43" i="24"/>
  <c r="X43" i="24"/>
  <c r="AA43" i="24" s="1"/>
  <c r="AB43" i="24" s="1"/>
  <c r="AC43" i="24" s="1"/>
  <c r="AE122" i="24"/>
  <c r="AI122" i="24"/>
  <c r="X122" i="24"/>
  <c r="AA122" i="24" s="1"/>
  <c r="AB122" i="24" s="1"/>
  <c r="AC122" i="24" s="1"/>
  <c r="AE40" i="24"/>
  <c r="AI40" i="24"/>
  <c r="X40" i="24"/>
  <c r="AA40" i="24" s="1"/>
  <c r="AB40" i="24" s="1"/>
  <c r="AC40" i="24" s="1"/>
  <c r="AE239" i="24"/>
  <c r="AI239" i="24"/>
  <c r="X239" i="24"/>
  <c r="AA239" i="24" s="1"/>
  <c r="AB239" i="24" s="1"/>
  <c r="AC239" i="24" s="1"/>
  <c r="AE154" i="24"/>
  <c r="AI154" i="24"/>
  <c r="X154" i="24"/>
  <c r="AA154" i="24" s="1"/>
  <c r="AB154" i="24" s="1"/>
  <c r="AC154" i="24" s="1"/>
  <c r="R203" i="25"/>
  <c r="S203" i="25"/>
  <c r="K203" i="25" s="1"/>
  <c r="V203" i="25" s="1"/>
  <c r="Q203" i="25"/>
  <c r="AO203" i="25"/>
  <c r="BZ203" i="25"/>
  <c r="V197" i="24"/>
  <c r="W197" i="24"/>
  <c r="W207" i="24"/>
  <c r="Y207" i="24" s="1"/>
  <c r="U221" i="25"/>
  <c r="V95" i="24"/>
  <c r="W95" i="24"/>
  <c r="S171" i="25"/>
  <c r="K171" i="25" s="1"/>
  <c r="V171" i="25" s="1"/>
  <c r="R171" i="25"/>
  <c r="Q171" i="25"/>
  <c r="AO171" i="25"/>
  <c r="BZ171" i="25"/>
  <c r="R295" i="25"/>
  <c r="S295" i="25"/>
  <c r="K295" i="25" s="1"/>
  <c r="V295" i="25" s="1"/>
  <c r="Q295" i="25"/>
  <c r="AO295" i="25"/>
  <c r="BZ295" i="25"/>
  <c r="R202" i="25"/>
  <c r="S202" i="25"/>
  <c r="K202" i="25" s="1"/>
  <c r="V202" i="25" s="1"/>
  <c r="Q202" i="25"/>
  <c r="AO202" i="25"/>
  <c r="BZ202" i="25"/>
  <c r="R226" i="25"/>
  <c r="S226" i="25"/>
  <c r="K226" i="25" s="1"/>
  <c r="Q226" i="25"/>
  <c r="AO226" i="25"/>
  <c r="BZ226" i="25"/>
  <c r="AD158" i="25"/>
  <c r="W158" i="25"/>
  <c r="Z158" i="25" s="1"/>
  <c r="AA158" i="25" s="1"/>
  <c r="AB158" i="25" s="1"/>
  <c r="AI158" i="25" s="1"/>
  <c r="AE93" i="24"/>
  <c r="AI93" i="24"/>
  <c r="X93" i="24"/>
  <c r="AA93" i="24" s="1"/>
  <c r="AB93" i="24" s="1"/>
  <c r="AC93" i="24" s="1"/>
  <c r="U68" i="25"/>
  <c r="S244" i="25"/>
  <c r="K244" i="25" s="1"/>
  <c r="R244" i="25"/>
  <c r="Q244" i="25"/>
  <c r="AO244" i="25"/>
  <c r="BZ244" i="25"/>
  <c r="P277" i="24"/>
  <c r="Q277" i="24"/>
  <c r="AP277" i="24"/>
  <c r="W262" i="24"/>
  <c r="V262" i="24"/>
  <c r="W166" i="24"/>
  <c r="Y166" i="24" s="1"/>
  <c r="S69" i="25"/>
  <c r="K69" i="25" s="1"/>
  <c r="R69" i="25"/>
  <c r="Q69" i="25"/>
  <c r="BZ69" i="25"/>
  <c r="AO69" i="25"/>
  <c r="Q38" i="24"/>
  <c r="R38" i="24" s="1"/>
  <c r="P38" i="24"/>
  <c r="AP38" i="24"/>
  <c r="V31" i="25"/>
  <c r="X31" i="25" s="1"/>
  <c r="AE286" i="24"/>
  <c r="AI286" i="24"/>
  <c r="X286" i="24"/>
  <c r="AA286" i="24" s="1"/>
  <c r="AB286" i="24" s="1"/>
  <c r="AC286" i="24" s="1"/>
  <c r="AE100" i="24"/>
  <c r="AI100" i="24"/>
  <c r="X100" i="24"/>
  <c r="AA100" i="24" s="1"/>
  <c r="AB100" i="24" s="1"/>
  <c r="AC100" i="24" s="1"/>
  <c r="AG55" i="24"/>
  <c r="AF55" i="24"/>
  <c r="Q57" i="24"/>
  <c r="R57" i="24" s="1"/>
  <c r="P57" i="24"/>
  <c r="AP57" i="24"/>
  <c r="AE260" i="24"/>
  <c r="AI260" i="24"/>
  <c r="X260" i="24"/>
  <c r="AA260" i="24" s="1"/>
  <c r="AB260" i="24" s="1"/>
  <c r="AC260" i="24" s="1"/>
  <c r="S272" i="25"/>
  <c r="K272" i="25" s="1"/>
  <c r="V272" i="25" s="1"/>
  <c r="R272" i="25"/>
  <c r="Q272" i="25"/>
  <c r="AO272" i="25"/>
  <c r="BZ272" i="25"/>
  <c r="V64" i="24"/>
  <c r="W64" i="24"/>
  <c r="W79" i="24"/>
  <c r="Y79" i="24" s="1"/>
  <c r="V46" i="24"/>
  <c r="W46" i="24"/>
  <c r="R185" i="25"/>
  <c r="S185" i="25"/>
  <c r="K185" i="25" s="1"/>
  <c r="Q185" i="25"/>
  <c r="AO185" i="25"/>
  <c r="BZ185" i="25"/>
  <c r="W281" i="24"/>
  <c r="Y281" i="24" s="1"/>
  <c r="R133" i="25"/>
  <c r="S133" i="25"/>
  <c r="K133" i="25" s="1"/>
  <c r="Q133" i="25"/>
  <c r="BZ133" i="25"/>
  <c r="AO133" i="25"/>
  <c r="U200" i="25"/>
  <c r="AE26" i="24"/>
  <c r="AI26" i="24"/>
  <c r="X26" i="24"/>
  <c r="AA26" i="24" s="1"/>
  <c r="AB26" i="24" s="1"/>
  <c r="AC26" i="24" s="1"/>
  <c r="AE123" i="24"/>
  <c r="AI123" i="24"/>
  <c r="X123" i="24"/>
  <c r="AA123" i="24" s="1"/>
  <c r="AB123" i="24" s="1"/>
  <c r="AC123" i="24" s="1"/>
  <c r="AE77" i="24"/>
  <c r="AI77" i="24"/>
  <c r="X77" i="24"/>
  <c r="AA77" i="24" s="1"/>
  <c r="AB77" i="24" s="1"/>
  <c r="AC77" i="24" s="1"/>
  <c r="W77" i="24"/>
  <c r="Y77" i="24" s="1"/>
  <c r="U242" i="25"/>
  <c r="S225" i="25"/>
  <c r="K225" i="25" s="1"/>
  <c r="V225" i="25" s="1"/>
  <c r="R225" i="25"/>
  <c r="Q225" i="25"/>
  <c r="AO225" i="25"/>
  <c r="BZ225" i="25"/>
  <c r="Q100" i="24"/>
  <c r="R100" i="24" s="1"/>
  <c r="P100" i="24"/>
  <c r="AP100" i="24"/>
  <c r="P266" i="24"/>
  <c r="Q266" i="24"/>
  <c r="AP266" i="24"/>
  <c r="U135" i="25"/>
  <c r="U138" i="25"/>
  <c r="W250" i="24"/>
  <c r="V250" i="24"/>
  <c r="W168" i="24"/>
  <c r="V168" i="24"/>
  <c r="AE87" i="24"/>
  <c r="AI87" i="24"/>
  <c r="X87" i="24"/>
  <c r="AA87" i="24" s="1"/>
  <c r="AB87" i="24" s="1"/>
  <c r="AC87" i="24" s="1"/>
  <c r="U157" i="25"/>
  <c r="AE90" i="24"/>
  <c r="AI90" i="24"/>
  <c r="X90" i="24"/>
  <c r="AA90" i="24" s="1"/>
  <c r="AB90" i="24" s="1"/>
  <c r="AC90" i="24" s="1"/>
  <c r="AE75" i="24"/>
  <c r="AI75" i="24"/>
  <c r="X75" i="24"/>
  <c r="AA75" i="24" s="1"/>
  <c r="AB75" i="24" s="1"/>
  <c r="AC75" i="24" s="1"/>
  <c r="AE8" i="24"/>
  <c r="AI8" i="24"/>
  <c r="X8" i="24"/>
  <c r="AA8" i="24" s="1"/>
  <c r="AB8" i="24" s="1"/>
  <c r="AC8" i="24" s="1"/>
  <c r="AE203" i="24"/>
  <c r="AI203" i="24"/>
  <c r="X203" i="24"/>
  <c r="AA203" i="24" s="1"/>
  <c r="AB203" i="24" s="1"/>
  <c r="AC203" i="24" s="1"/>
  <c r="P80" i="24"/>
  <c r="Q80" i="24"/>
  <c r="R80" i="24" s="1"/>
  <c r="AP80" i="24"/>
  <c r="S300" i="25"/>
  <c r="K300" i="25" s="1"/>
  <c r="R300" i="25"/>
  <c r="Q300" i="25"/>
  <c r="BZ300" i="25"/>
  <c r="AO300" i="25"/>
  <c r="V183" i="24"/>
  <c r="W183" i="24"/>
  <c r="U169" i="25"/>
  <c r="R90" i="25"/>
  <c r="S90" i="25"/>
  <c r="K90" i="25" s="1"/>
  <c r="V90" i="25" s="1"/>
  <c r="Q90" i="25"/>
  <c r="BZ90" i="25"/>
  <c r="AO90" i="25"/>
  <c r="R125" i="25"/>
  <c r="S125" i="25"/>
  <c r="K125" i="25" s="1"/>
  <c r="Q125" i="25"/>
  <c r="BZ125" i="25"/>
  <c r="AO125" i="25"/>
  <c r="U112" i="25"/>
  <c r="V259" i="24"/>
  <c r="W259" i="24"/>
  <c r="R297" i="25"/>
  <c r="S297" i="25"/>
  <c r="K297" i="25" s="1"/>
  <c r="Q297" i="25"/>
  <c r="AO297" i="25"/>
  <c r="BZ297" i="25"/>
  <c r="U76" i="25"/>
  <c r="U22" i="25"/>
  <c r="U103" i="25"/>
  <c r="W96" i="24"/>
  <c r="V96" i="24"/>
  <c r="AE152" i="24"/>
  <c r="AI152" i="24"/>
  <c r="X152" i="24"/>
  <c r="AA152" i="24" s="1"/>
  <c r="AB152" i="24" s="1"/>
  <c r="AC152" i="24" s="1"/>
  <c r="AE143" i="24"/>
  <c r="AI143" i="24"/>
  <c r="X143" i="24"/>
  <c r="AA143" i="24" s="1"/>
  <c r="AB143" i="24" s="1"/>
  <c r="AC143" i="24" s="1"/>
  <c r="U187" i="25"/>
  <c r="AE297" i="24"/>
  <c r="AI297" i="24"/>
  <c r="X297" i="24"/>
  <c r="AA297" i="24" s="1"/>
  <c r="AB297" i="24" s="1"/>
  <c r="AC297" i="24" s="1"/>
  <c r="R75" i="25"/>
  <c r="S75" i="25"/>
  <c r="K75" i="25" s="1"/>
  <c r="Q75" i="25"/>
  <c r="BZ75" i="25"/>
  <c r="AO75" i="25"/>
  <c r="U196" i="25"/>
  <c r="V263" i="24"/>
  <c r="W263" i="24"/>
  <c r="V156" i="24"/>
  <c r="W156" i="24"/>
  <c r="U115" i="25"/>
  <c r="AD305" i="25"/>
  <c r="W305" i="25"/>
  <c r="Z305" i="25" s="1"/>
  <c r="AA305" i="25" s="1"/>
  <c r="AB305" i="25" s="1"/>
  <c r="AI305" i="25" s="1"/>
  <c r="AE169" i="24"/>
  <c r="AI169" i="24"/>
  <c r="X169" i="24"/>
  <c r="AA169" i="24" s="1"/>
  <c r="AB169" i="24" s="1"/>
  <c r="AC169" i="24" s="1"/>
  <c r="Q131" i="24"/>
  <c r="P131" i="24"/>
  <c r="AP131" i="24"/>
  <c r="U118" i="25"/>
  <c r="Q123" i="24"/>
  <c r="P123" i="24"/>
  <c r="AP123" i="24"/>
  <c r="AE253" i="24"/>
  <c r="AI253" i="24"/>
  <c r="X253" i="24"/>
  <c r="AA253" i="24" s="1"/>
  <c r="AB253" i="24" s="1"/>
  <c r="AC253" i="24" s="1"/>
  <c r="S210" i="25"/>
  <c r="K210" i="25" s="1"/>
  <c r="R210" i="25"/>
  <c r="Q210" i="25"/>
  <c r="AO210" i="25"/>
  <c r="BZ210" i="25"/>
  <c r="S84" i="25"/>
  <c r="K84" i="25" s="1"/>
  <c r="V84" i="25" s="1"/>
  <c r="R84" i="25"/>
  <c r="Q84" i="25"/>
  <c r="AO84" i="25"/>
  <c r="BZ84" i="25"/>
  <c r="S180" i="25"/>
  <c r="K180" i="25" s="1"/>
  <c r="R180" i="25"/>
  <c r="Q180" i="25"/>
  <c r="AO180" i="25"/>
  <c r="BZ180" i="25"/>
  <c r="S228" i="25"/>
  <c r="K228" i="25" s="1"/>
  <c r="V228" i="25" s="1"/>
  <c r="R228" i="25"/>
  <c r="Q228" i="25"/>
  <c r="AO228" i="25"/>
  <c r="BZ228" i="25"/>
  <c r="U299" i="25"/>
  <c r="P280" i="24"/>
  <c r="Q280" i="24"/>
  <c r="AP280" i="24"/>
  <c r="V243" i="24"/>
  <c r="W243" i="24"/>
  <c r="AD71" i="25"/>
  <c r="W71" i="25"/>
  <c r="Z71" i="25" s="1"/>
  <c r="AA71" i="25" s="1"/>
  <c r="AB71" i="25" s="1"/>
  <c r="AI71" i="25" s="1"/>
  <c r="AD161" i="25"/>
  <c r="W161" i="25"/>
  <c r="Z161" i="25" s="1"/>
  <c r="AA161" i="25" s="1"/>
  <c r="AB161" i="25" s="1"/>
  <c r="AI161" i="25" s="1"/>
  <c r="S270" i="25"/>
  <c r="K270" i="25" s="1"/>
  <c r="Q270" i="25"/>
  <c r="R270" i="25"/>
  <c r="AO270" i="25"/>
  <c r="BZ270" i="25"/>
  <c r="AG257" i="24"/>
  <c r="AF257" i="24"/>
  <c r="U142" i="25"/>
  <c r="AD190" i="25"/>
  <c r="W190" i="25"/>
  <c r="Z190" i="25" s="1"/>
  <c r="AA190" i="25" s="1"/>
  <c r="AB190" i="25" s="1"/>
  <c r="AI190" i="25" s="1"/>
  <c r="V190" i="25"/>
  <c r="X190" i="25" s="1"/>
  <c r="W89" i="24"/>
  <c r="V89" i="24"/>
  <c r="S26" i="25"/>
  <c r="K26" i="25" s="1"/>
  <c r="V26" i="25" s="1"/>
  <c r="R26" i="25"/>
  <c r="Q26" i="25"/>
  <c r="AO26" i="25"/>
  <c r="BZ26" i="25"/>
  <c r="W66" i="24"/>
  <c r="Y66" i="24" s="1"/>
  <c r="AE62" i="24"/>
  <c r="AI62" i="24"/>
  <c r="X62" i="24"/>
  <c r="AA62" i="24" s="1"/>
  <c r="AB62" i="24" s="1"/>
  <c r="AC62" i="24" s="1"/>
  <c r="Q141" i="24"/>
  <c r="P141" i="24"/>
  <c r="AP141" i="24"/>
  <c r="S74" i="25"/>
  <c r="K74" i="25" s="1"/>
  <c r="V74" i="25" s="1"/>
  <c r="R74" i="25"/>
  <c r="Q74" i="25"/>
  <c r="BZ74" i="25"/>
  <c r="AO74" i="25"/>
  <c r="U304" i="25"/>
  <c r="S193" i="25"/>
  <c r="K193" i="25" s="1"/>
  <c r="R193" i="25"/>
  <c r="Q193" i="25"/>
  <c r="AO193" i="25"/>
  <c r="BZ193" i="25"/>
  <c r="AE245" i="24"/>
  <c r="AI245" i="24"/>
  <c r="X245" i="24"/>
  <c r="AA245" i="24" s="1"/>
  <c r="AB245" i="24" s="1"/>
  <c r="AC245" i="24" s="1"/>
  <c r="AE171" i="24"/>
  <c r="AI171" i="24"/>
  <c r="X171" i="24"/>
  <c r="AA171" i="24" s="1"/>
  <c r="AB171" i="24" s="1"/>
  <c r="AC171" i="24" s="1"/>
  <c r="AE314" i="24"/>
  <c r="AI314" i="24"/>
  <c r="X314" i="24"/>
  <c r="AA314" i="24" s="1"/>
  <c r="AB314" i="24" s="1"/>
  <c r="AC314" i="24" s="1"/>
  <c r="V194" i="24"/>
  <c r="W194" i="24"/>
  <c r="AE48" i="24"/>
  <c r="AI48" i="24"/>
  <c r="X48" i="24"/>
  <c r="AA48" i="24" s="1"/>
  <c r="AB48" i="24" s="1"/>
  <c r="AC48" i="24" s="1"/>
  <c r="U41" i="25"/>
  <c r="V203" i="24"/>
  <c r="W203" i="24"/>
  <c r="S33" i="25"/>
  <c r="K33" i="25" s="1"/>
  <c r="R33" i="25"/>
  <c r="Q33" i="25"/>
  <c r="AO33" i="25"/>
  <c r="BZ33" i="25"/>
  <c r="S99" i="25"/>
  <c r="K99" i="25" s="1"/>
  <c r="V99" i="25" s="1"/>
  <c r="R99" i="25"/>
  <c r="Q99" i="25"/>
  <c r="BZ99" i="25"/>
  <c r="AO99" i="25"/>
  <c r="R208" i="25"/>
  <c r="S208" i="25"/>
  <c r="K208" i="25" s="1"/>
  <c r="V208" i="25" s="1"/>
  <c r="Q208" i="25"/>
  <c r="AO208" i="25"/>
  <c r="BZ208" i="25"/>
  <c r="V143" i="24"/>
  <c r="W143" i="24"/>
  <c r="AD30" i="25"/>
  <c r="W30" i="25"/>
  <c r="Z30" i="25" s="1"/>
  <c r="AA30" i="25" s="1"/>
  <c r="AB30" i="25" s="1"/>
  <c r="AI30" i="25" s="1"/>
  <c r="Q85" i="24"/>
  <c r="R85" i="24" s="1"/>
  <c r="P85" i="24"/>
  <c r="AP85" i="24"/>
  <c r="AE302" i="24"/>
  <c r="AI302" i="24"/>
  <c r="X302" i="24"/>
  <c r="AA302" i="24" s="1"/>
  <c r="AB302" i="24" s="1"/>
  <c r="AC302" i="24" s="1"/>
  <c r="AG119" i="24"/>
  <c r="AF119" i="24"/>
  <c r="R27" i="25"/>
  <c r="S27" i="25"/>
  <c r="K27" i="25" s="1"/>
  <c r="V27" i="25" s="1"/>
  <c r="Q27" i="25"/>
  <c r="AO27" i="25"/>
  <c r="BZ27" i="25"/>
  <c r="AE263" i="24"/>
  <c r="AI263" i="24"/>
  <c r="X263" i="24"/>
  <c r="AA263" i="24" s="1"/>
  <c r="AB263" i="24" s="1"/>
  <c r="AC263" i="24" s="1"/>
  <c r="U47" i="25"/>
  <c r="S274" i="25"/>
  <c r="K274" i="25" s="1"/>
  <c r="R274" i="25"/>
  <c r="Q274" i="25"/>
  <c r="AO274" i="25"/>
  <c r="BZ274" i="25"/>
  <c r="U39" i="25"/>
  <c r="AE13" i="24"/>
  <c r="AI13" i="24"/>
  <c r="X13" i="24"/>
  <c r="AA13" i="24" s="1"/>
  <c r="AB13" i="24" s="1"/>
  <c r="AC13" i="24" s="1"/>
  <c r="AE84" i="24"/>
  <c r="AI84" i="24"/>
  <c r="X84" i="24"/>
  <c r="AA84" i="24" s="1"/>
  <c r="AB84" i="24" s="1"/>
  <c r="AC84" i="24" s="1"/>
  <c r="W84" i="24"/>
  <c r="Y84" i="24" s="1"/>
  <c r="AE285" i="24"/>
  <c r="AI285" i="24"/>
  <c r="W285" i="24"/>
  <c r="Y285" i="24" s="1"/>
  <c r="X285" i="24"/>
  <c r="AA285" i="24" s="1"/>
  <c r="AB285" i="24" s="1"/>
  <c r="AC285" i="24" s="1"/>
  <c r="W13" i="24"/>
  <c r="Y13" i="24" s="1"/>
  <c r="AG294" i="24"/>
  <c r="AF294" i="24"/>
  <c r="U216" i="25"/>
  <c r="R245" i="25"/>
  <c r="S245" i="25"/>
  <c r="K245" i="25" s="1"/>
  <c r="Q245" i="25"/>
  <c r="AO245" i="25"/>
  <c r="BZ245" i="25"/>
  <c r="U81" i="25"/>
  <c r="AE136" i="24"/>
  <c r="AI136" i="24"/>
  <c r="X136" i="24"/>
  <c r="AA136" i="24" s="1"/>
  <c r="AB136" i="24" s="1"/>
  <c r="AC136" i="24" s="1"/>
  <c r="AE156" i="24"/>
  <c r="AI156" i="24"/>
  <c r="X156" i="24"/>
  <c r="AA156" i="24" s="1"/>
  <c r="AB156" i="24" s="1"/>
  <c r="AC156" i="24" s="1"/>
  <c r="AD293" i="25"/>
  <c r="W293" i="25"/>
  <c r="Z293" i="25" s="1"/>
  <c r="AA293" i="25" s="1"/>
  <c r="AB293" i="25" s="1"/>
  <c r="AI293" i="25" s="1"/>
  <c r="V293" i="25"/>
  <c r="X293" i="25" s="1"/>
  <c r="AG236" i="24"/>
  <c r="AF236" i="24"/>
  <c r="AE295" i="24"/>
  <c r="AI295" i="24"/>
  <c r="X295" i="24"/>
  <c r="AA295" i="24" s="1"/>
  <c r="AB295" i="24" s="1"/>
  <c r="AC295" i="24" s="1"/>
  <c r="S221" i="25"/>
  <c r="K221" i="25" s="1"/>
  <c r="V221" i="25" s="1"/>
  <c r="R221" i="25"/>
  <c r="Q221" i="25"/>
  <c r="BZ221" i="25"/>
  <c r="AO221" i="25"/>
  <c r="W122" i="24"/>
  <c r="V122" i="24"/>
  <c r="Q95" i="24"/>
  <c r="R95" i="24" s="1"/>
  <c r="P95" i="24"/>
  <c r="AP95" i="24"/>
  <c r="AG142" i="24"/>
  <c r="AF142" i="24"/>
  <c r="AE94" i="24"/>
  <c r="AI94" i="24"/>
  <c r="X94" i="24"/>
  <c r="AA94" i="24" s="1"/>
  <c r="AB94" i="24" s="1"/>
  <c r="AC94" i="24" s="1"/>
  <c r="AD87" i="25"/>
  <c r="W87" i="25"/>
  <c r="Z87" i="25" s="1"/>
  <c r="AA87" i="25" s="1"/>
  <c r="AB87" i="25" s="1"/>
  <c r="AI87" i="25" s="1"/>
  <c r="AE74" i="24"/>
  <c r="AI74" i="24"/>
  <c r="X74" i="24"/>
  <c r="AA74" i="24" s="1"/>
  <c r="AB74" i="24" s="1"/>
  <c r="AC74" i="24" s="1"/>
  <c r="S68" i="25"/>
  <c r="K68" i="25" s="1"/>
  <c r="R68" i="25"/>
  <c r="Q68" i="25"/>
  <c r="AO68" i="25"/>
  <c r="BZ68" i="25"/>
  <c r="Q262" i="24"/>
  <c r="P262" i="24"/>
  <c r="AP262" i="24"/>
  <c r="AD198" i="25"/>
  <c r="W198" i="25"/>
  <c r="Z198" i="25" s="1"/>
  <c r="AA198" i="25" s="1"/>
  <c r="AB198" i="25" s="1"/>
  <c r="AI198" i="25" s="1"/>
  <c r="AE157" i="24"/>
  <c r="AI157" i="24"/>
  <c r="X157" i="24"/>
  <c r="AA157" i="24" s="1"/>
  <c r="AB157" i="24" s="1"/>
  <c r="AC157" i="24" s="1"/>
  <c r="AE303" i="24"/>
  <c r="AI303" i="24"/>
  <c r="X303" i="24"/>
  <c r="AA303" i="24" s="1"/>
  <c r="AB303" i="24" s="1"/>
  <c r="AC303" i="24" s="1"/>
  <c r="R184" i="25"/>
  <c r="S184" i="25"/>
  <c r="K184" i="25" s="1"/>
  <c r="Q184" i="25"/>
  <c r="BZ184" i="25"/>
  <c r="AO184" i="25"/>
  <c r="V198" i="25"/>
  <c r="X198" i="25" s="1"/>
  <c r="AE293" i="24"/>
  <c r="AI293" i="24"/>
  <c r="X293" i="24"/>
  <c r="AA293" i="24" s="1"/>
  <c r="AB293" i="24" s="1"/>
  <c r="AC293" i="24" s="1"/>
  <c r="W139" i="24"/>
  <c r="V139" i="24"/>
  <c r="U207" i="25"/>
  <c r="AE78" i="24"/>
  <c r="AI78" i="24"/>
  <c r="X78" i="24"/>
  <c r="AA78" i="24" s="1"/>
  <c r="AB78" i="24" s="1"/>
  <c r="AC78" i="24" s="1"/>
  <c r="R285" i="25"/>
  <c r="S285" i="25"/>
  <c r="K285" i="25" s="1"/>
  <c r="Q285" i="25"/>
  <c r="AO285" i="25"/>
  <c r="BZ285" i="25"/>
  <c r="P64" i="24"/>
  <c r="Q64" i="24"/>
  <c r="R64" i="24" s="1"/>
  <c r="AP64" i="24"/>
  <c r="S289" i="25"/>
  <c r="K289" i="25" s="1"/>
  <c r="R289" i="25"/>
  <c r="Q289" i="25"/>
  <c r="AO289" i="25"/>
  <c r="BZ289" i="25"/>
  <c r="P46" i="24"/>
  <c r="Q46" i="24"/>
  <c r="R46" i="24" s="1"/>
  <c r="AP46" i="24"/>
  <c r="AE208" i="24"/>
  <c r="AI208" i="24"/>
  <c r="X208" i="24"/>
  <c r="AA208" i="24" s="1"/>
  <c r="AB208" i="24" s="1"/>
  <c r="AC208" i="24" s="1"/>
  <c r="AE135" i="24"/>
  <c r="AI135" i="24"/>
  <c r="X135" i="24"/>
  <c r="AA135" i="24" s="1"/>
  <c r="AB135" i="24" s="1"/>
  <c r="AC135" i="24" s="1"/>
  <c r="U222" i="25"/>
  <c r="R200" i="25"/>
  <c r="S200" i="25"/>
  <c r="K200" i="25" s="1"/>
  <c r="Q200" i="25"/>
  <c r="BZ200" i="25"/>
  <c r="AO200" i="25"/>
  <c r="W54" i="24"/>
  <c r="V54" i="24"/>
  <c r="AE97" i="24"/>
  <c r="AI97" i="24"/>
  <c r="X97" i="24"/>
  <c r="AA97" i="24" s="1"/>
  <c r="AB97" i="24" s="1"/>
  <c r="AC97" i="24" s="1"/>
  <c r="U116" i="25"/>
  <c r="S242" i="25"/>
  <c r="K242" i="25" s="1"/>
  <c r="V242" i="25" s="1"/>
  <c r="R242" i="25"/>
  <c r="Q242" i="25"/>
  <c r="BZ242" i="25"/>
  <c r="AO242" i="25"/>
  <c r="U188" i="25"/>
  <c r="W35" i="24"/>
  <c r="Y35" i="24" s="1"/>
  <c r="R135" i="25"/>
  <c r="S135" i="25"/>
  <c r="K135" i="25" s="1"/>
  <c r="Q135" i="25"/>
  <c r="BZ135" i="25"/>
  <c r="AO135" i="25"/>
  <c r="R138" i="25"/>
  <c r="S138" i="25"/>
  <c r="K138" i="25" s="1"/>
  <c r="V138" i="25" s="1"/>
  <c r="Q138" i="25"/>
  <c r="BZ138" i="25"/>
  <c r="AO138" i="25"/>
  <c r="V220" i="24"/>
  <c r="W220" i="24"/>
  <c r="R42" i="25"/>
  <c r="S42" i="25"/>
  <c r="K42" i="25" s="1"/>
  <c r="Q42" i="25"/>
  <c r="AO42" i="25"/>
  <c r="BZ42" i="25"/>
  <c r="AD240" i="25"/>
  <c r="W240" i="25"/>
  <c r="Z240" i="25" s="1"/>
  <c r="AA240" i="25" s="1"/>
  <c r="AB240" i="25" s="1"/>
  <c r="AI240" i="25" s="1"/>
  <c r="U44" i="25"/>
  <c r="AD314" i="25"/>
  <c r="W314" i="25"/>
  <c r="Z314" i="25" s="1"/>
  <c r="AA314" i="25" s="1"/>
  <c r="AB314" i="25" s="1"/>
  <c r="AI314" i="25" s="1"/>
  <c r="W221" i="24"/>
  <c r="V221" i="24"/>
  <c r="AE137" i="24"/>
  <c r="AI137" i="24"/>
  <c r="X137" i="24"/>
  <c r="AA137" i="24" s="1"/>
  <c r="AB137" i="24" s="1"/>
  <c r="AC137" i="24" s="1"/>
  <c r="S45" i="25"/>
  <c r="K45" i="25" s="1"/>
  <c r="R45" i="25"/>
  <c r="Q45" i="25"/>
  <c r="AO45" i="25"/>
  <c r="BZ45" i="25"/>
  <c r="P183" i="24"/>
  <c r="Q183" i="24"/>
  <c r="AP183" i="24"/>
  <c r="W26" i="24"/>
  <c r="V26" i="24"/>
  <c r="AE59" i="24"/>
  <c r="AI59" i="24"/>
  <c r="X59" i="24"/>
  <c r="AA59" i="24" s="1"/>
  <c r="AB59" i="24" s="1"/>
  <c r="AC59" i="24" s="1"/>
  <c r="W196" i="24"/>
  <c r="V196" i="24"/>
  <c r="AE27" i="24"/>
  <c r="AI27" i="24"/>
  <c r="X27" i="24"/>
  <c r="AA27" i="24" s="1"/>
  <c r="AB27" i="24" s="1"/>
  <c r="AC27" i="24" s="1"/>
  <c r="W158" i="24"/>
  <c r="V158" i="24"/>
  <c r="Q259" i="24"/>
  <c r="P259" i="24"/>
  <c r="AP259" i="24"/>
  <c r="S76" i="25"/>
  <c r="K76" i="25" s="1"/>
  <c r="R76" i="25"/>
  <c r="Q76" i="25"/>
  <c r="BZ76" i="25"/>
  <c r="AO76" i="25"/>
  <c r="AE228" i="24"/>
  <c r="AI228" i="24"/>
  <c r="X228" i="24"/>
  <c r="AA228" i="24" s="1"/>
  <c r="AB228" i="24" s="1"/>
  <c r="AC228" i="24" s="1"/>
  <c r="S22" i="25"/>
  <c r="K22" i="25" s="1"/>
  <c r="V22" i="25" s="1"/>
  <c r="R22" i="25"/>
  <c r="Q22" i="25"/>
  <c r="BZ22" i="25"/>
  <c r="AO22" i="25"/>
  <c r="U40" i="25"/>
  <c r="AD192" i="25"/>
  <c r="V192" i="25"/>
  <c r="X192" i="25" s="1"/>
  <c r="W192" i="25"/>
  <c r="Z192" i="25" s="1"/>
  <c r="AA192" i="25" s="1"/>
  <c r="AB192" i="25" s="1"/>
  <c r="AI192" i="25" s="1"/>
  <c r="AD13" i="25"/>
  <c r="V13" i="25"/>
  <c r="X13" i="25" s="1"/>
  <c r="W13" i="25"/>
  <c r="Z13" i="25" s="1"/>
  <c r="AA13" i="25" s="1"/>
  <c r="AB13" i="25" s="1"/>
  <c r="AI13" i="25" s="1"/>
  <c r="AD199" i="25"/>
  <c r="W199" i="25"/>
  <c r="Z199" i="25" s="1"/>
  <c r="AA199" i="25" s="1"/>
  <c r="AB199" i="25" s="1"/>
  <c r="AI199" i="25" s="1"/>
  <c r="AE275" i="24"/>
  <c r="AI275" i="24"/>
  <c r="X275" i="24"/>
  <c r="AA275" i="24" s="1"/>
  <c r="AB275" i="24" s="1"/>
  <c r="AC275" i="24" s="1"/>
  <c r="V103" i="24"/>
  <c r="W103" i="24"/>
  <c r="R196" i="25"/>
  <c r="S196" i="25"/>
  <c r="K196" i="25" s="1"/>
  <c r="V196" i="25" s="1"/>
  <c r="Q196" i="25"/>
  <c r="BZ196" i="25"/>
  <c r="AO196" i="25"/>
  <c r="AE71" i="24"/>
  <c r="AI71" i="24"/>
  <c r="X71" i="24"/>
  <c r="AA71" i="24" s="1"/>
  <c r="AB71" i="24" s="1"/>
  <c r="AC71" i="24" s="1"/>
  <c r="P263" i="24"/>
  <c r="Q263" i="24"/>
  <c r="AP263" i="24"/>
  <c r="R115" i="25"/>
  <c r="S115" i="25"/>
  <c r="K115" i="25" s="1"/>
  <c r="Q115" i="25"/>
  <c r="AO115" i="25"/>
  <c r="BZ115" i="25"/>
  <c r="AE194" i="24"/>
  <c r="AI194" i="24"/>
  <c r="X194" i="24"/>
  <c r="AA194" i="24" s="1"/>
  <c r="AB194" i="24" s="1"/>
  <c r="AC194" i="24" s="1"/>
  <c r="V255" i="24"/>
  <c r="W255" i="24"/>
  <c r="V93" i="24"/>
  <c r="W93" i="24"/>
  <c r="S20" i="25"/>
  <c r="K20" i="25" s="1"/>
  <c r="R20" i="25"/>
  <c r="Q20" i="25"/>
  <c r="AO20" i="25"/>
  <c r="BZ20" i="25"/>
  <c r="U298" i="25"/>
  <c r="R299" i="25"/>
  <c r="S299" i="25"/>
  <c r="K299" i="25" s="1"/>
  <c r="Q299" i="25"/>
  <c r="AO299" i="25"/>
  <c r="BZ299" i="25"/>
  <c r="AG44" i="24"/>
  <c r="AF44" i="24"/>
  <c r="AD82" i="25"/>
  <c r="W82" i="25"/>
  <c r="Z82" i="25" s="1"/>
  <c r="AA82" i="25" s="1"/>
  <c r="AB82" i="25" s="1"/>
  <c r="AI82" i="25" s="1"/>
  <c r="V34" i="24"/>
  <c r="W34" i="24"/>
  <c r="AE12" i="24"/>
  <c r="AI12" i="24"/>
  <c r="X12" i="24"/>
  <c r="AA12" i="24" s="1"/>
  <c r="AB12" i="24" s="1"/>
  <c r="AC12" i="24" s="1"/>
  <c r="R51" i="25"/>
  <c r="S51" i="25"/>
  <c r="K51" i="25" s="1"/>
  <c r="Q51" i="25"/>
  <c r="AO51" i="25"/>
  <c r="BZ51" i="25"/>
  <c r="U18" i="25"/>
  <c r="S124" i="25"/>
  <c r="K124" i="25" s="1"/>
  <c r="R124" i="25"/>
  <c r="Q124" i="25"/>
  <c r="BZ124" i="25"/>
  <c r="AO124" i="25"/>
  <c r="U66" i="25"/>
  <c r="R142" i="25"/>
  <c r="S142" i="25"/>
  <c r="K142" i="25" s="1"/>
  <c r="Q142" i="25"/>
  <c r="AO142" i="25"/>
  <c r="BZ142" i="25"/>
  <c r="S236" i="25"/>
  <c r="K236" i="25" s="1"/>
  <c r="R236" i="25"/>
  <c r="Q236" i="25"/>
  <c r="AO236" i="25"/>
  <c r="BZ236" i="25"/>
  <c r="AE242" i="24"/>
  <c r="AI242" i="24"/>
  <c r="X242" i="24"/>
  <c r="AA242" i="24" s="1"/>
  <c r="AB242" i="24" s="1"/>
  <c r="AC242" i="24" s="1"/>
  <c r="P89" i="24"/>
  <c r="Q89" i="24"/>
  <c r="R89" i="24" s="1"/>
  <c r="AP89" i="24"/>
  <c r="W150" i="24"/>
  <c r="Y150" i="24" s="1"/>
  <c r="R150" i="25"/>
  <c r="S150" i="25"/>
  <c r="K150" i="25" s="1"/>
  <c r="Q150" i="25"/>
  <c r="AO150" i="25"/>
  <c r="BZ150" i="25"/>
  <c r="R304" i="25"/>
  <c r="S304" i="25"/>
  <c r="K304" i="25" s="1"/>
  <c r="Q304" i="25"/>
  <c r="AO304" i="25"/>
  <c r="BZ304" i="25"/>
  <c r="S162" i="25"/>
  <c r="K162" i="25" s="1"/>
  <c r="R162" i="25"/>
  <c r="Q162" i="25"/>
  <c r="AO162" i="25"/>
  <c r="BZ162" i="25"/>
  <c r="AD267" i="25"/>
  <c r="W267" i="25"/>
  <c r="Z267" i="25" s="1"/>
  <c r="AA267" i="25" s="1"/>
  <c r="AB267" i="25" s="1"/>
  <c r="AI267" i="25" s="1"/>
  <c r="AD246" i="25"/>
  <c r="W246" i="25"/>
  <c r="Z246" i="25" s="1"/>
  <c r="AA246" i="25" s="1"/>
  <c r="AB246" i="25" s="1"/>
  <c r="AI246" i="25" s="1"/>
  <c r="W102" i="24"/>
  <c r="V102" i="24"/>
  <c r="W117" i="24"/>
  <c r="V117" i="24"/>
  <c r="W293" i="24"/>
  <c r="V293" i="24"/>
  <c r="U56" i="25"/>
  <c r="V187" i="24"/>
  <c r="W187" i="24"/>
  <c r="V301" i="24"/>
  <c r="W301" i="24"/>
  <c r="U251" i="25"/>
  <c r="P194" i="24"/>
  <c r="Q194" i="24"/>
  <c r="AP194" i="24"/>
  <c r="S41" i="25"/>
  <c r="K41" i="25" s="1"/>
  <c r="V41" i="25" s="1"/>
  <c r="R41" i="25"/>
  <c r="Q41" i="25"/>
  <c r="AO41" i="25"/>
  <c r="BZ41" i="25"/>
  <c r="P203" i="24"/>
  <c r="Q203" i="24"/>
  <c r="AP203" i="24"/>
  <c r="U281" i="25"/>
  <c r="AE312" i="24"/>
  <c r="AI312" i="24"/>
  <c r="X312" i="24"/>
  <c r="AA312" i="24" s="1"/>
  <c r="AB312" i="24" s="1"/>
  <c r="AC312" i="24" s="1"/>
  <c r="U249" i="25"/>
  <c r="AE310" i="24"/>
  <c r="AI310" i="24"/>
  <c r="X310" i="24"/>
  <c r="AA310" i="24" s="1"/>
  <c r="AB310" i="24" s="1"/>
  <c r="AC310" i="24" s="1"/>
  <c r="S134" i="25"/>
  <c r="K134" i="25" s="1"/>
  <c r="R134" i="25"/>
  <c r="Q134" i="25"/>
  <c r="BZ134" i="25"/>
  <c r="AO134" i="25"/>
  <c r="AD147" i="25"/>
  <c r="W147" i="25"/>
  <c r="Z147" i="25" s="1"/>
  <c r="AA147" i="25" s="1"/>
  <c r="AB147" i="25" s="1"/>
  <c r="AI147" i="25" s="1"/>
  <c r="AE37" i="24"/>
  <c r="AI37" i="24"/>
  <c r="X37" i="24"/>
  <c r="AA37" i="24" s="1"/>
  <c r="AB37" i="24" s="1"/>
  <c r="AC37" i="24" s="1"/>
  <c r="V71" i="25"/>
  <c r="X71" i="25" s="1"/>
  <c r="V167" i="25"/>
  <c r="X167" i="25" s="1"/>
  <c r="V304" i="24"/>
  <c r="W304" i="24"/>
  <c r="AE272" i="24"/>
  <c r="AI272" i="24"/>
  <c r="X272" i="24"/>
  <c r="AA272" i="24" s="1"/>
  <c r="AB272" i="24" s="1"/>
  <c r="AC272" i="24" s="1"/>
  <c r="R39" i="25"/>
  <c r="S39" i="25"/>
  <c r="K39" i="25" s="1"/>
  <c r="Q39" i="25"/>
  <c r="AO39" i="25"/>
  <c r="BZ39" i="25"/>
  <c r="AG233" i="24"/>
  <c r="AF233" i="24"/>
  <c r="AJ132" i="24"/>
  <c r="S205" i="25"/>
  <c r="K205" i="25" s="1"/>
  <c r="V205" i="25" s="1"/>
  <c r="R205" i="25"/>
  <c r="Q205" i="25"/>
  <c r="AO205" i="25"/>
  <c r="BZ205" i="25"/>
  <c r="U25" i="25"/>
  <c r="AE95" i="24"/>
  <c r="AI95" i="24"/>
  <c r="X95" i="24"/>
  <c r="AA95" i="24" s="1"/>
  <c r="AB95" i="24" s="1"/>
  <c r="AC95" i="24" s="1"/>
  <c r="R102" i="25"/>
  <c r="S102" i="25"/>
  <c r="K102" i="25" s="1"/>
  <c r="Q102" i="25"/>
  <c r="AO102" i="25"/>
  <c r="BZ102" i="25"/>
  <c r="AE226" i="24"/>
  <c r="AI226" i="24"/>
  <c r="X226" i="24"/>
  <c r="AA226" i="24" s="1"/>
  <c r="AB226" i="24" s="1"/>
  <c r="AC226" i="24" s="1"/>
  <c r="S216" i="25"/>
  <c r="K216" i="25" s="1"/>
  <c r="R216" i="25"/>
  <c r="AO216" i="25"/>
  <c r="Q216" i="25"/>
  <c r="BZ216" i="25"/>
  <c r="S181" i="25"/>
  <c r="K181" i="25" s="1"/>
  <c r="R181" i="25"/>
  <c r="Q181" i="25"/>
  <c r="BZ181" i="25"/>
  <c r="AO181" i="25"/>
  <c r="W90" i="24"/>
  <c r="Y90" i="24" s="1"/>
  <c r="S81" i="25"/>
  <c r="K81" i="25" s="1"/>
  <c r="R81" i="25"/>
  <c r="Q81" i="25"/>
  <c r="AO81" i="25"/>
  <c r="BZ81" i="25"/>
  <c r="AE138" i="24"/>
  <c r="AI138" i="24"/>
  <c r="X138" i="24"/>
  <c r="AA138" i="24" s="1"/>
  <c r="AB138" i="24" s="1"/>
  <c r="AC138" i="24" s="1"/>
  <c r="AE201" i="24"/>
  <c r="AI201" i="24"/>
  <c r="X201" i="24"/>
  <c r="AA201" i="24" s="1"/>
  <c r="AB201" i="24" s="1"/>
  <c r="AC201" i="24" s="1"/>
  <c r="S157" i="25"/>
  <c r="K157" i="25" s="1"/>
  <c r="R157" i="25"/>
  <c r="Q157" i="25"/>
  <c r="BZ157" i="25"/>
  <c r="AO157" i="25"/>
  <c r="AE53" i="24"/>
  <c r="AI53" i="24"/>
  <c r="X53" i="24"/>
  <c r="AA53" i="24" s="1"/>
  <c r="AB53" i="24" s="1"/>
  <c r="AC53" i="24" s="1"/>
  <c r="AE176" i="24"/>
  <c r="AI176" i="24"/>
  <c r="X176" i="24"/>
  <c r="AA176" i="24" s="1"/>
  <c r="AB176" i="24" s="1"/>
  <c r="AC176" i="24" s="1"/>
  <c r="S145" i="25"/>
  <c r="K145" i="25" s="1"/>
  <c r="R145" i="25"/>
  <c r="Q145" i="25"/>
  <c r="AO145" i="25"/>
  <c r="BZ145" i="25"/>
  <c r="AE112" i="24"/>
  <c r="AI112" i="24"/>
  <c r="X112" i="24"/>
  <c r="AA112" i="24" s="1"/>
  <c r="AB112" i="24" s="1"/>
  <c r="AC112" i="24" s="1"/>
  <c r="AJ264" i="24"/>
  <c r="V146" i="24"/>
  <c r="W146" i="24"/>
  <c r="AE16" i="24"/>
  <c r="AI16" i="24"/>
  <c r="X16" i="24"/>
  <c r="AA16" i="24" s="1"/>
  <c r="AB16" i="24" s="1"/>
  <c r="AC16" i="24" s="1"/>
  <c r="W71" i="24"/>
  <c r="V71" i="24"/>
  <c r="V153" i="24"/>
  <c r="W153" i="24"/>
  <c r="V242" i="24"/>
  <c r="W242" i="24"/>
  <c r="Q122" i="24"/>
  <c r="P122" i="24"/>
  <c r="AP122" i="24"/>
  <c r="R269" i="25"/>
  <c r="S269" i="25"/>
  <c r="K269" i="25" s="1"/>
  <c r="Q269" i="25"/>
  <c r="AO269" i="25"/>
  <c r="BZ269" i="25"/>
  <c r="AE63" i="24"/>
  <c r="AI63" i="24"/>
  <c r="X63" i="24"/>
  <c r="AA63" i="24" s="1"/>
  <c r="AB63" i="24" s="1"/>
  <c r="AC63" i="24" s="1"/>
  <c r="U295" i="25"/>
  <c r="AD89" i="25"/>
  <c r="W89" i="25"/>
  <c r="Z89" i="25" s="1"/>
  <c r="AA89" i="25" s="1"/>
  <c r="AB89" i="25" s="1"/>
  <c r="AI89" i="25" s="1"/>
  <c r="S111" i="25"/>
  <c r="K111" i="25" s="1"/>
  <c r="R111" i="25"/>
  <c r="Q111" i="25"/>
  <c r="AO111" i="25"/>
  <c r="BZ111" i="25"/>
  <c r="U220" i="25"/>
  <c r="AE89" i="24"/>
  <c r="AI89" i="24"/>
  <c r="X89" i="24"/>
  <c r="AA89" i="24" s="1"/>
  <c r="AB89" i="24" s="1"/>
  <c r="AC89" i="24" s="1"/>
  <c r="AE198" i="24"/>
  <c r="AI198" i="24"/>
  <c r="X198" i="24"/>
  <c r="AA198" i="24" s="1"/>
  <c r="AB198" i="24" s="1"/>
  <c r="AC198" i="24" s="1"/>
  <c r="U260" i="25"/>
  <c r="AE223" i="24"/>
  <c r="AI223" i="24"/>
  <c r="X223" i="24"/>
  <c r="AA223" i="24" s="1"/>
  <c r="AB223" i="24" s="1"/>
  <c r="AC223" i="24" s="1"/>
  <c r="W127" i="24"/>
  <c r="Y127" i="24" s="1"/>
  <c r="AG45" i="24"/>
  <c r="AF45" i="24"/>
  <c r="P139" i="24"/>
  <c r="Q139" i="24"/>
  <c r="AP139" i="24"/>
  <c r="V63" i="24"/>
  <c r="W63" i="24"/>
  <c r="V240" i="24"/>
  <c r="W240" i="24"/>
  <c r="U78" i="25"/>
  <c r="W27" i="24"/>
  <c r="Y27" i="24" s="1"/>
  <c r="R121" i="25"/>
  <c r="S121" i="25"/>
  <c r="K121" i="25" s="1"/>
  <c r="Q121" i="25"/>
  <c r="BZ121" i="25"/>
  <c r="AO121" i="25"/>
  <c r="S168" i="25"/>
  <c r="K168" i="25" s="1"/>
  <c r="R168" i="25"/>
  <c r="Q168" i="25"/>
  <c r="AO168" i="25"/>
  <c r="BZ168" i="25"/>
  <c r="AE186" i="24"/>
  <c r="AI186" i="24"/>
  <c r="X186" i="24"/>
  <c r="AA186" i="24" s="1"/>
  <c r="AB186" i="24" s="1"/>
  <c r="AC186" i="24" s="1"/>
  <c r="U239" i="25"/>
  <c r="AE85" i="24"/>
  <c r="AI85" i="24"/>
  <c r="X85" i="24"/>
  <c r="AA85" i="24" s="1"/>
  <c r="AB85" i="24" s="1"/>
  <c r="AC85" i="24" s="1"/>
  <c r="W15" i="24"/>
  <c r="Y15" i="24" s="1"/>
  <c r="R222" i="25"/>
  <c r="S222" i="25"/>
  <c r="K222" i="25" s="1"/>
  <c r="Q222" i="25"/>
  <c r="AO222" i="25"/>
  <c r="BZ222" i="25"/>
  <c r="AE177" i="24"/>
  <c r="AI177" i="24"/>
  <c r="X177" i="24"/>
  <c r="AA177" i="24" s="1"/>
  <c r="AB177" i="24" s="1"/>
  <c r="AC177" i="24" s="1"/>
  <c r="P54" i="24"/>
  <c r="Q54" i="24"/>
  <c r="R54" i="24" s="1"/>
  <c r="AP54" i="24"/>
  <c r="AD262" i="25"/>
  <c r="W262" i="25"/>
  <c r="Z262" i="25" s="1"/>
  <c r="AA262" i="25" s="1"/>
  <c r="AB262" i="25" s="1"/>
  <c r="AI262" i="25" s="1"/>
  <c r="AE124" i="24"/>
  <c r="AI124" i="24"/>
  <c r="X124" i="24"/>
  <c r="AA124" i="24" s="1"/>
  <c r="AB124" i="24" s="1"/>
  <c r="AC124" i="24" s="1"/>
  <c r="S116" i="25"/>
  <c r="K116" i="25" s="1"/>
  <c r="V116" i="25" s="1"/>
  <c r="R116" i="25"/>
  <c r="Q116" i="25"/>
  <c r="AO116" i="25"/>
  <c r="BZ116" i="25"/>
  <c r="S253" i="25"/>
  <c r="K253" i="25" s="1"/>
  <c r="R253" i="25"/>
  <c r="Q253" i="25"/>
  <c r="BZ253" i="25"/>
  <c r="AO253" i="25"/>
  <c r="V246" i="25"/>
  <c r="X246" i="25" s="1"/>
  <c r="AE96" i="24"/>
  <c r="AI96" i="24"/>
  <c r="X96" i="24"/>
  <c r="AA96" i="24" s="1"/>
  <c r="AB96" i="24" s="1"/>
  <c r="AC96" i="24" s="1"/>
  <c r="R188" i="25"/>
  <c r="S188" i="25"/>
  <c r="K188" i="25" s="1"/>
  <c r="V188" i="25" s="1"/>
  <c r="Q188" i="25"/>
  <c r="AO188" i="25"/>
  <c r="BZ188" i="25"/>
  <c r="AE204" i="24"/>
  <c r="AI204" i="24"/>
  <c r="X204" i="24"/>
  <c r="AA204" i="24" s="1"/>
  <c r="AB204" i="24" s="1"/>
  <c r="AC204" i="24" s="1"/>
  <c r="Q220" i="24"/>
  <c r="P220" i="24"/>
  <c r="AP220" i="24"/>
  <c r="AD280" i="25" l="1"/>
  <c r="AE280" i="25" s="1"/>
  <c r="X187" i="25"/>
  <c r="X63" i="25"/>
  <c r="W280" i="25"/>
  <c r="Z280" i="25" s="1"/>
  <c r="AA280" i="25" s="1"/>
  <c r="AB280" i="25" s="1"/>
  <c r="AI280" i="25" s="1"/>
  <c r="AS280" i="25" s="1"/>
  <c r="X281" i="25"/>
  <c r="X251" i="25"/>
  <c r="Y124" i="24"/>
  <c r="Y221" i="24"/>
  <c r="Y243" i="24"/>
  <c r="Y141" i="24"/>
  <c r="Y291" i="24"/>
  <c r="Y177" i="24"/>
  <c r="X260" i="25"/>
  <c r="X105" i="25"/>
  <c r="W11" i="25"/>
  <c r="Z11" i="25" s="1"/>
  <c r="AA11" i="25" s="1"/>
  <c r="AB11" i="25" s="1"/>
  <c r="AI11" i="25" s="1"/>
  <c r="AS11" i="25" s="1"/>
  <c r="X78" i="25"/>
  <c r="X53" i="25"/>
  <c r="X18" i="25"/>
  <c r="X118" i="25"/>
  <c r="X249" i="25"/>
  <c r="X112" i="25"/>
  <c r="Y185" i="24"/>
  <c r="Y184" i="24"/>
  <c r="Y161" i="24"/>
  <c r="Y153" i="24"/>
  <c r="Y197" i="24"/>
  <c r="Y136" i="24"/>
  <c r="X234" i="25"/>
  <c r="Y280" i="24"/>
  <c r="Y156" i="24"/>
  <c r="Y297" i="24"/>
  <c r="X25" i="25"/>
  <c r="Y293" i="24"/>
  <c r="X183" i="25"/>
  <c r="Y174" i="24"/>
  <c r="Y282" i="24"/>
  <c r="Y179" i="24"/>
  <c r="Y288" i="24"/>
  <c r="Y145" i="24"/>
  <c r="Y154" i="24"/>
  <c r="Y245" i="24"/>
  <c r="Y256" i="24"/>
  <c r="X220" i="25"/>
  <c r="X169" i="25"/>
  <c r="X40" i="25"/>
  <c r="Y159" i="24"/>
  <c r="Y315" i="24"/>
  <c r="Y235" i="24"/>
  <c r="Y209" i="24"/>
  <c r="Y309" i="24"/>
  <c r="Y204" i="24"/>
  <c r="Y126" i="24"/>
  <c r="Y123" i="24"/>
  <c r="Y308" i="24"/>
  <c r="Y111" i="24"/>
  <c r="Y228" i="24"/>
  <c r="Y203" i="24"/>
  <c r="Y259" i="24"/>
  <c r="Y301" i="24"/>
  <c r="Y299" i="24"/>
  <c r="Y255" i="24"/>
  <c r="Y263" i="24"/>
  <c r="Y36" i="24"/>
  <c r="Y261" i="24"/>
  <c r="Y149" i="24"/>
  <c r="X239" i="25"/>
  <c r="X103" i="25"/>
  <c r="X44" i="25"/>
  <c r="X56" i="25"/>
  <c r="X298" i="25"/>
  <c r="X295" i="25"/>
  <c r="Y187" i="24"/>
  <c r="Y194" i="24"/>
  <c r="Y222" i="24"/>
  <c r="X55" i="25"/>
  <c r="Y151" i="24"/>
  <c r="Y144" i="24"/>
  <c r="Y295" i="24"/>
  <c r="Y158" i="24"/>
  <c r="Y143" i="24"/>
  <c r="Y183" i="24"/>
  <c r="Y266" i="24"/>
  <c r="Y135" i="24"/>
  <c r="X38" i="25"/>
  <c r="Y247" i="24"/>
  <c r="Y115" i="24"/>
  <c r="Y275" i="24"/>
  <c r="Y164" i="24"/>
  <c r="Y316" i="24"/>
  <c r="Y206" i="24"/>
  <c r="Y168" i="24"/>
  <c r="Y131" i="24"/>
  <c r="Y277" i="24"/>
  <c r="Y242" i="24"/>
  <c r="Y300" i="24"/>
  <c r="Y171" i="24"/>
  <c r="Y170" i="24"/>
  <c r="Y244" i="24"/>
  <c r="Y146" i="24"/>
  <c r="Y304" i="24"/>
  <c r="Y117" i="24"/>
  <c r="X66" i="25"/>
  <c r="X207" i="25"/>
  <c r="Y250" i="24"/>
  <c r="Y262" i="24"/>
  <c r="Y241" i="24"/>
  <c r="Y148" i="24"/>
  <c r="Y260" i="24"/>
  <c r="Y192" i="24"/>
  <c r="Y114" i="24"/>
  <c r="Y195" i="24"/>
  <c r="Y220" i="24"/>
  <c r="Y139" i="24"/>
  <c r="Y122" i="24"/>
  <c r="X47" i="25"/>
  <c r="Y229" i="24"/>
  <c r="Y283" i="24"/>
  <c r="Y138" i="24"/>
  <c r="Y113" i="24"/>
  <c r="Y140" i="24"/>
  <c r="Y298" i="24"/>
  <c r="Y240" i="24"/>
  <c r="Y196" i="24"/>
  <c r="Y112" i="24"/>
  <c r="Y186" i="24"/>
  <c r="Y239" i="24"/>
  <c r="Y210" i="24"/>
  <c r="Y232" i="24"/>
  <c r="Y176" i="24"/>
  <c r="Y249" i="24"/>
  <c r="X272" i="25"/>
  <c r="X140" i="25"/>
  <c r="X10" i="25"/>
  <c r="X266" i="25"/>
  <c r="X223" i="25"/>
  <c r="X138" i="25"/>
  <c r="X90" i="25"/>
  <c r="X307" i="25"/>
  <c r="X209" i="25"/>
  <c r="X101" i="25"/>
  <c r="X116" i="25"/>
  <c r="X74" i="25"/>
  <c r="X26" i="25"/>
  <c r="X225" i="25"/>
  <c r="X203" i="25"/>
  <c r="X123" i="25"/>
  <c r="X139" i="25"/>
  <c r="X99" i="25"/>
  <c r="X288" i="25"/>
  <c r="X196" i="25"/>
  <c r="X205" i="25"/>
  <c r="X217" i="25"/>
  <c r="X73" i="25"/>
  <c r="X165" i="25"/>
  <c r="X160" i="25"/>
  <c r="X175" i="25"/>
  <c r="X231" i="25"/>
  <c r="X122" i="25"/>
  <c r="X188" i="25"/>
  <c r="X84" i="25"/>
  <c r="X202" i="25"/>
  <c r="X171" i="25"/>
  <c r="X194" i="25"/>
  <c r="X197" i="25"/>
  <c r="X221" i="25"/>
  <c r="X27" i="25"/>
  <c r="X228" i="25"/>
  <c r="X41" i="25"/>
  <c r="X22" i="25"/>
  <c r="X242" i="25"/>
  <c r="X208" i="25"/>
  <c r="X218" i="25"/>
  <c r="X79" i="25"/>
  <c r="X302" i="25"/>
  <c r="X303" i="25"/>
  <c r="X159" i="25"/>
  <c r="X287" i="25"/>
  <c r="Y78" i="24"/>
  <c r="Y33" i="24"/>
  <c r="Y102" i="24"/>
  <c r="Y26" i="24"/>
  <c r="Y89" i="24"/>
  <c r="Y93" i="24"/>
  <c r="Y65" i="24"/>
  <c r="Y28" i="24"/>
  <c r="Y31" i="24"/>
  <c r="Y69" i="24"/>
  <c r="Y34" i="24"/>
  <c r="Y95" i="24"/>
  <c r="Y9" i="24"/>
  <c r="Y58" i="24"/>
  <c r="Y64" i="24"/>
  <c r="Y54" i="24"/>
  <c r="Y38" i="24"/>
  <c r="Y29" i="24"/>
  <c r="Y104" i="24"/>
  <c r="Y94" i="24"/>
  <c r="Y63" i="24"/>
  <c r="Y73" i="24"/>
  <c r="Y51" i="24"/>
  <c r="Y71" i="24"/>
  <c r="Y80" i="24"/>
  <c r="Y23" i="24"/>
  <c r="Y17" i="24"/>
  <c r="Y100" i="24"/>
  <c r="Y96" i="24"/>
  <c r="Y103" i="24"/>
  <c r="Y39" i="24"/>
  <c r="Y46" i="24"/>
  <c r="Y85" i="24"/>
  <c r="Y57" i="24"/>
  <c r="Y42" i="24"/>
  <c r="Y75" i="24"/>
  <c r="Y59" i="24"/>
  <c r="Y92" i="24"/>
  <c r="Y98" i="24"/>
  <c r="Y8" i="24"/>
  <c r="Y37" i="24"/>
  <c r="AD11" i="25"/>
  <c r="AE11" i="25" s="1"/>
  <c r="V155" i="25"/>
  <c r="X155" i="25" s="1"/>
  <c r="AJ194" i="24"/>
  <c r="AT194" i="24" s="1"/>
  <c r="AJ208" i="24"/>
  <c r="AT208" i="24" s="1"/>
  <c r="AJ205" i="24"/>
  <c r="AT205" i="24" s="1"/>
  <c r="AJ186" i="24"/>
  <c r="AT186" i="24" s="1"/>
  <c r="AJ192" i="24"/>
  <c r="AT192" i="24" s="1"/>
  <c r="AJ209" i="24"/>
  <c r="AT209" i="24" s="1"/>
  <c r="AJ201" i="24"/>
  <c r="AT201" i="24" s="1"/>
  <c r="AJ195" i="24"/>
  <c r="AT195" i="24" s="1"/>
  <c r="AJ189" i="24"/>
  <c r="AT189" i="24" s="1"/>
  <c r="AJ207" i="24"/>
  <c r="AT207" i="24" s="1"/>
  <c r="AJ202" i="24"/>
  <c r="AT202" i="24" s="1"/>
  <c r="AJ199" i="24"/>
  <c r="AT199" i="24" s="1"/>
  <c r="AD155" i="25"/>
  <c r="AF155" i="25" s="1"/>
  <c r="AV45" i="24"/>
  <c r="AV41" i="24"/>
  <c r="AT21" i="24"/>
  <c r="BA21" i="24" s="1"/>
  <c r="AV101" i="24"/>
  <c r="AV55" i="24"/>
  <c r="AT44" i="24"/>
  <c r="BA44" i="24" s="1"/>
  <c r="AV7" i="24"/>
  <c r="AJ204" i="24"/>
  <c r="AT204" i="24" s="1"/>
  <c r="AJ198" i="24"/>
  <c r="AT198" i="24" s="1"/>
  <c r="AJ203" i="24"/>
  <c r="AT203" i="24" s="1"/>
  <c r="AJ196" i="24"/>
  <c r="AT196" i="24" s="1"/>
  <c r="AJ206" i="24"/>
  <c r="AT206" i="24" s="1"/>
  <c r="AJ200" i="24"/>
  <c r="AT200" i="24" s="1"/>
  <c r="AJ185" i="24"/>
  <c r="AT185" i="24" s="1"/>
  <c r="AJ197" i="24"/>
  <c r="AT197" i="24" s="1"/>
  <c r="AJ188" i="24"/>
  <c r="AT188" i="24" s="1"/>
  <c r="AJ210" i="24"/>
  <c r="AT210" i="24" s="1"/>
  <c r="AJ187" i="24"/>
  <c r="AT187" i="24" s="1"/>
  <c r="AJ193" i="24"/>
  <c r="AT193" i="24" s="1"/>
  <c r="AJ184" i="24"/>
  <c r="AT184" i="24" s="1"/>
  <c r="V96" i="25"/>
  <c r="X96" i="25" s="1"/>
  <c r="W96" i="25"/>
  <c r="Z96" i="25" s="1"/>
  <c r="AA96" i="25" s="1"/>
  <c r="AB96" i="25" s="1"/>
  <c r="AI96" i="25" s="1"/>
  <c r="AS96" i="25" s="1"/>
  <c r="AJ178" i="24"/>
  <c r="AT178" i="24" s="1"/>
  <c r="AJ174" i="24"/>
  <c r="AT174" i="24" s="1"/>
  <c r="AJ173" i="24"/>
  <c r="AT173" i="24" s="1"/>
  <c r="AJ181" i="24"/>
  <c r="AT181" i="24" s="1"/>
  <c r="AJ171" i="24"/>
  <c r="AT171" i="24" s="1"/>
  <c r="AJ175" i="24"/>
  <c r="AT175" i="24" s="1"/>
  <c r="AJ180" i="24"/>
  <c r="AT180" i="24" s="1"/>
  <c r="AJ177" i="24"/>
  <c r="AT177" i="24" s="1"/>
  <c r="AJ103" i="24"/>
  <c r="AJ105" i="24"/>
  <c r="AJ96" i="24"/>
  <c r="AJ94" i="24"/>
  <c r="AJ99" i="24"/>
  <c r="W258" i="25"/>
  <c r="Z258" i="25" s="1"/>
  <c r="AA258" i="25" s="1"/>
  <c r="AB258" i="25" s="1"/>
  <c r="AI258" i="25" s="1"/>
  <c r="AS258" i="25" s="1"/>
  <c r="AD258" i="25"/>
  <c r="AE258" i="25" s="1"/>
  <c r="AV44" i="24"/>
  <c r="AF143" i="25"/>
  <c r="AM143" i="25" s="1"/>
  <c r="BG143" i="25" s="1"/>
  <c r="AJ170" i="24"/>
  <c r="AT170" i="24" s="1"/>
  <c r="AJ161" i="24"/>
  <c r="AT161" i="24" s="1"/>
  <c r="AJ85" i="24"/>
  <c r="AJ89" i="24"/>
  <c r="AJ165" i="24"/>
  <c r="AT165" i="24" s="1"/>
  <c r="W154" i="25"/>
  <c r="Z154" i="25" s="1"/>
  <c r="AA154" i="25" s="1"/>
  <c r="AB154" i="25" s="1"/>
  <c r="AI154" i="25" s="1"/>
  <c r="AS154" i="25" s="1"/>
  <c r="AD154" i="25"/>
  <c r="AJ176" i="24"/>
  <c r="AT176" i="24" s="1"/>
  <c r="AJ91" i="24"/>
  <c r="AJ158" i="24"/>
  <c r="AT158" i="24" s="1"/>
  <c r="AJ168" i="24"/>
  <c r="AT168" i="24" s="1"/>
  <c r="AT101" i="24"/>
  <c r="BA101" i="24" s="1"/>
  <c r="AJ163" i="24"/>
  <c r="AT163" i="24" s="1"/>
  <c r="AJ169" i="24"/>
  <c r="AT169" i="24" s="1"/>
  <c r="AJ167" i="24"/>
  <c r="AT167" i="24" s="1"/>
  <c r="AJ182" i="24"/>
  <c r="AT182" i="24" s="1"/>
  <c r="AJ183" i="24"/>
  <c r="AT183" i="24" s="1"/>
  <c r="AJ172" i="24"/>
  <c r="AT172" i="24" s="1"/>
  <c r="AJ164" i="24"/>
  <c r="AT164" i="24" s="1"/>
  <c r="AJ179" i="24"/>
  <c r="AT179" i="24" s="1"/>
  <c r="AD189" i="25"/>
  <c r="AF189" i="25" s="1"/>
  <c r="AT41" i="24"/>
  <c r="BA41" i="24" s="1"/>
  <c r="AJ69" i="24"/>
  <c r="AJ66" i="24"/>
  <c r="W97" i="25"/>
  <c r="Z97" i="25" s="1"/>
  <c r="AA97" i="25" s="1"/>
  <c r="AB97" i="25" s="1"/>
  <c r="AI97" i="25" s="1"/>
  <c r="AS97" i="25" s="1"/>
  <c r="AD97" i="25"/>
  <c r="AE97" i="25" s="1"/>
  <c r="AJ75" i="24"/>
  <c r="AJ93" i="24"/>
  <c r="AJ95" i="24"/>
  <c r="AJ84" i="24"/>
  <c r="AJ62" i="24"/>
  <c r="AJ157" i="24"/>
  <c r="AT157" i="24" s="1"/>
  <c r="AJ102" i="24"/>
  <c r="AJ90" i="24"/>
  <c r="AJ97" i="24"/>
  <c r="AJ74" i="24"/>
  <c r="AT7" i="24"/>
  <c r="BA7" i="24" s="1"/>
  <c r="AJ100" i="24"/>
  <c r="AJ98" i="24"/>
  <c r="AJ104" i="24"/>
  <c r="AJ81" i="24"/>
  <c r="AJ67" i="24"/>
  <c r="AJ79" i="24"/>
  <c r="AJ73" i="24"/>
  <c r="AJ92" i="24"/>
  <c r="AJ80" i="24"/>
  <c r="AJ86" i="24"/>
  <c r="AJ65" i="24"/>
  <c r="AJ70" i="24"/>
  <c r="AJ87" i="24"/>
  <c r="AJ88" i="24"/>
  <c r="AJ82" i="24"/>
  <c r="AJ68" i="24"/>
  <c r="AJ83" i="24"/>
  <c r="AJ72" i="24"/>
  <c r="AJ316" i="24"/>
  <c r="AT316" i="24" s="1"/>
  <c r="AT55" i="24"/>
  <c r="BA55" i="24" s="1"/>
  <c r="W179" i="25"/>
  <c r="Z179" i="25" s="1"/>
  <c r="AA179" i="25" s="1"/>
  <c r="AB179" i="25" s="1"/>
  <c r="AI179" i="25" s="1"/>
  <c r="AS179" i="25" s="1"/>
  <c r="AD179" i="25"/>
  <c r="AE179" i="25" s="1"/>
  <c r="V29" i="25"/>
  <c r="X29" i="25" s="1"/>
  <c r="W29" i="25"/>
  <c r="Z29" i="25" s="1"/>
  <c r="AA29" i="25" s="1"/>
  <c r="AB29" i="25" s="1"/>
  <c r="AI29" i="25" s="1"/>
  <c r="AS29" i="25" s="1"/>
  <c r="V28" i="25"/>
  <c r="X28" i="25" s="1"/>
  <c r="W291" i="25"/>
  <c r="Z291" i="25" s="1"/>
  <c r="AA291" i="25" s="1"/>
  <c r="AB291" i="25" s="1"/>
  <c r="AI291" i="25" s="1"/>
  <c r="AS291" i="25" s="1"/>
  <c r="W28" i="25"/>
  <c r="Z28" i="25" s="1"/>
  <c r="AA28" i="25" s="1"/>
  <c r="AB28" i="25" s="1"/>
  <c r="AI28" i="25" s="1"/>
  <c r="AS28" i="25" s="1"/>
  <c r="AD291" i="25"/>
  <c r="AE291" i="25" s="1"/>
  <c r="V265" i="25"/>
  <c r="X265" i="25" s="1"/>
  <c r="W265" i="25"/>
  <c r="Z265" i="25" s="1"/>
  <c r="AA265" i="25" s="1"/>
  <c r="AB265" i="25" s="1"/>
  <c r="AI265" i="25" s="1"/>
  <c r="AS265" i="25" s="1"/>
  <c r="AT45" i="24"/>
  <c r="BA45" i="24" s="1"/>
  <c r="AJ314" i="24"/>
  <c r="AT314" i="24" s="1"/>
  <c r="AV21" i="24"/>
  <c r="V189" i="25"/>
  <c r="X189" i="25" s="1"/>
  <c r="V104" i="25"/>
  <c r="X104" i="25" s="1"/>
  <c r="AD104" i="25"/>
  <c r="AF104" i="25" s="1"/>
  <c r="AJ311" i="24"/>
  <c r="AT311" i="24" s="1"/>
  <c r="AJ309" i="24"/>
  <c r="AT309" i="24" s="1"/>
  <c r="AJ307" i="24"/>
  <c r="AT307" i="24" s="1"/>
  <c r="AJ308" i="24"/>
  <c r="AT308" i="24" s="1"/>
  <c r="AJ156" i="24"/>
  <c r="AT156" i="24" s="1"/>
  <c r="AJ159" i="24"/>
  <c r="AT159" i="24" s="1"/>
  <c r="AJ76" i="24"/>
  <c r="AJ166" i="24"/>
  <c r="AT166" i="24" s="1"/>
  <c r="AJ312" i="24"/>
  <c r="AT312" i="24" s="1"/>
  <c r="AJ71" i="24"/>
  <c r="AJ315" i="24"/>
  <c r="AT315" i="24" s="1"/>
  <c r="AJ310" i="24"/>
  <c r="AT310" i="24" s="1"/>
  <c r="AJ78" i="24"/>
  <c r="AJ77" i="24"/>
  <c r="AJ64" i="24"/>
  <c r="AJ313" i="24"/>
  <c r="AT313" i="24" s="1"/>
  <c r="AD237" i="25"/>
  <c r="AE237" i="25" s="1"/>
  <c r="W237" i="25"/>
  <c r="Z237" i="25" s="1"/>
  <c r="AA237" i="25" s="1"/>
  <c r="AB237" i="25" s="1"/>
  <c r="AI237" i="25" s="1"/>
  <c r="AS237" i="25" s="1"/>
  <c r="AJ63" i="24"/>
  <c r="AJ61" i="24"/>
  <c r="AJ116" i="24"/>
  <c r="AT116" i="24" s="1"/>
  <c r="N212" i="25"/>
  <c r="BI212" i="25"/>
  <c r="AH212" i="25"/>
  <c r="BQ212" i="25"/>
  <c r="AJ252" i="24"/>
  <c r="AT252" i="24" s="1"/>
  <c r="AJ151" i="24"/>
  <c r="AT151" i="24" s="1"/>
  <c r="AJ115" i="24"/>
  <c r="AT115" i="24" s="1"/>
  <c r="AJ303" i="24"/>
  <c r="AT303" i="24" s="1"/>
  <c r="AJ275" i="24"/>
  <c r="AT275" i="24" s="1"/>
  <c r="AJ53" i="24"/>
  <c r="AJ47" i="24"/>
  <c r="AJ289" i="24"/>
  <c r="AT289" i="24" s="1"/>
  <c r="AJ254" i="24"/>
  <c r="AT254" i="24" s="1"/>
  <c r="AJ268" i="24"/>
  <c r="AT268" i="24" s="1"/>
  <c r="AJ141" i="24"/>
  <c r="AT141" i="24" s="1"/>
  <c r="AJ251" i="24"/>
  <c r="AT251" i="24" s="1"/>
  <c r="AJ60" i="24"/>
  <c r="V77" i="25"/>
  <c r="X77" i="25" s="1"/>
  <c r="AD77" i="25"/>
  <c r="W77" i="25"/>
  <c r="Z77" i="25" s="1"/>
  <c r="AA77" i="25" s="1"/>
  <c r="AB77" i="25" s="1"/>
  <c r="AI77" i="25" s="1"/>
  <c r="AS77" i="25" s="1"/>
  <c r="AW77" i="25" s="1"/>
  <c r="AJ272" i="24"/>
  <c r="AT272" i="24" s="1"/>
  <c r="AJ288" i="24"/>
  <c r="AT288" i="24" s="1"/>
  <c r="AJ40" i="24"/>
  <c r="AJ23" i="24"/>
  <c r="AJ276" i="24"/>
  <c r="AT276" i="24" s="1"/>
  <c r="AJ42" i="24"/>
  <c r="AJ286" i="24"/>
  <c r="AT286" i="24" s="1"/>
  <c r="AJ231" i="24"/>
  <c r="AT231" i="24" s="1"/>
  <c r="AJ143" i="24"/>
  <c r="AT143" i="24" s="1"/>
  <c r="AJ139" i="24"/>
  <c r="AT139" i="24" s="1"/>
  <c r="AJ11" i="24"/>
  <c r="AJ52" i="24"/>
  <c r="AJ144" i="24"/>
  <c r="AT144" i="24" s="1"/>
  <c r="AJ39" i="24"/>
  <c r="AJ127" i="24"/>
  <c r="AT127" i="24" s="1"/>
  <c r="AJ36" i="24"/>
  <c r="AJ137" i="24"/>
  <c r="AT137" i="24" s="1"/>
  <c r="AJ245" i="24"/>
  <c r="AT245" i="24" s="1"/>
  <c r="AJ149" i="24"/>
  <c r="AT149" i="24" s="1"/>
  <c r="AJ140" i="24"/>
  <c r="AT140" i="24" s="1"/>
  <c r="AJ285" i="24"/>
  <c r="AT285" i="24" s="1"/>
  <c r="AJ223" i="24"/>
  <c r="AT223" i="24" s="1"/>
  <c r="AJ13" i="24"/>
  <c r="AJ239" i="24"/>
  <c r="AT239" i="24" s="1"/>
  <c r="AJ262" i="24"/>
  <c r="AT262" i="24" s="1"/>
  <c r="AJ291" i="24"/>
  <c r="AT291" i="24" s="1"/>
  <c r="AJ277" i="24"/>
  <c r="AT277" i="24" s="1"/>
  <c r="AJ234" i="24"/>
  <c r="AT234" i="24" s="1"/>
  <c r="AJ217" i="24"/>
  <c r="AT217" i="24" s="1"/>
  <c r="AJ31" i="24"/>
  <c r="AJ293" i="24"/>
  <c r="AT293" i="24" s="1"/>
  <c r="AJ154" i="24"/>
  <c r="AT154" i="24" s="1"/>
  <c r="AJ50" i="24"/>
  <c r="AJ306" i="24"/>
  <c r="AT306" i="24" s="1"/>
  <c r="AJ49" i="24"/>
  <c r="AJ230" i="24"/>
  <c r="AT230" i="24" s="1"/>
  <c r="AJ241" i="24"/>
  <c r="AT241" i="24" s="1"/>
  <c r="AJ46" i="24"/>
  <c r="AJ150" i="24"/>
  <c r="AT150" i="24" s="1"/>
  <c r="AJ38" i="24"/>
  <c r="AJ226" i="24"/>
  <c r="AT226" i="24" s="1"/>
  <c r="AJ302" i="24"/>
  <c r="AT302" i="24" s="1"/>
  <c r="AJ122" i="24"/>
  <c r="AT122" i="24" s="1"/>
  <c r="AJ229" i="24"/>
  <c r="AT229" i="24" s="1"/>
  <c r="AJ244" i="24"/>
  <c r="AT244" i="24" s="1"/>
  <c r="AJ15" i="24"/>
  <c r="AJ256" i="24"/>
  <c r="AT256" i="24" s="1"/>
  <c r="AJ287" i="24"/>
  <c r="AT287" i="24" s="1"/>
  <c r="AJ270" i="24"/>
  <c r="AT270" i="24" s="1"/>
  <c r="AJ304" i="24"/>
  <c r="AT304" i="24" s="1"/>
  <c r="AJ146" i="24"/>
  <c r="AT146" i="24" s="1"/>
  <c r="AJ134" i="24"/>
  <c r="AT134" i="24" s="1"/>
  <c r="AJ138" i="24"/>
  <c r="AT138" i="24" s="1"/>
  <c r="AJ27" i="24"/>
  <c r="AJ136" i="24"/>
  <c r="AT136" i="24" s="1"/>
  <c r="AJ43" i="24"/>
  <c r="AJ10" i="24"/>
  <c r="AJ300" i="24"/>
  <c r="AT300" i="24" s="1"/>
  <c r="AJ29" i="24"/>
  <c r="AJ255" i="24"/>
  <c r="AT255" i="24" s="1"/>
  <c r="AJ278" i="24"/>
  <c r="AT278" i="24" s="1"/>
  <c r="AJ246" i="24"/>
  <c r="AT246" i="24" s="1"/>
  <c r="AJ250" i="24"/>
  <c r="AT250" i="24" s="1"/>
  <c r="AJ16" i="24"/>
  <c r="AJ227" i="24"/>
  <c r="AT227" i="24" s="1"/>
  <c r="AJ222" i="24"/>
  <c r="AT222" i="24" s="1"/>
  <c r="AJ124" i="24"/>
  <c r="AT124" i="24" s="1"/>
  <c r="AJ14" i="24"/>
  <c r="AJ118" i="24"/>
  <c r="AT118" i="24" s="1"/>
  <c r="AJ113" i="24"/>
  <c r="AT113" i="24" s="1"/>
  <c r="AJ220" i="24"/>
  <c r="AT220" i="24" s="1"/>
  <c r="AJ131" i="24"/>
  <c r="AT131" i="24" s="1"/>
  <c r="AJ25" i="24"/>
  <c r="AJ221" i="24"/>
  <c r="AT221" i="24" s="1"/>
  <c r="AD253" i="25"/>
  <c r="W253" i="25"/>
  <c r="Z253" i="25" s="1"/>
  <c r="AA253" i="25" s="1"/>
  <c r="AB253" i="25" s="1"/>
  <c r="AI253" i="25" s="1"/>
  <c r="V253" i="25"/>
  <c r="X253" i="25" s="1"/>
  <c r="AG223" i="24"/>
  <c r="AF223" i="24"/>
  <c r="AD102" i="25"/>
  <c r="W102" i="25"/>
  <c r="Z102" i="25" s="1"/>
  <c r="AA102" i="25" s="1"/>
  <c r="AB102" i="25" s="1"/>
  <c r="AI102" i="25" s="1"/>
  <c r="V102" i="25"/>
  <c r="X102" i="25" s="1"/>
  <c r="AF192" i="25"/>
  <c r="AE192" i="25"/>
  <c r="AG124" i="24"/>
  <c r="AF124" i="24"/>
  <c r="AD222" i="25"/>
  <c r="W222" i="25"/>
  <c r="Z222" i="25" s="1"/>
  <c r="AA222" i="25" s="1"/>
  <c r="AB222" i="25" s="1"/>
  <c r="AI222" i="25" s="1"/>
  <c r="AN45" i="24"/>
  <c r="AK45" i="24"/>
  <c r="AG89" i="24"/>
  <c r="AF89" i="24"/>
  <c r="AD111" i="25"/>
  <c r="W111" i="25"/>
  <c r="Z111" i="25" s="1"/>
  <c r="AA111" i="25" s="1"/>
  <c r="AB111" i="25" s="1"/>
  <c r="AI111" i="25" s="1"/>
  <c r="V111" i="25"/>
  <c r="X111" i="25" s="1"/>
  <c r="AD157" i="25"/>
  <c r="W157" i="25"/>
  <c r="Z157" i="25" s="1"/>
  <c r="AA157" i="25" s="1"/>
  <c r="AB157" i="25" s="1"/>
  <c r="AI157" i="25" s="1"/>
  <c r="AD181" i="25"/>
  <c r="W181" i="25"/>
  <c r="Z181" i="25" s="1"/>
  <c r="AA181" i="25" s="1"/>
  <c r="AB181" i="25" s="1"/>
  <c r="AI181" i="25" s="1"/>
  <c r="AG37" i="24"/>
  <c r="AF37" i="24"/>
  <c r="AD134" i="25"/>
  <c r="W134" i="25"/>
  <c r="Z134" i="25" s="1"/>
  <c r="AA134" i="25" s="1"/>
  <c r="AB134" i="25" s="1"/>
  <c r="AI134" i="25" s="1"/>
  <c r="V134" i="25"/>
  <c r="X134" i="25" s="1"/>
  <c r="AG312" i="24"/>
  <c r="AF312" i="24"/>
  <c r="AS267" i="25"/>
  <c r="AG242" i="24"/>
  <c r="AF242" i="24"/>
  <c r="AG12" i="24"/>
  <c r="AF12" i="24"/>
  <c r="AS82" i="25"/>
  <c r="AD299" i="25"/>
  <c r="W299" i="25"/>
  <c r="Z299" i="25" s="1"/>
  <c r="AA299" i="25" s="1"/>
  <c r="AB299" i="25" s="1"/>
  <c r="AI299" i="25" s="1"/>
  <c r="AF199" i="25"/>
  <c r="AE199" i="25"/>
  <c r="AJ228" i="24"/>
  <c r="AD76" i="25"/>
  <c r="W76" i="25"/>
  <c r="Z76" i="25" s="1"/>
  <c r="AA76" i="25" s="1"/>
  <c r="AB76" i="25" s="1"/>
  <c r="AI76" i="25" s="1"/>
  <c r="AF314" i="25"/>
  <c r="AE314" i="25"/>
  <c r="AJ135" i="24"/>
  <c r="AG78" i="24"/>
  <c r="AF78" i="24"/>
  <c r="AK142" i="24"/>
  <c r="AN142" i="24"/>
  <c r="AG295" i="24"/>
  <c r="AF295" i="24"/>
  <c r="AK119" i="24"/>
  <c r="AN119" i="24"/>
  <c r="AK257" i="24"/>
  <c r="AN257" i="24"/>
  <c r="BI257" i="24" s="1"/>
  <c r="AS161" i="25"/>
  <c r="AG253" i="24"/>
  <c r="AF253" i="24"/>
  <c r="AE28" i="25"/>
  <c r="AG152" i="24"/>
  <c r="AF152" i="24"/>
  <c r="AD125" i="25"/>
  <c r="W125" i="25"/>
  <c r="Z125" i="25" s="1"/>
  <c r="AA125" i="25" s="1"/>
  <c r="AB125" i="25" s="1"/>
  <c r="AI125" i="25" s="1"/>
  <c r="AJ26" i="24"/>
  <c r="AG100" i="24"/>
  <c r="AF100" i="24"/>
  <c r="AD295" i="25"/>
  <c r="W295" i="25"/>
  <c r="Z295" i="25" s="1"/>
  <c r="AA295" i="25" s="1"/>
  <c r="AB295" i="25" s="1"/>
  <c r="AI295" i="25" s="1"/>
  <c r="BA119" i="24"/>
  <c r="AJ35" i="24"/>
  <c r="AD298" i="25"/>
  <c r="W298" i="25"/>
  <c r="Z298" i="25" s="1"/>
  <c r="AA298" i="25" s="1"/>
  <c r="AB298" i="25" s="1"/>
  <c r="AI298" i="25" s="1"/>
  <c r="AJ153" i="24"/>
  <c r="AD277" i="25"/>
  <c r="W277" i="25"/>
  <c r="Z277" i="25" s="1"/>
  <c r="AA277" i="25" s="1"/>
  <c r="AB277" i="25" s="1"/>
  <c r="AI277" i="25" s="1"/>
  <c r="AD152" i="25"/>
  <c r="W152" i="25"/>
  <c r="Z152" i="25" s="1"/>
  <c r="AA152" i="25" s="1"/>
  <c r="AB152" i="25" s="1"/>
  <c r="AI152" i="25" s="1"/>
  <c r="V152" i="25"/>
  <c r="X152" i="25" s="1"/>
  <c r="AD250" i="25"/>
  <c r="W250" i="25"/>
  <c r="Z250" i="25" s="1"/>
  <c r="AA250" i="25" s="1"/>
  <c r="AB250" i="25" s="1"/>
  <c r="AI250" i="25" s="1"/>
  <c r="V250" i="25"/>
  <c r="X250" i="25" s="1"/>
  <c r="AD48" i="25"/>
  <c r="W48" i="25"/>
  <c r="Z48" i="25" s="1"/>
  <c r="AA48" i="25" s="1"/>
  <c r="AB48" i="25" s="1"/>
  <c r="AI48" i="25" s="1"/>
  <c r="V48" i="25"/>
  <c r="X48" i="25" s="1"/>
  <c r="AJ249" i="24"/>
  <c r="AF31" i="25"/>
  <c r="AE31" i="25"/>
  <c r="AG66" i="24"/>
  <c r="AF66" i="24"/>
  <c r="AS247" i="25"/>
  <c r="AF204" i="25"/>
  <c r="AE204" i="25"/>
  <c r="AJ111" i="24"/>
  <c r="AD187" i="25"/>
  <c r="W187" i="25"/>
  <c r="Z187" i="25" s="1"/>
  <c r="AA187" i="25" s="1"/>
  <c r="AB187" i="25" s="1"/>
  <c r="AI187" i="25" s="1"/>
  <c r="AJ51" i="24"/>
  <c r="AG306" i="24"/>
  <c r="AF306" i="24"/>
  <c r="AG80" i="24"/>
  <c r="AF80" i="24"/>
  <c r="AG244" i="24"/>
  <c r="AF244" i="24"/>
  <c r="AS62" i="25"/>
  <c r="AJ301" i="24"/>
  <c r="AD24" i="25"/>
  <c r="W24" i="25"/>
  <c r="Z24" i="25" s="1"/>
  <c r="AA24" i="25" s="1"/>
  <c r="AB24" i="25" s="1"/>
  <c r="AI24" i="25" s="1"/>
  <c r="V24" i="25"/>
  <c r="X24" i="25" s="1"/>
  <c r="AJ129" i="25"/>
  <c r="AM129" i="25"/>
  <c r="BG129" i="25" s="1"/>
  <c r="AG91" i="24"/>
  <c r="AF91" i="24"/>
  <c r="AG67" i="24"/>
  <c r="AF67" i="24"/>
  <c r="AD166" i="25"/>
  <c r="W166" i="25"/>
  <c r="Z166" i="25" s="1"/>
  <c r="AA166" i="25" s="1"/>
  <c r="AB166" i="25" s="1"/>
  <c r="AI166" i="25" s="1"/>
  <c r="V166" i="25"/>
  <c r="X166" i="25" s="1"/>
  <c r="AJ133" i="24"/>
  <c r="AN41" i="24"/>
  <c r="AK41" i="24"/>
  <c r="AF282" i="25"/>
  <c r="AE282" i="25"/>
  <c r="AD37" i="25"/>
  <c r="W37" i="25"/>
  <c r="Z37" i="25" s="1"/>
  <c r="AA37" i="25" s="1"/>
  <c r="AB37" i="25" s="1"/>
  <c r="AI37" i="25" s="1"/>
  <c r="V37" i="25"/>
  <c r="X37" i="25" s="1"/>
  <c r="AJ58" i="24"/>
  <c r="AJ269" i="24"/>
  <c r="AJ54" i="24"/>
  <c r="AD278" i="25"/>
  <c r="W278" i="25"/>
  <c r="Z278" i="25" s="1"/>
  <c r="AA278" i="25" s="1"/>
  <c r="AB278" i="25" s="1"/>
  <c r="AI278" i="25" s="1"/>
  <c r="AJ125" i="24"/>
  <c r="AD63" i="25"/>
  <c r="W63" i="25"/>
  <c r="Z63" i="25" s="1"/>
  <c r="AA63" i="25" s="1"/>
  <c r="AB63" i="25" s="1"/>
  <c r="AI63" i="25" s="1"/>
  <c r="AJ24" i="24"/>
  <c r="AF178" i="25"/>
  <c r="AE178" i="25"/>
  <c r="AG231" i="24"/>
  <c r="AF231" i="24"/>
  <c r="AG192" i="24"/>
  <c r="AF192" i="24"/>
  <c r="AS6" i="25"/>
  <c r="AS292" i="25"/>
  <c r="AJ148" i="24"/>
  <c r="AG130" i="24"/>
  <c r="AF130" i="24"/>
  <c r="AJ117" i="24"/>
  <c r="AG243" i="24"/>
  <c r="AF243" i="24"/>
  <c r="AG60" i="24"/>
  <c r="AF60" i="24"/>
  <c r="AD271" i="25"/>
  <c r="W271" i="25"/>
  <c r="Z271" i="25" s="1"/>
  <c r="AA271" i="25" s="1"/>
  <c r="AB271" i="25" s="1"/>
  <c r="AI271" i="25" s="1"/>
  <c r="V271" i="25"/>
  <c r="X271" i="25" s="1"/>
  <c r="AD44" i="25"/>
  <c r="W44" i="25"/>
  <c r="Z44" i="25" s="1"/>
  <c r="AA44" i="25" s="1"/>
  <c r="AB44" i="25" s="1"/>
  <c r="AI44" i="25" s="1"/>
  <c r="AG248" i="24"/>
  <c r="AF248" i="24"/>
  <c r="AD286" i="25"/>
  <c r="W286" i="25"/>
  <c r="Z286" i="25" s="1"/>
  <c r="AA286" i="25" s="1"/>
  <c r="AB286" i="25" s="1"/>
  <c r="AI286" i="25" s="1"/>
  <c r="AF170" i="25"/>
  <c r="AE170" i="25"/>
  <c r="AD70" i="25"/>
  <c r="W70" i="25"/>
  <c r="Z70" i="25" s="1"/>
  <c r="AA70" i="25" s="1"/>
  <c r="AB70" i="25" s="1"/>
  <c r="AI70" i="25" s="1"/>
  <c r="AM110" i="25"/>
  <c r="BG110" i="25" s="1"/>
  <c r="AJ110" i="25"/>
  <c r="AG139" i="24"/>
  <c r="AF139" i="24"/>
  <c r="AG23" i="24"/>
  <c r="AF23" i="24"/>
  <c r="AG147" i="24"/>
  <c r="AF147" i="24"/>
  <c r="AG103" i="24"/>
  <c r="AF103" i="24"/>
  <c r="AS94" i="25"/>
  <c r="AD235" i="25"/>
  <c r="W235" i="25"/>
  <c r="Z235" i="25" s="1"/>
  <c r="AA235" i="25" s="1"/>
  <c r="AB235" i="25" s="1"/>
  <c r="AI235" i="25" s="1"/>
  <c r="V235" i="25"/>
  <c r="X235" i="25" s="1"/>
  <c r="AG168" i="24"/>
  <c r="AF168" i="24"/>
  <c r="AD85" i="25"/>
  <c r="W85" i="25"/>
  <c r="Z85" i="25" s="1"/>
  <c r="AA85" i="25" s="1"/>
  <c r="AB85" i="25" s="1"/>
  <c r="AI85" i="25" s="1"/>
  <c r="V85" i="25"/>
  <c r="X85" i="25" s="1"/>
  <c r="AJ121" i="24"/>
  <c r="AG102" i="24"/>
  <c r="AF102" i="24"/>
  <c r="AG99" i="24"/>
  <c r="AF99" i="24"/>
  <c r="AJ281" i="24"/>
  <c r="AD230" i="25"/>
  <c r="W230" i="25"/>
  <c r="Z230" i="25" s="1"/>
  <c r="AA230" i="25" s="1"/>
  <c r="AB230" i="25" s="1"/>
  <c r="AI230" i="25" s="1"/>
  <c r="AD308" i="25"/>
  <c r="W308" i="25"/>
  <c r="Z308" i="25" s="1"/>
  <c r="AA308" i="25" s="1"/>
  <c r="AB308" i="25" s="1"/>
  <c r="AI308" i="25" s="1"/>
  <c r="V308" i="25"/>
  <c r="X308" i="25" s="1"/>
  <c r="AJ296" i="24"/>
  <c r="AG273" i="24"/>
  <c r="AF273" i="24"/>
  <c r="AG76" i="24"/>
  <c r="AF76" i="24"/>
  <c r="AK191" i="24"/>
  <c r="AN191" i="24"/>
  <c r="AJ218" i="24"/>
  <c r="AD191" i="25"/>
  <c r="W191" i="25"/>
  <c r="Z191" i="25" s="1"/>
  <c r="AA191" i="25" s="1"/>
  <c r="AB191" i="25" s="1"/>
  <c r="AI191" i="25" s="1"/>
  <c r="V191" i="25"/>
  <c r="X191" i="25" s="1"/>
  <c r="AJ28" i="24"/>
  <c r="AD141" i="25"/>
  <c r="W141" i="25"/>
  <c r="Z141" i="25" s="1"/>
  <c r="AA141" i="25" s="1"/>
  <c r="AB141" i="25" s="1"/>
  <c r="AI141" i="25" s="1"/>
  <c r="V141" i="25"/>
  <c r="X141" i="25" s="1"/>
  <c r="AS259" i="25"/>
  <c r="AJ298" i="24"/>
  <c r="AF232" i="25"/>
  <c r="AE232" i="25"/>
  <c r="AD66" i="25"/>
  <c r="W66" i="25"/>
  <c r="Z66" i="25" s="1"/>
  <c r="AA66" i="25" s="1"/>
  <c r="AB66" i="25" s="1"/>
  <c r="AI66" i="25" s="1"/>
  <c r="AG79" i="24"/>
  <c r="AF79" i="24"/>
  <c r="AG165" i="24"/>
  <c r="AF165" i="24"/>
  <c r="AJ280" i="24"/>
  <c r="AG73" i="24"/>
  <c r="AF73" i="24"/>
  <c r="AJ305" i="24"/>
  <c r="AG232" i="24"/>
  <c r="AF232" i="24"/>
  <c r="AD88" i="25"/>
  <c r="W88" i="25"/>
  <c r="Z88" i="25" s="1"/>
  <c r="AA88" i="25" s="1"/>
  <c r="AB88" i="25" s="1"/>
  <c r="AI88" i="25" s="1"/>
  <c r="V88" i="25"/>
  <c r="X88" i="25" s="1"/>
  <c r="AG16" i="24"/>
  <c r="AF16" i="24"/>
  <c r="AD81" i="25"/>
  <c r="W81" i="25"/>
  <c r="Z81" i="25" s="1"/>
  <c r="AA81" i="25" s="1"/>
  <c r="AB81" i="25" s="1"/>
  <c r="AI81" i="25" s="1"/>
  <c r="AN233" i="24"/>
  <c r="AK233" i="24"/>
  <c r="AS147" i="25"/>
  <c r="AF267" i="25"/>
  <c r="AE267" i="25"/>
  <c r="AF82" i="25"/>
  <c r="AE82" i="25"/>
  <c r="AD20" i="25"/>
  <c r="W20" i="25"/>
  <c r="Z20" i="25" s="1"/>
  <c r="AA20" i="25" s="1"/>
  <c r="AB20" i="25" s="1"/>
  <c r="AI20" i="25" s="1"/>
  <c r="V20" i="25"/>
  <c r="X20" i="25" s="1"/>
  <c r="AD115" i="25"/>
  <c r="W115" i="25"/>
  <c r="Z115" i="25" s="1"/>
  <c r="AA115" i="25" s="1"/>
  <c r="AB115" i="25" s="1"/>
  <c r="AI115" i="25" s="1"/>
  <c r="AG71" i="24"/>
  <c r="AF71" i="24"/>
  <c r="AG27" i="24"/>
  <c r="AF27" i="24"/>
  <c r="AG293" i="24"/>
  <c r="AF293" i="24"/>
  <c r="AS198" i="25"/>
  <c r="AG74" i="24"/>
  <c r="AF74" i="24"/>
  <c r="AG13" i="24"/>
  <c r="AF13" i="24"/>
  <c r="AS30" i="25"/>
  <c r="AG171" i="24"/>
  <c r="AF171" i="24"/>
  <c r="AF161" i="25"/>
  <c r="AE161" i="25"/>
  <c r="AD180" i="25"/>
  <c r="W180" i="25"/>
  <c r="Z180" i="25" s="1"/>
  <c r="AA180" i="25" s="1"/>
  <c r="AB180" i="25" s="1"/>
  <c r="AI180" i="25" s="1"/>
  <c r="V180" i="25"/>
  <c r="X180" i="25" s="1"/>
  <c r="AS305" i="25"/>
  <c r="V76" i="25"/>
  <c r="X76" i="25" s="1"/>
  <c r="AG75" i="24"/>
  <c r="AF75" i="24"/>
  <c r="AG87" i="24"/>
  <c r="AF87" i="24"/>
  <c r="AG93" i="24"/>
  <c r="AF93" i="24"/>
  <c r="AD226" i="25"/>
  <c r="W226" i="25"/>
  <c r="Z226" i="25" s="1"/>
  <c r="AA226" i="25" s="1"/>
  <c r="AB226" i="25" s="1"/>
  <c r="AI226" i="25" s="1"/>
  <c r="AG154" i="24"/>
  <c r="AF154" i="24"/>
  <c r="AG40" i="24"/>
  <c r="AF40" i="24"/>
  <c r="AG43" i="24"/>
  <c r="AF43" i="24"/>
  <c r="BA294" i="24"/>
  <c r="AD50" i="25"/>
  <c r="W50" i="25"/>
  <c r="Z50" i="25" s="1"/>
  <c r="AA50" i="25" s="1"/>
  <c r="AB50" i="25" s="1"/>
  <c r="AI50" i="25" s="1"/>
  <c r="V50" i="25"/>
  <c r="X50" i="25" s="1"/>
  <c r="AD118" i="25"/>
  <c r="W118" i="25"/>
  <c r="Z118" i="25" s="1"/>
  <c r="AA118" i="25" s="1"/>
  <c r="AB118" i="25" s="1"/>
  <c r="AI118" i="25" s="1"/>
  <c r="AG175" i="24"/>
  <c r="AF175" i="24"/>
  <c r="AG50" i="24"/>
  <c r="AF50" i="24"/>
  <c r="AD313" i="25"/>
  <c r="W313" i="25"/>
  <c r="Z313" i="25" s="1"/>
  <c r="AA313" i="25" s="1"/>
  <c r="AB313" i="25" s="1"/>
  <c r="AI313" i="25" s="1"/>
  <c r="V125" i="25"/>
  <c r="X125" i="25" s="1"/>
  <c r="AD263" i="25"/>
  <c r="W263" i="25"/>
  <c r="Z263" i="25" s="1"/>
  <c r="AA263" i="25" s="1"/>
  <c r="AB263" i="25" s="1"/>
  <c r="AI263" i="25" s="1"/>
  <c r="V263" i="25"/>
  <c r="X263" i="25" s="1"/>
  <c r="AK22" i="24"/>
  <c r="AN22" i="24"/>
  <c r="BI22" i="24" s="1"/>
  <c r="AF247" i="25"/>
  <c r="AE247" i="25"/>
  <c r="AF62" i="25"/>
  <c r="AE62" i="25"/>
  <c r="AD311" i="25"/>
  <c r="W311" i="25"/>
  <c r="Z311" i="25" s="1"/>
  <c r="AA311" i="25" s="1"/>
  <c r="AB311" i="25" s="1"/>
  <c r="AI311" i="25" s="1"/>
  <c r="V311" i="25"/>
  <c r="X311" i="25" s="1"/>
  <c r="AG220" i="24"/>
  <c r="AF220" i="24"/>
  <c r="BA190" i="24"/>
  <c r="AG134" i="24"/>
  <c r="AF134" i="24"/>
  <c r="AG185" i="24"/>
  <c r="AF185" i="24"/>
  <c r="AG234" i="24"/>
  <c r="AF234" i="24"/>
  <c r="AD268" i="25"/>
  <c r="W268" i="25"/>
  <c r="Z268" i="25" s="1"/>
  <c r="AA268" i="25" s="1"/>
  <c r="AB268" i="25" s="1"/>
  <c r="AI268" i="25" s="1"/>
  <c r="AD100" i="25"/>
  <c r="W100" i="25"/>
  <c r="Z100" i="25" s="1"/>
  <c r="AA100" i="25" s="1"/>
  <c r="AB100" i="25" s="1"/>
  <c r="AI100" i="25" s="1"/>
  <c r="AD165" i="25"/>
  <c r="W165" i="25"/>
  <c r="Z165" i="25" s="1"/>
  <c r="AA165" i="25" s="1"/>
  <c r="AB165" i="25" s="1"/>
  <c r="AI165" i="25" s="1"/>
  <c r="AG217" i="24"/>
  <c r="AF217" i="24"/>
  <c r="AD224" i="25"/>
  <c r="W224" i="25"/>
  <c r="Z224" i="25" s="1"/>
  <c r="AA224" i="25" s="1"/>
  <c r="AB224" i="25" s="1"/>
  <c r="AI224" i="25" s="1"/>
  <c r="AJ274" i="24"/>
  <c r="AF292" i="25"/>
  <c r="AE292" i="25"/>
  <c r="AJ258" i="24"/>
  <c r="AD256" i="25"/>
  <c r="W256" i="25"/>
  <c r="Z256" i="25" s="1"/>
  <c r="AA256" i="25" s="1"/>
  <c r="AB256" i="25" s="1"/>
  <c r="AI256" i="25" s="1"/>
  <c r="V256" i="25"/>
  <c r="X256" i="25" s="1"/>
  <c r="AG205" i="24"/>
  <c r="AF205" i="24"/>
  <c r="AD93" i="25"/>
  <c r="W93" i="25"/>
  <c r="Z93" i="25" s="1"/>
  <c r="AA93" i="25" s="1"/>
  <c r="AB93" i="25" s="1"/>
  <c r="AI93" i="25" s="1"/>
  <c r="V268" i="25"/>
  <c r="X268" i="25" s="1"/>
  <c r="AG184" i="24"/>
  <c r="AF184" i="24"/>
  <c r="AG47" i="24"/>
  <c r="AF47" i="24"/>
  <c r="AD281" i="25"/>
  <c r="W281" i="25"/>
  <c r="Z281" i="25" s="1"/>
  <c r="AA281" i="25" s="1"/>
  <c r="AB281" i="25" s="1"/>
  <c r="AI281" i="25" s="1"/>
  <c r="AG36" i="24"/>
  <c r="AF36" i="24"/>
  <c r="AG227" i="24"/>
  <c r="AF227" i="24"/>
  <c r="AG150" i="24"/>
  <c r="AF150" i="24"/>
  <c r="AG206" i="24"/>
  <c r="AF206" i="24"/>
  <c r="AF94" i="25"/>
  <c r="AE94" i="25"/>
  <c r="AD9" i="25"/>
  <c r="W9" i="25"/>
  <c r="Z9" i="25" s="1"/>
  <c r="AA9" i="25" s="1"/>
  <c r="AB9" i="25" s="1"/>
  <c r="AI9" i="25" s="1"/>
  <c r="V9" i="25"/>
  <c r="X9" i="25" s="1"/>
  <c r="AN264" i="24"/>
  <c r="AK264" i="24"/>
  <c r="AD197" i="25"/>
  <c r="W197" i="25"/>
  <c r="Z197" i="25" s="1"/>
  <c r="AA197" i="25" s="1"/>
  <c r="AB197" i="25" s="1"/>
  <c r="AI197" i="25" s="1"/>
  <c r="V70" i="25"/>
  <c r="X70" i="25" s="1"/>
  <c r="AG221" i="24"/>
  <c r="AF221" i="24"/>
  <c r="AG49" i="24"/>
  <c r="AF49" i="24"/>
  <c r="AD183" i="25"/>
  <c r="W183" i="25"/>
  <c r="Z183" i="25" s="1"/>
  <c r="AA183" i="25" s="1"/>
  <c r="AB183" i="25" s="1"/>
  <c r="AI183" i="25" s="1"/>
  <c r="AF259" i="25"/>
  <c r="AE259" i="25"/>
  <c r="AG141" i="24"/>
  <c r="AF141" i="24"/>
  <c r="AG251" i="24"/>
  <c r="AF251" i="24"/>
  <c r="AD239" i="25"/>
  <c r="W239" i="25"/>
  <c r="Z239" i="25" s="1"/>
  <c r="AA239" i="25" s="1"/>
  <c r="AB239" i="25" s="1"/>
  <c r="AI239" i="25" s="1"/>
  <c r="AD260" i="25"/>
  <c r="W260" i="25"/>
  <c r="Z260" i="25" s="1"/>
  <c r="AA260" i="25" s="1"/>
  <c r="AB260" i="25" s="1"/>
  <c r="AI260" i="25" s="1"/>
  <c r="AG38" i="24"/>
  <c r="AF38" i="24"/>
  <c r="AD49" i="25"/>
  <c r="W49" i="25"/>
  <c r="Z49" i="25" s="1"/>
  <c r="AA49" i="25" s="1"/>
  <c r="AB49" i="25" s="1"/>
  <c r="AI49" i="25" s="1"/>
  <c r="V49" i="25"/>
  <c r="X49" i="25" s="1"/>
  <c r="AK162" i="24"/>
  <c r="AN162" i="24"/>
  <c r="AG278" i="24"/>
  <c r="AF278" i="24"/>
  <c r="AS114" i="25"/>
  <c r="AS262" i="25"/>
  <c r="AG226" i="24"/>
  <c r="AF226" i="24"/>
  <c r="AT264" i="24"/>
  <c r="FI285" i="25"/>
  <c r="FI232" i="25"/>
  <c r="FI256" i="25"/>
  <c r="FI286" i="25"/>
  <c r="FI227" i="25"/>
  <c r="FI216" i="25"/>
  <c r="FI295" i="25"/>
  <c r="FI218" i="25"/>
  <c r="FI294" i="25"/>
  <c r="FI258" i="25"/>
  <c r="FI301" i="25"/>
  <c r="FI220" i="25"/>
  <c r="FI308" i="25"/>
  <c r="FI272" i="25"/>
  <c r="FI278" i="25"/>
  <c r="FI221" i="25"/>
  <c r="FI290" i="25"/>
  <c r="FI228" i="25"/>
  <c r="FI257" i="25"/>
  <c r="FI245" i="25"/>
  <c r="FI303" i="25"/>
  <c r="FI283" i="25"/>
  <c r="FI316" i="25"/>
  <c r="FI289" i="25"/>
  <c r="FI274" i="25"/>
  <c r="FI266" i="25"/>
  <c r="FI267" i="25"/>
  <c r="FI293" i="25"/>
  <c r="FI299" i="25"/>
  <c r="FI311" i="25"/>
  <c r="FI234" i="25"/>
  <c r="FI281" i="25"/>
  <c r="FI304" i="25"/>
  <c r="FI279" i="25"/>
  <c r="FI246" i="25"/>
  <c r="FI244" i="25"/>
  <c r="FI312" i="25"/>
  <c r="FI260" i="25"/>
  <c r="FI248" i="25"/>
  <c r="FI261" i="25"/>
  <c r="FI314" i="25"/>
  <c r="FI309" i="25"/>
  <c r="FI302" i="25"/>
  <c r="FI264" i="25"/>
  <c r="FI230" i="25"/>
  <c r="FI238" i="25"/>
  <c r="FI268" i="25"/>
  <c r="FI287" i="25"/>
  <c r="FI313" i="25"/>
  <c r="FI222" i="25"/>
  <c r="FI307" i="25"/>
  <c r="FI305" i="25"/>
  <c r="FI291" i="25"/>
  <c r="FI225" i="25"/>
  <c r="FI237" i="25"/>
  <c r="FI249" i="25"/>
  <c r="FI300" i="25"/>
  <c r="FI296" i="25"/>
  <c r="FI288" i="25"/>
  <c r="FI240" i="25"/>
  <c r="FI276" i="25"/>
  <c r="FI235" i="25"/>
  <c r="FI251" i="25"/>
  <c r="FI275" i="25"/>
  <c r="FI253" i="25"/>
  <c r="FI223" i="25"/>
  <c r="FI226" i="25"/>
  <c r="FI297" i="25"/>
  <c r="FI306" i="25"/>
  <c r="CE216" i="25"/>
  <c r="FI310" i="25"/>
  <c r="FI265" i="25"/>
  <c r="FI241" i="25"/>
  <c r="FI239" i="25"/>
  <c r="FI242" i="25"/>
  <c r="FI315" i="25"/>
  <c r="FI262" i="25"/>
  <c r="FI284" i="25"/>
  <c r="FI243" i="25"/>
  <c r="FI298" i="25"/>
  <c r="FI252" i="25"/>
  <c r="FI270" i="25"/>
  <c r="FI277" i="25"/>
  <c r="FI273" i="25"/>
  <c r="FI224" i="25"/>
  <c r="FI236" i="25"/>
  <c r="FI263" i="25"/>
  <c r="FI231" i="25"/>
  <c r="FI217" i="25"/>
  <c r="FI254" i="25"/>
  <c r="FI271" i="25"/>
  <c r="FI250" i="25"/>
  <c r="FI282" i="25"/>
  <c r="FI247" i="25"/>
  <c r="FI219" i="25"/>
  <c r="FI229" i="25"/>
  <c r="FI255" i="25"/>
  <c r="FI280" i="25"/>
  <c r="FI269" i="25"/>
  <c r="FI259" i="25"/>
  <c r="FI292" i="25"/>
  <c r="FI233" i="25"/>
  <c r="CE252" i="25"/>
  <c r="CE231" i="25"/>
  <c r="CE243" i="25"/>
  <c r="CE260" i="25"/>
  <c r="CE314" i="25"/>
  <c r="CE299" i="25"/>
  <c r="CE258" i="25"/>
  <c r="CE265" i="25"/>
  <c r="CE241" i="25"/>
  <c r="CE222" i="25"/>
  <c r="CE217" i="25"/>
  <c r="CE278" i="25"/>
  <c r="CE248" i="25"/>
  <c r="CE261" i="25"/>
  <c r="CE293" i="25"/>
  <c r="CE304" i="25"/>
  <c r="CE271" i="25"/>
  <c r="CE257" i="25"/>
  <c r="CE253" i="25"/>
  <c r="CE301" i="25"/>
  <c r="CE244" i="25"/>
  <c r="CE262" i="25"/>
  <c r="CE255" i="25"/>
  <c r="CE256" i="25"/>
  <c r="CE225" i="25"/>
  <c r="CE254" i="25"/>
  <c r="CE276" i="25"/>
  <c r="CE290" i="25"/>
  <c r="CE236" i="25"/>
  <c r="CE298" i="25"/>
  <c r="CE275" i="25"/>
  <c r="CE282" i="25"/>
  <c r="CE224" i="25"/>
  <c r="CE249" i="25"/>
  <c r="CE240" i="25"/>
  <c r="CE277" i="25"/>
  <c r="CE266" i="25"/>
  <c r="CE226" i="25"/>
  <c r="CE250" i="25"/>
  <c r="CE296" i="25"/>
  <c r="CE234" i="25"/>
  <c r="CE285" i="25"/>
  <c r="CE264" i="25"/>
  <c r="CE289" i="25"/>
  <c r="CE297" i="25"/>
  <c r="CE273" i="25"/>
  <c r="CE259" i="25"/>
  <c r="CE263" i="25"/>
  <c r="CE291" i="25"/>
  <c r="CE227" i="25"/>
  <c r="CE230" i="25"/>
  <c r="CE229" i="25"/>
  <c r="CE247" i="25"/>
  <c r="CE251" i="25"/>
  <c r="CE232" i="25"/>
  <c r="CE237" i="25"/>
  <c r="CE288" i="25"/>
  <c r="CE312" i="25"/>
  <c r="CE233" i="25"/>
  <c r="CE308" i="25"/>
  <c r="CE220" i="25"/>
  <c r="CE281" i="25"/>
  <c r="CE246" i="25"/>
  <c r="CE239" i="25"/>
  <c r="CE315" i="25"/>
  <c r="AD39" i="25"/>
  <c r="W39" i="25"/>
  <c r="Z39" i="25" s="1"/>
  <c r="AA39" i="25" s="1"/>
  <c r="AB39" i="25" s="1"/>
  <c r="AI39" i="25" s="1"/>
  <c r="AF147" i="25"/>
  <c r="AE147" i="25"/>
  <c r="AS13" i="25"/>
  <c r="AG228" i="24"/>
  <c r="AF228" i="24"/>
  <c r="AD42" i="25"/>
  <c r="W42" i="25"/>
  <c r="Z42" i="25" s="1"/>
  <c r="AA42" i="25" s="1"/>
  <c r="AB42" i="25" s="1"/>
  <c r="AI42" i="25" s="1"/>
  <c r="V42" i="25"/>
  <c r="X42" i="25" s="1"/>
  <c r="AD242" i="25"/>
  <c r="W242" i="25"/>
  <c r="Z242" i="25" s="1"/>
  <c r="AA242" i="25" s="1"/>
  <c r="AB242" i="25" s="1"/>
  <c r="AI242" i="25" s="1"/>
  <c r="AG97" i="24"/>
  <c r="AF97" i="24"/>
  <c r="AG135" i="24"/>
  <c r="AF135" i="24"/>
  <c r="AD289" i="25"/>
  <c r="W289" i="25"/>
  <c r="Z289" i="25" s="1"/>
  <c r="AA289" i="25" s="1"/>
  <c r="AB289" i="25" s="1"/>
  <c r="AI289" i="25" s="1"/>
  <c r="AF198" i="25"/>
  <c r="AE198" i="25"/>
  <c r="AS87" i="25"/>
  <c r="AS293" i="25"/>
  <c r="AG285" i="24"/>
  <c r="AF285" i="24"/>
  <c r="V39" i="25"/>
  <c r="X39" i="25" s="1"/>
  <c r="AD274" i="25"/>
  <c r="W274" i="25"/>
  <c r="Z274" i="25" s="1"/>
  <c r="AA274" i="25" s="1"/>
  <c r="AB274" i="25" s="1"/>
  <c r="AI274" i="25" s="1"/>
  <c r="AF30" i="25"/>
  <c r="AE30" i="25"/>
  <c r="AD193" i="25"/>
  <c r="W193" i="25"/>
  <c r="Z193" i="25" s="1"/>
  <c r="AA193" i="25" s="1"/>
  <c r="AB193" i="25" s="1"/>
  <c r="AI193" i="25" s="1"/>
  <c r="V193" i="25"/>
  <c r="X193" i="25" s="1"/>
  <c r="AS190" i="25"/>
  <c r="AS71" i="25"/>
  <c r="AD228" i="25"/>
  <c r="W228" i="25"/>
  <c r="Z228" i="25" s="1"/>
  <c r="AA228" i="25" s="1"/>
  <c r="AB228" i="25" s="1"/>
  <c r="AI228" i="25" s="1"/>
  <c r="AF305" i="25"/>
  <c r="AE305" i="25"/>
  <c r="AD75" i="25"/>
  <c r="W75" i="25"/>
  <c r="Z75" i="25" s="1"/>
  <c r="AA75" i="25" s="1"/>
  <c r="AB75" i="25" s="1"/>
  <c r="AI75" i="25" s="1"/>
  <c r="AE29" i="25"/>
  <c r="AG26" i="24"/>
  <c r="AF26" i="24"/>
  <c r="AG35" i="24"/>
  <c r="AF35" i="24"/>
  <c r="AG153" i="24"/>
  <c r="AF153" i="24"/>
  <c r="AS201" i="25"/>
  <c r="AG249" i="24"/>
  <c r="AF249" i="24"/>
  <c r="AD72" i="25"/>
  <c r="W72" i="25"/>
  <c r="Z72" i="25" s="1"/>
  <c r="AA72" i="25" s="1"/>
  <c r="AB72" i="25" s="1"/>
  <c r="AI72" i="25" s="1"/>
  <c r="AG111" i="24"/>
  <c r="AF111" i="24"/>
  <c r="AG51" i="24"/>
  <c r="AF51" i="24"/>
  <c r="AD137" i="25"/>
  <c r="W137" i="25"/>
  <c r="Z137" i="25" s="1"/>
  <c r="AA137" i="25" s="1"/>
  <c r="AB137" i="25" s="1"/>
  <c r="AI137" i="25" s="1"/>
  <c r="V137" i="25"/>
  <c r="X137" i="25" s="1"/>
  <c r="V226" i="25"/>
  <c r="X226" i="25" s="1"/>
  <c r="AK292" i="24"/>
  <c r="AN292" i="24"/>
  <c r="AG301" i="24"/>
  <c r="AF301" i="24"/>
  <c r="AD195" i="25"/>
  <c r="W195" i="25"/>
  <c r="Z195" i="25" s="1"/>
  <c r="AA195" i="25" s="1"/>
  <c r="AB195" i="25" s="1"/>
  <c r="AI195" i="25" s="1"/>
  <c r="V195" i="25"/>
  <c r="X195" i="25" s="1"/>
  <c r="AS113" i="25"/>
  <c r="V181" i="25"/>
  <c r="X181" i="25" s="1"/>
  <c r="AG133" i="24"/>
  <c r="AF133" i="24"/>
  <c r="AD301" i="25"/>
  <c r="W301" i="25"/>
  <c r="Z301" i="25" s="1"/>
  <c r="AA301" i="25" s="1"/>
  <c r="AB301" i="25" s="1"/>
  <c r="AI301" i="25" s="1"/>
  <c r="V313" i="25"/>
  <c r="X313" i="25" s="1"/>
  <c r="AG83" i="24"/>
  <c r="AF83" i="24"/>
  <c r="AD140" i="25"/>
  <c r="W140" i="25"/>
  <c r="Z140" i="25" s="1"/>
  <c r="AA140" i="25" s="1"/>
  <c r="AB140" i="25" s="1"/>
  <c r="AI140" i="25" s="1"/>
  <c r="AD128" i="25"/>
  <c r="W128" i="25"/>
  <c r="Z128" i="25" s="1"/>
  <c r="AA128" i="25" s="1"/>
  <c r="AB128" i="25" s="1"/>
  <c r="AI128" i="25" s="1"/>
  <c r="V128" i="25"/>
  <c r="X128" i="25" s="1"/>
  <c r="AG58" i="24"/>
  <c r="AF58" i="24"/>
  <c r="AG269" i="24"/>
  <c r="AF269" i="24"/>
  <c r="AG54" i="24"/>
  <c r="AF54" i="24"/>
  <c r="AG125" i="24"/>
  <c r="AF125" i="24"/>
  <c r="AG178" i="24"/>
  <c r="AF178" i="24"/>
  <c r="AD130" i="25"/>
  <c r="W130" i="25"/>
  <c r="Z130" i="25" s="1"/>
  <c r="AA130" i="25" s="1"/>
  <c r="AB130" i="25" s="1"/>
  <c r="AI130" i="25" s="1"/>
  <c r="V130" i="25"/>
  <c r="X130" i="25" s="1"/>
  <c r="AD136" i="25"/>
  <c r="W136" i="25"/>
  <c r="Z136" i="25" s="1"/>
  <c r="AA136" i="25" s="1"/>
  <c r="AB136" i="25" s="1"/>
  <c r="AI136" i="25" s="1"/>
  <c r="V136" i="25"/>
  <c r="X136" i="25" s="1"/>
  <c r="AG24" i="24"/>
  <c r="AF24" i="24"/>
  <c r="V289" i="25"/>
  <c r="X289" i="25" s="1"/>
  <c r="AF6" i="25"/>
  <c r="AE6" i="25"/>
  <c r="V301" i="25"/>
  <c r="X301" i="25" s="1"/>
  <c r="AG148" i="24"/>
  <c r="AF148" i="24"/>
  <c r="AG117" i="24"/>
  <c r="AF117" i="24"/>
  <c r="AG183" i="24"/>
  <c r="AF183" i="24"/>
  <c r="AG246" i="24"/>
  <c r="AF246" i="24"/>
  <c r="AS243" i="25"/>
  <c r="AD7" i="25"/>
  <c r="W7" i="25"/>
  <c r="Z7" i="25" s="1"/>
  <c r="AA7" i="25" s="1"/>
  <c r="AB7" i="25" s="1"/>
  <c r="AI7" i="25" s="1"/>
  <c r="V7" i="25"/>
  <c r="X7" i="25" s="1"/>
  <c r="AD79" i="25"/>
  <c r="W79" i="25"/>
  <c r="Z79" i="25" s="1"/>
  <c r="AA79" i="25" s="1"/>
  <c r="AB79" i="25" s="1"/>
  <c r="AI79" i="25" s="1"/>
  <c r="AG189" i="24"/>
  <c r="AF189" i="24"/>
  <c r="AD156" i="25"/>
  <c r="W156" i="25"/>
  <c r="Z156" i="25" s="1"/>
  <c r="AA156" i="25" s="1"/>
  <c r="AB156" i="25" s="1"/>
  <c r="AI156" i="25" s="1"/>
  <c r="AG200" i="24"/>
  <c r="AF200" i="24"/>
  <c r="AD316" i="25"/>
  <c r="W316" i="25"/>
  <c r="Z316" i="25" s="1"/>
  <c r="AA316" i="25" s="1"/>
  <c r="AB316" i="25" s="1"/>
  <c r="AI316" i="25" s="1"/>
  <c r="V316" i="25"/>
  <c r="X316" i="25" s="1"/>
  <c r="AD164" i="25"/>
  <c r="W164" i="25"/>
  <c r="Z164" i="25" s="1"/>
  <c r="AA164" i="25" s="1"/>
  <c r="AB164" i="25" s="1"/>
  <c r="AI164" i="25" s="1"/>
  <c r="V164" i="25"/>
  <c r="X164" i="25" s="1"/>
  <c r="AD315" i="25"/>
  <c r="W315" i="25"/>
  <c r="Z315" i="25" s="1"/>
  <c r="AA315" i="25" s="1"/>
  <c r="AB315" i="25" s="1"/>
  <c r="AI315" i="25" s="1"/>
  <c r="AD86" i="25"/>
  <c r="W86" i="25"/>
  <c r="Z86" i="25" s="1"/>
  <c r="AA86" i="25" s="1"/>
  <c r="AB86" i="25" s="1"/>
  <c r="AI86" i="25" s="1"/>
  <c r="AG121" i="24"/>
  <c r="AF121" i="24"/>
  <c r="AE96" i="25"/>
  <c r="AG281" i="24"/>
  <c r="AF281" i="24"/>
  <c r="AG296" i="24"/>
  <c r="AF296" i="24"/>
  <c r="AS189" i="25"/>
  <c r="AD119" i="25"/>
  <c r="W119" i="25"/>
  <c r="Z119" i="25" s="1"/>
  <c r="AA119" i="25" s="1"/>
  <c r="AB119" i="25" s="1"/>
  <c r="AI119" i="25" s="1"/>
  <c r="V119" i="25"/>
  <c r="X119" i="25" s="1"/>
  <c r="AG218" i="24"/>
  <c r="AF218" i="24"/>
  <c r="AG28" i="24"/>
  <c r="AF28" i="24"/>
  <c r="AS148" i="25"/>
  <c r="AG298" i="24"/>
  <c r="AF298" i="24"/>
  <c r="AD220" i="25"/>
  <c r="W220" i="25"/>
  <c r="Z220" i="25" s="1"/>
  <c r="AA220" i="25" s="1"/>
  <c r="AB220" i="25" s="1"/>
  <c r="AI220" i="25" s="1"/>
  <c r="AG280" i="24"/>
  <c r="AF280" i="24"/>
  <c r="AD25" i="25"/>
  <c r="W25" i="25"/>
  <c r="Z25" i="25" s="1"/>
  <c r="AA25" i="25" s="1"/>
  <c r="AB25" i="25" s="1"/>
  <c r="AI25" i="25" s="1"/>
  <c r="AN21" i="24"/>
  <c r="BI21" i="24" s="1"/>
  <c r="AK21" i="24"/>
  <c r="AG305" i="24"/>
  <c r="AF305" i="24"/>
  <c r="AF114" i="25"/>
  <c r="AE114" i="25"/>
  <c r="AG96" i="24"/>
  <c r="AF96" i="24"/>
  <c r="AG53" i="24"/>
  <c r="AF53" i="24"/>
  <c r="AS89" i="25"/>
  <c r="AG177" i="24"/>
  <c r="AF177" i="24"/>
  <c r="AF89" i="25"/>
  <c r="AE89" i="25"/>
  <c r="AJ112" i="24"/>
  <c r="AD145" i="25"/>
  <c r="W145" i="25"/>
  <c r="Z145" i="25" s="1"/>
  <c r="AA145" i="25" s="1"/>
  <c r="AB145" i="25" s="1"/>
  <c r="AI145" i="25" s="1"/>
  <c r="V145" i="25"/>
  <c r="X145" i="25" s="1"/>
  <c r="AG201" i="24"/>
  <c r="AF201" i="24"/>
  <c r="AG95" i="24"/>
  <c r="AF95" i="24"/>
  <c r="AG310" i="24"/>
  <c r="AF310" i="24"/>
  <c r="BA162" i="24"/>
  <c r="AD142" i="25"/>
  <c r="W142" i="25"/>
  <c r="Z142" i="25" s="1"/>
  <c r="AA142" i="25" s="1"/>
  <c r="AB142" i="25" s="1"/>
  <c r="AI142" i="25" s="1"/>
  <c r="AK44" i="24"/>
  <c r="AN44" i="24"/>
  <c r="AD45" i="25"/>
  <c r="W45" i="25"/>
  <c r="Z45" i="25" s="1"/>
  <c r="AA45" i="25" s="1"/>
  <c r="AB45" i="25" s="1"/>
  <c r="AI45" i="25" s="1"/>
  <c r="V45" i="25"/>
  <c r="X45" i="25" s="1"/>
  <c r="AD285" i="25"/>
  <c r="W285" i="25"/>
  <c r="Z285" i="25" s="1"/>
  <c r="AA285" i="25" s="1"/>
  <c r="AB285" i="25" s="1"/>
  <c r="AI285" i="25" s="1"/>
  <c r="V285" i="25"/>
  <c r="X285" i="25" s="1"/>
  <c r="AG303" i="24"/>
  <c r="AF303" i="24"/>
  <c r="AF87" i="25"/>
  <c r="AE87" i="25"/>
  <c r="AK236" i="24"/>
  <c r="AN236" i="24"/>
  <c r="BA160" i="24"/>
  <c r="AF293" i="25"/>
  <c r="AE293" i="25"/>
  <c r="AG302" i="24"/>
  <c r="AF302" i="24"/>
  <c r="AF190" i="25"/>
  <c r="AE190" i="25"/>
  <c r="AF71" i="25"/>
  <c r="AE71" i="25"/>
  <c r="V299" i="25"/>
  <c r="X299" i="25" s="1"/>
  <c r="AD300" i="25"/>
  <c r="W300" i="25"/>
  <c r="Z300" i="25" s="1"/>
  <c r="AA300" i="25" s="1"/>
  <c r="AB300" i="25" s="1"/>
  <c r="AI300" i="25" s="1"/>
  <c r="V300" i="25"/>
  <c r="X300" i="25" s="1"/>
  <c r="AG203" i="24"/>
  <c r="AF203" i="24"/>
  <c r="AD272" i="25"/>
  <c r="W272" i="25"/>
  <c r="Z272" i="25" s="1"/>
  <c r="AA272" i="25" s="1"/>
  <c r="AB272" i="25" s="1"/>
  <c r="AI272" i="25" s="1"/>
  <c r="AS158" i="25"/>
  <c r="AG10" i="24"/>
  <c r="AF10" i="24"/>
  <c r="AS21" i="25"/>
  <c r="AG149" i="24"/>
  <c r="AF149" i="24"/>
  <c r="AS255" i="25"/>
  <c r="AF201" i="25"/>
  <c r="AE201" i="25"/>
  <c r="AG163" i="24"/>
  <c r="AF163" i="24"/>
  <c r="AG182" i="24"/>
  <c r="AF182" i="24"/>
  <c r="AG230" i="24"/>
  <c r="AF230" i="24"/>
  <c r="AG241" i="24"/>
  <c r="AF241" i="24"/>
  <c r="AD65" i="25"/>
  <c r="W65" i="25"/>
  <c r="Z65" i="25" s="1"/>
  <c r="AA65" i="25" s="1"/>
  <c r="AB65" i="25" s="1"/>
  <c r="AI65" i="25" s="1"/>
  <c r="V65" i="25"/>
  <c r="X65" i="25" s="1"/>
  <c r="AS248" i="25"/>
  <c r="AE265" i="25"/>
  <c r="AD23" i="25"/>
  <c r="W23" i="25"/>
  <c r="Z23" i="25" s="1"/>
  <c r="AA23" i="25" s="1"/>
  <c r="AB23" i="25" s="1"/>
  <c r="AI23" i="25" s="1"/>
  <c r="AD47" i="25"/>
  <c r="W47" i="25"/>
  <c r="Z47" i="25" s="1"/>
  <c r="AA47" i="25" s="1"/>
  <c r="AB47" i="25" s="1"/>
  <c r="AI47" i="25" s="1"/>
  <c r="AG46" i="24"/>
  <c r="AF46" i="24"/>
  <c r="AG39" i="24"/>
  <c r="AF39" i="24"/>
  <c r="AT236" i="24"/>
  <c r="AG262" i="24"/>
  <c r="AF262" i="24"/>
  <c r="AS296" i="25"/>
  <c r="AG127" i="24"/>
  <c r="AF127" i="24"/>
  <c r="AS173" i="25"/>
  <c r="AD175" i="25"/>
  <c r="W175" i="25"/>
  <c r="Z175" i="25" s="1"/>
  <c r="AA175" i="25" s="1"/>
  <c r="AB175" i="25" s="1"/>
  <c r="AI175" i="25" s="1"/>
  <c r="AG197" i="24"/>
  <c r="AF197" i="24"/>
  <c r="AD219" i="25"/>
  <c r="W219" i="25"/>
  <c r="Z219" i="25" s="1"/>
  <c r="AA219" i="25" s="1"/>
  <c r="AB219" i="25" s="1"/>
  <c r="AI219" i="25" s="1"/>
  <c r="AG98" i="24"/>
  <c r="AF98" i="24"/>
  <c r="AF113" i="25"/>
  <c r="AE113" i="25"/>
  <c r="AD241" i="25"/>
  <c r="W241" i="25"/>
  <c r="Z241" i="25" s="1"/>
  <c r="AA241" i="25" s="1"/>
  <c r="AB241" i="25" s="1"/>
  <c r="AI241" i="25" s="1"/>
  <c r="V241" i="25"/>
  <c r="X241" i="25" s="1"/>
  <c r="AD309" i="25"/>
  <c r="W309" i="25"/>
  <c r="Z309" i="25" s="1"/>
  <c r="AA309" i="25" s="1"/>
  <c r="AB309" i="25" s="1"/>
  <c r="AI309" i="25" s="1"/>
  <c r="V309" i="25"/>
  <c r="X309" i="25" s="1"/>
  <c r="AG196" i="24"/>
  <c r="AF196" i="24"/>
  <c r="AS174" i="25"/>
  <c r="AG69" i="24"/>
  <c r="AF69" i="24"/>
  <c r="AG313" i="24"/>
  <c r="AF313" i="24"/>
  <c r="AG274" i="24"/>
  <c r="AF274" i="24"/>
  <c r="AD126" i="25"/>
  <c r="W126" i="25"/>
  <c r="Z126" i="25" s="1"/>
  <c r="AA126" i="25" s="1"/>
  <c r="AB126" i="25" s="1"/>
  <c r="AI126" i="25" s="1"/>
  <c r="V126" i="25"/>
  <c r="X126" i="25" s="1"/>
  <c r="AS177" i="25"/>
  <c r="AD19" i="25"/>
  <c r="W19" i="25"/>
  <c r="Z19" i="25" s="1"/>
  <c r="AA19" i="25" s="1"/>
  <c r="AB19" i="25" s="1"/>
  <c r="AI19" i="25" s="1"/>
  <c r="V19" i="25"/>
  <c r="X19" i="25" s="1"/>
  <c r="AD57" i="25"/>
  <c r="W57" i="25"/>
  <c r="Z57" i="25" s="1"/>
  <c r="AA57" i="25" s="1"/>
  <c r="AB57" i="25" s="1"/>
  <c r="AI57" i="25" s="1"/>
  <c r="V57" i="25"/>
  <c r="X57" i="25" s="1"/>
  <c r="AG258" i="24"/>
  <c r="AF258" i="24"/>
  <c r="AD52" i="25"/>
  <c r="W52" i="25"/>
  <c r="Z52" i="25" s="1"/>
  <c r="AA52" i="25" s="1"/>
  <c r="AB52" i="25" s="1"/>
  <c r="AI52" i="25" s="1"/>
  <c r="V52" i="25"/>
  <c r="X52" i="25" s="1"/>
  <c r="AF243" i="25"/>
  <c r="AE243" i="25"/>
  <c r="AK101" i="24"/>
  <c r="AN101" i="24"/>
  <c r="AD284" i="25"/>
  <c r="W284" i="25"/>
  <c r="Z284" i="25" s="1"/>
  <c r="AA284" i="25" s="1"/>
  <c r="AB284" i="25" s="1"/>
  <c r="AI284" i="25" s="1"/>
  <c r="V284" i="25"/>
  <c r="X284" i="25" s="1"/>
  <c r="AG29" i="24"/>
  <c r="AF29" i="24"/>
  <c r="AD8" i="25"/>
  <c r="W8" i="25"/>
  <c r="Z8" i="25" s="1"/>
  <c r="AA8" i="25" s="1"/>
  <c r="AB8" i="25" s="1"/>
  <c r="AI8" i="25" s="1"/>
  <c r="V8" i="25"/>
  <c r="X8" i="25" s="1"/>
  <c r="AD127" i="25"/>
  <c r="W127" i="25"/>
  <c r="Z127" i="25" s="1"/>
  <c r="AA127" i="25" s="1"/>
  <c r="AB127" i="25" s="1"/>
  <c r="AI127" i="25" s="1"/>
  <c r="V127" i="25"/>
  <c r="X127" i="25" s="1"/>
  <c r="AG52" i="24"/>
  <c r="AF52" i="24"/>
  <c r="AS275" i="25"/>
  <c r="AG311" i="24"/>
  <c r="AF311" i="24"/>
  <c r="AG104" i="24"/>
  <c r="AF104" i="24"/>
  <c r="AD105" i="25"/>
  <c r="W105" i="25"/>
  <c r="Z105" i="25" s="1"/>
  <c r="AA105" i="25" s="1"/>
  <c r="AB105" i="25" s="1"/>
  <c r="AI105" i="25" s="1"/>
  <c r="AG14" i="24"/>
  <c r="AF14" i="24"/>
  <c r="AF148" i="25"/>
  <c r="AE148" i="25"/>
  <c r="AG131" i="24"/>
  <c r="AF131" i="24"/>
  <c r="AG172" i="24"/>
  <c r="AF172" i="24"/>
  <c r="AG179" i="24"/>
  <c r="AF179" i="24"/>
  <c r="AG276" i="24"/>
  <c r="AF276" i="24"/>
  <c r="AS14" i="25"/>
  <c r="AD78" i="25"/>
  <c r="W78" i="25"/>
  <c r="Z78" i="25" s="1"/>
  <c r="AA78" i="25" s="1"/>
  <c r="AB78" i="25" s="1"/>
  <c r="AI78" i="25" s="1"/>
  <c r="AD15" i="25"/>
  <c r="W15" i="25"/>
  <c r="Z15" i="25" s="1"/>
  <c r="AA15" i="25" s="1"/>
  <c r="AB15" i="25" s="1"/>
  <c r="AI15" i="25" s="1"/>
  <c r="V15" i="25"/>
  <c r="X15" i="25" s="1"/>
  <c r="AG254" i="24"/>
  <c r="AF254" i="24"/>
  <c r="AG65" i="24"/>
  <c r="AF65" i="24"/>
  <c r="AS155" i="25"/>
  <c r="AG308" i="24"/>
  <c r="AF308" i="24"/>
  <c r="V230" i="25"/>
  <c r="X230" i="25" s="1"/>
  <c r="AD294" i="25"/>
  <c r="W294" i="25"/>
  <c r="Z294" i="25" s="1"/>
  <c r="AA294" i="25" s="1"/>
  <c r="AB294" i="25" s="1"/>
  <c r="AI294" i="25" s="1"/>
  <c r="V294" i="25"/>
  <c r="X294" i="25" s="1"/>
  <c r="AG81" i="24"/>
  <c r="AF81" i="24"/>
  <c r="AG250" i="24"/>
  <c r="AF250" i="24"/>
  <c r="AD121" i="25"/>
  <c r="W121" i="25"/>
  <c r="Z121" i="25" s="1"/>
  <c r="AA121" i="25" s="1"/>
  <c r="AB121" i="25" s="1"/>
  <c r="AI121" i="25" s="1"/>
  <c r="AG138" i="24"/>
  <c r="AF138" i="24"/>
  <c r="AD188" i="25"/>
  <c r="W188" i="25"/>
  <c r="Z188" i="25" s="1"/>
  <c r="AA188" i="25" s="1"/>
  <c r="AB188" i="25" s="1"/>
  <c r="AI188" i="25" s="1"/>
  <c r="AF262" i="25"/>
  <c r="AE262" i="25"/>
  <c r="AG63" i="24"/>
  <c r="AF63" i="24"/>
  <c r="AG204" i="24"/>
  <c r="AF204" i="24"/>
  <c r="AG186" i="24"/>
  <c r="AF186" i="24"/>
  <c r="AD168" i="25"/>
  <c r="W168" i="25"/>
  <c r="Z168" i="25" s="1"/>
  <c r="AA168" i="25" s="1"/>
  <c r="AB168" i="25" s="1"/>
  <c r="AI168" i="25" s="1"/>
  <c r="V168" i="25"/>
  <c r="X168" i="25" s="1"/>
  <c r="AD205" i="25"/>
  <c r="W205" i="25"/>
  <c r="Z205" i="25" s="1"/>
  <c r="AA205" i="25" s="1"/>
  <c r="AB205" i="25" s="1"/>
  <c r="AI205" i="25" s="1"/>
  <c r="AD41" i="25"/>
  <c r="W41" i="25"/>
  <c r="Z41" i="25" s="1"/>
  <c r="AA41" i="25" s="1"/>
  <c r="AB41" i="25" s="1"/>
  <c r="AI41" i="25" s="1"/>
  <c r="AD304" i="25"/>
  <c r="W304" i="25"/>
  <c r="Z304" i="25" s="1"/>
  <c r="AA304" i="25" s="1"/>
  <c r="AB304" i="25" s="1"/>
  <c r="AI304" i="25" s="1"/>
  <c r="AD150" i="25"/>
  <c r="W150" i="25"/>
  <c r="Z150" i="25" s="1"/>
  <c r="AA150" i="25" s="1"/>
  <c r="AB150" i="25" s="1"/>
  <c r="AI150" i="25" s="1"/>
  <c r="V150" i="25"/>
  <c r="X150" i="25" s="1"/>
  <c r="AD124" i="25"/>
  <c r="W124" i="25"/>
  <c r="Z124" i="25" s="1"/>
  <c r="AA124" i="25" s="1"/>
  <c r="AB124" i="25" s="1"/>
  <c r="AI124" i="25" s="1"/>
  <c r="V124" i="25"/>
  <c r="X124" i="25" s="1"/>
  <c r="AD51" i="25"/>
  <c r="W51" i="25"/>
  <c r="Z51" i="25" s="1"/>
  <c r="AA51" i="25" s="1"/>
  <c r="AB51" i="25" s="1"/>
  <c r="AI51" i="25" s="1"/>
  <c r="V51" i="25"/>
  <c r="X51" i="25" s="1"/>
  <c r="AG194" i="24"/>
  <c r="AF194" i="24"/>
  <c r="AG275" i="24"/>
  <c r="AF275" i="24"/>
  <c r="AF13" i="25"/>
  <c r="AE13" i="25"/>
  <c r="AJ59" i="24"/>
  <c r="AS240" i="25"/>
  <c r="AD200" i="25"/>
  <c r="W200" i="25"/>
  <c r="Z200" i="25" s="1"/>
  <c r="AA200" i="25" s="1"/>
  <c r="AB200" i="25" s="1"/>
  <c r="AI200" i="25" s="1"/>
  <c r="AN294" i="24"/>
  <c r="BI294" i="24" s="1"/>
  <c r="AK294" i="24"/>
  <c r="AD33" i="25"/>
  <c r="W33" i="25"/>
  <c r="Z33" i="25" s="1"/>
  <c r="AA33" i="25" s="1"/>
  <c r="AB33" i="25" s="1"/>
  <c r="AI33" i="25" s="1"/>
  <c r="V33" i="25"/>
  <c r="X33" i="25" s="1"/>
  <c r="AG245" i="24"/>
  <c r="AF245" i="24"/>
  <c r="AD74" i="25"/>
  <c r="W74" i="25"/>
  <c r="Z74" i="25" s="1"/>
  <c r="AA74" i="25" s="1"/>
  <c r="AB74" i="25" s="1"/>
  <c r="AI74" i="25" s="1"/>
  <c r="AD26" i="25"/>
  <c r="W26" i="25"/>
  <c r="Z26" i="25" s="1"/>
  <c r="AA26" i="25" s="1"/>
  <c r="AB26" i="25" s="1"/>
  <c r="AI26" i="25" s="1"/>
  <c r="V142" i="25"/>
  <c r="X142" i="25" s="1"/>
  <c r="V115" i="25"/>
  <c r="X115" i="25" s="1"/>
  <c r="AJ8" i="24"/>
  <c r="AG90" i="24"/>
  <c r="AF90" i="24"/>
  <c r="AG77" i="24"/>
  <c r="AF77" i="24"/>
  <c r="AJ260" i="24"/>
  <c r="AG286" i="24"/>
  <c r="AF286" i="24"/>
  <c r="AD244" i="25"/>
  <c r="W244" i="25"/>
  <c r="Z244" i="25" s="1"/>
  <c r="AA244" i="25" s="1"/>
  <c r="AB244" i="25" s="1"/>
  <c r="AI244" i="25" s="1"/>
  <c r="V244" i="25"/>
  <c r="X244" i="25" s="1"/>
  <c r="AF158" i="25"/>
  <c r="AE158" i="25"/>
  <c r="AG239" i="24"/>
  <c r="AF239" i="24"/>
  <c r="AF21" i="25"/>
  <c r="AE21" i="25"/>
  <c r="AG304" i="24"/>
  <c r="AF304" i="24"/>
  <c r="AJ271" i="24"/>
  <c r="AG70" i="24"/>
  <c r="AF70" i="24"/>
  <c r="AF255" i="25"/>
  <c r="AE255" i="25"/>
  <c r="BA257" i="24"/>
  <c r="AJ247" i="24"/>
  <c r="AJ279" i="24"/>
  <c r="AG170" i="24"/>
  <c r="AF170" i="24"/>
  <c r="AF248" i="25"/>
  <c r="AE248" i="25"/>
  <c r="AJ126" i="24"/>
  <c r="AJ259" i="24"/>
  <c r="AF296" i="25"/>
  <c r="AE296" i="25"/>
  <c r="AF173" i="25"/>
  <c r="AE173" i="25"/>
  <c r="AD123" i="25"/>
  <c r="W123" i="25"/>
  <c r="Z123" i="25" s="1"/>
  <c r="AA123" i="25" s="1"/>
  <c r="AB123" i="25" s="1"/>
  <c r="AI123" i="25" s="1"/>
  <c r="AD209" i="25"/>
  <c r="W209" i="25"/>
  <c r="Z209" i="25" s="1"/>
  <c r="AA209" i="25" s="1"/>
  <c r="AB209" i="25" s="1"/>
  <c r="AI209" i="25" s="1"/>
  <c r="AJ33" i="24"/>
  <c r="AS229" i="25"/>
  <c r="AJ224" i="24"/>
  <c r="AV22" i="24"/>
  <c r="AT22" i="24"/>
  <c r="AD16" i="25"/>
  <c r="W16" i="25"/>
  <c r="Z16" i="25" s="1"/>
  <c r="AA16" i="25" s="1"/>
  <c r="AB16" i="25" s="1"/>
  <c r="AI16" i="25" s="1"/>
  <c r="V16" i="25"/>
  <c r="X16" i="25" s="1"/>
  <c r="AJ290" i="24"/>
  <c r="AJ30" i="24"/>
  <c r="AJ237" i="24"/>
  <c r="AD98" i="25"/>
  <c r="W98" i="25"/>
  <c r="Z98" i="25" s="1"/>
  <c r="AA98" i="25" s="1"/>
  <c r="AB98" i="25" s="1"/>
  <c r="AI98" i="25" s="1"/>
  <c r="AF174" i="25"/>
  <c r="AE174" i="25"/>
  <c r="AD160" i="25"/>
  <c r="W160" i="25"/>
  <c r="Z160" i="25" s="1"/>
  <c r="AA160" i="25" s="1"/>
  <c r="AB160" i="25" s="1"/>
  <c r="AI160" i="25" s="1"/>
  <c r="AD266" i="25"/>
  <c r="W266" i="25"/>
  <c r="Z266" i="25" s="1"/>
  <c r="AA266" i="25" s="1"/>
  <c r="AB266" i="25" s="1"/>
  <c r="AI266" i="25" s="1"/>
  <c r="AJ145" i="24"/>
  <c r="AJ20" i="24"/>
  <c r="AG82" i="24"/>
  <c r="AF82" i="24"/>
  <c r="V219" i="25"/>
  <c r="X219" i="25" s="1"/>
  <c r="AD60" i="25"/>
  <c r="W60" i="25"/>
  <c r="Z60" i="25" s="1"/>
  <c r="AA60" i="25" s="1"/>
  <c r="AB60" i="25" s="1"/>
  <c r="AI60" i="25" s="1"/>
  <c r="V60" i="25"/>
  <c r="X60" i="25" s="1"/>
  <c r="AD172" i="25"/>
  <c r="W172" i="25"/>
  <c r="Z172" i="25" s="1"/>
  <c r="AA172" i="25" s="1"/>
  <c r="AB172" i="25" s="1"/>
  <c r="AI172" i="25" s="1"/>
  <c r="V172" i="25"/>
  <c r="X172" i="25" s="1"/>
  <c r="AF177" i="25"/>
  <c r="AE177" i="25"/>
  <c r="AJ225" i="24"/>
  <c r="AJ18" i="24"/>
  <c r="AS34" i="25"/>
  <c r="AG158" i="24"/>
  <c r="AF158" i="24"/>
  <c r="AJ238" i="24"/>
  <c r="AJ266" i="24"/>
  <c r="AG116" i="24"/>
  <c r="AF116" i="24"/>
  <c r="AG268" i="24"/>
  <c r="AF268" i="24"/>
  <c r="V278" i="25"/>
  <c r="X278" i="25" s="1"/>
  <c r="AJ6" i="24"/>
  <c r="AJ57" i="24"/>
  <c r="AG195" i="24"/>
  <c r="AF195" i="24"/>
  <c r="AJ235" i="24"/>
  <c r="AG309" i="24"/>
  <c r="AF309" i="24"/>
  <c r="AG255" i="24"/>
  <c r="AF255" i="24"/>
  <c r="AG307" i="24"/>
  <c r="AF307" i="24"/>
  <c r="AJ129" i="24"/>
  <c r="AD233" i="25"/>
  <c r="W233" i="25"/>
  <c r="Z233" i="25" s="1"/>
  <c r="AA233" i="25" s="1"/>
  <c r="AB233" i="25" s="1"/>
  <c r="AI233" i="25" s="1"/>
  <c r="V233" i="25"/>
  <c r="X233" i="25" s="1"/>
  <c r="AJ34" i="24"/>
  <c r="AS92" i="25"/>
  <c r="AD43" i="25"/>
  <c r="W43" i="25"/>
  <c r="Z43" i="25" s="1"/>
  <c r="AA43" i="25" s="1"/>
  <c r="AB43" i="25" s="1"/>
  <c r="AI43" i="25" s="1"/>
  <c r="V43" i="25"/>
  <c r="X43" i="25" s="1"/>
  <c r="AG187" i="24"/>
  <c r="AF187" i="24"/>
  <c r="AS95" i="25"/>
  <c r="AG140" i="24"/>
  <c r="AF140" i="24"/>
  <c r="AD231" i="25"/>
  <c r="W231" i="25"/>
  <c r="Z231" i="25" s="1"/>
  <c r="AA231" i="25" s="1"/>
  <c r="AB231" i="25" s="1"/>
  <c r="AI231" i="25" s="1"/>
  <c r="AG25" i="24"/>
  <c r="AF25" i="24"/>
  <c r="AJ19" i="24"/>
  <c r="AF275" i="25"/>
  <c r="AE275" i="25"/>
  <c r="AD64" i="25"/>
  <c r="W64" i="25"/>
  <c r="Z64" i="25" s="1"/>
  <c r="AA64" i="25" s="1"/>
  <c r="AB64" i="25" s="1"/>
  <c r="AI64" i="25" s="1"/>
  <c r="V64" i="25"/>
  <c r="X64" i="25" s="1"/>
  <c r="AG270" i="24"/>
  <c r="AF270" i="24"/>
  <c r="AW110" i="25"/>
  <c r="AX110" i="25"/>
  <c r="AG277" i="24"/>
  <c r="AF277" i="24"/>
  <c r="AG161" i="24"/>
  <c r="AF161" i="24"/>
  <c r="AS261" i="25"/>
  <c r="AJ240" i="24"/>
  <c r="AG118" i="24"/>
  <c r="AF118" i="24"/>
  <c r="AF14" i="25"/>
  <c r="AE14" i="25"/>
  <c r="AS306" i="25"/>
  <c r="AJ114" i="24"/>
  <c r="AS206" i="25"/>
  <c r="AG210" i="24"/>
  <c r="AF210" i="24"/>
  <c r="AD116" i="25"/>
  <c r="W116" i="25"/>
  <c r="Z116" i="25" s="1"/>
  <c r="AA116" i="25" s="1"/>
  <c r="AB116" i="25" s="1"/>
  <c r="AI116" i="25" s="1"/>
  <c r="AG85" i="24"/>
  <c r="AF85" i="24"/>
  <c r="AG198" i="24"/>
  <c r="AF198" i="24"/>
  <c r="AG112" i="24"/>
  <c r="AF112" i="24"/>
  <c r="AT132" i="24"/>
  <c r="AS246" i="25"/>
  <c r="BA191" i="24"/>
  <c r="AS192" i="25"/>
  <c r="AF240" i="25"/>
  <c r="AE240" i="25"/>
  <c r="AG208" i="24"/>
  <c r="AF208" i="24"/>
  <c r="AD68" i="25"/>
  <c r="W68" i="25"/>
  <c r="Z68" i="25" s="1"/>
  <c r="AA68" i="25" s="1"/>
  <c r="AB68" i="25" s="1"/>
  <c r="AI68" i="25" s="1"/>
  <c r="AD221" i="25"/>
  <c r="W221" i="25"/>
  <c r="Z221" i="25" s="1"/>
  <c r="AA221" i="25" s="1"/>
  <c r="AB221" i="25" s="1"/>
  <c r="AI221" i="25" s="1"/>
  <c r="AG136" i="24"/>
  <c r="AF136" i="24"/>
  <c r="AD245" i="25"/>
  <c r="W245" i="25"/>
  <c r="Z245" i="25" s="1"/>
  <c r="AA245" i="25" s="1"/>
  <c r="AB245" i="25" s="1"/>
  <c r="AI245" i="25" s="1"/>
  <c r="V245" i="25"/>
  <c r="X245" i="25" s="1"/>
  <c r="AJ263" i="24"/>
  <c r="AD27" i="25"/>
  <c r="W27" i="25"/>
  <c r="Z27" i="25" s="1"/>
  <c r="AA27" i="25" s="1"/>
  <c r="AB27" i="25" s="1"/>
  <c r="AI27" i="25" s="1"/>
  <c r="AJ48" i="24"/>
  <c r="AG62" i="24"/>
  <c r="AF62" i="24"/>
  <c r="AD210" i="25"/>
  <c r="W210" i="25"/>
  <c r="Z210" i="25" s="1"/>
  <c r="AA210" i="25" s="1"/>
  <c r="AB210" i="25" s="1"/>
  <c r="AI210" i="25" s="1"/>
  <c r="AG169" i="24"/>
  <c r="AF169" i="24"/>
  <c r="AJ297" i="24"/>
  <c r="AG143" i="24"/>
  <c r="AF143" i="24"/>
  <c r="AD225" i="25"/>
  <c r="W225" i="25"/>
  <c r="Z225" i="25" s="1"/>
  <c r="AA225" i="25" s="1"/>
  <c r="AB225" i="25" s="1"/>
  <c r="AI225" i="25" s="1"/>
  <c r="AJ123" i="24"/>
  <c r="AD133" i="25"/>
  <c r="W133" i="25"/>
  <c r="Z133" i="25" s="1"/>
  <c r="AA133" i="25" s="1"/>
  <c r="AB133" i="25" s="1"/>
  <c r="AI133" i="25" s="1"/>
  <c r="V133" i="25"/>
  <c r="X133" i="25" s="1"/>
  <c r="AN55" i="24"/>
  <c r="AK55" i="24"/>
  <c r="AD203" i="25"/>
  <c r="W203" i="25"/>
  <c r="Z203" i="25" s="1"/>
  <c r="AA203" i="25" s="1"/>
  <c r="AB203" i="25" s="1"/>
  <c r="AI203" i="25" s="1"/>
  <c r="AG122" i="24"/>
  <c r="AF122" i="24"/>
  <c r="AG146" i="24"/>
  <c r="AF146" i="24"/>
  <c r="AJ56" i="24"/>
  <c r="AD151" i="25"/>
  <c r="W151" i="25"/>
  <c r="Z151" i="25" s="1"/>
  <c r="AA151" i="25" s="1"/>
  <c r="AB151" i="25" s="1"/>
  <c r="AI151" i="25" s="1"/>
  <c r="V151" i="25"/>
  <c r="X151" i="25" s="1"/>
  <c r="AK190" i="24"/>
  <c r="AN190" i="24"/>
  <c r="BI190" i="24" s="1"/>
  <c r="AG88" i="24"/>
  <c r="AF88" i="24"/>
  <c r="AG229" i="24"/>
  <c r="AF229" i="24"/>
  <c r="AG92" i="24"/>
  <c r="AF92" i="24"/>
  <c r="AD36" i="25"/>
  <c r="W36" i="25"/>
  <c r="Z36" i="25" s="1"/>
  <c r="AA36" i="25" s="1"/>
  <c r="AB36" i="25" s="1"/>
  <c r="AI36" i="25" s="1"/>
  <c r="V36" i="25"/>
  <c r="X36" i="25" s="1"/>
  <c r="AJ17" i="24"/>
  <c r="AS238" i="25"/>
  <c r="AG316" i="24"/>
  <c r="AF316" i="24"/>
  <c r="AF229" i="25"/>
  <c r="AE229" i="25"/>
  <c r="AS186" i="25"/>
  <c r="AJ9" i="24"/>
  <c r="AD35" i="25"/>
  <c r="W35" i="25"/>
  <c r="Z35" i="25" s="1"/>
  <c r="AA35" i="25" s="1"/>
  <c r="AB35" i="25" s="1"/>
  <c r="AI35" i="25" s="1"/>
  <c r="V35" i="25"/>
  <c r="X35" i="25" s="1"/>
  <c r="AG42" i="24"/>
  <c r="AF42" i="24"/>
  <c r="AD227" i="25"/>
  <c r="W227" i="25"/>
  <c r="Z227" i="25" s="1"/>
  <c r="AA227" i="25" s="1"/>
  <c r="AB227" i="25" s="1"/>
  <c r="AI227" i="25" s="1"/>
  <c r="V227" i="25"/>
  <c r="X227" i="25" s="1"/>
  <c r="AD38" i="25"/>
  <c r="W38" i="25"/>
  <c r="Z38" i="25" s="1"/>
  <c r="AA38" i="25" s="1"/>
  <c r="AB38" i="25" s="1"/>
  <c r="AI38" i="25" s="1"/>
  <c r="AJ219" i="24"/>
  <c r="AG144" i="24"/>
  <c r="AF144" i="24"/>
  <c r="AJ261" i="24"/>
  <c r="AG300" i="24"/>
  <c r="AF300" i="24"/>
  <c r="AD194" i="25"/>
  <c r="W194" i="25"/>
  <c r="Z194" i="25" s="1"/>
  <c r="AA194" i="25" s="1"/>
  <c r="AB194" i="25" s="1"/>
  <c r="AI194" i="25" s="1"/>
  <c r="AD67" i="25"/>
  <c r="W67" i="25"/>
  <c r="Z67" i="25" s="1"/>
  <c r="AA67" i="25" s="1"/>
  <c r="AB67" i="25" s="1"/>
  <c r="AI67" i="25" s="1"/>
  <c r="AX129" i="25"/>
  <c r="AW129" i="25"/>
  <c r="AJ128" i="24"/>
  <c r="AS257" i="25"/>
  <c r="AJ283" i="24"/>
  <c r="AD103" i="25"/>
  <c r="W103" i="25"/>
  <c r="Z103" i="25" s="1"/>
  <c r="AA103" i="25" s="1"/>
  <c r="AB103" i="25" s="1"/>
  <c r="AI103" i="25" s="1"/>
  <c r="AD163" i="25"/>
  <c r="W163" i="25"/>
  <c r="Z163" i="25" s="1"/>
  <c r="AA163" i="25" s="1"/>
  <c r="AB163" i="25" s="1"/>
  <c r="AI163" i="25" s="1"/>
  <c r="V163" i="25"/>
  <c r="X163" i="25" s="1"/>
  <c r="AG15" i="24"/>
  <c r="AF15" i="24"/>
  <c r="AG159" i="24"/>
  <c r="AF159" i="24"/>
  <c r="AG256" i="24"/>
  <c r="AF256" i="24"/>
  <c r="AF34" i="25"/>
  <c r="AE34" i="25"/>
  <c r="AD254" i="25"/>
  <c r="W254" i="25"/>
  <c r="Z254" i="25" s="1"/>
  <c r="AA254" i="25" s="1"/>
  <c r="AB254" i="25" s="1"/>
  <c r="AI254" i="25" s="1"/>
  <c r="V254" i="25"/>
  <c r="X254" i="25" s="1"/>
  <c r="AD234" i="25"/>
  <c r="W234" i="25"/>
  <c r="Z234" i="25" s="1"/>
  <c r="AA234" i="25" s="1"/>
  <c r="AB234" i="25" s="1"/>
  <c r="AI234" i="25" s="1"/>
  <c r="AG180" i="24"/>
  <c r="AF180" i="24"/>
  <c r="AD252" i="25"/>
  <c r="W252" i="25"/>
  <c r="Z252" i="25" s="1"/>
  <c r="AA252" i="25" s="1"/>
  <c r="AB252" i="25" s="1"/>
  <c r="AI252" i="25" s="1"/>
  <c r="V252" i="25"/>
  <c r="X252" i="25" s="1"/>
  <c r="AG252" i="24"/>
  <c r="AF252" i="24"/>
  <c r="AJ299" i="24"/>
  <c r="AD223" i="25"/>
  <c r="W223" i="25"/>
  <c r="Z223" i="25" s="1"/>
  <c r="AA223" i="25" s="1"/>
  <c r="AB223" i="25" s="1"/>
  <c r="AI223" i="25" s="1"/>
  <c r="AD91" i="25"/>
  <c r="W91" i="25"/>
  <c r="Z91" i="25" s="1"/>
  <c r="AA91" i="25" s="1"/>
  <c r="AB91" i="25" s="1"/>
  <c r="AI91" i="25" s="1"/>
  <c r="V91" i="25"/>
  <c r="X91" i="25" s="1"/>
  <c r="AG287" i="24"/>
  <c r="AF287" i="24"/>
  <c r="AG173" i="24"/>
  <c r="AF173" i="24"/>
  <c r="AG11" i="24"/>
  <c r="AF11" i="24"/>
  <c r="AF92" i="25"/>
  <c r="AE92" i="25"/>
  <c r="AG291" i="24"/>
  <c r="AF291" i="24"/>
  <c r="AF95" i="25"/>
  <c r="AE95" i="25"/>
  <c r="AD287" i="25"/>
  <c r="W287" i="25"/>
  <c r="Z287" i="25" s="1"/>
  <c r="AA287" i="25" s="1"/>
  <c r="AB287" i="25" s="1"/>
  <c r="AI287" i="25" s="1"/>
  <c r="AG288" i="24"/>
  <c r="AF288" i="24"/>
  <c r="AJ267" i="24"/>
  <c r="AG222" i="24"/>
  <c r="AF222" i="24"/>
  <c r="AG202" i="24"/>
  <c r="AF202" i="24"/>
  <c r="AD17" i="25"/>
  <c r="W17" i="25"/>
  <c r="Z17" i="25" s="1"/>
  <c r="AA17" i="25" s="1"/>
  <c r="AB17" i="25" s="1"/>
  <c r="AI17" i="25" s="1"/>
  <c r="V17" i="25"/>
  <c r="X17" i="25" s="1"/>
  <c r="AF261" i="25"/>
  <c r="AE261" i="25"/>
  <c r="AD132" i="25"/>
  <c r="W132" i="25"/>
  <c r="Z132" i="25" s="1"/>
  <c r="AA132" i="25" s="1"/>
  <c r="AB132" i="25" s="1"/>
  <c r="AI132" i="25" s="1"/>
  <c r="V132" i="25"/>
  <c r="X132" i="25" s="1"/>
  <c r="AG199" i="24"/>
  <c r="AF199" i="24"/>
  <c r="AS59" i="25"/>
  <c r="AG31" i="24"/>
  <c r="AF31" i="24"/>
  <c r="AG289" i="24"/>
  <c r="AF289" i="24"/>
  <c r="AJ265" i="24"/>
  <c r="AD312" i="25"/>
  <c r="W312" i="25"/>
  <c r="Z312" i="25" s="1"/>
  <c r="AA312" i="25" s="1"/>
  <c r="AB312" i="25" s="1"/>
  <c r="AI312" i="25" s="1"/>
  <c r="V312" i="25"/>
  <c r="X312" i="25" s="1"/>
  <c r="AN7" i="24"/>
  <c r="AK7" i="24"/>
  <c r="AJ32" i="24"/>
  <c r="AG105" i="24"/>
  <c r="AF105" i="24"/>
  <c r="AG166" i="24"/>
  <c r="AF166" i="24"/>
  <c r="AF306" i="25"/>
  <c r="AE306" i="25"/>
  <c r="AG113" i="24"/>
  <c r="AF113" i="24"/>
  <c r="AG151" i="24"/>
  <c r="AF151" i="24"/>
  <c r="AG115" i="24"/>
  <c r="AF115" i="24"/>
  <c r="AF206" i="25"/>
  <c r="AE206" i="25"/>
  <c r="AJ282" i="24"/>
  <c r="AS167" i="25"/>
  <c r="AJ155" i="24"/>
  <c r="AJ120" i="24"/>
  <c r="AJ284" i="24"/>
  <c r="AG176" i="24"/>
  <c r="AF176" i="24"/>
  <c r="AD216" i="25"/>
  <c r="W216" i="25"/>
  <c r="Z216" i="25" s="1"/>
  <c r="AA216" i="25" s="1"/>
  <c r="AB216" i="25" s="1"/>
  <c r="AI216" i="25" s="1"/>
  <c r="AJ37" i="24"/>
  <c r="AF246" i="25"/>
  <c r="AE246" i="25"/>
  <c r="AJ242" i="24"/>
  <c r="AD236" i="25"/>
  <c r="W236" i="25"/>
  <c r="Z236" i="25" s="1"/>
  <c r="AA236" i="25" s="1"/>
  <c r="AB236" i="25" s="1"/>
  <c r="AI236" i="25" s="1"/>
  <c r="V236" i="25"/>
  <c r="X236" i="25" s="1"/>
  <c r="AJ12" i="24"/>
  <c r="AD196" i="25"/>
  <c r="W196" i="25"/>
  <c r="Z196" i="25" s="1"/>
  <c r="AA196" i="25" s="1"/>
  <c r="AB196" i="25" s="1"/>
  <c r="AI196" i="25" s="1"/>
  <c r="AG59" i="24"/>
  <c r="AF59" i="24"/>
  <c r="AD135" i="25"/>
  <c r="W135" i="25"/>
  <c r="Z135" i="25" s="1"/>
  <c r="AA135" i="25" s="1"/>
  <c r="AB135" i="25" s="1"/>
  <c r="AI135" i="25" s="1"/>
  <c r="AG157" i="24"/>
  <c r="AF157" i="24"/>
  <c r="AG94" i="24"/>
  <c r="AF94" i="24"/>
  <c r="AJ295" i="24"/>
  <c r="BA233" i="24"/>
  <c r="AG84" i="24"/>
  <c r="AF84" i="24"/>
  <c r="AD208" i="25"/>
  <c r="W208" i="25"/>
  <c r="Z208" i="25" s="1"/>
  <c r="AA208" i="25" s="1"/>
  <c r="AB208" i="25" s="1"/>
  <c r="AI208" i="25" s="1"/>
  <c r="AD99" i="25"/>
  <c r="W99" i="25"/>
  <c r="Z99" i="25" s="1"/>
  <c r="AA99" i="25" s="1"/>
  <c r="AB99" i="25" s="1"/>
  <c r="AI99" i="25" s="1"/>
  <c r="AG314" i="24"/>
  <c r="AF314" i="24"/>
  <c r="V304" i="25"/>
  <c r="X304" i="25" s="1"/>
  <c r="AD270" i="25"/>
  <c r="W270" i="25"/>
  <c r="Z270" i="25" s="1"/>
  <c r="AA270" i="25" s="1"/>
  <c r="AB270" i="25" s="1"/>
  <c r="AI270" i="25" s="1"/>
  <c r="V270" i="25"/>
  <c r="X270" i="25" s="1"/>
  <c r="AJ253" i="24"/>
  <c r="AJ152" i="24"/>
  <c r="AD297" i="25"/>
  <c r="W297" i="25"/>
  <c r="Z297" i="25" s="1"/>
  <c r="AA297" i="25" s="1"/>
  <c r="AB297" i="25" s="1"/>
  <c r="AI297" i="25" s="1"/>
  <c r="AG8" i="24"/>
  <c r="AF8" i="24"/>
  <c r="V157" i="25"/>
  <c r="X157" i="25" s="1"/>
  <c r="V200" i="25"/>
  <c r="X200" i="25" s="1"/>
  <c r="AG260" i="24"/>
  <c r="AF260" i="24"/>
  <c r="V68" i="25"/>
  <c r="X68" i="25" s="1"/>
  <c r="V274" i="25"/>
  <c r="X274" i="25" s="1"/>
  <c r="AG271" i="24"/>
  <c r="AF271" i="24"/>
  <c r="AD139" i="25"/>
  <c r="W139" i="25"/>
  <c r="Z139" i="25" s="1"/>
  <c r="AA139" i="25" s="1"/>
  <c r="AB139" i="25" s="1"/>
  <c r="AI139" i="25" s="1"/>
  <c r="AD144" i="25"/>
  <c r="W144" i="25"/>
  <c r="Z144" i="25" s="1"/>
  <c r="AA144" i="25" s="1"/>
  <c r="AB144" i="25" s="1"/>
  <c r="AI144" i="25" s="1"/>
  <c r="V144" i="25"/>
  <c r="X144" i="25" s="1"/>
  <c r="AD12" i="25"/>
  <c r="W12" i="25"/>
  <c r="Z12" i="25" s="1"/>
  <c r="AA12" i="25" s="1"/>
  <c r="AB12" i="25" s="1"/>
  <c r="AI12" i="25" s="1"/>
  <c r="AG247" i="24"/>
  <c r="AF247" i="24"/>
  <c r="AD101" i="25"/>
  <c r="W101" i="25"/>
  <c r="Z101" i="25" s="1"/>
  <c r="AA101" i="25" s="1"/>
  <c r="AB101" i="25" s="1"/>
  <c r="AI101" i="25" s="1"/>
  <c r="AG279" i="24"/>
  <c r="AF279" i="24"/>
  <c r="AD149" i="25"/>
  <c r="W149" i="25"/>
  <c r="Z149" i="25" s="1"/>
  <c r="AA149" i="25" s="1"/>
  <c r="AB149" i="25" s="1"/>
  <c r="AI149" i="25" s="1"/>
  <c r="V149" i="25"/>
  <c r="X149" i="25" s="1"/>
  <c r="AD80" i="25"/>
  <c r="W80" i="25"/>
  <c r="Z80" i="25" s="1"/>
  <c r="AA80" i="25" s="1"/>
  <c r="AB80" i="25" s="1"/>
  <c r="AI80" i="25" s="1"/>
  <c r="V80" i="25"/>
  <c r="X80" i="25" s="1"/>
  <c r="AG126" i="24"/>
  <c r="AF126" i="24"/>
  <c r="AG259" i="24"/>
  <c r="AF259" i="24"/>
  <c r="AT142" i="24"/>
  <c r="AD73" i="25"/>
  <c r="W73" i="25"/>
  <c r="Z73" i="25" s="1"/>
  <c r="AA73" i="25" s="1"/>
  <c r="AB73" i="25" s="1"/>
  <c r="AI73" i="25" s="1"/>
  <c r="AG193" i="24"/>
  <c r="AF193" i="24"/>
  <c r="AG315" i="24"/>
  <c r="AF315" i="24"/>
  <c r="AF238" i="25"/>
  <c r="AE238" i="25"/>
  <c r="AD307" i="25"/>
  <c r="W307" i="25"/>
  <c r="Z307" i="25" s="1"/>
  <c r="AA307" i="25" s="1"/>
  <c r="AB307" i="25" s="1"/>
  <c r="AI307" i="25" s="1"/>
  <c r="AG86" i="24"/>
  <c r="AF86" i="24"/>
  <c r="V277" i="25"/>
  <c r="X277" i="25" s="1"/>
  <c r="AG33" i="24"/>
  <c r="AF33" i="24"/>
  <c r="AD10" i="25"/>
  <c r="W10" i="25"/>
  <c r="Z10" i="25" s="1"/>
  <c r="AA10" i="25" s="1"/>
  <c r="AB10" i="25" s="1"/>
  <c r="AI10" i="25" s="1"/>
  <c r="AF186" i="25"/>
  <c r="AE186" i="25"/>
  <c r="AG181" i="24"/>
  <c r="AF181" i="24"/>
  <c r="V210" i="25"/>
  <c r="X210" i="25" s="1"/>
  <c r="V12" i="25"/>
  <c r="X12" i="25" s="1"/>
  <c r="AG224" i="24"/>
  <c r="AF224" i="24"/>
  <c r="AS283" i="25"/>
  <c r="AG64" i="24"/>
  <c r="AF64" i="24"/>
  <c r="AG290" i="24"/>
  <c r="AF290" i="24"/>
  <c r="AG30" i="24"/>
  <c r="AF30" i="24"/>
  <c r="AG237" i="24"/>
  <c r="AF237" i="24"/>
  <c r="V23" i="25"/>
  <c r="X23" i="25" s="1"/>
  <c r="AD264" i="25"/>
  <c r="W264" i="25"/>
  <c r="Z264" i="25" s="1"/>
  <c r="AA264" i="25" s="1"/>
  <c r="AB264" i="25" s="1"/>
  <c r="AI264" i="25" s="1"/>
  <c r="AD159" i="25"/>
  <c r="W159" i="25"/>
  <c r="Z159" i="25" s="1"/>
  <c r="AA159" i="25" s="1"/>
  <c r="AB159" i="25" s="1"/>
  <c r="AI159" i="25" s="1"/>
  <c r="AG174" i="24"/>
  <c r="AF174" i="24"/>
  <c r="AG145" i="24"/>
  <c r="AF145" i="24"/>
  <c r="AG20" i="24"/>
  <c r="AF20" i="24"/>
  <c r="AF257" i="25"/>
  <c r="AE257" i="25"/>
  <c r="AS276" i="25"/>
  <c r="AG18" i="24"/>
  <c r="AF18" i="24"/>
  <c r="AJ130" i="24"/>
  <c r="AJ243" i="24"/>
  <c r="AJ248" i="24"/>
  <c r="AG238" i="24"/>
  <c r="AF238" i="24"/>
  <c r="V98" i="25"/>
  <c r="X98" i="25" s="1"/>
  <c r="AG266" i="24"/>
  <c r="AF266" i="24"/>
  <c r="V264" i="25"/>
  <c r="X264" i="25" s="1"/>
  <c r="V100" i="25"/>
  <c r="X100" i="25" s="1"/>
  <c r="AD146" i="25"/>
  <c r="W146" i="25"/>
  <c r="Z146" i="25" s="1"/>
  <c r="AA146" i="25" s="1"/>
  <c r="AB146" i="25" s="1"/>
  <c r="AI146" i="25" s="1"/>
  <c r="V146" i="25"/>
  <c r="X146" i="25" s="1"/>
  <c r="AG6" i="24"/>
  <c r="AF6" i="24"/>
  <c r="AG57" i="24"/>
  <c r="AF57" i="24"/>
  <c r="AG235" i="24"/>
  <c r="AF235" i="24"/>
  <c r="V67" i="25"/>
  <c r="X67" i="25" s="1"/>
  <c r="AJ147" i="24"/>
  <c r="V224" i="25"/>
  <c r="X224" i="25" s="1"/>
  <c r="AG72" i="24"/>
  <c r="AF72" i="24"/>
  <c r="AG129" i="24"/>
  <c r="AF129" i="24"/>
  <c r="AG34" i="24"/>
  <c r="AF34" i="24"/>
  <c r="AS131" i="25"/>
  <c r="V121" i="25"/>
  <c r="X121" i="25" s="1"/>
  <c r="AD58" i="25"/>
  <c r="W58" i="25"/>
  <c r="Z58" i="25" s="1"/>
  <c r="AA58" i="25" s="1"/>
  <c r="AB58" i="25" s="1"/>
  <c r="AI58" i="25" s="1"/>
  <c r="V58" i="25"/>
  <c r="X58" i="25" s="1"/>
  <c r="AD117" i="25"/>
  <c r="W117" i="25"/>
  <c r="Z117" i="25" s="1"/>
  <c r="AA117" i="25" s="1"/>
  <c r="AB117" i="25" s="1"/>
  <c r="AI117" i="25" s="1"/>
  <c r="V117" i="25"/>
  <c r="X117" i="25" s="1"/>
  <c r="AG19" i="24"/>
  <c r="AF19" i="24"/>
  <c r="V286" i="25"/>
  <c r="X286" i="25" s="1"/>
  <c r="AS32" i="25"/>
  <c r="AD55" i="25"/>
  <c r="W55" i="25"/>
  <c r="Z55" i="25" s="1"/>
  <c r="AA55" i="25" s="1"/>
  <c r="AB55" i="25" s="1"/>
  <c r="AI55" i="25" s="1"/>
  <c r="AS273" i="25"/>
  <c r="AJ273" i="24"/>
  <c r="AG240" i="24"/>
  <c r="AF240" i="24"/>
  <c r="AF59" i="25"/>
  <c r="AE59" i="25"/>
  <c r="AD303" i="25"/>
  <c r="W303" i="25"/>
  <c r="Z303" i="25" s="1"/>
  <c r="AA303" i="25" s="1"/>
  <c r="AB303" i="25" s="1"/>
  <c r="AI303" i="25" s="1"/>
  <c r="AD288" i="25"/>
  <c r="W288" i="25"/>
  <c r="Z288" i="25" s="1"/>
  <c r="AA288" i="25" s="1"/>
  <c r="AB288" i="25" s="1"/>
  <c r="AI288" i="25" s="1"/>
  <c r="AD120" i="25"/>
  <c r="W120" i="25"/>
  <c r="Z120" i="25" s="1"/>
  <c r="AA120" i="25" s="1"/>
  <c r="AB120" i="25" s="1"/>
  <c r="AI120" i="25" s="1"/>
  <c r="V120" i="25"/>
  <c r="X120" i="25" s="1"/>
  <c r="V156" i="25"/>
  <c r="X156" i="25" s="1"/>
  <c r="AD279" i="25"/>
  <c r="W279" i="25"/>
  <c r="Z279" i="25" s="1"/>
  <c r="AA279" i="25" s="1"/>
  <c r="AB279" i="25" s="1"/>
  <c r="AI279" i="25" s="1"/>
  <c r="V279" i="25"/>
  <c r="X279" i="25" s="1"/>
  <c r="AS232" i="25"/>
  <c r="AD169" i="25"/>
  <c r="W169" i="25"/>
  <c r="Z169" i="25" s="1"/>
  <c r="AA169" i="25" s="1"/>
  <c r="AB169" i="25" s="1"/>
  <c r="AI169" i="25" s="1"/>
  <c r="V86" i="25"/>
  <c r="X86" i="25" s="1"/>
  <c r="AD207" i="25"/>
  <c r="W207" i="25"/>
  <c r="Z207" i="25" s="1"/>
  <c r="AA207" i="25" s="1"/>
  <c r="AB207" i="25" s="1"/>
  <c r="AI207" i="25" s="1"/>
  <c r="AK132" i="24"/>
  <c r="AN132" i="24"/>
  <c r="AG188" i="24"/>
  <c r="AF188" i="24"/>
  <c r="AG114" i="24"/>
  <c r="AF114" i="24"/>
  <c r="AD249" i="25"/>
  <c r="W249" i="25"/>
  <c r="Z249" i="25" s="1"/>
  <c r="AA249" i="25" s="1"/>
  <c r="AB249" i="25" s="1"/>
  <c r="AI249" i="25" s="1"/>
  <c r="AD251" i="25"/>
  <c r="W251" i="25"/>
  <c r="Z251" i="25" s="1"/>
  <c r="AA251" i="25" s="1"/>
  <c r="AB251" i="25" s="1"/>
  <c r="AI251" i="25" s="1"/>
  <c r="AJ232" i="24"/>
  <c r="AD56" i="25"/>
  <c r="W56" i="25"/>
  <c r="Z56" i="25" s="1"/>
  <c r="AA56" i="25" s="1"/>
  <c r="AB56" i="25" s="1"/>
  <c r="AI56" i="25" s="1"/>
  <c r="AF167" i="25"/>
  <c r="AE167" i="25"/>
  <c r="AD18" i="25"/>
  <c r="W18" i="25"/>
  <c r="Z18" i="25" s="1"/>
  <c r="AA18" i="25" s="1"/>
  <c r="AB18" i="25" s="1"/>
  <c r="AI18" i="25" s="1"/>
  <c r="AD269" i="25"/>
  <c r="W269" i="25"/>
  <c r="Z269" i="25" s="1"/>
  <c r="AA269" i="25" s="1"/>
  <c r="AB269" i="25" s="1"/>
  <c r="AI269" i="25" s="1"/>
  <c r="V269" i="25"/>
  <c r="X269" i="25" s="1"/>
  <c r="AG272" i="24"/>
  <c r="AF272" i="24"/>
  <c r="AD162" i="25"/>
  <c r="W162" i="25"/>
  <c r="Z162" i="25" s="1"/>
  <c r="AA162" i="25" s="1"/>
  <c r="AB162" i="25" s="1"/>
  <c r="AI162" i="25" s="1"/>
  <c r="V162" i="25"/>
  <c r="X162" i="25" s="1"/>
  <c r="AS199" i="25"/>
  <c r="AD22" i="25"/>
  <c r="W22" i="25"/>
  <c r="Z22" i="25" s="1"/>
  <c r="AA22" i="25" s="1"/>
  <c r="AB22" i="25" s="1"/>
  <c r="AI22" i="25" s="1"/>
  <c r="AG137" i="24"/>
  <c r="AF137" i="24"/>
  <c r="AS314" i="25"/>
  <c r="AD138" i="25"/>
  <c r="W138" i="25"/>
  <c r="Z138" i="25" s="1"/>
  <c r="AA138" i="25" s="1"/>
  <c r="AB138" i="25" s="1"/>
  <c r="AI138" i="25" s="1"/>
  <c r="V222" i="25"/>
  <c r="X222" i="25" s="1"/>
  <c r="AD184" i="25"/>
  <c r="W184" i="25"/>
  <c r="Z184" i="25" s="1"/>
  <c r="AA184" i="25" s="1"/>
  <c r="AB184" i="25" s="1"/>
  <c r="AI184" i="25" s="1"/>
  <c r="V184" i="25"/>
  <c r="X184" i="25" s="1"/>
  <c r="AG156" i="24"/>
  <c r="AF156" i="24"/>
  <c r="V81" i="25"/>
  <c r="X81" i="25" s="1"/>
  <c r="V216" i="25"/>
  <c r="X216" i="25" s="1"/>
  <c r="AG263" i="24"/>
  <c r="AF263" i="24"/>
  <c r="AG48" i="24"/>
  <c r="AF48" i="24"/>
  <c r="AD84" i="25"/>
  <c r="W84" i="25"/>
  <c r="Z84" i="25" s="1"/>
  <c r="AA84" i="25" s="1"/>
  <c r="AB84" i="25" s="1"/>
  <c r="AI84" i="25" s="1"/>
  <c r="AG297" i="24"/>
  <c r="AF297" i="24"/>
  <c r="AD90" i="25"/>
  <c r="W90" i="25"/>
  <c r="Z90" i="25" s="1"/>
  <c r="AA90" i="25" s="1"/>
  <c r="AB90" i="25" s="1"/>
  <c r="AI90" i="25" s="1"/>
  <c r="V135" i="25"/>
  <c r="X135" i="25" s="1"/>
  <c r="AG123" i="24"/>
  <c r="AF123" i="24"/>
  <c r="AD185" i="25"/>
  <c r="W185" i="25"/>
  <c r="Z185" i="25" s="1"/>
  <c r="AA185" i="25" s="1"/>
  <c r="AB185" i="25" s="1"/>
  <c r="AI185" i="25" s="1"/>
  <c r="V185" i="25"/>
  <c r="X185" i="25" s="1"/>
  <c r="AD69" i="25"/>
  <c r="W69" i="25"/>
  <c r="Z69" i="25" s="1"/>
  <c r="AA69" i="25" s="1"/>
  <c r="AB69" i="25" s="1"/>
  <c r="AI69" i="25" s="1"/>
  <c r="V69" i="25"/>
  <c r="X69" i="25" s="1"/>
  <c r="AD202" i="25"/>
  <c r="W202" i="25"/>
  <c r="Z202" i="25" s="1"/>
  <c r="AA202" i="25" s="1"/>
  <c r="AB202" i="25" s="1"/>
  <c r="AI202" i="25" s="1"/>
  <c r="AD171" i="25"/>
  <c r="W171" i="25"/>
  <c r="Z171" i="25" s="1"/>
  <c r="AA171" i="25" s="1"/>
  <c r="AB171" i="25" s="1"/>
  <c r="AI171" i="25" s="1"/>
  <c r="AG56" i="24"/>
  <c r="AF56" i="24"/>
  <c r="AD217" i="25"/>
  <c r="W217" i="25"/>
  <c r="Z217" i="25" s="1"/>
  <c r="AA217" i="25" s="1"/>
  <c r="AB217" i="25" s="1"/>
  <c r="AI217" i="25" s="1"/>
  <c r="V75" i="25"/>
  <c r="X75" i="25" s="1"/>
  <c r="AS31" i="25"/>
  <c r="V297" i="25"/>
  <c r="X297" i="25" s="1"/>
  <c r="AD54" i="25"/>
  <c r="W54" i="25"/>
  <c r="Z54" i="25" s="1"/>
  <c r="AA54" i="25" s="1"/>
  <c r="AB54" i="25" s="1"/>
  <c r="AI54" i="25" s="1"/>
  <c r="V54" i="25"/>
  <c r="X54" i="25" s="1"/>
  <c r="AD310" i="25"/>
  <c r="W310" i="25"/>
  <c r="Z310" i="25" s="1"/>
  <c r="AA310" i="25" s="1"/>
  <c r="AB310" i="25" s="1"/>
  <c r="AI310" i="25" s="1"/>
  <c r="V310" i="25"/>
  <c r="X310" i="25" s="1"/>
  <c r="AS204" i="25"/>
  <c r="AD176" i="25"/>
  <c r="W176" i="25"/>
  <c r="Z176" i="25" s="1"/>
  <c r="AA176" i="25" s="1"/>
  <c r="AB176" i="25" s="1"/>
  <c r="AI176" i="25" s="1"/>
  <c r="V176" i="25"/>
  <c r="X176" i="25" s="1"/>
  <c r="AG17" i="24"/>
  <c r="AF17" i="24"/>
  <c r="AG9" i="24"/>
  <c r="AF9" i="24"/>
  <c r="AS282" i="25"/>
  <c r="AF283" i="25"/>
  <c r="AE283" i="25"/>
  <c r="AG219" i="24"/>
  <c r="AF219" i="24"/>
  <c r="AG261" i="24"/>
  <c r="AF261" i="24"/>
  <c r="AD83" i="25"/>
  <c r="W83" i="25"/>
  <c r="Z83" i="25" s="1"/>
  <c r="AA83" i="25" s="1"/>
  <c r="AB83" i="25" s="1"/>
  <c r="AI83" i="25" s="1"/>
  <c r="V83" i="25"/>
  <c r="X83" i="25" s="1"/>
  <c r="V72" i="25"/>
  <c r="X72" i="25" s="1"/>
  <c r="AG167" i="24"/>
  <c r="AF167" i="24"/>
  <c r="AD153" i="25"/>
  <c r="W153" i="25"/>
  <c r="Z153" i="25" s="1"/>
  <c r="AA153" i="25" s="1"/>
  <c r="AB153" i="25" s="1"/>
  <c r="AI153" i="25" s="1"/>
  <c r="V153" i="25"/>
  <c r="X153" i="25" s="1"/>
  <c r="AD61" i="25"/>
  <c r="W61" i="25"/>
  <c r="Z61" i="25" s="1"/>
  <c r="AA61" i="25" s="1"/>
  <c r="AB61" i="25" s="1"/>
  <c r="AI61" i="25" s="1"/>
  <c r="V61" i="25"/>
  <c r="X61" i="25" s="1"/>
  <c r="AG164" i="24"/>
  <c r="AF164" i="24"/>
  <c r="AX143" i="25"/>
  <c r="AW143" i="25"/>
  <c r="AT292" i="24"/>
  <c r="AD290" i="25"/>
  <c r="W290" i="25"/>
  <c r="Z290" i="25" s="1"/>
  <c r="AA290" i="25" s="1"/>
  <c r="AB290" i="25" s="1"/>
  <c r="AI290" i="25" s="1"/>
  <c r="V290" i="25"/>
  <c r="X290" i="25" s="1"/>
  <c r="AG128" i="24"/>
  <c r="AF128" i="24"/>
  <c r="AS178" i="25"/>
  <c r="AG283" i="24"/>
  <c r="AF283" i="24"/>
  <c r="AG225" i="24"/>
  <c r="AF225" i="24"/>
  <c r="AF276" i="25"/>
  <c r="AE276" i="25"/>
  <c r="AD182" i="25"/>
  <c r="W182" i="25"/>
  <c r="Z182" i="25" s="1"/>
  <c r="AA182" i="25" s="1"/>
  <c r="AB182" i="25" s="1"/>
  <c r="AI182" i="25" s="1"/>
  <c r="V182" i="25"/>
  <c r="X182" i="25" s="1"/>
  <c r="AD218" i="25"/>
  <c r="W218" i="25"/>
  <c r="Z218" i="25" s="1"/>
  <c r="AA218" i="25" s="1"/>
  <c r="AB218" i="25" s="1"/>
  <c r="AI218" i="25" s="1"/>
  <c r="AG61" i="24"/>
  <c r="AF61" i="24"/>
  <c r="AS170" i="25"/>
  <c r="AG299" i="24"/>
  <c r="AF299" i="24"/>
  <c r="AG68" i="24"/>
  <c r="AF68" i="24"/>
  <c r="AG207" i="24"/>
  <c r="AF207" i="24"/>
  <c r="AF131" i="25"/>
  <c r="AE131" i="25"/>
  <c r="AD40" i="25"/>
  <c r="W40" i="25"/>
  <c r="Z40" i="25" s="1"/>
  <c r="AA40" i="25" s="1"/>
  <c r="AB40" i="25" s="1"/>
  <c r="AI40" i="25" s="1"/>
  <c r="AD302" i="25"/>
  <c r="W302" i="25"/>
  <c r="Z302" i="25" s="1"/>
  <c r="AA302" i="25" s="1"/>
  <c r="AB302" i="25" s="1"/>
  <c r="AI302" i="25" s="1"/>
  <c r="V93" i="25"/>
  <c r="X93" i="25" s="1"/>
  <c r="AD53" i="25"/>
  <c r="W53" i="25"/>
  <c r="Z53" i="25" s="1"/>
  <c r="AA53" i="25" s="1"/>
  <c r="AB53" i="25" s="1"/>
  <c r="AI53" i="25" s="1"/>
  <c r="AD122" i="25"/>
  <c r="W122" i="25"/>
  <c r="Z122" i="25" s="1"/>
  <c r="AA122" i="25" s="1"/>
  <c r="AB122" i="25" s="1"/>
  <c r="AI122" i="25" s="1"/>
  <c r="AG209" i="24"/>
  <c r="AF209" i="24"/>
  <c r="AF32" i="25"/>
  <c r="AE32" i="25"/>
  <c r="AG267" i="24"/>
  <c r="AF267" i="24"/>
  <c r="AF273" i="25"/>
  <c r="AE273" i="25"/>
  <c r="AD46" i="25"/>
  <c r="W46" i="25"/>
  <c r="Z46" i="25" s="1"/>
  <c r="AA46" i="25" s="1"/>
  <c r="AB46" i="25" s="1"/>
  <c r="AI46" i="25" s="1"/>
  <c r="V46" i="25"/>
  <c r="X46" i="25" s="1"/>
  <c r="AG265" i="24"/>
  <c r="AF265" i="24"/>
  <c r="AD112" i="25"/>
  <c r="W112" i="25"/>
  <c r="Z112" i="25" s="1"/>
  <c r="AA112" i="25" s="1"/>
  <c r="AB112" i="25" s="1"/>
  <c r="AI112" i="25" s="1"/>
  <c r="V315" i="25"/>
  <c r="X315" i="25" s="1"/>
  <c r="AG32" i="24"/>
  <c r="AF32" i="24"/>
  <c r="AS104" i="25"/>
  <c r="AK160" i="24"/>
  <c r="AN160" i="24"/>
  <c r="BI160" i="24" s="1"/>
  <c r="AG282" i="24"/>
  <c r="AF282" i="24"/>
  <c r="AG155" i="24"/>
  <c r="AF155" i="24"/>
  <c r="AG120" i="24"/>
  <c r="AF120" i="24"/>
  <c r="AG284" i="24"/>
  <c r="AF284" i="24"/>
  <c r="AN222" i="24" l="1"/>
  <c r="AX264" i="24"/>
  <c r="BI264" i="24"/>
  <c r="BL264" i="24" s="1"/>
  <c r="CE119" i="24"/>
  <c r="BI119" i="24"/>
  <c r="CE233" i="24"/>
  <c r="BI233" i="24"/>
  <c r="AX142" i="24"/>
  <c r="BI142" i="24"/>
  <c r="BL142" i="24" s="1"/>
  <c r="BU236" i="24"/>
  <c r="BI236" i="24"/>
  <c r="BL236" i="24" s="1"/>
  <c r="CE132" i="24"/>
  <c r="BI132" i="24"/>
  <c r="BL132" i="24" s="1"/>
  <c r="CE162" i="24"/>
  <c r="BI162" i="24"/>
  <c r="BL162" i="24" s="1"/>
  <c r="BU292" i="24"/>
  <c r="BI292" i="24"/>
  <c r="CE191" i="24"/>
  <c r="BI191" i="24"/>
  <c r="BL191" i="24" s="1"/>
  <c r="BU7" i="24"/>
  <c r="BI7" i="24"/>
  <c r="BL7" i="24" s="1"/>
  <c r="BU44" i="24"/>
  <c r="BI44" i="24"/>
  <c r="BL44" i="24" s="1"/>
  <c r="CE45" i="24"/>
  <c r="BI45" i="24"/>
  <c r="BL45" i="24" s="1"/>
  <c r="BU41" i="24"/>
  <c r="BI41" i="24"/>
  <c r="BL41" i="24" s="1"/>
  <c r="BU101" i="24"/>
  <c r="BI101" i="24"/>
  <c r="BL101" i="24" s="1"/>
  <c r="CE55" i="24"/>
  <c r="BI55" i="24"/>
  <c r="BL55" i="24" s="1"/>
  <c r="BU21" i="24"/>
  <c r="CE21" i="24"/>
  <c r="AX22" i="24"/>
  <c r="CE22" i="24"/>
  <c r="AT67" i="24"/>
  <c r="BA67" i="24" s="1"/>
  <c r="BU22" i="24"/>
  <c r="BU45" i="24"/>
  <c r="BU55" i="24"/>
  <c r="AF280" i="25"/>
  <c r="AJ280" i="25" s="1"/>
  <c r="CE101" i="24"/>
  <c r="AF11" i="25"/>
  <c r="AJ11" i="25" s="1"/>
  <c r="AE155" i="25"/>
  <c r="AJ155" i="25" s="1"/>
  <c r="AF96" i="25"/>
  <c r="AJ96" i="25" s="1"/>
  <c r="AV27" i="24"/>
  <c r="AT81" i="24"/>
  <c r="BA81" i="24" s="1"/>
  <c r="AT49" i="24"/>
  <c r="BA49" i="24" s="1"/>
  <c r="AT39" i="24"/>
  <c r="BA39" i="24" s="1"/>
  <c r="AV77" i="24"/>
  <c r="AV65" i="24"/>
  <c r="AV104" i="24"/>
  <c r="AV66" i="24"/>
  <c r="AV103" i="24"/>
  <c r="AV64" i="24"/>
  <c r="AV102" i="24"/>
  <c r="AV23" i="24"/>
  <c r="AV61" i="24"/>
  <c r="AV78" i="24"/>
  <c r="AT72" i="24"/>
  <c r="BA72" i="24" s="1"/>
  <c r="AV86" i="24"/>
  <c r="AV98" i="24"/>
  <c r="AT62" i="24"/>
  <c r="BA62" i="24" s="1"/>
  <c r="AV69" i="24"/>
  <c r="AV10" i="24"/>
  <c r="AV15" i="24"/>
  <c r="AV38" i="24"/>
  <c r="AV50" i="24"/>
  <c r="AV40" i="24"/>
  <c r="AV60" i="24"/>
  <c r="AV47" i="24"/>
  <c r="AV63" i="24"/>
  <c r="AV83" i="24"/>
  <c r="AV80" i="24"/>
  <c r="AV100" i="24"/>
  <c r="AV84" i="24"/>
  <c r="AV76" i="24"/>
  <c r="AV70" i="24"/>
  <c r="AV91" i="24"/>
  <c r="AV43" i="24"/>
  <c r="AV68" i="24"/>
  <c r="AT92" i="24"/>
  <c r="BA92" i="24" s="1"/>
  <c r="AT95" i="24"/>
  <c r="BA95" i="24" s="1"/>
  <c r="AV16" i="24"/>
  <c r="AV105" i="24"/>
  <c r="AV46" i="24"/>
  <c r="AV52" i="24"/>
  <c r="AV53" i="24"/>
  <c r="AV71" i="24"/>
  <c r="AV82" i="24"/>
  <c r="AV73" i="24"/>
  <c r="AT74" i="24"/>
  <c r="BA74" i="24" s="1"/>
  <c r="AT93" i="24"/>
  <c r="BA93" i="24" s="1"/>
  <c r="AV89" i="24"/>
  <c r="AV99" i="24"/>
  <c r="AT14" i="24"/>
  <c r="BA14" i="24" s="1"/>
  <c r="AV11" i="24"/>
  <c r="AV88" i="24"/>
  <c r="AV79" i="24"/>
  <c r="AT97" i="24"/>
  <c r="BA97" i="24" s="1"/>
  <c r="AV75" i="24"/>
  <c r="AV85" i="24"/>
  <c r="AV94" i="24"/>
  <c r="AT25" i="24"/>
  <c r="BA25" i="24" s="1"/>
  <c r="AV29" i="24"/>
  <c r="AV31" i="24"/>
  <c r="AV13" i="24"/>
  <c r="AV36" i="24"/>
  <c r="AV42" i="24"/>
  <c r="AV87" i="24"/>
  <c r="AV67" i="24"/>
  <c r="AV90" i="24"/>
  <c r="AV96" i="24"/>
  <c r="AT103" i="24"/>
  <c r="BA103" i="24" s="1"/>
  <c r="AJ143" i="25"/>
  <c r="AT105" i="24"/>
  <c r="BA105" i="24" s="1"/>
  <c r="AT99" i="24"/>
  <c r="BA99" i="24" s="1"/>
  <c r="AF258" i="25"/>
  <c r="AJ258" i="25" s="1"/>
  <c r="AE189" i="25"/>
  <c r="AJ189" i="25" s="1"/>
  <c r="AT90" i="24"/>
  <c r="BA90" i="24" s="1"/>
  <c r="AT96" i="24"/>
  <c r="BA96" i="24" s="1"/>
  <c r="AT42" i="24"/>
  <c r="BA42" i="24" s="1"/>
  <c r="AT94" i="24"/>
  <c r="BA94" i="24" s="1"/>
  <c r="AT85" i="24"/>
  <c r="BA85" i="24" s="1"/>
  <c r="AT89" i="24"/>
  <c r="BA89" i="24" s="1"/>
  <c r="AV72" i="24"/>
  <c r="AV62" i="24"/>
  <c r="AT69" i="24"/>
  <c r="BA69" i="24" s="1"/>
  <c r="AT80" i="24"/>
  <c r="BA80" i="24" s="1"/>
  <c r="AT100" i="24"/>
  <c r="BA100" i="24" s="1"/>
  <c r="AT84" i="24"/>
  <c r="BA84" i="24" s="1"/>
  <c r="AV81" i="24"/>
  <c r="AF154" i="25"/>
  <c r="BU142" i="24"/>
  <c r="AT66" i="24"/>
  <c r="BA66" i="24" s="1"/>
  <c r="AT91" i="24"/>
  <c r="BA91" i="24" s="1"/>
  <c r="AF97" i="25"/>
  <c r="AJ97" i="25" s="1"/>
  <c r="AT102" i="24"/>
  <c r="BA102" i="24" s="1"/>
  <c r="AT70" i="24"/>
  <c r="BA70" i="24" s="1"/>
  <c r="AT86" i="24"/>
  <c r="BA86" i="24" s="1"/>
  <c r="AE154" i="25"/>
  <c r="AT98" i="24"/>
  <c r="BA98" i="24" s="1"/>
  <c r="AT75" i="24"/>
  <c r="BA75" i="24" s="1"/>
  <c r="AV97" i="24"/>
  <c r="AT79" i="24"/>
  <c r="BA79" i="24" s="1"/>
  <c r="AT88" i="24"/>
  <c r="BA88" i="24" s="1"/>
  <c r="AV74" i="24"/>
  <c r="AV93" i="24"/>
  <c r="AV95" i="24"/>
  <c r="AT87" i="24"/>
  <c r="BA87" i="24" s="1"/>
  <c r="AE104" i="25"/>
  <c r="AJ104" i="25" s="1"/>
  <c r="AV92" i="24"/>
  <c r="AT68" i="24"/>
  <c r="BA68" i="24" s="1"/>
  <c r="AT43" i="24"/>
  <c r="BA43" i="24" s="1"/>
  <c r="AF179" i="25"/>
  <c r="AJ179" i="25" s="1"/>
  <c r="AT65" i="24"/>
  <c r="BA65" i="24" s="1"/>
  <c r="AT104" i="24"/>
  <c r="BA104" i="24" s="1"/>
  <c r="AF265" i="25"/>
  <c r="AJ265" i="25" s="1"/>
  <c r="AT53" i="24"/>
  <c r="BA53" i="24" s="1"/>
  <c r="AT82" i="24"/>
  <c r="BA82" i="24" s="1"/>
  <c r="AT73" i="24"/>
  <c r="BA73" i="24" s="1"/>
  <c r="AT83" i="24"/>
  <c r="BA83" i="24" s="1"/>
  <c r="AF29" i="25"/>
  <c r="AM29" i="25" s="1"/>
  <c r="BG29" i="25" s="1"/>
  <c r="AT78" i="24"/>
  <c r="BA78" i="24" s="1"/>
  <c r="AT23" i="24"/>
  <c r="BA23" i="24" s="1"/>
  <c r="AT61" i="24"/>
  <c r="BA61" i="24" s="1"/>
  <c r="AV39" i="24"/>
  <c r="AF291" i="25"/>
  <c r="AM291" i="25" s="1"/>
  <c r="BG291" i="25" s="1"/>
  <c r="AT77" i="24"/>
  <c r="BA77" i="24" s="1"/>
  <c r="AV49" i="24"/>
  <c r="BW142" i="24"/>
  <c r="AV14" i="24"/>
  <c r="BW22" i="24"/>
  <c r="AT64" i="24"/>
  <c r="BA64" i="24" s="1"/>
  <c r="BH142" i="24"/>
  <c r="AT76" i="24"/>
  <c r="BA76" i="24" s="1"/>
  <c r="AF28" i="25"/>
  <c r="AM28" i="25" s="1"/>
  <c r="BG28" i="25" s="1"/>
  <c r="AT46" i="24"/>
  <c r="BA46" i="24" s="1"/>
  <c r="AT50" i="24"/>
  <c r="BA50" i="24" s="1"/>
  <c r="AT47" i="24"/>
  <c r="BA47" i="24" s="1"/>
  <c r="AT60" i="24"/>
  <c r="BA60" i="24" s="1"/>
  <c r="AT40" i="24"/>
  <c r="BA40" i="24" s="1"/>
  <c r="AT38" i="24"/>
  <c r="BA38" i="24" s="1"/>
  <c r="AT15" i="24"/>
  <c r="BA15" i="24" s="1"/>
  <c r="BH292" i="24"/>
  <c r="AX292" i="24"/>
  <c r="BW292" i="24"/>
  <c r="BW264" i="24"/>
  <c r="AT10" i="24"/>
  <c r="BA10" i="24" s="1"/>
  <c r="AT71" i="24"/>
  <c r="BA71" i="24" s="1"/>
  <c r="AT63" i="24"/>
  <c r="BA63" i="24" s="1"/>
  <c r="AT52" i="24"/>
  <c r="BA52" i="24" s="1"/>
  <c r="AT11" i="24"/>
  <c r="BA11" i="24" s="1"/>
  <c r="AV25" i="24"/>
  <c r="AT13" i="24"/>
  <c r="BA13" i="24" s="1"/>
  <c r="AT16" i="24"/>
  <c r="BA16" i="24" s="1"/>
  <c r="AT29" i="24"/>
  <c r="BA29" i="24" s="1"/>
  <c r="AT36" i="24"/>
  <c r="BA36" i="24" s="1"/>
  <c r="AT27" i="24"/>
  <c r="BA27" i="24" s="1"/>
  <c r="AT31" i="24"/>
  <c r="BA31" i="24" s="1"/>
  <c r="AF237" i="25"/>
  <c r="O212" i="25"/>
  <c r="P212" i="25"/>
  <c r="T212" i="25"/>
  <c r="U212" i="25" s="1"/>
  <c r="BH22" i="24"/>
  <c r="AX77" i="25"/>
  <c r="AF77" i="25"/>
  <c r="AE77" i="25"/>
  <c r="BU264" i="24"/>
  <c r="BH236" i="24"/>
  <c r="BW236" i="24"/>
  <c r="BH264" i="24"/>
  <c r="AX236" i="24"/>
  <c r="AJ131" i="25"/>
  <c r="AM131" i="25"/>
  <c r="BG131" i="25" s="1"/>
  <c r="AN284" i="24"/>
  <c r="BI284" i="24" s="1"/>
  <c r="AK284" i="24"/>
  <c r="AS53" i="25"/>
  <c r="AF40" i="25"/>
  <c r="AE40" i="25"/>
  <c r="AK128" i="24"/>
  <c r="AN128" i="24"/>
  <c r="AN261" i="24"/>
  <c r="AK261" i="24"/>
  <c r="BA220" i="24"/>
  <c r="AX31" i="25"/>
  <c r="AW31" i="25"/>
  <c r="BA154" i="24"/>
  <c r="AS202" i="25"/>
  <c r="AS185" i="25"/>
  <c r="AN48" i="24"/>
  <c r="AK48" i="24"/>
  <c r="AS269" i="25"/>
  <c r="AT232" i="24"/>
  <c r="BA165" i="24"/>
  <c r="AS120" i="25"/>
  <c r="AJ59" i="25"/>
  <c r="AM59" i="25"/>
  <c r="BG59" i="25" s="1"/>
  <c r="AS58" i="25"/>
  <c r="AX131" i="25"/>
  <c r="AW131" i="25"/>
  <c r="AN235" i="24"/>
  <c r="AK235" i="24"/>
  <c r="AF146" i="25"/>
  <c r="AE146" i="25"/>
  <c r="AT248" i="24"/>
  <c r="AJ257" i="25"/>
  <c r="AM257" i="25"/>
  <c r="BG257" i="25" s="1"/>
  <c r="AS159" i="25"/>
  <c r="AN224" i="24"/>
  <c r="AK224" i="24"/>
  <c r="AF10" i="25"/>
  <c r="AE10" i="25"/>
  <c r="AN86" i="24"/>
  <c r="AK86" i="24"/>
  <c r="AN193" i="24"/>
  <c r="AK193" i="24"/>
  <c r="BA142" i="24"/>
  <c r="AS12" i="25"/>
  <c r="AK271" i="24"/>
  <c r="AN271" i="24"/>
  <c r="AT253" i="24"/>
  <c r="AS99" i="25"/>
  <c r="AS196" i="25"/>
  <c r="AF236" i="25"/>
  <c r="AE236" i="25"/>
  <c r="AK176" i="24"/>
  <c r="AN176" i="24"/>
  <c r="BI176" i="24" s="1"/>
  <c r="AT155" i="24"/>
  <c r="AT282" i="24"/>
  <c r="AS312" i="25"/>
  <c r="AK199" i="24"/>
  <c r="AN199" i="24"/>
  <c r="AF17" i="25"/>
  <c r="AE17" i="25"/>
  <c r="AT267" i="24"/>
  <c r="BA207" i="24"/>
  <c r="AM92" i="25"/>
  <c r="AJ92" i="25"/>
  <c r="AS254" i="25"/>
  <c r="AS67" i="25"/>
  <c r="BA164" i="24"/>
  <c r="AV9" i="24"/>
  <c r="AT9" i="24"/>
  <c r="AN316" i="24"/>
  <c r="BI316" i="24" s="1"/>
  <c r="AK316" i="24"/>
  <c r="AV17" i="24"/>
  <c r="AT17" i="24"/>
  <c r="AF225" i="25"/>
  <c r="AE225" i="25"/>
  <c r="AT263" i="24"/>
  <c r="AS221" i="25"/>
  <c r="BA272" i="24"/>
  <c r="BA132" i="24"/>
  <c r="BA223" i="24"/>
  <c r="AS116" i="25"/>
  <c r="AM155" i="25"/>
  <c r="BG155" i="25" s="1"/>
  <c r="AK25" i="24"/>
  <c r="AN25" i="24"/>
  <c r="AT145" i="24"/>
  <c r="AJ174" i="25"/>
  <c r="AM174" i="25"/>
  <c r="AT290" i="24"/>
  <c r="AF123" i="25"/>
  <c r="AE123" i="25"/>
  <c r="AT126" i="24"/>
  <c r="AT279" i="24"/>
  <c r="AJ255" i="25"/>
  <c r="AM255" i="25"/>
  <c r="BG255" i="25" s="1"/>
  <c r="AM21" i="25"/>
  <c r="AJ21" i="25"/>
  <c r="AS244" i="25"/>
  <c r="AS33" i="25"/>
  <c r="AF200" i="25"/>
  <c r="AE200" i="25"/>
  <c r="AK275" i="24"/>
  <c r="AN275" i="24"/>
  <c r="AS121" i="25"/>
  <c r="AX155" i="25"/>
  <c r="AW155" i="25"/>
  <c r="AK276" i="24"/>
  <c r="AN276" i="24"/>
  <c r="BI276" i="24" s="1"/>
  <c r="AK104" i="24"/>
  <c r="AN104" i="24"/>
  <c r="AS127" i="25"/>
  <c r="AK29" i="24"/>
  <c r="AN29" i="24"/>
  <c r="AS101" i="24"/>
  <c r="BJ101" i="24"/>
  <c r="AQ101" i="24"/>
  <c r="AX101" i="24"/>
  <c r="BH101" i="24"/>
  <c r="BW101" i="24"/>
  <c r="BA256" i="24"/>
  <c r="AF57" i="25"/>
  <c r="AE57" i="25"/>
  <c r="AN197" i="24"/>
  <c r="BI197" i="24" s="1"/>
  <c r="AK197" i="24"/>
  <c r="BA316" i="24"/>
  <c r="AK230" i="24"/>
  <c r="AN230" i="24"/>
  <c r="BI230" i="24" s="1"/>
  <c r="BA122" i="24"/>
  <c r="AS272" i="25"/>
  <c r="AS300" i="25"/>
  <c r="BA208" i="24"/>
  <c r="AS45" i="25"/>
  <c r="AJ89" i="25"/>
  <c r="AM89" i="25"/>
  <c r="BA204" i="24"/>
  <c r="AN96" i="24"/>
  <c r="AK96" i="24"/>
  <c r="AF220" i="25"/>
  <c r="AE220" i="25"/>
  <c r="BA187" i="24"/>
  <c r="AF79" i="25"/>
  <c r="AE79" i="25"/>
  <c r="BA268" i="24"/>
  <c r="BA116" i="24"/>
  <c r="AM6" i="25"/>
  <c r="AJ6" i="25"/>
  <c r="AS136" i="25"/>
  <c r="AK125" i="24"/>
  <c r="AN125" i="24"/>
  <c r="AN58" i="24"/>
  <c r="AK58" i="24"/>
  <c r="AN83" i="24"/>
  <c r="AK83" i="24"/>
  <c r="AF195" i="25"/>
  <c r="AE195" i="25"/>
  <c r="AF137" i="25"/>
  <c r="AE137" i="25"/>
  <c r="AK26" i="24"/>
  <c r="AN26" i="24"/>
  <c r="BA245" i="24"/>
  <c r="AS274" i="25"/>
  <c r="AS289" i="25"/>
  <c r="AW13" i="25"/>
  <c r="AX13" i="25"/>
  <c r="AF39" i="25"/>
  <c r="AE39" i="25"/>
  <c r="AF49" i="25"/>
  <c r="AE49" i="25"/>
  <c r="AS239" i="25"/>
  <c r="AM259" i="25"/>
  <c r="BG259" i="25" s="1"/>
  <c r="AJ259" i="25"/>
  <c r="BA311" i="24"/>
  <c r="AS9" i="25"/>
  <c r="AS281" i="25"/>
  <c r="AS93" i="25"/>
  <c r="AK234" i="24"/>
  <c r="AN234" i="24"/>
  <c r="BI234" i="24" s="1"/>
  <c r="AN220" i="24"/>
  <c r="BI220" i="24" s="1"/>
  <c r="AK220" i="24"/>
  <c r="BA241" i="24"/>
  <c r="AK175" i="24"/>
  <c r="AN175" i="24"/>
  <c r="AX29" i="25"/>
  <c r="AW29" i="25"/>
  <c r="AN171" i="24"/>
  <c r="BI171" i="24" s="1"/>
  <c r="AK171" i="24"/>
  <c r="AW198" i="25"/>
  <c r="AX198" i="25"/>
  <c r="AS20" i="25"/>
  <c r="BL233" i="24"/>
  <c r="AS233" i="24"/>
  <c r="AQ233" i="24"/>
  <c r="BJ233" i="24"/>
  <c r="BU233" i="24"/>
  <c r="AX233" i="24"/>
  <c r="BH233" i="24"/>
  <c r="BW233" i="24"/>
  <c r="AK79" i="24"/>
  <c r="AN79" i="24"/>
  <c r="AF191" i="25"/>
  <c r="AE191" i="25"/>
  <c r="AF230" i="25"/>
  <c r="AE230" i="25"/>
  <c r="AT121" i="24"/>
  <c r="AS70" i="25"/>
  <c r="AN248" i="24"/>
  <c r="AK248" i="24"/>
  <c r="AS41" i="24"/>
  <c r="AQ41" i="24"/>
  <c r="BJ41" i="24"/>
  <c r="AX41" i="24"/>
  <c r="BH41" i="24"/>
  <c r="BW41" i="24"/>
  <c r="AT301" i="24"/>
  <c r="AF187" i="25"/>
  <c r="AE187" i="25"/>
  <c r="AS277" i="25"/>
  <c r="AF125" i="25"/>
  <c r="AE125" i="25"/>
  <c r="AT135" i="24"/>
  <c r="AK37" i="24"/>
  <c r="AN37" i="24"/>
  <c r="AF111" i="25"/>
  <c r="AE111" i="25"/>
  <c r="AS102" i="25"/>
  <c r="AK209" i="24"/>
  <c r="AN209" i="24"/>
  <c r="AN155" i="24"/>
  <c r="AK155" i="24"/>
  <c r="AX104" i="25"/>
  <c r="AW104" i="25"/>
  <c r="AS46" i="25"/>
  <c r="AJ32" i="25"/>
  <c r="AM32" i="25"/>
  <c r="BG32" i="25" s="1"/>
  <c r="AF53" i="25"/>
  <c r="AE53" i="25"/>
  <c r="AN299" i="24"/>
  <c r="BI299" i="24" s="1"/>
  <c r="AK299" i="24"/>
  <c r="BA184" i="24"/>
  <c r="AN61" i="24"/>
  <c r="BI61" i="24" s="1"/>
  <c r="AK61" i="24"/>
  <c r="AN164" i="24"/>
  <c r="BI164" i="24" s="1"/>
  <c r="AK164" i="24"/>
  <c r="AN167" i="24"/>
  <c r="BI167" i="24" s="1"/>
  <c r="AK167" i="24"/>
  <c r="AK17" i="24"/>
  <c r="AN17" i="24"/>
  <c r="AX204" i="25"/>
  <c r="AW204" i="25"/>
  <c r="AS54" i="25"/>
  <c r="AK56" i="24"/>
  <c r="AN56" i="24"/>
  <c r="AF202" i="25"/>
  <c r="AE202" i="25"/>
  <c r="AF185" i="25"/>
  <c r="AE185" i="25"/>
  <c r="AX28" i="25"/>
  <c r="AW28" i="25"/>
  <c r="AS162" i="25"/>
  <c r="BA226" i="24"/>
  <c r="AF269" i="25"/>
  <c r="AE269" i="25"/>
  <c r="AS251" i="25"/>
  <c r="AK188" i="24"/>
  <c r="AN188" i="24"/>
  <c r="BI188" i="24" s="1"/>
  <c r="AF120" i="25"/>
  <c r="AE120" i="25"/>
  <c r="AF58" i="25"/>
  <c r="AE58" i="25"/>
  <c r="BA139" i="24"/>
  <c r="AF159" i="25"/>
  <c r="AE159" i="25"/>
  <c r="AN30" i="24"/>
  <c r="BI30" i="24" s="1"/>
  <c r="AK30" i="24"/>
  <c r="BA134" i="24"/>
  <c r="AS307" i="25"/>
  <c r="AN126" i="24"/>
  <c r="BI126" i="24" s="1"/>
  <c r="AK126" i="24"/>
  <c r="AF12" i="25"/>
  <c r="AE12" i="25"/>
  <c r="AF99" i="25"/>
  <c r="AE99" i="25"/>
  <c r="AT295" i="24"/>
  <c r="AF196" i="25"/>
  <c r="AE196" i="25"/>
  <c r="AT242" i="24"/>
  <c r="BA124" i="24"/>
  <c r="AN105" i="24"/>
  <c r="AK105" i="24"/>
  <c r="AF312" i="25"/>
  <c r="AE312" i="25"/>
  <c r="AS287" i="25"/>
  <c r="AS91" i="25"/>
  <c r="AK252" i="24"/>
  <c r="AN252" i="24"/>
  <c r="BI252" i="24" s="1"/>
  <c r="AF254" i="25"/>
  <c r="AE254" i="25"/>
  <c r="AK15" i="24"/>
  <c r="AN15" i="24"/>
  <c r="AF67" i="25"/>
  <c r="AE67" i="25"/>
  <c r="AK300" i="24"/>
  <c r="AN300" i="24"/>
  <c r="BI300" i="24" s="1"/>
  <c r="AS227" i="25"/>
  <c r="BA156" i="24"/>
  <c r="AF221" i="25"/>
  <c r="AE221" i="25"/>
  <c r="AK112" i="24"/>
  <c r="AN112" i="24"/>
  <c r="AF116" i="25"/>
  <c r="AE116" i="25"/>
  <c r="AX206" i="25"/>
  <c r="AW206" i="25"/>
  <c r="AJ14" i="25"/>
  <c r="AM14" i="25"/>
  <c r="AS43" i="25"/>
  <c r="AN307" i="24"/>
  <c r="AK307" i="24"/>
  <c r="AN195" i="24"/>
  <c r="BI195" i="24" s="1"/>
  <c r="AK195" i="24"/>
  <c r="AN116" i="24"/>
  <c r="BI116" i="24" s="1"/>
  <c r="AK116" i="24"/>
  <c r="AT225" i="24"/>
  <c r="AS60" i="25"/>
  <c r="AS266" i="25"/>
  <c r="AT247" i="24"/>
  <c r="AF244" i="25"/>
  <c r="AE244" i="25"/>
  <c r="AK90" i="24"/>
  <c r="AN90" i="24"/>
  <c r="AS26" i="25"/>
  <c r="AF33" i="25"/>
  <c r="AE33" i="25"/>
  <c r="AW179" i="25"/>
  <c r="AX179" i="25"/>
  <c r="BA157" i="24"/>
  <c r="AS124" i="25"/>
  <c r="AS41" i="25"/>
  <c r="AK63" i="24"/>
  <c r="AN63" i="24"/>
  <c r="AF121" i="25"/>
  <c r="AE121" i="25"/>
  <c r="AS294" i="25"/>
  <c r="BA151" i="24"/>
  <c r="AK254" i="24"/>
  <c r="AN254" i="24"/>
  <c r="BI254" i="24" s="1"/>
  <c r="AF127" i="25"/>
  <c r="AE127" i="25"/>
  <c r="BA291" i="24"/>
  <c r="BA252" i="24"/>
  <c r="AX177" i="25"/>
  <c r="AW177" i="25"/>
  <c r="AK274" i="24"/>
  <c r="AN274" i="24"/>
  <c r="AN39" i="24"/>
  <c r="AK39" i="24"/>
  <c r="AF272" i="25"/>
  <c r="AE272" i="25"/>
  <c r="AF300" i="25"/>
  <c r="AE300" i="25"/>
  <c r="AJ190" i="25"/>
  <c r="AM190" i="25"/>
  <c r="AJ293" i="25"/>
  <c r="AM293" i="25"/>
  <c r="BG293" i="25" s="1"/>
  <c r="AK303" i="24"/>
  <c r="AN303" i="24"/>
  <c r="BI303" i="24" s="1"/>
  <c r="AF45" i="25"/>
  <c r="AE45" i="25"/>
  <c r="AN201" i="24"/>
  <c r="AK201" i="24"/>
  <c r="AW89" i="25"/>
  <c r="AX89" i="25"/>
  <c r="AK218" i="24"/>
  <c r="AN218" i="24"/>
  <c r="BI218" i="24" s="1"/>
  <c r="BA161" i="24"/>
  <c r="AX189" i="25"/>
  <c r="AW189" i="25"/>
  <c r="AS86" i="25"/>
  <c r="AK200" i="24"/>
  <c r="AN200" i="24"/>
  <c r="AN183" i="24"/>
  <c r="BI183" i="24" s="1"/>
  <c r="AK183" i="24"/>
  <c r="AF136" i="25"/>
  <c r="AE136" i="25"/>
  <c r="BA239" i="24"/>
  <c r="BA286" i="24"/>
  <c r="AJ305" i="25"/>
  <c r="AM305" i="25"/>
  <c r="AF274" i="25"/>
  <c r="AE274" i="25"/>
  <c r="AX87" i="25"/>
  <c r="AW87" i="25"/>
  <c r="AF289" i="25"/>
  <c r="AE289" i="25"/>
  <c r="AS42" i="25"/>
  <c r="BA264" i="24"/>
  <c r="AK226" i="24"/>
  <c r="AN226" i="24"/>
  <c r="BI226" i="24" s="1"/>
  <c r="AF239" i="25"/>
  <c r="AE239" i="25"/>
  <c r="AS183" i="25"/>
  <c r="AF9" i="25"/>
  <c r="AE9" i="25"/>
  <c r="AN150" i="24"/>
  <c r="AK150" i="24"/>
  <c r="AF281" i="25"/>
  <c r="AE281" i="25"/>
  <c r="AF93" i="25"/>
  <c r="AE93" i="25"/>
  <c r="AM292" i="25"/>
  <c r="AJ292" i="25"/>
  <c r="AN217" i="24"/>
  <c r="BI217" i="24" s="1"/>
  <c r="AK217" i="24"/>
  <c r="AS100" i="25"/>
  <c r="BA197" i="24"/>
  <c r="AJ62" i="25"/>
  <c r="AM62" i="25"/>
  <c r="AS118" i="25"/>
  <c r="AS226" i="25"/>
  <c r="AS180" i="25"/>
  <c r="AF20" i="25"/>
  <c r="AE20" i="25"/>
  <c r="AT305" i="24"/>
  <c r="AS66" i="25"/>
  <c r="AT218" i="24"/>
  <c r="AS235" i="25"/>
  <c r="BA200" i="24"/>
  <c r="BA189" i="24"/>
  <c r="AF70" i="25"/>
  <c r="AE70" i="25"/>
  <c r="AS44" i="25"/>
  <c r="AN243" i="24"/>
  <c r="AK243" i="24"/>
  <c r="AX6" i="25"/>
  <c r="AW6" i="25"/>
  <c r="AN231" i="24"/>
  <c r="BI231" i="24" s="1"/>
  <c r="AK231" i="24"/>
  <c r="AS63" i="25"/>
  <c r="AS37" i="25"/>
  <c r="AN91" i="24"/>
  <c r="AK91" i="24"/>
  <c r="AK244" i="24"/>
  <c r="AN244" i="24"/>
  <c r="BI244" i="24" s="1"/>
  <c r="AT111" i="24"/>
  <c r="AJ31" i="25"/>
  <c r="AM31" i="25"/>
  <c r="BG31" i="25" s="1"/>
  <c r="AF277" i="25"/>
  <c r="AE277" i="25"/>
  <c r="AS295" i="25"/>
  <c r="AN253" i="24"/>
  <c r="AK253" i="24"/>
  <c r="AJ199" i="25"/>
  <c r="AM199" i="25"/>
  <c r="BG199" i="25" s="1"/>
  <c r="AS181" i="25"/>
  <c r="AK124" i="24"/>
  <c r="AN124" i="24"/>
  <c r="AF102" i="25"/>
  <c r="AE102" i="25"/>
  <c r="AK282" i="24"/>
  <c r="AN282" i="24"/>
  <c r="AS112" i="25"/>
  <c r="AF46" i="25"/>
  <c r="AE46" i="25"/>
  <c r="BA206" i="24"/>
  <c r="BA227" i="24"/>
  <c r="AW170" i="25"/>
  <c r="AX170" i="25"/>
  <c r="AS218" i="25"/>
  <c r="AS290" i="25"/>
  <c r="BA185" i="24"/>
  <c r="AN219" i="24"/>
  <c r="AK219" i="24"/>
  <c r="AF54" i="25"/>
  <c r="AE54" i="25"/>
  <c r="AS90" i="25"/>
  <c r="BA171" i="24"/>
  <c r="BA285" i="24"/>
  <c r="AN156" i="24"/>
  <c r="AK156" i="24"/>
  <c r="BA293" i="24"/>
  <c r="AS138" i="25"/>
  <c r="AF162" i="25"/>
  <c r="AE162" i="25"/>
  <c r="AS18" i="25"/>
  <c r="AF251" i="25"/>
  <c r="AE251" i="25"/>
  <c r="AS132" i="24"/>
  <c r="AU132" i="24" s="1"/>
  <c r="BB132" i="24" s="1"/>
  <c r="BJ132" i="24"/>
  <c r="AQ132" i="24"/>
  <c r="AS169" i="25"/>
  <c r="AK57" i="24"/>
  <c r="AN57" i="24"/>
  <c r="BA192" i="24"/>
  <c r="BA231" i="24"/>
  <c r="AK20" i="24"/>
  <c r="AN20" i="24"/>
  <c r="AN33" i="24"/>
  <c r="AK33" i="24"/>
  <c r="AF307" i="25"/>
  <c r="AE307" i="25"/>
  <c r="AS270" i="25"/>
  <c r="AS208" i="25"/>
  <c r="AS135" i="25"/>
  <c r="AK113" i="24"/>
  <c r="AN113" i="24"/>
  <c r="BI113" i="24" s="1"/>
  <c r="AV32" i="24"/>
  <c r="AT32" i="24"/>
  <c r="AT265" i="24"/>
  <c r="AS132" i="25"/>
  <c r="AK288" i="24"/>
  <c r="AN288" i="24"/>
  <c r="BI288" i="24" s="1"/>
  <c r="AF287" i="25"/>
  <c r="AE287" i="25"/>
  <c r="AN11" i="24"/>
  <c r="AK11" i="24"/>
  <c r="AF91" i="25"/>
  <c r="AE91" i="25"/>
  <c r="AS234" i="25"/>
  <c r="AT261" i="24"/>
  <c r="AF227" i="25"/>
  <c r="AE227" i="25"/>
  <c r="AS36" i="25"/>
  <c r="AK229" i="24"/>
  <c r="AN229" i="24"/>
  <c r="BI229" i="24" s="1"/>
  <c r="AN146" i="24"/>
  <c r="BI146" i="24" s="1"/>
  <c r="AK146" i="24"/>
  <c r="AS55" i="24"/>
  <c r="AQ55" i="24"/>
  <c r="BJ55" i="24"/>
  <c r="AX55" i="24"/>
  <c r="BW55" i="24"/>
  <c r="BH55" i="24"/>
  <c r="AN169" i="24"/>
  <c r="BI169" i="24" s="1"/>
  <c r="AK169" i="24"/>
  <c r="AN62" i="24"/>
  <c r="BI62" i="24" s="1"/>
  <c r="AK62" i="24"/>
  <c r="AS245" i="25"/>
  <c r="AS68" i="25"/>
  <c r="AM240" i="25"/>
  <c r="BG240" i="25" s="1"/>
  <c r="AJ240" i="25"/>
  <c r="BA188" i="24"/>
  <c r="AT240" i="24"/>
  <c r="AJ275" i="25"/>
  <c r="AM275" i="25"/>
  <c r="BG275" i="25" s="1"/>
  <c r="AS231" i="25"/>
  <c r="AX95" i="25"/>
  <c r="AW95" i="25"/>
  <c r="AF43" i="25"/>
  <c r="AE43" i="25"/>
  <c r="AV57" i="24"/>
  <c r="AT57" i="24"/>
  <c r="AT266" i="24"/>
  <c r="AX34" i="25"/>
  <c r="AW34" i="25"/>
  <c r="AF60" i="25"/>
  <c r="AE60" i="25"/>
  <c r="AF266" i="25"/>
  <c r="AE266" i="25"/>
  <c r="BA22" i="24"/>
  <c r="AT224" i="24"/>
  <c r="AJ173" i="25"/>
  <c r="AM173" i="25"/>
  <c r="AM248" i="25"/>
  <c r="BG248" i="25" s="1"/>
  <c r="AJ248" i="25"/>
  <c r="AK70" i="24"/>
  <c r="AN70" i="24"/>
  <c r="AV8" i="24"/>
  <c r="AT8" i="24"/>
  <c r="AF26" i="25"/>
  <c r="AE26" i="25"/>
  <c r="BA314" i="24"/>
  <c r="AV59" i="24"/>
  <c r="AT59" i="24"/>
  <c r="AF124" i="25"/>
  <c r="AE124" i="25"/>
  <c r="AF41" i="25"/>
  <c r="AE41" i="25"/>
  <c r="AS168" i="25"/>
  <c r="AF294" i="25"/>
  <c r="AE294" i="25"/>
  <c r="BA113" i="24"/>
  <c r="AN179" i="24"/>
  <c r="AK179" i="24"/>
  <c r="AS284" i="25"/>
  <c r="AS19" i="25"/>
  <c r="AK196" i="24"/>
  <c r="AN196" i="24"/>
  <c r="BI196" i="24" s="1"/>
  <c r="AJ113" i="25"/>
  <c r="AM113" i="25"/>
  <c r="AS175" i="25"/>
  <c r="BA236" i="24"/>
  <c r="AK182" i="24"/>
  <c r="AN182" i="24"/>
  <c r="BA177" i="24"/>
  <c r="AM114" i="25"/>
  <c r="BG114" i="25" s="1"/>
  <c r="AJ114" i="25"/>
  <c r="BL21" i="24"/>
  <c r="AS21" i="24"/>
  <c r="BJ21" i="24"/>
  <c r="AQ21" i="24"/>
  <c r="AX21" i="24"/>
  <c r="BW21" i="24"/>
  <c r="BH21" i="24"/>
  <c r="AK281" i="24"/>
  <c r="AN281" i="24"/>
  <c r="AF86" i="25"/>
  <c r="AE86" i="25"/>
  <c r="AS164" i="25"/>
  <c r="BA140" i="24"/>
  <c r="AS156" i="25"/>
  <c r="AS7" i="25"/>
  <c r="BA195" i="24"/>
  <c r="AW154" i="25"/>
  <c r="AX154" i="25"/>
  <c r="AN54" i="24"/>
  <c r="CE54" i="24" s="1"/>
  <c r="AK54" i="24"/>
  <c r="AS301" i="25"/>
  <c r="AW113" i="25"/>
  <c r="AX113" i="25"/>
  <c r="AN301" i="24"/>
  <c r="AK301" i="24"/>
  <c r="AW201" i="25"/>
  <c r="AX201" i="25"/>
  <c r="AN153" i="24"/>
  <c r="AK153" i="24"/>
  <c r="AS228" i="25"/>
  <c r="AF42" i="25"/>
  <c r="AE42" i="25"/>
  <c r="AK38" i="24"/>
  <c r="AN38" i="24"/>
  <c r="BA131" i="24"/>
  <c r="AF183" i="25"/>
  <c r="AE183" i="25"/>
  <c r="AF100" i="25"/>
  <c r="AE100" i="25"/>
  <c r="BA196" i="24"/>
  <c r="AK185" i="24"/>
  <c r="AN185" i="24"/>
  <c r="AS311" i="25"/>
  <c r="AM247" i="25"/>
  <c r="BG247" i="25" s="1"/>
  <c r="AJ247" i="25"/>
  <c r="AS313" i="25"/>
  <c r="AF118" i="25"/>
  <c r="AE118" i="25"/>
  <c r="BA149" i="24"/>
  <c r="AF226" i="25"/>
  <c r="AE226" i="25"/>
  <c r="BA203" i="24"/>
  <c r="AF180" i="25"/>
  <c r="AE180" i="25"/>
  <c r="AN13" i="24"/>
  <c r="AK13" i="24"/>
  <c r="AK27" i="24"/>
  <c r="AN27" i="24"/>
  <c r="CE27" i="24" s="1"/>
  <c r="AW147" i="25"/>
  <c r="AX147" i="25"/>
  <c r="AS88" i="25"/>
  <c r="AF66" i="25"/>
  <c r="AE66" i="25"/>
  <c r="AS191" i="24"/>
  <c r="BJ191" i="24"/>
  <c r="AQ191" i="24"/>
  <c r="AX191" i="24"/>
  <c r="BH191" i="24"/>
  <c r="BW191" i="24"/>
  <c r="BU191" i="24"/>
  <c r="AT281" i="24"/>
  <c r="AF235" i="25"/>
  <c r="AE235" i="25"/>
  <c r="BA183" i="24"/>
  <c r="AF44" i="25"/>
  <c r="AE44" i="25"/>
  <c r="AT117" i="24"/>
  <c r="AF63" i="25"/>
  <c r="AE63" i="25"/>
  <c r="AF37" i="25"/>
  <c r="AE37" i="25"/>
  <c r="AT133" i="24"/>
  <c r="AS250" i="25"/>
  <c r="AT153" i="24"/>
  <c r="AF295" i="25"/>
  <c r="AE295" i="25"/>
  <c r="BL257" i="24"/>
  <c r="AS257" i="24"/>
  <c r="BJ257" i="24"/>
  <c r="AQ257" i="24"/>
  <c r="BW257" i="24"/>
  <c r="BU257" i="24"/>
  <c r="AX257" i="24"/>
  <c r="BH257" i="24"/>
  <c r="AN295" i="24"/>
  <c r="AK295" i="24"/>
  <c r="AS299" i="25"/>
  <c r="AF181" i="25"/>
  <c r="AE181" i="25"/>
  <c r="AN89" i="24"/>
  <c r="AK89" i="24"/>
  <c r="AJ276" i="25"/>
  <c r="AM276" i="25"/>
  <c r="BG276" i="25" s="1"/>
  <c r="AF290" i="25"/>
  <c r="AE290" i="25"/>
  <c r="AS176" i="25"/>
  <c r="BA175" i="24"/>
  <c r="AF90" i="25"/>
  <c r="AE90" i="25"/>
  <c r="AN263" i="24"/>
  <c r="AK263" i="24"/>
  <c r="AF138" i="25"/>
  <c r="AE138" i="25"/>
  <c r="AX199" i="25"/>
  <c r="AW199" i="25"/>
  <c r="AF18" i="25"/>
  <c r="AE18" i="25"/>
  <c r="AS249" i="25"/>
  <c r="AF169" i="25"/>
  <c r="AE169" i="25"/>
  <c r="AS288" i="25"/>
  <c r="AK240" i="24"/>
  <c r="AN240" i="24"/>
  <c r="AX32" i="25"/>
  <c r="AW32" i="25"/>
  <c r="AK19" i="24"/>
  <c r="AN19" i="24"/>
  <c r="AK72" i="24"/>
  <c r="AN72" i="24"/>
  <c r="AX97" i="25"/>
  <c r="AW97" i="25"/>
  <c r="AT243" i="24"/>
  <c r="AS264" i="25"/>
  <c r="AN290" i="24"/>
  <c r="BI290" i="24" s="1"/>
  <c r="AK290" i="24"/>
  <c r="AS73" i="25"/>
  <c r="AS80" i="25"/>
  <c r="AN279" i="24"/>
  <c r="AK279" i="24"/>
  <c r="AS144" i="25"/>
  <c r="AF270" i="25"/>
  <c r="AE270" i="25"/>
  <c r="AF208" i="25"/>
  <c r="AE208" i="25"/>
  <c r="AF135" i="25"/>
  <c r="AE135" i="25"/>
  <c r="AJ246" i="25"/>
  <c r="AM246" i="25"/>
  <c r="BG246" i="25" s="1"/>
  <c r="AM206" i="25"/>
  <c r="BG206" i="25" s="1"/>
  <c r="AJ206" i="25"/>
  <c r="AX59" i="25"/>
  <c r="AW59" i="25"/>
  <c r="AF132" i="25"/>
  <c r="AE132" i="25"/>
  <c r="AK202" i="24"/>
  <c r="AN202" i="24"/>
  <c r="AS252" i="25"/>
  <c r="AF234" i="25"/>
  <c r="AE234" i="25"/>
  <c r="AM34" i="25"/>
  <c r="BG34" i="25" s="1"/>
  <c r="AJ34" i="25"/>
  <c r="AS163" i="25"/>
  <c r="AM229" i="25"/>
  <c r="BG229" i="25" s="1"/>
  <c r="AJ229" i="25"/>
  <c r="AF36" i="25"/>
  <c r="AE36" i="25"/>
  <c r="AS210" i="25"/>
  <c r="AF245" i="25"/>
  <c r="AE245" i="25"/>
  <c r="AF68" i="25"/>
  <c r="AE68" i="25"/>
  <c r="BW132" i="24"/>
  <c r="AF231" i="25"/>
  <c r="AE231" i="25"/>
  <c r="AV34" i="24"/>
  <c r="AT34" i="24"/>
  <c r="AV6" i="24"/>
  <c r="AT6" i="24"/>
  <c r="AT238" i="24"/>
  <c r="AM177" i="25"/>
  <c r="AJ177" i="25"/>
  <c r="AV33" i="24"/>
  <c r="AT33" i="24"/>
  <c r="AT271" i="24"/>
  <c r="AK239" i="24"/>
  <c r="AN239" i="24"/>
  <c r="AK286" i="24"/>
  <c r="AN286" i="24"/>
  <c r="BI286" i="24" s="1"/>
  <c r="AS74" i="25"/>
  <c r="AK194" i="24"/>
  <c r="AN194" i="24"/>
  <c r="BI194" i="24" s="1"/>
  <c r="BA176" i="24"/>
  <c r="AF168" i="25"/>
  <c r="AE168" i="25"/>
  <c r="AM262" i="25"/>
  <c r="BG262" i="25" s="1"/>
  <c r="AJ262" i="25"/>
  <c r="AS15" i="25"/>
  <c r="AX14" i="25"/>
  <c r="AW14" i="25"/>
  <c r="BA289" i="24"/>
  <c r="B158" i="2"/>
  <c r="AS105" i="25"/>
  <c r="AK311" i="24"/>
  <c r="AN311" i="24"/>
  <c r="BI311" i="24" s="1"/>
  <c r="AF284" i="25"/>
  <c r="AE284" i="25"/>
  <c r="BA180" i="24"/>
  <c r="AM243" i="25"/>
  <c r="BG243" i="25" s="1"/>
  <c r="AJ243" i="25"/>
  <c r="AF19" i="25"/>
  <c r="AE19" i="25"/>
  <c r="AX174" i="25"/>
  <c r="AW174" i="25"/>
  <c r="AS241" i="25"/>
  <c r="AF175" i="25"/>
  <c r="AE175" i="25"/>
  <c r="AK46" i="24"/>
  <c r="AN46" i="24"/>
  <c r="AS65" i="25"/>
  <c r="AK149" i="24"/>
  <c r="AN149" i="24"/>
  <c r="BI149" i="24" s="1"/>
  <c r="AX158" i="25"/>
  <c r="AW158" i="25"/>
  <c r="BA136" i="24"/>
  <c r="AS285" i="25"/>
  <c r="AS44" i="24"/>
  <c r="BJ44" i="24"/>
  <c r="AQ44" i="24"/>
  <c r="AX44" i="24"/>
  <c r="BH44" i="24"/>
  <c r="BW44" i="24"/>
  <c r="AK310" i="24"/>
  <c r="AN310" i="24"/>
  <c r="AS145" i="25"/>
  <c r="AS25" i="25"/>
  <c r="AN298" i="24"/>
  <c r="AK298" i="24"/>
  <c r="AW148" i="25"/>
  <c r="AX148" i="25"/>
  <c r="AF164" i="25"/>
  <c r="AE164" i="25"/>
  <c r="AF156" i="25"/>
  <c r="AE156" i="25"/>
  <c r="AF7" i="25"/>
  <c r="AE7" i="25"/>
  <c r="AK117" i="24"/>
  <c r="AN117" i="24"/>
  <c r="BI117" i="24" s="1"/>
  <c r="AS130" i="25"/>
  <c r="AS128" i="25"/>
  <c r="AF301" i="25"/>
  <c r="AE301" i="25"/>
  <c r="BL292" i="24"/>
  <c r="AS292" i="24"/>
  <c r="AU292" i="24" s="1"/>
  <c r="BB292" i="24" s="1"/>
  <c r="AQ292" i="24"/>
  <c r="BJ292" i="24"/>
  <c r="AK51" i="24"/>
  <c r="AN51" i="24"/>
  <c r="AF228" i="25"/>
  <c r="AE228" i="25"/>
  <c r="AS193" i="25"/>
  <c r="AN135" i="24"/>
  <c r="AK135" i="24"/>
  <c r="BA186" i="24"/>
  <c r="AK278" i="24"/>
  <c r="AN278" i="24"/>
  <c r="BI278" i="24" s="1"/>
  <c r="AK251" i="24"/>
  <c r="AN251" i="24"/>
  <c r="BI251" i="24" s="1"/>
  <c r="AS197" i="25"/>
  <c r="AW96" i="25"/>
  <c r="AX96" i="25"/>
  <c r="AJ94" i="25"/>
  <c r="AM94" i="25"/>
  <c r="BG94" i="25" s="1"/>
  <c r="AK47" i="24"/>
  <c r="AN47" i="24"/>
  <c r="AN205" i="24"/>
  <c r="AK205" i="24"/>
  <c r="BA313" i="24"/>
  <c r="AS165" i="25"/>
  <c r="AF311" i="25"/>
  <c r="AE311" i="25"/>
  <c r="BA127" i="24"/>
  <c r="BL22" i="24"/>
  <c r="AS22" i="24"/>
  <c r="AU22" i="24" s="1"/>
  <c r="BB22" i="24" s="1"/>
  <c r="BJ22" i="24"/>
  <c r="AQ22" i="24"/>
  <c r="BA230" i="24"/>
  <c r="AF313" i="25"/>
  <c r="AE313" i="25"/>
  <c r="AN43" i="24"/>
  <c r="AK43" i="24"/>
  <c r="BA302" i="24"/>
  <c r="AJ82" i="25"/>
  <c r="AM82" i="25"/>
  <c r="BA310" i="24"/>
  <c r="AS81" i="25"/>
  <c r="AF88" i="25"/>
  <c r="AE88" i="25"/>
  <c r="AK165" i="24"/>
  <c r="AN165" i="24"/>
  <c r="AS141" i="25"/>
  <c r="AT296" i="24"/>
  <c r="AS85" i="25"/>
  <c r="AN23" i="24"/>
  <c r="BI23" i="24" s="1"/>
  <c r="AK23" i="24"/>
  <c r="AM170" i="25"/>
  <c r="AJ170" i="25"/>
  <c r="AT125" i="24"/>
  <c r="AT269" i="24"/>
  <c r="AR129" i="25"/>
  <c r="BJ129" i="25"/>
  <c r="AP129" i="25"/>
  <c r="BH129" i="25"/>
  <c r="BW129" i="25"/>
  <c r="BU129" i="25"/>
  <c r="BF129" i="25"/>
  <c r="AK80" i="24"/>
  <c r="AN80" i="24"/>
  <c r="AF250" i="25"/>
  <c r="AE250" i="25"/>
  <c r="AS298" i="25"/>
  <c r="AK152" i="24"/>
  <c r="AN152" i="24"/>
  <c r="AS142" i="24"/>
  <c r="AU142" i="24" s="1"/>
  <c r="BB142" i="24" s="1"/>
  <c r="BJ142" i="24"/>
  <c r="AQ142" i="24"/>
  <c r="AJ314" i="25"/>
  <c r="AM314" i="25"/>
  <c r="BG314" i="25" s="1"/>
  <c r="AF299" i="25"/>
  <c r="AE299" i="25"/>
  <c r="AN312" i="24"/>
  <c r="BI312" i="24" s="1"/>
  <c r="AK312" i="24"/>
  <c r="AS157" i="25"/>
  <c r="AK223" i="24"/>
  <c r="AN223" i="24"/>
  <c r="BI223" i="24" s="1"/>
  <c r="AF218" i="25"/>
  <c r="AE218" i="25"/>
  <c r="AS61" i="25"/>
  <c r="BA278" i="24"/>
  <c r="AM273" i="25"/>
  <c r="BG273" i="25" s="1"/>
  <c r="AJ273" i="25"/>
  <c r="AS302" i="25"/>
  <c r="BA246" i="24"/>
  <c r="AX178" i="25"/>
  <c r="AW178" i="25"/>
  <c r="AF61" i="25"/>
  <c r="AE61" i="25"/>
  <c r="AM283" i="25"/>
  <c r="AJ283" i="25"/>
  <c r="AF176" i="25"/>
  <c r="AE176" i="25"/>
  <c r="AK123" i="24"/>
  <c r="AN123" i="24"/>
  <c r="AK137" i="24"/>
  <c r="AN137" i="24"/>
  <c r="AN272" i="24"/>
  <c r="BI272" i="24" s="1"/>
  <c r="AK272" i="24"/>
  <c r="AF249" i="25"/>
  <c r="AE249" i="25"/>
  <c r="AS279" i="25"/>
  <c r="AF288" i="25"/>
  <c r="AE288" i="25"/>
  <c r="AT273" i="24"/>
  <c r="AN6" i="24"/>
  <c r="BI6" i="24" s="1"/>
  <c r="AK6" i="24"/>
  <c r="AK266" i="24"/>
  <c r="AN266" i="24"/>
  <c r="AN145" i="24"/>
  <c r="AK145" i="24"/>
  <c r="AF264" i="25"/>
  <c r="AE264" i="25"/>
  <c r="AK181" i="24"/>
  <c r="AN181" i="24"/>
  <c r="BI181" i="24" s="1"/>
  <c r="AJ238" i="25"/>
  <c r="AM238" i="25"/>
  <c r="BA244" i="24"/>
  <c r="AF73" i="25"/>
  <c r="AE73" i="25"/>
  <c r="AF80" i="25"/>
  <c r="AE80" i="25"/>
  <c r="AS101" i="25"/>
  <c r="AF144" i="25"/>
  <c r="AE144" i="25"/>
  <c r="AN8" i="24"/>
  <c r="AK8" i="24"/>
  <c r="AN94" i="24"/>
  <c r="AK94" i="24"/>
  <c r="AV12" i="24"/>
  <c r="AT12" i="24"/>
  <c r="AV37" i="24"/>
  <c r="AT37" i="24"/>
  <c r="AW167" i="25"/>
  <c r="AX167" i="25"/>
  <c r="AJ306" i="25"/>
  <c r="AM306" i="25"/>
  <c r="AK289" i="24"/>
  <c r="AN289" i="24"/>
  <c r="BI289" i="24" s="1"/>
  <c r="AJ95" i="25"/>
  <c r="AM95" i="25"/>
  <c r="BG95" i="25" s="1"/>
  <c r="AS223" i="25"/>
  <c r="AF252" i="25"/>
  <c r="AE252" i="25"/>
  <c r="AF163" i="25"/>
  <c r="AE163" i="25"/>
  <c r="AK144" i="24"/>
  <c r="AN144" i="24"/>
  <c r="BI144" i="24" s="1"/>
  <c r="AK42" i="24"/>
  <c r="AN42" i="24"/>
  <c r="AN122" i="24"/>
  <c r="BI122" i="24" s="1"/>
  <c r="AK122" i="24"/>
  <c r="AS133" i="25"/>
  <c r="AF210" i="25"/>
  <c r="AE210" i="25"/>
  <c r="BU132" i="24"/>
  <c r="AK198" i="24"/>
  <c r="AN198" i="24"/>
  <c r="BI198" i="24" s="1"/>
  <c r="AK210" i="24"/>
  <c r="AN210" i="24"/>
  <c r="AK161" i="24"/>
  <c r="AN161" i="24"/>
  <c r="AN270" i="24"/>
  <c r="AK270" i="24"/>
  <c r="AN255" i="24"/>
  <c r="BI255" i="24" s="1"/>
  <c r="AK255" i="24"/>
  <c r="AS98" i="25"/>
  <c r="AS209" i="25"/>
  <c r="AT260" i="24"/>
  <c r="AF74" i="25"/>
  <c r="AE74" i="25"/>
  <c r="AS150" i="25"/>
  <c r="AS188" i="25"/>
  <c r="AF15" i="25"/>
  <c r="AE15" i="25"/>
  <c r="AK172" i="24"/>
  <c r="AN172" i="24"/>
  <c r="BI172" i="24" s="1"/>
  <c r="AJ148" i="25"/>
  <c r="AM148" i="25"/>
  <c r="BG148" i="25" s="1"/>
  <c r="AF105" i="25"/>
  <c r="AE105" i="25"/>
  <c r="AN52" i="24"/>
  <c r="AK52" i="24"/>
  <c r="BA173" i="24"/>
  <c r="BA287" i="24"/>
  <c r="AK258" i="24"/>
  <c r="AN258" i="24"/>
  <c r="BA159" i="24"/>
  <c r="AF241" i="25"/>
  <c r="AE241" i="25"/>
  <c r="AK98" i="24"/>
  <c r="AN98" i="24"/>
  <c r="AN127" i="24"/>
  <c r="AK127" i="24"/>
  <c r="AS47" i="25"/>
  <c r="AF65" i="25"/>
  <c r="AE65" i="25"/>
  <c r="AK10" i="24"/>
  <c r="AN10" i="24"/>
  <c r="AS236" i="24"/>
  <c r="AU236" i="24" s="1"/>
  <c r="BB236" i="24" s="1"/>
  <c r="BJ236" i="24"/>
  <c r="AQ236" i="24"/>
  <c r="AF285" i="25"/>
  <c r="AE285" i="25"/>
  <c r="AF145" i="25"/>
  <c r="AE145" i="25"/>
  <c r="AN177" i="24"/>
  <c r="BI177" i="24" s="1"/>
  <c r="AK177" i="24"/>
  <c r="BA210" i="24"/>
  <c r="AF25" i="25"/>
  <c r="AE25" i="25"/>
  <c r="AS119" i="25"/>
  <c r="AS315" i="25"/>
  <c r="AF130" i="25"/>
  <c r="AE130" i="25"/>
  <c r="AF128" i="25"/>
  <c r="AE128" i="25"/>
  <c r="AN35" i="24"/>
  <c r="AK35" i="24"/>
  <c r="AF193" i="25"/>
  <c r="AE193" i="25"/>
  <c r="AK285" i="24"/>
  <c r="AN285" i="24"/>
  <c r="BI285" i="24" s="1"/>
  <c r="AN228" i="24"/>
  <c r="AK228" i="24"/>
  <c r="BA250" i="24"/>
  <c r="AS162" i="24"/>
  <c r="BJ162" i="24"/>
  <c r="AQ162" i="24"/>
  <c r="BW162" i="24"/>
  <c r="AX162" i="24"/>
  <c r="BH162" i="24"/>
  <c r="BU162" i="24"/>
  <c r="AS260" i="25"/>
  <c r="AF197" i="25"/>
  <c r="AE197" i="25"/>
  <c r="AN227" i="24"/>
  <c r="BI227" i="24" s="1"/>
  <c r="AK227" i="24"/>
  <c r="AT274" i="24"/>
  <c r="AF165" i="25"/>
  <c r="AE165" i="25"/>
  <c r="AS268" i="25"/>
  <c r="AK134" i="24"/>
  <c r="AN134" i="24"/>
  <c r="BI134" i="24" s="1"/>
  <c r="BA182" i="24"/>
  <c r="AN93" i="24"/>
  <c r="AK93" i="24"/>
  <c r="AJ161" i="25"/>
  <c r="AM161" i="25"/>
  <c r="AX30" i="25"/>
  <c r="AW30" i="25"/>
  <c r="AN74" i="24"/>
  <c r="AK74" i="24"/>
  <c r="AK71" i="24"/>
  <c r="AN71" i="24"/>
  <c r="AF81" i="25"/>
  <c r="AE81" i="25"/>
  <c r="AF141" i="25"/>
  <c r="AE141" i="25"/>
  <c r="AK99" i="24"/>
  <c r="AN99" i="24"/>
  <c r="AF85" i="25"/>
  <c r="AE85" i="25"/>
  <c r="AN103" i="24"/>
  <c r="AK103" i="24"/>
  <c r="AS286" i="25"/>
  <c r="AS271" i="25"/>
  <c r="AN130" i="24"/>
  <c r="AK130" i="24"/>
  <c r="AM178" i="25"/>
  <c r="BG178" i="25" s="1"/>
  <c r="AJ178" i="25"/>
  <c r="BA178" i="24"/>
  <c r="AS278" i="25"/>
  <c r="AV58" i="24"/>
  <c r="AT58" i="24"/>
  <c r="AS166" i="25"/>
  <c r="AX62" i="25"/>
  <c r="AW62" i="25"/>
  <c r="AM204" i="25"/>
  <c r="BG204" i="25" s="1"/>
  <c r="AJ204" i="25"/>
  <c r="AT249" i="24"/>
  <c r="AF298" i="25"/>
  <c r="AE298" i="25"/>
  <c r="AK100" i="24"/>
  <c r="AN100" i="24"/>
  <c r="AS76" i="25"/>
  <c r="AK12" i="24"/>
  <c r="AN12" i="24"/>
  <c r="AF157" i="25"/>
  <c r="AE157" i="25"/>
  <c r="AS45" i="24"/>
  <c r="AQ45" i="24"/>
  <c r="BJ45" i="24"/>
  <c r="BH45" i="24"/>
  <c r="BW45" i="24"/>
  <c r="AX45" i="24"/>
  <c r="AJ192" i="25"/>
  <c r="AM192" i="25"/>
  <c r="AF112" i="25"/>
  <c r="AE112" i="25"/>
  <c r="BA251" i="24"/>
  <c r="AK68" i="24"/>
  <c r="AN68" i="24"/>
  <c r="AK225" i="24"/>
  <c r="AN225" i="24"/>
  <c r="BI225" i="24" s="1"/>
  <c r="AS83" i="25"/>
  <c r="AN9" i="24"/>
  <c r="AK9" i="24"/>
  <c r="AS69" i="25"/>
  <c r="AK297" i="24"/>
  <c r="AN297" i="24"/>
  <c r="BI297" i="24" s="1"/>
  <c r="AS84" i="25"/>
  <c r="AS184" i="25"/>
  <c r="AM167" i="25"/>
  <c r="BG167" i="25" s="1"/>
  <c r="AJ167" i="25"/>
  <c r="AF279" i="25"/>
  <c r="AE279" i="25"/>
  <c r="AS303" i="25"/>
  <c r="BA168" i="24"/>
  <c r="AS117" i="25"/>
  <c r="AN34" i="24"/>
  <c r="AK34" i="24"/>
  <c r="AT147" i="24"/>
  <c r="AT130" i="24"/>
  <c r="AK64" i="24"/>
  <c r="AN64" i="24"/>
  <c r="AF101" i="25"/>
  <c r="AE101" i="25"/>
  <c r="AS139" i="25"/>
  <c r="AS297" i="25"/>
  <c r="AS216" i="25"/>
  <c r="AN115" i="24"/>
  <c r="BI115" i="24" s="1"/>
  <c r="AK115" i="24"/>
  <c r="AJ261" i="25"/>
  <c r="AM261" i="25"/>
  <c r="BG261" i="25" s="1"/>
  <c r="AK222" i="24"/>
  <c r="BI222" i="24"/>
  <c r="AK173" i="24"/>
  <c r="AN173" i="24"/>
  <c r="AF223" i="25"/>
  <c r="AE223" i="25"/>
  <c r="AK256" i="24"/>
  <c r="AN256" i="24"/>
  <c r="BI256" i="24" s="1"/>
  <c r="AS103" i="25"/>
  <c r="AS194" i="25"/>
  <c r="AT219" i="24"/>
  <c r="AR143" i="25"/>
  <c r="BJ143" i="25"/>
  <c r="AP143" i="25"/>
  <c r="BH143" i="25"/>
  <c r="BF143" i="25"/>
  <c r="BU143" i="25"/>
  <c r="BW143" i="25"/>
  <c r="AS151" i="25"/>
  <c r="AS203" i="25"/>
  <c r="AF133" i="25"/>
  <c r="AE133" i="25"/>
  <c r="AN143" i="24"/>
  <c r="BI143" i="24" s="1"/>
  <c r="AK143" i="24"/>
  <c r="AV48" i="24"/>
  <c r="AT48" i="24"/>
  <c r="AK136" i="24"/>
  <c r="AN136" i="24"/>
  <c r="BI136" i="24" s="1"/>
  <c r="BH132" i="24"/>
  <c r="AT114" i="24"/>
  <c r="AN118" i="24"/>
  <c r="AK118" i="24"/>
  <c r="AN140" i="24"/>
  <c r="BI140" i="24" s="1"/>
  <c r="AK140" i="24"/>
  <c r="AS233" i="25"/>
  <c r="AN158" i="24"/>
  <c r="BI158" i="24" s="1"/>
  <c r="AK158" i="24"/>
  <c r="AS160" i="25"/>
  <c r="BA167" i="24"/>
  <c r="AF98" i="25"/>
  <c r="AE98" i="25"/>
  <c r="AS16" i="25"/>
  <c r="AF209" i="25"/>
  <c r="AE209" i="25"/>
  <c r="BA193" i="24"/>
  <c r="AJ296" i="25"/>
  <c r="AM296" i="25"/>
  <c r="BG296" i="25" s="1"/>
  <c r="AN170" i="24"/>
  <c r="AK170" i="24"/>
  <c r="AK304" i="24"/>
  <c r="AN304" i="24"/>
  <c r="AS294" i="24"/>
  <c r="BL294" i="24"/>
  <c r="BJ294" i="24"/>
  <c r="AQ294" i="24"/>
  <c r="AX294" i="24"/>
  <c r="BH294" i="24"/>
  <c r="BW294" i="24"/>
  <c r="BU294" i="24"/>
  <c r="AF150" i="25"/>
  <c r="AE150" i="25"/>
  <c r="AS205" i="25"/>
  <c r="AN186" i="24"/>
  <c r="AK186" i="24"/>
  <c r="AF188" i="25"/>
  <c r="AE188" i="25"/>
  <c r="AK250" i="24"/>
  <c r="AN250" i="24"/>
  <c r="AN308" i="24"/>
  <c r="BI308" i="24" s="1"/>
  <c r="AK308" i="24"/>
  <c r="BA166" i="24"/>
  <c r="BA199" i="24"/>
  <c r="BA202" i="24"/>
  <c r="BA222" i="24"/>
  <c r="AS8" i="25"/>
  <c r="AN313" i="24"/>
  <c r="BI313" i="24" s="1"/>
  <c r="AK313" i="24"/>
  <c r="AS219" i="25"/>
  <c r="BA229" i="24"/>
  <c r="AF47" i="25"/>
  <c r="AE47" i="25"/>
  <c r="AN163" i="24"/>
  <c r="AK163" i="24"/>
  <c r="BA146" i="24"/>
  <c r="AS142" i="25"/>
  <c r="AT112" i="24"/>
  <c r="BA198" i="24"/>
  <c r="BA118" i="24"/>
  <c r="AF119" i="25"/>
  <c r="AE119" i="25"/>
  <c r="AF315" i="25"/>
  <c r="AE315" i="25"/>
  <c r="BA158" i="24"/>
  <c r="AK148" i="24"/>
  <c r="AN148" i="24"/>
  <c r="AK24" i="24"/>
  <c r="AN24" i="24"/>
  <c r="AS140" i="25"/>
  <c r="AK133" i="24"/>
  <c r="AN133" i="24"/>
  <c r="BA170" i="24"/>
  <c r="AN97" i="24"/>
  <c r="AK97" i="24"/>
  <c r="BA201" i="24"/>
  <c r="AX114" i="25"/>
  <c r="AW114" i="25"/>
  <c r="AF260" i="25"/>
  <c r="AE260" i="25"/>
  <c r="BA276" i="24"/>
  <c r="BA179" i="24"/>
  <c r="AN141" i="24"/>
  <c r="BI141" i="24" s="1"/>
  <c r="AK141" i="24"/>
  <c r="AK49" i="24"/>
  <c r="AN49" i="24"/>
  <c r="AK184" i="24"/>
  <c r="AN184" i="24"/>
  <c r="BI184" i="24" s="1"/>
  <c r="AS256" i="25"/>
  <c r="AF268" i="25"/>
  <c r="AE268" i="25"/>
  <c r="AK50" i="24"/>
  <c r="AN50" i="24"/>
  <c r="AS50" i="25"/>
  <c r="AK40" i="24"/>
  <c r="AN40" i="24"/>
  <c r="AN87" i="24"/>
  <c r="AK87" i="24"/>
  <c r="AK293" i="24"/>
  <c r="AN293" i="24"/>
  <c r="BI293" i="24" s="1"/>
  <c r="AS115" i="25"/>
  <c r="AN73" i="24"/>
  <c r="AK73" i="24"/>
  <c r="AM232" i="25"/>
  <c r="BG232" i="25" s="1"/>
  <c r="AJ232" i="25"/>
  <c r="AV28" i="24"/>
  <c r="AT28" i="24"/>
  <c r="AN76" i="24"/>
  <c r="AK76" i="24"/>
  <c r="AS308" i="25"/>
  <c r="AK139" i="24"/>
  <c r="AN139" i="24"/>
  <c r="AF286" i="25"/>
  <c r="AE286" i="25"/>
  <c r="AF271" i="25"/>
  <c r="AE271" i="25"/>
  <c r="AT148" i="24"/>
  <c r="AF278" i="25"/>
  <c r="AE278" i="25"/>
  <c r="AF166" i="25"/>
  <c r="AE166" i="25"/>
  <c r="AN306" i="24"/>
  <c r="AK306" i="24"/>
  <c r="AV35" i="24"/>
  <c r="AT35" i="24"/>
  <c r="AV26" i="24"/>
  <c r="AT26" i="24"/>
  <c r="BL119" i="24"/>
  <c r="AS119" i="24"/>
  <c r="AQ119" i="24"/>
  <c r="BJ119" i="24"/>
  <c r="AX119" i="24"/>
  <c r="BH119" i="24"/>
  <c r="BW119" i="24"/>
  <c r="BU119" i="24"/>
  <c r="AF76" i="25"/>
  <c r="AE76" i="25"/>
  <c r="AS134" i="25"/>
  <c r="BA138" i="24"/>
  <c r="AW11" i="25"/>
  <c r="AX11" i="25"/>
  <c r="BL160" i="24"/>
  <c r="AS160" i="24"/>
  <c r="BJ160" i="24"/>
  <c r="AQ160" i="24"/>
  <c r="BW160" i="24"/>
  <c r="BU160" i="24"/>
  <c r="AX160" i="24"/>
  <c r="BH160" i="24"/>
  <c r="AF302" i="25"/>
  <c r="AE302" i="25"/>
  <c r="AN207" i="24"/>
  <c r="BI207" i="24" s="1"/>
  <c r="AK207" i="24"/>
  <c r="BA205" i="24"/>
  <c r="AS122" i="25"/>
  <c r="AS153" i="25"/>
  <c r="AF83" i="25"/>
  <c r="AE83" i="25"/>
  <c r="AS310" i="25"/>
  <c r="AS217" i="25"/>
  <c r="AS171" i="25"/>
  <c r="AF69" i="25"/>
  <c r="AE69" i="25"/>
  <c r="AF84" i="25"/>
  <c r="AE84" i="25"/>
  <c r="AF184" i="25"/>
  <c r="AE184" i="25"/>
  <c r="AS22" i="25"/>
  <c r="AS56" i="25"/>
  <c r="AK114" i="24"/>
  <c r="AN114" i="24"/>
  <c r="AS207" i="25"/>
  <c r="AF303" i="25"/>
  <c r="AE303" i="25"/>
  <c r="AS55" i="25"/>
  <c r="AF117" i="25"/>
  <c r="AE117" i="25"/>
  <c r="AJ186" i="25"/>
  <c r="AM186" i="25"/>
  <c r="AN315" i="24"/>
  <c r="BI315" i="24" s="1"/>
  <c r="AK315" i="24"/>
  <c r="BA306" i="24"/>
  <c r="AK259" i="24"/>
  <c r="AN259" i="24"/>
  <c r="AS149" i="25"/>
  <c r="AF139" i="25"/>
  <c r="AE139" i="25"/>
  <c r="AK260" i="24"/>
  <c r="AN260" i="24"/>
  <c r="BI260" i="24" s="1"/>
  <c r="AF297" i="25"/>
  <c r="AE297" i="25"/>
  <c r="AN84" i="24"/>
  <c r="CE84" i="24" s="1"/>
  <c r="AK84" i="24"/>
  <c r="AK157" i="24"/>
  <c r="AN157" i="24"/>
  <c r="AF216" i="25"/>
  <c r="AE216" i="25"/>
  <c r="AT284" i="24"/>
  <c r="AN166" i="24"/>
  <c r="AK166" i="24"/>
  <c r="AS7" i="24"/>
  <c r="BJ7" i="24"/>
  <c r="AQ7" i="24"/>
  <c r="BW7" i="24"/>
  <c r="AX7" i="24"/>
  <c r="BH7" i="24"/>
  <c r="AK31" i="24"/>
  <c r="AN31" i="24"/>
  <c r="BA209" i="24"/>
  <c r="AK291" i="24"/>
  <c r="AN291" i="24"/>
  <c r="BI291" i="24" s="1"/>
  <c r="AT299" i="24"/>
  <c r="AN180" i="24"/>
  <c r="AK180" i="24"/>
  <c r="AF103" i="25"/>
  <c r="AE103" i="25"/>
  <c r="AF194" i="25"/>
  <c r="AE194" i="25"/>
  <c r="AS38" i="25"/>
  <c r="AS35" i="25"/>
  <c r="AX186" i="25"/>
  <c r="AW186" i="25"/>
  <c r="AK88" i="24"/>
  <c r="AN88" i="24"/>
  <c r="AF151" i="25"/>
  <c r="AE151" i="25"/>
  <c r="AF203" i="25"/>
  <c r="AE203" i="25"/>
  <c r="AT123" i="24"/>
  <c r="AT297" i="24"/>
  <c r="AS27" i="25"/>
  <c r="AN208" i="24"/>
  <c r="AK208" i="24"/>
  <c r="BA137" i="24"/>
  <c r="AW192" i="25"/>
  <c r="AX192" i="25"/>
  <c r="AX132" i="24"/>
  <c r="AK85" i="24"/>
  <c r="AN85" i="24"/>
  <c r="AS64" i="25"/>
  <c r="AV19" i="24"/>
  <c r="AT19" i="24"/>
  <c r="AF233" i="25"/>
  <c r="AE233" i="25"/>
  <c r="AN309" i="24"/>
  <c r="BI309" i="24" s="1"/>
  <c r="AK309" i="24"/>
  <c r="AS172" i="25"/>
  <c r="AN82" i="24"/>
  <c r="AK82" i="24"/>
  <c r="BA174" i="24"/>
  <c r="AF160" i="25"/>
  <c r="AE160" i="25"/>
  <c r="AT237" i="24"/>
  <c r="AF16" i="25"/>
  <c r="AE16" i="25"/>
  <c r="AM158" i="25"/>
  <c r="BG158" i="25" s="1"/>
  <c r="AJ158" i="25"/>
  <c r="AK77" i="24"/>
  <c r="AN77" i="24"/>
  <c r="AK245" i="24"/>
  <c r="AN245" i="24"/>
  <c r="BI245" i="24" s="1"/>
  <c r="AM13" i="25"/>
  <c r="BG13" i="25" s="1"/>
  <c r="AJ13" i="25"/>
  <c r="AS51" i="25"/>
  <c r="AS304" i="25"/>
  <c r="AF205" i="25"/>
  <c r="AE205" i="25"/>
  <c r="AN65" i="24"/>
  <c r="AK65" i="24"/>
  <c r="AS78" i="25"/>
  <c r="AK14" i="24"/>
  <c r="AN14" i="24"/>
  <c r="BI14" i="24" s="1"/>
  <c r="AM189" i="25"/>
  <c r="AF8" i="25"/>
  <c r="AE8" i="25"/>
  <c r="AS52" i="25"/>
  <c r="AS126" i="25"/>
  <c r="BA300" i="24"/>
  <c r="BA144" i="24"/>
  <c r="AS309" i="25"/>
  <c r="AF219" i="25"/>
  <c r="AE219" i="25"/>
  <c r="AK262" i="24"/>
  <c r="AN262" i="24"/>
  <c r="BI262" i="24" s="1"/>
  <c r="AS23" i="25"/>
  <c r="AN241" i="24"/>
  <c r="BI241" i="24" s="1"/>
  <c r="AK241" i="24"/>
  <c r="AN203" i="24"/>
  <c r="AK203" i="24"/>
  <c r="AK302" i="24"/>
  <c r="AN302" i="24"/>
  <c r="AF142" i="25"/>
  <c r="AE142" i="25"/>
  <c r="AK95" i="24"/>
  <c r="AN95" i="24"/>
  <c r="AK53" i="24"/>
  <c r="AN53" i="24"/>
  <c r="AK280" i="24"/>
  <c r="AN280" i="24"/>
  <c r="AN28" i="24"/>
  <c r="AK28" i="24"/>
  <c r="AN296" i="24"/>
  <c r="BI296" i="24" s="1"/>
  <c r="AK296" i="24"/>
  <c r="BA277" i="24"/>
  <c r="BA270" i="24"/>
  <c r="AK121" i="24"/>
  <c r="AN121" i="24"/>
  <c r="AS316" i="25"/>
  <c r="AN189" i="24"/>
  <c r="BI189" i="24" s="1"/>
  <c r="AK189" i="24"/>
  <c r="AN178" i="24"/>
  <c r="AK178" i="24"/>
  <c r="AK269" i="24"/>
  <c r="AN269" i="24"/>
  <c r="AF140" i="25"/>
  <c r="AE140" i="25"/>
  <c r="AN111" i="24"/>
  <c r="AK111" i="24"/>
  <c r="AS72" i="25"/>
  <c r="AN249" i="24"/>
  <c r="AK249" i="24"/>
  <c r="BA304" i="24"/>
  <c r="AS75" i="25"/>
  <c r="AW190" i="25"/>
  <c r="AX190" i="25"/>
  <c r="AJ198" i="25"/>
  <c r="AM198" i="25"/>
  <c r="BG198" i="25" s="1"/>
  <c r="AS242" i="25"/>
  <c r="AJ147" i="25"/>
  <c r="AM147" i="25"/>
  <c r="BA308" i="24"/>
  <c r="AK206" i="24"/>
  <c r="AN206" i="24"/>
  <c r="AN36" i="24"/>
  <c r="AK36" i="24"/>
  <c r="AF256" i="25"/>
  <c r="AE256" i="25"/>
  <c r="AS224" i="25"/>
  <c r="AS263" i="25"/>
  <c r="AF50" i="25"/>
  <c r="AE50" i="25"/>
  <c r="AF115" i="25"/>
  <c r="AE115" i="25"/>
  <c r="AK16" i="24"/>
  <c r="AN16" i="24"/>
  <c r="AT298" i="24"/>
  <c r="AF308" i="25"/>
  <c r="AE308" i="25"/>
  <c r="AN102" i="24"/>
  <c r="AK102" i="24"/>
  <c r="AX94" i="25"/>
  <c r="AW94" i="25"/>
  <c r="AJ282" i="25"/>
  <c r="AM282" i="25"/>
  <c r="BG282" i="25" s="1"/>
  <c r="AS24" i="25"/>
  <c r="AV51" i="24"/>
  <c r="AT51" i="24"/>
  <c r="AN66" i="24"/>
  <c r="BI66" i="24" s="1"/>
  <c r="AK66" i="24"/>
  <c r="AS48" i="25"/>
  <c r="AS152" i="25"/>
  <c r="AX161" i="25"/>
  <c r="AW161" i="25"/>
  <c r="AT228" i="24"/>
  <c r="AF134" i="25"/>
  <c r="AE134" i="25"/>
  <c r="AS222" i="25"/>
  <c r="AS253" i="25"/>
  <c r="BA221" i="24"/>
  <c r="AK265" i="24"/>
  <c r="AN265" i="24"/>
  <c r="BI265" i="24" s="1"/>
  <c r="AK32" i="24"/>
  <c r="AN32" i="24"/>
  <c r="AK267" i="24"/>
  <c r="AN267" i="24"/>
  <c r="AS182" i="25"/>
  <c r="AK120" i="24"/>
  <c r="AN120" i="24"/>
  <c r="BA141" i="24"/>
  <c r="AF122" i="25"/>
  <c r="AE122" i="25"/>
  <c r="AS40" i="25"/>
  <c r="BA150" i="24"/>
  <c r="AF182" i="25"/>
  <c r="AE182" i="25"/>
  <c r="AN283" i="24"/>
  <c r="AK283" i="24"/>
  <c r="BA217" i="24"/>
  <c r="BA292" i="24"/>
  <c r="AF153" i="25"/>
  <c r="AE153" i="25"/>
  <c r="BA234" i="24"/>
  <c r="AF310" i="25"/>
  <c r="AE310" i="25"/>
  <c r="AF217" i="25"/>
  <c r="AE217" i="25"/>
  <c r="AF171" i="25"/>
  <c r="AE171" i="25"/>
  <c r="AF22" i="25"/>
  <c r="AE22" i="25"/>
  <c r="AF56" i="25"/>
  <c r="AE56" i="25"/>
  <c r="AF207" i="25"/>
  <c r="AE207" i="25"/>
  <c r="AF55" i="25"/>
  <c r="AE55" i="25"/>
  <c r="AK129" i="24"/>
  <c r="AN129" i="24"/>
  <c r="AS146" i="25"/>
  <c r="AN238" i="24"/>
  <c r="BI238" i="24" s="1"/>
  <c r="AK238" i="24"/>
  <c r="AK18" i="24"/>
  <c r="AN18" i="24"/>
  <c r="AN174" i="24"/>
  <c r="BI174" i="24" s="1"/>
  <c r="AK174" i="24"/>
  <c r="AN237" i="24"/>
  <c r="AK237" i="24"/>
  <c r="AS10" i="25"/>
  <c r="AF149" i="25"/>
  <c r="AE149" i="25"/>
  <c r="AK247" i="24"/>
  <c r="AN247" i="24"/>
  <c r="AT152" i="24"/>
  <c r="AK314" i="24"/>
  <c r="AN314" i="24"/>
  <c r="BI314" i="24" s="1"/>
  <c r="AN59" i="24"/>
  <c r="AK59" i="24"/>
  <c r="AS236" i="25"/>
  <c r="BA312" i="24"/>
  <c r="AT120" i="24"/>
  <c r="AK151" i="24"/>
  <c r="AN151" i="24"/>
  <c r="AS17" i="25"/>
  <c r="AK287" i="24"/>
  <c r="AN287" i="24"/>
  <c r="AK159" i="24"/>
  <c r="AN159" i="24"/>
  <c r="BI159" i="24" s="1"/>
  <c r="AT283" i="24"/>
  <c r="AT128" i="24"/>
  <c r="AF38" i="25"/>
  <c r="AE38" i="25"/>
  <c r="AF35" i="25"/>
  <c r="AE35" i="25"/>
  <c r="AK92" i="24"/>
  <c r="AN92" i="24"/>
  <c r="AS190" i="24"/>
  <c r="BL190" i="24"/>
  <c r="AQ190" i="24"/>
  <c r="BJ190" i="24"/>
  <c r="BH190" i="24"/>
  <c r="BU190" i="24"/>
  <c r="BW190" i="24"/>
  <c r="AX190" i="24"/>
  <c r="AV56" i="24"/>
  <c r="AT56" i="24"/>
  <c r="AS225" i="25"/>
  <c r="AF27" i="25"/>
  <c r="AE27" i="25"/>
  <c r="AK277" i="24"/>
  <c r="AN277" i="24"/>
  <c r="AF64" i="25"/>
  <c r="AE64" i="25"/>
  <c r="AN187" i="24"/>
  <c r="BI187" i="24" s="1"/>
  <c r="AK187" i="24"/>
  <c r="AX92" i="25"/>
  <c r="AW92" i="25"/>
  <c r="AT129" i="24"/>
  <c r="AT235" i="24"/>
  <c r="AK268" i="24"/>
  <c r="AN268" i="24"/>
  <c r="BI268" i="24" s="1"/>
  <c r="AV18" i="24"/>
  <c r="AT18" i="24"/>
  <c r="AF172" i="25"/>
  <c r="AE172" i="25"/>
  <c r="AV20" i="24"/>
  <c r="AT20" i="24"/>
  <c r="AV30" i="24"/>
  <c r="AT30" i="24"/>
  <c r="BA181" i="24"/>
  <c r="AS123" i="25"/>
  <c r="BA315" i="24"/>
  <c r="AT259" i="24"/>
  <c r="AS200" i="25"/>
  <c r="AF51" i="25"/>
  <c r="AE51" i="25"/>
  <c r="AF304" i="25"/>
  <c r="AE304" i="25"/>
  <c r="AK204" i="24"/>
  <c r="AN204" i="24"/>
  <c r="AK138" i="24"/>
  <c r="AN138" i="24"/>
  <c r="BI138" i="24" s="1"/>
  <c r="AN81" i="24"/>
  <c r="AK81" i="24"/>
  <c r="BA115" i="24"/>
  <c r="AF78" i="25"/>
  <c r="AE78" i="25"/>
  <c r="AN131" i="24"/>
  <c r="BI131" i="24" s="1"/>
  <c r="AK131" i="24"/>
  <c r="BA288" i="24"/>
  <c r="AF52" i="25"/>
  <c r="AE52" i="25"/>
  <c r="AS57" i="25"/>
  <c r="AF126" i="25"/>
  <c r="AE126" i="25"/>
  <c r="AN69" i="24"/>
  <c r="AK69" i="24"/>
  <c r="AF309" i="25"/>
  <c r="AE309" i="25"/>
  <c r="AW173" i="25"/>
  <c r="AX173" i="25"/>
  <c r="AF23" i="25"/>
  <c r="AE23" i="25"/>
  <c r="AM201" i="25"/>
  <c r="BG201" i="25" s="1"/>
  <c r="AJ201" i="25"/>
  <c r="AX21" i="25"/>
  <c r="AW21" i="25"/>
  <c r="BA143" i="24"/>
  <c r="BA169" i="24"/>
  <c r="AJ71" i="25"/>
  <c r="AM71" i="25"/>
  <c r="AJ87" i="25"/>
  <c r="AM87" i="25"/>
  <c r="BG87" i="25" s="1"/>
  <c r="AK305" i="24"/>
  <c r="AN305" i="24"/>
  <c r="AS220" i="25"/>
  <c r="AF316" i="25"/>
  <c r="AE316" i="25"/>
  <c r="AS79" i="25"/>
  <c r="BA307" i="24"/>
  <c r="BA255" i="24"/>
  <c r="BA309" i="24"/>
  <c r="AN246" i="24"/>
  <c r="BI246" i="24" s="1"/>
  <c r="AK246" i="24"/>
  <c r="AS195" i="25"/>
  <c r="AS137" i="25"/>
  <c r="AF72" i="25"/>
  <c r="AE72" i="25"/>
  <c r="AF75" i="25"/>
  <c r="AE75" i="25"/>
  <c r="AX71" i="25"/>
  <c r="AW71" i="25"/>
  <c r="AJ30" i="25"/>
  <c r="AM30" i="25"/>
  <c r="AF242" i="25"/>
  <c r="AE242" i="25"/>
  <c r="BA275" i="24"/>
  <c r="BA194" i="24"/>
  <c r="AS39" i="25"/>
  <c r="AS49" i="25"/>
  <c r="BA254" i="24"/>
  <c r="BA172" i="24"/>
  <c r="AK221" i="24"/>
  <c r="AN221" i="24"/>
  <c r="BI221" i="24" s="1"/>
  <c r="AS264" i="24"/>
  <c r="AU264" i="24" s="1"/>
  <c r="BB264" i="24" s="1"/>
  <c r="AQ264" i="24"/>
  <c r="BJ264" i="24"/>
  <c r="AT258" i="24"/>
  <c r="AF224" i="25"/>
  <c r="AE224" i="25"/>
  <c r="BA262" i="24"/>
  <c r="AF263" i="25"/>
  <c r="AE263" i="25"/>
  <c r="BA163" i="24"/>
  <c r="AN154" i="24"/>
  <c r="BI154" i="24" s="1"/>
  <c r="AK154" i="24"/>
  <c r="AN75" i="24"/>
  <c r="AK75" i="24"/>
  <c r="BA303" i="24"/>
  <c r="AM267" i="25"/>
  <c r="AJ267" i="25"/>
  <c r="AK232" i="24"/>
  <c r="AN232" i="24"/>
  <c r="AT280" i="24"/>
  <c r="AS191" i="25"/>
  <c r="AN273" i="24"/>
  <c r="AK273" i="24"/>
  <c r="AS230" i="25"/>
  <c r="AN168" i="24"/>
  <c r="AK168" i="24"/>
  <c r="AK147" i="24"/>
  <c r="AN147" i="24"/>
  <c r="BI147" i="24" s="1"/>
  <c r="AR110" i="25"/>
  <c r="BJ110" i="25"/>
  <c r="BH110" i="25"/>
  <c r="AP110" i="25"/>
  <c r="BU110" i="25"/>
  <c r="BW110" i="25"/>
  <c r="BF110" i="25"/>
  <c r="AK60" i="24"/>
  <c r="AN60" i="24"/>
  <c r="AN192" i="24"/>
  <c r="BI192" i="24" s="1"/>
  <c r="AK192" i="24"/>
  <c r="AV24" i="24"/>
  <c r="AT24" i="24"/>
  <c r="AV54" i="24"/>
  <c r="AT54" i="24"/>
  <c r="AK67" i="24"/>
  <c r="AN67" i="24"/>
  <c r="AF24" i="25"/>
  <c r="AE24" i="25"/>
  <c r="AS187" i="25"/>
  <c r="AF48" i="25"/>
  <c r="AE48" i="25"/>
  <c r="AF152" i="25"/>
  <c r="AE152" i="25"/>
  <c r="AS125" i="25"/>
  <c r="AK78" i="24"/>
  <c r="AN78" i="24"/>
  <c r="BI78" i="24" s="1"/>
  <c r="AX82" i="25"/>
  <c r="AW82" i="25"/>
  <c r="AN242" i="24"/>
  <c r="AK242" i="24"/>
  <c r="AS111" i="25"/>
  <c r="AF222" i="25"/>
  <c r="AE222" i="25"/>
  <c r="AF253" i="25"/>
  <c r="AE253" i="25"/>
  <c r="BG238" i="25" l="1"/>
  <c r="CE238" i="25"/>
  <c r="BI239" i="24"/>
  <c r="CE239" i="24"/>
  <c r="BI124" i="24"/>
  <c r="CE124" i="24"/>
  <c r="BI175" i="24"/>
  <c r="CE175" i="24"/>
  <c r="BG267" i="25"/>
  <c r="BJ267" i="25" s="1"/>
  <c r="CE267" i="25"/>
  <c r="BI270" i="24"/>
  <c r="BL270" i="24" s="1"/>
  <c r="CE270" i="24"/>
  <c r="BI150" i="24"/>
  <c r="BL150" i="24" s="1"/>
  <c r="CE150" i="24"/>
  <c r="BI118" i="24"/>
  <c r="BL118" i="24" s="1"/>
  <c r="CE118" i="24"/>
  <c r="BG113" i="25"/>
  <c r="BJ113" i="25" s="1"/>
  <c r="CE113" i="25"/>
  <c r="AX155" i="24"/>
  <c r="BI155" i="24"/>
  <c r="BL155" i="24" s="1"/>
  <c r="CE277" i="24"/>
  <c r="BI277" i="24"/>
  <c r="BL277" i="24" s="1"/>
  <c r="CE287" i="24"/>
  <c r="BI287" i="24"/>
  <c r="BL287" i="24" s="1"/>
  <c r="AX267" i="24"/>
  <c r="BI267" i="24"/>
  <c r="BL267" i="24" s="1"/>
  <c r="CE302" i="24"/>
  <c r="BI302" i="24"/>
  <c r="BL302" i="24" s="1"/>
  <c r="BH259" i="24"/>
  <c r="BI259" i="24"/>
  <c r="BL259" i="24" s="1"/>
  <c r="CE139" i="24"/>
  <c r="BI139" i="24"/>
  <c r="BL139" i="24" s="1"/>
  <c r="CE250" i="24"/>
  <c r="BI250" i="24"/>
  <c r="BL250" i="24" s="1"/>
  <c r="CE161" i="25"/>
  <c r="BG161" i="25"/>
  <c r="BJ161" i="25" s="1"/>
  <c r="BU123" i="24"/>
  <c r="BI123" i="24"/>
  <c r="BL123" i="24" s="1"/>
  <c r="CE170" i="25"/>
  <c r="BG170" i="25"/>
  <c r="BJ170" i="25" s="1"/>
  <c r="CE310" i="24"/>
  <c r="BI310" i="24"/>
  <c r="BL310" i="24" s="1"/>
  <c r="BH279" i="24"/>
  <c r="BI279" i="24"/>
  <c r="BL279" i="24" s="1"/>
  <c r="AX282" i="24"/>
  <c r="BI282" i="24"/>
  <c r="BL282" i="24" s="1"/>
  <c r="CE305" i="25"/>
  <c r="BG305" i="25"/>
  <c r="BJ305" i="25" s="1"/>
  <c r="CE174" i="25"/>
  <c r="BG174" i="25"/>
  <c r="BJ174" i="25" s="1"/>
  <c r="AX235" i="24"/>
  <c r="BI235" i="24"/>
  <c r="BL235" i="24" s="1"/>
  <c r="AX129" i="24"/>
  <c r="BI129" i="24"/>
  <c r="BL129" i="24" s="1"/>
  <c r="BU153" i="24"/>
  <c r="BI153" i="24"/>
  <c r="BL153" i="24" s="1"/>
  <c r="BU224" i="24"/>
  <c r="BI224" i="24"/>
  <c r="BL224" i="24" s="1"/>
  <c r="CE168" i="24"/>
  <c r="BI168" i="24"/>
  <c r="BL168" i="24" s="1"/>
  <c r="AX247" i="24"/>
  <c r="BI247" i="24"/>
  <c r="BL247" i="24" s="1"/>
  <c r="BU283" i="24"/>
  <c r="BI283" i="24"/>
  <c r="BL283" i="24" s="1"/>
  <c r="AX269" i="24"/>
  <c r="BI269" i="24"/>
  <c r="BL269" i="24" s="1"/>
  <c r="CE157" i="24"/>
  <c r="BI157" i="24"/>
  <c r="BL157" i="24" s="1"/>
  <c r="BU114" i="24"/>
  <c r="BI114" i="24"/>
  <c r="BL114" i="24" s="1"/>
  <c r="CE185" i="24"/>
  <c r="BI185" i="24"/>
  <c r="BL185" i="24" s="1"/>
  <c r="AX219" i="24"/>
  <c r="BI219" i="24"/>
  <c r="BL219" i="24" s="1"/>
  <c r="BW228" i="24"/>
  <c r="BI228" i="24"/>
  <c r="BL228" i="24" s="1"/>
  <c r="CE292" i="25"/>
  <c r="BG292" i="25"/>
  <c r="BJ292" i="25" s="1"/>
  <c r="CE186" i="25"/>
  <c r="BG186" i="25"/>
  <c r="BJ186" i="25" s="1"/>
  <c r="CE186" i="24"/>
  <c r="BI186" i="24"/>
  <c r="BL186" i="24" s="1"/>
  <c r="CE304" i="24"/>
  <c r="BI304" i="24"/>
  <c r="BL304" i="24" s="1"/>
  <c r="BW130" i="24"/>
  <c r="BI130" i="24"/>
  <c r="BL130" i="24" s="1"/>
  <c r="CE161" i="24"/>
  <c r="BI161" i="24"/>
  <c r="BL161" i="24" s="1"/>
  <c r="CE283" i="25"/>
  <c r="BG283" i="25"/>
  <c r="BJ283" i="25" s="1"/>
  <c r="CE173" i="25"/>
  <c r="BG173" i="25"/>
  <c r="BJ173" i="25" s="1"/>
  <c r="CE209" i="24"/>
  <c r="BI209" i="24"/>
  <c r="BL209" i="24" s="1"/>
  <c r="CE199" i="24"/>
  <c r="BI199" i="24"/>
  <c r="BL199" i="24" s="1"/>
  <c r="BW271" i="24"/>
  <c r="BI271" i="24"/>
  <c r="BL271" i="24" s="1"/>
  <c r="BH248" i="24"/>
  <c r="BI248" i="24"/>
  <c r="BL248" i="24" s="1"/>
  <c r="AX280" i="24"/>
  <c r="BI280" i="24"/>
  <c r="BL280" i="24" s="1"/>
  <c r="BU232" i="24"/>
  <c r="BI232" i="24"/>
  <c r="BL232" i="24" s="1"/>
  <c r="CE306" i="25"/>
  <c r="BG306" i="25"/>
  <c r="BJ306" i="25" s="1"/>
  <c r="CE165" i="24"/>
  <c r="BI165" i="24"/>
  <c r="BL165" i="24" s="1"/>
  <c r="CE205" i="24"/>
  <c r="BI205" i="24"/>
  <c r="BL205" i="24" s="1"/>
  <c r="CE177" i="25"/>
  <c r="BG177" i="25"/>
  <c r="BJ177" i="25" s="1"/>
  <c r="CE202" i="24"/>
  <c r="BI202" i="24"/>
  <c r="BL202" i="24" s="1"/>
  <c r="CE156" i="24"/>
  <c r="BI156" i="24"/>
  <c r="BL156" i="24" s="1"/>
  <c r="CE151" i="24"/>
  <c r="BI151" i="24"/>
  <c r="BL151" i="24" s="1"/>
  <c r="CE173" i="24"/>
  <c r="BI173" i="24"/>
  <c r="BL173" i="24" s="1"/>
  <c r="AX258" i="24"/>
  <c r="BI258" i="24"/>
  <c r="BL258" i="24" s="1"/>
  <c r="AX263" i="24"/>
  <c r="BI263" i="24"/>
  <c r="BL263" i="24" s="1"/>
  <c r="AX243" i="24"/>
  <c r="BI243" i="24"/>
  <c r="BL243" i="24" s="1"/>
  <c r="CE206" i="24"/>
  <c r="BI206" i="24"/>
  <c r="BL206" i="24" s="1"/>
  <c r="CE189" i="25"/>
  <c r="BG189" i="25"/>
  <c r="BJ189" i="25" s="1"/>
  <c r="CE180" i="24"/>
  <c r="BI180" i="24"/>
  <c r="BL180" i="24" s="1"/>
  <c r="AX305" i="24"/>
  <c r="BI305" i="24"/>
  <c r="BL305" i="24" s="1"/>
  <c r="BH237" i="24"/>
  <c r="BI237" i="24"/>
  <c r="BL237" i="24" s="1"/>
  <c r="AX249" i="24"/>
  <c r="BI249" i="24"/>
  <c r="BL249" i="24" s="1"/>
  <c r="CE210" i="24"/>
  <c r="BI210" i="24"/>
  <c r="BL210" i="24" s="1"/>
  <c r="AX152" i="24"/>
  <c r="BI152" i="24"/>
  <c r="BL152" i="24" s="1"/>
  <c r="BH295" i="24"/>
  <c r="BI295" i="24"/>
  <c r="BL295" i="24" s="1"/>
  <c r="BU301" i="24"/>
  <c r="BI301" i="24"/>
  <c r="BL301" i="24" s="1"/>
  <c r="CE201" i="24"/>
  <c r="BI201" i="24"/>
  <c r="BL201" i="24" s="1"/>
  <c r="BU112" i="24"/>
  <c r="BI112" i="24"/>
  <c r="BL112" i="24" s="1"/>
  <c r="BW261" i="24"/>
  <c r="BI261" i="24"/>
  <c r="BL261" i="24" s="1"/>
  <c r="CE204" i="24"/>
  <c r="BI204" i="24"/>
  <c r="BL204" i="24" s="1"/>
  <c r="BW121" i="24"/>
  <c r="BI121" i="24"/>
  <c r="BL121" i="24" s="1"/>
  <c r="CE170" i="24"/>
  <c r="BI170" i="24"/>
  <c r="BL170" i="24" s="1"/>
  <c r="CE135" i="24"/>
  <c r="BI135" i="24"/>
  <c r="BL135" i="24" s="1"/>
  <c r="CE200" i="24"/>
  <c r="BI200" i="24"/>
  <c r="BL200" i="24" s="1"/>
  <c r="BW128" i="24"/>
  <c r="BI128" i="24"/>
  <c r="BL128" i="24" s="1"/>
  <c r="CE203" i="24"/>
  <c r="BI203" i="24"/>
  <c r="BL203" i="24" s="1"/>
  <c r="CE166" i="24"/>
  <c r="BI166" i="24"/>
  <c r="BL166" i="24" s="1"/>
  <c r="BH148" i="24"/>
  <c r="BI148" i="24"/>
  <c r="BL148" i="24" s="1"/>
  <c r="AX145" i="24"/>
  <c r="BI145" i="24"/>
  <c r="BL145" i="24" s="1"/>
  <c r="AX298" i="24"/>
  <c r="BI298" i="24"/>
  <c r="BL298" i="24" s="1"/>
  <c r="CE179" i="24"/>
  <c r="BI179" i="24"/>
  <c r="BL179" i="24" s="1"/>
  <c r="CE275" i="24"/>
  <c r="BI275" i="24"/>
  <c r="BL275" i="24" s="1"/>
  <c r="CE190" i="25"/>
  <c r="BG190" i="25"/>
  <c r="BJ190" i="25" s="1"/>
  <c r="AX273" i="24"/>
  <c r="BI273" i="24"/>
  <c r="BL273" i="24" s="1"/>
  <c r="BU133" i="24"/>
  <c r="BI133" i="24"/>
  <c r="BL133" i="24" s="1"/>
  <c r="BU120" i="24"/>
  <c r="BI120" i="24"/>
  <c r="BL120" i="24" s="1"/>
  <c r="CE147" i="25"/>
  <c r="BG147" i="25"/>
  <c r="BJ147" i="25" s="1"/>
  <c r="CE111" i="24"/>
  <c r="BI111" i="24"/>
  <c r="CE163" i="24"/>
  <c r="BI163" i="24"/>
  <c r="BL163" i="24" s="1"/>
  <c r="CE192" i="25"/>
  <c r="BG192" i="25"/>
  <c r="BJ192" i="25" s="1"/>
  <c r="CE127" i="24"/>
  <c r="BI127" i="24"/>
  <c r="BL127" i="24" s="1"/>
  <c r="BU266" i="24"/>
  <c r="BI266" i="24"/>
  <c r="BL266" i="24" s="1"/>
  <c r="CE137" i="24"/>
  <c r="BI137" i="24"/>
  <c r="BL137" i="24" s="1"/>
  <c r="AX281" i="24"/>
  <c r="BI281" i="24"/>
  <c r="BL281" i="24" s="1"/>
  <c r="CE182" i="24"/>
  <c r="BI182" i="24"/>
  <c r="BL182" i="24" s="1"/>
  <c r="AX253" i="24"/>
  <c r="BI253" i="24"/>
  <c r="BL253" i="24" s="1"/>
  <c r="BU274" i="24"/>
  <c r="BI274" i="24"/>
  <c r="BL274" i="24" s="1"/>
  <c r="CE193" i="24"/>
  <c r="BI193" i="24"/>
  <c r="BL193" i="24" s="1"/>
  <c r="CE306" i="24"/>
  <c r="BI306" i="24"/>
  <c r="BL306" i="24" s="1"/>
  <c r="CE242" i="24"/>
  <c r="BI242" i="24"/>
  <c r="BL242" i="24" s="1"/>
  <c r="BW240" i="24"/>
  <c r="BI240" i="24"/>
  <c r="BL240" i="24" s="1"/>
  <c r="CE178" i="24"/>
  <c r="BI178" i="24"/>
  <c r="BL178" i="24" s="1"/>
  <c r="CE208" i="24"/>
  <c r="BI208" i="24"/>
  <c r="BL208" i="24" s="1"/>
  <c r="CE307" i="24"/>
  <c r="BI307" i="24"/>
  <c r="BL307" i="24" s="1"/>
  <c r="AX125" i="24"/>
  <c r="BI125" i="24"/>
  <c r="BL125" i="24" s="1"/>
  <c r="BU59" i="24"/>
  <c r="BI59" i="24"/>
  <c r="BL59" i="24" s="1"/>
  <c r="AX12" i="24"/>
  <c r="BI12" i="24"/>
  <c r="BL12" i="24" s="1"/>
  <c r="BU103" i="24"/>
  <c r="BI103" i="24"/>
  <c r="BL103" i="24" s="1"/>
  <c r="CE74" i="24"/>
  <c r="BI74" i="24"/>
  <c r="BL74" i="24" s="1"/>
  <c r="BU52" i="24"/>
  <c r="BI52" i="24"/>
  <c r="BL52" i="24" s="1"/>
  <c r="BU72" i="24"/>
  <c r="BI72" i="24"/>
  <c r="BL72" i="24" s="1"/>
  <c r="BU27" i="24"/>
  <c r="BI27" i="24"/>
  <c r="BL27" i="24" s="1"/>
  <c r="BU38" i="24"/>
  <c r="BI38" i="24"/>
  <c r="BL38" i="24" s="1"/>
  <c r="BU91" i="24"/>
  <c r="BI91" i="24"/>
  <c r="BL91" i="24" s="1"/>
  <c r="BU18" i="24"/>
  <c r="BI18" i="24"/>
  <c r="BL18" i="24" s="1"/>
  <c r="BU73" i="24"/>
  <c r="BI73" i="24"/>
  <c r="BL73" i="24" s="1"/>
  <c r="BU39" i="24"/>
  <c r="BI39" i="24"/>
  <c r="BL39" i="24" s="1"/>
  <c r="AX17" i="24"/>
  <c r="BI17" i="24"/>
  <c r="BL17" i="24" s="1"/>
  <c r="BU83" i="24"/>
  <c r="BI83" i="24"/>
  <c r="BL83" i="24" s="1"/>
  <c r="BU31" i="24"/>
  <c r="BI31" i="24"/>
  <c r="BL31" i="24" s="1"/>
  <c r="BH34" i="24"/>
  <c r="BI34" i="24"/>
  <c r="BL34" i="24" s="1"/>
  <c r="BU98" i="24"/>
  <c r="BI98" i="24"/>
  <c r="BL98" i="24" s="1"/>
  <c r="AX19" i="24"/>
  <c r="BI19" i="24"/>
  <c r="BL19" i="24" s="1"/>
  <c r="BU33" i="24"/>
  <c r="BI33" i="24"/>
  <c r="BL33" i="24" s="1"/>
  <c r="BU90" i="24"/>
  <c r="BI90" i="24"/>
  <c r="BL90" i="24" s="1"/>
  <c r="BW37" i="24"/>
  <c r="BI37" i="24"/>
  <c r="BL37" i="24" s="1"/>
  <c r="CE79" i="24"/>
  <c r="BI79" i="24"/>
  <c r="BL79" i="24" s="1"/>
  <c r="CE71" i="25"/>
  <c r="BG71" i="25"/>
  <c r="BJ71" i="25" s="1"/>
  <c r="BU60" i="24"/>
  <c r="BI60" i="24"/>
  <c r="BL60" i="24" s="1"/>
  <c r="BU75" i="24"/>
  <c r="BI75" i="24"/>
  <c r="BL75" i="24" s="1"/>
  <c r="CE30" i="25"/>
  <c r="BG30" i="25"/>
  <c r="BJ30" i="25" s="1"/>
  <c r="BU100" i="24"/>
  <c r="BI100" i="24"/>
  <c r="BL100" i="24" s="1"/>
  <c r="BU99" i="24"/>
  <c r="BI99" i="24"/>
  <c r="BL99" i="24" s="1"/>
  <c r="BU80" i="24"/>
  <c r="BI80" i="24"/>
  <c r="BL80" i="24" s="1"/>
  <c r="CE82" i="25"/>
  <c r="BG82" i="25"/>
  <c r="BJ82" i="25" s="1"/>
  <c r="BH51" i="24"/>
  <c r="BI51" i="24"/>
  <c r="BL51" i="24" s="1"/>
  <c r="BU13" i="24"/>
  <c r="BI13" i="24"/>
  <c r="BL13" i="24" s="1"/>
  <c r="BW54" i="24"/>
  <c r="BI54" i="24"/>
  <c r="BL54" i="24" s="1"/>
  <c r="BH20" i="24"/>
  <c r="BI20" i="24"/>
  <c r="BL20" i="24" s="1"/>
  <c r="BW58" i="24"/>
  <c r="BI58" i="24"/>
  <c r="BL58" i="24" s="1"/>
  <c r="BW9" i="24"/>
  <c r="BI9" i="24"/>
  <c r="BL9" i="24" s="1"/>
  <c r="BU70" i="24"/>
  <c r="BI70" i="24"/>
  <c r="BL70" i="24" s="1"/>
  <c r="BU63" i="24"/>
  <c r="BI63" i="24"/>
  <c r="BL63" i="24" s="1"/>
  <c r="BU65" i="24"/>
  <c r="BI65" i="24"/>
  <c r="BL65" i="24" s="1"/>
  <c r="BU69" i="24"/>
  <c r="BI69" i="24"/>
  <c r="BL69" i="24" s="1"/>
  <c r="CE92" i="24"/>
  <c r="BI92" i="24"/>
  <c r="BL92" i="24" s="1"/>
  <c r="BH32" i="24"/>
  <c r="BI32" i="24"/>
  <c r="BL32" i="24" s="1"/>
  <c r="CE102" i="24"/>
  <c r="BI102" i="24"/>
  <c r="BL102" i="24" s="1"/>
  <c r="BU49" i="24"/>
  <c r="BI49" i="24"/>
  <c r="BL49" i="24" s="1"/>
  <c r="BU97" i="24"/>
  <c r="BI97" i="24"/>
  <c r="BL97" i="24" s="1"/>
  <c r="BU89" i="24"/>
  <c r="BI89" i="24"/>
  <c r="BL89" i="24" s="1"/>
  <c r="CE14" i="25"/>
  <c r="BG14" i="25"/>
  <c r="BJ14" i="25" s="1"/>
  <c r="BU96" i="24"/>
  <c r="BI96" i="24"/>
  <c r="BL96" i="24" s="1"/>
  <c r="BU29" i="24"/>
  <c r="BI29" i="24"/>
  <c r="BL29" i="24" s="1"/>
  <c r="BU48" i="24"/>
  <c r="BI48" i="24"/>
  <c r="BL48" i="24" s="1"/>
  <c r="BU81" i="24"/>
  <c r="BI81" i="24"/>
  <c r="BL81" i="24" s="1"/>
  <c r="BU28" i="24"/>
  <c r="BI28" i="24"/>
  <c r="BL28" i="24" s="1"/>
  <c r="BU87" i="24"/>
  <c r="BI87" i="24"/>
  <c r="BL87" i="24" s="1"/>
  <c r="BU93" i="24"/>
  <c r="BI93" i="24"/>
  <c r="BL93" i="24" s="1"/>
  <c r="BU94" i="24"/>
  <c r="BI94" i="24"/>
  <c r="BL94" i="24" s="1"/>
  <c r="BW26" i="24"/>
  <c r="BI26" i="24"/>
  <c r="BL26" i="24" s="1"/>
  <c r="CE92" i="25"/>
  <c r="BG92" i="25"/>
  <c r="BJ92" i="25" s="1"/>
  <c r="BU86" i="24"/>
  <c r="BI86" i="24"/>
  <c r="BL86" i="24" s="1"/>
  <c r="BU67" i="24"/>
  <c r="BI67" i="24"/>
  <c r="BL67" i="24" s="1"/>
  <c r="BU85" i="24"/>
  <c r="BI85" i="24"/>
  <c r="BL85" i="24" s="1"/>
  <c r="BU84" i="24"/>
  <c r="BI84" i="24"/>
  <c r="BL84" i="24" s="1"/>
  <c r="BU76" i="24"/>
  <c r="BI76" i="24"/>
  <c r="BL76" i="24" s="1"/>
  <c r="BU40" i="24"/>
  <c r="BI40" i="24"/>
  <c r="BL40" i="24" s="1"/>
  <c r="BU10" i="24"/>
  <c r="BI10" i="24"/>
  <c r="BL10" i="24" s="1"/>
  <c r="BU43" i="24"/>
  <c r="BI43" i="24"/>
  <c r="BL43" i="24" s="1"/>
  <c r="BU46" i="24"/>
  <c r="BI46" i="24"/>
  <c r="BL46" i="24" s="1"/>
  <c r="BW57" i="24"/>
  <c r="BI57" i="24"/>
  <c r="BL57" i="24" s="1"/>
  <c r="CE89" i="25"/>
  <c r="BG89" i="25"/>
  <c r="BJ89" i="25" s="1"/>
  <c r="BU36" i="24"/>
  <c r="BI36" i="24"/>
  <c r="BL36" i="24" s="1"/>
  <c r="BU68" i="24"/>
  <c r="BI68" i="24"/>
  <c r="BL68" i="24" s="1"/>
  <c r="BU42" i="24"/>
  <c r="BI42" i="24"/>
  <c r="BL42" i="24" s="1"/>
  <c r="BW8" i="24"/>
  <c r="BI8" i="24"/>
  <c r="BL8" i="24" s="1"/>
  <c r="BU105" i="24"/>
  <c r="BI105" i="24"/>
  <c r="BL105" i="24" s="1"/>
  <c r="BU56" i="24"/>
  <c r="BI56" i="24"/>
  <c r="BL56" i="24" s="1"/>
  <c r="CE6" i="25"/>
  <c r="BG6" i="25"/>
  <c r="BJ6" i="25" s="1"/>
  <c r="BU104" i="24"/>
  <c r="BI104" i="24"/>
  <c r="BL104" i="24" s="1"/>
  <c r="BU16" i="24"/>
  <c r="BI16" i="24"/>
  <c r="BL16" i="24" s="1"/>
  <c r="BU53" i="24"/>
  <c r="BI53" i="24"/>
  <c r="BL53" i="24" s="1"/>
  <c r="BU64" i="24"/>
  <c r="BI64" i="24"/>
  <c r="BL64" i="24" s="1"/>
  <c r="BU71" i="24"/>
  <c r="BI71" i="24"/>
  <c r="BL71" i="24" s="1"/>
  <c r="BU11" i="24"/>
  <c r="BI11" i="24"/>
  <c r="BL11" i="24" s="1"/>
  <c r="BU15" i="24"/>
  <c r="BI15" i="24"/>
  <c r="BL15" i="24" s="1"/>
  <c r="BU25" i="24"/>
  <c r="BI25" i="24"/>
  <c r="BL25" i="24" s="1"/>
  <c r="BU82" i="24"/>
  <c r="BI82" i="24"/>
  <c r="BL82" i="24" s="1"/>
  <c r="BU88" i="24"/>
  <c r="BI88" i="24"/>
  <c r="BL88" i="24" s="1"/>
  <c r="BU50" i="24"/>
  <c r="BI50" i="24"/>
  <c r="BL50" i="24" s="1"/>
  <c r="BU24" i="24"/>
  <c r="BI24" i="24"/>
  <c r="BL24" i="24" s="1"/>
  <c r="BU47" i="24"/>
  <c r="BI47" i="24"/>
  <c r="BL47" i="24" s="1"/>
  <c r="CE21" i="25"/>
  <c r="BG21" i="25"/>
  <c r="BJ21" i="25" s="1"/>
  <c r="BU95" i="24"/>
  <c r="BI95" i="24"/>
  <c r="BL95" i="24" s="1"/>
  <c r="BU77" i="24"/>
  <c r="BI77" i="24"/>
  <c r="BL77" i="24" s="1"/>
  <c r="AX35" i="24"/>
  <c r="BI35" i="24"/>
  <c r="BL35" i="24" s="1"/>
  <c r="CE62" i="25"/>
  <c r="BG62" i="25"/>
  <c r="BJ62" i="25" s="1"/>
  <c r="BH238" i="24"/>
  <c r="CE238" i="24"/>
  <c r="BU23" i="24"/>
  <c r="CE23" i="24"/>
  <c r="BW30" i="24"/>
  <c r="CE30" i="24"/>
  <c r="AM280" i="25"/>
  <c r="AR280" i="25" s="1"/>
  <c r="AX126" i="24"/>
  <c r="CE126" i="24"/>
  <c r="BU78" i="24"/>
  <c r="CE78" i="24"/>
  <c r="BU62" i="24"/>
  <c r="CE62" i="24"/>
  <c r="BU61" i="24"/>
  <c r="CE61" i="24"/>
  <c r="BU284" i="24"/>
  <c r="CE284" i="24"/>
  <c r="AX117" i="24"/>
  <c r="CE117" i="24"/>
  <c r="BU14" i="24"/>
  <c r="CE14" i="24"/>
  <c r="AX225" i="24"/>
  <c r="CE225" i="24"/>
  <c r="BW297" i="24"/>
  <c r="CE297" i="24"/>
  <c r="BU66" i="24"/>
  <c r="CE66" i="24"/>
  <c r="AX6" i="24"/>
  <c r="CE6" i="24"/>
  <c r="BW218" i="24"/>
  <c r="CE218" i="24"/>
  <c r="BU37" i="24"/>
  <c r="BU30" i="24"/>
  <c r="BU102" i="24"/>
  <c r="BU19" i="24"/>
  <c r="BU79" i="24"/>
  <c r="BU92" i="24"/>
  <c r="BU57" i="24"/>
  <c r="BU74" i="24"/>
  <c r="BU17" i="24"/>
  <c r="BU58" i="24"/>
  <c r="BU9" i="24"/>
  <c r="BU35" i="24"/>
  <c r="BU26" i="24"/>
  <c r="BU34" i="24"/>
  <c r="BU51" i="24"/>
  <c r="BU54" i="24"/>
  <c r="BU20" i="24"/>
  <c r="BU8" i="24"/>
  <c r="BU6" i="24"/>
  <c r="BU12" i="24"/>
  <c r="BU32" i="24"/>
  <c r="AM11" i="25"/>
  <c r="CE87" i="24"/>
  <c r="CE97" i="24"/>
  <c r="AP206" i="25"/>
  <c r="CE206" i="25"/>
  <c r="CE73" i="24"/>
  <c r="AX56" i="24"/>
  <c r="CE56" i="24"/>
  <c r="AP198" i="25"/>
  <c r="CE198" i="25"/>
  <c r="BW299" i="24"/>
  <c r="CE299" i="24"/>
  <c r="CE80" i="24"/>
  <c r="CE88" i="24"/>
  <c r="CE104" i="24"/>
  <c r="AP204" i="25"/>
  <c r="CE204" i="25"/>
  <c r="CE81" i="24"/>
  <c r="CE98" i="24"/>
  <c r="AM96" i="25"/>
  <c r="BG96" i="25" s="1"/>
  <c r="CE103" i="24"/>
  <c r="B48" i="2"/>
  <c r="D48" i="2" s="1"/>
  <c r="AP199" i="25"/>
  <c r="CE199" i="25"/>
  <c r="AP201" i="25"/>
  <c r="CE201" i="25"/>
  <c r="AM104" i="25"/>
  <c r="CE105" i="24"/>
  <c r="BH290" i="24"/>
  <c r="CE290" i="24"/>
  <c r="AM258" i="25"/>
  <c r="BW281" i="24"/>
  <c r="AM154" i="25"/>
  <c r="BG154" i="25" s="1"/>
  <c r="AM97" i="25"/>
  <c r="BU125" i="24"/>
  <c r="BW125" i="24"/>
  <c r="BH125" i="24"/>
  <c r="AJ154" i="25"/>
  <c r="BH224" i="24"/>
  <c r="AJ29" i="25"/>
  <c r="AM179" i="25"/>
  <c r="BG179" i="25" s="1"/>
  <c r="AX224" i="24"/>
  <c r="BW224" i="24"/>
  <c r="AM265" i="25"/>
  <c r="AX20" i="24"/>
  <c r="BH123" i="24"/>
  <c r="AX123" i="24"/>
  <c r="BW123" i="24"/>
  <c r="BH112" i="24"/>
  <c r="AX112" i="24"/>
  <c r="BW112" i="24"/>
  <c r="AJ291" i="25"/>
  <c r="BU219" i="24"/>
  <c r="AX51" i="24"/>
  <c r="BW280" i="24"/>
  <c r="AX33" i="24"/>
  <c r="AX58" i="24"/>
  <c r="BH228" i="24"/>
  <c r="BW284" i="24"/>
  <c r="BW235" i="24"/>
  <c r="AX218" i="24"/>
  <c r="BU259" i="24"/>
  <c r="AX259" i="24"/>
  <c r="BW152" i="24"/>
  <c r="BU152" i="24"/>
  <c r="BW20" i="24"/>
  <c r="AJ28" i="25"/>
  <c r="BW51" i="24"/>
  <c r="BH152" i="24"/>
  <c r="BW24" i="24"/>
  <c r="BH24" i="24"/>
  <c r="BH128" i="24"/>
  <c r="AX24" i="24"/>
  <c r="BW56" i="24"/>
  <c r="BH56" i="24"/>
  <c r="BH274" i="24"/>
  <c r="AX274" i="24"/>
  <c r="BW274" i="24"/>
  <c r="BH261" i="24"/>
  <c r="BH284" i="24"/>
  <c r="AX284" i="24"/>
  <c r="BU243" i="24"/>
  <c r="BW219" i="24"/>
  <c r="BH58" i="24"/>
  <c r="BW243" i="24"/>
  <c r="AX261" i="24"/>
  <c r="BU261" i="24"/>
  <c r="BH219" i="24"/>
  <c r="BH243" i="24"/>
  <c r="BW259" i="24"/>
  <c r="AW292" i="24"/>
  <c r="BD292" i="24" s="1"/>
  <c r="BW19" i="24"/>
  <c r="BW48" i="24"/>
  <c r="AX128" i="24"/>
  <c r="AX228" i="24"/>
  <c r="BH26" i="24"/>
  <c r="AX26" i="24"/>
  <c r="BU148" i="24"/>
  <c r="BU128" i="24"/>
  <c r="BU228" i="24"/>
  <c r="BH19" i="24"/>
  <c r="AJ237" i="25"/>
  <c r="AM237" i="25"/>
  <c r="BG237" i="25" s="1"/>
  <c r="BH297" i="24"/>
  <c r="BH33" i="24"/>
  <c r="AX297" i="24"/>
  <c r="BW283" i="24"/>
  <c r="BU297" i="24"/>
  <c r="BW33" i="24"/>
  <c r="BU280" i="24"/>
  <c r="BH30" i="24"/>
  <c r="BW18" i="24"/>
  <c r="BH271" i="24"/>
  <c r="AX30" i="24"/>
  <c r="BH48" i="24"/>
  <c r="AX271" i="24"/>
  <c r="AX48" i="24"/>
  <c r="BH37" i="24"/>
  <c r="BU271" i="24"/>
  <c r="BW153" i="24"/>
  <c r="BH280" i="24"/>
  <c r="BW35" i="24"/>
  <c r="S212" i="25"/>
  <c r="K212" i="25" s="1"/>
  <c r="R212" i="25"/>
  <c r="Q212" i="25"/>
  <c r="BZ212" i="25"/>
  <c r="AO212" i="25"/>
  <c r="BH153" i="24"/>
  <c r="AX153" i="24"/>
  <c r="BU298" i="24"/>
  <c r="BU258" i="24"/>
  <c r="BW298" i="24"/>
  <c r="BU130" i="24"/>
  <c r="BW148" i="24"/>
  <c r="BW129" i="24"/>
  <c r="BH298" i="24"/>
  <c r="BH18" i="24"/>
  <c r="BH218" i="24"/>
  <c r="BU218" i="24"/>
  <c r="AJ77" i="25"/>
  <c r="AM77" i="25"/>
  <c r="BU129" i="24"/>
  <c r="AX283" i="24"/>
  <c r="AX18" i="24"/>
  <c r="BH129" i="24"/>
  <c r="BH35" i="24"/>
  <c r="BH54" i="24"/>
  <c r="BW258" i="24"/>
  <c r="BU235" i="24"/>
  <c r="BH299" i="24"/>
  <c r="BU281" i="24"/>
  <c r="AX37" i="24"/>
  <c r="BH120" i="24"/>
  <c r="BU299" i="24"/>
  <c r="AX54" i="24"/>
  <c r="AX299" i="24"/>
  <c r="BH258" i="24"/>
  <c r="BH235" i="24"/>
  <c r="BW120" i="24"/>
  <c r="BH130" i="24"/>
  <c r="BH281" i="24"/>
  <c r="AX148" i="24"/>
  <c r="BH57" i="24"/>
  <c r="AX57" i="24"/>
  <c r="AS242" i="24"/>
  <c r="AU242" i="24" s="1"/>
  <c r="BB242" i="24" s="1"/>
  <c r="BJ242" i="24"/>
  <c r="AQ242" i="24"/>
  <c r="BL192" i="24"/>
  <c r="AS192" i="24"/>
  <c r="AQ192" i="24"/>
  <c r="BJ192" i="24"/>
  <c r="BH192" i="24"/>
  <c r="BU192" i="24"/>
  <c r="BW192" i="24"/>
  <c r="AX192" i="24"/>
  <c r="AJ48" i="25"/>
  <c r="AM48" i="25"/>
  <c r="BG48" i="25" s="1"/>
  <c r="AS60" i="24"/>
  <c r="BJ60" i="24"/>
  <c r="AQ60" i="24"/>
  <c r="BW60" i="24"/>
  <c r="AX60" i="24"/>
  <c r="BH60" i="24"/>
  <c r="AT110" i="25"/>
  <c r="AY110" i="25" s="1"/>
  <c r="AU110" i="25"/>
  <c r="AR267" i="25"/>
  <c r="AP267" i="25"/>
  <c r="BH267" i="25"/>
  <c r="BU267" i="25"/>
  <c r="BW267" i="25"/>
  <c r="BF267" i="25"/>
  <c r="AM52" i="25"/>
  <c r="AJ52" i="25"/>
  <c r="AW111" i="25"/>
  <c r="AX111" i="25"/>
  <c r="AX125" i="25"/>
  <c r="AW125" i="25"/>
  <c r="AJ24" i="25"/>
  <c r="AM24" i="25"/>
  <c r="BG24" i="25" s="1"/>
  <c r="BL147" i="24"/>
  <c r="AS147" i="24"/>
  <c r="AU147" i="24" s="1"/>
  <c r="BB147" i="24" s="1"/>
  <c r="BJ147" i="24"/>
  <c r="AQ147" i="24"/>
  <c r="AX191" i="25"/>
  <c r="AW191" i="25"/>
  <c r="BL221" i="24"/>
  <c r="AS221" i="24"/>
  <c r="BJ221" i="24"/>
  <c r="AQ221" i="24"/>
  <c r="BU221" i="24"/>
  <c r="BW221" i="24"/>
  <c r="AX221" i="24"/>
  <c r="BH221" i="24"/>
  <c r="AR201" i="25"/>
  <c r="BJ201" i="25"/>
  <c r="BH201" i="25"/>
  <c r="BF201" i="25"/>
  <c r="BW201" i="25"/>
  <c r="BU201" i="25"/>
  <c r="AM309" i="25"/>
  <c r="AJ309" i="25"/>
  <c r="AM304" i="25"/>
  <c r="BG304" i="25" s="1"/>
  <c r="AJ304" i="25"/>
  <c r="BA56" i="24"/>
  <c r="AS287" i="24"/>
  <c r="AQ287" i="24"/>
  <c r="BJ287" i="24"/>
  <c r="BU287" i="24"/>
  <c r="AX287" i="24"/>
  <c r="BH287" i="24"/>
  <c r="BW287" i="24"/>
  <c r="BL174" i="24"/>
  <c r="AS174" i="24"/>
  <c r="BJ174" i="24"/>
  <c r="AQ174" i="24"/>
  <c r="AX174" i="24"/>
  <c r="BH174" i="24"/>
  <c r="BW174" i="24"/>
  <c r="BU174" i="24"/>
  <c r="AX146" i="25"/>
  <c r="AW146" i="25"/>
  <c r="AM122" i="25"/>
  <c r="BG122" i="25" s="1"/>
  <c r="AJ122" i="25"/>
  <c r="AW182" i="25"/>
  <c r="AX182" i="25"/>
  <c r="AS265" i="24"/>
  <c r="AU265" i="24" s="1"/>
  <c r="BB265" i="24" s="1"/>
  <c r="BL265" i="24"/>
  <c r="AQ265" i="24"/>
  <c r="BJ265" i="24"/>
  <c r="AJ50" i="25"/>
  <c r="AM50" i="25"/>
  <c r="BG50" i="25" s="1"/>
  <c r="AJ256" i="25"/>
  <c r="AM256" i="25"/>
  <c r="BG256" i="25" s="1"/>
  <c r="AS111" i="24"/>
  <c r="AU111" i="24" s="1"/>
  <c r="BB111" i="24" s="1"/>
  <c r="BL111" i="24"/>
  <c r="AQ111" i="24"/>
  <c r="BJ111" i="24"/>
  <c r="AS95" i="24"/>
  <c r="BJ95" i="24"/>
  <c r="AQ95" i="24"/>
  <c r="BW95" i="24"/>
  <c r="AX95" i="24"/>
  <c r="BH95" i="24"/>
  <c r="AJ205" i="25"/>
  <c r="AM205" i="25"/>
  <c r="BG205" i="25" s="1"/>
  <c r="AR13" i="25"/>
  <c r="BJ13" i="25"/>
  <c r="AP13" i="25"/>
  <c r="BH13" i="25"/>
  <c r="BF13" i="25"/>
  <c r="BU13" i="25"/>
  <c r="BW13" i="25"/>
  <c r="BA237" i="24"/>
  <c r="AM203" i="25"/>
  <c r="BG203" i="25" s="1"/>
  <c r="AJ203" i="25"/>
  <c r="BL260" i="24"/>
  <c r="AS260" i="24"/>
  <c r="AU260" i="24" s="1"/>
  <c r="BB260" i="24" s="1"/>
  <c r="BJ260" i="24"/>
  <c r="AQ260" i="24"/>
  <c r="BA35" i="24"/>
  <c r="AS139" i="24"/>
  <c r="BJ139" i="24"/>
  <c r="AQ139" i="24"/>
  <c r="BH139" i="24"/>
  <c r="BW139" i="24"/>
  <c r="BU139" i="24"/>
  <c r="AX139" i="24"/>
  <c r="AS50" i="24"/>
  <c r="BJ50" i="24"/>
  <c r="AQ50" i="24"/>
  <c r="AX50" i="24"/>
  <c r="BH50" i="24"/>
  <c r="BW50" i="24"/>
  <c r="AS141" i="24"/>
  <c r="BL141" i="24"/>
  <c r="BJ141" i="24"/>
  <c r="AQ141" i="24"/>
  <c r="AX141" i="24"/>
  <c r="BH141" i="24"/>
  <c r="BU141" i="24"/>
  <c r="BW141" i="24"/>
  <c r="AS97" i="24"/>
  <c r="BJ97" i="24"/>
  <c r="AQ97" i="24"/>
  <c r="AX97" i="24"/>
  <c r="BH97" i="24"/>
  <c r="BW97" i="24"/>
  <c r="AX140" i="25"/>
  <c r="AW140" i="25"/>
  <c r="AW205" i="25"/>
  <c r="AX205" i="25"/>
  <c r="AM98" i="25"/>
  <c r="BG98" i="25" s="1"/>
  <c r="AJ98" i="25"/>
  <c r="AS118" i="24"/>
  <c r="AQ118" i="24"/>
  <c r="BJ118" i="24"/>
  <c r="BU118" i="24"/>
  <c r="BW118" i="24"/>
  <c r="AX118" i="24"/>
  <c r="BH118" i="24"/>
  <c r="AX203" i="25"/>
  <c r="AW203" i="25"/>
  <c r="BL256" i="24"/>
  <c r="AS256" i="24"/>
  <c r="BJ256" i="24"/>
  <c r="AQ256" i="24"/>
  <c r="BH256" i="24"/>
  <c r="BU256" i="24"/>
  <c r="BW256" i="24"/>
  <c r="AX256" i="24"/>
  <c r="AR261" i="25"/>
  <c r="BJ261" i="25"/>
  <c r="BH261" i="25"/>
  <c r="AP261" i="25"/>
  <c r="BF261" i="25"/>
  <c r="BW261" i="25"/>
  <c r="BU261" i="25"/>
  <c r="AS64" i="24"/>
  <c r="BJ64" i="24"/>
  <c r="AQ64" i="24"/>
  <c r="BW64" i="24"/>
  <c r="AX64" i="24"/>
  <c r="BH64" i="24"/>
  <c r="AX76" i="25"/>
  <c r="AW76" i="25"/>
  <c r="BU249" i="24"/>
  <c r="AM165" i="25"/>
  <c r="AJ165" i="25"/>
  <c r="AS98" i="24"/>
  <c r="AQ98" i="24"/>
  <c r="BJ98" i="24"/>
  <c r="AX98" i="24"/>
  <c r="BH98" i="24"/>
  <c r="BW98" i="24"/>
  <c r="AR148" i="25"/>
  <c r="BJ148" i="25"/>
  <c r="AP148" i="25"/>
  <c r="BH148" i="25"/>
  <c r="BF148" i="25"/>
  <c r="BW148" i="25"/>
  <c r="BU148" i="25"/>
  <c r="BH260" i="24"/>
  <c r="BL289" i="24"/>
  <c r="AS289" i="24"/>
  <c r="AQ289" i="24"/>
  <c r="BJ289" i="24"/>
  <c r="BU289" i="24"/>
  <c r="BW289" i="24"/>
  <c r="AX289" i="24"/>
  <c r="BH289" i="24"/>
  <c r="BH12" i="24"/>
  <c r="BH273" i="24"/>
  <c r="BL272" i="24"/>
  <c r="AS272" i="24"/>
  <c r="AQ272" i="24"/>
  <c r="BJ272" i="24"/>
  <c r="AX272" i="24"/>
  <c r="BH272" i="24"/>
  <c r="BU272" i="24"/>
  <c r="BW272" i="24"/>
  <c r="AR283" i="25"/>
  <c r="BH283" i="25"/>
  <c r="AP283" i="25"/>
  <c r="BF283" i="25"/>
  <c r="BW283" i="25"/>
  <c r="BU283" i="25"/>
  <c r="BA125" i="24"/>
  <c r="AR170" i="25"/>
  <c r="AP170" i="25"/>
  <c r="BH170" i="25"/>
  <c r="BF170" i="25"/>
  <c r="BU170" i="25"/>
  <c r="BW170" i="25"/>
  <c r="AX141" i="25"/>
  <c r="AW141" i="25"/>
  <c r="AS135" i="24"/>
  <c r="AU135" i="24" s="1"/>
  <c r="BB135" i="24" s="1"/>
  <c r="BJ135" i="24"/>
  <c r="AQ135" i="24"/>
  <c r="AW130" i="25"/>
  <c r="AX130" i="25"/>
  <c r="AS46" i="24"/>
  <c r="BJ46" i="24"/>
  <c r="AQ46" i="24"/>
  <c r="AX46" i="24"/>
  <c r="BH46" i="24"/>
  <c r="BW46" i="24"/>
  <c r="AX15" i="25"/>
  <c r="AW15" i="25"/>
  <c r="AX74" i="25"/>
  <c r="AW74" i="25"/>
  <c r="BW238" i="24"/>
  <c r="AS89" i="24"/>
  <c r="BJ89" i="24"/>
  <c r="AQ89" i="24"/>
  <c r="AX89" i="24"/>
  <c r="BH89" i="24"/>
  <c r="BW89" i="24"/>
  <c r="BW133" i="24"/>
  <c r="AJ63" i="25"/>
  <c r="AM63" i="25"/>
  <c r="BG63" i="25" s="1"/>
  <c r="BW117" i="24"/>
  <c r="AJ66" i="25"/>
  <c r="AM66" i="25"/>
  <c r="BG66" i="25" s="1"/>
  <c r="AJ180" i="25"/>
  <c r="AM180" i="25"/>
  <c r="AM118" i="25"/>
  <c r="BG118" i="25" s="1"/>
  <c r="AJ118" i="25"/>
  <c r="AJ42" i="25"/>
  <c r="AM42" i="25"/>
  <c r="BG42" i="25" s="1"/>
  <c r="AS182" i="24"/>
  <c r="BJ182" i="24"/>
  <c r="AQ182" i="24"/>
  <c r="BU182" i="24"/>
  <c r="BW182" i="24"/>
  <c r="AX182" i="24"/>
  <c r="BH182" i="24"/>
  <c r="AS179" i="24"/>
  <c r="AQ179" i="24"/>
  <c r="BJ179" i="24"/>
  <c r="BW179" i="24"/>
  <c r="BU179" i="24"/>
  <c r="AX179" i="24"/>
  <c r="BH179" i="24"/>
  <c r="AX168" i="25"/>
  <c r="AW168" i="25"/>
  <c r="BH59" i="24"/>
  <c r="BA8" i="24"/>
  <c r="BA266" i="24"/>
  <c r="BA57" i="24"/>
  <c r="AU55" i="24"/>
  <c r="BB55" i="24" s="1"/>
  <c r="AW55" i="24"/>
  <c r="BA32" i="24"/>
  <c r="AM307" i="25"/>
  <c r="AJ307" i="25"/>
  <c r="AX169" i="25"/>
  <c r="AW169" i="25"/>
  <c r="AX138" i="25"/>
  <c r="AW138" i="25"/>
  <c r="AS219" i="24"/>
  <c r="AU219" i="24" s="1"/>
  <c r="BB219" i="24" s="1"/>
  <c r="AQ219" i="24"/>
  <c r="BJ219" i="24"/>
  <c r="AS124" i="24"/>
  <c r="BL124" i="24"/>
  <c r="BJ124" i="24"/>
  <c r="AQ124" i="24"/>
  <c r="BH124" i="24"/>
  <c r="BU124" i="24"/>
  <c r="BW124" i="24"/>
  <c r="AX124" i="24"/>
  <c r="AW37" i="25"/>
  <c r="AX37" i="25"/>
  <c r="AJ20" i="25"/>
  <c r="AM20" i="25"/>
  <c r="BG20" i="25" s="1"/>
  <c r="AJ281" i="25"/>
  <c r="AM281" i="25"/>
  <c r="BG281" i="25" s="1"/>
  <c r="BL226" i="24"/>
  <c r="AS226" i="24"/>
  <c r="BJ226" i="24"/>
  <c r="AQ226" i="24"/>
  <c r="BH226" i="24"/>
  <c r="BU226" i="24"/>
  <c r="BW226" i="24"/>
  <c r="AX226" i="24"/>
  <c r="AS200" i="24"/>
  <c r="AQ200" i="24"/>
  <c r="BJ200" i="24"/>
  <c r="BH200" i="24"/>
  <c r="BU200" i="24"/>
  <c r="BW200" i="24"/>
  <c r="AX200" i="24"/>
  <c r="AJ272" i="25"/>
  <c r="AM272" i="25"/>
  <c r="AX26" i="25"/>
  <c r="AW26" i="25"/>
  <c r="BH247" i="24"/>
  <c r="BW225" i="24"/>
  <c r="AM221" i="25"/>
  <c r="AJ221" i="25"/>
  <c r="BH242" i="24"/>
  <c r="BU295" i="24"/>
  <c r="AM58" i="25"/>
  <c r="BG58" i="25" s="1"/>
  <c r="AJ58" i="25"/>
  <c r="AM185" i="25"/>
  <c r="AJ185" i="25"/>
  <c r="AM187" i="25"/>
  <c r="BG187" i="25" s="1"/>
  <c r="AJ187" i="25"/>
  <c r="AU41" i="24"/>
  <c r="BB41" i="24" s="1"/>
  <c r="AW41" i="24"/>
  <c r="AS26" i="24"/>
  <c r="AU26" i="24" s="1"/>
  <c r="BB26" i="24" s="1"/>
  <c r="BJ26" i="24"/>
  <c r="AQ26" i="24"/>
  <c r="AS96" i="24"/>
  <c r="AQ96" i="24"/>
  <c r="BJ96" i="24"/>
  <c r="AX96" i="24"/>
  <c r="BH96" i="24"/>
  <c r="BW96" i="24"/>
  <c r="AX45" i="25"/>
  <c r="AW45" i="25"/>
  <c r="AX121" i="25"/>
  <c r="AW121" i="25"/>
  <c r="AR21" i="25"/>
  <c r="AP21" i="25"/>
  <c r="BH21" i="25"/>
  <c r="BF21" i="25"/>
  <c r="BW21" i="25"/>
  <c r="BU21" i="25"/>
  <c r="BA290" i="24"/>
  <c r="BH263" i="24"/>
  <c r="BA9" i="24"/>
  <c r="BH282" i="24"/>
  <c r="BH155" i="24"/>
  <c r="AS176" i="24"/>
  <c r="BL176" i="24"/>
  <c r="AQ176" i="24"/>
  <c r="BJ176" i="24"/>
  <c r="BW176" i="24"/>
  <c r="BU176" i="24"/>
  <c r="AX176" i="24"/>
  <c r="BH176" i="24"/>
  <c r="AS86" i="24"/>
  <c r="AQ86" i="24"/>
  <c r="BJ86" i="24"/>
  <c r="BH86" i="24"/>
  <c r="BW86" i="24"/>
  <c r="AX86" i="24"/>
  <c r="BU248" i="24"/>
  <c r="AX185" i="25"/>
  <c r="AW185" i="25"/>
  <c r="AX53" i="25"/>
  <c r="AW53" i="25"/>
  <c r="AM263" i="25"/>
  <c r="BG263" i="25" s="1"/>
  <c r="AJ263" i="25"/>
  <c r="AX39" i="25"/>
  <c r="AW39" i="25"/>
  <c r="AJ75" i="25"/>
  <c r="AM75" i="25"/>
  <c r="BG75" i="25" s="1"/>
  <c r="BA235" i="24"/>
  <c r="BA129" i="24"/>
  <c r="AM35" i="25"/>
  <c r="BG35" i="25" s="1"/>
  <c r="AJ35" i="25"/>
  <c r="AS151" i="24"/>
  <c r="BJ151" i="24"/>
  <c r="AQ151" i="24"/>
  <c r="BH151" i="24"/>
  <c r="BU151" i="24"/>
  <c r="BW151" i="24"/>
  <c r="AX151" i="24"/>
  <c r="AX10" i="25"/>
  <c r="AW10" i="25"/>
  <c r="AS18" i="24"/>
  <c r="AU18" i="24" s="1"/>
  <c r="BB18" i="24" s="1"/>
  <c r="BJ18" i="24"/>
  <c r="AQ18" i="24"/>
  <c r="AM310" i="25"/>
  <c r="AJ310" i="25"/>
  <c r="AX40" i="25"/>
  <c r="AW40" i="25"/>
  <c r="AX48" i="25"/>
  <c r="AW48" i="25"/>
  <c r="AM308" i="25"/>
  <c r="BG308" i="25" s="1"/>
  <c r="AJ308" i="25"/>
  <c r="AS296" i="24"/>
  <c r="AU296" i="24" s="1"/>
  <c r="BB296" i="24" s="1"/>
  <c r="BL296" i="24"/>
  <c r="AQ296" i="24"/>
  <c r="BJ296" i="24"/>
  <c r="BL241" i="24"/>
  <c r="AS241" i="24"/>
  <c r="BJ241" i="24"/>
  <c r="AQ241" i="24"/>
  <c r="AX241" i="24"/>
  <c r="BH241" i="24"/>
  <c r="BW241" i="24"/>
  <c r="BU241" i="24"/>
  <c r="AS262" i="24"/>
  <c r="BL262" i="24"/>
  <c r="BJ262" i="24"/>
  <c r="AQ262" i="24"/>
  <c r="AX262" i="24"/>
  <c r="BH262" i="24"/>
  <c r="BW262" i="24"/>
  <c r="BU262" i="24"/>
  <c r="AX78" i="25"/>
  <c r="AW78" i="25"/>
  <c r="AR158" i="25"/>
  <c r="BJ158" i="25"/>
  <c r="BH158" i="25"/>
  <c r="AP158" i="25"/>
  <c r="BW158" i="25"/>
  <c r="BU158" i="25"/>
  <c r="BF158" i="25"/>
  <c r="BU237" i="24"/>
  <c r="BA123" i="24"/>
  <c r="AJ103" i="25"/>
  <c r="AM103" i="25"/>
  <c r="BA284" i="24"/>
  <c r="AJ216" i="25"/>
  <c r="AM216" i="25"/>
  <c r="BG216" i="25" s="1"/>
  <c r="AS315" i="24"/>
  <c r="BL315" i="24"/>
  <c r="BJ315" i="24"/>
  <c r="AQ315" i="24"/>
  <c r="AX315" i="24"/>
  <c r="BH315" i="24"/>
  <c r="BW315" i="24"/>
  <c r="BU315" i="24"/>
  <c r="AX55" i="25"/>
  <c r="AW55" i="25"/>
  <c r="AX171" i="25"/>
  <c r="AW171" i="25"/>
  <c r="AX122" i="25"/>
  <c r="AW122" i="25"/>
  <c r="AM166" i="25"/>
  <c r="AJ166" i="25"/>
  <c r="AS73" i="24"/>
  <c r="BJ73" i="24"/>
  <c r="AQ73" i="24"/>
  <c r="BH73" i="24"/>
  <c r="BW73" i="24"/>
  <c r="AX73" i="24"/>
  <c r="AX115" i="25"/>
  <c r="AW115" i="25"/>
  <c r="AJ47" i="25"/>
  <c r="AM47" i="25"/>
  <c r="BG47" i="25" s="1"/>
  <c r="AX8" i="25"/>
  <c r="AW8" i="25"/>
  <c r="AS170" i="24"/>
  <c r="BJ170" i="24"/>
  <c r="AQ170" i="24"/>
  <c r="BW170" i="24"/>
  <c r="AX170" i="24"/>
  <c r="BH170" i="24"/>
  <c r="BU170" i="24"/>
  <c r="BH114" i="24"/>
  <c r="AT143" i="25"/>
  <c r="AY143" i="25" s="1"/>
  <c r="AU143" i="25"/>
  <c r="AJ279" i="25"/>
  <c r="AM279" i="25"/>
  <c r="AS68" i="24"/>
  <c r="AQ68" i="24"/>
  <c r="BJ68" i="24"/>
  <c r="AX68" i="24"/>
  <c r="BH68" i="24"/>
  <c r="BW68" i="24"/>
  <c r="AJ298" i="25"/>
  <c r="AM298" i="25"/>
  <c r="BG298" i="25" s="1"/>
  <c r="BA58" i="24"/>
  <c r="AR178" i="25"/>
  <c r="BJ178" i="25"/>
  <c r="AP178" i="25"/>
  <c r="BH178" i="25"/>
  <c r="BW178" i="25"/>
  <c r="BU178" i="25"/>
  <c r="BF178" i="25"/>
  <c r="AJ141" i="25"/>
  <c r="AM141" i="25"/>
  <c r="BG141" i="25" s="1"/>
  <c r="AS74" i="24"/>
  <c r="BJ74" i="24"/>
  <c r="AQ74" i="24"/>
  <c r="AX74" i="24"/>
  <c r="BH74" i="24"/>
  <c r="BW74" i="24"/>
  <c r="AS93" i="24"/>
  <c r="BJ93" i="24"/>
  <c r="AQ93" i="24"/>
  <c r="BW93" i="24"/>
  <c r="AX93" i="24"/>
  <c r="BH93" i="24"/>
  <c r="AM130" i="25"/>
  <c r="AJ130" i="25"/>
  <c r="AJ145" i="25"/>
  <c r="AM145" i="25"/>
  <c r="BG145" i="25" s="1"/>
  <c r="AX150" i="25"/>
  <c r="AW150" i="25"/>
  <c r="AX260" i="24"/>
  <c r="AS255" i="24"/>
  <c r="BL255" i="24"/>
  <c r="BJ255" i="24"/>
  <c r="AQ255" i="24"/>
  <c r="AX255" i="24"/>
  <c r="BH255" i="24"/>
  <c r="BW255" i="24"/>
  <c r="BU255" i="24"/>
  <c r="BL198" i="24"/>
  <c r="AS198" i="24"/>
  <c r="BJ198" i="24"/>
  <c r="AQ198" i="24"/>
  <c r="BU198" i="24"/>
  <c r="AX198" i="24"/>
  <c r="BH198" i="24"/>
  <c r="BW198" i="24"/>
  <c r="AX133" i="25"/>
  <c r="AW133" i="25"/>
  <c r="AS144" i="24"/>
  <c r="BL144" i="24"/>
  <c r="AQ144" i="24"/>
  <c r="BJ144" i="24"/>
  <c r="AX144" i="24"/>
  <c r="BH144" i="24"/>
  <c r="BU144" i="24"/>
  <c r="BW144" i="24"/>
  <c r="AJ73" i="25"/>
  <c r="AM73" i="25"/>
  <c r="BG73" i="25" s="1"/>
  <c r="AJ264" i="25"/>
  <c r="AM264" i="25"/>
  <c r="BG264" i="25" s="1"/>
  <c r="AS137" i="24"/>
  <c r="BJ137" i="24"/>
  <c r="AQ137" i="24"/>
  <c r="AX137" i="24"/>
  <c r="BH137" i="24"/>
  <c r="BW137" i="24"/>
  <c r="BU137" i="24"/>
  <c r="CE97" i="25"/>
  <c r="AW61" i="25"/>
  <c r="AX61" i="25"/>
  <c r="AS312" i="24"/>
  <c r="BL312" i="24"/>
  <c r="AQ312" i="24"/>
  <c r="BJ312" i="24"/>
  <c r="AX312" i="24"/>
  <c r="BH312" i="24"/>
  <c r="BU312" i="24"/>
  <c r="BW312" i="24"/>
  <c r="BA269" i="24"/>
  <c r="BW296" i="24"/>
  <c r="AS165" i="24"/>
  <c r="AQ165" i="24"/>
  <c r="BJ165" i="24"/>
  <c r="AX165" i="24"/>
  <c r="BH165" i="24"/>
  <c r="BU165" i="24"/>
  <c r="BW165" i="24"/>
  <c r="BL251" i="24"/>
  <c r="AS251" i="24"/>
  <c r="BJ251" i="24"/>
  <c r="AQ251" i="24"/>
  <c r="BW251" i="24"/>
  <c r="AX251" i="24"/>
  <c r="BH251" i="24"/>
  <c r="BU251" i="24"/>
  <c r="AM228" i="25"/>
  <c r="AJ228" i="25"/>
  <c r="AX128" i="25"/>
  <c r="AW128" i="25"/>
  <c r="AJ156" i="25"/>
  <c r="AM156" i="25"/>
  <c r="AS310" i="24"/>
  <c r="AQ310" i="24"/>
  <c r="BJ310" i="24"/>
  <c r="BW310" i="24"/>
  <c r="BU310" i="24"/>
  <c r="AX310" i="24"/>
  <c r="BH310" i="24"/>
  <c r="AR243" i="25"/>
  <c r="BJ243" i="25"/>
  <c r="AP243" i="25"/>
  <c r="BH243" i="25"/>
  <c r="BF243" i="25"/>
  <c r="BU243" i="25"/>
  <c r="BW243" i="25"/>
  <c r="BU238" i="24"/>
  <c r="BW34" i="24"/>
  <c r="AM68" i="25"/>
  <c r="BG68" i="25" s="1"/>
  <c r="AJ68" i="25"/>
  <c r="BJ34" i="25"/>
  <c r="AR34" i="25"/>
  <c r="BH34" i="25"/>
  <c r="AP34" i="25"/>
  <c r="BF34" i="25"/>
  <c r="BU34" i="25"/>
  <c r="BW34" i="25"/>
  <c r="AJ208" i="25"/>
  <c r="AM208" i="25"/>
  <c r="BG208" i="25" s="1"/>
  <c r="AX80" i="25"/>
  <c r="AW80" i="25"/>
  <c r="AW73" i="25"/>
  <c r="AX73" i="25"/>
  <c r="BA243" i="24"/>
  <c r="BA153" i="24"/>
  <c r="BH117" i="24"/>
  <c r="AR247" i="25"/>
  <c r="BJ247" i="25"/>
  <c r="AP247" i="25"/>
  <c r="BH247" i="25"/>
  <c r="BF247" i="25"/>
  <c r="BU247" i="25"/>
  <c r="BW247" i="25"/>
  <c r="AS185" i="24"/>
  <c r="BJ185" i="24"/>
  <c r="AQ185" i="24"/>
  <c r="BH185" i="24"/>
  <c r="BW185" i="24"/>
  <c r="BU185" i="24"/>
  <c r="AX185" i="24"/>
  <c r="AS153" i="24"/>
  <c r="AU153" i="24" s="1"/>
  <c r="BB153" i="24" s="1"/>
  <c r="BJ153" i="24"/>
  <c r="AQ153" i="24"/>
  <c r="AM86" i="25"/>
  <c r="AJ86" i="25"/>
  <c r="AW175" i="25"/>
  <c r="AX175" i="25"/>
  <c r="AR248" i="25"/>
  <c r="BJ248" i="25"/>
  <c r="BH248" i="25"/>
  <c r="AP248" i="25"/>
  <c r="BU248" i="25"/>
  <c r="BF248" i="25"/>
  <c r="BW248" i="25"/>
  <c r="AM60" i="25"/>
  <c r="AJ60" i="25"/>
  <c r="BW266" i="24"/>
  <c r="BU240" i="24"/>
  <c r="AS169" i="24"/>
  <c r="BL169" i="24"/>
  <c r="AQ169" i="24"/>
  <c r="BJ169" i="24"/>
  <c r="AX169" i="24"/>
  <c r="BH169" i="24"/>
  <c r="BW169" i="24"/>
  <c r="BU169" i="24"/>
  <c r="AX36" i="25"/>
  <c r="AW36" i="25"/>
  <c r="AS11" i="24"/>
  <c r="AQ11" i="24"/>
  <c r="BJ11" i="24"/>
  <c r="AX11" i="24"/>
  <c r="BW11" i="24"/>
  <c r="BH11" i="24"/>
  <c r="AW132" i="25"/>
  <c r="AX132" i="25"/>
  <c r="AS57" i="24"/>
  <c r="AU57" i="24" s="1"/>
  <c r="BB57" i="24" s="1"/>
  <c r="BJ57" i="24"/>
  <c r="AQ57" i="24"/>
  <c r="AR199" i="25"/>
  <c r="BJ199" i="25"/>
  <c r="BH199" i="25"/>
  <c r="BU199" i="25"/>
  <c r="BW199" i="25"/>
  <c r="BF199" i="25"/>
  <c r="BH111" i="24"/>
  <c r="BL244" i="24"/>
  <c r="AS244" i="24"/>
  <c r="AQ244" i="24"/>
  <c r="BJ244" i="24"/>
  <c r="BW244" i="24"/>
  <c r="BU244" i="24"/>
  <c r="AX244" i="24"/>
  <c r="BH244" i="24"/>
  <c r="AS243" i="24"/>
  <c r="AU243" i="24" s="1"/>
  <c r="BB243" i="24" s="1"/>
  <c r="AQ243" i="24"/>
  <c r="BJ243" i="24"/>
  <c r="BA218" i="24"/>
  <c r="AX66" i="25"/>
  <c r="AW66" i="25"/>
  <c r="AW183" i="25"/>
  <c r="AX183" i="25"/>
  <c r="BJ293" i="25"/>
  <c r="AR293" i="25"/>
  <c r="BH293" i="25"/>
  <c r="AP293" i="25"/>
  <c r="BF293" i="25"/>
  <c r="BW293" i="25"/>
  <c r="BU293" i="25"/>
  <c r="AM127" i="25"/>
  <c r="BG127" i="25" s="1"/>
  <c r="AJ127" i="25"/>
  <c r="AS254" i="24"/>
  <c r="BL254" i="24"/>
  <c r="AQ254" i="24"/>
  <c r="BJ254" i="24"/>
  <c r="AX254" i="24"/>
  <c r="BH254" i="24"/>
  <c r="BW254" i="24"/>
  <c r="BU254" i="24"/>
  <c r="BH225" i="24"/>
  <c r="AM254" i="25"/>
  <c r="BG254" i="25" s="1"/>
  <c r="AJ254" i="25"/>
  <c r="AJ196" i="25"/>
  <c r="AM196" i="25"/>
  <c r="BG196" i="25" s="1"/>
  <c r="AJ111" i="25"/>
  <c r="AM111" i="25"/>
  <c r="BA135" i="24"/>
  <c r="BH301" i="24"/>
  <c r="BJ259" i="25"/>
  <c r="AR259" i="25"/>
  <c r="AP259" i="25"/>
  <c r="BH259" i="25"/>
  <c r="BF259" i="25"/>
  <c r="BW259" i="25"/>
  <c r="BU259" i="25"/>
  <c r="AS58" i="24"/>
  <c r="AU58" i="24" s="1"/>
  <c r="BB58" i="24" s="1"/>
  <c r="BJ58" i="24"/>
  <c r="AQ58" i="24"/>
  <c r="AU101" i="24"/>
  <c r="BB101" i="24" s="1"/>
  <c r="AW101" i="24"/>
  <c r="AR255" i="25"/>
  <c r="BJ255" i="25"/>
  <c r="BH255" i="25"/>
  <c r="AP255" i="25"/>
  <c r="BW255" i="25"/>
  <c r="BU255" i="25"/>
  <c r="BF255" i="25"/>
  <c r="BW279" i="24"/>
  <c r="BW126" i="24"/>
  <c r="AJ225" i="25"/>
  <c r="AM225" i="25"/>
  <c r="BG225" i="25" s="1"/>
  <c r="AR59" i="25"/>
  <c r="BJ59" i="25"/>
  <c r="BH59" i="25"/>
  <c r="AP59" i="25"/>
  <c r="BW59" i="25"/>
  <c r="BU59" i="25"/>
  <c r="BF59" i="25"/>
  <c r="BW232" i="24"/>
  <c r="AS67" i="24"/>
  <c r="AQ67" i="24"/>
  <c r="BJ67" i="24"/>
  <c r="AX67" i="24"/>
  <c r="BH67" i="24"/>
  <c r="BW67" i="24"/>
  <c r="AJ253" i="25"/>
  <c r="AM253" i="25"/>
  <c r="BG253" i="25" s="1"/>
  <c r="AJ316" i="25"/>
  <c r="AM316" i="25"/>
  <c r="AS305" i="24"/>
  <c r="AU305" i="24" s="1"/>
  <c r="BB305" i="24" s="1"/>
  <c r="AQ305" i="24"/>
  <c r="BJ305" i="24"/>
  <c r="AJ23" i="25"/>
  <c r="AM23" i="25"/>
  <c r="BG23" i="25" s="1"/>
  <c r="AX57" i="25"/>
  <c r="AW57" i="25"/>
  <c r="AS81" i="24"/>
  <c r="AQ81" i="24"/>
  <c r="BJ81" i="24"/>
  <c r="AX81" i="24"/>
  <c r="BW81" i="24"/>
  <c r="BH81" i="24"/>
  <c r="AJ51" i="25"/>
  <c r="AM51" i="25"/>
  <c r="BG51" i="25" s="1"/>
  <c r="BA30" i="24"/>
  <c r="AJ172" i="25"/>
  <c r="AM172" i="25"/>
  <c r="BL187" i="24"/>
  <c r="AS187" i="24"/>
  <c r="BJ187" i="24"/>
  <c r="AQ187" i="24"/>
  <c r="AX187" i="24"/>
  <c r="BH187" i="24"/>
  <c r="BW187" i="24"/>
  <c r="BU187" i="24"/>
  <c r="AS247" i="24"/>
  <c r="AU247" i="24" s="1"/>
  <c r="BB247" i="24" s="1"/>
  <c r="BJ247" i="24"/>
  <c r="AQ247" i="24"/>
  <c r="AM207" i="25"/>
  <c r="BG207" i="25" s="1"/>
  <c r="AJ207" i="25"/>
  <c r="AX152" i="25"/>
  <c r="AW152" i="25"/>
  <c r="BA51" i="24"/>
  <c r="AJ140" i="25"/>
  <c r="AM140" i="25"/>
  <c r="BG140" i="25" s="1"/>
  <c r="BL189" i="24"/>
  <c r="AS189" i="24"/>
  <c r="AQ189" i="24"/>
  <c r="BJ189" i="24"/>
  <c r="BH189" i="24"/>
  <c r="BU189" i="24"/>
  <c r="BW189" i="24"/>
  <c r="AX189" i="24"/>
  <c r="AS121" i="24"/>
  <c r="AU121" i="24" s="1"/>
  <c r="BB121" i="24" s="1"/>
  <c r="AQ121" i="24"/>
  <c r="BJ121" i="24"/>
  <c r="AX52" i="25"/>
  <c r="AW52" i="25"/>
  <c r="AR189" i="25"/>
  <c r="BH189" i="25"/>
  <c r="AP189" i="25"/>
  <c r="BF189" i="25"/>
  <c r="BW189" i="25"/>
  <c r="BU189" i="25"/>
  <c r="BW237" i="24"/>
  <c r="AS82" i="24"/>
  <c r="BJ82" i="24"/>
  <c r="AQ82" i="24"/>
  <c r="AX82" i="24"/>
  <c r="BH82" i="24"/>
  <c r="BW82" i="24"/>
  <c r="AW64" i="25"/>
  <c r="AX64" i="25"/>
  <c r="BA297" i="24"/>
  <c r="AJ151" i="25"/>
  <c r="AM151" i="25"/>
  <c r="AX38" i="25"/>
  <c r="AW38" i="25"/>
  <c r="AS31" i="24"/>
  <c r="BJ31" i="24"/>
  <c r="AQ31" i="24"/>
  <c r="AX31" i="24"/>
  <c r="BH31" i="24"/>
  <c r="BW31" i="24"/>
  <c r="AS157" i="24"/>
  <c r="BJ157" i="24"/>
  <c r="AQ157" i="24"/>
  <c r="AX157" i="24"/>
  <c r="BH157" i="24"/>
  <c r="BU157" i="24"/>
  <c r="BW157" i="24"/>
  <c r="AR186" i="25"/>
  <c r="BH186" i="25"/>
  <c r="AP186" i="25"/>
  <c r="BF186" i="25"/>
  <c r="BU186" i="25"/>
  <c r="BW186" i="25"/>
  <c r="AW207" i="25"/>
  <c r="AX207" i="25"/>
  <c r="AX22" i="25"/>
  <c r="AW22" i="25"/>
  <c r="AX153" i="25"/>
  <c r="AW153" i="25"/>
  <c r="AS207" i="24"/>
  <c r="BL207" i="24"/>
  <c r="BJ207" i="24"/>
  <c r="AQ207" i="24"/>
  <c r="AX207" i="24"/>
  <c r="BH207" i="24"/>
  <c r="BU207" i="24"/>
  <c r="BW207" i="24"/>
  <c r="AU119" i="24"/>
  <c r="BB119" i="24" s="1"/>
  <c r="AW119" i="24"/>
  <c r="AS76" i="24"/>
  <c r="BJ76" i="24"/>
  <c r="AQ76" i="24"/>
  <c r="BW76" i="24"/>
  <c r="AX76" i="24"/>
  <c r="BH76" i="24"/>
  <c r="AJ188" i="25"/>
  <c r="AM188" i="25"/>
  <c r="BG188" i="25" s="1"/>
  <c r="AR296" i="25"/>
  <c r="BJ296" i="25"/>
  <c r="AP296" i="25"/>
  <c r="BH296" i="25"/>
  <c r="BF296" i="25"/>
  <c r="BW296" i="25"/>
  <c r="BU296" i="25"/>
  <c r="AX114" i="24"/>
  <c r="BL143" i="24"/>
  <c r="AS143" i="24"/>
  <c r="AQ143" i="24"/>
  <c r="BJ143" i="24"/>
  <c r="AX143" i="24"/>
  <c r="BH143" i="24"/>
  <c r="BW143" i="24"/>
  <c r="BU143" i="24"/>
  <c r="AM101" i="25"/>
  <c r="BG101" i="25" s="1"/>
  <c r="AJ101" i="25"/>
  <c r="BU147" i="24"/>
  <c r="BL297" i="24"/>
  <c r="AS297" i="24"/>
  <c r="AU297" i="24" s="1"/>
  <c r="BB297" i="24" s="1"/>
  <c r="AQ297" i="24"/>
  <c r="BJ297" i="24"/>
  <c r="AX83" i="25"/>
  <c r="AW83" i="25"/>
  <c r="AM157" i="25"/>
  <c r="BG157" i="25" s="1"/>
  <c r="AJ157" i="25"/>
  <c r="BH249" i="24"/>
  <c r="AX166" i="25"/>
  <c r="AW166" i="25"/>
  <c r="AS227" i="24"/>
  <c r="BL227" i="24"/>
  <c r="AQ227" i="24"/>
  <c r="BJ227" i="24"/>
  <c r="BH227" i="24"/>
  <c r="BW227" i="24"/>
  <c r="AX227" i="24"/>
  <c r="BU227" i="24"/>
  <c r="AS10" i="24"/>
  <c r="BJ10" i="24"/>
  <c r="AQ10" i="24"/>
  <c r="AX10" i="24"/>
  <c r="BW10" i="24"/>
  <c r="BH10" i="24"/>
  <c r="AX47" i="25"/>
  <c r="AW47" i="25"/>
  <c r="AR306" i="25"/>
  <c r="BH306" i="25"/>
  <c r="AP306" i="25"/>
  <c r="BU306" i="25"/>
  <c r="BW306" i="25"/>
  <c r="BF306" i="25"/>
  <c r="BA37" i="24"/>
  <c r="AS94" i="24"/>
  <c r="BJ94" i="24"/>
  <c r="AQ94" i="24"/>
  <c r="AX94" i="24"/>
  <c r="BH94" i="24"/>
  <c r="BW94" i="24"/>
  <c r="AX101" i="25"/>
  <c r="AW101" i="25"/>
  <c r="AM61" i="25"/>
  <c r="BG61" i="25" s="1"/>
  <c r="AJ61" i="25"/>
  <c r="AS152" i="24"/>
  <c r="AU152" i="24" s="1"/>
  <c r="BB152" i="24" s="1"/>
  <c r="BJ152" i="24"/>
  <c r="AQ152" i="24"/>
  <c r="AS23" i="24"/>
  <c r="BL23" i="24"/>
  <c r="BJ23" i="24"/>
  <c r="AQ23" i="24"/>
  <c r="AX23" i="24"/>
  <c r="BH23" i="24"/>
  <c r="BW23" i="24"/>
  <c r="BH296" i="24"/>
  <c r="AS205" i="24"/>
  <c r="AQ205" i="24"/>
  <c r="BJ205" i="24"/>
  <c r="BW205" i="24"/>
  <c r="AX205" i="24"/>
  <c r="BH205" i="24"/>
  <c r="BU205" i="24"/>
  <c r="AS298" i="24"/>
  <c r="AU298" i="24" s="1"/>
  <c r="BB298" i="24" s="1"/>
  <c r="BJ298" i="24"/>
  <c r="AQ298" i="24"/>
  <c r="AU44" i="24"/>
  <c r="BB44" i="24" s="1"/>
  <c r="AW44" i="24"/>
  <c r="AR177" i="25"/>
  <c r="BH177" i="25"/>
  <c r="AP177" i="25"/>
  <c r="BF177" i="25"/>
  <c r="BW177" i="25"/>
  <c r="BU177" i="25"/>
  <c r="AS72" i="24"/>
  <c r="AQ72" i="24"/>
  <c r="BJ72" i="24"/>
  <c r="AX72" i="24"/>
  <c r="BH72" i="24"/>
  <c r="BW72" i="24"/>
  <c r="AM181" i="25"/>
  <c r="AJ181" i="25"/>
  <c r="AU257" i="24"/>
  <c r="BB257" i="24" s="1"/>
  <c r="AW257" i="24"/>
  <c r="BA133" i="24"/>
  <c r="AM44" i="25"/>
  <c r="BG44" i="25" s="1"/>
  <c r="AJ44" i="25"/>
  <c r="BA281" i="24"/>
  <c r="AM183" i="25"/>
  <c r="AJ183" i="25"/>
  <c r="AS281" i="24"/>
  <c r="AU281" i="24" s="1"/>
  <c r="BB281" i="24" s="1"/>
  <c r="AQ281" i="24"/>
  <c r="BJ281" i="24"/>
  <c r="AU21" i="24"/>
  <c r="BB21" i="24" s="1"/>
  <c r="AW21" i="24"/>
  <c r="AX59" i="24"/>
  <c r="AR173" i="25"/>
  <c r="BH173" i="25"/>
  <c r="AP173" i="25"/>
  <c r="BF173" i="25"/>
  <c r="BW173" i="25"/>
  <c r="BU173" i="25"/>
  <c r="BJ275" i="25"/>
  <c r="AR275" i="25"/>
  <c r="AP275" i="25"/>
  <c r="BH275" i="25"/>
  <c r="BF275" i="25"/>
  <c r="BU275" i="25"/>
  <c r="BW275" i="25"/>
  <c r="BA261" i="24"/>
  <c r="BW265" i="24"/>
  <c r="AS33" i="24"/>
  <c r="AU33" i="24" s="1"/>
  <c r="BB33" i="24" s="1"/>
  <c r="BJ33" i="24"/>
  <c r="AQ33" i="24"/>
  <c r="AJ70" i="25"/>
  <c r="AM70" i="25"/>
  <c r="BG70" i="25" s="1"/>
  <c r="BA305" i="24"/>
  <c r="AX118" i="25"/>
  <c r="AW118" i="25"/>
  <c r="BL217" i="24"/>
  <c r="AS217" i="24"/>
  <c r="BJ217" i="24"/>
  <c r="AQ217" i="24"/>
  <c r="AX217" i="24"/>
  <c r="BH217" i="24"/>
  <c r="BW217" i="24"/>
  <c r="BU217" i="24"/>
  <c r="AM274" i="25"/>
  <c r="AJ274" i="25"/>
  <c r="AJ136" i="25"/>
  <c r="AM136" i="25"/>
  <c r="BG136" i="25" s="1"/>
  <c r="AW124" i="25"/>
  <c r="AX124" i="25"/>
  <c r="AS116" i="24"/>
  <c r="BL116" i="24"/>
  <c r="AQ116" i="24"/>
  <c r="BJ116" i="24"/>
  <c r="AX116" i="24"/>
  <c r="BH116" i="24"/>
  <c r="BU116" i="24"/>
  <c r="BW116" i="24"/>
  <c r="AX43" i="25"/>
  <c r="AW43" i="25"/>
  <c r="BL300" i="24"/>
  <c r="AS300" i="24"/>
  <c r="BJ300" i="24"/>
  <c r="AQ300" i="24"/>
  <c r="AX300" i="24"/>
  <c r="BH300" i="24"/>
  <c r="BW300" i="24"/>
  <c r="BU300" i="24"/>
  <c r="BL252" i="24"/>
  <c r="AS252" i="24"/>
  <c r="AQ252" i="24"/>
  <c r="BJ252" i="24"/>
  <c r="BH252" i="24"/>
  <c r="BW252" i="24"/>
  <c r="BU252" i="24"/>
  <c r="AX252" i="24"/>
  <c r="BA242" i="24"/>
  <c r="BL30" i="24"/>
  <c r="AS30" i="24"/>
  <c r="AU30" i="24" s="1"/>
  <c r="BB30" i="24" s="1"/>
  <c r="BJ30" i="24"/>
  <c r="AQ30" i="24"/>
  <c r="AJ202" i="25"/>
  <c r="AM202" i="25"/>
  <c r="BG202" i="25" s="1"/>
  <c r="BL167" i="24"/>
  <c r="AS167" i="24"/>
  <c r="AQ167" i="24"/>
  <c r="BJ167" i="24"/>
  <c r="BW167" i="24"/>
  <c r="AX167" i="24"/>
  <c r="BH167" i="24"/>
  <c r="BU167" i="24"/>
  <c r="BL299" i="24"/>
  <c r="AS299" i="24"/>
  <c r="AU299" i="24" s="1"/>
  <c r="BB299" i="24" s="1"/>
  <c r="AQ299" i="24"/>
  <c r="BJ299" i="24"/>
  <c r="AX46" i="25"/>
  <c r="AW46" i="25"/>
  <c r="AX102" i="25"/>
  <c r="AW102" i="25"/>
  <c r="BW135" i="24"/>
  <c r="AS248" i="24"/>
  <c r="AU248" i="24" s="1"/>
  <c r="BB248" i="24" s="1"/>
  <c r="BJ248" i="24"/>
  <c r="AQ248" i="24"/>
  <c r="BH121" i="24"/>
  <c r="AW9" i="25"/>
  <c r="AX9" i="25"/>
  <c r="AM49" i="25"/>
  <c r="BG49" i="25" s="1"/>
  <c r="AJ49" i="25"/>
  <c r="AS125" i="24"/>
  <c r="AU125" i="24" s="1"/>
  <c r="BB125" i="24" s="1"/>
  <c r="AQ125" i="24"/>
  <c r="BJ125" i="24"/>
  <c r="AM79" i="25"/>
  <c r="AJ79" i="25"/>
  <c r="AS29" i="24"/>
  <c r="BJ29" i="24"/>
  <c r="AQ29" i="24"/>
  <c r="BH29" i="24"/>
  <c r="BW29" i="24"/>
  <c r="AX29" i="24"/>
  <c r="BW290" i="24"/>
  <c r="BA145" i="24"/>
  <c r="AR155" i="25"/>
  <c r="BJ155" i="25"/>
  <c r="AP155" i="25"/>
  <c r="BH155" i="25"/>
  <c r="BF155" i="25"/>
  <c r="BU155" i="25"/>
  <c r="BW155" i="25"/>
  <c r="BH17" i="24"/>
  <c r="BW17" i="24"/>
  <c r="BH267" i="24"/>
  <c r="BH253" i="24"/>
  <c r="AS271" i="24"/>
  <c r="AU271" i="24" s="1"/>
  <c r="BB271" i="24" s="1"/>
  <c r="AQ271" i="24"/>
  <c r="BJ271" i="24"/>
  <c r="AJ146" i="25"/>
  <c r="AM146" i="25"/>
  <c r="BG146" i="25" s="1"/>
  <c r="BL78" i="24"/>
  <c r="AS78" i="24"/>
  <c r="BJ78" i="24"/>
  <c r="AQ78" i="24"/>
  <c r="BH78" i="24"/>
  <c r="BW78" i="24"/>
  <c r="AX78" i="24"/>
  <c r="AJ224" i="25"/>
  <c r="AM224" i="25"/>
  <c r="BG224" i="25" s="1"/>
  <c r="AW49" i="25"/>
  <c r="AX49" i="25"/>
  <c r="AJ242" i="25"/>
  <c r="AM242" i="25"/>
  <c r="AS75" i="24"/>
  <c r="BJ75" i="24"/>
  <c r="AQ75" i="24"/>
  <c r="AX75" i="24"/>
  <c r="BW75" i="24"/>
  <c r="BH75" i="24"/>
  <c r="AR30" i="25"/>
  <c r="AP30" i="25"/>
  <c r="BH30" i="25"/>
  <c r="BU30" i="25"/>
  <c r="BW30" i="25"/>
  <c r="BF30" i="25"/>
  <c r="BL246" i="24"/>
  <c r="AS246" i="24"/>
  <c r="BJ246" i="24"/>
  <c r="AQ246" i="24"/>
  <c r="BH246" i="24"/>
  <c r="BU246" i="24"/>
  <c r="BW246" i="24"/>
  <c r="AX246" i="24"/>
  <c r="BL138" i="24"/>
  <c r="AS138" i="24"/>
  <c r="BJ138" i="24"/>
  <c r="AQ138" i="24"/>
  <c r="BU138" i="24"/>
  <c r="AX138" i="24"/>
  <c r="BH138" i="24"/>
  <c r="BW138" i="24"/>
  <c r="BA20" i="24"/>
  <c r="AM38" i="25"/>
  <c r="BG38" i="25" s="1"/>
  <c r="AJ38" i="25"/>
  <c r="BA152" i="24"/>
  <c r="AJ171" i="25"/>
  <c r="AM171" i="25"/>
  <c r="AS283" i="24"/>
  <c r="AU283" i="24" s="1"/>
  <c r="BB283" i="24" s="1"/>
  <c r="AQ283" i="24"/>
  <c r="BJ283" i="24"/>
  <c r="AS120" i="24"/>
  <c r="AU120" i="24" s="1"/>
  <c r="BB120" i="24" s="1"/>
  <c r="AQ120" i="24"/>
  <c r="BJ120" i="24"/>
  <c r="AJ134" i="25"/>
  <c r="AM134" i="25"/>
  <c r="BG134" i="25" s="1"/>
  <c r="AX24" i="25"/>
  <c r="AW24" i="25"/>
  <c r="AS16" i="24"/>
  <c r="BJ16" i="24"/>
  <c r="AQ16" i="24"/>
  <c r="AX16" i="24"/>
  <c r="BH16" i="24"/>
  <c r="BW16" i="24"/>
  <c r="AS36" i="24"/>
  <c r="BJ36" i="24"/>
  <c r="AQ36" i="24"/>
  <c r="BH36" i="24"/>
  <c r="BW36" i="24"/>
  <c r="AX36" i="24"/>
  <c r="AX72" i="25"/>
  <c r="AW72" i="25"/>
  <c r="AS269" i="24"/>
  <c r="AU269" i="24" s="1"/>
  <c r="BB269" i="24" s="1"/>
  <c r="AQ269" i="24"/>
  <c r="BJ269" i="24"/>
  <c r="AS28" i="24"/>
  <c r="AU28" i="24" s="1"/>
  <c r="BB28" i="24" s="1"/>
  <c r="BJ28" i="24"/>
  <c r="AQ28" i="24"/>
  <c r="AJ142" i="25"/>
  <c r="AM142" i="25"/>
  <c r="BG142" i="25" s="1"/>
  <c r="AX126" i="25"/>
  <c r="AW126" i="25"/>
  <c r="AX51" i="25"/>
  <c r="AW51" i="25"/>
  <c r="BL309" i="24"/>
  <c r="AS309" i="24"/>
  <c r="BJ309" i="24"/>
  <c r="AQ309" i="24"/>
  <c r="AX309" i="24"/>
  <c r="BH309" i="24"/>
  <c r="BU309" i="24"/>
  <c r="BW309" i="24"/>
  <c r="AX27" i="25"/>
  <c r="AW27" i="25"/>
  <c r="AS88" i="24"/>
  <c r="AQ88" i="24"/>
  <c r="BJ88" i="24"/>
  <c r="BW88" i="24"/>
  <c r="AX88" i="24"/>
  <c r="BH88" i="24"/>
  <c r="AX35" i="25"/>
  <c r="AW35" i="25"/>
  <c r="AS180" i="24"/>
  <c r="BJ180" i="24"/>
  <c r="AQ180" i="24"/>
  <c r="BW180" i="24"/>
  <c r="BU180" i="24"/>
  <c r="AX180" i="24"/>
  <c r="BH180" i="24"/>
  <c r="AU7" i="24"/>
  <c r="BB7" i="24" s="1"/>
  <c r="AW7" i="24"/>
  <c r="AM139" i="25"/>
  <c r="BG139" i="25" s="1"/>
  <c r="AJ139" i="25"/>
  <c r="AS259" i="24"/>
  <c r="AU259" i="24" s="1"/>
  <c r="BB259" i="24" s="1"/>
  <c r="BJ259" i="24"/>
  <c r="AQ259" i="24"/>
  <c r="AX56" i="25"/>
  <c r="AW56" i="25"/>
  <c r="AJ84" i="25"/>
  <c r="AM84" i="25"/>
  <c r="BG84" i="25" s="1"/>
  <c r="AU160" i="24"/>
  <c r="BB160" i="24" s="1"/>
  <c r="AW160" i="24"/>
  <c r="AJ76" i="25"/>
  <c r="AM76" i="25"/>
  <c r="BG76" i="25" s="1"/>
  <c r="AJ278" i="25"/>
  <c r="AM278" i="25"/>
  <c r="BG278" i="25" s="1"/>
  <c r="BH28" i="24"/>
  <c r="AS293" i="24"/>
  <c r="BL293" i="24"/>
  <c r="BJ293" i="24"/>
  <c r="AQ293" i="24"/>
  <c r="BH293" i="24"/>
  <c r="BU293" i="24"/>
  <c r="BW293" i="24"/>
  <c r="AX293" i="24"/>
  <c r="AJ268" i="25"/>
  <c r="AM268" i="25"/>
  <c r="AS184" i="24"/>
  <c r="BL184" i="24"/>
  <c r="BJ184" i="24"/>
  <c r="AQ184" i="24"/>
  <c r="AX184" i="24"/>
  <c r="BH184" i="24"/>
  <c r="BU184" i="24"/>
  <c r="BW184" i="24"/>
  <c r="AS133" i="24"/>
  <c r="AU133" i="24" s="1"/>
  <c r="BB133" i="24" s="1"/>
  <c r="AQ133" i="24"/>
  <c r="BJ133" i="24"/>
  <c r="AM315" i="25"/>
  <c r="BG315" i="25" s="1"/>
  <c r="AJ315" i="25"/>
  <c r="AS313" i="24"/>
  <c r="BL313" i="24"/>
  <c r="BJ313" i="24"/>
  <c r="AQ313" i="24"/>
  <c r="BU313" i="24"/>
  <c r="BW313" i="24"/>
  <c r="AX313" i="24"/>
  <c r="BH313" i="24"/>
  <c r="AW16" i="25"/>
  <c r="AX16" i="25"/>
  <c r="BL158" i="24"/>
  <c r="AS158" i="24"/>
  <c r="BJ158" i="24"/>
  <c r="AQ158" i="24"/>
  <c r="AX158" i="24"/>
  <c r="BH158" i="24"/>
  <c r="BU158" i="24"/>
  <c r="BW158" i="24"/>
  <c r="BA48" i="24"/>
  <c r="AM223" i="25"/>
  <c r="AJ223" i="25"/>
  <c r="AS115" i="24"/>
  <c r="BL115" i="24"/>
  <c r="AQ115" i="24"/>
  <c r="BJ115" i="24"/>
  <c r="AX115" i="24"/>
  <c r="BH115" i="24"/>
  <c r="BU115" i="24"/>
  <c r="BW115" i="24"/>
  <c r="BW147" i="24"/>
  <c r="AX117" i="25"/>
  <c r="AW117" i="25"/>
  <c r="BJ167" i="25"/>
  <c r="AR167" i="25"/>
  <c r="AP167" i="25"/>
  <c r="BH167" i="25"/>
  <c r="BW167" i="25"/>
  <c r="BU167" i="25"/>
  <c r="BF167" i="25"/>
  <c r="AS12" i="24"/>
  <c r="AU12" i="24" s="1"/>
  <c r="BB12" i="24" s="1"/>
  <c r="AQ12" i="24"/>
  <c r="BJ12" i="24"/>
  <c r="AR204" i="25"/>
  <c r="BJ204" i="25"/>
  <c r="BH204" i="25"/>
  <c r="BF204" i="25"/>
  <c r="BW204" i="25"/>
  <c r="BU204" i="25"/>
  <c r="AS130" i="24"/>
  <c r="AU130" i="24" s="1"/>
  <c r="BB130" i="24" s="1"/>
  <c r="AQ130" i="24"/>
  <c r="BJ130" i="24"/>
  <c r="AS103" i="24"/>
  <c r="BJ103" i="24"/>
  <c r="AQ103" i="24"/>
  <c r="AX103" i="24"/>
  <c r="BH103" i="24"/>
  <c r="BW103" i="24"/>
  <c r="AJ81" i="25"/>
  <c r="AM81" i="25"/>
  <c r="AS228" i="24"/>
  <c r="AU228" i="24" s="1"/>
  <c r="BB228" i="24" s="1"/>
  <c r="BJ228" i="24"/>
  <c r="AQ228" i="24"/>
  <c r="AS35" i="24"/>
  <c r="AU35" i="24" s="1"/>
  <c r="BB35" i="24" s="1"/>
  <c r="BJ35" i="24"/>
  <c r="AQ35" i="24"/>
  <c r="AM25" i="25"/>
  <c r="BG25" i="25" s="1"/>
  <c r="AJ25" i="25"/>
  <c r="AJ285" i="25"/>
  <c r="AM285" i="25"/>
  <c r="BG285" i="25" s="1"/>
  <c r="AM241" i="25"/>
  <c r="BG241" i="25" s="1"/>
  <c r="AJ241" i="25"/>
  <c r="AW188" i="25"/>
  <c r="AX188" i="25"/>
  <c r="BA260" i="24"/>
  <c r="AW209" i="25"/>
  <c r="AX209" i="25"/>
  <c r="AS270" i="24"/>
  <c r="AQ270" i="24"/>
  <c r="BJ270" i="24"/>
  <c r="AX270" i="24"/>
  <c r="BH270" i="24"/>
  <c r="BW270" i="24"/>
  <c r="BU270" i="24"/>
  <c r="BA12" i="24"/>
  <c r="AS145" i="24"/>
  <c r="AU145" i="24" s="1"/>
  <c r="BB145" i="24" s="1"/>
  <c r="BJ145" i="24"/>
  <c r="AQ145" i="24"/>
  <c r="BA273" i="24"/>
  <c r="AM288" i="25"/>
  <c r="BG288" i="25" s="1"/>
  <c r="AJ288" i="25"/>
  <c r="AS123" i="24"/>
  <c r="AU123" i="24" s="1"/>
  <c r="BB123" i="24" s="1"/>
  <c r="BJ123" i="24"/>
  <c r="AQ123" i="24"/>
  <c r="AR273" i="25"/>
  <c r="BJ273" i="25"/>
  <c r="AP273" i="25"/>
  <c r="BH273" i="25"/>
  <c r="BF273" i="25"/>
  <c r="BU273" i="25"/>
  <c r="BW273" i="25"/>
  <c r="AJ299" i="25"/>
  <c r="AM299" i="25"/>
  <c r="BG299" i="25" s="1"/>
  <c r="BU269" i="24"/>
  <c r="AS43" i="24"/>
  <c r="BJ43" i="24"/>
  <c r="AQ43" i="24"/>
  <c r="AX43" i="24"/>
  <c r="BH43" i="24"/>
  <c r="BW43" i="24"/>
  <c r="AW165" i="25"/>
  <c r="AX165" i="25"/>
  <c r="AS47" i="24"/>
  <c r="BJ47" i="24"/>
  <c r="AQ47" i="24"/>
  <c r="AX47" i="24"/>
  <c r="BH47" i="24"/>
  <c r="BW47" i="24"/>
  <c r="AS278" i="24"/>
  <c r="BL278" i="24"/>
  <c r="BJ278" i="24"/>
  <c r="AQ278" i="24"/>
  <c r="BW278" i="24"/>
  <c r="BU278" i="24"/>
  <c r="AX278" i="24"/>
  <c r="BH278" i="24"/>
  <c r="AR29" i="25"/>
  <c r="BJ29" i="25"/>
  <c r="BH29" i="25"/>
  <c r="AP29" i="25"/>
  <c r="BF29" i="25"/>
  <c r="BW29" i="25"/>
  <c r="BU29" i="25"/>
  <c r="AM164" i="25"/>
  <c r="AJ164" i="25"/>
  <c r="AM175" i="25"/>
  <c r="AJ175" i="25"/>
  <c r="AW105" i="25"/>
  <c r="B126" i="2" s="1"/>
  <c r="E33" i="1" s="1"/>
  <c r="AX105" i="25"/>
  <c r="B136" i="2" s="1"/>
  <c r="L33" i="1" s="1"/>
  <c r="BL194" i="24"/>
  <c r="AS194" i="24"/>
  <c r="BJ194" i="24"/>
  <c r="AQ194" i="24"/>
  <c r="AX194" i="24"/>
  <c r="BH194" i="24"/>
  <c r="BW194" i="24"/>
  <c r="BU194" i="24"/>
  <c r="BA271" i="24"/>
  <c r="BA33" i="24"/>
  <c r="BH6" i="24"/>
  <c r="BW6" i="24"/>
  <c r="AJ245" i="25"/>
  <c r="AM245" i="25"/>
  <c r="AJ234" i="25"/>
  <c r="AM234" i="25"/>
  <c r="BG234" i="25" s="1"/>
  <c r="AS202" i="24"/>
  <c r="AQ202" i="24"/>
  <c r="BJ202" i="24"/>
  <c r="BU202" i="24"/>
  <c r="AX202" i="24"/>
  <c r="BH202" i="24"/>
  <c r="BW202" i="24"/>
  <c r="AR206" i="25"/>
  <c r="BJ206" i="25"/>
  <c r="BH206" i="25"/>
  <c r="BF206" i="25"/>
  <c r="BW206" i="25"/>
  <c r="BU206" i="25"/>
  <c r="AM270" i="25"/>
  <c r="AJ270" i="25"/>
  <c r="AS240" i="24"/>
  <c r="AU240" i="24" s="1"/>
  <c r="BB240" i="24" s="1"/>
  <c r="BJ240" i="24"/>
  <c r="AQ240" i="24"/>
  <c r="AM138" i="25"/>
  <c r="AJ138" i="25"/>
  <c r="AS295" i="24"/>
  <c r="AU295" i="24" s="1"/>
  <c r="BB295" i="24" s="1"/>
  <c r="BJ295" i="24"/>
  <c r="AQ295" i="24"/>
  <c r="AS27" i="24"/>
  <c r="BJ27" i="24"/>
  <c r="AQ27" i="24"/>
  <c r="BH27" i="24"/>
  <c r="BW27" i="24"/>
  <c r="AX27" i="24"/>
  <c r="AS54" i="24"/>
  <c r="AU54" i="24" s="1"/>
  <c r="BB54" i="24" s="1"/>
  <c r="BJ54" i="24"/>
  <c r="AQ54" i="24"/>
  <c r="AX7" i="25"/>
  <c r="AW7" i="25"/>
  <c r="AX156" i="25"/>
  <c r="AW156" i="25"/>
  <c r="BA59" i="24"/>
  <c r="AX68" i="25"/>
  <c r="AW68" i="25"/>
  <c r="BL146" i="24"/>
  <c r="AS146" i="24"/>
  <c r="BJ146" i="24"/>
  <c r="AQ146" i="24"/>
  <c r="BW146" i="24"/>
  <c r="AX146" i="24"/>
  <c r="BH146" i="24"/>
  <c r="BU146" i="24"/>
  <c r="AJ287" i="25"/>
  <c r="AM287" i="25"/>
  <c r="BU265" i="24"/>
  <c r="AX135" i="25"/>
  <c r="AW135" i="25"/>
  <c r="AS20" i="24"/>
  <c r="AU20" i="24" s="1"/>
  <c r="BB20" i="24" s="1"/>
  <c r="BJ20" i="24"/>
  <c r="AQ20" i="24"/>
  <c r="AM251" i="25"/>
  <c r="BG251" i="25" s="1"/>
  <c r="AJ251" i="25"/>
  <c r="AM46" i="25"/>
  <c r="BG46" i="25" s="1"/>
  <c r="AJ46" i="25"/>
  <c r="AX111" i="24"/>
  <c r="AW264" i="24"/>
  <c r="AR305" i="25"/>
  <c r="AP305" i="25"/>
  <c r="BH305" i="25"/>
  <c r="BU305" i="25"/>
  <c r="BW305" i="25"/>
  <c r="BF305" i="25"/>
  <c r="AR190" i="25"/>
  <c r="BH190" i="25"/>
  <c r="AP190" i="25"/>
  <c r="BW190" i="25"/>
  <c r="BF190" i="25"/>
  <c r="BU190" i="25"/>
  <c r="AX41" i="25"/>
  <c r="AW41" i="25"/>
  <c r="BA247" i="24"/>
  <c r="AJ312" i="25"/>
  <c r="AM312" i="25"/>
  <c r="BG312" i="25" s="1"/>
  <c r="AX242" i="24"/>
  <c r="AJ99" i="25"/>
  <c r="AM99" i="25"/>
  <c r="AJ120" i="25"/>
  <c r="AM120" i="25"/>
  <c r="BG120" i="25" s="1"/>
  <c r="AS56" i="24"/>
  <c r="AU56" i="24" s="1"/>
  <c r="BB56" i="24" s="1"/>
  <c r="BJ56" i="24"/>
  <c r="AQ56" i="24"/>
  <c r="BU135" i="24"/>
  <c r="AX301" i="24"/>
  <c r="AM230" i="25"/>
  <c r="BG230" i="25" s="1"/>
  <c r="AJ230" i="25"/>
  <c r="AX20" i="25"/>
  <c r="AW20" i="25"/>
  <c r="AS171" i="24"/>
  <c r="BL171" i="24"/>
  <c r="AQ171" i="24"/>
  <c r="BJ171" i="24"/>
  <c r="BH171" i="24"/>
  <c r="BW171" i="24"/>
  <c r="BU171" i="24"/>
  <c r="AX171" i="24"/>
  <c r="AJ137" i="25"/>
  <c r="AM137" i="25"/>
  <c r="BG137" i="25" s="1"/>
  <c r="AR89" i="25"/>
  <c r="AP89" i="25"/>
  <c r="BH89" i="25"/>
  <c r="BF89" i="25"/>
  <c r="BU89" i="25"/>
  <c r="BW89" i="25"/>
  <c r="BL197" i="24"/>
  <c r="AS197" i="24"/>
  <c r="BJ197" i="24"/>
  <c r="AQ197" i="24"/>
  <c r="BH197" i="24"/>
  <c r="BU197" i="24"/>
  <c r="BW197" i="24"/>
  <c r="AX197" i="24"/>
  <c r="AS104" i="24"/>
  <c r="BJ104" i="24"/>
  <c r="AQ104" i="24"/>
  <c r="AX104" i="24"/>
  <c r="BW104" i="24"/>
  <c r="BH104" i="24"/>
  <c r="AS275" i="24"/>
  <c r="AQ275" i="24"/>
  <c r="BJ275" i="24"/>
  <c r="AX275" i="24"/>
  <c r="BH275" i="24"/>
  <c r="BW275" i="24"/>
  <c r="BU275" i="24"/>
  <c r="BH126" i="24"/>
  <c r="BU290" i="24"/>
  <c r="BW145" i="24"/>
  <c r="BA263" i="24"/>
  <c r="AX67" i="25"/>
  <c r="AW67" i="25"/>
  <c r="AM17" i="25"/>
  <c r="BG17" i="25" s="1"/>
  <c r="AJ17" i="25"/>
  <c r="BA282" i="24"/>
  <c r="BA155" i="24"/>
  <c r="AJ236" i="25"/>
  <c r="AM236" i="25"/>
  <c r="BG236" i="25" s="1"/>
  <c r="AX248" i="24"/>
  <c r="AW187" i="25"/>
  <c r="AX187" i="25"/>
  <c r="AS168" i="24"/>
  <c r="AQ168" i="24"/>
  <c r="BJ168" i="24"/>
  <c r="BU168" i="24"/>
  <c r="AX168" i="24"/>
  <c r="BH168" i="24"/>
  <c r="BW168" i="24"/>
  <c r="AM72" i="25"/>
  <c r="AJ72" i="25"/>
  <c r="AJ222" i="25"/>
  <c r="AM222" i="25"/>
  <c r="BG222" i="25" s="1"/>
  <c r="BJ28" i="25"/>
  <c r="AR28" i="25"/>
  <c r="BH28" i="25"/>
  <c r="AP28" i="25"/>
  <c r="BF28" i="25"/>
  <c r="BW28" i="25"/>
  <c r="BU28" i="25"/>
  <c r="AS273" i="24"/>
  <c r="AU273" i="24" s="1"/>
  <c r="BB273" i="24" s="1"/>
  <c r="AQ273" i="24"/>
  <c r="BJ273" i="24"/>
  <c r="AS232" i="24"/>
  <c r="AU232" i="24" s="1"/>
  <c r="BB232" i="24" s="1"/>
  <c r="BJ232" i="24"/>
  <c r="AQ232" i="24"/>
  <c r="AR87" i="25"/>
  <c r="BJ87" i="25"/>
  <c r="BH87" i="25"/>
  <c r="AP87" i="25"/>
  <c r="BF87" i="25"/>
  <c r="BW87" i="25"/>
  <c r="BU87" i="25"/>
  <c r="AS69" i="24"/>
  <c r="BJ69" i="24"/>
  <c r="AQ69" i="24"/>
  <c r="BH69" i="24"/>
  <c r="BW69" i="24"/>
  <c r="AX69" i="24"/>
  <c r="BL131" i="24"/>
  <c r="AS131" i="24"/>
  <c r="BJ131" i="24"/>
  <c r="AQ131" i="24"/>
  <c r="BH131" i="24"/>
  <c r="BW131" i="24"/>
  <c r="BU131" i="24"/>
  <c r="AX131" i="24"/>
  <c r="BL268" i="24"/>
  <c r="AS268" i="24"/>
  <c r="AQ268" i="24"/>
  <c r="BJ268" i="24"/>
  <c r="AX268" i="24"/>
  <c r="BH268" i="24"/>
  <c r="BW268" i="24"/>
  <c r="BU268" i="24"/>
  <c r="AJ64" i="25"/>
  <c r="AM64" i="25"/>
  <c r="BH283" i="24"/>
  <c r="BL159" i="24"/>
  <c r="AS159" i="24"/>
  <c r="AQ159" i="24"/>
  <c r="BJ159" i="24"/>
  <c r="BW159" i="24"/>
  <c r="AX159" i="24"/>
  <c r="BH159" i="24"/>
  <c r="BU159" i="24"/>
  <c r="AX120" i="24"/>
  <c r="BL238" i="24"/>
  <c r="AS238" i="24"/>
  <c r="AU238" i="24" s="1"/>
  <c r="BB238" i="24" s="1"/>
  <c r="AQ238" i="24"/>
  <c r="BJ238" i="24"/>
  <c r="AS129" i="24"/>
  <c r="AU129" i="24" s="1"/>
  <c r="BB129" i="24" s="1"/>
  <c r="AQ129" i="24"/>
  <c r="BJ129" i="24"/>
  <c r="AM56" i="25"/>
  <c r="AJ56" i="25"/>
  <c r="AS267" i="24"/>
  <c r="AU267" i="24" s="1"/>
  <c r="BB267" i="24" s="1"/>
  <c r="AQ267" i="24"/>
  <c r="BJ267" i="24"/>
  <c r="AS206" i="24"/>
  <c r="BJ206" i="24"/>
  <c r="AQ206" i="24"/>
  <c r="BH206" i="24"/>
  <c r="BW206" i="24"/>
  <c r="BU206" i="24"/>
  <c r="AX206" i="24"/>
  <c r="AS280" i="24"/>
  <c r="AU280" i="24" s="1"/>
  <c r="BB280" i="24" s="1"/>
  <c r="BJ280" i="24"/>
  <c r="AQ280" i="24"/>
  <c r="AS302" i="24"/>
  <c r="BJ302" i="24"/>
  <c r="AQ302" i="24"/>
  <c r="BW302" i="24"/>
  <c r="BU302" i="24"/>
  <c r="AX302" i="24"/>
  <c r="BH302" i="24"/>
  <c r="AJ219" i="25"/>
  <c r="AM219" i="25"/>
  <c r="BL14" i="24"/>
  <c r="AS14" i="24"/>
  <c r="BJ14" i="24"/>
  <c r="AQ14" i="24"/>
  <c r="AX14" i="24"/>
  <c r="BH14" i="24"/>
  <c r="BW14" i="24"/>
  <c r="BL245" i="24"/>
  <c r="AS245" i="24"/>
  <c r="AQ245" i="24"/>
  <c r="BJ245" i="24"/>
  <c r="AX245" i="24"/>
  <c r="BH245" i="24"/>
  <c r="BW245" i="24"/>
  <c r="BU245" i="24"/>
  <c r="AJ16" i="25"/>
  <c r="AM16" i="25"/>
  <c r="BG16" i="25" s="1"/>
  <c r="AM302" i="25"/>
  <c r="AJ302" i="25"/>
  <c r="AX28" i="24"/>
  <c r="AX50" i="25"/>
  <c r="AW50" i="25"/>
  <c r="AS24" i="24"/>
  <c r="AU24" i="24" s="1"/>
  <c r="BB24" i="24" s="1"/>
  <c r="BJ24" i="24"/>
  <c r="AQ24" i="24"/>
  <c r="AS186" i="24"/>
  <c r="AQ186" i="24"/>
  <c r="BJ186" i="24"/>
  <c r="BW186" i="24"/>
  <c r="BU186" i="24"/>
  <c r="AX186" i="24"/>
  <c r="BH186" i="24"/>
  <c r="BA114" i="24"/>
  <c r="AM133" i="25"/>
  <c r="BG133" i="25" s="1"/>
  <c r="AJ133" i="25"/>
  <c r="AS173" i="24"/>
  <c r="BJ173" i="24"/>
  <c r="AQ173" i="24"/>
  <c r="BU173" i="24"/>
  <c r="BW173" i="24"/>
  <c r="AX173" i="24"/>
  <c r="BH173" i="24"/>
  <c r="AX130" i="24"/>
  <c r="BH147" i="24"/>
  <c r="BA274" i="24"/>
  <c r="AJ197" i="25"/>
  <c r="AM197" i="25"/>
  <c r="AS285" i="24"/>
  <c r="BL285" i="24"/>
  <c r="AQ285" i="24"/>
  <c r="BJ285" i="24"/>
  <c r="BH285" i="24"/>
  <c r="BU285" i="24"/>
  <c r="BW285" i="24"/>
  <c r="AX285" i="24"/>
  <c r="AS172" i="24"/>
  <c r="BL172" i="24"/>
  <c r="AQ172" i="24"/>
  <c r="BJ172" i="24"/>
  <c r="AX172" i="24"/>
  <c r="BH172" i="24"/>
  <c r="BW172" i="24"/>
  <c r="BU172" i="24"/>
  <c r="BW260" i="24"/>
  <c r="AX98" i="25"/>
  <c r="AW98" i="25"/>
  <c r="AS161" i="24"/>
  <c r="BJ161" i="24"/>
  <c r="AQ161" i="24"/>
  <c r="BH161" i="24"/>
  <c r="BW161" i="24"/>
  <c r="BU161" i="24"/>
  <c r="AX161" i="24"/>
  <c r="AM163" i="25"/>
  <c r="AJ163" i="25"/>
  <c r="AS8" i="24"/>
  <c r="AU8" i="24" s="1"/>
  <c r="BB8" i="24" s="1"/>
  <c r="BJ8" i="24"/>
  <c r="AQ8" i="24"/>
  <c r="AR238" i="25"/>
  <c r="BJ238" i="25"/>
  <c r="AP238" i="25"/>
  <c r="BH238" i="25"/>
  <c r="BU238" i="25"/>
  <c r="BW238" i="25"/>
  <c r="BF238" i="25"/>
  <c r="AS266" i="24"/>
  <c r="AU266" i="24" s="1"/>
  <c r="BB266" i="24" s="1"/>
  <c r="BJ266" i="24"/>
  <c r="AQ266" i="24"/>
  <c r="BW273" i="24"/>
  <c r="AW157" i="25"/>
  <c r="AX157" i="25"/>
  <c r="AR314" i="25"/>
  <c r="BJ314" i="25"/>
  <c r="AP314" i="25"/>
  <c r="BH314" i="25"/>
  <c r="BF314" i="25"/>
  <c r="BU314" i="25"/>
  <c r="BW314" i="25"/>
  <c r="AJ250" i="25"/>
  <c r="AM250" i="25"/>
  <c r="BG250" i="25" s="1"/>
  <c r="BW269" i="24"/>
  <c r="AX296" i="24"/>
  <c r="AJ88" i="25"/>
  <c r="AM88" i="25"/>
  <c r="AX193" i="25"/>
  <c r="AW193" i="25"/>
  <c r="BL117" i="24"/>
  <c r="AS117" i="24"/>
  <c r="AU117" i="24" s="1"/>
  <c r="BB117" i="24" s="1"/>
  <c r="BJ117" i="24"/>
  <c r="AQ117" i="24"/>
  <c r="AX65" i="25"/>
  <c r="AW65" i="25"/>
  <c r="BL286" i="24"/>
  <c r="AS286" i="24"/>
  <c r="AQ286" i="24"/>
  <c r="BJ286" i="24"/>
  <c r="AX286" i="24"/>
  <c r="BH286" i="24"/>
  <c r="BU286" i="24"/>
  <c r="BW286" i="24"/>
  <c r="AJ36" i="25"/>
  <c r="AM36" i="25"/>
  <c r="BG36" i="25" s="1"/>
  <c r="AX163" i="25"/>
  <c r="AW163" i="25"/>
  <c r="AR246" i="25"/>
  <c r="BJ246" i="25"/>
  <c r="AP246" i="25"/>
  <c r="BH246" i="25"/>
  <c r="BF246" i="25"/>
  <c r="BW246" i="25"/>
  <c r="BU246" i="25"/>
  <c r="AS279" i="24"/>
  <c r="AU279" i="24" s="1"/>
  <c r="BB279" i="24" s="1"/>
  <c r="BJ279" i="24"/>
  <c r="AQ279" i="24"/>
  <c r="AS19" i="24"/>
  <c r="AU19" i="24" s="1"/>
  <c r="BB19" i="24" s="1"/>
  <c r="BJ19" i="24"/>
  <c r="AQ19" i="24"/>
  <c r="AJ290" i="25"/>
  <c r="AM290" i="25"/>
  <c r="BG290" i="25" s="1"/>
  <c r="BA117" i="24"/>
  <c r="AW88" i="25"/>
  <c r="AX88" i="25"/>
  <c r="AM226" i="25"/>
  <c r="BG226" i="25" s="1"/>
  <c r="AJ226" i="25"/>
  <c r="AX164" i="25"/>
  <c r="AW164" i="25"/>
  <c r="AX19" i="25"/>
  <c r="AW19" i="25"/>
  <c r="AJ294" i="25"/>
  <c r="AM294" i="25"/>
  <c r="AJ26" i="25"/>
  <c r="AM26" i="25"/>
  <c r="AX8" i="24"/>
  <c r="BH240" i="24"/>
  <c r="AS229" i="24"/>
  <c r="BL229" i="24"/>
  <c r="BJ229" i="24"/>
  <c r="AQ229" i="24"/>
  <c r="BW229" i="24"/>
  <c r="BU229" i="24"/>
  <c r="AX229" i="24"/>
  <c r="BH229" i="24"/>
  <c r="AS288" i="24"/>
  <c r="BL288" i="24"/>
  <c r="BJ288" i="24"/>
  <c r="AQ288" i="24"/>
  <c r="AX288" i="24"/>
  <c r="BH288" i="24"/>
  <c r="BU288" i="24"/>
  <c r="BW288" i="24"/>
  <c r="BW32" i="24"/>
  <c r="AW208" i="25"/>
  <c r="AX208" i="25"/>
  <c r="AJ162" i="25"/>
  <c r="AM162" i="25"/>
  <c r="AS282" i="24"/>
  <c r="AU282" i="24" s="1"/>
  <c r="BB282" i="24" s="1"/>
  <c r="BJ282" i="24"/>
  <c r="AQ282" i="24"/>
  <c r="AS253" i="24"/>
  <c r="AU253" i="24" s="1"/>
  <c r="BB253" i="24" s="1"/>
  <c r="AQ253" i="24"/>
  <c r="BJ253" i="24"/>
  <c r="BA111" i="24"/>
  <c r="AS91" i="24"/>
  <c r="AQ91" i="24"/>
  <c r="BJ91" i="24"/>
  <c r="AX91" i="24"/>
  <c r="BH91" i="24"/>
  <c r="BW91" i="24"/>
  <c r="AS231" i="24"/>
  <c r="BL231" i="24"/>
  <c r="AQ231" i="24"/>
  <c r="BJ231" i="24"/>
  <c r="BH231" i="24"/>
  <c r="BU231" i="24"/>
  <c r="BW231" i="24"/>
  <c r="AX231" i="24"/>
  <c r="BW305" i="24"/>
  <c r="AX180" i="25"/>
  <c r="AW180" i="25"/>
  <c r="AX100" i="25"/>
  <c r="AW100" i="25"/>
  <c r="AR292" i="25"/>
  <c r="BH292" i="25"/>
  <c r="AP292" i="25"/>
  <c r="BU292" i="25"/>
  <c r="BW292" i="25"/>
  <c r="BF292" i="25"/>
  <c r="AS150" i="24"/>
  <c r="AQ150" i="24"/>
  <c r="BJ150" i="24"/>
  <c r="AX150" i="24"/>
  <c r="BH150" i="24"/>
  <c r="BW150" i="24"/>
  <c r="BU150" i="24"/>
  <c r="AJ289" i="25"/>
  <c r="AM289" i="25"/>
  <c r="BG289" i="25" s="1"/>
  <c r="AS201" i="24"/>
  <c r="BJ201" i="24"/>
  <c r="AQ201" i="24"/>
  <c r="BW201" i="24"/>
  <c r="AX201" i="24"/>
  <c r="BH201" i="24"/>
  <c r="BU201" i="24"/>
  <c r="AS39" i="24"/>
  <c r="BJ39" i="24"/>
  <c r="AQ39" i="24"/>
  <c r="AX39" i="24"/>
  <c r="BH39" i="24"/>
  <c r="BW39" i="24"/>
  <c r="AJ33" i="25"/>
  <c r="AM33" i="25"/>
  <c r="BG33" i="25" s="1"/>
  <c r="AS90" i="24"/>
  <c r="BJ90" i="24"/>
  <c r="AQ90" i="24"/>
  <c r="AX90" i="24"/>
  <c r="BH90" i="24"/>
  <c r="BW90" i="24"/>
  <c r="BA225" i="24"/>
  <c r="AS195" i="24"/>
  <c r="BL195" i="24"/>
  <c r="BJ195" i="24"/>
  <c r="AQ195" i="24"/>
  <c r="BH195" i="24"/>
  <c r="BU195" i="24"/>
  <c r="BW195" i="24"/>
  <c r="AX195" i="24"/>
  <c r="AJ116" i="25"/>
  <c r="AM116" i="25"/>
  <c r="AX295" i="24"/>
  <c r="AJ159" i="25"/>
  <c r="AM159" i="25"/>
  <c r="AS188" i="24"/>
  <c r="BL188" i="24"/>
  <c r="BJ188" i="24"/>
  <c r="AQ188" i="24"/>
  <c r="BH188" i="24"/>
  <c r="BU188" i="24"/>
  <c r="BW188" i="24"/>
  <c r="AX188" i="24"/>
  <c r="BL164" i="24"/>
  <c r="AS164" i="24"/>
  <c r="BJ164" i="24"/>
  <c r="AQ164" i="24"/>
  <c r="AX164" i="24"/>
  <c r="BH164" i="24"/>
  <c r="BW164" i="24"/>
  <c r="BU164" i="24"/>
  <c r="AJ53" i="25"/>
  <c r="AM53" i="25"/>
  <c r="BG53" i="25" s="1"/>
  <c r="AS155" i="24"/>
  <c r="AU155" i="24" s="1"/>
  <c r="BB155" i="24" s="1"/>
  <c r="BJ155" i="24"/>
  <c r="AQ155" i="24"/>
  <c r="AS37" i="24"/>
  <c r="AU37" i="24" s="1"/>
  <c r="BB37" i="24" s="1"/>
  <c r="BJ37" i="24"/>
  <c r="AQ37" i="24"/>
  <c r="BA301" i="24"/>
  <c r="AX121" i="24"/>
  <c r="AX93" i="25"/>
  <c r="AW93" i="25"/>
  <c r="AJ39" i="25"/>
  <c r="AM39" i="25"/>
  <c r="BG39" i="25" s="1"/>
  <c r="AR6" i="25"/>
  <c r="BH6" i="25"/>
  <c r="AP6" i="25"/>
  <c r="BF6" i="25"/>
  <c r="BW6" i="25"/>
  <c r="BU6" i="25"/>
  <c r="AX33" i="25"/>
  <c r="AW33" i="25"/>
  <c r="AX279" i="24"/>
  <c r="AM123" i="25"/>
  <c r="BG123" i="25" s="1"/>
  <c r="AJ123" i="25"/>
  <c r="BA17" i="24"/>
  <c r="AS316" i="24"/>
  <c r="BL316" i="24"/>
  <c r="BJ316" i="24"/>
  <c r="AQ316" i="24"/>
  <c r="AX316" i="24"/>
  <c r="BH316" i="24"/>
  <c r="BW316" i="24"/>
  <c r="BU316" i="24"/>
  <c r="AS199" i="24"/>
  <c r="AQ199" i="24"/>
  <c r="BJ199" i="24"/>
  <c r="AX199" i="24"/>
  <c r="BH199" i="24"/>
  <c r="BW199" i="24"/>
  <c r="BU199" i="24"/>
  <c r="BU282" i="24"/>
  <c r="AW142" i="24"/>
  <c r="AJ10" i="25"/>
  <c r="AM10" i="25"/>
  <c r="BA248" i="24"/>
  <c r="BH232" i="24"/>
  <c r="AS48" i="24"/>
  <c r="AU48" i="24" s="1"/>
  <c r="BB48" i="24" s="1"/>
  <c r="BJ48" i="24"/>
  <c r="AQ48" i="24"/>
  <c r="AJ40" i="25"/>
  <c r="AM40" i="25"/>
  <c r="BG40" i="25" s="1"/>
  <c r="AS154" i="24"/>
  <c r="BL154" i="24"/>
  <c r="BJ154" i="24"/>
  <c r="AQ154" i="24"/>
  <c r="AX154" i="24"/>
  <c r="BH154" i="24"/>
  <c r="BW154" i="24"/>
  <c r="BU154" i="24"/>
  <c r="AX79" i="25"/>
  <c r="AW79" i="25"/>
  <c r="AS204" i="24"/>
  <c r="BJ204" i="24"/>
  <c r="AQ204" i="24"/>
  <c r="AX204" i="24"/>
  <c r="BH204" i="24"/>
  <c r="BU204" i="24"/>
  <c r="BW204" i="24"/>
  <c r="BA259" i="24"/>
  <c r="AS277" i="24"/>
  <c r="BJ277" i="24"/>
  <c r="AQ277" i="24"/>
  <c r="AX277" i="24"/>
  <c r="BH277" i="24"/>
  <c r="BU277" i="24"/>
  <c r="BW277" i="24"/>
  <c r="AM27" i="25"/>
  <c r="AJ27" i="25"/>
  <c r="AU190" i="24"/>
  <c r="BB190" i="24" s="1"/>
  <c r="AW190" i="24"/>
  <c r="AW17" i="25"/>
  <c r="AX17" i="25"/>
  <c r="AS59" i="24"/>
  <c r="AU59" i="24" s="1"/>
  <c r="BB59" i="24" s="1"/>
  <c r="BJ59" i="24"/>
  <c r="AQ59" i="24"/>
  <c r="AJ149" i="25"/>
  <c r="AM149" i="25"/>
  <c r="BG149" i="25" s="1"/>
  <c r="AM153" i="25"/>
  <c r="AJ153" i="25"/>
  <c r="AJ182" i="25"/>
  <c r="AM182" i="25"/>
  <c r="AR147" i="25"/>
  <c r="AP147" i="25"/>
  <c r="BH147" i="25"/>
  <c r="BW147" i="25"/>
  <c r="BU147" i="25"/>
  <c r="BF147" i="25"/>
  <c r="AW23" i="25"/>
  <c r="AX23" i="25"/>
  <c r="AM233" i="25"/>
  <c r="BG233" i="25" s="1"/>
  <c r="AJ233" i="25"/>
  <c r="AS166" i="24"/>
  <c r="AQ166" i="24"/>
  <c r="BJ166" i="24"/>
  <c r="BW166" i="24"/>
  <c r="BU166" i="24"/>
  <c r="AX166" i="24"/>
  <c r="BH166" i="24"/>
  <c r="AS84" i="24"/>
  <c r="AQ84" i="24"/>
  <c r="BJ84" i="24"/>
  <c r="BW84" i="24"/>
  <c r="AX84" i="24"/>
  <c r="BH84" i="24"/>
  <c r="AM117" i="25"/>
  <c r="AJ117" i="25"/>
  <c r="AM69" i="25"/>
  <c r="BG69" i="25" s="1"/>
  <c r="AJ69" i="25"/>
  <c r="AW134" i="25"/>
  <c r="AX134" i="25"/>
  <c r="AJ271" i="25"/>
  <c r="AM271" i="25"/>
  <c r="BG271" i="25" s="1"/>
  <c r="BJ232" i="25"/>
  <c r="AR232" i="25"/>
  <c r="AP232" i="25"/>
  <c r="BH232" i="25"/>
  <c r="BF232" i="25"/>
  <c r="BW232" i="25"/>
  <c r="BU232" i="25"/>
  <c r="AS49" i="24"/>
  <c r="BJ49" i="24"/>
  <c r="AQ49" i="24"/>
  <c r="AX49" i="24"/>
  <c r="BH49" i="24"/>
  <c r="BW49" i="24"/>
  <c r="AM119" i="25"/>
  <c r="BG119" i="25" s="1"/>
  <c r="AJ119" i="25"/>
  <c r="AJ150" i="25"/>
  <c r="AM150" i="25"/>
  <c r="BG150" i="25" s="1"/>
  <c r="AU294" i="24"/>
  <c r="BB294" i="24" s="1"/>
  <c r="AW294" i="24"/>
  <c r="BA219" i="24"/>
  <c r="AX194" i="25"/>
  <c r="AW194" i="25"/>
  <c r="AX103" i="25"/>
  <c r="AW103" i="25"/>
  <c r="AX139" i="25"/>
  <c r="AW139" i="25"/>
  <c r="BA130" i="24"/>
  <c r="AX147" i="24"/>
  <c r="AS34" i="24"/>
  <c r="AU34" i="24" s="1"/>
  <c r="BB34" i="24" s="1"/>
  <c r="BJ34" i="24"/>
  <c r="AQ34" i="24"/>
  <c r="BA249" i="24"/>
  <c r="AM85" i="25"/>
  <c r="BG85" i="25" s="1"/>
  <c r="AJ85" i="25"/>
  <c r="AR161" i="25"/>
  <c r="BH161" i="25"/>
  <c r="AP161" i="25"/>
  <c r="BF161" i="25"/>
  <c r="BW161" i="25"/>
  <c r="BU161" i="25"/>
  <c r="AU162" i="24"/>
  <c r="BB162" i="24" s="1"/>
  <c r="AW162" i="24"/>
  <c r="AS52" i="24"/>
  <c r="AQ52" i="24"/>
  <c r="BJ52" i="24"/>
  <c r="AX52" i="24"/>
  <c r="BH52" i="24"/>
  <c r="BW52" i="24"/>
  <c r="BU260" i="24"/>
  <c r="AM210" i="25"/>
  <c r="BG210" i="25" s="1"/>
  <c r="AJ210" i="25"/>
  <c r="AS80" i="24"/>
  <c r="BJ80" i="24"/>
  <c r="AQ80" i="24"/>
  <c r="BW80" i="24"/>
  <c r="AX80" i="24"/>
  <c r="BH80" i="24"/>
  <c r="AT129" i="25"/>
  <c r="AY129" i="25" s="1"/>
  <c r="AU129" i="25"/>
  <c r="BA296" i="24"/>
  <c r="AM313" i="25"/>
  <c r="AJ313" i="25"/>
  <c r="AR94" i="25"/>
  <c r="BJ94" i="25"/>
  <c r="BH94" i="25"/>
  <c r="AP94" i="25"/>
  <c r="BU94" i="25"/>
  <c r="BF94" i="25"/>
  <c r="BW94" i="25"/>
  <c r="AX197" i="25"/>
  <c r="AW197" i="25"/>
  <c r="AJ301" i="25"/>
  <c r="AM301" i="25"/>
  <c r="BG301" i="25" s="1"/>
  <c r="AW145" i="25"/>
  <c r="AX145" i="25"/>
  <c r="AJ284" i="25"/>
  <c r="AM284" i="25"/>
  <c r="BJ262" i="25"/>
  <c r="AR262" i="25"/>
  <c r="BH262" i="25"/>
  <c r="AP262" i="25"/>
  <c r="BW262" i="25"/>
  <c r="BU262" i="25"/>
  <c r="BF262" i="25"/>
  <c r="AX238" i="24"/>
  <c r="AJ169" i="25"/>
  <c r="AM169" i="25"/>
  <c r="AS263" i="24"/>
  <c r="AU263" i="24" s="1"/>
  <c r="BB263" i="24" s="1"/>
  <c r="BJ263" i="24"/>
  <c r="AQ263" i="24"/>
  <c r="BJ276" i="25"/>
  <c r="AR276" i="25"/>
  <c r="BH276" i="25"/>
  <c r="AP276" i="25"/>
  <c r="BW276" i="25"/>
  <c r="BU276" i="25"/>
  <c r="BF276" i="25"/>
  <c r="AJ295" i="25"/>
  <c r="AM295" i="25"/>
  <c r="BH133" i="24"/>
  <c r="AU191" i="24"/>
  <c r="BB191" i="24" s="1"/>
  <c r="AW191" i="24"/>
  <c r="AS38" i="24"/>
  <c r="BJ38" i="24"/>
  <c r="AQ38" i="24"/>
  <c r="AX38" i="24"/>
  <c r="BW38" i="24"/>
  <c r="BH38" i="24"/>
  <c r="AR114" i="25"/>
  <c r="BJ114" i="25"/>
  <c r="BH114" i="25"/>
  <c r="AP114" i="25"/>
  <c r="BW114" i="25"/>
  <c r="BU114" i="25"/>
  <c r="BF114" i="25"/>
  <c r="AW236" i="24"/>
  <c r="AR113" i="25"/>
  <c r="AP113" i="25"/>
  <c r="BH113" i="25"/>
  <c r="BF113" i="25"/>
  <c r="BW113" i="25"/>
  <c r="BU113" i="25"/>
  <c r="AM41" i="25"/>
  <c r="BG41" i="25" s="1"/>
  <c r="AJ41" i="25"/>
  <c r="BH8" i="24"/>
  <c r="AW22" i="24"/>
  <c r="BH266" i="24"/>
  <c r="BH265" i="24"/>
  <c r="AX181" i="25"/>
  <c r="AW181" i="25"/>
  <c r="AJ277" i="25"/>
  <c r="AM277" i="25"/>
  <c r="BG277" i="25" s="1"/>
  <c r="AX44" i="25"/>
  <c r="AW44" i="25"/>
  <c r="BU305" i="24"/>
  <c r="AW86" i="25"/>
  <c r="AX86" i="25"/>
  <c r="AJ121" i="25"/>
  <c r="AM121" i="25"/>
  <c r="BU247" i="24"/>
  <c r="AW60" i="25"/>
  <c r="AX60" i="25"/>
  <c r="AS112" i="24"/>
  <c r="AU112" i="24" s="1"/>
  <c r="BB112" i="24" s="1"/>
  <c r="AQ112" i="24"/>
  <c r="BJ112" i="24"/>
  <c r="AM67" i="25"/>
  <c r="BG67" i="25" s="1"/>
  <c r="AJ67" i="25"/>
  <c r="AX91" i="25"/>
  <c r="AW91" i="25"/>
  <c r="AS105" i="24"/>
  <c r="BJ105" i="24"/>
  <c r="AQ105" i="24"/>
  <c r="AX105" i="24"/>
  <c r="BH105" i="24"/>
  <c r="BW105" i="24"/>
  <c r="BW242" i="24"/>
  <c r="BA295" i="24"/>
  <c r="AJ12" i="25"/>
  <c r="AM12" i="25"/>
  <c r="BG12" i="25" s="1"/>
  <c r="AR32" i="25"/>
  <c r="BJ32" i="25"/>
  <c r="AP32" i="25"/>
  <c r="BH32" i="25"/>
  <c r="BW32" i="25"/>
  <c r="BU32" i="25"/>
  <c r="BF32" i="25"/>
  <c r="AS209" i="24"/>
  <c r="BJ209" i="24"/>
  <c r="AQ209" i="24"/>
  <c r="AX209" i="24"/>
  <c r="BH209" i="24"/>
  <c r="BU209" i="24"/>
  <c r="BW209" i="24"/>
  <c r="BW301" i="24"/>
  <c r="BA121" i="24"/>
  <c r="AM191" i="25"/>
  <c r="AJ191" i="25"/>
  <c r="AJ195" i="25"/>
  <c r="AM195" i="25"/>
  <c r="BL276" i="24"/>
  <c r="AS276" i="24"/>
  <c r="AQ276" i="24"/>
  <c r="BJ276" i="24"/>
  <c r="BU276" i="24"/>
  <c r="BW276" i="24"/>
  <c r="AX276" i="24"/>
  <c r="BH276" i="24"/>
  <c r="AR174" i="25"/>
  <c r="AP174" i="25"/>
  <c r="BH174" i="25"/>
  <c r="BW174" i="25"/>
  <c r="BU174" i="25"/>
  <c r="BF174" i="25"/>
  <c r="BU145" i="24"/>
  <c r="AW132" i="24"/>
  <c r="BW263" i="24"/>
  <c r="BH9" i="24"/>
  <c r="BA267" i="24"/>
  <c r="BA253" i="24"/>
  <c r="AX58" i="25"/>
  <c r="AW58" i="25"/>
  <c r="AX232" i="24"/>
  <c r="AS284" i="24"/>
  <c r="AU284" i="24" s="1"/>
  <c r="BB284" i="24" s="1"/>
  <c r="BL284" i="24"/>
  <c r="AQ284" i="24"/>
  <c r="BJ284" i="24"/>
  <c r="AJ152" i="25"/>
  <c r="AM152" i="25"/>
  <c r="AX195" i="25"/>
  <c r="AW195" i="25"/>
  <c r="AR71" i="25"/>
  <c r="BH71" i="25"/>
  <c r="AP71" i="25"/>
  <c r="BF71" i="25"/>
  <c r="BW71" i="25"/>
  <c r="BU71" i="25"/>
  <c r="AJ126" i="25"/>
  <c r="AM126" i="25"/>
  <c r="BG126" i="25" s="1"/>
  <c r="AM78" i="25"/>
  <c r="BG78" i="25" s="1"/>
  <c r="AJ78" i="25"/>
  <c r="AW200" i="25"/>
  <c r="AX200" i="25"/>
  <c r="AX123" i="25"/>
  <c r="AW123" i="25"/>
  <c r="BA18" i="24"/>
  <c r="AS92" i="24"/>
  <c r="BJ92" i="24"/>
  <c r="AQ92" i="24"/>
  <c r="BH92" i="24"/>
  <c r="BW92" i="24"/>
  <c r="AX92" i="24"/>
  <c r="BA120" i="24"/>
  <c r="BL314" i="24"/>
  <c r="AS314" i="24"/>
  <c r="AQ314" i="24"/>
  <c r="BJ314" i="24"/>
  <c r="BH314" i="24"/>
  <c r="BW314" i="24"/>
  <c r="BU314" i="24"/>
  <c r="AX314" i="24"/>
  <c r="AS237" i="24"/>
  <c r="AU237" i="24" s="1"/>
  <c r="BB237" i="24" s="1"/>
  <c r="BJ237" i="24"/>
  <c r="AQ237" i="24"/>
  <c r="AM22" i="25"/>
  <c r="AJ22" i="25"/>
  <c r="AS32" i="24"/>
  <c r="AU32" i="24" s="1"/>
  <c r="BB32" i="24" s="1"/>
  <c r="AQ32" i="24"/>
  <c r="BJ32" i="24"/>
  <c r="AS66" i="24"/>
  <c r="BL66" i="24"/>
  <c r="AQ66" i="24"/>
  <c r="BJ66" i="24"/>
  <c r="BW66" i="24"/>
  <c r="AX66" i="24"/>
  <c r="BH66" i="24"/>
  <c r="BA298" i="24"/>
  <c r="AJ115" i="25"/>
  <c r="AM115" i="25"/>
  <c r="AR198" i="25"/>
  <c r="BJ198" i="25"/>
  <c r="BH198" i="25"/>
  <c r="BF198" i="25"/>
  <c r="BW198" i="25"/>
  <c r="BU198" i="25"/>
  <c r="AW75" i="25"/>
  <c r="AX75" i="25"/>
  <c r="AS178" i="24"/>
  <c r="AQ178" i="24"/>
  <c r="BJ178" i="24"/>
  <c r="BW178" i="24"/>
  <c r="BU178" i="24"/>
  <c r="AX178" i="24"/>
  <c r="BH178" i="24"/>
  <c r="AS53" i="24"/>
  <c r="AQ53" i="24"/>
  <c r="BJ53" i="24"/>
  <c r="AX53" i="24"/>
  <c r="BH53" i="24"/>
  <c r="BW53" i="24"/>
  <c r="AS65" i="24"/>
  <c r="AQ65" i="24"/>
  <c r="BJ65" i="24"/>
  <c r="BW65" i="24"/>
  <c r="AX65" i="24"/>
  <c r="BH65" i="24"/>
  <c r="AS77" i="24"/>
  <c r="BJ77" i="24"/>
  <c r="AQ77" i="24"/>
  <c r="AX77" i="24"/>
  <c r="BW77" i="24"/>
  <c r="BH77" i="24"/>
  <c r="AX237" i="24"/>
  <c r="AJ160" i="25"/>
  <c r="AM160" i="25"/>
  <c r="AX172" i="25"/>
  <c r="AW172" i="25"/>
  <c r="AS85" i="24"/>
  <c r="BJ85" i="24"/>
  <c r="AQ85" i="24"/>
  <c r="AX85" i="24"/>
  <c r="BW85" i="24"/>
  <c r="BH85" i="24"/>
  <c r="AS291" i="24"/>
  <c r="BL291" i="24"/>
  <c r="BJ291" i="24"/>
  <c r="AQ291" i="24"/>
  <c r="BU291" i="24"/>
  <c r="BW291" i="24"/>
  <c r="AX291" i="24"/>
  <c r="BH291" i="24"/>
  <c r="AJ303" i="25"/>
  <c r="AM303" i="25"/>
  <c r="AS114" i="24"/>
  <c r="AU114" i="24" s="1"/>
  <c r="BB114" i="24" s="1"/>
  <c r="BJ114" i="24"/>
  <c r="AQ114" i="24"/>
  <c r="AJ83" i="25"/>
  <c r="AM83" i="25"/>
  <c r="BG83" i="25" s="1"/>
  <c r="BA28" i="24"/>
  <c r="AS87" i="24"/>
  <c r="AQ87" i="24"/>
  <c r="BJ87" i="24"/>
  <c r="BH87" i="24"/>
  <c r="BW87" i="24"/>
  <c r="AX87" i="24"/>
  <c r="AM260" i="25"/>
  <c r="BG260" i="25" s="1"/>
  <c r="AJ260" i="25"/>
  <c r="AS148" i="24"/>
  <c r="AU148" i="24" s="1"/>
  <c r="BB148" i="24" s="1"/>
  <c r="BJ148" i="24"/>
  <c r="AQ148" i="24"/>
  <c r="AS163" i="24"/>
  <c r="AQ163" i="24"/>
  <c r="BJ163" i="24"/>
  <c r="AX163" i="24"/>
  <c r="BH163" i="24"/>
  <c r="BU163" i="24"/>
  <c r="BW163" i="24"/>
  <c r="AS308" i="24"/>
  <c r="BL308" i="24"/>
  <c r="BJ308" i="24"/>
  <c r="AQ308" i="24"/>
  <c r="BU308" i="24"/>
  <c r="AX308" i="24"/>
  <c r="BH308" i="24"/>
  <c r="BW308" i="24"/>
  <c r="AS304" i="24"/>
  <c r="BJ304" i="24"/>
  <c r="AQ304" i="24"/>
  <c r="AX304" i="24"/>
  <c r="BH304" i="24"/>
  <c r="BU304" i="24"/>
  <c r="BW304" i="24"/>
  <c r="AX160" i="25"/>
  <c r="AW160" i="25"/>
  <c r="BL140" i="24"/>
  <c r="AS140" i="24"/>
  <c r="BJ140" i="24"/>
  <c r="AQ140" i="24"/>
  <c r="BU140" i="24"/>
  <c r="BW140" i="24"/>
  <c r="AX140" i="24"/>
  <c r="BH140" i="24"/>
  <c r="BW114" i="24"/>
  <c r="BL136" i="24"/>
  <c r="AS136" i="24"/>
  <c r="BJ136" i="24"/>
  <c r="AQ136" i="24"/>
  <c r="BW136" i="24"/>
  <c r="BU136" i="24"/>
  <c r="AX136" i="24"/>
  <c r="BH136" i="24"/>
  <c r="AS222" i="24"/>
  <c r="BL222" i="24"/>
  <c r="AQ222" i="24"/>
  <c r="BJ222" i="24"/>
  <c r="BW222" i="24"/>
  <c r="BU222" i="24"/>
  <c r="AX222" i="24"/>
  <c r="BH222" i="24"/>
  <c r="AX84" i="25"/>
  <c r="AW84" i="25"/>
  <c r="AS9" i="24"/>
  <c r="AU9" i="24" s="1"/>
  <c r="BB9" i="24" s="1"/>
  <c r="BJ9" i="24"/>
  <c r="AQ9" i="24"/>
  <c r="AJ112" i="25"/>
  <c r="AM112" i="25"/>
  <c r="AS100" i="24"/>
  <c r="BJ100" i="24"/>
  <c r="AQ100" i="24"/>
  <c r="AX100" i="24"/>
  <c r="BW100" i="24"/>
  <c r="BH100" i="24"/>
  <c r="AS99" i="24"/>
  <c r="AQ99" i="24"/>
  <c r="BJ99" i="24"/>
  <c r="BH99" i="24"/>
  <c r="BW99" i="24"/>
  <c r="AX99" i="24"/>
  <c r="AS71" i="24"/>
  <c r="BJ71" i="24"/>
  <c r="AQ71" i="24"/>
  <c r="AX71" i="24"/>
  <c r="BH71" i="24"/>
  <c r="BW71" i="24"/>
  <c r="BL134" i="24"/>
  <c r="AS134" i="24"/>
  <c r="BJ134" i="24"/>
  <c r="AQ134" i="24"/>
  <c r="AX134" i="24"/>
  <c r="BH134" i="24"/>
  <c r="BW134" i="24"/>
  <c r="BU134" i="24"/>
  <c r="AX119" i="25"/>
  <c r="AW119" i="25"/>
  <c r="AJ65" i="25"/>
  <c r="AM65" i="25"/>
  <c r="AS258" i="24"/>
  <c r="AU258" i="24" s="1"/>
  <c r="BB258" i="24" s="1"/>
  <c r="AQ258" i="24"/>
  <c r="BJ258" i="24"/>
  <c r="BL122" i="24"/>
  <c r="AS122" i="24"/>
  <c r="BJ122" i="24"/>
  <c r="AQ122" i="24"/>
  <c r="AX122" i="24"/>
  <c r="BH122" i="24"/>
  <c r="BW122" i="24"/>
  <c r="BU122" i="24"/>
  <c r="AJ252" i="25"/>
  <c r="AM252" i="25"/>
  <c r="BG252" i="25" s="1"/>
  <c r="BJ95" i="25"/>
  <c r="AR95" i="25"/>
  <c r="BH95" i="25"/>
  <c r="AP95" i="25"/>
  <c r="BF95" i="25"/>
  <c r="BU95" i="25"/>
  <c r="BW95" i="25"/>
  <c r="AM144" i="25"/>
  <c r="BG144" i="25" s="1"/>
  <c r="AJ144" i="25"/>
  <c r="BL181" i="24"/>
  <c r="AS181" i="24"/>
  <c r="AQ181" i="24"/>
  <c r="BJ181" i="24"/>
  <c r="AX181" i="24"/>
  <c r="BH181" i="24"/>
  <c r="BW181" i="24"/>
  <c r="BU181" i="24"/>
  <c r="BU273" i="24"/>
  <c r="AJ249" i="25"/>
  <c r="AM249" i="25"/>
  <c r="BG249" i="25" s="1"/>
  <c r="AM176" i="25"/>
  <c r="AJ176" i="25"/>
  <c r="AJ218" i="25"/>
  <c r="AM218" i="25"/>
  <c r="BH269" i="24"/>
  <c r="AX85" i="25"/>
  <c r="AW85" i="25"/>
  <c r="AR82" i="25"/>
  <c r="AP82" i="25"/>
  <c r="BH82" i="25"/>
  <c r="BF82" i="25"/>
  <c r="BU82" i="25"/>
  <c r="BW82" i="25"/>
  <c r="AS51" i="24"/>
  <c r="AU51" i="24" s="1"/>
  <c r="BB51" i="24" s="1"/>
  <c r="BJ51" i="24"/>
  <c r="AQ51" i="24"/>
  <c r="AX25" i="25"/>
  <c r="AW25" i="25"/>
  <c r="AS311" i="24"/>
  <c r="BL311" i="24"/>
  <c r="BJ311" i="24"/>
  <c r="AQ311" i="24"/>
  <c r="AX311" i="24"/>
  <c r="BH311" i="24"/>
  <c r="BU311" i="24"/>
  <c r="BW311" i="24"/>
  <c r="AS239" i="24"/>
  <c r="BL239" i="24"/>
  <c r="BJ239" i="24"/>
  <c r="AQ239" i="24"/>
  <c r="AX239" i="24"/>
  <c r="BH239" i="24"/>
  <c r="BW239" i="24"/>
  <c r="BU239" i="24"/>
  <c r="BA238" i="24"/>
  <c r="BA6" i="24"/>
  <c r="AX34" i="24"/>
  <c r="AM231" i="25"/>
  <c r="BG231" i="25" s="1"/>
  <c r="AJ231" i="25"/>
  <c r="AJ132" i="25"/>
  <c r="AM132" i="25"/>
  <c r="BL290" i="24"/>
  <c r="AS290" i="24"/>
  <c r="AU290" i="24" s="1"/>
  <c r="BB290" i="24" s="1"/>
  <c r="BJ290" i="24"/>
  <c r="AQ290" i="24"/>
  <c r="AM18" i="25"/>
  <c r="BG18" i="25" s="1"/>
  <c r="AJ18" i="25"/>
  <c r="AM37" i="25"/>
  <c r="BG37" i="25" s="1"/>
  <c r="AJ37" i="25"/>
  <c r="AM235" i="25"/>
  <c r="AJ235" i="25"/>
  <c r="AS13" i="24"/>
  <c r="BJ13" i="24"/>
  <c r="AQ13" i="24"/>
  <c r="AX13" i="24"/>
  <c r="BH13" i="24"/>
  <c r="BW13" i="24"/>
  <c r="AJ100" i="25"/>
  <c r="AM100" i="25"/>
  <c r="BW59" i="24"/>
  <c r="AS70" i="24"/>
  <c r="BJ70" i="24"/>
  <c r="AQ70" i="24"/>
  <c r="BW70" i="24"/>
  <c r="AX70" i="24"/>
  <c r="BH70" i="24"/>
  <c r="AX240" i="24"/>
  <c r="AM227" i="25"/>
  <c r="BG227" i="25" s="1"/>
  <c r="AJ227" i="25"/>
  <c r="AX265" i="24"/>
  <c r="AX32" i="24"/>
  <c r="BL113" i="24"/>
  <c r="AS113" i="24"/>
  <c r="BJ113" i="24"/>
  <c r="AQ113" i="24"/>
  <c r="BH113" i="24"/>
  <c r="BW113" i="24"/>
  <c r="BU113" i="24"/>
  <c r="AX113" i="24"/>
  <c r="AM54" i="25"/>
  <c r="BG54" i="25" s="1"/>
  <c r="AJ54" i="25"/>
  <c r="AR31" i="25"/>
  <c r="BJ31" i="25"/>
  <c r="AP31" i="25"/>
  <c r="BH31" i="25"/>
  <c r="BF31" i="25"/>
  <c r="BW31" i="25"/>
  <c r="BU31" i="25"/>
  <c r="BU111" i="24"/>
  <c r="AR291" i="25"/>
  <c r="BJ291" i="25"/>
  <c r="BH291" i="25"/>
  <c r="AP291" i="25"/>
  <c r="BF291" i="25"/>
  <c r="BU291" i="25"/>
  <c r="BW291" i="25"/>
  <c r="AR62" i="25"/>
  <c r="AP62" i="25"/>
  <c r="BH62" i="25"/>
  <c r="BW62" i="25"/>
  <c r="BU62" i="25"/>
  <c r="BF62" i="25"/>
  <c r="AJ93" i="25"/>
  <c r="AM93" i="25"/>
  <c r="BG93" i="25" s="1"/>
  <c r="AM9" i="25"/>
  <c r="BG9" i="25" s="1"/>
  <c r="AJ9" i="25"/>
  <c r="BL183" i="24"/>
  <c r="AS183" i="24"/>
  <c r="BJ183" i="24"/>
  <c r="AQ183" i="24"/>
  <c r="BH183" i="24"/>
  <c r="BU183" i="24"/>
  <c r="BW183" i="24"/>
  <c r="AX183" i="24"/>
  <c r="BL218" i="24"/>
  <c r="AS218" i="24"/>
  <c r="AU218" i="24" s="1"/>
  <c r="BB218" i="24" s="1"/>
  <c r="BJ218" i="24"/>
  <c r="AQ218" i="24"/>
  <c r="AM45" i="25"/>
  <c r="AJ45" i="25"/>
  <c r="AM300" i="25"/>
  <c r="AJ300" i="25"/>
  <c r="AS63" i="24"/>
  <c r="BJ63" i="24"/>
  <c r="AQ63" i="24"/>
  <c r="AX63" i="24"/>
  <c r="BH63" i="24"/>
  <c r="BW63" i="24"/>
  <c r="BW247" i="24"/>
  <c r="AS307" i="24"/>
  <c r="AQ307" i="24"/>
  <c r="BJ307" i="24"/>
  <c r="AX307" i="24"/>
  <c r="BH307" i="24"/>
  <c r="BU307" i="24"/>
  <c r="BW307" i="24"/>
  <c r="AR14" i="25"/>
  <c r="BH14" i="25"/>
  <c r="AP14" i="25"/>
  <c r="BW14" i="25"/>
  <c r="BU14" i="25"/>
  <c r="BF14" i="25"/>
  <c r="AS15" i="24"/>
  <c r="BJ15" i="24"/>
  <c r="AQ15" i="24"/>
  <c r="AX15" i="24"/>
  <c r="BH15" i="24"/>
  <c r="BW15" i="24"/>
  <c r="BU242" i="24"/>
  <c r="AJ269" i="25"/>
  <c r="AM269" i="25"/>
  <c r="AX162" i="25"/>
  <c r="AW162" i="25"/>
  <c r="AS61" i="24"/>
  <c r="BL61" i="24"/>
  <c r="AQ61" i="24"/>
  <c r="BJ61" i="24"/>
  <c r="AX61" i="24"/>
  <c r="BW61" i="24"/>
  <c r="BH61" i="24"/>
  <c r="BH135" i="24"/>
  <c r="AX70" i="25"/>
  <c r="AW70" i="25"/>
  <c r="AS79" i="24"/>
  <c r="AQ79" i="24"/>
  <c r="BJ79" i="24"/>
  <c r="BW79" i="24"/>
  <c r="AX79" i="24"/>
  <c r="BH79" i="24"/>
  <c r="AU233" i="24"/>
  <c r="BB233" i="24" s="1"/>
  <c r="AW233" i="24"/>
  <c r="AS220" i="24"/>
  <c r="BL220" i="24"/>
  <c r="BJ220" i="24"/>
  <c r="AQ220" i="24"/>
  <c r="AX220" i="24"/>
  <c r="BH220" i="24"/>
  <c r="BW220" i="24"/>
  <c r="BU220" i="24"/>
  <c r="AJ220" i="25"/>
  <c r="AM220" i="25"/>
  <c r="BG220" i="25" s="1"/>
  <c r="BL230" i="24"/>
  <c r="AS230" i="24"/>
  <c r="BJ230" i="24"/>
  <c r="AQ230" i="24"/>
  <c r="BW230" i="24"/>
  <c r="BU230" i="24"/>
  <c r="AX230" i="24"/>
  <c r="BH230" i="24"/>
  <c r="AJ200" i="25"/>
  <c r="AM200" i="25"/>
  <c r="BG200" i="25" s="1"/>
  <c r="BA279" i="24"/>
  <c r="BA126" i="24"/>
  <c r="AX290" i="24"/>
  <c r="AW116" i="25"/>
  <c r="AX116" i="25"/>
  <c r="BU263" i="24"/>
  <c r="BU267" i="24"/>
  <c r="BU155" i="24"/>
  <c r="AX99" i="25"/>
  <c r="AW99" i="25"/>
  <c r="BW253" i="24"/>
  <c r="AS193" i="24"/>
  <c r="AQ193" i="24"/>
  <c r="BJ193" i="24"/>
  <c r="AX193" i="24"/>
  <c r="BH193" i="24"/>
  <c r="BW193" i="24"/>
  <c r="BU193" i="24"/>
  <c r="AS224" i="24"/>
  <c r="AU224" i="24" s="1"/>
  <c r="BB224" i="24" s="1"/>
  <c r="AQ224" i="24"/>
  <c r="BJ224" i="24"/>
  <c r="AX159" i="25"/>
  <c r="AW159" i="25"/>
  <c r="BW248" i="24"/>
  <c r="AS235" i="24"/>
  <c r="AU235" i="24" s="1"/>
  <c r="BB235" i="24" s="1"/>
  <c r="AQ235" i="24"/>
  <c r="BJ235" i="24"/>
  <c r="AW120" i="25"/>
  <c r="AX120" i="25"/>
  <c r="AS261" i="24"/>
  <c r="AU261" i="24" s="1"/>
  <c r="BB261" i="24" s="1"/>
  <c r="AQ261" i="24"/>
  <c r="BJ261" i="24"/>
  <c r="BJ131" i="25"/>
  <c r="AR131" i="25"/>
  <c r="BH131" i="25"/>
  <c r="AP131" i="25"/>
  <c r="BF131" i="25"/>
  <c r="BW131" i="25"/>
  <c r="BU131" i="25"/>
  <c r="BA258" i="24"/>
  <c r="BA54" i="24"/>
  <c r="BA24" i="24"/>
  <c r="BA280" i="24"/>
  <c r="AW137" i="25"/>
  <c r="AX137" i="25"/>
  <c r="BA128" i="24"/>
  <c r="BA283" i="24"/>
  <c r="AJ55" i="25"/>
  <c r="AM55" i="25"/>
  <c r="AJ217" i="25"/>
  <c r="AM217" i="25"/>
  <c r="BG217" i="25" s="1"/>
  <c r="BA228" i="24"/>
  <c r="AR282" i="25"/>
  <c r="BJ282" i="25"/>
  <c r="AP282" i="25"/>
  <c r="BH282" i="25"/>
  <c r="BF282" i="25"/>
  <c r="BW282" i="25"/>
  <c r="BU282" i="25"/>
  <c r="AS102" i="24"/>
  <c r="BJ102" i="24"/>
  <c r="AQ102" i="24"/>
  <c r="AX102" i="24"/>
  <c r="BW102" i="24"/>
  <c r="BH102" i="24"/>
  <c r="AS249" i="24"/>
  <c r="AU249" i="24" s="1"/>
  <c r="BB249" i="24" s="1"/>
  <c r="BJ249" i="24"/>
  <c r="AQ249" i="24"/>
  <c r="BH280" i="25"/>
  <c r="BW280" i="25"/>
  <c r="AS203" i="24"/>
  <c r="BJ203" i="24"/>
  <c r="AQ203" i="24"/>
  <c r="BU203" i="24"/>
  <c r="BW203" i="24"/>
  <c r="AX203" i="24"/>
  <c r="BH203" i="24"/>
  <c r="AJ8" i="25"/>
  <c r="AM8" i="25"/>
  <c r="BG8" i="25" s="1"/>
  <c r="BA19" i="24"/>
  <c r="AS208" i="24"/>
  <c r="AQ208" i="24"/>
  <c r="BJ208" i="24"/>
  <c r="AX208" i="24"/>
  <c r="BH208" i="24"/>
  <c r="BW208" i="24"/>
  <c r="BU208" i="24"/>
  <c r="AM194" i="25"/>
  <c r="AJ194" i="25"/>
  <c r="BA299" i="24"/>
  <c r="AJ297" i="25"/>
  <c r="AM297" i="25"/>
  <c r="BG297" i="25" s="1"/>
  <c r="AX149" i="25"/>
  <c r="AW149" i="25"/>
  <c r="AM184" i="25"/>
  <c r="AJ184" i="25"/>
  <c r="BA26" i="24"/>
  <c r="AS306" i="24"/>
  <c r="BJ306" i="24"/>
  <c r="AQ306" i="24"/>
  <c r="AX306" i="24"/>
  <c r="BH306" i="24"/>
  <c r="BU306" i="24"/>
  <c r="BW306" i="24"/>
  <c r="BA148" i="24"/>
  <c r="AJ286" i="25"/>
  <c r="AM286" i="25"/>
  <c r="BW28" i="24"/>
  <c r="AS40" i="24"/>
  <c r="BJ40" i="24"/>
  <c r="AQ40" i="24"/>
  <c r="AX40" i="24"/>
  <c r="BH40" i="24"/>
  <c r="BW40" i="24"/>
  <c r="BA112" i="24"/>
  <c r="AX142" i="25"/>
  <c r="AW142" i="25"/>
  <c r="AS250" i="24"/>
  <c r="AQ250" i="24"/>
  <c r="BJ250" i="24"/>
  <c r="BW250" i="24"/>
  <c r="AX250" i="24"/>
  <c r="BH250" i="24"/>
  <c r="BU250" i="24"/>
  <c r="AM209" i="25"/>
  <c r="BG209" i="25" s="1"/>
  <c r="AJ209" i="25"/>
  <c r="AX151" i="25"/>
  <c r="AW151" i="25"/>
  <c r="BA147" i="24"/>
  <c r="AX184" i="25"/>
  <c r="AW184" i="25"/>
  <c r="AX69" i="25"/>
  <c r="AW69" i="25"/>
  <c r="BL225" i="24"/>
  <c r="AS225" i="24"/>
  <c r="AU225" i="24" s="1"/>
  <c r="BB225" i="24" s="1"/>
  <c r="AQ225" i="24"/>
  <c r="BJ225" i="24"/>
  <c r="AR192" i="25"/>
  <c r="AP192" i="25"/>
  <c r="BH192" i="25"/>
  <c r="BF192" i="25"/>
  <c r="BW192" i="25"/>
  <c r="BU192" i="25"/>
  <c r="AU45" i="24"/>
  <c r="BB45" i="24" s="1"/>
  <c r="AW45" i="24"/>
  <c r="BW249" i="24"/>
  <c r="AJ193" i="25"/>
  <c r="AM193" i="25"/>
  <c r="BG193" i="25" s="1"/>
  <c r="AJ128" i="25"/>
  <c r="AM128" i="25"/>
  <c r="BG128" i="25" s="1"/>
  <c r="BL177" i="24"/>
  <c r="AS177" i="24"/>
  <c r="BJ177" i="24"/>
  <c r="AQ177" i="24"/>
  <c r="BH177" i="24"/>
  <c r="BU177" i="24"/>
  <c r="BW177" i="24"/>
  <c r="AX177" i="24"/>
  <c r="AS127" i="24"/>
  <c r="BJ127" i="24"/>
  <c r="AQ127" i="24"/>
  <c r="BW127" i="24"/>
  <c r="BU127" i="24"/>
  <c r="AX127" i="24"/>
  <c r="BH127" i="24"/>
  <c r="AM105" i="25"/>
  <c r="BG105" i="25" s="1"/>
  <c r="AJ105" i="25"/>
  <c r="AJ15" i="25"/>
  <c r="AM15" i="25"/>
  <c r="BG15" i="25" s="1"/>
  <c r="AJ74" i="25"/>
  <c r="AM74" i="25"/>
  <c r="AS210" i="24"/>
  <c r="BJ210" i="24"/>
  <c r="AQ210" i="24"/>
  <c r="BU210" i="24"/>
  <c r="AX210" i="24"/>
  <c r="BH210" i="24"/>
  <c r="BW210" i="24"/>
  <c r="AS42" i="24"/>
  <c r="BJ42" i="24"/>
  <c r="AQ42" i="24"/>
  <c r="AX42" i="24"/>
  <c r="BH42" i="24"/>
  <c r="BW42" i="24"/>
  <c r="BW12" i="24"/>
  <c r="AM80" i="25"/>
  <c r="AJ80" i="25"/>
  <c r="AS6" i="24"/>
  <c r="AU6" i="24" s="1"/>
  <c r="BB6" i="24" s="1"/>
  <c r="BL6" i="24"/>
  <c r="BJ6" i="24"/>
  <c r="AQ6" i="24"/>
  <c r="AS223" i="24"/>
  <c r="BL223" i="24"/>
  <c r="BJ223" i="24"/>
  <c r="AQ223" i="24"/>
  <c r="AX223" i="24"/>
  <c r="BH223" i="24"/>
  <c r="BW223" i="24"/>
  <c r="BU223" i="24"/>
  <c r="BU296" i="24"/>
  <c r="AX81" i="25"/>
  <c r="AW81" i="25"/>
  <c r="AM311" i="25"/>
  <c r="AJ311" i="25"/>
  <c r="AJ7" i="25"/>
  <c r="AM7" i="25"/>
  <c r="BG7" i="25" s="1"/>
  <c r="BL149" i="24"/>
  <c r="AS149" i="24"/>
  <c r="BJ149" i="24"/>
  <c r="AQ149" i="24"/>
  <c r="BH149" i="24"/>
  <c r="BU149" i="24"/>
  <c r="BW149" i="24"/>
  <c r="AX149" i="24"/>
  <c r="AM19" i="25"/>
  <c r="BG19" i="25" s="1"/>
  <c r="AJ19" i="25"/>
  <c r="AM168" i="25"/>
  <c r="AJ168" i="25"/>
  <c r="BA34" i="24"/>
  <c r="AX210" i="25"/>
  <c r="AW210" i="25"/>
  <c r="AR229" i="25"/>
  <c r="BJ229" i="25"/>
  <c r="BH229" i="25"/>
  <c r="AP229" i="25"/>
  <c r="BF229" i="25"/>
  <c r="BU229" i="25"/>
  <c r="BW229" i="25"/>
  <c r="AJ135" i="25"/>
  <c r="AM135" i="25"/>
  <c r="AX144" i="25"/>
  <c r="AW144" i="25"/>
  <c r="AM90" i="25"/>
  <c r="AJ90" i="25"/>
  <c r="AX176" i="25"/>
  <c r="AW176" i="25"/>
  <c r="AX133" i="24"/>
  <c r="BU117" i="24"/>
  <c r="AS301" i="24"/>
  <c r="AU301" i="24" s="1"/>
  <c r="BB301" i="24" s="1"/>
  <c r="AQ301" i="24"/>
  <c r="BJ301" i="24"/>
  <c r="AS196" i="24"/>
  <c r="BL196" i="24"/>
  <c r="BJ196" i="24"/>
  <c r="AQ196" i="24"/>
  <c r="BH196" i="24"/>
  <c r="BU196" i="24"/>
  <c r="BW196" i="24"/>
  <c r="AX196" i="24"/>
  <c r="AJ124" i="25"/>
  <c r="AM124" i="25"/>
  <c r="BA224" i="24"/>
  <c r="AJ266" i="25"/>
  <c r="AM266" i="25"/>
  <c r="BG266" i="25" s="1"/>
  <c r="AX266" i="24"/>
  <c r="AJ43" i="25"/>
  <c r="AM43" i="25"/>
  <c r="BG43" i="25" s="1"/>
  <c r="BA240" i="24"/>
  <c r="AR240" i="25"/>
  <c r="BJ240" i="25"/>
  <c r="BH240" i="25"/>
  <c r="AP240" i="25"/>
  <c r="BF240" i="25"/>
  <c r="BW240" i="25"/>
  <c r="BU240" i="25"/>
  <c r="BL62" i="24"/>
  <c r="AS62" i="24"/>
  <c r="AQ62" i="24"/>
  <c r="BJ62" i="24"/>
  <c r="AX62" i="24"/>
  <c r="BW62" i="24"/>
  <c r="BH62" i="24"/>
  <c r="AJ91" i="25"/>
  <c r="AM91" i="25"/>
  <c r="BG91" i="25" s="1"/>
  <c r="BA265" i="24"/>
  <c r="AX18" i="25"/>
  <c r="AW18" i="25"/>
  <c r="AS156" i="24"/>
  <c r="BJ156" i="24"/>
  <c r="AQ156" i="24"/>
  <c r="BH156" i="24"/>
  <c r="BU156" i="24"/>
  <c r="BW156" i="24"/>
  <c r="AX156" i="24"/>
  <c r="AW90" i="25"/>
  <c r="AX90" i="25"/>
  <c r="AW112" i="25"/>
  <c r="AX112" i="25"/>
  <c r="AJ102" i="25"/>
  <c r="AM102" i="25"/>
  <c r="BG102" i="25" s="1"/>
  <c r="BW111" i="24"/>
  <c r="AW63" i="25"/>
  <c r="AX63" i="25"/>
  <c r="BH305" i="24"/>
  <c r="AJ239" i="25"/>
  <c r="AM239" i="25"/>
  <c r="BG239" i="25" s="1"/>
  <c r="AW42" i="25"/>
  <c r="AX42" i="25"/>
  <c r="BL303" i="24"/>
  <c r="AS303" i="24"/>
  <c r="BJ303" i="24"/>
  <c r="AQ303" i="24"/>
  <c r="AX303" i="24"/>
  <c r="BH303" i="24"/>
  <c r="BW303" i="24"/>
  <c r="BU303" i="24"/>
  <c r="AS274" i="24"/>
  <c r="AU274" i="24" s="1"/>
  <c r="BB274" i="24" s="1"/>
  <c r="AQ274" i="24"/>
  <c r="BJ274" i="24"/>
  <c r="AJ244" i="25"/>
  <c r="AM244" i="25"/>
  <c r="BG244" i="25" s="1"/>
  <c r="BU225" i="24"/>
  <c r="BW295" i="24"/>
  <c r="AS126" i="24"/>
  <c r="AU126" i="24" s="1"/>
  <c r="BB126" i="24" s="1"/>
  <c r="BL126" i="24"/>
  <c r="BJ126" i="24"/>
  <c r="AQ126" i="24"/>
  <c r="AX54" i="25"/>
  <c r="AW54" i="25"/>
  <c r="AS17" i="24"/>
  <c r="AU17" i="24" s="1"/>
  <c r="BB17" i="24" s="1"/>
  <c r="BJ17" i="24"/>
  <c r="AQ17" i="24"/>
  <c r="AX135" i="24"/>
  <c r="AJ125" i="25"/>
  <c r="AM125" i="25"/>
  <c r="BU121" i="24"/>
  <c r="AS175" i="24"/>
  <c r="BL175" i="24"/>
  <c r="AQ175" i="24"/>
  <c r="BJ175" i="24"/>
  <c r="BW175" i="24"/>
  <c r="BU175" i="24"/>
  <c r="AX175" i="24"/>
  <c r="BH175" i="24"/>
  <c r="BL234" i="24"/>
  <c r="AS234" i="24"/>
  <c r="AQ234" i="24"/>
  <c r="BJ234" i="24"/>
  <c r="AX234" i="24"/>
  <c r="BH234" i="24"/>
  <c r="BU234" i="24"/>
  <c r="BW234" i="24"/>
  <c r="AS83" i="24"/>
  <c r="BJ83" i="24"/>
  <c r="AQ83" i="24"/>
  <c r="AX83" i="24"/>
  <c r="BW83" i="24"/>
  <c r="BH83" i="24"/>
  <c r="AX136" i="25"/>
  <c r="AW136" i="25"/>
  <c r="AM57" i="25"/>
  <c r="AJ57" i="25"/>
  <c r="AX127" i="25"/>
  <c r="AW127" i="25"/>
  <c r="BU279" i="24"/>
  <c r="BU126" i="24"/>
  <c r="BH145" i="24"/>
  <c r="AS25" i="24"/>
  <c r="AQ25" i="24"/>
  <c r="BJ25" i="24"/>
  <c r="BW25" i="24"/>
  <c r="AX25" i="24"/>
  <c r="BH25" i="24"/>
  <c r="AX9" i="24"/>
  <c r="AR92" i="25"/>
  <c r="AP92" i="25"/>
  <c r="BH92" i="25"/>
  <c r="BF92" i="25"/>
  <c r="BU92" i="25"/>
  <c r="BW92" i="25"/>
  <c r="BW267" i="24"/>
  <c r="BW282" i="24"/>
  <c r="BW155" i="24"/>
  <c r="AX196" i="25"/>
  <c r="AW196" i="25"/>
  <c r="BU253" i="24"/>
  <c r="AW12" i="25"/>
  <c r="AX12" i="25"/>
  <c r="AR257" i="25"/>
  <c r="BJ257" i="25"/>
  <c r="BH257" i="25"/>
  <c r="AP257" i="25"/>
  <c r="BW257" i="25"/>
  <c r="BU257" i="25"/>
  <c r="BF257" i="25"/>
  <c r="BA232" i="24"/>
  <c r="AX202" i="25"/>
  <c r="AW202" i="25"/>
  <c r="AS128" i="24"/>
  <c r="AU128" i="24" s="1"/>
  <c r="BB128" i="24" s="1"/>
  <c r="AQ128" i="24"/>
  <c r="BJ128" i="24"/>
  <c r="BU280" i="25" l="1"/>
  <c r="BF280" i="25"/>
  <c r="BG26" i="25"/>
  <c r="CE26" i="25"/>
  <c r="BG124" i="25"/>
  <c r="CE124" i="25"/>
  <c r="AP280" i="25"/>
  <c r="BG57" i="25"/>
  <c r="CE57" i="25"/>
  <c r="BG112" i="25"/>
  <c r="BJ112" i="25" s="1"/>
  <c r="CE112" i="25"/>
  <c r="BG219" i="25"/>
  <c r="BJ219" i="25" s="1"/>
  <c r="CE219" i="25"/>
  <c r="CE270" i="25"/>
  <c r="BG270" i="25"/>
  <c r="BJ270" i="25" s="1"/>
  <c r="CE274" i="25"/>
  <c r="BG274" i="25"/>
  <c r="BJ274" i="25" s="1"/>
  <c r="AP194" i="25"/>
  <c r="BG194" i="25"/>
  <c r="BJ194" i="25" s="1"/>
  <c r="CE313" i="25"/>
  <c r="BG313" i="25"/>
  <c r="BJ313" i="25" s="1"/>
  <c r="CE116" i="25"/>
  <c r="BG116" i="25"/>
  <c r="BJ116" i="25" s="1"/>
  <c r="CE287" i="25"/>
  <c r="BG287" i="25"/>
  <c r="BJ287" i="25" s="1"/>
  <c r="CE228" i="25"/>
  <c r="BG228" i="25"/>
  <c r="BJ228" i="25" s="1"/>
  <c r="CE307" i="25"/>
  <c r="BG307" i="25"/>
  <c r="BJ307" i="25" s="1"/>
  <c r="CE316" i="25"/>
  <c r="BG316" i="25"/>
  <c r="BJ316" i="25" s="1"/>
  <c r="CE184" i="25"/>
  <c r="BG184" i="25"/>
  <c r="BJ184" i="25" s="1"/>
  <c r="CE182" i="25"/>
  <c r="BG182" i="25"/>
  <c r="BJ182" i="25" s="1"/>
  <c r="CE175" i="25"/>
  <c r="BG175" i="25"/>
  <c r="CE152" i="25"/>
  <c r="BG152" i="25"/>
  <c r="BJ152" i="25" s="1"/>
  <c r="CE164" i="25"/>
  <c r="BG164" i="25"/>
  <c r="BJ164" i="25" s="1"/>
  <c r="CE221" i="25"/>
  <c r="BG221" i="25"/>
  <c r="BJ221" i="25" s="1"/>
  <c r="BH265" i="25"/>
  <c r="BG265" i="25"/>
  <c r="BJ265" i="25" s="1"/>
  <c r="CE125" i="25"/>
  <c r="BG125" i="25"/>
  <c r="BJ125" i="25" s="1"/>
  <c r="CE300" i="25"/>
  <c r="BG300" i="25"/>
  <c r="BJ300" i="25" s="1"/>
  <c r="CE160" i="25"/>
  <c r="BG160" i="25"/>
  <c r="BJ160" i="25" s="1"/>
  <c r="CE163" i="25"/>
  <c r="BG163" i="25"/>
  <c r="BJ163" i="25" s="1"/>
  <c r="CE302" i="25"/>
  <c r="BG302" i="25"/>
  <c r="BJ302" i="25" s="1"/>
  <c r="CE309" i="25"/>
  <c r="BG309" i="25"/>
  <c r="BJ309" i="25" s="1"/>
  <c r="CE153" i="25"/>
  <c r="BG153" i="25"/>
  <c r="BJ153" i="25" s="1"/>
  <c r="CE235" i="25"/>
  <c r="BG235" i="25"/>
  <c r="BJ235" i="25" s="1"/>
  <c r="CE218" i="25"/>
  <c r="BG218" i="25"/>
  <c r="BJ218" i="25" s="1"/>
  <c r="CE156" i="25"/>
  <c r="BG156" i="25"/>
  <c r="BJ156" i="25" s="1"/>
  <c r="CE135" i="25"/>
  <c r="BG135" i="25"/>
  <c r="BJ135" i="25" s="1"/>
  <c r="AP195" i="25"/>
  <c r="BG195" i="25"/>
  <c r="BJ195" i="25" s="1"/>
  <c r="CE284" i="25"/>
  <c r="BG284" i="25"/>
  <c r="BJ284" i="25" s="1"/>
  <c r="CE245" i="25"/>
  <c r="BG245" i="25"/>
  <c r="BJ245" i="25" s="1"/>
  <c r="CE172" i="25"/>
  <c r="BG172" i="25"/>
  <c r="BJ172" i="25" s="1"/>
  <c r="CE180" i="25"/>
  <c r="BG180" i="25"/>
  <c r="BJ180" i="25" s="1"/>
  <c r="CE130" i="25"/>
  <c r="BG130" i="25"/>
  <c r="BJ130" i="25" s="1"/>
  <c r="CE151" i="25"/>
  <c r="BG151" i="25"/>
  <c r="BJ151" i="25" s="1"/>
  <c r="CE168" i="25"/>
  <c r="BG168" i="25"/>
  <c r="BJ168" i="25" s="1"/>
  <c r="CE269" i="25"/>
  <c r="BG269" i="25"/>
  <c r="CE295" i="25"/>
  <c r="BG295" i="25"/>
  <c r="BJ295" i="25" s="1"/>
  <c r="CE159" i="25"/>
  <c r="BG159" i="25"/>
  <c r="BJ159" i="25" s="1"/>
  <c r="CE162" i="25"/>
  <c r="BG162" i="25"/>
  <c r="BJ162" i="25" s="1"/>
  <c r="CE138" i="25"/>
  <c r="BG138" i="25"/>
  <c r="BJ138" i="25" s="1"/>
  <c r="CE183" i="25"/>
  <c r="BG183" i="25"/>
  <c r="BJ183" i="25" s="1"/>
  <c r="CE279" i="25"/>
  <c r="BG279" i="25"/>
  <c r="CE310" i="25"/>
  <c r="BG310" i="25"/>
  <c r="BJ310" i="25" s="1"/>
  <c r="CE272" i="25"/>
  <c r="BG272" i="25"/>
  <c r="BJ272" i="25" s="1"/>
  <c r="CE280" i="25"/>
  <c r="BG280" i="25"/>
  <c r="BJ280" i="25" s="1"/>
  <c r="CE268" i="25"/>
  <c r="BG268" i="25"/>
  <c r="BJ268" i="25" s="1"/>
  <c r="CE242" i="25"/>
  <c r="BG242" i="25"/>
  <c r="BJ242" i="25" s="1"/>
  <c r="CE286" i="25"/>
  <c r="BG286" i="25"/>
  <c r="BJ286" i="25" s="1"/>
  <c r="CE223" i="25"/>
  <c r="BG223" i="25"/>
  <c r="BJ223" i="25" s="1"/>
  <c r="CE165" i="25"/>
  <c r="BG165" i="25"/>
  <c r="BJ165" i="25" s="1"/>
  <c r="BF258" i="25"/>
  <c r="BG258" i="25"/>
  <c r="BJ258" i="25" s="1"/>
  <c r="CE176" i="25"/>
  <c r="BG176" i="25"/>
  <c r="BJ176" i="25" s="1"/>
  <c r="CE115" i="25"/>
  <c r="BG115" i="25"/>
  <c r="BJ115" i="25" s="1"/>
  <c r="CE169" i="25"/>
  <c r="BG169" i="25"/>
  <c r="BJ169" i="25" s="1"/>
  <c r="CE117" i="25"/>
  <c r="BG117" i="25"/>
  <c r="BJ117" i="25" s="1"/>
  <c r="CE294" i="25"/>
  <c r="BG294" i="25"/>
  <c r="BJ294" i="25" s="1"/>
  <c r="AP197" i="25"/>
  <c r="BG197" i="25"/>
  <c r="BJ197" i="25" s="1"/>
  <c r="CE185" i="25"/>
  <c r="BG185" i="25"/>
  <c r="BJ185" i="25" s="1"/>
  <c r="CE171" i="25"/>
  <c r="BG171" i="25"/>
  <c r="BJ171" i="25" s="1"/>
  <c r="CE121" i="25"/>
  <c r="BG121" i="25"/>
  <c r="BJ121" i="25" s="1"/>
  <c r="CE132" i="25"/>
  <c r="BG132" i="25"/>
  <c r="BJ132" i="25" s="1"/>
  <c r="CE181" i="25"/>
  <c r="BG181" i="25"/>
  <c r="BJ181" i="25" s="1"/>
  <c r="CE311" i="25"/>
  <c r="BG311" i="25"/>
  <c r="BJ311" i="25" s="1"/>
  <c r="CE303" i="25"/>
  <c r="BG303" i="25"/>
  <c r="BJ303" i="25" s="1"/>
  <c r="CE191" i="25"/>
  <c r="BG191" i="25"/>
  <c r="BJ191" i="25" s="1"/>
  <c r="CE111" i="25"/>
  <c r="BG111" i="25"/>
  <c r="BJ111" i="25" s="1"/>
  <c r="CE166" i="25"/>
  <c r="BG166" i="25"/>
  <c r="BJ166" i="25" s="1"/>
  <c r="CE74" i="25"/>
  <c r="BG74" i="25"/>
  <c r="BJ74" i="25" s="1"/>
  <c r="CE88" i="25"/>
  <c r="BG88" i="25"/>
  <c r="BJ88" i="25" s="1"/>
  <c r="CE64" i="25"/>
  <c r="BG64" i="25"/>
  <c r="BJ64" i="25" s="1"/>
  <c r="CE86" i="25"/>
  <c r="BG86" i="25"/>
  <c r="BJ86" i="25" s="1"/>
  <c r="BU11" i="25"/>
  <c r="BG11" i="25"/>
  <c r="BJ11" i="25" s="1"/>
  <c r="CE45" i="25"/>
  <c r="BG45" i="25"/>
  <c r="BJ45" i="25" s="1"/>
  <c r="CE72" i="25"/>
  <c r="BG72" i="25"/>
  <c r="BJ72" i="25" s="1"/>
  <c r="CE60" i="25"/>
  <c r="BG60" i="25"/>
  <c r="BJ60" i="25" s="1"/>
  <c r="CE79" i="25"/>
  <c r="BG79" i="25"/>
  <c r="BJ79" i="25" s="1"/>
  <c r="CE55" i="25"/>
  <c r="BG55" i="25"/>
  <c r="BJ55" i="25" s="1"/>
  <c r="AP100" i="25"/>
  <c r="BG100" i="25"/>
  <c r="BJ100" i="25" s="1"/>
  <c r="CE65" i="25"/>
  <c r="BG65" i="25"/>
  <c r="BJ65" i="25" s="1"/>
  <c r="AP97" i="25"/>
  <c r="BG97" i="25"/>
  <c r="BJ97" i="25" s="1"/>
  <c r="CE56" i="25"/>
  <c r="BG56" i="25"/>
  <c r="BJ56" i="25" s="1"/>
  <c r="CE81" i="25"/>
  <c r="BG81" i="25"/>
  <c r="BJ81" i="25" s="1"/>
  <c r="CE77" i="25"/>
  <c r="BG77" i="25"/>
  <c r="BJ77" i="25" s="1"/>
  <c r="CE27" i="25"/>
  <c r="BG27" i="25"/>
  <c r="BJ27" i="25" s="1"/>
  <c r="CE10" i="25"/>
  <c r="BG10" i="25"/>
  <c r="BJ10" i="25" s="1"/>
  <c r="AP99" i="25"/>
  <c r="BG99" i="25"/>
  <c r="BJ99" i="25" s="1"/>
  <c r="CE80" i="25"/>
  <c r="BG80" i="25"/>
  <c r="BJ80" i="25" s="1"/>
  <c r="CE90" i="25"/>
  <c r="BG90" i="25"/>
  <c r="BJ90" i="25" s="1"/>
  <c r="CE22" i="25"/>
  <c r="BG22" i="25"/>
  <c r="BJ22" i="25" s="1"/>
  <c r="AP103" i="25"/>
  <c r="BG103" i="25"/>
  <c r="BJ103" i="25" s="1"/>
  <c r="CE52" i="25"/>
  <c r="BG52" i="25"/>
  <c r="BJ52" i="25" s="1"/>
  <c r="BG104" i="25"/>
  <c r="BJ104" i="25" s="1"/>
  <c r="BH11" i="25"/>
  <c r="AP11" i="25"/>
  <c r="AR11" i="25"/>
  <c r="AT11" i="25" s="1"/>
  <c r="AY11" i="25" s="1"/>
  <c r="BW11" i="25"/>
  <c r="BF11" i="25"/>
  <c r="BW96" i="25"/>
  <c r="CE96" i="25"/>
  <c r="AP205" i="25"/>
  <c r="CE205" i="25"/>
  <c r="AP200" i="25"/>
  <c r="CE200" i="25"/>
  <c r="AP193" i="25"/>
  <c r="CE193" i="25"/>
  <c r="BU96" i="25"/>
  <c r="AP96" i="25"/>
  <c r="BH96" i="25"/>
  <c r="BJ96" i="25"/>
  <c r="AR96" i="25"/>
  <c r="AU96" i="25" s="1"/>
  <c r="BF96" i="25"/>
  <c r="AP101" i="25"/>
  <c r="CE101" i="25"/>
  <c r="AP98" i="25"/>
  <c r="CE98" i="25"/>
  <c r="AP179" i="25"/>
  <c r="CE179" i="25"/>
  <c r="AP203" i="25"/>
  <c r="CE203" i="25"/>
  <c r="AP104" i="25"/>
  <c r="CE104" i="25"/>
  <c r="AP202" i="25"/>
  <c r="CE202" i="25"/>
  <c r="BF104" i="25"/>
  <c r="BH104" i="25"/>
  <c r="AR104" i="25"/>
  <c r="AU104" i="25" s="1"/>
  <c r="BW104" i="25"/>
  <c r="BU104" i="25"/>
  <c r="BW154" i="25"/>
  <c r="CE154" i="25"/>
  <c r="BU258" i="25"/>
  <c r="AP258" i="25"/>
  <c r="AP196" i="25"/>
  <c r="CE196" i="25"/>
  <c r="BU97" i="25"/>
  <c r="BW97" i="25"/>
  <c r="BH97" i="25"/>
  <c r="AP105" i="25"/>
  <c r="B19" i="29" s="1"/>
  <c r="CE105" i="25"/>
  <c r="AR97" i="25"/>
  <c r="AT97" i="25" s="1"/>
  <c r="AY97" i="25" s="1"/>
  <c r="BF97" i="25"/>
  <c r="BW258" i="25"/>
  <c r="BH258" i="25"/>
  <c r="AR258" i="25"/>
  <c r="AU258" i="25" s="1"/>
  <c r="AP207" i="25"/>
  <c r="CE207" i="25"/>
  <c r="AP209" i="25"/>
  <c r="CE209" i="25"/>
  <c r="BF154" i="25"/>
  <c r="BH179" i="25"/>
  <c r="BH154" i="25"/>
  <c r="BJ179" i="25"/>
  <c r="AP154" i="25"/>
  <c r="AR179" i="25"/>
  <c r="AU179" i="25" s="1"/>
  <c r="BJ154" i="25"/>
  <c r="AR154" i="25"/>
  <c r="AT154" i="25" s="1"/>
  <c r="AY154" i="25" s="1"/>
  <c r="BU179" i="25"/>
  <c r="BW179" i="25"/>
  <c r="BU154" i="25"/>
  <c r="BF179" i="25"/>
  <c r="BE292" i="24"/>
  <c r="BT292" i="24" s="1"/>
  <c r="AW147" i="24"/>
  <c r="BE147" i="24" s="1"/>
  <c r="BT147" i="24" s="1"/>
  <c r="AW219" i="24"/>
  <c r="AY219" i="24" s="1"/>
  <c r="AZ219" i="24" s="1"/>
  <c r="AP208" i="25"/>
  <c r="CE208" i="25"/>
  <c r="BW265" i="25"/>
  <c r="AW283" i="24"/>
  <c r="AY283" i="24" s="1"/>
  <c r="AZ283" i="24" s="1"/>
  <c r="AW260" i="24"/>
  <c r="BD260" i="24" s="1"/>
  <c r="AW240" i="24"/>
  <c r="BD240" i="24" s="1"/>
  <c r="AR265" i="25"/>
  <c r="AT265" i="25" s="1"/>
  <c r="AW18" i="24"/>
  <c r="BE18" i="24" s="1"/>
  <c r="BT18" i="24" s="1"/>
  <c r="BU265" i="25"/>
  <c r="AW242" i="24"/>
  <c r="AY242" i="24" s="1"/>
  <c r="AZ242" i="24" s="1"/>
  <c r="BF265" i="25"/>
  <c r="AP265" i="25"/>
  <c r="AW19" i="24"/>
  <c r="BD19" i="24" s="1"/>
  <c r="AW135" i="24"/>
  <c r="BD135" i="24" s="1"/>
  <c r="AW120" i="24"/>
  <c r="AY120" i="24" s="1"/>
  <c r="AZ120" i="24" s="1"/>
  <c r="AW259" i="24"/>
  <c r="BD259" i="24" s="1"/>
  <c r="AY292" i="24"/>
  <c r="AZ292" i="24" s="1"/>
  <c r="AP102" i="25"/>
  <c r="CE102" i="25"/>
  <c r="AW121" i="24"/>
  <c r="AY121" i="24" s="1"/>
  <c r="AZ121" i="24" s="1"/>
  <c r="AW265" i="24"/>
  <c r="AY265" i="24" s="1"/>
  <c r="AZ265" i="24" s="1"/>
  <c r="AW279" i="24"/>
  <c r="BE279" i="24" s="1"/>
  <c r="BT279" i="24" s="1"/>
  <c r="AW111" i="24"/>
  <c r="BD111" i="24" s="1"/>
  <c r="AW296" i="24"/>
  <c r="AY296" i="24" s="1"/>
  <c r="AZ296" i="24" s="1"/>
  <c r="AW26" i="24"/>
  <c r="AY26" i="24" s="1"/>
  <c r="AZ26" i="24" s="1"/>
  <c r="BF237" i="25"/>
  <c r="AR237" i="25"/>
  <c r="BJ237" i="25"/>
  <c r="AP237" i="25"/>
  <c r="BH237" i="25"/>
  <c r="BU237" i="25"/>
  <c r="BW237" i="25"/>
  <c r="V212" i="25"/>
  <c r="X212" i="25" s="1"/>
  <c r="AD212" i="25"/>
  <c r="W212" i="25"/>
  <c r="Z212" i="25" s="1"/>
  <c r="AA212" i="25" s="1"/>
  <c r="AB212" i="25" s="1"/>
  <c r="AI212" i="25" s="1"/>
  <c r="AW34" i="24"/>
  <c r="AY34" i="24" s="1"/>
  <c r="AZ34" i="24" s="1"/>
  <c r="AW152" i="24"/>
  <c r="AY152" i="24" s="1"/>
  <c r="AZ152" i="24" s="1"/>
  <c r="AP210" i="25"/>
  <c r="CE210" i="25"/>
  <c r="BH77" i="25"/>
  <c r="AP77" i="25"/>
  <c r="BF77" i="25"/>
  <c r="BW77" i="25"/>
  <c r="BU77" i="25"/>
  <c r="AR77" i="25"/>
  <c r="AW112" i="24"/>
  <c r="AY112" i="24" s="1"/>
  <c r="AZ112" i="24" s="1"/>
  <c r="AW253" i="24"/>
  <c r="BE253" i="24" s="1"/>
  <c r="BT253" i="24" s="1"/>
  <c r="AW224" i="24"/>
  <c r="BE224" i="24" s="1"/>
  <c r="BT224" i="24" s="1"/>
  <c r="AW247" i="24"/>
  <c r="AY247" i="24" s="1"/>
  <c r="AZ247" i="24" s="1"/>
  <c r="AW28" i="24"/>
  <c r="BE28" i="24" s="1"/>
  <c r="BT28" i="24" s="1"/>
  <c r="AW33" i="24"/>
  <c r="BD33" i="24" s="1"/>
  <c r="L15" i="1"/>
  <c r="AW117" i="24"/>
  <c r="AY117" i="24" s="1"/>
  <c r="AZ117" i="24" s="1"/>
  <c r="AW248" i="24"/>
  <c r="BD248" i="24" s="1"/>
  <c r="AW299" i="24"/>
  <c r="AY299" i="24" s="1"/>
  <c r="AZ299" i="24" s="1"/>
  <c r="AW298" i="24"/>
  <c r="BE298" i="24" s="1"/>
  <c r="BT298" i="24" s="1"/>
  <c r="AW232" i="24"/>
  <c r="BE232" i="24" s="1"/>
  <c r="BT232" i="24" s="1"/>
  <c r="AW228" i="24"/>
  <c r="BE228" i="24" s="1"/>
  <c r="BT228" i="24" s="1"/>
  <c r="AW280" i="24"/>
  <c r="BE280" i="24" s="1"/>
  <c r="BT280" i="24" s="1"/>
  <c r="AW54" i="24"/>
  <c r="BE54" i="24" s="1"/>
  <c r="BT54" i="24" s="1"/>
  <c r="AW6" i="24"/>
  <c r="BD6" i="24" s="1"/>
  <c r="AW12" i="24"/>
  <c r="BE12" i="24" s="1"/>
  <c r="BT12" i="24" s="1"/>
  <c r="AW148" i="24"/>
  <c r="BE148" i="24" s="1"/>
  <c r="BT148" i="24" s="1"/>
  <c r="AW295" i="24"/>
  <c r="AY295" i="24" s="1"/>
  <c r="AZ295" i="24" s="1"/>
  <c r="AW20" i="24"/>
  <c r="BE20" i="24" s="1"/>
  <c r="BT20" i="24" s="1"/>
  <c r="AW238" i="24"/>
  <c r="AY238" i="24" s="1"/>
  <c r="AZ238" i="24" s="1"/>
  <c r="AW130" i="24"/>
  <c r="AY130" i="24" s="1"/>
  <c r="AZ130" i="24" s="1"/>
  <c r="AW24" i="24"/>
  <c r="BE24" i="24" s="1"/>
  <c r="BT24" i="24" s="1"/>
  <c r="AW282" i="24"/>
  <c r="BE282" i="24" s="1"/>
  <c r="BT282" i="24" s="1"/>
  <c r="AW305" i="24"/>
  <c r="BE305" i="24" s="1"/>
  <c r="BT305" i="24" s="1"/>
  <c r="AW58" i="24"/>
  <c r="BD58" i="24" s="1"/>
  <c r="AR193" i="25"/>
  <c r="BJ193" i="25"/>
  <c r="BH193" i="25"/>
  <c r="BW193" i="25"/>
  <c r="BU193" i="25"/>
  <c r="BF193" i="25"/>
  <c r="AU25" i="24"/>
  <c r="BB25" i="24" s="1"/>
  <c r="AW25" i="24"/>
  <c r="BJ239" i="25"/>
  <c r="AR239" i="25"/>
  <c r="BH239" i="25"/>
  <c r="AP239" i="25"/>
  <c r="BW239" i="25"/>
  <c r="BU239" i="25"/>
  <c r="BF239" i="25"/>
  <c r="AR102" i="25"/>
  <c r="BJ102" i="25"/>
  <c r="BH102" i="25"/>
  <c r="BF102" i="25"/>
  <c r="BW102" i="25"/>
  <c r="BU102" i="25"/>
  <c r="AR90" i="25"/>
  <c r="BH90" i="25"/>
  <c r="AP90" i="25"/>
  <c r="BF90" i="25"/>
  <c r="BW90" i="25"/>
  <c r="BU90" i="25"/>
  <c r="AR19" i="25"/>
  <c r="BJ19" i="25"/>
  <c r="BH19" i="25"/>
  <c r="AP19" i="25"/>
  <c r="BW19" i="25"/>
  <c r="BU19" i="25"/>
  <c r="BF19" i="25"/>
  <c r="AR15" i="25"/>
  <c r="BJ15" i="25"/>
  <c r="BH15" i="25"/>
  <c r="AP15" i="25"/>
  <c r="BF15" i="25"/>
  <c r="BU15" i="25"/>
  <c r="BW15" i="25"/>
  <c r="AU63" i="24"/>
  <c r="BB63" i="24" s="1"/>
  <c r="AW63" i="24"/>
  <c r="AR18" i="25"/>
  <c r="BJ18" i="25"/>
  <c r="BH18" i="25"/>
  <c r="AP18" i="25"/>
  <c r="BF18" i="25"/>
  <c r="BW18" i="25"/>
  <c r="BU18" i="25"/>
  <c r="AR231" i="25"/>
  <c r="BJ231" i="25"/>
  <c r="BH231" i="25"/>
  <c r="AP231" i="25"/>
  <c r="BF231" i="25"/>
  <c r="BU231" i="25"/>
  <c r="BW231" i="25"/>
  <c r="AR249" i="25"/>
  <c r="BJ249" i="25"/>
  <c r="BH249" i="25"/>
  <c r="AP249" i="25"/>
  <c r="BF249" i="25"/>
  <c r="BU249" i="25"/>
  <c r="BW249" i="25"/>
  <c r="BJ43" i="25"/>
  <c r="AR43" i="25"/>
  <c r="BH43" i="25"/>
  <c r="AP43" i="25"/>
  <c r="BF43" i="25"/>
  <c r="BW43" i="25"/>
  <c r="BU43" i="25"/>
  <c r="AR124" i="25"/>
  <c r="BJ124" i="25"/>
  <c r="BH124" i="25"/>
  <c r="AP124" i="25"/>
  <c r="BF124" i="25"/>
  <c r="BW124" i="25"/>
  <c r="BU124" i="25"/>
  <c r="AR8" i="25"/>
  <c r="BJ8" i="25"/>
  <c r="BH8" i="25"/>
  <c r="AP8" i="25"/>
  <c r="BF8" i="25"/>
  <c r="BW8" i="25"/>
  <c r="BU8" i="25"/>
  <c r="AU203" i="24"/>
  <c r="BB203" i="24" s="1"/>
  <c r="AW203" i="24"/>
  <c r="AT280" i="25"/>
  <c r="AU280" i="25"/>
  <c r="AW258" i="24"/>
  <c r="AT131" i="25"/>
  <c r="AY131" i="25" s="1"/>
  <c r="AU131" i="25"/>
  <c r="AU220" i="24"/>
  <c r="BB220" i="24" s="1"/>
  <c r="AW220" i="24"/>
  <c r="AU181" i="24"/>
  <c r="BB181" i="24" s="1"/>
  <c r="AW181" i="24"/>
  <c r="AU100" i="24"/>
  <c r="BB100" i="24" s="1"/>
  <c r="AW100" i="24"/>
  <c r="AR22" i="25"/>
  <c r="BH22" i="25"/>
  <c r="AP22" i="25"/>
  <c r="BF22" i="25"/>
  <c r="BW22" i="25"/>
  <c r="BU22" i="25"/>
  <c r="AU92" i="24"/>
  <c r="BB92" i="24" s="1"/>
  <c r="AW92" i="24"/>
  <c r="AU209" i="24"/>
  <c r="BB209" i="24" s="1"/>
  <c r="AW209" i="24"/>
  <c r="AR12" i="25"/>
  <c r="BJ12" i="25"/>
  <c r="BH12" i="25"/>
  <c r="AP12" i="25"/>
  <c r="BF12" i="25"/>
  <c r="BW12" i="25"/>
  <c r="BU12" i="25"/>
  <c r="AT113" i="25"/>
  <c r="AY113" i="25" s="1"/>
  <c r="AU113" i="25"/>
  <c r="AT114" i="25"/>
  <c r="AY114" i="25" s="1"/>
  <c r="AU114" i="25"/>
  <c r="AU38" i="24"/>
  <c r="BB38" i="24" s="1"/>
  <c r="AW38" i="24"/>
  <c r="AU52" i="24"/>
  <c r="BB52" i="24" s="1"/>
  <c r="AW52" i="24"/>
  <c r="AR119" i="25"/>
  <c r="BJ119" i="25"/>
  <c r="BH119" i="25"/>
  <c r="AP119" i="25"/>
  <c r="BU119" i="25"/>
  <c r="BF119" i="25"/>
  <c r="BW119" i="25"/>
  <c r="AT232" i="25"/>
  <c r="AU232" i="25"/>
  <c r="AR27" i="25"/>
  <c r="BH27" i="25"/>
  <c r="AP27" i="25"/>
  <c r="BW27" i="25"/>
  <c r="BU27" i="25"/>
  <c r="BF27" i="25"/>
  <c r="AR53" i="25"/>
  <c r="BJ53" i="25"/>
  <c r="BH53" i="25"/>
  <c r="AP53" i="25"/>
  <c r="BF53" i="25"/>
  <c r="BU53" i="25"/>
  <c r="BW53" i="25"/>
  <c r="AU164" i="24"/>
  <c r="BB164" i="24" s="1"/>
  <c r="AW164" i="24"/>
  <c r="AW225" i="24"/>
  <c r="AU90" i="24"/>
  <c r="BB90" i="24" s="1"/>
  <c r="AW90" i="24"/>
  <c r="AR36" i="25"/>
  <c r="BJ36" i="25"/>
  <c r="BH36" i="25"/>
  <c r="AP36" i="25"/>
  <c r="BF36" i="25"/>
  <c r="BW36" i="25"/>
  <c r="BU36" i="25"/>
  <c r="AU286" i="24"/>
  <c r="BB286" i="24" s="1"/>
  <c r="AW286" i="24"/>
  <c r="AT238" i="25"/>
  <c r="AU238" i="25"/>
  <c r="AR16" i="25"/>
  <c r="BJ16" i="25"/>
  <c r="BH16" i="25"/>
  <c r="AP16" i="25"/>
  <c r="BW16" i="25"/>
  <c r="BU16" i="25"/>
  <c r="BF16" i="25"/>
  <c r="AU245" i="24"/>
  <c r="BB245" i="24" s="1"/>
  <c r="AW245" i="24"/>
  <c r="BJ222" i="25"/>
  <c r="AR222" i="25"/>
  <c r="BH222" i="25"/>
  <c r="AP222" i="25"/>
  <c r="BU222" i="25"/>
  <c r="BF222" i="25"/>
  <c r="BW222" i="25"/>
  <c r="AR241" i="25"/>
  <c r="BJ241" i="25"/>
  <c r="BH241" i="25"/>
  <c r="AP241" i="25"/>
  <c r="BF241" i="25"/>
  <c r="BU241" i="25"/>
  <c r="BW241" i="25"/>
  <c r="AU103" i="24"/>
  <c r="BB103" i="24" s="1"/>
  <c r="AW103" i="24"/>
  <c r="AU36" i="24"/>
  <c r="BB36" i="24" s="1"/>
  <c r="AW36" i="24"/>
  <c r="AU138" i="24"/>
  <c r="BB138" i="24" s="1"/>
  <c r="AW138" i="24"/>
  <c r="AU246" i="24"/>
  <c r="BB246" i="24" s="1"/>
  <c r="AW246" i="24"/>
  <c r="AT30" i="25"/>
  <c r="AY30" i="25" s="1"/>
  <c r="AU30" i="25"/>
  <c r="AU78" i="24"/>
  <c r="BB78" i="24" s="1"/>
  <c r="AW78" i="24"/>
  <c r="AU116" i="24"/>
  <c r="BB116" i="24" s="1"/>
  <c r="AW116" i="24"/>
  <c r="AR274" i="25"/>
  <c r="BH274" i="25"/>
  <c r="AP274" i="25"/>
  <c r="BF274" i="25"/>
  <c r="BU274" i="25"/>
  <c r="BW274" i="25"/>
  <c r="AW261" i="24"/>
  <c r="AT275" i="25"/>
  <c r="AU275" i="25"/>
  <c r="AT173" i="25"/>
  <c r="AY173" i="25" s="1"/>
  <c r="AU173" i="25"/>
  <c r="AW133" i="24"/>
  <c r="AW37" i="24"/>
  <c r="AR188" i="25"/>
  <c r="BJ188" i="25"/>
  <c r="BH188" i="25"/>
  <c r="AP188" i="25"/>
  <c r="BU188" i="25"/>
  <c r="BW188" i="25"/>
  <c r="BF188" i="25"/>
  <c r="AR207" i="25"/>
  <c r="BJ207" i="25"/>
  <c r="BH207" i="25"/>
  <c r="BF207" i="25"/>
  <c r="BW207" i="25"/>
  <c r="BU207" i="25"/>
  <c r="AR23" i="25"/>
  <c r="BJ23" i="25"/>
  <c r="BH23" i="25"/>
  <c r="AP23" i="25"/>
  <c r="BW23" i="25"/>
  <c r="BU23" i="25"/>
  <c r="BF23" i="25"/>
  <c r="AU254" i="24"/>
  <c r="BB254" i="24" s="1"/>
  <c r="AW254" i="24"/>
  <c r="AW218" i="24"/>
  <c r="AR86" i="25"/>
  <c r="BH86" i="25"/>
  <c r="AP86" i="25"/>
  <c r="BU86" i="25"/>
  <c r="BF86" i="25"/>
  <c r="BW86" i="25"/>
  <c r="AW153" i="24"/>
  <c r="AU255" i="24"/>
  <c r="BB255" i="24" s="1"/>
  <c r="AW255" i="24"/>
  <c r="AU93" i="24"/>
  <c r="BB93" i="24" s="1"/>
  <c r="AW93" i="24"/>
  <c r="AU74" i="24"/>
  <c r="BB74" i="24" s="1"/>
  <c r="AW74" i="24"/>
  <c r="AU73" i="24"/>
  <c r="BB73" i="24" s="1"/>
  <c r="AW73" i="24"/>
  <c r="AU241" i="24"/>
  <c r="BB241" i="24" s="1"/>
  <c r="AW241" i="24"/>
  <c r="AR310" i="25"/>
  <c r="BH310" i="25"/>
  <c r="AP310" i="25"/>
  <c r="BF310" i="25"/>
  <c r="BW310" i="25"/>
  <c r="BU310" i="25"/>
  <c r="AW235" i="24"/>
  <c r="AR263" i="25"/>
  <c r="BJ263" i="25"/>
  <c r="BH263" i="25"/>
  <c r="AP263" i="25"/>
  <c r="BW263" i="25"/>
  <c r="BU263" i="25"/>
  <c r="BF263" i="25"/>
  <c r="AR20" i="25"/>
  <c r="BJ20" i="25"/>
  <c r="BH20" i="25"/>
  <c r="AP20" i="25"/>
  <c r="BU20" i="25"/>
  <c r="BW20" i="25"/>
  <c r="BF20" i="25"/>
  <c r="AW57" i="24"/>
  <c r="AU179" i="24"/>
  <c r="BB179" i="24" s="1"/>
  <c r="AW179" i="24"/>
  <c r="AT13" i="25"/>
  <c r="AY13" i="25" s="1"/>
  <c r="AU13" i="25"/>
  <c r="AR256" i="25"/>
  <c r="BJ256" i="25"/>
  <c r="BH256" i="25"/>
  <c r="AP256" i="25"/>
  <c r="BF256" i="25"/>
  <c r="BW256" i="25"/>
  <c r="BU256" i="25"/>
  <c r="AR24" i="25"/>
  <c r="BJ24" i="25"/>
  <c r="BH24" i="25"/>
  <c r="AP24" i="25"/>
  <c r="BW24" i="25"/>
  <c r="BU24" i="25"/>
  <c r="BF24" i="25"/>
  <c r="AU234" i="24"/>
  <c r="BB234" i="24" s="1"/>
  <c r="AW234" i="24"/>
  <c r="AR7" i="25"/>
  <c r="BJ7" i="25"/>
  <c r="BH7" i="25"/>
  <c r="AP7" i="25"/>
  <c r="BW7" i="25"/>
  <c r="BU7" i="25"/>
  <c r="BF7" i="25"/>
  <c r="AU177" i="24"/>
  <c r="BB177" i="24" s="1"/>
  <c r="AW177" i="24"/>
  <c r="AU40" i="24"/>
  <c r="BB40" i="24" s="1"/>
  <c r="AW40" i="24"/>
  <c r="BG292" i="24"/>
  <c r="BS292" i="24"/>
  <c r="BE233" i="24"/>
  <c r="BT233" i="24" s="1"/>
  <c r="BD233" i="24"/>
  <c r="AY233" i="24"/>
  <c r="AZ233" i="24" s="1"/>
  <c r="AU79" i="24"/>
  <c r="BB79" i="24" s="1"/>
  <c r="AW79" i="24"/>
  <c r="AR300" i="25"/>
  <c r="BH300" i="25"/>
  <c r="AP300" i="25"/>
  <c r="BF300" i="25"/>
  <c r="BW300" i="25"/>
  <c r="BU300" i="25"/>
  <c r="AR9" i="25"/>
  <c r="BJ9" i="25"/>
  <c r="BH9" i="25"/>
  <c r="AP9" i="25"/>
  <c r="BF9" i="25"/>
  <c r="BU9" i="25"/>
  <c r="BW9" i="25"/>
  <c r="AT291" i="25"/>
  <c r="AU291" i="25"/>
  <c r="AR227" i="25"/>
  <c r="BJ227" i="25"/>
  <c r="BH227" i="25"/>
  <c r="AP227" i="25"/>
  <c r="BW227" i="25"/>
  <c r="BF227" i="25"/>
  <c r="BU227" i="25"/>
  <c r="AR235" i="25"/>
  <c r="BH235" i="25"/>
  <c r="AP235" i="25"/>
  <c r="BF235" i="25"/>
  <c r="BW235" i="25"/>
  <c r="BU235" i="25"/>
  <c r="AT95" i="25"/>
  <c r="AY95" i="25" s="1"/>
  <c r="AU95" i="25"/>
  <c r="AR65" i="25"/>
  <c r="BH65" i="25"/>
  <c r="AP65" i="25"/>
  <c r="BW65" i="25"/>
  <c r="BU65" i="25"/>
  <c r="BF65" i="25"/>
  <c r="AR112" i="25"/>
  <c r="BH112" i="25"/>
  <c r="AP112" i="25"/>
  <c r="BF112" i="25"/>
  <c r="BW112" i="25"/>
  <c r="BU112" i="25"/>
  <c r="AU136" i="24"/>
  <c r="BB136" i="24" s="1"/>
  <c r="AW136" i="24"/>
  <c r="AR303" i="25"/>
  <c r="BH303" i="25"/>
  <c r="AP303" i="25"/>
  <c r="BW303" i="25"/>
  <c r="BU303" i="25"/>
  <c r="BF303" i="25"/>
  <c r="AR160" i="25"/>
  <c r="BH160" i="25"/>
  <c r="AP160" i="25"/>
  <c r="BF160" i="25"/>
  <c r="BU160" i="25"/>
  <c r="BW160" i="25"/>
  <c r="AU66" i="24"/>
  <c r="BB66" i="24" s="1"/>
  <c r="AW66" i="24"/>
  <c r="AR195" i="25"/>
  <c r="BH195" i="25"/>
  <c r="BF195" i="25"/>
  <c r="BW195" i="25"/>
  <c r="BU195" i="25"/>
  <c r="Y12" i="2"/>
  <c r="Y15" i="2" s="1"/>
  <c r="Y16" i="2" s="1"/>
  <c r="Y17" i="2" s="1"/>
  <c r="B4" i="29" s="1"/>
  <c r="AR67" i="25"/>
  <c r="BJ67" i="25"/>
  <c r="BH67" i="25"/>
  <c r="AP67" i="25"/>
  <c r="BW67" i="25"/>
  <c r="BU67" i="25"/>
  <c r="BF67" i="25"/>
  <c r="AR41" i="25"/>
  <c r="BJ41" i="25"/>
  <c r="BH41" i="25"/>
  <c r="AP41" i="25"/>
  <c r="BU41" i="25"/>
  <c r="BW41" i="25"/>
  <c r="BF41" i="25"/>
  <c r="BD236" i="24"/>
  <c r="AY236" i="24"/>
  <c r="AZ236" i="24" s="1"/>
  <c r="BE236" i="24"/>
  <c r="BT236" i="24" s="1"/>
  <c r="AR313" i="25"/>
  <c r="BH313" i="25"/>
  <c r="AP313" i="25"/>
  <c r="BU313" i="25"/>
  <c r="BW313" i="25"/>
  <c r="BF313" i="25"/>
  <c r="AR40" i="25"/>
  <c r="BJ40" i="25"/>
  <c r="BH40" i="25"/>
  <c r="AP40" i="25"/>
  <c r="BU40" i="25"/>
  <c r="BW40" i="25"/>
  <c r="BF40" i="25"/>
  <c r="AU188" i="24"/>
  <c r="BB188" i="24" s="1"/>
  <c r="AW188" i="24"/>
  <c r="AR33" i="25"/>
  <c r="BJ33" i="25"/>
  <c r="BH33" i="25"/>
  <c r="AP33" i="25"/>
  <c r="BU33" i="25"/>
  <c r="BW33" i="25"/>
  <c r="BF33" i="25"/>
  <c r="AR294" i="25"/>
  <c r="BH294" i="25"/>
  <c r="AP294" i="25"/>
  <c r="BF294" i="25"/>
  <c r="BW294" i="25"/>
  <c r="BU294" i="25"/>
  <c r="BJ250" i="25"/>
  <c r="AR250" i="25"/>
  <c r="BH250" i="25"/>
  <c r="AP250" i="25"/>
  <c r="BF250" i="25"/>
  <c r="BU250" i="25"/>
  <c r="BW250" i="25"/>
  <c r="AT314" i="25"/>
  <c r="AU314" i="25"/>
  <c r="AW114" i="24"/>
  <c r="AU186" i="24"/>
  <c r="BB186" i="24" s="1"/>
  <c r="AW186" i="24"/>
  <c r="AU14" i="24"/>
  <c r="BB14" i="24" s="1"/>
  <c r="AW14" i="24"/>
  <c r="AU206" i="24"/>
  <c r="BB206" i="24" s="1"/>
  <c r="AW206" i="24"/>
  <c r="AR56" i="25"/>
  <c r="BH56" i="25"/>
  <c r="AP56" i="25"/>
  <c r="BW56" i="25"/>
  <c r="BU56" i="25"/>
  <c r="BF56" i="25"/>
  <c r="AU159" i="24"/>
  <c r="BB159" i="24" s="1"/>
  <c r="AW159" i="24"/>
  <c r="AR17" i="25"/>
  <c r="BJ17" i="25"/>
  <c r="BH17" i="25"/>
  <c r="AP17" i="25"/>
  <c r="BU17" i="25"/>
  <c r="BF17" i="25"/>
  <c r="BW17" i="25"/>
  <c r="AU104" i="24"/>
  <c r="BB104" i="24" s="1"/>
  <c r="AW104" i="24"/>
  <c r="AU197" i="24"/>
  <c r="BB197" i="24" s="1"/>
  <c r="AW197" i="24"/>
  <c r="AT89" i="25"/>
  <c r="AY89" i="25" s="1"/>
  <c r="AU89" i="25"/>
  <c r="AR312" i="25"/>
  <c r="BJ312" i="25"/>
  <c r="BH312" i="25"/>
  <c r="AP312" i="25"/>
  <c r="BF312" i="25"/>
  <c r="BW312" i="25"/>
  <c r="BU312" i="25"/>
  <c r="AU202" i="24"/>
  <c r="BB202" i="24" s="1"/>
  <c r="AW202" i="24"/>
  <c r="AR175" i="25"/>
  <c r="BJ175" i="25"/>
  <c r="BH175" i="25"/>
  <c r="AP175" i="25"/>
  <c r="BF175" i="25"/>
  <c r="BU175" i="25"/>
  <c r="BW175" i="25"/>
  <c r="AU47" i="24"/>
  <c r="BB47" i="24" s="1"/>
  <c r="AW47" i="24"/>
  <c r="AR285" i="25"/>
  <c r="BJ285" i="25"/>
  <c r="BH285" i="25"/>
  <c r="AP285" i="25"/>
  <c r="BF285" i="25"/>
  <c r="BW285" i="25"/>
  <c r="BU285" i="25"/>
  <c r="AU184" i="24"/>
  <c r="BB184" i="24" s="1"/>
  <c r="AW184" i="24"/>
  <c r="AY160" i="24"/>
  <c r="AZ160" i="24" s="1"/>
  <c r="BD160" i="24"/>
  <c r="BE160" i="24"/>
  <c r="BT160" i="24" s="1"/>
  <c r="AU88" i="24"/>
  <c r="BB88" i="24" s="1"/>
  <c r="AW88" i="24"/>
  <c r="AU16" i="24"/>
  <c r="BB16" i="24" s="1"/>
  <c r="AW16" i="24"/>
  <c r="AR171" i="25"/>
  <c r="BH171" i="25"/>
  <c r="AP171" i="25"/>
  <c r="BF171" i="25"/>
  <c r="BW171" i="25"/>
  <c r="BU171" i="25"/>
  <c r="AR49" i="25"/>
  <c r="BJ49" i="25"/>
  <c r="BH49" i="25"/>
  <c r="AP49" i="25"/>
  <c r="BF49" i="25"/>
  <c r="BW49" i="25"/>
  <c r="BU49" i="25"/>
  <c r="AR183" i="25"/>
  <c r="BH183" i="25"/>
  <c r="AP183" i="25"/>
  <c r="BF183" i="25"/>
  <c r="BW183" i="25"/>
  <c r="BU183" i="25"/>
  <c r="AY257" i="24"/>
  <c r="AZ257" i="24" s="1"/>
  <c r="BD257" i="24"/>
  <c r="BE257" i="24"/>
  <c r="BT257" i="24" s="1"/>
  <c r="BE119" i="24"/>
  <c r="BT119" i="24" s="1"/>
  <c r="AY119" i="24"/>
  <c r="AZ119" i="24" s="1"/>
  <c r="BD119" i="24"/>
  <c r="AW30" i="24"/>
  <c r="AR253" i="25"/>
  <c r="BJ253" i="25"/>
  <c r="BH253" i="25"/>
  <c r="AP253" i="25"/>
  <c r="BF253" i="25"/>
  <c r="BW253" i="25"/>
  <c r="BU253" i="25"/>
  <c r="AU67" i="24"/>
  <c r="BB67" i="24" s="1"/>
  <c r="AW67" i="24"/>
  <c r="AT34" i="25"/>
  <c r="AY34" i="25" s="1"/>
  <c r="AU34" i="25"/>
  <c r="AU137" i="24"/>
  <c r="BB137" i="24" s="1"/>
  <c r="AW137" i="24"/>
  <c r="AR141" i="25"/>
  <c r="BJ141" i="25"/>
  <c r="BH141" i="25"/>
  <c r="AP141" i="25"/>
  <c r="BW141" i="25"/>
  <c r="BU141" i="25"/>
  <c r="BF141" i="25"/>
  <c r="AT178" i="25"/>
  <c r="AY178" i="25" s="1"/>
  <c r="AU178" i="25"/>
  <c r="BB143" i="25"/>
  <c r="BS143" i="25" s="1"/>
  <c r="BC143" i="25"/>
  <c r="BT143" i="25" s="1"/>
  <c r="BA143" i="25"/>
  <c r="AW284" i="24"/>
  <c r="AU262" i="24"/>
  <c r="BB262" i="24" s="1"/>
  <c r="AW262" i="24"/>
  <c r="BE41" i="24"/>
  <c r="BT41" i="24" s="1"/>
  <c r="AY41" i="24"/>
  <c r="AZ41" i="24" s="1"/>
  <c r="BD41" i="24"/>
  <c r="BJ58" i="25"/>
  <c r="AR58" i="25"/>
  <c r="BH58" i="25"/>
  <c r="AP58" i="25"/>
  <c r="BW58" i="25"/>
  <c r="BF58" i="25"/>
  <c r="BU58" i="25"/>
  <c r="AR307" i="25"/>
  <c r="BH307" i="25"/>
  <c r="AP307" i="25"/>
  <c r="BU307" i="25"/>
  <c r="BW307" i="25"/>
  <c r="BF307" i="25"/>
  <c r="AR42" i="25"/>
  <c r="BJ42" i="25"/>
  <c r="BH42" i="25"/>
  <c r="AP42" i="25"/>
  <c r="BF42" i="25"/>
  <c r="BW42" i="25"/>
  <c r="BU42" i="25"/>
  <c r="AU46" i="24"/>
  <c r="BB46" i="24" s="1"/>
  <c r="AW46" i="24"/>
  <c r="AW237" i="24"/>
  <c r="AR205" i="25"/>
  <c r="BJ205" i="25"/>
  <c r="BH205" i="25"/>
  <c r="BF205" i="25"/>
  <c r="BW205" i="25"/>
  <c r="BU205" i="25"/>
  <c r="AR309" i="25"/>
  <c r="BH309" i="25"/>
  <c r="AP309" i="25"/>
  <c r="BF309" i="25"/>
  <c r="BU309" i="25"/>
  <c r="BW309" i="25"/>
  <c r="AU196" i="24"/>
  <c r="BB196" i="24" s="1"/>
  <c r="AW196" i="24"/>
  <c r="AU83" i="24"/>
  <c r="BB83" i="24" s="1"/>
  <c r="AW83" i="24"/>
  <c r="AU175" i="24"/>
  <c r="BB175" i="24" s="1"/>
  <c r="AW175" i="24"/>
  <c r="AR80" i="25"/>
  <c r="BH80" i="25"/>
  <c r="AP80" i="25"/>
  <c r="BF80" i="25"/>
  <c r="BU80" i="25"/>
  <c r="BW80" i="25"/>
  <c r="AR105" i="25"/>
  <c r="BJ105" i="25"/>
  <c r="BH105" i="25"/>
  <c r="BW105" i="25"/>
  <c r="BU105" i="25"/>
  <c r="BF105" i="25"/>
  <c r="BE45" i="24"/>
  <c r="BT45" i="24" s="1"/>
  <c r="BD45" i="24"/>
  <c r="AY45" i="24"/>
  <c r="AZ45" i="24" s="1"/>
  <c r="AR184" i="25"/>
  <c r="BH184" i="25"/>
  <c r="AP184" i="25"/>
  <c r="BF184" i="25"/>
  <c r="BU184" i="25"/>
  <c r="BW184" i="25"/>
  <c r="AW126" i="24"/>
  <c r="BJ269" i="25"/>
  <c r="AR269" i="25"/>
  <c r="BH269" i="25"/>
  <c r="AP269" i="25"/>
  <c r="BF269" i="25"/>
  <c r="BW269" i="25"/>
  <c r="BU269" i="25"/>
  <c r="AR93" i="25"/>
  <c r="BJ93" i="25"/>
  <c r="BH93" i="25"/>
  <c r="AP93" i="25"/>
  <c r="BU93" i="25"/>
  <c r="BW93" i="25"/>
  <c r="BF93" i="25"/>
  <c r="AT62" i="25"/>
  <c r="AY62" i="25" s="1"/>
  <c r="AU62" i="25"/>
  <c r="AT31" i="25"/>
  <c r="AY31" i="25" s="1"/>
  <c r="AU31" i="25"/>
  <c r="AR218" i="25"/>
  <c r="BH218" i="25"/>
  <c r="AP218" i="25"/>
  <c r="BW218" i="25"/>
  <c r="BF218" i="25"/>
  <c r="BU218" i="25"/>
  <c r="AU222" i="24"/>
  <c r="BB222" i="24" s="1"/>
  <c r="AW222" i="24"/>
  <c r="AU140" i="24"/>
  <c r="BB140" i="24" s="1"/>
  <c r="AW140" i="24"/>
  <c r="AU77" i="24"/>
  <c r="BB77" i="24" s="1"/>
  <c r="AW77" i="24"/>
  <c r="AU53" i="24"/>
  <c r="BB53" i="24" s="1"/>
  <c r="AW53" i="24"/>
  <c r="AR121" i="25"/>
  <c r="BH121" i="25"/>
  <c r="AP121" i="25"/>
  <c r="BF121" i="25"/>
  <c r="BU121" i="25"/>
  <c r="BW121" i="25"/>
  <c r="AY162" i="24"/>
  <c r="AZ162" i="24" s="1"/>
  <c r="BD162" i="24"/>
  <c r="BE162" i="24"/>
  <c r="BT162" i="24" s="1"/>
  <c r="AT161" i="25"/>
  <c r="AY161" i="25" s="1"/>
  <c r="AU161" i="25"/>
  <c r="AU49" i="24"/>
  <c r="BB49" i="24" s="1"/>
  <c r="AW49" i="24"/>
  <c r="AR233" i="25"/>
  <c r="BJ233" i="25"/>
  <c r="BH233" i="25"/>
  <c r="AP233" i="25"/>
  <c r="BF233" i="25"/>
  <c r="BU233" i="25"/>
  <c r="BW233" i="25"/>
  <c r="AR153" i="25"/>
  <c r="BH153" i="25"/>
  <c r="AP153" i="25"/>
  <c r="BF153" i="25"/>
  <c r="BW153" i="25"/>
  <c r="BU153" i="25"/>
  <c r="AR10" i="25"/>
  <c r="BH10" i="25"/>
  <c r="AP10" i="25"/>
  <c r="BF10" i="25"/>
  <c r="BU10" i="25"/>
  <c r="BW10" i="25"/>
  <c r="AR123" i="25"/>
  <c r="BJ123" i="25"/>
  <c r="BH123" i="25"/>
  <c r="AP123" i="25"/>
  <c r="BF123" i="25"/>
  <c r="BU123" i="25"/>
  <c r="BW123" i="25"/>
  <c r="AR159" i="25"/>
  <c r="BH159" i="25"/>
  <c r="AP159" i="25"/>
  <c r="BU159" i="25"/>
  <c r="BW159" i="25"/>
  <c r="BF159" i="25"/>
  <c r="AU39" i="24"/>
  <c r="BB39" i="24" s="1"/>
  <c r="AW39" i="24"/>
  <c r="AU173" i="24"/>
  <c r="BB173" i="24" s="1"/>
  <c r="AW173" i="24"/>
  <c r="AR236" i="25"/>
  <c r="BJ236" i="25"/>
  <c r="BH236" i="25"/>
  <c r="AP236" i="25"/>
  <c r="BF236" i="25"/>
  <c r="BU236" i="25"/>
  <c r="BW236" i="25"/>
  <c r="AU275" i="24"/>
  <c r="BB275" i="24" s="1"/>
  <c r="AW275" i="24"/>
  <c r="AR137" i="25"/>
  <c r="BJ137" i="25"/>
  <c r="BH137" i="25"/>
  <c r="AP137" i="25"/>
  <c r="BF137" i="25"/>
  <c r="BW137" i="25"/>
  <c r="BU137" i="25"/>
  <c r="AR230" i="25"/>
  <c r="BJ230" i="25"/>
  <c r="BH230" i="25"/>
  <c r="AP230" i="25"/>
  <c r="BF230" i="25"/>
  <c r="BW230" i="25"/>
  <c r="BU230" i="25"/>
  <c r="AR46" i="25"/>
  <c r="BJ46" i="25"/>
  <c r="BH46" i="25"/>
  <c r="AP46" i="25"/>
  <c r="BF46" i="25"/>
  <c r="BW46" i="25"/>
  <c r="BU46" i="25"/>
  <c r="AT206" i="25"/>
  <c r="AY206" i="25" s="1"/>
  <c r="AU206" i="25"/>
  <c r="AT29" i="25"/>
  <c r="AY29" i="25" s="1"/>
  <c r="AU29" i="25"/>
  <c r="AU278" i="24"/>
  <c r="BB278" i="24" s="1"/>
  <c r="AW278" i="24"/>
  <c r="AU313" i="24"/>
  <c r="BB313" i="24" s="1"/>
  <c r="AW313" i="24"/>
  <c r="AR268" i="25"/>
  <c r="BH268" i="25"/>
  <c r="AP268" i="25"/>
  <c r="BW268" i="25"/>
  <c r="BU268" i="25"/>
  <c r="BF268" i="25"/>
  <c r="AR242" i="25"/>
  <c r="BH242" i="25"/>
  <c r="AP242" i="25"/>
  <c r="BF242" i="25"/>
  <c r="BU242" i="25"/>
  <c r="BW242" i="25"/>
  <c r="AR146" i="25"/>
  <c r="BJ146" i="25"/>
  <c r="BH146" i="25"/>
  <c r="AP146" i="25"/>
  <c r="BF146" i="25"/>
  <c r="BU146" i="25"/>
  <c r="BW146" i="25"/>
  <c r="AR79" i="25"/>
  <c r="BH79" i="25"/>
  <c r="AP79" i="25"/>
  <c r="BW79" i="25"/>
  <c r="BU79" i="25"/>
  <c r="BF79" i="25"/>
  <c r="BE21" i="24"/>
  <c r="BT21" i="24" s="1"/>
  <c r="AY21" i="24"/>
  <c r="AZ21" i="24" s="1"/>
  <c r="BD21" i="24"/>
  <c r="AU10" i="24"/>
  <c r="BB10" i="24" s="1"/>
  <c r="AW10" i="24"/>
  <c r="AU207" i="24"/>
  <c r="BB207" i="24" s="1"/>
  <c r="AW207" i="24"/>
  <c r="AU157" i="24"/>
  <c r="BB157" i="24" s="1"/>
  <c r="AW157" i="24"/>
  <c r="AU31" i="24"/>
  <c r="BB31" i="24" s="1"/>
  <c r="AW31" i="24"/>
  <c r="AT59" i="25"/>
  <c r="AY59" i="25" s="1"/>
  <c r="AU59" i="25"/>
  <c r="AR111" i="25"/>
  <c r="BH111" i="25"/>
  <c r="AP111" i="25"/>
  <c r="BF111" i="25"/>
  <c r="BU111" i="25"/>
  <c r="BW111" i="25"/>
  <c r="AR127" i="25"/>
  <c r="BJ127" i="25"/>
  <c r="BH127" i="25"/>
  <c r="AP127" i="25"/>
  <c r="BF127" i="25"/>
  <c r="BW127" i="25"/>
  <c r="BU127" i="25"/>
  <c r="AU11" i="24"/>
  <c r="BB11" i="24" s="1"/>
  <c r="AW11" i="24"/>
  <c r="AT248" i="25"/>
  <c r="AU248" i="25"/>
  <c r="AR208" i="25"/>
  <c r="BJ208" i="25"/>
  <c r="BH208" i="25"/>
  <c r="BU208" i="25"/>
  <c r="BW208" i="25"/>
  <c r="BF208" i="25"/>
  <c r="AR264" i="25"/>
  <c r="BJ264" i="25"/>
  <c r="BH264" i="25"/>
  <c r="AP264" i="25"/>
  <c r="BF264" i="25"/>
  <c r="BU264" i="25"/>
  <c r="BW264" i="25"/>
  <c r="AR166" i="25"/>
  <c r="BH166" i="25"/>
  <c r="AP166" i="25"/>
  <c r="BF166" i="25"/>
  <c r="BW166" i="25"/>
  <c r="BU166" i="25"/>
  <c r="AR103" i="25"/>
  <c r="BH103" i="25"/>
  <c r="BW103" i="25"/>
  <c r="BU103" i="25"/>
  <c r="BF103" i="25"/>
  <c r="AR35" i="25"/>
  <c r="BJ35" i="25"/>
  <c r="BH35" i="25"/>
  <c r="AP35" i="25"/>
  <c r="BW35" i="25"/>
  <c r="BU35" i="25"/>
  <c r="BF35" i="25"/>
  <c r="AR75" i="25"/>
  <c r="BJ75" i="25"/>
  <c r="BH75" i="25"/>
  <c r="AP75" i="25"/>
  <c r="BU75" i="25"/>
  <c r="BF75" i="25"/>
  <c r="BW75" i="25"/>
  <c r="AW266" i="24"/>
  <c r="AR63" i="25"/>
  <c r="BJ63" i="25"/>
  <c r="BH63" i="25"/>
  <c r="AP63" i="25"/>
  <c r="BF63" i="25"/>
  <c r="BW63" i="25"/>
  <c r="BU63" i="25"/>
  <c r="AT170" i="25"/>
  <c r="AY170" i="25" s="1"/>
  <c r="AU170" i="25"/>
  <c r="AR165" i="25"/>
  <c r="BH165" i="25"/>
  <c r="AP165" i="25"/>
  <c r="BU165" i="25"/>
  <c r="BW165" i="25"/>
  <c r="BF165" i="25"/>
  <c r="AU118" i="24"/>
  <c r="BB118" i="24" s="1"/>
  <c r="AW118" i="24"/>
  <c r="AU139" i="24"/>
  <c r="BB139" i="24" s="1"/>
  <c r="AW139" i="24"/>
  <c r="AU95" i="24"/>
  <c r="BB95" i="24" s="1"/>
  <c r="AW95" i="24"/>
  <c r="AR50" i="25"/>
  <c r="BJ50" i="25"/>
  <c r="BH50" i="25"/>
  <c r="AP50" i="25"/>
  <c r="BW50" i="25"/>
  <c r="BU50" i="25"/>
  <c r="BF50" i="25"/>
  <c r="AW56" i="24"/>
  <c r="AT267" i="25"/>
  <c r="AU267" i="25"/>
  <c r="AU303" i="24"/>
  <c r="BB303" i="24" s="1"/>
  <c r="AW303" i="24"/>
  <c r="AU127" i="24"/>
  <c r="BB127" i="24" s="1"/>
  <c r="AW127" i="24"/>
  <c r="AU250" i="24"/>
  <c r="BB250" i="24" s="1"/>
  <c r="AW250" i="24"/>
  <c r="AR286" i="25"/>
  <c r="BH286" i="25"/>
  <c r="AP286" i="25"/>
  <c r="BU286" i="25"/>
  <c r="BF286" i="25"/>
  <c r="BW286" i="25"/>
  <c r="AT257" i="25"/>
  <c r="AU257" i="25"/>
  <c r="AU42" i="24"/>
  <c r="BB42" i="24" s="1"/>
  <c r="AW42" i="24"/>
  <c r="BJ128" i="25"/>
  <c r="AR128" i="25"/>
  <c r="BH128" i="25"/>
  <c r="AP128" i="25"/>
  <c r="BF128" i="25"/>
  <c r="BU128" i="25"/>
  <c r="BW128" i="25"/>
  <c r="AR209" i="25"/>
  <c r="BJ209" i="25"/>
  <c r="BH209" i="25"/>
  <c r="BU209" i="25"/>
  <c r="BW209" i="25"/>
  <c r="BF209" i="25"/>
  <c r="AR217" i="25"/>
  <c r="BJ217" i="25"/>
  <c r="BH217" i="25"/>
  <c r="AP217" i="25"/>
  <c r="BF217" i="25"/>
  <c r="BW217" i="25"/>
  <c r="BU217" i="25"/>
  <c r="AU70" i="24"/>
  <c r="BB70" i="24" s="1"/>
  <c r="AW70" i="24"/>
  <c r="AR252" i="25"/>
  <c r="BJ252" i="25"/>
  <c r="BH252" i="25"/>
  <c r="AP252" i="25"/>
  <c r="BF252" i="25"/>
  <c r="BU252" i="25"/>
  <c r="BW252" i="25"/>
  <c r="AU122" i="24"/>
  <c r="BB122" i="24" s="1"/>
  <c r="AW122" i="24"/>
  <c r="AU87" i="24"/>
  <c r="BB87" i="24" s="1"/>
  <c r="AW87" i="24"/>
  <c r="AR83" i="25"/>
  <c r="BJ83" i="25"/>
  <c r="BH83" i="25"/>
  <c r="AP83" i="25"/>
  <c r="BF83" i="25"/>
  <c r="BW83" i="25"/>
  <c r="BU83" i="25"/>
  <c r="AU314" i="24"/>
  <c r="BB314" i="24" s="1"/>
  <c r="AW314" i="24"/>
  <c r="AR152" i="25"/>
  <c r="BH152" i="25"/>
  <c r="AP152" i="25"/>
  <c r="BF152" i="25"/>
  <c r="BU152" i="25"/>
  <c r="BW152" i="25"/>
  <c r="AR277" i="25"/>
  <c r="BJ277" i="25"/>
  <c r="BH277" i="25"/>
  <c r="AP277" i="25"/>
  <c r="BW277" i="25"/>
  <c r="BU277" i="25"/>
  <c r="BF277" i="25"/>
  <c r="AY191" i="24"/>
  <c r="AZ191" i="24" s="1"/>
  <c r="BE191" i="24"/>
  <c r="BT191" i="24" s="1"/>
  <c r="BD191" i="24"/>
  <c r="BD294" i="24"/>
  <c r="AY294" i="24"/>
  <c r="AZ294" i="24" s="1"/>
  <c r="BE294" i="24"/>
  <c r="BT294" i="24" s="1"/>
  <c r="BJ271" i="25"/>
  <c r="AR271" i="25"/>
  <c r="BH271" i="25"/>
  <c r="AP271" i="25"/>
  <c r="BF271" i="25"/>
  <c r="BU271" i="25"/>
  <c r="BW271" i="25"/>
  <c r="AT147" i="25"/>
  <c r="AY147" i="25" s="1"/>
  <c r="AU147" i="25"/>
  <c r="AR149" i="25"/>
  <c r="BJ149" i="25"/>
  <c r="BH149" i="25"/>
  <c r="AP149" i="25"/>
  <c r="BF149" i="25"/>
  <c r="BW149" i="25"/>
  <c r="BU149" i="25"/>
  <c r="AU201" i="24"/>
  <c r="BB201" i="24" s="1"/>
  <c r="AW201" i="24"/>
  <c r="AU231" i="24"/>
  <c r="BB231" i="24" s="1"/>
  <c r="AW231" i="24"/>
  <c r="AU91" i="24"/>
  <c r="BB91" i="24" s="1"/>
  <c r="AW91" i="24"/>
  <c r="AU288" i="24"/>
  <c r="BB288" i="24" s="1"/>
  <c r="AW288" i="24"/>
  <c r="AU229" i="24"/>
  <c r="BB229" i="24" s="1"/>
  <c r="AW229" i="24"/>
  <c r="AU172" i="24"/>
  <c r="BB172" i="24" s="1"/>
  <c r="AW172" i="24"/>
  <c r="AU285" i="24"/>
  <c r="BB285" i="24" s="1"/>
  <c r="AW285" i="24"/>
  <c r="AR219" i="25"/>
  <c r="BH219" i="25"/>
  <c r="AP219" i="25"/>
  <c r="BF219" i="25"/>
  <c r="BW219" i="25"/>
  <c r="BU219" i="25"/>
  <c r="AU302" i="24"/>
  <c r="BB302" i="24" s="1"/>
  <c r="AW302" i="24"/>
  <c r="AR120" i="25"/>
  <c r="BJ120" i="25"/>
  <c r="BH120" i="25"/>
  <c r="AP120" i="25"/>
  <c r="BW120" i="25"/>
  <c r="BF120" i="25"/>
  <c r="BU120" i="25"/>
  <c r="AR234" i="25"/>
  <c r="BJ234" i="25"/>
  <c r="BH234" i="25"/>
  <c r="AP234" i="25"/>
  <c r="BF234" i="25"/>
  <c r="BW234" i="25"/>
  <c r="BU234" i="25"/>
  <c r="AU194" i="24"/>
  <c r="BB194" i="24" s="1"/>
  <c r="AW194" i="24"/>
  <c r="AR164" i="25"/>
  <c r="BH164" i="25"/>
  <c r="AP164" i="25"/>
  <c r="BW164" i="25"/>
  <c r="BU164" i="25"/>
  <c r="BF164" i="25"/>
  <c r="AT204" i="25"/>
  <c r="AY204" i="25" s="1"/>
  <c r="AU204" i="25"/>
  <c r="AU115" i="24"/>
  <c r="BB115" i="24" s="1"/>
  <c r="AW115" i="24"/>
  <c r="AU293" i="24"/>
  <c r="BB293" i="24" s="1"/>
  <c r="AW293" i="24"/>
  <c r="BJ84" i="25"/>
  <c r="AR84" i="25"/>
  <c r="BH84" i="25"/>
  <c r="AP84" i="25"/>
  <c r="BU84" i="25"/>
  <c r="BF84" i="25"/>
  <c r="BW84" i="25"/>
  <c r="AR61" i="25"/>
  <c r="BJ61" i="25"/>
  <c r="BH61" i="25"/>
  <c r="AP61" i="25"/>
  <c r="BF61" i="25"/>
  <c r="BU61" i="25"/>
  <c r="BW61" i="25"/>
  <c r="AR157" i="25"/>
  <c r="BJ157" i="25"/>
  <c r="BH157" i="25"/>
  <c r="AP157" i="25"/>
  <c r="BU157" i="25"/>
  <c r="BW157" i="25"/>
  <c r="BF157" i="25"/>
  <c r="AT186" i="25"/>
  <c r="AY186" i="25" s="1"/>
  <c r="AU186" i="25"/>
  <c r="AW297" i="24"/>
  <c r="AW51" i="24"/>
  <c r="AR51" i="25"/>
  <c r="BJ51" i="25"/>
  <c r="BH51" i="25"/>
  <c r="AP51" i="25"/>
  <c r="BU51" i="25"/>
  <c r="BW51" i="25"/>
  <c r="BF51" i="25"/>
  <c r="AT259" i="25"/>
  <c r="AU259" i="25"/>
  <c r="AU244" i="24"/>
  <c r="BB244" i="24" s="1"/>
  <c r="AW244" i="24"/>
  <c r="AT199" i="25"/>
  <c r="AY199" i="25" s="1"/>
  <c r="AU199" i="25"/>
  <c r="AR60" i="25"/>
  <c r="BH60" i="25"/>
  <c r="AP60" i="25"/>
  <c r="BU60" i="25"/>
  <c r="BF60" i="25"/>
  <c r="BW60" i="25"/>
  <c r="AT247" i="25"/>
  <c r="AU247" i="25"/>
  <c r="AW243" i="24"/>
  <c r="AU251" i="24"/>
  <c r="BB251" i="24" s="1"/>
  <c r="AW251" i="24"/>
  <c r="AU165" i="24"/>
  <c r="BB165" i="24" s="1"/>
  <c r="AW165" i="24"/>
  <c r="AW9" i="24"/>
  <c r="AU96" i="24"/>
  <c r="BB96" i="24" s="1"/>
  <c r="AW96" i="24"/>
  <c r="AW32" i="24"/>
  <c r="AT283" i="25"/>
  <c r="AU283" i="25"/>
  <c r="AU272" i="24"/>
  <c r="BB272" i="24" s="1"/>
  <c r="AW272" i="24"/>
  <c r="AU97" i="24"/>
  <c r="BB97" i="24" s="1"/>
  <c r="AW97" i="24"/>
  <c r="AU141" i="24"/>
  <c r="BB141" i="24" s="1"/>
  <c r="AW141" i="24"/>
  <c r="AU50" i="24"/>
  <c r="BB50" i="24" s="1"/>
  <c r="AW50" i="24"/>
  <c r="AR52" i="25"/>
  <c r="BH52" i="25"/>
  <c r="AP52" i="25"/>
  <c r="BF52" i="25"/>
  <c r="BW52" i="25"/>
  <c r="BU52" i="25"/>
  <c r="BA110" i="25"/>
  <c r="BC110" i="25"/>
  <c r="BT110" i="25" s="1"/>
  <c r="BB110" i="25"/>
  <c r="BS110" i="25" s="1"/>
  <c r="AT192" i="25"/>
  <c r="AY192" i="25" s="1"/>
  <c r="AU192" i="25"/>
  <c r="AU223" i="24"/>
  <c r="BB223" i="24" s="1"/>
  <c r="AW223" i="24"/>
  <c r="AR194" i="25"/>
  <c r="BH194" i="25"/>
  <c r="CE194" i="25"/>
  <c r="BW194" i="25"/>
  <c r="BU194" i="25"/>
  <c r="BF194" i="25"/>
  <c r="AT282" i="25"/>
  <c r="AU282" i="25"/>
  <c r="AW128" i="24"/>
  <c r="AR45" i="25"/>
  <c r="BH45" i="25"/>
  <c r="AP45" i="25"/>
  <c r="BF45" i="25"/>
  <c r="BW45" i="25"/>
  <c r="BU45" i="25"/>
  <c r="AR37" i="25"/>
  <c r="BJ37" i="25"/>
  <c r="BH37" i="25"/>
  <c r="AP37" i="25"/>
  <c r="BF37" i="25"/>
  <c r="BU37" i="25"/>
  <c r="BW37" i="25"/>
  <c r="AR144" i="25"/>
  <c r="BJ144" i="25"/>
  <c r="BH144" i="25"/>
  <c r="AP144" i="25"/>
  <c r="BF144" i="25"/>
  <c r="BW144" i="25"/>
  <c r="BU144" i="25"/>
  <c r="AU65" i="24"/>
  <c r="BB65" i="24" s="1"/>
  <c r="AW65" i="24"/>
  <c r="AT92" i="25"/>
  <c r="AY92" i="25" s="1"/>
  <c r="AU92" i="25"/>
  <c r="AR125" i="25"/>
  <c r="BH125" i="25"/>
  <c r="AP125" i="25"/>
  <c r="BF125" i="25"/>
  <c r="BU125" i="25"/>
  <c r="BW125" i="25"/>
  <c r="AR244" i="25"/>
  <c r="BJ244" i="25"/>
  <c r="BH244" i="25"/>
  <c r="AP244" i="25"/>
  <c r="BU244" i="25"/>
  <c r="BW244" i="25"/>
  <c r="BF244" i="25"/>
  <c r="AR91" i="25"/>
  <c r="BJ91" i="25"/>
  <c r="BH91" i="25"/>
  <c r="AP91" i="25"/>
  <c r="BF91" i="25"/>
  <c r="BW91" i="25"/>
  <c r="BU91" i="25"/>
  <c r="BJ266" i="25"/>
  <c r="AR266" i="25"/>
  <c r="BH266" i="25"/>
  <c r="AP266" i="25"/>
  <c r="BU266" i="25"/>
  <c r="BF266" i="25"/>
  <c r="BW266" i="25"/>
  <c r="AR135" i="25"/>
  <c r="BH135" i="25"/>
  <c r="AP135" i="25"/>
  <c r="BU135" i="25"/>
  <c r="BW135" i="25"/>
  <c r="BF135" i="25"/>
  <c r="AR311" i="25"/>
  <c r="BH311" i="25"/>
  <c r="AP311" i="25"/>
  <c r="BW311" i="25"/>
  <c r="BU311" i="25"/>
  <c r="BF311" i="25"/>
  <c r="AU210" i="24"/>
  <c r="BB210" i="24" s="1"/>
  <c r="AW210" i="24"/>
  <c r="AU208" i="24"/>
  <c r="BB208" i="24" s="1"/>
  <c r="AW208" i="24"/>
  <c r="AU102" i="24"/>
  <c r="BB102" i="24" s="1"/>
  <c r="AW102" i="24"/>
  <c r="AU193" i="24"/>
  <c r="BB193" i="24" s="1"/>
  <c r="AW193" i="24"/>
  <c r="AU15" i="24"/>
  <c r="BB15" i="24" s="1"/>
  <c r="AW15" i="24"/>
  <c r="AT14" i="25"/>
  <c r="AY14" i="25" s="1"/>
  <c r="AU14" i="25"/>
  <c r="AU307" i="24"/>
  <c r="BB307" i="24" s="1"/>
  <c r="AW307" i="24"/>
  <c r="AU113" i="24"/>
  <c r="BB113" i="24" s="1"/>
  <c r="AW113" i="24"/>
  <c r="AR132" i="25"/>
  <c r="BH132" i="25"/>
  <c r="AP132" i="25"/>
  <c r="BF132" i="25"/>
  <c r="BW132" i="25"/>
  <c r="BU132" i="25"/>
  <c r="AU239" i="24"/>
  <c r="BB239" i="24" s="1"/>
  <c r="AW239" i="24"/>
  <c r="AU311" i="24"/>
  <c r="BB311" i="24" s="1"/>
  <c r="AW311" i="24"/>
  <c r="AT82" i="25"/>
  <c r="AY82" i="25" s="1"/>
  <c r="AU82" i="25"/>
  <c r="AU134" i="24"/>
  <c r="BB134" i="24" s="1"/>
  <c r="AW134" i="24"/>
  <c r="AU71" i="24"/>
  <c r="BB71" i="24" s="1"/>
  <c r="AW71" i="24"/>
  <c r="AR260" i="25"/>
  <c r="BJ260" i="25"/>
  <c r="BH260" i="25"/>
  <c r="AP260" i="25"/>
  <c r="BF260" i="25"/>
  <c r="BU260" i="25"/>
  <c r="BW260" i="25"/>
  <c r="AU291" i="24"/>
  <c r="BB291" i="24" s="1"/>
  <c r="AW291" i="24"/>
  <c r="AU85" i="24"/>
  <c r="BB85" i="24" s="1"/>
  <c r="AW85" i="24"/>
  <c r="AU178" i="24"/>
  <c r="BB178" i="24" s="1"/>
  <c r="AW178" i="24"/>
  <c r="AW267" i="24"/>
  <c r="AU105" i="24"/>
  <c r="BB105" i="24" s="1"/>
  <c r="B150" i="2" s="1"/>
  <c r="B151" i="2" s="1"/>
  <c r="E29" i="1" s="1"/>
  <c r="AW105" i="24"/>
  <c r="AR169" i="25"/>
  <c r="BH169" i="25"/>
  <c r="AP169" i="25"/>
  <c r="BF169" i="25"/>
  <c r="BW169" i="25"/>
  <c r="BU169" i="25"/>
  <c r="AT262" i="25"/>
  <c r="AU262" i="25"/>
  <c r="AR301" i="25"/>
  <c r="BJ301" i="25"/>
  <c r="BH301" i="25"/>
  <c r="AP301" i="25"/>
  <c r="BF301" i="25"/>
  <c r="BW301" i="25"/>
  <c r="BU301" i="25"/>
  <c r="BC129" i="25"/>
  <c r="BT129" i="25" s="1"/>
  <c r="BB129" i="25"/>
  <c r="BS129" i="25" s="1"/>
  <c r="BA129" i="25"/>
  <c r="AR85" i="25"/>
  <c r="BJ85" i="25"/>
  <c r="BH85" i="25"/>
  <c r="AP85" i="25"/>
  <c r="BU85" i="25"/>
  <c r="BF85" i="25"/>
  <c r="BW85" i="25"/>
  <c r="AR69" i="25"/>
  <c r="BJ69" i="25"/>
  <c r="BH69" i="25"/>
  <c r="AP69" i="25"/>
  <c r="BF69" i="25"/>
  <c r="BW69" i="25"/>
  <c r="BU69" i="25"/>
  <c r="BE190" i="24"/>
  <c r="BT190" i="24" s="1"/>
  <c r="BD190" i="24"/>
  <c r="AY190" i="24"/>
  <c r="AZ190" i="24" s="1"/>
  <c r="AU204" i="24"/>
  <c r="BB204" i="24" s="1"/>
  <c r="AW204" i="24"/>
  <c r="BE142" i="24"/>
  <c r="BT142" i="24" s="1"/>
  <c r="BD142" i="24"/>
  <c r="AY142" i="24"/>
  <c r="AZ142" i="24" s="1"/>
  <c r="AU199" i="24"/>
  <c r="BB199" i="24" s="1"/>
  <c r="AW199" i="24"/>
  <c r="AR289" i="25"/>
  <c r="BJ289" i="25"/>
  <c r="BH289" i="25"/>
  <c r="AP289" i="25"/>
  <c r="BW289" i="25"/>
  <c r="BU289" i="25"/>
  <c r="BF289" i="25"/>
  <c r="AT292" i="25"/>
  <c r="AU292" i="25"/>
  <c r="AR290" i="25"/>
  <c r="BJ290" i="25"/>
  <c r="BH290" i="25"/>
  <c r="AP290" i="25"/>
  <c r="BU290" i="25"/>
  <c r="BF290" i="25"/>
  <c r="BW290" i="25"/>
  <c r="AT246" i="25"/>
  <c r="AU246" i="25"/>
  <c r="AR197" i="25"/>
  <c r="BH197" i="25"/>
  <c r="BW197" i="25"/>
  <c r="BU197" i="25"/>
  <c r="BF197" i="25"/>
  <c r="AR72" i="25"/>
  <c r="BH72" i="25"/>
  <c r="AP72" i="25"/>
  <c r="BW72" i="25"/>
  <c r="BU72" i="25"/>
  <c r="BF72" i="25"/>
  <c r="AU168" i="24"/>
  <c r="BB168" i="24" s="1"/>
  <c r="AW168" i="24"/>
  <c r="AR251" i="25"/>
  <c r="BJ251" i="25"/>
  <c r="BH251" i="25"/>
  <c r="AP251" i="25"/>
  <c r="BF251" i="25"/>
  <c r="BW251" i="25"/>
  <c r="BU251" i="25"/>
  <c r="AR270" i="25"/>
  <c r="BH270" i="25"/>
  <c r="AP270" i="25"/>
  <c r="BU270" i="25"/>
  <c r="BW270" i="25"/>
  <c r="BF270" i="25"/>
  <c r="AW271" i="24"/>
  <c r="AU43" i="24"/>
  <c r="BB43" i="24" s="1"/>
  <c r="AW43" i="24"/>
  <c r="AR25" i="25"/>
  <c r="BJ25" i="25"/>
  <c r="BH25" i="25"/>
  <c r="AP25" i="25"/>
  <c r="BW25" i="25"/>
  <c r="BF25" i="25"/>
  <c r="BU25" i="25"/>
  <c r="AU309" i="24"/>
  <c r="BB309" i="24" s="1"/>
  <c r="AW309" i="24"/>
  <c r="AR142" i="25"/>
  <c r="BJ142" i="25"/>
  <c r="BH142" i="25"/>
  <c r="AP142" i="25"/>
  <c r="BF142" i="25"/>
  <c r="BU142" i="25"/>
  <c r="BW142" i="25"/>
  <c r="AT155" i="25"/>
  <c r="AY155" i="25" s="1"/>
  <c r="AU155" i="25"/>
  <c r="AU167" i="24"/>
  <c r="BB167" i="24" s="1"/>
  <c r="AW167" i="24"/>
  <c r="AU252" i="24"/>
  <c r="BB252" i="24" s="1"/>
  <c r="AW252" i="24"/>
  <c r="AU300" i="24"/>
  <c r="BB300" i="24" s="1"/>
  <c r="AW300" i="24"/>
  <c r="AW281" i="24"/>
  <c r="AR181" i="25"/>
  <c r="BH181" i="25"/>
  <c r="AP181" i="25"/>
  <c r="BU181" i="25"/>
  <c r="BW181" i="25"/>
  <c r="BF181" i="25"/>
  <c r="AU72" i="24"/>
  <c r="BB72" i="24" s="1"/>
  <c r="AW72" i="24"/>
  <c r="AT177" i="25"/>
  <c r="AY177" i="25" s="1"/>
  <c r="AU177" i="25"/>
  <c r="AU205" i="24"/>
  <c r="BB205" i="24" s="1"/>
  <c r="AW205" i="24"/>
  <c r="AU227" i="24"/>
  <c r="BB227" i="24" s="1"/>
  <c r="AW227" i="24"/>
  <c r="AU187" i="24"/>
  <c r="BB187" i="24" s="1"/>
  <c r="AW187" i="24"/>
  <c r="AU81" i="24"/>
  <c r="BB81" i="24" s="1"/>
  <c r="AW81" i="24"/>
  <c r="BJ225" i="25"/>
  <c r="AR225" i="25"/>
  <c r="BH225" i="25"/>
  <c r="AP225" i="25"/>
  <c r="BF225" i="25"/>
  <c r="BW225" i="25"/>
  <c r="BU225" i="25"/>
  <c r="AR196" i="25"/>
  <c r="BJ196" i="25"/>
  <c r="BH196" i="25"/>
  <c r="BF196" i="25"/>
  <c r="BW196" i="25"/>
  <c r="BU196" i="25"/>
  <c r="AU185" i="24"/>
  <c r="BB185" i="24" s="1"/>
  <c r="AW185" i="24"/>
  <c r="AR68" i="25"/>
  <c r="BJ68" i="25"/>
  <c r="BH68" i="25"/>
  <c r="AP68" i="25"/>
  <c r="BW68" i="25"/>
  <c r="BU68" i="25"/>
  <c r="BF68" i="25"/>
  <c r="AU310" i="24"/>
  <c r="BB310" i="24" s="1"/>
  <c r="AW310" i="24"/>
  <c r="AR228" i="25"/>
  <c r="BH228" i="25"/>
  <c r="AP228" i="25"/>
  <c r="BU228" i="25"/>
  <c r="BW228" i="25"/>
  <c r="BF228" i="25"/>
  <c r="AR73" i="25"/>
  <c r="BJ73" i="25"/>
  <c r="BH73" i="25"/>
  <c r="AP73" i="25"/>
  <c r="BF73" i="25"/>
  <c r="BW73" i="25"/>
  <c r="BU73" i="25"/>
  <c r="AR298" i="25"/>
  <c r="BJ298" i="25"/>
  <c r="BH298" i="25"/>
  <c r="AP298" i="25"/>
  <c r="BF298" i="25"/>
  <c r="BU298" i="25"/>
  <c r="BW298" i="25"/>
  <c r="AR47" i="25"/>
  <c r="BJ47" i="25"/>
  <c r="BH47" i="25"/>
  <c r="AP47" i="25"/>
  <c r="BF47" i="25"/>
  <c r="BU47" i="25"/>
  <c r="BW47" i="25"/>
  <c r="AR187" i="25"/>
  <c r="BJ187" i="25"/>
  <c r="BH187" i="25"/>
  <c r="AP187" i="25"/>
  <c r="BW187" i="25"/>
  <c r="BF187" i="25"/>
  <c r="BU187" i="25"/>
  <c r="AR272" i="25"/>
  <c r="BH272" i="25"/>
  <c r="AP272" i="25"/>
  <c r="BF272" i="25"/>
  <c r="BW272" i="25"/>
  <c r="BU272" i="25"/>
  <c r="AU226" i="24"/>
  <c r="BB226" i="24" s="1"/>
  <c r="AW226" i="24"/>
  <c r="AW8" i="24"/>
  <c r="AR118" i="25"/>
  <c r="BJ118" i="25"/>
  <c r="BH118" i="25"/>
  <c r="AP118" i="25"/>
  <c r="BF118" i="25"/>
  <c r="BW118" i="25"/>
  <c r="BU118" i="25"/>
  <c r="AR98" i="25"/>
  <c r="BJ98" i="25"/>
  <c r="BH98" i="25"/>
  <c r="BW98" i="25"/>
  <c r="BU98" i="25"/>
  <c r="BF98" i="25"/>
  <c r="AR122" i="25"/>
  <c r="BJ122" i="25"/>
  <c r="BH122" i="25"/>
  <c r="AP122" i="25"/>
  <c r="BF122" i="25"/>
  <c r="BU122" i="25"/>
  <c r="BW122" i="25"/>
  <c r="AU60" i="24"/>
  <c r="BB60" i="24" s="1"/>
  <c r="AW60" i="24"/>
  <c r="AT240" i="25"/>
  <c r="AU240" i="25"/>
  <c r="AR74" i="25"/>
  <c r="BH74" i="25"/>
  <c r="AP74" i="25"/>
  <c r="BF74" i="25"/>
  <c r="BU74" i="25"/>
  <c r="BW74" i="25"/>
  <c r="AU306" i="24"/>
  <c r="BB306" i="24" s="1"/>
  <c r="AW306" i="24"/>
  <c r="AR55" i="25"/>
  <c r="BH55" i="25"/>
  <c r="AP55" i="25"/>
  <c r="BF55" i="25"/>
  <c r="BW55" i="25"/>
  <c r="BU55" i="25"/>
  <c r="AR200" i="25"/>
  <c r="BJ200" i="25"/>
  <c r="BH200" i="25"/>
  <c r="BF200" i="25"/>
  <c r="BU200" i="25"/>
  <c r="BW200" i="25"/>
  <c r="AU230" i="24"/>
  <c r="BB230" i="24" s="1"/>
  <c r="AW230" i="24"/>
  <c r="AR54" i="25"/>
  <c r="BJ54" i="25"/>
  <c r="BH54" i="25"/>
  <c r="AP54" i="25"/>
  <c r="BF54" i="25"/>
  <c r="BW54" i="25"/>
  <c r="BU54" i="25"/>
  <c r="AU99" i="24"/>
  <c r="BB99" i="24" s="1"/>
  <c r="AW99" i="24"/>
  <c r="AT198" i="25"/>
  <c r="AY198" i="25" s="1"/>
  <c r="AU198" i="25"/>
  <c r="AR78" i="25"/>
  <c r="BJ78" i="25"/>
  <c r="BH78" i="25"/>
  <c r="AP78" i="25"/>
  <c r="BF78" i="25"/>
  <c r="BW78" i="25"/>
  <c r="BU78" i="25"/>
  <c r="AR191" i="25"/>
  <c r="BH191" i="25"/>
  <c r="AP191" i="25"/>
  <c r="BF191" i="25"/>
  <c r="BU191" i="25"/>
  <c r="BW191" i="25"/>
  <c r="BD22" i="24"/>
  <c r="AY22" i="24"/>
  <c r="AZ22" i="24" s="1"/>
  <c r="BE22" i="24"/>
  <c r="BT22" i="24" s="1"/>
  <c r="AU80" i="24"/>
  <c r="BB80" i="24" s="1"/>
  <c r="AW80" i="24"/>
  <c r="BJ150" i="25"/>
  <c r="AR150" i="25"/>
  <c r="BH150" i="25"/>
  <c r="AP150" i="25"/>
  <c r="BF150" i="25"/>
  <c r="BU150" i="25"/>
  <c r="BW150" i="25"/>
  <c r="AU84" i="24"/>
  <c r="BB84" i="24" s="1"/>
  <c r="AW84" i="24"/>
  <c r="AU166" i="24"/>
  <c r="BB166" i="24" s="1"/>
  <c r="AW166" i="24"/>
  <c r="AU316" i="24"/>
  <c r="BB316" i="24" s="1"/>
  <c r="AW316" i="24"/>
  <c r="AR116" i="25"/>
  <c r="BH116" i="25"/>
  <c r="AP116" i="25"/>
  <c r="BW116" i="25"/>
  <c r="BF116" i="25"/>
  <c r="BU116" i="25"/>
  <c r="AU150" i="24"/>
  <c r="BB150" i="24" s="1"/>
  <c r="AW150" i="24"/>
  <c r="AR226" i="25"/>
  <c r="BJ226" i="25"/>
  <c r="BH226" i="25"/>
  <c r="AP226" i="25"/>
  <c r="BU226" i="25"/>
  <c r="BW226" i="25"/>
  <c r="BF226" i="25"/>
  <c r="AR88" i="25"/>
  <c r="BH88" i="25"/>
  <c r="AP88" i="25"/>
  <c r="BW88" i="25"/>
  <c r="BU88" i="25"/>
  <c r="BF88" i="25"/>
  <c r="AR302" i="25"/>
  <c r="BH302" i="25"/>
  <c r="AP302" i="25"/>
  <c r="BW302" i="25"/>
  <c r="BF302" i="25"/>
  <c r="BU302" i="25"/>
  <c r="AR64" i="25"/>
  <c r="BH64" i="25"/>
  <c r="AP64" i="25"/>
  <c r="BF64" i="25"/>
  <c r="BW64" i="25"/>
  <c r="BU64" i="25"/>
  <c r="AU268" i="24"/>
  <c r="BB268" i="24" s="1"/>
  <c r="AW268" i="24"/>
  <c r="AW155" i="24"/>
  <c r="AU171" i="24"/>
  <c r="BB171" i="24" s="1"/>
  <c r="AW171" i="24"/>
  <c r="AT190" i="25"/>
  <c r="AY190" i="25" s="1"/>
  <c r="AU190" i="25"/>
  <c r="AT305" i="25"/>
  <c r="AU305" i="25"/>
  <c r="AW59" i="24"/>
  <c r="AR245" i="25"/>
  <c r="BH245" i="25"/>
  <c r="AP245" i="25"/>
  <c r="BF245" i="25"/>
  <c r="BW245" i="25"/>
  <c r="BU245" i="25"/>
  <c r="AR288" i="25"/>
  <c r="BJ288" i="25"/>
  <c r="BH288" i="25"/>
  <c r="AP288" i="25"/>
  <c r="BF288" i="25"/>
  <c r="BW288" i="25"/>
  <c r="BU288" i="25"/>
  <c r="AR223" i="25"/>
  <c r="BH223" i="25"/>
  <c r="AP223" i="25"/>
  <c r="BF223" i="25"/>
  <c r="BW223" i="25"/>
  <c r="BU223" i="25"/>
  <c r="AR315" i="25"/>
  <c r="BJ315" i="25"/>
  <c r="BH315" i="25"/>
  <c r="AP315" i="25"/>
  <c r="BU315" i="25"/>
  <c r="BW315" i="25"/>
  <c r="BF315" i="25"/>
  <c r="AR278" i="25"/>
  <c r="BJ278" i="25"/>
  <c r="BH278" i="25"/>
  <c r="AP278" i="25"/>
  <c r="BF278" i="25"/>
  <c r="BW278" i="25"/>
  <c r="BU278" i="25"/>
  <c r="BJ139" i="25"/>
  <c r="AR139" i="25"/>
  <c r="BH139" i="25"/>
  <c r="AP139" i="25"/>
  <c r="BU139" i="25"/>
  <c r="BW139" i="25"/>
  <c r="BF139" i="25"/>
  <c r="AR136" i="25"/>
  <c r="BJ136" i="25"/>
  <c r="BH136" i="25"/>
  <c r="AP136" i="25"/>
  <c r="BF136" i="25"/>
  <c r="BW136" i="25"/>
  <c r="BU136" i="25"/>
  <c r="AU23" i="24"/>
  <c r="BB23" i="24" s="1"/>
  <c r="AW23" i="24"/>
  <c r="AU94" i="24"/>
  <c r="BB94" i="24" s="1"/>
  <c r="AW94" i="24"/>
  <c r="AU189" i="24"/>
  <c r="BB189" i="24" s="1"/>
  <c r="AW189" i="24"/>
  <c r="AT243" i="25"/>
  <c r="AU243" i="25"/>
  <c r="AU144" i="24"/>
  <c r="BB144" i="24" s="1"/>
  <c r="AW144" i="24"/>
  <c r="AR145" i="25"/>
  <c r="BJ145" i="25"/>
  <c r="BH145" i="25"/>
  <c r="AP145" i="25"/>
  <c r="BW145" i="25"/>
  <c r="BU145" i="25"/>
  <c r="BF145" i="25"/>
  <c r="AU170" i="24"/>
  <c r="BB170" i="24" s="1"/>
  <c r="AW170" i="24"/>
  <c r="AU315" i="24"/>
  <c r="BB315" i="24" s="1"/>
  <c r="AW315" i="24"/>
  <c r="AW123" i="24"/>
  <c r="AT21" i="25"/>
  <c r="AY21" i="25" s="1"/>
  <c r="AU21" i="25"/>
  <c r="AR221" i="25"/>
  <c r="BH221" i="25"/>
  <c r="AP221" i="25"/>
  <c r="BU221" i="25"/>
  <c r="BW221" i="25"/>
  <c r="BF221" i="25"/>
  <c r="AU200" i="24"/>
  <c r="BB200" i="24" s="1"/>
  <c r="AW200" i="24"/>
  <c r="AU124" i="24"/>
  <c r="BB124" i="24" s="1"/>
  <c r="AW124" i="24"/>
  <c r="BE55" i="24"/>
  <c r="BT55" i="24" s="1"/>
  <c r="BD55" i="24"/>
  <c r="AY55" i="24"/>
  <c r="AZ55" i="24" s="1"/>
  <c r="AR180" i="25"/>
  <c r="BH180" i="25"/>
  <c r="AP180" i="25"/>
  <c r="BU180" i="25"/>
  <c r="BW180" i="25"/>
  <c r="BF180" i="25"/>
  <c r="AU89" i="24"/>
  <c r="BB89" i="24" s="1"/>
  <c r="AW89" i="24"/>
  <c r="AW125" i="24"/>
  <c r="AU256" i="24"/>
  <c r="BB256" i="24" s="1"/>
  <c r="AW256" i="24"/>
  <c r="AW35" i="24"/>
  <c r="AR203" i="25"/>
  <c r="BJ203" i="25"/>
  <c r="BH203" i="25"/>
  <c r="BF203" i="25"/>
  <c r="BW203" i="25"/>
  <c r="BU203" i="25"/>
  <c r="AU62" i="24"/>
  <c r="BB62" i="24" s="1"/>
  <c r="AW62" i="24"/>
  <c r="AR168" i="25"/>
  <c r="BH168" i="25"/>
  <c r="AP168" i="25"/>
  <c r="BF168" i="25"/>
  <c r="BW168" i="25"/>
  <c r="BU168" i="25"/>
  <c r="AR297" i="25"/>
  <c r="BJ297" i="25"/>
  <c r="BH297" i="25"/>
  <c r="AP297" i="25"/>
  <c r="BW297" i="25"/>
  <c r="BF297" i="25"/>
  <c r="BU297" i="25"/>
  <c r="AU61" i="24"/>
  <c r="BB61" i="24" s="1"/>
  <c r="AW61" i="24"/>
  <c r="AU183" i="24"/>
  <c r="BB183" i="24" s="1"/>
  <c r="AW183" i="24"/>
  <c r="AR100" i="25"/>
  <c r="BH100" i="25"/>
  <c r="BW100" i="25"/>
  <c r="BF100" i="25"/>
  <c r="BU100" i="25"/>
  <c r="AU13" i="24"/>
  <c r="BB13" i="24" s="1"/>
  <c r="AW13" i="24"/>
  <c r="AR176" i="25"/>
  <c r="BH176" i="25"/>
  <c r="AP176" i="25"/>
  <c r="BF176" i="25"/>
  <c r="BU176" i="25"/>
  <c r="BW176" i="25"/>
  <c r="AU304" i="24"/>
  <c r="BB304" i="24" s="1"/>
  <c r="AW304" i="24"/>
  <c r="AU308" i="24"/>
  <c r="BB308" i="24" s="1"/>
  <c r="AW308" i="24"/>
  <c r="AU163" i="24"/>
  <c r="BB163" i="24" s="1"/>
  <c r="AW163" i="24"/>
  <c r="AR115" i="25"/>
  <c r="BH115" i="25"/>
  <c r="AP115" i="25"/>
  <c r="BW115" i="25"/>
  <c r="BF115" i="25"/>
  <c r="BU115" i="25"/>
  <c r="AR126" i="25"/>
  <c r="BJ126" i="25"/>
  <c r="BH126" i="25"/>
  <c r="AP126" i="25"/>
  <c r="BU126" i="25"/>
  <c r="BW126" i="25"/>
  <c r="BF126" i="25"/>
  <c r="AT71" i="25"/>
  <c r="AY71" i="25" s="1"/>
  <c r="AU71" i="25"/>
  <c r="AU276" i="24"/>
  <c r="BB276" i="24" s="1"/>
  <c r="AW276" i="24"/>
  <c r="AR295" i="25"/>
  <c r="BH295" i="25"/>
  <c r="AP295" i="25"/>
  <c r="BF295" i="25"/>
  <c r="BW295" i="25"/>
  <c r="BU295" i="25"/>
  <c r="AT276" i="25"/>
  <c r="AU276" i="25"/>
  <c r="AR284" i="25"/>
  <c r="BH284" i="25"/>
  <c r="AP284" i="25"/>
  <c r="BW284" i="25"/>
  <c r="BU284" i="25"/>
  <c r="BF284" i="25"/>
  <c r="AW249" i="24"/>
  <c r="AR117" i="25"/>
  <c r="BH117" i="25"/>
  <c r="AP117" i="25"/>
  <c r="BW117" i="25"/>
  <c r="BU117" i="25"/>
  <c r="BF117" i="25"/>
  <c r="AT6" i="25"/>
  <c r="AY6" i="25" s="1"/>
  <c r="AU6" i="25"/>
  <c r="AU195" i="24"/>
  <c r="BB195" i="24" s="1"/>
  <c r="AW195" i="24"/>
  <c r="AR162" i="25"/>
  <c r="BH162" i="25"/>
  <c r="AP162" i="25"/>
  <c r="BU162" i="25"/>
  <c r="BF162" i="25"/>
  <c r="BW162" i="25"/>
  <c r="AU161" i="24"/>
  <c r="BB161" i="24" s="1"/>
  <c r="AW161" i="24"/>
  <c r="AR133" i="25"/>
  <c r="BJ133" i="25"/>
  <c r="BH133" i="25"/>
  <c r="AP133" i="25"/>
  <c r="BF133" i="25"/>
  <c r="BU133" i="25"/>
  <c r="BW133" i="25"/>
  <c r="AU131" i="24"/>
  <c r="BB131" i="24" s="1"/>
  <c r="AW131" i="24"/>
  <c r="AT87" i="25"/>
  <c r="AY87" i="25" s="1"/>
  <c r="AU87" i="25"/>
  <c r="AT28" i="25"/>
  <c r="AY28" i="25" s="1"/>
  <c r="AU28" i="25"/>
  <c r="AW263" i="24"/>
  <c r="AR99" i="25"/>
  <c r="BH99" i="25"/>
  <c r="BU99" i="25"/>
  <c r="BF99" i="25"/>
  <c r="BW99" i="25"/>
  <c r="AY264" i="24"/>
  <c r="AZ264" i="24" s="1"/>
  <c r="BD264" i="24"/>
  <c r="BE264" i="24"/>
  <c r="BT264" i="24" s="1"/>
  <c r="AR287" i="25"/>
  <c r="BH287" i="25"/>
  <c r="AP287" i="25"/>
  <c r="BU287" i="25"/>
  <c r="BF287" i="25"/>
  <c r="BW287" i="25"/>
  <c r="AU146" i="24"/>
  <c r="BB146" i="24" s="1"/>
  <c r="AW146" i="24"/>
  <c r="AR138" i="25"/>
  <c r="BH138" i="25"/>
  <c r="AP138" i="25"/>
  <c r="BF138" i="25"/>
  <c r="BW138" i="25"/>
  <c r="BU138" i="25"/>
  <c r="AU270" i="24"/>
  <c r="BB270" i="24" s="1"/>
  <c r="AW270" i="24"/>
  <c r="AT167" i="25"/>
  <c r="AY167" i="25" s="1"/>
  <c r="AU167" i="25"/>
  <c r="AU158" i="24"/>
  <c r="BB158" i="24" s="1"/>
  <c r="AW158" i="24"/>
  <c r="AY7" i="24"/>
  <c r="AZ7" i="24" s="1"/>
  <c r="BE7" i="24"/>
  <c r="BT7" i="24" s="1"/>
  <c r="BD7" i="24"/>
  <c r="AU180" i="24"/>
  <c r="BB180" i="24" s="1"/>
  <c r="AW180" i="24"/>
  <c r="AW145" i="24"/>
  <c r="AU29" i="24"/>
  <c r="BB29" i="24" s="1"/>
  <c r="AW29" i="24"/>
  <c r="AR202" i="25"/>
  <c r="BJ202" i="25"/>
  <c r="BH202" i="25"/>
  <c r="BF202" i="25"/>
  <c r="BW202" i="25"/>
  <c r="BU202" i="25"/>
  <c r="AR44" i="25"/>
  <c r="BJ44" i="25"/>
  <c r="BH44" i="25"/>
  <c r="AP44" i="25"/>
  <c r="BW44" i="25"/>
  <c r="BU44" i="25"/>
  <c r="BF44" i="25"/>
  <c r="AT306" i="25"/>
  <c r="AU306" i="25"/>
  <c r="BJ101" i="25"/>
  <c r="AR101" i="25"/>
  <c r="BH101" i="25"/>
  <c r="BF101" i="25"/>
  <c r="BW101" i="25"/>
  <c r="BU101" i="25"/>
  <c r="AU143" i="24"/>
  <c r="BB143" i="24" s="1"/>
  <c r="AW143" i="24"/>
  <c r="AU82" i="24"/>
  <c r="BB82" i="24" s="1"/>
  <c r="AW82" i="24"/>
  <c r="AR172" i="25"/>
  <c r="BH172" i="25"/>
  <c r="AP172" i="25"/>
  <c r="BF172" i="25"/>
  <c r="BW172" i="25"/>
  <c r="BU172" i="25"/>
  <c r="AR316" i="25"/>
  <c r="BH316" i="25"/>
  <c r="AP316" i="25"/>
  <c r="BF316" i="25"/>
  <c r="BU316" i="25"/>
  <c r="BW316" i="25"/>
  <c r="AT255" i="25"/>
  <c r="AU255" i="25"/>
  <c r="AU169" i="24"/>
  <c r="BB169" i="24" s="1"/>
  <c r="AW169" i="24"/>
  <c r="AR156" i="25"/>
  <c r="BH156" i="25"/>
  <c r="AP156" i="25"/>
  <c r="BU156" i="25"/>
  <c r="BW156" i="25"/>
  <c r="BF156" i="25"/>
  <c r="AU68" i="24"/>
  <c r="BB68" i="24" s="1"/>
  <c r="AW68" i="24"/>
  <c r="AR216" i="25"/>
  <c r="BJ216" i="25"/>
  <c r="BH216" i="25"/>
  <c r="AP216" i="25"/>
  <c r="BF216" i="25"/>
  <c r="BW216" i="25"/>
  <c r="BU216" i="25"/>
  <c r="AT158" i="25"/>
  <c r="AY158" i="25" s="1"/>
  <c r="AU158" i="25"/>
  <c r="AW129" i="24"/>
  <c r="AU86" i="24"/>
  <c r="BB86" i="24" s="1"/>
  <c r="AW86" i="24"/>
  <c r="AW290" i="24"/>
  <c r="AR185" i="25"/>
  <c r="BH185" i="25"/>
  <c r="AP185" i="25"/>
  <c r="BF185" i="25"/>
  <c r="BW185" i="25"/>
  <c r="BU185" i="25"/>
  <c r="AR281" i="25"/>
  <c r="BJ281" i="25"/>
  <c r="BH281" i="25"/>
  <c r="AP281" i="25"/>
  <c r="BU281" i="25"/>
  <c r="BW281" i="25"/>
  <c r="BF281" i="25"/>
  <c r="AU289" i="24"/>
  <c r="BB289" i="24" s="1"/>
  <c r="AW289" i="24"/>
  <c r="AU64" i="24"/>
  <c r="BB64" i="24" s="1"/>
  <c r="AW64" i="24"/>
  <c r="AT261" i="25"/>
  <c r="AU261" i="25"/>
  <c r="AU174" i="24"/>
  <c r="BB174" i="24" s="1"/>
  <c r="AW174" i="24"/>
  <c r="AU221" i="24"/>
  <c r="BB221" i="24" s="1"/>
  <c r="AW221" i="24"/>
  <c r="AR48" i="25"/>
  <c r="BJ48" i="25"/>
  <c r="BH48" i="25"/>
  <c r="AP48" i="25"/>
  <c r="BF48" i="25"/>
  <c r="BU48" i="25"/>
  <c r="BW48" i="25"/>
  <c r="AU192" i="24"/>
  <c r="BB192" i="24" s="1"/>
  <c r="AW192" i="24"/>
  <c r="AT229" i="25"/>
  <c r="AU229" i="25"/>
  <c r="AU156" i="24"/>
  <c r="BB156" i="24" s="1"/>
  <c r="AW156" i="24"/>
  <c r="AR57" i="25"/>
  <c r="BJ57" i="25"/>
  <c r="BH57" i="25"/>
  <c r="AP57" i="25"/>
  <c r="BF57" i="25"/>
  <c r="BU57" i="25"/>
  <c r="BW57" i="25"/>
  <c r="AU149" i="24"/>
  <c r="BB149" i="24" s="1"/>
  <c r="AW149" i="24"/>
  <c r="AR220" i="25"/>
  <c r="BJ220" i="25"/>
  <c r="BH220" i="25"/>
  <c r="AP220" i="25"/>
  <c r="BF220" i="25"/>
  <c r="BW220" i="25"/>
  <c r="BU220" i="25"/>
  <c r="BE132" i="24"/>
  <c r="BT132" i="24" s="1"/>
  <c r="BD132" i="24"/>
  <c r="AY132" i="24"/>
  <c r="AZ132" i="24" s="1"/>
  <c r="AT174" i="25"/>
  <c r="AY174" i="25" s="1"/>
  <c r="AU174" i="25"/>
  <c r="AT32" i="25"/>
  <c r="AY32" i="25" s="1"/>
  <c r="AU32" i="25"/>
  <c r="AT94" i="25"/>
  <c r="AY94" i="25" s="1"/>
  <c r="AU94" i="25"/>
  <c r="AR210" i="25"/>
  <c r="BJ210" i="25"/>
  <c r="BH210" i="25"/>
  <c r="BF210" i="25"/>
  <c r="BU210" i="25"/>
  <c r="BW210" i="25"/>
  <c r="AR182" i="25"/>
  <c r="BH182" i="25"/>
  <c r="AP182" i="25"/>
  <c r="BF182" i="25"/>
  <c r="BW182" i="25"/>
  <c r="BU182" i="25"/>
  <c r="AU277" i="24"/>
  <c r="BB277" i="24" s="1"/>
  <c r="AW277" i="24"/>
  <c r="AU154" i="24"/>
  <c r="BB154" i="24" s="1"/>
  <c r="AW154" i="24"/>
  <c r="AW17" i="24"/>
  <c r="BJ39" i="25"/>
  <c r="AR39" i="25"/>
  <c r="BH39" i="25"/>
  <c r="AP39" i="25"/>
  <c r="BF39" i="25"/>
  <c r="BU39" i="25"/>
  <c r="BW39" i="25"/>
  <c r="AW301" i="24"/>
  <c r="AR26" i="25"/>
  <c r="BJ26" i="25"/>
  <c r="BH26" i="25"/>
  <c r="AP26" i="25"/>
  <c r="BF26" i="25"/>
  <c r="BW26" i="25"/>
  <c r="BU26" i="25"/>
  <c r="AR163" i="25"/>
  <c r="BH163" i="25"/>
  <c r="AP163" i="25"/>
  <c r="BU163" i="25"/>
  <c r="BW163" i="25"/>
  <c r="BF163" i="25"/>
  <c r="AW274" i="24"/>
  <c r="AU69" i="24"/>
  <c r="BB69" i="24" s="1"/>
  <c r="AW69" i="24"/>
  <c r="AU27" i="24"/>
  <c r="BB27" i="24" s="1"/>
  <c r="AW27" i="24"/>
  <c r="AR299" i="25"/>
  <c r="BJ299" i="25"/>
  <c r="BH299" i="25"/>
  <c r="AP299" i="25"/>
  <c r="BU299" i="25"/>
  <c r="BF299" i="25"/>
  <c r="BW299" i="25"/>
  <c r="AT273" i="25"/>
  <c r="AU273" i="25"/>
  <c r="AW273" i="24"/>
  <c r="AR81" i="25"/>
  <c r="BH81" i="25"/>
  <c r="AP81" i="25"/>
  <c r="BF81" i="25"/>
  <c r="BW81" i="25"/>
  <c r="BU81" i="25"/>
  <c r="AW48" i="24"/>
  <c r="BJ76" i="25"/>
  <c r="AR76" i="25"/>
  <c r="BH76" i="25"/>
  <c r="AP76" i="25"/>
  <c r="BF76" i="25"/>
  <c r="BU76" i="25"/>
  <c r="BW76" i="25"/>
  <c r="AR134" i="25"/>
  <c r="BJ134" i="25"/>
  <c r="BH134" i="25"/>
  <c r="AP134" i="25"/>
  <c r="BW134" i="25"/>
  <c r="BU134" i="25"/>
  <c r="BF134" i="25"/>
  <c r="AR38" i="25"/>
  <c r="BJ38" i="25"/>
  <c r="BH38" i="25"/>
  <c r="AP38" i="25"/>
  <c r="BF38" i="25"/>
  <c r="BW38" i="25"/>
  <c r="BU38" i="25"/>
  <c r="AU75" i="24"/>
  <c r="BB75" i="24" s="1"/>
  <c r="AW75" i="24"/>
  <c r="AR224" i="25"/>
  <c r="BJ224" i="25"/>
  <c r="BH224" i="25"/>
  <c r="AP224" i="25"/>
  <c r="BU224" i="25"/>
  <c r="BW224" i="25"/>
  <c r="BF224" i="25"/>
  <c r="AU217" i="24"/>
  <c r="BB217" i="24" s="1"/>
  <c r="AW217" i="24"/>
  <c r="AR70" i="25"/>
  <c r="BJ70" i="25"/>
  <c r="BH70" i="25"/>
  <c r="AP70" i="25"/>
  <c r="BF70" i="25"/>
  <c r="BW70" i="25"/>
  <c r="BU70" i="25"/>
  <c r="BD44" i="24"/>
  <c r="BE44" i="24"/>
  <c r="BT44" i="24" s="1"/>
  <c r="AY44" i="24"/>
  <c r="AZ44" i="24" s="1"/>
  <c r="AT296" i="25"/>
  <c r="AU296" i="25"/>
  <c r="AU76" i="24"/>
  <c r="BB76" i="24" s="1"/>
  <c r="AW76" i="24"/>
  <c r="AR151" i="25"/>
  <c r="BH151" i="25"/>
  <c r="AP151" i="25"/>
  <c r="BF151" i="25"/>
  <c r="BU151" i="25"/>
  <c r="BW151" i="25"/>
  <c r="AT189" i="25"/>
  <c r="AY189" i="25" s="1"/>
  <c r="AU189" i="25"/>
  <c r="AR140" i="25"/>
  <c r="BJ140" i="25"/>
  <c r="BH140" i="25"/>
  <c r="AP140" i="25"/>
  <c r="BF140" i="25"/>
  <c r="BU140" i="25"/>
  <c r="BW140" i="25"/>
  <c r="BE101" i="24"/>
  <c r="BT101" i="24" s="1"/>
  <c r="BD101" i="24"/>
  <c r="AY101" i="24"/>
  <c r="AZ101" i="24" s="1"/>
  <c r="AR254" i="25"/>
  <c r="BJ254" i="25"/>
  <c r="BH254" i="25"/>
  <c r="AP254" i="25"/>
  <c r="BF254" i="25"/>
  <c r="BW254" i="25"/>
  <c r="BU254" i="25"/>
  <c r="AT293" i="25"/>
  <c r="AU293" i="25"/>
  <c r="AW269" i="24"/>
  <c r="AU312" i="24"/>
  <c r="BB312" i="24" s="1"/>
  <c r="AW312" i="24"/>
  <c r="AU198" i="24"/>
  <c r="BB198" i="24" s="1"/>
  <c r="AW198" i="24"/>
  <c r="AR130" i="25"/>
  <c r="BH130" i="25"/>
  <c r="AP130" i="25"/>
  <c r="BF130" i="25"/>
  <c r="BU130" i="25"/>
  <c r="BW130" i="25"/>
  <c r="AR279" i="25"/>
  <c r="BJ279" i="25"/>
  <c r="BH279" i="25"/>
  <c r="AP279" i="25"/>
  <c r="BF279" i="25"/>
  <c r="BU279" i="25"/>
  <c r="BW279" i="25"/>
  <c r="AR308" i="25"/>
  <c r="BJ308" i="25"/>
  <c r="BH308" i="25"/>
  <c r="AP308" i="25"/>
  <c r="BW308" i="25"/>
  <c r="BU308" i="25"/>
  <c r="BF308" i="25"/>
  <c r="AU151" i="24"/>
  <c r="BB151" i="24" s="1"/>
  <c r="AW151" i="24"/>
  <c r="AU176" i="24"/>
  <c r="BB176" i="24" s="1"/>
  <c r="AW176" i="24"/>
  <c r="AU182" i="24"/>
  <c r="BB182" i="24" s="1"/>
  <c r="AW182" i="24"/>
  <c r="BJ66" i="25"/>
  <c r="AR66" i="25"/>
  <c r="BH66" i="25"/>
  <c r="AP66" i="25"/>
  <c r="BF66" i="25"/>
  <c r="BU66" i="25"/>
  <c r="BW66" i="25"/>
  <c r="AT148" i="25"/>
  <c r="AY148" i="25" s="1"/>
  <c r="AU148" i="25"/>
  <c r="AU98" i="24"/>
  <c r="BB98" i="24" s="1"/>
  <c r="AW98" i="24"/>
  <c r="AU287" i="24"/>
  <c r="BB287" i="24" s="1"/>
  <c r="AW287" i="24"/>
  <c r="AR304" i="25"/>
  <c r="BJ304" i="25"/>
  <c r="BH304" i="25"/>
  <c r="AP304" i="25"/>
  <c r="BW304" i="25"/>
  <c r="BU304" i="25"/>
  <c r="BF304" i="25"/>
  <c r="AT201" i="25"/>
  <c r="AY201" i="25" s="1"/>
  <c r="AU201" i="25"/>
  <c r="E84" i="1" l="1"/>
  <c r="E85" i="1" s="1"/>
  <c r="AU11" i="25"/>
  <c r="AT104" i="25"/>
  <c r="AY104" i="25" s="1"/>
  <c r="AT96" i="25"/>
  <c r="AY96" i="25" s="1"/>
  <c r="AT258" i="25"/>
  <c r="BD12" i="24"/>
  <c r="BG12" i="24" s="1"/>
  <c r="BM12" i="24" s="1"/>
  <c r="AU97" i="25"/>
  <c r="BB97" i="25" s="1"/>
  <c r="BS97" i="25" s="1"/>
  <c r="BE240" i="24"/>
  <c r="BT240" i="24" s="1"/>
  <c r="BD283" i="24"/>
  <c r="BS283" i="24" s="1"/>
  <c r="BD147" i="24"/>
  <c r="BG147" i="24" s="1"/>
  <c r="AY147" i="24"/>
  <c r="AZ147" i="24" s="1"/>
  <c r="BX292" i="24"/>
  <c r="AT179" i="25"/>
  <c r="AY179" i="25" s="1"/>
  <c r="AU265" i="25"/>
  <c r="BB265" i="25" s="1"/>
  <c r="BS265" i="25" s="1"/>
  <c r="BD18" i="24"/>
  <c r="BS18" i="24" s="1"/>
  <c r="BV18" i="24" s="1"/>
  <c r="BX18" i="24" s="1"/>
  <c r="AU154" i="25"/>
  <c r="BB154" i="25" s="1"/>
  <c r="BS154" i="25" s="1"/>
  <c r="BE259" i="24"/>
  <c r="BT259" i="24" s="1"/>
  <c r="BE283" i="24"/>
  <c r="BT283" i="24" s="1"/>
  <c r="BD219" i="24"/>
  <c r="BG219" i="24" s="1"/>
  <c r="BE219" i="24"/>
  <c r="BT219" i="24" s="1"/>
  <c r="BE260" i="24"/>
  <c r="BT260" i="24" s="1"/>
  <c r="BE265" i="24"/>
  <c r="BT265" i="24" s="1"/>
  <c r="AY260" i="24"/>
  <c r="AZ260" i="24" s="1"/>
  <c r="BD265" i="24"/>
  <c r="BG265" i="24" s="1"/>
  <c r="AY12" i="24"/>
  <c r="AZ12" i="24" s="1"/>
  <c r="BE111" i="24"/>
  <c r="BT111" i="24" s="1"/>
  <c r="AY111" i="24"/>
  <c r="AZ111" i="24" s="1"/>
  <c r="BE120" i="24"/>
  <c r="BT120" i="24" s="1"/>
  <c r="AY305" i="24"/>
  <c r="AZ305" i="24" s="1"/>
  <c r="BD120" i="24"/>
  <c r="BS120" i="24" s="1"/>
  <c r="AY18" i="24"/>
  <c r="AZ18" i="24" s="1"/>
  <c r="AY259" i="24"/>
  <c r="AZ259" i="24" s="1"/>
  <c r="AY240" i="24"/>
  <c r="AZ240" i="24" s="1"/>
  <c r="BE242" i="24"/>
  <c r="BT242" i="24" s="1"/>
  <c r="BD242" i="24"/>
  <c r="BG242" i="24" s="1"/>
  <c r="BE135" i="24"/>
  <c r="BT135" i="24" s="1"/>
  <c r="AY135" i="24"/>
  <c r="AZ135" i="24" s="1"/>
  <c r="BD295" i="24"/>
  <c r="BG295" i="24" s="1"/>
  <c r="BE295" i="24"/>
  <c r="BT295" i="24" s="1"/>
  <c r="BD298" i="24"/>
  <c r="BG298" i="24" s="1"/>
  <c r="AY298" i="24"/>
  <c r="AZ298" i="24" s="1"/>
  <c r="BE26" i="24"/>
  <c r="BT26" i="24" s="1"/>
  <c r="BD112" i="24"/>
  <c r="BG112" i="24" s="1"/>
  <c r="AY248" i="24"/>
  <c r="AZ248" i="24" s="1"/>
  <c r="BD121" i="24"/>
  <c r="BS121" i="24" s="1"/>
  <c r="BE121" i="24"/>
  <c r="BT121" i="24" s="1"/>
  <c r="BD34" i="24"/>
  <c r="BG34" i="24" s="1"/>
  <c r="BM34" i="24" s="1"/>
  <c r="AY19" i="24"/>
  <c r="AZ19" i="24" s="1"/>
  <c r="BE247" i="24"/>
  <c r="BT247" i="24" s="1"/>
  <c r="BE19" i="24"/>
  <c r="BT19" i="24" s="1"/>
  <c r="AY279" i="24"/>
  <c r="AZ279" i="24" s="1"/>
  <c r="BD279" i="24"/>
  <c r="BG279" i="24" s="1"/>
  <c r="BE117" i="24"/>
  <c r="BT117" i="24" s="1"/>
  <c r="BD253" i="24"/>
  <c r="BG253" i="24" s="1"/>
  <c r="AY253" i="24"/>
  <c r="AZ253" i="24" s="1"/>
  <c r="BE296" i="24"/>
  <c r="BT296" i="24" s="1"/>
  <c r="BD296" i="24"/>
  <c r="BG296" i="24" s="1"/>
  <c r="BD26" i="24"/>
  <c r="BS26" i="24" s="1"/>
  <c r="AY228" i="24"/>
  <c r="AZ228" i="24" s="1"/>
  <c r="BD20" i="24"/>
  <c r="BG20" i="24" s="1"/>
  <c r="BM20" i="24" s="1"/>
  <c r="BD247" i="24"/>
  <c r="BG247" i="24" s="1"/>
  <c r="BD232" i="24"/>
  <c r="BG232" i="24" s="1"/>
  <c r="AY232" i="24"/>
  <c r="AZ232" i="24" s="1"/>
  <c r="AY20" i="24"/>
  <c r="AZ20" i="24" s="1"/>
  <c r="BE34" i="24"/>
  <c r="BT34" i="24" s="1"/>
  <c r="BD228" i="24"/>
  <c r="BS228" i="24" s="1"/>
  <c r="BX228" i="24" s="1"/>
  <c r="BE130" i="24"/>
  <c r="BT130" i="24" s="1"/>
  <c r="BD130" i="24"/>
  <c r="BG130" i="24" s="1"/>
  <c r="BD28" i="24"/>
  <c r="BS28" i="24" s="1"/>
  <c r="BV28" i="24" s="1"/>
  <c r="BX28" i="24" s="1"/>
  <c r="BD238" i="24"/>
  <c r="BG238" i="24" s="1"/>
  <c r="AY280" i="24"/>
  <c r="AZ280" i="24" s="1"/>
  <c r="AY28" i="24"/>
  <c r="AZ28" i="24" s="1"/>
  <c r="BE238" i="24"/>
  <c r="BT238" i="24" s="1"/>
  <c r="AY33" i="24"/>
  <c r="AZ33" i="24" s="1"/>
  <c r="BD280" i="24"/>
  <c r="BG280" i="24" s="1"/>
  <c r="AY6" i="24"/>
  <c r="AZ6" i="24" s="1"/>
  <c r="BE152" i="24"/>
  <c r="BT152" i="24" s="1"/>
  <c r="BD152" i="24"/>
  <c r="BS152" i="24" s="1"/>
  <c r="AY282" i="24"/>
  <c r="AZ282" i="24" s="1"/>
  <c r="AT237" i="25"/>
  <c r="AU237" i="25"/>
  <c r="AS212" i="25"/>
  <c r="AF212" i="25"/>
  <c r="AE212" i="25"/>
  <c r="BD282" i="24"/>
  <c r="BG282" i="24" s="1"/>
  <c r="BE6" i="24"/>
  <c r="BT6" i="24" s="1"/>
  <c r="BE112" i="24"/>
  <c r="BT112" i="24" s="1"/>
  <c r="AY224" i="24"/>
  <c r="AZ224" i="24" s="1"/>
  <c r="BD117" i="24"/>
  <c r="BG117" i="24" s="1"/>
  <c r="BD224" i="24"/>
  <c r="BS224" i="24" s="1"/>
  <c r="BX224" i="24" s="1"/>
  <c r="BE58" i="24"/>
  <c r="BT58" i="24" s="1"/>
  <c r="BD299" i="24"/>
  <c r="BG299" i="24" s="1"/>
  <c r="BD148" i="24"/>
  <c r="BG148" i="24" s="1"/>
  <c r="AY58" i="24"/>
  <c r="AZ58" i="24" s="1"/>
  <c r="AY148" i="24"/>
  <c r="AZ148" i="24" s="1"/>
  <c r="BE33" i="24"/>
  <c r="BT33" i="24" s="1"/>
  <c r="BE248" i="24"/>
  <c r="BT248" i="24" s="1"/>
  <c r="AT77" i="25"/>
  <c r="AY77" i="25" s="1"/>
  <c r="AU77" i="25"/>
  <c r="BE299" i="24"/>
  <c r="BT299" i="24" s="1"/>
  <c r="BD54" i="24"/>
  <c r="BG54" i="24" s="1"/>
  <c r="BM54" i="24" s="1"/>
  <c r="AY24" i="24"/>
  <c r="AZ24" i="24" s="1"/>
  <c r="AY54" i="24"/>
  <c r="AZ54" i="24" s="1"/>
  <c r="BD24" i="24"/>
  <c r="BG24" i="24" s="1"/>
  <c r="BM24" i="24" s="1"/>
  <c r="BD305" i="24"/>
  <c r="BG305" i="24" s="1"/>
  <c r="BE269" i="24"/>
  <c r="BT269" i="24" s="1"/>
  <c r="AY269" i="24"/>
  <c r="AZ269" i="24" s="1"/>
  <c r="BD269" i="24"/>
  <c r="AT163" i="25"/>
  <c r="AY163" i="25" s="1"/>
  <c r="AU163" i="25"/>
  <c r="AT66" i="25"/>
  <c r="AY66" i="25" s="1"/>
  <c r="AU66" i="25"/>
  <c r="AT130" i="25"/>
  <c r="AY130" i="25" s="1"/>
  <c r="AU130" i="25"/>
  <c r="AT140" i="25"/>
  <c r="AY140" i="25" s="1"/>
  <c r="AU140" i="25"/>
  <c r="BB296" i="25"/>
  <c r="BS296" i="25" s="1"/>
  <c r="BA296" i="25"/>
  <c r="BC296" i="25"/>
  <c r="BT296" i="25" s="1"/>
  <c r="AT224" i="25"/>
  <c r="AU224" i="25"/>
  <c r="AT134" i="25"/>
  <c r="AY134" i="25" s="1"/>
  <c r="AU134" i="25"/>
  <c r="AT26" i="25"/>
  <c r="AY26" i="25" s="1"/>
  <c r="AU26" i="25"/>
  <c r="BE154" i="24"/>
  <c r="BT154" i="24" s="1"/>
  <c r="AY154" i="24"/>
  <c r="AZ154" i="24" s="1"/>
  <c r="BD154" i="24"/>
  <c r="AT220" i="25"/>
  <c r="AU220" i="25"/>
  <c r="L16" i="1"/>
  <c r="BE169" i="24"/>
  <c r="BT169" i="24" s="1"/>
  <c r="BD169" i="24"/>
  <c r="AY169" i="24"/>
  <c r="AZ169" i="24" s="1"/>
  <c r="AT101" i="25"/>
  <c r="AY101" i="25" s="1"/>
  <c r="AU101" i="25"/>
  <c r="AY29" i="24"/>
  <c r="AZ29" i="24" s="1"/>
  <c r="BD29" i="24"/>
  <c r="BE29" i="24"/>
  <c r="BT29" i="24" s="1"/>
  <c r="AT133" i="25"/>
  <c r="AY133" i="25" s="1"/>
  <c r="AU133" i="25"/>
  <c r="AT297" i="25"/>
  <c r="AU297" i="25"/>
  <c r="BD144" i="24"/>
  <c r="BE144" i="24"/>
  <c r="BT144" i="24" s="1"/>
  <c r="AY144" i="24"/>
  <c r="AZ144" i="24" s="1"/>
  <c r="AT139" i="25"/>
  <c r="AY139" i="25" s="1"/>
  <c r="AU139" i="25"/>
  <c r="AT278" i="25"/>
  <c r="AU278" i="25"/>
  <c r="AT315" i="25"/>
  <c r="AU315" i="25"/>
  <c r="BD171" i="24"/>
  <c r="AY171" i="24"/>
  <c r="AZ171" i="24" s="1"/>
  <c r="BE171" i="24"/>
  <c r="BT171" i="24" s="1"/>
  <c r="BD316" i="24"/>
  <c r="BE316" i="24"/>
  <c r="BT316" i="24" s="1"/>
  <c r="AY316" i="24"/>
  <c r="AZ316" i="24" s="1"/>
  <c r="BB198" i="25"/>
  <c r="BS198" i="25" s="1"/>
  <c r="BC198" i="25"/>
  <c r="BT198" i="25" s="1"/>
  <c r="BA198" i="25"/>
  <c r="BD99" i="24"/>
  <c r="AY99" i="24"/>
  <c r="AZ99" i="24" s="1"/>
  <c r="BE99" i="24"/>
  <c r="BT99" i="24" s="1"/>
  <c r="BD306" i="24"/>
  <c r="BE306" i="24"/>
  <c r="BT306" i="24" s="1"/>
  <c r="AY306" i="24"/>
  <c r="AZ306" i="24" s="1"/>
  <c r="AT118" i="25"/>
  <c r="AY118" i="25" s="1"/>
  <c r="AU118" i="25"/>
  <c r="BD310" i="24"/>
  <c r="AY310" i="24"/>
  <c r="AZ310" i="24" s="1"/>
  <c r="BE310" i="24"/>
  <c r="BT310" i="24" s="1"/>
  <c r="AT68" i="25"/>
  <c r="AY68" i="25" s="1"/>
  <c r="AU68" i="25"/>
  <c r="BC177" i="25"/>
  <c r="BT177" i="25" s="1"/>
  <c r="BA177" i="25"/>
  <c r="BB177" i="25"/>
  <c r="BS177" i="25" s="1"/>
  <c r="BA292" i="25"/>
  <c r="BC292" i="25"/>
  <c r="BT292" i="25" s="1"/>
  <c r="BB292" i="25"/>
  <c r="BS292" i="25" s="1"/>
  <c r="AT289" i="25"/>
  <c r="AU289" i="25"/>
  <c r="BG142" i="24"/>
  <c r="BS142" i="24"/>
  <c r="BX142" i="24" s="1"/>
  <c r="AT85" i="25"/>
  <c r="AY85" i="25" s="1"/>
  <c r="AU85" i="25"/>
  <c r="BE105" i="24"/>
  <c r="BT105" i="24" s="1"/>
  <c r="AY105" i="24"/>
  <c r="AZ105" i="24" s="1"/>
  <c r="BD105" i="24"/>
  <c r="BE311" i="24"/>
  <c r="BT311" i="24" s="1"/>
  <c r="AY311" i="24"/>
  <c r="AZ311" i="24" s="1"/>
  <c r="BD311" i="24"/>
  <c r="AT244" i="25"/>
  <c r="AU244" i="25"/>
  <c r="AT60" i="25"/>
  <c r="AY60" i="25" s="1"/>
  <c r="AU60" i="25"/>
  <c r="BD51" i="24"/>
  <c r="AY51" i="24"/>
  <c r="AZ51" i="24" s="1"/>
  <c r="BE51" i="24"/>
  <c r="BT51" i="24" s="1"/>
  <c r="AT157" i="25"/>
  <c r="AY157" i="25" s="1"/>
  <c r="AU157" i="25"/>
  <c r="BD285" i="24"/>
  <c r="AY285" i="24"/>
  <c r="AZ285" i="24" s="1"/>
  <c r="BE285" i="24"/>
  <c r="BT285" i="24" s="1"/>
  <c r="BA257" i="25"/>
  <c r="BC257" i="25"/>
  <c r="BT257" i="25" s="1"/>
  <c r="BB257" i="25"/>
  <c r="BS257" i="25" s="1"/>
  <c r="AT286" i="25"/>
  <c r="AU286" i="25"/>
  <c r="AT264" i="25"/>
  <c r="AU264" i="25"/>
  <c r="BA248" i="25"/>
  <c r="BC248" i="25"/>
  <c r="BT248" i="25" s="1"/>
  <c r="BB248" i="25"/>
  <c r="BS248" i="25" s="1"/>
  <c r="AY31" i="24"/>
  <c r="AZ31" i="24" s="1"/>
  <c r="BE31" i="24"/>
  <c r="BT31" i="24" s="1"/>
  <c r="BD31" i="24"/>
  <c r="AY10" i="24"/>
  <c r="AZ10" i="24" s="1"/>
  <c r="BD10" i="24"/>
  <c r="BE10" i="24"/>
  <c r="BT10" i="24" s="1"/>
  <c r="AY313" i="24"/>
  <c r="AZ313" i="24" s="1"/>
  <c r="BD313" i="24"/>
  <c r="BE313" i="24"/>
  <c r="BT313" i="24" s="1"/>
  <c r="BD140" i="24"/>
  <c r="AY140" i="24"/>
  <c r="AZ140" i="24" s="1"/>
  <c r="BE140" i="24"/>
  <c r="BT140" i="24" s="1"/>
  <c r="BS45" i="24"/>
  <c r="BV45" i="24" s="1"/>
  <c r="BX45" i="24" s="1"/>
  <c r="BG45" i="24"/>
  <c r="BM45" i="24" s="1"/>
  <c r="AT307" i="25"/>
  <c r="AU307" i="25"/>
  <c r="BE143" i="25"/>
  <c r="BR143" i="25"/>
  <c r="BX143" i="25" s="1"/>
  <c r="BG119" i="24"/>
  <c r="BS119" i="24"/>
  <c r="BX119" i="24" s="1"/>
  <c r="AT183" i="25"/>
  <c r="AY183" i="25" s="1"/>
  <c r="AU183" i="25"/>
  <c r="BE16" i="24"/>
  <c r="BT16" i="24" s="1"/>
  <c r="BD16" i="24"/>
  <c r="AY16" i="24"/>
  <c r="AZ16" i="24" s="1"/>
  <c r="BG160" i="24"/>
  <c r="BS160" i="24"/>
  <c r="BX160" i="24" s="1"/>
  <c r="AY104" i="24"/>
  <c r="AZ104" i="24" s="1"/>
  <c r="BD104" i="24"/>
  <c r="BE104" i="24"/>
  <c r="BT104" i="24" s="1"/>
  <c r="AT65" i="25"/>
  <c r="AY65" i="25" s="1"/>
  <c r="AU65" i="25"/>
  <c r="BE40" i="24"/>
  <c r="BT40" i="24" s="1"/>
  <c r="AY40" i="24"/>
  <c r="AZ40" i="24" s="1"/>
  <c r="BD40" i="24"/>
  <c r="BE234" i="24"/>
  <c r="BT234" i="24" s="1"/>
  <c r="BD234" i="24"/>
  <c r="AY234" i="24"/>
  <c r="AZ234" i="24" s="1"/>
  <c r="AT20" i="25"/>
  <c r="AY20" i="25" s="1"/>
  <c r="AU20" i="25"/>
  <c r="BD73" i="24"/>
  <c r="AY73" i="24"/>
  <c r="AZ73" i="24" s="1"/>
  <c r="BE73" i="24"/>
  <c r="BT73" i="24" s="1"/>
  <c r="BC173" i="25"/>
  <c r="BT173" i="25" s="1"/>
  <c r="BB173" i="25"/>
  <c r="BS173" i="25" s="1"/>
  <c r="BA173" i="25"/>
  <c r="BE103" i="24"/>
  <c r="BT103" i="24" s="1"/>
  <c r="BD103" i="24"/>
  <c r="AY103" i="24"/>
  <c r="AZ103" i="24" s="1"/>
  <c r="AT241" i="25"/>
  <c r="AU241" i="25"/>
  <c r="BE100" i="24"/>
  <c r="BT100" i="24" s="1"/>
  <c r="BD100" i="24"/>
  <c r="AY100" i="24"/>
  <c r="AZ100" i="24" s="1"/>
  <c r="BC104" i="25"/>
  <c r="BT104" i="25" s="1"/>
  <c r="BA104" i="25"/>
  <c r="BB104" i="25"/>
  <c r="BS104" i="25" s="1"/>
  <c r="BE151" i="24"/>
  <c r="BT151" i="24" s="1"/>
  <c r="BD151" i="24"/>
  <c r="AY151" i="24"/>
  <c r="AZ151" i="24" s="1"/>
  <c r="AT308" i="25"/>
  <c r="AU308" i="25"/>
  <c r="AT279" i="25"/>
  <c r="AU279" i="25"/>
  <c r="BD75" i="24"/>
  <c r="AY75" i="24"/>
  <c r="AZ75" i="24" s="1"/>
  <c r="BE75" i="24"/>
  <c r="BT75" i="24" s="1"/>
  <c r="AT38" i="25"/>
  <c r="AY38" i="25" s="1"/>
  <c r="AU38" i="25"/>
  <c r="AY48" i="24"/>
  <c r="AZ48" i="24" s="1"/>
  <c r="BE48" i="24"/>
  <c r="BT48" i="24" s="1"/>
  <c r="BD48" i="24"/>
  <c r="AT81" i="25"/>
  <c r="AY81" i="25" s="1"/>
  <c r="AU81" i="25"/>
  <c r="BE129" i="24"/>
  <c r="BT129" i="24" s="1"/>
  <c r="BD129" i="24"/>
  <c r="AY129" i="24"/>
  <c r="AZ129" i="24" s="1"/>
  <c r="BD263" i="24"/>
  <c r="AY263" i="24"/>
  <c r="AZ263" i="24" s="1"/>
  <c r="BE263" i="24"/>
  <c r="BT263" i="24" s="1"/>
  <c r="BD195" i="24"/>
  <c r="AY195" i="24"/>
  <c r="AZ195" i="24" s="1"/>
  <c r="BE195" i="24"/>
  <c r="BT195" i="24" s="1"/>
  <c r="BA276" i="25"/>
  <c r="BB276" i="25"/>
  <c r="BS276" i="25" s="1"/>
  <c r="BC276" i="25"/>
  <c r="BT276" i="25" s="1"/>
  <c r="AT295" i="25"/>
  <c r="AU295" i="25"/>
  <c r="AT115" i="25"/>
  <c r="AY115" i="25" s="1"/>
  <c r="AU115" i="25"/>
  <c r="BE61" i="24"/>
  <c r="BT61" i="24" s="1"/>
  <c r="BD61" i="24"/>
  <c r="AY61" i="24"/>
  <c r="AZ61" i="24" s="1"/>
  <c r="AY62" i="24"/>
  <c r="AZ62" i="24" s="1"/>
  <c r="BE62" i="24"/>
  <c r="BT62" i="24" s="1"/>
  <c r="BD62" i="24"/>
  <c r="BE256" i="24"/>
  <c r="BT256" i="24" s="1"/>
  <c r="AY256" i="24"/>
  <c r="AZ256" i="24" s="1"/>
  <c r="BD256" i="24"/>
  <c r="BS55" i="24"/>
  <c r="BV55" i="24" s="1"/>
  <c r="BX55" i="24" s="1"/>
  <c r="BG55" i="24"/>
  <c r="BM55" i="24" s="1"/>
  <c r="AT288" i="25"/>
  <c r="AU288" i="25"/>
  <c r="AT245" i="25"/>
  <c r="AU245" i="25"/>
  <c r="BG111" i="24"/>
  <c r="BS111" i="24"/>
  <c r="BD8" i="24"/>
  <c r="BE8" i="24"/>
  <c r="BT8" i="24" s="1"/>
  <c r="AY8" i="24"/>
  <c r="AZ8" i="24" s="1"/>
  <c r="AT187" i="25"/>
  <c r="AY187" i="25" s="1"/>
  <c r="AU187" i="25"/>
  <c r="BD185" i="24"/>
  <c r="AY185" i="24"/>
  <c r="AZ185" i="24" s="1"/>
  <c r="BE185" i="24"/>
  <c r="BT185" i="24" s="1"/>
  <c r="AT225" i="25"/>
  <c r="AU225" i="25"/>
  <c r="BE252" i="24"/>
  <c r="BT252" i="24" s="1"/>
  <c r="AY252" i="24"/>
  <c r="AZ252" i="24" s="1"/>
  <c r="BD252" i="24"/>
  <c r="AY271" i="24"/>
  <c r="AZ271" i="24" s="1"/>
  <c r="BD271" i="24"/>
  <c r="BE271" i="24"/>
  <c r="BT271" i="24" s="1"/>
  <c r="AT270" i="25"/>
  <c r="AU270" i="25"/>
  <c r="AT251" i="25"/>
  <c r="AU251" i="25"/>
  <c r="AT197" i="25"/>
  <c r="AY197" i="25" s="1"/>
  <c r="AU197" i="25"/>
  <c r="BG190" i="24"/>
  <c r="BS190" i="24"/>
  <c r="BX190" i="24" s="1"/>
  <c r="AT69" i="25"/>
  <c r="AY69" i="25" s="1"/>
  <c r="AU69" i="25"/>
  <c r="BE71" i="24"/>
  <c r="BT71" i="24" s="1"/>
  <c r="AY71" i="24"/>
  <c r="AZ71" i="24" s="1"/>
  <c r="BD71" i="24"/>
  <c r="AT266" i="25"/>
  <c r="AU266" i="25"/>
  <c r="AT91" i="25"/>
  <c r="AY91" i="25" s="1"/>
  <c r="AU91" i="25"/>
  <c r="BC92" i="25"/>
  <c r="BT92" i="25" s="1"/>
  <c r="BB92" i="25"/>
  <c r="BS92" i="25" s="1"/>
  <c r="BA92" i="25"/>
  <c r="BE128" i="24"/>
  <c r="BT128" i="24" s="1"/>
  <c r="BD128" i="24"/>
  <c r="AY128" i="24"/>
  <c r="AZ128" i="24" s="1"/>
  <c r="BE32" i="24"/>
  <c r="BT32" i="24" s="1"/>
  <c r="BD32" i="24"/>
  <c r="AY32" i="24"/>
  <c r="AZ32" i="24" s="1"/>
  <c r="BA199" i="25"/>
  <c r="BB199" i="25"/>
  <c r="BS199" i="25" s="1"/>
  <c r="BC199" i="25"/>
  <c r="BT199" i="25" s="1"/>
  <c r="BE91" i="24"/>
  <c r="BT91" i="24" s="1"/>
  <c r="BD91" i="24"/>
  <c r="AY91" i="24"/>
  <c r="AZ91" i="24" s="1"/>
  <c r="AT149" i="25"/>
  <c r="AY149" i="25" s="1"/>
  <c r="AU149" i="25"/>
  <c r="AT271" i="25"/>
  <c r="AU271" i="25"/>
  <c r="AT152" i="25"/>
  <c r="AY152" i="25" s="1"/>
  <c r="AU152" i="25"/>
  <c r="BE122" i="24"/>
  <c r="BT122" i="24" s="1"/>
  <c r="BD122" i="24"/>
  <c r="AY122" i="24"/>
  <c r="AZ122" i="24" s="1"/>
  <c r="AT252" i="25"/>
  <c r="AU252" i="25"/>
  <c r="BE56" i="24"/>
  <c r="BT56" i="24" s="1"/>
  <c r="AY56" i="24"/>
  <c r="AZ56" i="24" s="1"/>
  <c r="BD56" i="24"/>
  <c r="AT166" i="25"/>
  <c r="AY166" i="25" s="1"/>
  <c r="AU166" i="25"/>
  <c r="BG162" i="24"/>
  <c r="BS162" i="24"/>
  <c r="BX162" i="24" s="1"/>
  <c r="BC31" i="25"/>
  <c r="BT31" i="25" s="1"/>
  <c r="BB31" i="25"/>
  <c r="BS31" i="25" s="1"/>
  <c r="BA31" i="25"/>
  <c r="BE83" i="24"/>
  <c r="BT83" i="24" s="1"/>
  <c r="BD83" i="24"/>
  <c r="AY83" i="24"/>
  <c r="AZ83" i="24" s="1"/>
  <c r="AT309" i="25"/>
  <c r="AU309" i="25"/>
  <c r="AT205" i="25"/>
  <c r="AY205" i="25" s="1"/>
  <c r="AU205" i="25"/>
  <c r="AT58" i="25"/>
  <c r="AY58" i="25" s="1"/>
  <c r="AU58" i="25"/>
  <c r="BD137" i="24"/>
  <c r="BE137" i="24"/>
  <c r="BT137" i="24" s="1"/>
  <c r="AY137" i="24"/>
  <c r="AZ137" i="24" s="1"/>
  <c r="BG257" i="24"/>
  <c r="BS257" i="24"/>
  <c r="BX257" i="24" s="1"/>
  <c r="AT17" i="25"/>
  <c r="AY17" i="25" s="1"/>
  <c r="AU17" i="25"/>
  <c r="BD14" i="24"/>
  <c r="BE14" i="24"/>
  <c r="BT14" i="24" s="1"/>
  <c r="AY14" i="24"/>
  <c r="AZ14" i="24" s="1"/>
  <c r="AT41" i="25"/>
  <c r="AY41" i="25" s="1"/>
  <c r="AU41" i="25"/>
  <c r="AT67" i="25"/>
  <c r="AY67" i="25" s="1"/>
  <c r="AU67" i="25"/>
  <c r="AT303" i="25"/>
  <c r="AU303" i="25"/>
  <c r="BA95" i="25"/>
  <c r="BC95" i="25"/>
  <c r="BT95" i="25" s="1"/>
  <c r="BB95" i="25"/>
  <c r="BS95" i="25" s="1"/>
  <c r="AT235" i="25"/>
  <c r="AU235" i="25"/>
  <c r="BG233" i="24"/>
  <c r="BS233" i="24"/>
  <c r="BX233" i="24" s="1"/>
  <c r="BE57" i="24"/>
  <c r="BT57" i="24" s="1"/>
  <c r="BD57" i="24"/>
  <c r="AY57" i="24"/>
  <c r="AZ57" i="24" s="1"/>
  <c r="BE255" i="24"/>
  <c r="BT255" i="24" s="1"/>
  <c r="BD255" i="24"/>
  <c r="AY255" i="24"/>
  <c r="AZ255" i="24" s="1"/>
  <c r="AY218" i="24"/>
  <c r="AZ218" i="24" s="1"/>
  <c r="BD218" i="24"/>
  <c r="BE218" i="24"/>
  <c r="BT218" i="24" s="1"/>
  <c r="AY138" i="24"/>
  <c r="AZ138" i="24" s="1"/>
  <c r="BE138" i="24"/>
  <c r="BT138" i="24" s="1"/>
  <c r="BD138" i="24"/>
  <c r="BE90" i="24"/>
  <c r="BT90" i="24" s="1"/>
  <c r="AY90" i="24"/>
  <c r="AZ90" i="24" s="1"/>
  <c r="BD90" i="24"/>
  <c r="BD38" i="24"/>
  <c r="BE38" i="24"/>
  <c r="BT38" i="24" s="1"/>
  <c r="AY38" i="24"/>
  <c r="AZ38" i="24" s="1"/>
  <c r="BE258" i="24"/>
  <c r="BT258" i="24" s="1"/>
  <c r="BD258" i="24"/>
  <c r="AY258" i="24"/>
  <c r="AZ258" i="24" s="1"/>
  <c r="AT124" i="25"/>
  <c r="AY124" i="25" s="1"/>
  <c r="AU124" i="25"/>
  <c r="AT193" i="25"/>
  <c r="AY193" i="25" s="1"/>
  <c r="AU193" i="25"/>
  <c r="BA201" i="25"/>
  <c r="BB201" i="25"/>
  <c r="BS201" i="25" s="1"/>
  <c r="BC201" i="25"/>
  <c r="BT201" i="25" s="1"/>
  <c r="AY182" i="24"/>
  <c r="AZ182" i="24" s="1"/>
  <c r="BE182" i="24"/>
  <c r="BT182" i="24" s="1"/>
  <c r="BD182" i="24"/>
  <c r="BD198" i="24"/>
  <c r="BE198" i="24"/>
  <c r="BT198" i="24" s="1"/>
  <c r="AY198" i="24"/>
  <c r="AZ198" i="24" s="1"/>
  <c r="BC189" i="25"/>
  <c r="BT189" i="25" s="1"/>
  <c r="BA189" i="25"/>
  <c r="BB189" i="25"/>
  <c r="BS189" i="25" s="1"/>
  <c r="AT151" i="25"/>
  <c r="AY151" i="25" s="1"/>
  <c r="AU151" i="25"/>
  <c r="BD273" i="24"/>
  <c r="AY273" i="24"/>
  <c r="AZ273" i="24" s="1"/>
  <c r="BE273" i="24"/>
  <c r="BT273" i="24" s="1"/>
  <c r="BA32" i="25"/>
  <c r="BB32" i="25"/>
  <c r="BS32" i="25" s="1"/>
  <c r="BC32" i="25"/>
  <c r="BT32" i="25" s="1"/>
  <c r="BG132" i="24"/>
  <c r="BS132" i="24"/>
  <c r="BX132" i="24" s="1"/>
  <c r="AT57" i="25"/>
  <c r="AY57" i="25" s="1"/>
  <c r="AU57" i="25"/>
  <c r="AY192" i="24"/>
  <c r="AZ192" i="24" s="1"/>
  <c r="BD192" i="24"/>
  <c r="BE192" i="24"/>
  <c r="BT192" i="24" s="1"/>
  <c r="AT48" i="25"/>
  <c r="AY48" i="25" s="1"/>
  <c r="AU48" i="25"/>
  <c r="BA158" i="25"/>
  <c r="BB158" i="25"/>
  <c r="BS158" i="25" s="1"/>
  <c r="BC158" i="25"/>
  <c r="BT158" i="25" s="1"/>
  <c r="AT216" i="25"/>
  <c r="AU216" i="25"/>
  <c r="BE143" i="24"/>
  <c r="BT143" i="24" s="1"/>
  <c r="BD143" i="24"/>
  <c r="AY143" i="24"/>
  <c r="AZ143" i="24" s="1"/>
  <c r="BD145" i="24"/>
  <c r="AY145" i="24"/>
  <c r="AZ145" i="24" s="1"/>
  <c r="BE145" i="24"/>
  <c r="BT145" i="24" s="1"/>
  <c r="AY158" i="24"/>
  <c r="AZ158" i="24" s="1"/>
  <c r="BD158" i="24"/>
  <c r="BE158" i="24"/>
  <c r="BT158" i="24" s="1"/>
  <c r="AT138" i="25"/>
  <c r="AY138" i="25" s="1"/>
  <c r="AU138" i="25"/>
  <c r="AT287" i="25"/>
  <c r="AU287" i="25"/>
  <c r="BC28" i="25"/>
  <c r="BT28" i="25" s="1"/>
  <c r="BA28" i="25"/>
  <c r="BB28" i="25"/>
  <c r="BS28" i="25" s="1"/>
  <c r="BE161" i="24"/>
  <c r="BT161" i="24" s="1"/>
  <c r="BD161" i="24"/>
  <c r="AY161" i="24"/>
  <c r="AZ161" i="24" s="1"/>
  <c r="BE276" i="24"/>
  <c r="BT276" i="24" s="1"/>
  <c r="BD276" i="24"/>
  <c r="AY276" i="24"/>
  <c r="AZ276" i="24" s="1"/>
  <c r="AT176" i="25"/>
  <c r="AY176" i="25" s="1"/>
  <c r="AU176" i="25"/>
  <c r="AT100" i="25"/>
  <c r="AY100" i="25" s="1"/>
  <c r="AU100" i="25"/>
  <c r="BD123" i="24"/>
  <c r="AY123" i="24"/>
  <c r="AZ123" i="24" s="1"/>
  <c r="BE123" i="24"/>
  <c r="BT123" i="24" s="1"/>
  <c r="AT136" i="25"/>
  <c r="AY136" i="25" s="1"/>
  <c r="AU136" i="25"/>
  <c r="AT302" i="25"/>
  <c r="AU302" i="25"/>
  <c r="BE166" i="24"/>
  <c r="BT166" i="24" s="1"/>
  <c r="BD166" i="24"/>
  <c r="AY166" i="24"/>
  <c r="AZ166" i="24" s="1"/>
  <c r="BG22" i="24"/>
  <c r="BM22" i="24" s="1"/>
  <c r="BS22" i="24"/>
  <c r="BV22" i="24" s="1"/>
  <c r="BX22" i="24" s="1"/>
  <c r="AT191" i="25"/>
  <c r="AY191" i="25" s="1"/>
  <c r="AU191" i="25"/>
  <c r="AT78" i="25"/>
  <c r="AY78" i="25" s="1"/>
  <c r="AU78" i="25"/>
  <c r="BE226" i="24"/>
  <c r="BT226" i="24" s="1"/>
  <c r="BD226" i="24"/>
  <c r="AY226" i="24"/>
  <c r="AZ226" i="24" s="1"/>
  <c r="AT272" i="25"/>
  <c r="AU272" i="25"/>
  <c r="BD72" i="24"/>
  <c r="BE72" i="24"/>
  <c r="BT72" i="24" s="1"/>
  <c r="AY72" i="24"/>
  <c r="AZ72" i="24" s="1"/>
  <c r="AT181" i="25"/>
  <c r="AY181" i="25" s="1"/>
  <c r="AU181" i="25"/>
  <c r="BE204" i="24"/>
  <c r="BT204" i="24" s="1"/>
  <c r="AY204" i="24"/>
  <c r="AZ204" i="24" s="1"/>
  <c r="BD204" i="24"/>
  <c r="BE129" i="25"/>
  <c r="BR129" i="25"/>
  <c r="BX129" i="25" s="1"/>
  <c r="BD85" i="24"/>
  <c r="BE85" i="24"/>
  <c r="BT85" i="24" s="1"/>
  <c r="AY85" i="24"/>
  <c r="AZ85" i="24" s="1"/>
  <c r="AY239" i="24"/>
  <c r="AZ239" i="24" s="1"/>
  <c r="BD239" i="24"/>
  <c r="BE239" i="24"/>
  <c r="BT239" i="24" s="1"/>
  <c r="BB282" i="25"/>
  <c r="BS282" i="25" s="1"/>
  <c r="BC282" i="25"/>
  <c r="BT282" i="25" s="1"/>
  <c r="BA282" i="25"/>
  <c r="AT194" i="25"/>
  <c r="AY194" i="25" s="1"/>
  <c r="AU194" i="25"/>
  <c r="BE50" i="24"/>
  <c r="BT50" i="24" s="1"/>
  <c r="BD50" i="24"/>
  <c r="AY50" i="24"/>
  <c r="AZ50" i="24" s="1"/>
  <c r="BG58" i="24"/>
  <c r="BM58" i="24" s="1"/>
  <c r="BS58" i="24"/>
  <c r="BE165" i="24"/>
  <c r="BT165" i="24" s="1"/>
  <c r="BD165" i="24"/>
  <c r="AY165" i="24"/>
  <c r="AZ165" i="24" s="1"/>
  <c r="BG260" i="24"/>
  <c r="BS260" i="24"/>
  <c r="BE172" i="24"/>
  <c r="BT172" i="24" s="1"/>
  <c r="BD172" i="24"/>
  <c r="AY172" i="24"/>
  <c r="AZ172" i="24" s="1"/>
  <c r="BA147" i="25"/>
  <c r="BC147" i="25"/>
  <c r="BT147" i="25" s="1"/>
  <c r="BB147" i="25"/>
  <c r="BS147" i="25" s="1"/>
  <c r="AY70" i="24"/>
  <c r="AZ70" i="24" s="1"/>
  <c r="BE70" i="24"/>
  <c r="BT70" i="24" s="1"/>
  <c r="BD70" i="24"/>
  <c r="AT128" i="25"/>
  <c r="AY128" i="25" s="1"/>
  <c r="AU128" i="25"/>
  <c r="AY250" i="24"/>
  <c r="AZ250" i="24" s="1"/>
  <c r="BD250" i="24"/>
  <c r="BE250" i="24"/>
  <c r="BT250" i="24" s="1"/>
  <c r="AT50" i="25"/>
  <c r="AY50" i="25" s="1"/>
  <c r="AU50" i="25"/>
  <c r="AT165" i="25"/>
  <c r="AY165" i="25" s="1"/>
  <c r="AU165" i="25"/>
  <c r="AT111" i="25"/>
  <c r="AY111" i="25" s="1"/>
  <c r="AU111" i="25"/>
  <c r="BD157" i="24"/>
  <c r="AY157" i="24"/>
  <c r="AZ157" i="24" s="1"/>
  <c r="BE157" i="24"/>
  <c r="BT157" i="24" s="1"/>
  <c r="BS33" i="24"/>
  <c r="BG33" i="24"/>
  <c r="BM33" i="24" s="1"/>
  <c r="AY53" i="24"/>
  <c r="AZ53" i="24" s="1"/>
  <c r="BD53" i="24"/>
  <c r="BE53" i="24"/>
  <c r="BT53" i="24" s="1"/>
  <c r="BE222" i="24"/>
  <c r="BT222" i="24" s="1"/>
  <c r="BD222" i="24"/>
  <c r="AY222" i="24"/>
  <c r="AZ222" i="24" s="1"/>
  <c r="AT269" i="25"/>
  <c r="AU269" i="25"/>
  <c r="BA258" i="25"/>
  <c r="BC258" i="25"/>
  <c r="BT258" i="25" s="1"/>
  <c r="BB258" i="25"/>
  <c r="BS258" i="25" s="1"/>
  <c r="BE237" i="24"/>
  <c r="BT237" i="24" s="1"/>
  <c r="BD237" i="24"/>
  <c r="AY237" i="24"/>
  <c r="AZ237" i="24" s="1"/>
  <c r="BD184" i="24"/>
  <c r="AY184" i="24"/>
  <c r="AZ184" i="24" s="1"/>
  <c r="BE184" i="24"/>
  <c r="BT184" i="24" s="1"/>
  <c r="AT312" i="25"/>
  <c r="AU312" i="25"/>
  <c r="BG236" i="24"/>
  <c r="BS236" i="24"/>
  <c r="BX236" i="24" s="1"/>
  <c r="AN110" i="29"/>
  <c r="AN84" i="29"/>
  <c r="AN340" i="29"/>
  <c r="AN42" i="29"/>
  <c r="AN412" i="29"/>
  <c r="AN567" i="29"/>
  <c r="AN341" i="29"/>
  <c r="AN140" i="29"/>
  <c r="AN80" i="29"/>
  <c r="AN105" i="29"/>
  <c r="AN22" i="29"/>
  <c r="AN211" i="29"/>
  <c r="AN370" i="29"/>
  <c r="AN69" i="29"/>
  <c r="AN429" i="29"/>
  <c r="AN147" i="29"/>
  <c r="AN363" i="29"/>
  <c r="AN210" i="29"/>
  <c r="AN400" i="29"/>
  <c r="AN307" i="29"/>
  <c r="AN338" i="29"/>
  <c r="AN372" i="29"/>
  <c r="AN364" i="29"/>
  <c r="AN230" i="29"/>
  <c r="AN458" i="29"/>
  <c r="AN117" i="29"/>
  <c r="AN127" i="29"/>
  <c r="AN179" i="29"/>
  <c r="AN104" i="29"/>
  <c r="AN474" i="29"/>
  <c r="AN506" i="29"/>
  <c r="AN337" i="29"/>
  <c r="AN570" i="29"/>
  <c r="AN376" i="29"/>
  <c r="AN598" i="29"/>
  <c r="AN142" i="29"/>
  <c r="AN390" i="29"/>
  <c r="AN182" i="29"/>
  <c r="AN449" i="29"/>
  <c r="AN468" i="29"/>
  <c r="AN382" i="29"/>
  <c r="AN378" i="29"/>
  <c r="AN298" i="29"/>
  <c r="AN260" i="29"/>
  <c r="AN208" i="29"/>
  <c r="AN18" i="29"/>
  <c r="AN490" i="29"/>
  <c r="AN202" i="29"/>
  <c r="AN295" i="29"/>
  <c r="AN52" i="29"/>
  <c r="AN242" i="29"/>
  <c r="AN134" i="29"/>
  <c r="AN359" i="29"/>
  <c r="AN160" i="29"/>
  <c r="AN143" i="29"/>
  <c r="AN346" i="29"/>
  <c r="AN539" i="29"/>
  <c r="AN92" i="29"/>
  <c r="AN233" i="29"/>
  <c r="AN173" i="29"/>
  <c r="AN309" i="29"/>
  <c r="AN314" i="29"/>
  <c r="AN188" i="29"/>
  <c r="AN377" i="29"/>
  <c r="AN484" i="29"/>
  <c r="AN83" i="29"/>
  <c r="AN284" i="29"/>
  <c r="AN47" i="29"/>
  <c r="AN120" i="29"/>
  <c r="AN281" i="29"/>
  <c r="AN574" i="29"/>
  <c r="AN78" i="29"/>
  <c r="AN247" i="29"/>
  <c r="AN183" i="29"/>
  <c r="AN322" i="29"/>
  <c r="AN456" i="29"/>
  <c r="AN555" i="29"/>
  <c r="AN129" i="29"/>
  <c r="AN518" i="29"/>
  <c r="AN315" i="29"/>
  <c r="AN251" i="29"/>
  <c r="AN166" i="29"/>
  <c r="AN493" i="29"/>
  <c r="AN496" i="29"/>
  <c r="AN556" i="29"/>
  <c r="AN375" i="29"/>
  <c r="AN583" i="29"/>
  <c r="AN389" i="29"/>
  <c r="AN392" i="29"/>
  <c r="AN273" i="29"/>
  <c r="AN24" i="29"/>
  <c r="AN286" i="29"/>
  <c r="AN514" i="29"/>
  <c r="AN157" i="29"/>
  <c r="AN20" i="29"/>
  <c r="AN422" i="29"/>
  <c r="AN145" i="29"/>
  <c r="AN297" i="29"/>
  <c r="AN584" i="29"/>
  <c r="AN523" i="29"/>
  <c r="AN151" i="29"/>
  <c r="AN99" i="29"/>
  <c r="AN536" i="29"/>
  <c r="AN332" i="29"/>
  <c r="AN531" i="29"/>
  <c r="AN321" i="29"/>
  <c r="AN229" i="29"/>
  <c r="AN215" i="29"/>
  <c r="AN339" i="29"/>
  <c r="AN218" i="29"/>
  <c r="AN398" i="29"/>
  <c r="AN141" i="29"/>
  <c r="AN528" i="29"/>
  <c r="AN582" i="29"/>
  <c r="AN111" i="29"/>
  <c r="AN473" i="29"/>
  <c r="AN571" i="29"/>
  <c r="AN303" i="29"/>
  <c r="AN479" i="29"/>
  <c r="AN256" i="29"/>
  <c r="AN14" i="29"/>
  <c r="AN154" i="29"/>
  <c r="AN373" i="29"/>
  <c r="AN228" i="29"/>
  <c r="AN35" i="29"/>
  <c r="AN121" i="29"/>
  <c r="AN472" i="29"/>
  <c r="AN445" i="29"/>
  <c r="AN77" i="29"/>
  <c r="AN452" i="29"/>
  <c r="AN194" i="29"/>
  <c r="AN601" i="29"/>
  <c r="AN447" i="29"/>
  <c r="D53" i="29"/>
  <c r="AN552" i="29"/>
  <c r="AN465" i="29"/>
  <c r="AN500" i="29"/>
  <c r="AN395" i="29"/>
  <c r="AN53" i="29"/>
  <c r="AN437" i="29"/>
  <c r="AN236" i="29"/>
  <c r="AN90" i="29"/>
  <c r="AN521" i="29"/>
  <c r="AN100" i="29"/>
  <c r="AN426" i="29"/>
  <c r="AN214" i="29"/>
  <c r="AN257" i="29"/>
  <c r="AN595" i="29"/>
  <c r="AN207" i="29"/>
  <c r="AN65" i="29"/>
  <c r="AN439" i="29"/>
  <c r="AN393" i="29"/>
  <c r="AN149" i="29"/>
  <c r="AN51" i="29"/>
  <c r="AN608" i="29"/>
  <c r="AN109" i="29"/>
  <c r="AN540" i="29"/>
  <c r="AN312" i="29"/>
  <c r="AN119" i="29"/>
  <c r="AN324" i="29"/>
  <c r="AN171" i="29"/>
  <c r="AN313" i="29"/>
  <c r="AN510" i="29"/>
  <c r="AN88" i="29"/>
  <c r="AN448" i="29"/>
  <c r="AN199" i="29"/>
  <c r="AN204" i="29"/>
  <c r="AN195" i="29"/>
  <c r="AN290" i="29"/>
  <c r="AN58" i="29"/>
  <c r="AN471" i="29"/>
  <c r="AN124" i="29"/>
  <c r="AN71" i="29"/>
  <c r="AN593" i="29"/>
  <c r="AN212" i="29"/>
  <c r="AN351" i="29"/>
  <c r="AN287" i="29"/>
  <c r="AN130" i="29"/>
  <c r="AN326" i="29"/>
  <c r="AN282" i="29"/>
  <c r="AN40" i="29"/>
  <c r="AN79" i="29"/>
  <c r="AN75" i="29"/>
  <c r="AN562" i="29"/>
  <c r="AN483" i="29"/>
  <c r="AN244" i="29"/>
  <c r="AN74" i="29"/>
  <c r="AN348" i="29"/>
  <c r="AN402" i="29"/>
  <c r="AN453" i="29"/>
  <c r="AN544" i="29"/>
  <c r="AN423" i="29"/>
  <c r="AN133" i="29"/>
  <c r="AN275" i="29"/>
  <c r="AN161" i="29"/>
  <c r="AN522" i="29"/>
  <c r="AN362" i="29"/>
  <c r="AN153" i="29"/>
  <c r="AN385" i="29"/>
  <c r="AN569" i="29"/>
  <c r="AN425" i="29"/>
  <c r="AN308" i="29"/>
  <c r="AN168" i="29"/>
  <c r="AN401" i="29"/>
  <c r="AN512" i="29"/>
  <c r="AN611" i="29"/>
  <c r="AN489" i="29"/>
  <c r="AN146" i="29"/>
  <c r="AN155" i="29"/>
  <c r="AN97" i="29"/>
  <c r="AN397" i="29"/>
  <c r="AN366" i="29"/>
  <c r="AN499" i="29"/>
  <c r="AN566" i="29"/>
  <c r="AN356" i="29"/>
  <c r="AN114" i="29"/>
  <c r="AN561" i="29"/>
  <c r="AN37" i="29"/>
  <c r="AN361" i="29"/>
  <c r="AN158" i="29"/>
  <c r="AN461" i="29"/>
  <c r="AN463" i="29"/>
  <c r="AN277" i="29"/>
  <c r="AN421" i="29"/>
  <c r="AN477" i="29"/>
  <c r="AN217" i="29"/>
  <c r="AN379" i="29"/>
  <c r="AN311" i="29"/>
  <c r="AN543" i="29"/>
  <c r="AN403" i="29"/>
  <c r="AN513" i="29"/>
  <c r="AN600" i="29"/>
  <c r="AN538" i="29"/>
  <c r="AN252" i="29"/>
  <c r="AN466" i="29"/>
  <c r="AN305" i="29"/>
  <c r="AN118" i="29"/>
  <c r="AN219" i="29"/>
  <c r="AN156" i="29"/>
  <c r="AN504" i="29"/>
  <c r="AN176" i="29"/>
  <c r="AN554" i="29"/>
  <c r="AN443" i="29"/>
  <c r="AN93" i="29"/>
  <c r="AN516" i="29"/>
  <c r="AN594" i="29"/>
  <c r="AN102" i="29"/>
  <c r="AN301" i="29"/>
  <c r="AN581" i="29"/>
  <c r="AN193" i="29"/>
  <c r="AN138" i="29"/>
  <c r="AN509" i="29"/>
  <c r="AN368" i="29"/>
  <c r="AN492" i="29"/>
  <c r="AN591" i="29"/>
  <c r="AN547" i="29"/>
  <c r="AN497" i="29"/>
  <c r="AN272" i="29"/>
  <c r="AN98" i="29"/>
  <c r="AN405" i="29"/>
  <c r="AN316" i="29"/>
  <c r="AN450" i="29"/>
  <c r="AN533" i="29"/>
  <c r="AN592" i="29"/>
  <c r="AN196" i="29"/>
  <c r="AN502" i="29"/>
  <c r="AN613" i="29"/>
  <c r="AN565" i="29"/>
  <c r="AN165" i="29"/>
  <c r="AN68" i="29"/>
  <c r="AN442" i="29"/>
  <c r="AN299" i="29"/>
  <c r="AN276" i="29"/>
  <c r="AN407" i="29"/>
  <c r="AN384" i="29"/>
  <c r="AN498" i="29"/>
  <c r="AN529" i="29"/>
  <c r="AN525" i="29"/>
  <c r="AN292" i="29"/>
  <c r="AN328" i="29"/>
  <c r="AN419" i="29"/>
  <c r="AN285" i="29"/>
  <c r="AN144" i="29"/>
  <c r="AN269" i="29"/>
  <c r="AN136" i="29"/>
  <c r="AN60" i="29"/>
  <c r="AN191" i="29"/>
  <c r="AN122" i="29"/>
  <c r="AN441" i="29"/>
  <c r="AN446" i="29"/>
  <c r="AN475" i="29"/>
  <c r="AN187" i="29"/>
  <c r="AN225" i="29"/>
  <c r="AN383" i="29"/>
  <c r="AN94" i="29"/>
  <c r="AN221" i="29"/>
  <c r="AN245" i="29"/>
  <c r="AN125" i="29"/>
  <c r="AN414" i="29"/>
  <c r="AN262" i="29"/>
  <c r="AN507" i="29"/>
  <c r="AN15" i="29"/>
  <c r="AN576" i="29"/>
  <c r="AN95" i="29"/>
  <c r="AN310" i="29"/>
  <c r="AN81" i="29"/>
  <c r="AN289" i="29"/>
  <c r="AN551" i="29"/>
  <c r="AN39" i="29"/>
  <c r="AN455" i="29"/>
  <c r="AN335" i="29"/>
  <c r="AN517" i="29"/>
  <c r="AN226" i="29"/>
  <c r="AN478" i="29"/>
  <c r="AN91" i="29"/>
  <c r="AN573" i="29"/>
  <c r="AN17" i="29"/>
  <c r="AN135" i="29"/>
  <c r="AN530" i="29"/>
  <c r="AN381" i="29"/>
  <c r="AN255" i="29"/>
  <c r="AN550" i="29"/>
  <c r="AN541" i="29"/>
  <c r="AN469" i="29"/>
  <c r="AN388" i="29"/>
  <c r="AN190" i="29"/>
  <c r="AN482" i="29"/>
  <c r="AN588" i="29"/>
  <c r="AN411" i="29"/>
  <c r="AN67" i="29"/>
  <c r="AN563" i="29"/>
  <c r="AN444" i="29"/>
  <c r="AN612" i="29"/>
  <c r="AN462" i="29"/>
  <c r="AN416" i="29"/>
  <c r="AN163" i="29"/>
  <c r="AN329" i="29"/>
  <c r="AN511" i="29"/>
  <c r="AN49" i="29"/>
  <c r="AN181" i="29"/>
  <c r="AN334" i="29"/>
  <c r="AN336" i="29"/>
  <c r="AN535" i="29"/>
  <c r="AN410" i="29"/>
  <c r="AN568" i="29"/>
  <c r="AN440" i="29"/>
  <c r="AN123" i="29"/>
  <c r="AN607" i="29"/>
  <c r="AN220" i="29"/>
  <c r="AN86" i="29"/>
  <c r="AN380" i="29"/>
  <c r="AN265" i="29"/>
  <c r="AN150" i="29"/>
  <c r="AN70" i="29"/>
  <c r="AN586" i="29"/>
  <c r="AN31" i="29"/>
  <c r="AN50" i="29"/>
  <c r="AN451" i="29"/>
  <c r="AN13" i="29"/>
  <c r="AN243" i="29"/>
  <c r="AN231" i="29"/>
  <c r="AN198" i="29"/>
  <c r="AN596" i="29"/>
  <c r="AN355" i="29"/>
  <c r="AN250" i="29"/>
  <c r="AN476" i="29"/>
  <c r="AN209" i="29"/>
  <c r="AN253" i="29"/>
  <c r="AN302" i="29"/>
  <c r="AN103" i="29"/>
  <c r="AN327" i="29"/>
  <c r="AN280" i="29"/>
  <c r="AN494" i="29"/>
  <c r="AN542" i="29"/>
  <c r="AN527" i="29"/>
  <c r="AN44" i="29"/>
  <c r="AN491" i="29"/>
  <c r="AN294" i="29"/>
  <c r="AN557" i="29"/>
  <c r="AN213" i="29"/>
  <c r="AN330" i="29"/>
  <c r="AN467" i="29"/>
  <c r="AN16" i="29"/>
  <c r="AN116" i="29"/>
  <c r="AN128" i="29"/>
  <c r="AN259" i="29"/>
  <c r="AN152" i="29"/>
  <c r="AN386" i="29"/>
  <c r="AN246" i="29"/>
  <c r="AN267" i="29"/>
  <c r="AN200" i="29"/>
  <c r="AN434" i="29"/>
  <c r="AN464" i="29"/>
  <c r="AN216" i="29"/>
  <c r="AN61" i="29"/>
  <c r="AN201" i="29"/>
  <c r="AN89" i="29"/>
  <c r="AN409" i="29"/>
  <c r="AN63" i="29"/>
  <c r="AN283" i="29"/>
  <c r="AN33" i="29"/>
  <c r="AN353" i="29"/>
  <c r="AN43" i="29"/>
  <c r="AN258" i="29"/>
  <c r="AN488" i="29"/>
  <c r="AN180" i="29"/>
  <c r="AN534" i="29"/>
  <c r="AN345" i="29"/>
  <c r="AN432" i="29"/>
  <c r="AN358" i="29"/>
  <c r="AN577" i="29"/>
  <c r="AN532" i="29"/>
  <c r="AN609" i="29"/>
  <c r="AN278" i="29"/>
  <c r="AN46" i="29"/>
  <c r="AN501" i="29"/>
  <c r="AN170" i="29"/>
  <c r="AN599" i="29"/>
  <c r="AN205" i="29"/>
  <c r="AN288" i="29"/>
  <c r="AN323" i="29"/>
  <c r="AN519" i="29"/>
  <c r="AN408" i="29"/>
  <c r="AN343" i="29"/>
  <c r="AN487" i="29"/>
  <c r="AN264" i="29"/>
  <c r="AN604" i="29"/>
  <c r="AN537" i="29"/>
  <c r="AN418" i="29"/>
  <c r="AN238" i="29"/>
  <c r="AN430" i="29"/>
  <c r="AN106" i="29"/>
  <c r="AN406" i="29"/>
  <c r="AN549" i="29"/>
  <c r="AN606" i="29"/>
  <c r="AN605" i="29"/>
  <c r="AN428" i="29"/>
  <c r="AN223" i="29"/>
  <c r="AN300" i="29"/>
  <c r="AN174" i="29"/>
  <c r="AN126" i="29"/>
  <c r="AN271" i="29"/>
  <c r="AN508" i="29"/>
  <c r="AN460" i="29"/>
  <c r="AN32" i="29"/>
  <c r="AN178" i="29"/>
  <c r="AN177" i="29"/>
  <c r="AN270" i="29"/>
  <c r="AN113" i="29"/>
  <c r="AN480" i="29"/>
  <c r="AN222" i="29"/>
  <c r="AN64" i="29"/>
  <c r="AN505" i="29"/>
  <c r="AN189" i="29"/>
  <c r="AN26" i="29"/>
  <c r="AN331" i="29"/>
  <c r="AN572" i="29"/>
  <c r="AN268" i="29"/>
  <c r="AN107" i="29"/>
  <c r="AN55" i="29"/>
  <c r="AN587" i="29"/>
  <c r="AN62" i="29"/>
  <c r="AN21" i="29"/>
  <c r="AN325" i="29"/>
  <c r="AN431" i="29"/>
  <c r="AN354" i="29"/>
  <c r="AN585" i="29"/>
  <c r="AN28" i="29"/>
  <c r="AN48" i="29"/>
  <c r="AN357" i="29"/>
  <c r="AN317" i="29"/>
  <c r="AN559" i="29"/>
  <c r="AN224" i="29"/>
  <c r="AN342" i="29"/>
  <c r="AN578" i="29"/>
  <c r="AN296" i="29"/>
  <c r="AN319" i="29"/>
  <c r="AN396" i="29"/>
  <c r="AN76" i="29"/>
  <c r="AN548" i="29"/>
  <c r="AN234" i="29"/>
  <c r="AN304" i="29"/>
  <c r="AN391" i="29"/>
  <c r="AN115" i="29"/>
  <c r="AN371" i="29"/>
  <c r="AN318" i="29"/>
  <c r="AN87" i="29"/>
  <c r="AN427" i="29"/>
  <c r="AN436" i="29"/>
  <c r="AN503" i="29"/>
  <c r="AN352" i="29"/>
  <c r="AN85" i="29"/>
  <c r="AN349" i="29"/>
  <c r="AN185" i="29"/>
  <c r="AN415" i="29"/>
  <c r="AN424" i="29"/>
  <c r="AN545" i="29"/>
  <c r="AN404" i="29"/>
  <c r="AN203" i="29"/>
  <c r="AN263" i="29"/>
  <c r="AN186" i="29"/>
  <c r="AN344" i="29"/>
  <c r="AN481" i="29"/>
  <c r="AN306" i="29"/>
  <c r="AN589" i="29"/>
  <c r="AN112" i="29"/>
  <c r="AN293" i="29"/>
  <c r="AN36" i="29"/>
  <c r="AN365" i="29"/>
  <c r="AN131" i="29"/>
  <c r="AN45" i="29"/>
  <c r="AN164" i="29"/>
  <c r="AN29" i="29"/>
  <c r="AN526" i="29"/>
  <c r="AN417" i="29"/>
  <c r="AN30" i="29"/>
  <c r="AN239" i="29"/>
  <c r="AN546" i="29"/>
  <c r="AN240" i="29"/>
  <c r="AN132" i="29"/>
  <c r="AN162" i="29"/>
  <c r="AN347" i="29"/>
  <c r="AN248" i="29"/>
  <c r="AN394" i="29"/>
  <c r="AN387" i="29"/>
  <c r="AN575" i="29"/>
  <c r="AN82" i="29"/>
  <c r="AN27" i="29"/>
  <c r="AN369" i="29"/>
  <c r="AN435" i="29"/>
  <c r="AN515" i="29"/>
  <c r="AN520" i="29"/>
  <c r="AN597" i="29"/>
  <c r="AN232" i="29"/>
  <c r="AM601" i="29"/>
  <c r="AN274" i="29"/>
  <c r="AN41" i="29"/>
  <c r="AN254" i="29"/>
  <c r="AN603" i="29"/>
  <c r="AN192" i="29"/>
  <c r="AN580" i="29"/>
  <c r="AN56" i="29"/>
  <c r="AN227" i="29"/>
  <c r="AN108" i="29"/>
  <c r="AN249" i="29"/>
  <c r="AN25" i="29"/>
  <c r="AN470" i="29"/>
  <c r="AN175" i="29"/>
  <c r="AN438" i="29"/>
  <c r="AN374" i="29"/>
  <c r="AN139" i="29"/>
  <c r="AN167" i="29"/>
  <c r="AN495" i="29"/>
  <c r="AN485" i="29"/>
  <c r="AN558" i="29"/>
  <c r="AN241" i="29"/>
  <c r="AN413" i="29"/>
  <c r="AN360" i="29"/>
  <c r="AN524" i="29"/>
  <c r="AN59" i="29"/>
  <c r="AN197" i="29"/>
  <c r="AN159" i="29"/>
  <c r="AN454" i="29"/>
  <c r="AN610" i="29"/>
  <c r="AN486" i="29"/>
  <c r="AN459" i="29"/>
  <c r="AN457" i="29"/>
  <c r="AN261" i="29"/>
  <c r="AN399" i="29"/>
  <c r="AN433" i="29"/>
  <c r="AN73" i="29"/>
  <c r="AN66" i="29"/>
  <c r="AN169" i="29"/>
  <c r="AN564" i="29"/>
  <c r="AN23" i="29"/>
  <c r="AN206" i="29"/>
  <c r="AN279" i="29"/>
  <c r="AN320" i="29"/>
  <c r="AN367" i="29"/>
  <c r="AN560" i="29"/>
  <c r="AN57" i="29"/>
  <c r="AN137" i="29"/>
  <c r="AN172" i="29"/>
  <c r="AN291" i="29"/>
  <c r="AN72" i="29"/>
  <c r="AN350" i="29"/>
  <c r="AM24" i="29"/>
  <c r="AN420" i="29"/>
  <c r="AN553" i="29"/>
  <c r="AM456" i="29"/>
  <c r="AN96" i="29"/>
  <c r="AN38" i="29"/>
  <c r="AN602" i="29"/>
  <c r="AN34" i="29"/>
  <c r="AN590" i="29"/>
  <c r="AN101" i="29"/>
  <c r="AM138" i="29"/>
  <c r="AM87" i="29"/>
  <c r="AM79" i="29"/>
  <c r="AM594" i="29"/>
  <c r="AN184" i="29"/>
  <c r="AN266" i="29"/>
  <c r="AN54" i="29"/>
  <c r="AM169" i="29"/>
  <c r="AM38" i="29"/>
  <c r="AN333" i="29"/>
  <c r="AN148" i="29"/>
  <c r="AN235" i="29"/>
  <c r="AN579" i="29"/>
  <c r="AN237" i="29"/>
  <c r="AN19" i="29"/>
  <c r="AM257" i="29"/>
  <c r="AM183" i="29"/>
  <c r="AM414" i="29"/>
  <c r="AM245" i="29"/>
  <c r="AM253" i="29"/>
  <c r="AM262" i="29"/>
  <c r="AM348" i="29"/>
  <c r="AM325" i="29"/>
  <c r="AM80" i="29"/>
  <c r="AM260" i="29"/>
  <c r="AM600" i="29"/>
  <c r="AM402" i="29"/>
  <c r="AM337" i="29"/>
  <c r="AM37" i="29"/>
  <c r="AM585" i="29"/>
  <c r="AM455" i="29"/>
  <c r="AM91" i="29"/>
  <c r="AM565" i="29"/>
  <c r="AM341" i="29"/>
  <c r="AM267" i="29"/>
  <c r="AM206" i="29"/>
  <c r="AM373" i="29"/>
  <c r="AM336" i="29"/>
  <c r="AM514" i="29"/>
  <c r="AM167" i="29"/>
  <c r="AM581" i="29"/>
  <c r="AM294" i="29"/>
  <c r="AM593" i="29"/>
  <c r="AM582" i="29"/>
  <c r="AM207" i="29"/>
  <c r="AM295" i="29"/>
  <c r="AM88" i="29"/>
  <c r="AM118" i="29"/>
  <c r="AM200" i="29"/>
  <c r="AM518" i="29"/>
  <c r="AM381" i="29"/>
  <c r="AM292" i="29"/>
  <c r="AM17" i="29"/>
  <c r="AM307" i="29"/>
  <c r="AM469" i="29"/>
  <c r="AM85" i="29"/>
  <c r="AM235" i="29"/>
  <c r="AM353" i="29"/>
  <c r="AM544" i="29"/>
  <c r="AM357" i="29"/>
  <c r="AM483" i="29"/>
  <c r="AM149" i="29"/>
  <c r="AM606" i="29"/>
  <c r="AM501" i="29"/>
  <c r="AM371" i="29"/>
  <c r="AM50" i="29"/>
  <c r="AM250" i="29"/>
  <c r="AM51" i="29"/>
  <c r="AM26" i="29"/>
  <c r="AM145" i="29"/>
  <c r="AM258" i="29"/>
  <c r="AM537" i="29"/>
  <c r="AO537" i="29" s="1"/>
  <c r="AM435" i="29"/>
  <c r="AM33" i="29"/>
  <c r="AM443" i="29"/>
  <c r="AM82" i="29"/>
  <c r="AM338" i="29"/>
  <c r="AM468" i="29"/>
  <c r="AM81" i="29"/>
  <c r="AM135" i="29"/>
  <c r="AM173" i="29"/>
  <c r="AM179" i="29"/>
  <c r="AM302" i="29"/>
  <c r="AM403" i="29"/>
  <c r="AM549" i="29"/>
  <c r="AM573" i="29"/>
  <c r="AM444" i="29"/>
  <c r="AM157" i="29"/>
  <c r="AM531" i="29"/>
  <c r="AM566" i="29"/>
  <c r="AM313" i="29"/>
  <c r="AM163" i="29"/>
  <c r="AM155" i="29"/>
  <c r="AO155" i="29" s="1"/>
  <c r="AM119" i="29"/>
  <c r="AM584" i="29"/>
  <c r="AM524" i="29"/>
  <c r="AM147" i="29"/>
  <c r="AM252" i="29"/>
  <c r="AM528" i="29"/>
  <c r="AM533" i="29"/>
  <c r="AM596" i="29"/>
  <c r="AM416" i="29"/>
  <c r="AM309" i="29"/>
  <c r="AM297" i="29"/>
  <c r="AM199" i="29"/>
  <c r="AM407" i="29"/>
  <c r="AM28" i="29"/>
  <c r="AM370" i="29"/>
  <c r="AM327" i="29"/>
  <c r="AM507" i="29"/>
  <c r="AM568" i="29"/>
  <c r="AM406" i="29"/>
  <c r="AM420" i="29"/>
  <c r="AM264" i="29"/>
  <c r="AM521" i="29"/>
  <c r="AM117" i="29"/>
  <c r="AM233" i="29"/>
  <c r="AM525" i="29"/>
  <c r="AM542" i="29"/>
  <c r="AM426" i="29"/>
  <c r="AM410" i="29"/>
  <c r="AM612" i="29"/>
  <c r="AM89" i="29"/>
  <c r="AM43" i="29"/>
  <c r="AM256" i="29"/>
  <c r="AM58" i="29"/>
  <c r="AO58" i="29" s="1"/>
  <c r="AM355" i="29"/>
  <c r="AM432" i="29"/>
  <c r="AM449" i="29"/>
  <c r="AM436" i="29"/>
  <c r="AM369" i="29"/>
  <c r="AM174" i="29"/>
  <c r="AO174" i="29" s="1"/>
  <c r="AM324" i="29"/>
  <c r="AM471" i="29"/>
  <c r="AM62" i="29"/>
  <c r="AM75" i="29"/>
  <c r="AM527" i="29"/>
  <c r="AM137" i="29"/>
  <c r="AM496" i="29"/>
  <c r="AM570" i="29"/>
  <c r="AM221" i="29"/>
  <c r="AM447" i="29"/>
  <c r="AM474" i="29"/>
  <c r="AM195" i="29"/>
  <c r="AM121" i="29"/>
  <c r="AM18" i="29"/>
  <c r="AO18" i="29" s="1"/>
  <c r="AM576" i="29"/>
  <c r="AM396" i="29"/>
  <c r="AM178" i="29"/>
  <c r="AM319" i="29"/>
  <c r="AM554" i="29"/>
  <c r="AM434" i="29"/>
  <c r="AM289" i="29"/>
  <c r="AM220" i="29"/>
  <c r="AM442" i="29"/>
  <c r="AM288" i="29"/>
  <c r="AM486" i="29"/>
  <c r="AM42" i="29"/>
  <c r="AM405" i="29"/>
  <c r="AM298" i="29"/>
  <c r="AM67" i="29"/>
  <c r="AM40" i="29"/>
  <c r="AM413" i="29"/>
  <c r="AM128" i="29"/>
  <c r="AM315" i="29"/>
  <c r="AM346" i="29"/>
  <c r="AM422" i="29"/>
  <c r="AM504" i="29"/>
  <c r="AM70" i="29"/>
  <c r="AM588" i="29"/>
  <c r="AM401" i="29"/>
  <c r="AM239" i="29"/>
  <c r="AM113" i="29"/>
  <c r="AM209" i="29"/>
  <c r="AM532" i="29"/>
  <c r="AM124" i="29"/>
  <c r="AO124" i="29" s="1"/>
  <c r="AM605" i="29"/>
  <c r="AM237" i="29"/>
  <c r="AM388" i="29"/>
  <c r="AM564" i="29"/>
  <c r="AM386" i="29"/>
  <c r="AM229" i="29"/>
  <c r="AM34" i="29"/>
  <c r="AM509" i="29"/>
  <c r="AO509" i="29" s="1"/>
  <c r="AM127" i="29"/>
  <c r="AM299" i="29"/>
  <c r="AM598" i="29"/>
  <c r="AM59" i="29"/>
  <c r="AM515" i="29"/>
  <c r="AM31" i="29"/>
  <c r="AM270" i="29"/>
  <c r="AM526" i="29"/>
  <c r="AM142" i="29"/>
  <c r="AM177" i="29"/>
  <c r="AM150" i="29"/>
  <c r="AM383" i="29"/>
  <c r="AM130" i="29"/>
  <c r="AM55" i="29"/>
  <c r="AM74" i="29"/>
  <c r="AM552" i="29"/>
  <c r="AM83" i="29"/>
  <c r="AM326" i="29"/>
  <c r="AM441" i="29"/>
  <c r="AM78" i="29"/>
  <c r="AM517" i="29"/>
  <c r="AM30" i="29"/>
  <c r="AM428" i="29"/>
  <c r="AM66" i="29"/>
  <c r="AM273" i="29"/>
  <c r="AM387" i="29"/>
  <c r="AM345" i="29"/>
  <c r="AM433" i="29"/>
  <c r="AM361" i="29"/>
  <c r="AM478" i="29"/>
  <c r="AM571" i="29"/>
  <c r="AM84" i="29"/>
  <c r="AM546" i="29"/>
  <c r="AM359" i="29"/>
  <c r="AM409" i="29"/>
  <c r="AM144" i="29"/>
  <c r="AM92" i="29"/>
  <c r="AM574" i="29"/>
  <c r="AM248" i="29"/>
  <c r="AM379" i="29"/>
  <c r="AM21" i="29"/>
  <c r="AM57" i="29"/>
  <c r="AM440" i="29"/>
  <c r="AM586" i="29"/>
  <c r="AM363" i="29"/>
  <c r="AM201" i="29"/>
  <c r="AM166" i="29"/>
  <c r="AM153" i="29"/>
  <c r="AM109" i="29"/>
  <c r="AM247" i="29"/>
  <c r="AM214" i="29"/>
  <c r="AM103" i="29"/>
  <c r="AM421" i="29"/>
  <c r="AM193" i="29"/>
  <c r="AO193" i="29" s="1"/>
  <c r="AM96" i="29"/>
  <c r="AM535" i="29"/>
  <c r="AM107" i="29"/>
  <c r="AM204" i="29"/>
  <c r="AM219" i="29"/>
  <c r="AM610" i="29"/>
  <c r="AM602" i="29"/>
  <c r="AM251" i="29"/>
  <c r="AM491" i="29"/>
  <c r="AM222" i="29"/>
  <c r="AM98" i="29"/>
  <c r="AM226" i="29"/>
  <c r="AM587" i="29"/>
  <c r="AM259" i="29"/>
  <c r="AM331" i="29"/>
  <c r="AM304" i="29"/>
  <c r="AM133" i="29"/>
  <c r="AM424" i="29"/>
  <c r="AM249" i="29"/>
  <c r="AM378" i="29"/>
  <c r="AM301" i="29"/>
  <c r="AM29" i="29"/>
  <c r="AM213" i="29"/>
  <c r="AM599" i="29"/>
  <c r="AO599" i="29" s="1"/>
  <c r="AM477" i="29"/>
  <c r="AM172" i="29"/>
  <c r="AM340" i="29"/>
  <c r="AM461" i="29"/>
  <c r="AM241" i="29"/>
  <c r="AM347" i="29"/>
  <c r="AM557" i="29"/>
  <c r="AM140" i="29"/>
  <c r="AM108" i="29"/>
  <c r="AM583" i="29"/>
  <c r="AM384" i="29"/>
  <c r="AM165" i="29"/>
  <c r="AM100" i="29"/>
  <c r="AM349" i="29"/>
  <c r="AM16" i="29"/>
  <c r="AM69" i="29"/>
  <c r="AM61" i="29"/>
  <c r="AO61" i="29" s="1"/>
  <c r="AM52" i="29"/>
  <c r="AM454" i="29"/>
  <c r="AM282" i="29"/>
  <c r="AM577" i="29"/>
  <c r="AM342" i="29"/>
  <c r="AM321" i="29"/>
  <c r="AM255" i="29"/>
  <c r="AM408" i="29"/>
  <c r="AM437" i="29"/>
  <c r="AO437" i="29" s="1"/>
  <c r="AM306" i="29"/>
  <c r="AM272" i="29"/>
  <c r="AM39" i="29"/>
  <c r="AM448" i="29"/>
  <c r="AM364" i="29"/>
  <c r="AM65" i="29"/>
  <c r="AM508" i="29"/>
  <c r="AM71" i="29"/>
  <c r="AM122" i="29"/>
  <c r="AM366" i="29"/>
  <c r="AM446" i="29"/>
  <c r="AM139" i="29"/>
  <c r="AM350" i="29"/>
  <c r="AM333" i="29"/>
  <c r="AM329" i="29"/>
  <c r="AM277" i="29"/>
  <c r="AM607" i="29"/>
  <c r="AM330" i="29"/>
  <c r="AM368" i="29"/>
  <c r="AM305" i="29"/>
  <c r="AM529" i="29"/>
  <c r="AM48" i="29"/>
  <c r="AM317" i="29"/>
  <c r="AM360" i="29"/>
  <c r="AM498" i="29"/>
  <c r="AM102" i="29"/>
  <c r="AM591" i="29"/>
  <c r="AM466" i="29"/>
  <c r="AM300" i="29"/>
  <c r="AM271" i="29"/>
  <c r="AM392" i="29"/>
  <c r="AM161" i="29"/>
  <c r="AM284" i="29"/>
  <c r="AM398" i="29"/>
  <c r="AM320" i="29"/>
  <c r="AM19" i="29"/>
  <c r="AM372" i="29"/>
  <c r="AM460" i="29"/>
  <c r="AM41" i="29"/>
  <c r="AM534" i="29"/>
  <c r="AM194" i="29"/>
  <c r="AM223" i="29"/>
  <c r="AM563" i="29"/>
  <c r="AM513" i="29"/>
  <c r="AM427" i="29"/>
  <c r="AM285" i="29"/>
  <c r="AO285" i="29" s="1"/>
  <c r="AM356" i="29"/>
  <c r="AM208" i="29"/>
  <c r="AM323" i="29"/>
  <c r="AM597" i="29"/>
  <c r="AM389" i="29"/>
  <c r="AM411" i="29"/>
  <c r="AM519" i="29"/>
  <c r="AM603" i="29"/>
  <c r="AM211" i="29"/>
  <c r="AM90" i="29"/>
  <c r="AM510" i="29"/>
  <c r="AM203" i="29"/>
  <c r="AM185" i="29"/>
  <c r="AM192" i="29"/>
  <c r="AM198" i="29"/>
  <c r="AM592" i="29"/>
  <c r="AM290" i="29"/>
  <c r="AM125" i="29"/>
  <c r="AM225" i="29"/>
  <c r="AM114" i="29"/>
  <c r="AM431" i="29"/>
  <c r="AM328" i="29"/>
  <c r="AO328" i="29" s="1"/>
  <c r="AM246" i="29"/>
  <c r="AM425" i="29"/>
  <c r="AM286" i="29"/>
  <c r="AM429" i="29"/>
  <c r="AM358" i="29"/>
  <c r="AM291" i="29"/>
  <c r="AM473" i="29"/>
  <c r="AM261" i="29"/>
  <c r="AM27" i="29"/>
  <c r="AM562" i="29"/>
  <c r="AM126" i="29"/>
  <c r="AM457" i="29"/>
  <c r="AM269" i="29"/>
  <c r="AM93" i="29"/>
  <c r="AM63" i="29"/>
  <c r="AM106" i="29"/>
  <c r="AM391" i="29"/>
  <c r="AM287" i="29"/>
  <c r="AM548" i="29"/>
  <c r="AM216" i="29"/>
  <c r="AM20" i="29"/>
  <c r="AM604" i="29"/>
  <c r="AM268" i="29"/>
  <c r="AM472" i="29"/>
  <c r="AM45" i="29"/>
  <c r="AM215" i="29"/>
  <c r="AM116" i="29"/>
  <c r="AM160" i="29"/>
  <c r="AM72" i="29"/>
  <c r="AM112" i="29"/>
  <c r="AM380" i="29"/>
  <c r="AM276" i="29"/>
  <c r="AM111" i="29"/>
  <c r="AM575" i="29"/>
  <c r="AM495" i="29"/>
  <c r="AM240" i="29"/>
  <c r="AM23" i="29"/>
  <c r="AM311" i="29"/>
  <c r="AM234" i="29"/>
  <c r="AM205" i="29"/>
  <c r="AM217" i="29"/>
  <c r="AM202" i="29"/>
  <c r="AM430" i="29"/>
  <c r="AM499" i="29"/>
  <c r="AM68" i="29"/>
  <c r="AM191" i="29"/>
  <c r="AM190" i="29"/>
  <c r="AM503" i="29"/>
  <c r="AM56" i="29"/>
  <c r="AM485" i="29"/>
  <c r="AM385" i="29"/>
  <c r="AM458" i="29"/>
  <c r="AM451" i="29"/>
  <c r="AM488" i="29"/>
  <c r="AM608" i="29"/>
  <c r="AM556" i="29"/>
  <c r="AM154" i="29"/>
  <c r="AM32" i="29"/>
  <c r="AM210" i="29"/>
  <c r="AM555" i="29"/>
  <c r="AM15" i="29"/>
  <c r="AM578" i="29"/>
  <c r="AM572" i="29"/>
  <c r="AM450" i="29"/>
  <c r="AM558" i="29"/>
  <c r="AM171" i="29"/>
  <c r="AM335" i="29"/>
  <c r="AM376" i="29"/>
  <c r="AM312" i="29"/>
  <c r="AM162" i="29"/>
  <c r="AM580" i="29"/>
  <c r="AM77" i="29"/>
  <c r="AM522" i="29"/>
  <c r="AM569" i="29"/>
  <c r="AM115" i="29"/>
  <c r="AM278" i="29"/>
  <c r="AM439" i="29"/>
  <c r="AM101" i="29"/>
  <c r="AM540" i="29"/>
  <c r="AM232" i="29"/>
  <c r="AM344" i="29"/>
  <c r="AM417" i="29"/>
  <c r="AM352" i="29"/>
  <c r="AM470" i="29"/>
  <c r="AM561" i="29"/>
  <c r="AM547" i="29"/>
  <c r="AM86" i="29"/>
  <c r="AM242" i="29"/>
  <c r="AM502" i="29"/>
  <c r="AM375" i="29"/>
  <c r="AM143" i="29"/>
  <c r="AM551" i="29"/>
  <c r="AM156" i="29"/>
  <c r="AM334" i="29"/>
  <c r="AM197" i="29"/>
  <c r="AM281" i="29"/>
  <c r="AM279" i="29"/>
  <c r="AM438" i="29"/>
  <c r="AM560" i="29"/>
  <c r="AM354" i="29"/>
  <c r="AM467" i="29"/>
  <c r="AM164" i="29"/>
  <c r="AM332" i="29"/>
  <c r="AM459" i="29"/>
  <c r="AM318" i="29"/>
  <c r="AM182" i="29"/>
  <c r="AM158" i="29"/>
  <c r="AM482" i="29"/>
  <c r="AM545" i="29"/>
  <c r="AM516" i="29"/>
  <c r="AM280" i="29"/>
  <c r="AM339" i="29"/>
  <c r="AM76" i="29"/>
  <c r="AM14" i="29"/>
  <c r="AM224" i="29"/>
  <c r="AM196" i="29"/>
  <c r="AM94" i="29"/>
  <c r="AM399" i="29"/>
  <c r="AM543" i="29"/>
  <c r="AM129" i="29"/>
  <c r="AM283" i="29"/>
  <c r="AM539" i="29"/>
  <c r="AM404" i="29"/>
  <c r="AM343" i="29"/>
  <c r="AM296" i="29"/>
  <c r="AM490" i="29"/>
  <c r="AM308" i="29"/>
  <c r="AM322" i="29"/>
  <c r="AM275" i="29"/>
  <c r="AM99" i="29"/>
  <c r="AM25" i="29"/>
  <c r="AM132" i="29"/>
  <c r="AM188" i="29"/>
  <c r="AM238" i="29"/>
  <c r="AO238" i="29" s="1"/>
  <c r="AM134" i="29"/>
  <c r="AM494" i="29"/>
  <c r="AM227" i="29"/>
  <c r="AM419" i="29"/>
  <c r="AM266" i="29"/>
  <c r="AM487" i="29"/>
  <c r="AM303" i="29"/>
  <c r="AM189" i="29"/>
  <c r="AO189" i="29" s="1"/>
  <c r="AM595" i="29"/>
  <c r="AM512" i="29"/>
  <c r="AM505" i="29"/>
  <c r="AM362" i="29"/>
  <c r="AM541" i="29"/>
  <c r="AM351" i="29"/>
  <c r="AM462" i="29"/>
  <c r="AM520" i="29"/>
  <c r="AM148" i="29"/>
  <c r="AM445" i="29"/>
  <c r="AM131" i="29"/>
  <c r="AM13" i="29"/>
  <c r="AM35" i="29"/>
  <c r="AM184" i="29"/>
  <c r="AM274" i="29"/>
  <c r="AM365" i="29"/>
  <c r="AM44" i="29"/>
  <c r="AM53" i="29"/>
  <c r="AM236" i="29"/>
  <c r="AM530" i="29"/>
  <c r="AM479" i="29"/>
  <c r="AM64" i="29"/>
  <c r="AM314" i="29"/>
  <c r="AM400" i="29"/>
  <c r="AM484" i="29"/>
  <c r="AM151" i="29"/>
  <c r="AM590" i="29"/>
  <c r="AM228" i="29"/>
  <c r="AM104" i="29"/>
  <c r="AM123" i="29"/>
  <c r="AM170" i="29"/>
  <c r="AM60" i="29"/>
  <c r="AO60" i="29" s="1"/>
  <c r="AM212" i="29"/>
  <c r="AM475" i="29"/>
  <c r="AM175" i="29"/>
  <c r="AM481" i="29"/>
  <c r="AM254" i="29"/>
  <c r="AM367" i="29"/>
  <c r="AM382" i="29"/>
  <c r="AM243" i="29"/>
  <c r="AM230" i="29"/>
  <c r="AM493" i="29"/>
  <c r="AM464" i="29"/>
  <c r="AO464" i="29" s="1"/>
  <c r="AM310" i="29"/>
  <c r="AM423" i="29"/>
  <c r="AM589" i="29"/>
  <c r="AM397" i="29"/>
  <c r="AM293" i="29"/>
  <c r="AM538" i="29"/>
  <c r="AM47" i="29"/>
  <c r="AM231" i="29"/>
  <c r="AM176" i="29"/>
  <c r="AM550" i="29"/>
  <c r="AM22" i="29"/>
  <c r="AM567" i="29"/>
  <c r="AM480" i="29"/>
  <c r="AM46" i="29"/>
  <c r="AM613" i="29"/>
  <c r="AM95" i="29"/>
  <c r="AM159" i="29"/>
  <c r="AM316" i="29"/>
  <c r="AM412" i="29"/>
  <c r="AM465" i="29"/>
  <c r="AM374" i="29"/>
  <c r="AM168" i="29"/>
  <c r="AM390" i="29"/>
  <c r="AM553" i="29"/>
  <c r="AM263" i="29"/>
  <c r="AM186" i="29"/>
  <c r="AM146" i="29"/>
  <c r="AM506" i="29"/>
  <c r="AM136" i="29"/>
  <c r="AM609" i="29"/>
  <c r="AM500" i="29"/>
  <c r="AM110" i="29"/>
  <c r="AM97" i="29"/>
  <c r="AO97" i="29" s="1"/>
  <c r="AM395" i="29"/>
  <c r="AM180" i="29"/>
  <c r="AM453" i="29"/>
  <c r="AM187" i="29"/>
  <c r="AM418" i="29"/>
  <c r="AM393" i="29"/>
  <c r="AM120" i="29"/>
  <c r="AM476" i="29"/>
  <c r="AM559" i="29"/>
  <c r="AM73" i="29"/>
  <c r="AM492" i="29"/>
  <c r="AM489" i="29"/>
  <c r="AM579" i="29"/>
  <c r="AM218" i="29"/>
  <c r="AM152" i="29"/>
  <c r="AM265" i="29"/>
  <c r="AM244" i="29"/>
  <c r="AM415" i="29"/>
  <c r="AM49" i="29"/>
  <c r="AM497" i="29"/>
  <c r="AM141" i="29"/>
  <c r="AM54" i="29"/>
  <c r="AM463" i="29"/>
  <c r="AM394" i="29"/>
  <c r="AM105" i="29"/>
  <c r="AM377" i="29"/>
  <c r="AP114" i="29"/>
  <c r="AQ114" i="29" s="1"/>
  <c r="AR114" i="29" s="1"/>
  <c r="AP204" i="29"/>
  <c r="AQ204" i="29" s="1"/>
  <c r="AR204" i="29" s="1"/>
  <c r="AP132" i="29"/>
  <c r="AQ132" i="29" s="1"/>
  <c r="AR132" i="29" s="1"/>
  <c r="AP255" i="29"/>
  <c r="AQ255" i="29" s="1"/>
  <c r="AR255" i="29" s="1"/>
  <c r="AP290" i="29"/>
  <c r="AQ290" i="29" s="1"/>
  <c r="AR290" i="29" s="1"/>
  <c r="AP330" i="29"/>
  <c r="AQ330" i="29" s="1"/>
  <c r="AR330" i="29" s="1"/>
  <c r="AP306" i="29"/>
  <c r="AQ306" i="29" s="1"/>
  <c r="AR306" i="29" s="1"/>
  <c r="AP84" i="29"/>
  <c r="AQ84" i="29" s="1"/>
  <c r="AR84" i="29" s="1"/>
  <c r="AP167" i="29"/>
  <c r="AQ167" i="29" s="1"/>
  <c r="AR167" i="29" s="1"/>
  <c r="AP459" i="29"/>
  <c r="AQ459" i="29" s="1"/>
  <c r="AR459" i="29" s="1"/>
  <c r="AP599" i="29"/>
  <c r="AQ599" i="29" s="1"/>
  <c r="AR599" i="29" s="1"/>
  <c r="AP520" i="29"/>
  <c r="AQ520" i="29" s="1"/>
  <c r="AR520" i="29" s="1"/>
  <c r="AP237" i="29"/>
  <c r="AQ237" i="29" s="1"/>
  <c r="AR237" i="29" s="1"/>
  <c r="AP175" i="29"/>
  <c r="AQ175" i="29" s="1"/>
  <c r="AR175" i="29" s="1"/>
  <c r="AP311" i="29"/>
  <c r="AQ311" i="29" s="1"/>
  <c r="AR311" i="29" s="1"/>
  <c r="AP557" i="29"/>
  <c r="AQ557" i="29" s="1"/>
  <c r="AR557" i="29" s="1"/>
  <c r="AP293" i="29"/>
  <c r="AQ293" i="29" s="1"/>
  <c r="AR293" i="29" s="1"/>
  <c r="AP450" i="29"/>
  <c r="AQ450" i="29" s="1"/>
  <c r="AR450" i="29" s="1"/>
  <c r="AP308" i="29"/>
  <c r="AQ308" i="29" s="1"/>
  <c r="AR308" i="29" s="1"/>
  <c r="AP417" i="29"/>
  <c r="AQ417" i="29" s="1"/>
  <c r="AR417" i="29" s="1"/>
  <c r="AP586" i="29"/>
  <c r="AQ586" i="29" s="1"/>
  <c r="AR586" i="29" s="1"/>
  <c r="AP488" i="29"/>
  <c r="AQ488" i="29" s="1"/>
  <c r="AR488" i="29" s="1"/>
  <c r="AM611" i="29"/>
  <c r="AP86" i="29"/>
  <c r="AQ86" i="29" s="1"/>
  <c r="AR86" i="29" s="1"/>
  <c r="AP213" i="29"/>
  <c r="AQ213" i="29" s="1"/>
  <c r="AR213" i="29" s="1"/>
  <c r="AP54" i="29"/>
  <c r="AQ54" i="29" s="1"/>
  <c r="AR54" i="29" s="1"/>
  <c r="AP233" i="29"/>
  <c r="AQ233" i="29" s="1"/>
  <c r="AR233" i="29" s="1"/>
  <c r="AP593" i="29"/>
  <c r="AQ593" i="29" s="1"/>
  <c r="AR593" i="29" s="1"/>
  <c r="AP502" i="29"/>
  <c r="AQ502" i="29" s="1"/>
  <c r="AR502" i="29" s="1"/>
  <c r="AP195" i="29"/>
  <c r="AQ195" i="29" s="1"/>
  <c r="AR195" i="29" s="1"/>
  <c r="AP168" i="29"/>
  <c r="AQ168" i="29" s="1"/>
  <c r="AR168" i="29" s="1"/>
  <c r="AP82" i="29"/>
  <c r="AQ82" i="29" s="1"/>
  <c r="AR82" i="29" s="1"/>
  <c r="AP321" i="29"/>
  <c r="AQ321" i="29" s="1"/>
  <c r="AR321" i="29" s="1"/>
  <c r="AP382" i="29"/>
  <c r="AQ382" i="29" s="1"/>
  <c r="AR382" i="29" s="1"/>
  <c r="AP253" i="29"/>
  <c r="AQ253" i="29" s="1"/>
  <c r="AR253" i="29" s="1"/>
  <c r="AP294" i="29"/>
  <c r="AQ294" i="29" s="1"/>
  <c r="AR294" i="29" s="1"/>
  <c r="AP567" i="29"/>
  <c r="AQ567" i="29" s="1"/>
  <c r="AR567" i="29" s="1"/>
  <c r="AP236" i="29"/>
  <c r="AQ236" i="29" s="1"/>
  <c r="AR236" i="29" s="1"/>
  <c r="AP507" i="29"/>
  <c r="AQ507" i="29" s="1"/>
  <c r="AR507" i="29" s="1"/>
  <c r="AP198" i="29"/>
  <c r="AQ198" i="29" s="1"/>
  <c r="AR198" i="29" s="1"/>
  <c r="AP367" i="29"/>
  <c r="AQ367" i="29" s="1"/>
  <c r="AR367" i="29" s="1"/>
  <c r="AP98" i="29"/>
  <c r="AQ98" i="29" s="1"/>
  <c r="AR98" i="29" s="1"/>
  <c r="AP383" i="29"/>
  <c r="AQ383" i="29" s="1"/>
  <c r="AR383" i="29" s="1"/>
  <c r="AP454" i="29"/>
  <c r="AQ454" i="29" s="1"/>
  <c r="AR454" i="29" s="1"/>
  <c r="AP379" i="29"/>
  <c r="AQ379" i="29" s="1"/>
  <c r="AR379" i="29" s="1"/>
  <c r="AM452" i="29"/>
  <c r="AO452" i="29" s="1"/>
  <c r="AP349" i="29"/>
  <c r="AQ349" i="29" s="1"/>
  <c r="AR349" i="29" s="1"/>
  <c r="AP248" i="29"/>
  <c r="AQ248" i="29" s="1"/>
  <c r="AR248" i="29" s="1"/>
  <c r="AP577" i="29"/>
  <c r="AQ577" i="29" s="1"/>
  <c r="AR577" i="29" s="1"/>
  <c r="AP281" i="29"/>
  <c r="AQ281" i="29" s="1"/>
  <c r="AR281" i="29" s="1"/>
  <c r="AP485" i="29"/>
  <c r="AQ485" i="29" s="1"/>
  <c r="AR485" i="29" s="1"/>
  <c r="AP572" i="29"/>
  <c r="AQ572" i="29" s="1"/>
  <c r="AR572" i="29" s="1"/>
  <c r="AP201" i="29"/>
  <c r="AQ201" i="29" s="1"/>
  <c r="AR201" i="29" s="1"/>
  <c r="AM36" i="29"/>
  <c r="AP282" i="29"/>
  <c r="AQ282" i="29" s="1"/>
  <c r="AR282" i="29" s="1"/>
  <c r="AP468" i="29"/>
  <c r="AQ468" i="29" s="1"/>
  <c r="AR468" i="29" s="1"/>
  <c r="AP476" i="29"/>
  <c r="AQ476" i="29" s="1"/>
  <c r="AR476" i="29" s="1"/>
  <c r="AP340" i="29"/>
  <c r="AQ340" i="29" s="1"/>
  <c r="AR340" i="29" s="1"/>
  <c r="AP522" i="29"/>
  <c r="AQ522" i="29" s="1"/>
  <c r="AR522" i="29" s="1"/>
  <c r="AP243" i="29"/>
  <c r="AQ243" i="29" s="1"/>
  <c r="AR243" i="29" s="1"/>
  <c r="AP221" i="29"/>
  <c r="AQ221" i="29" s="1"/>
  <c r="AR221" i="29" s="1"/>
  <c r="AP176" i="29"/>
  <c r="AQ176" i="29" s="1"/>
  <c r="AR176" i="29" s="1"/>
  <c r="AP75" i="29"/>
  <c r="AQ75" i="29" s="1"/>
  <c r="AR75" i="29" s="1"/>
  <c r="AP527" i="29"/>
  <c r="AQ527" i="29" s="1"/>
  <c r="AR527" i="29" s="1"/>
  <c r="AP52" i="29"/>
  <c r="AQ52" i="29" s="1"/>
  <c r="AR52" i="29" s="1"/>
  <c r="AP24" i="29"/>
  <c r="AQ24" i="29" s="1"/>
  <c r="AR24" i="29" s="1"/>
  <c r="AP418" i="29"/>
  <c r="AQ418" i="29" s="1"/>
  <c r="AR418" i="29" s="1"/>
  <c r="AP179" i="29"/>
  <c r="AQ179" i="29" s="1"/>
  <c r="AR179" i="29" s="1"/>
  <c r="AP324" i="29"/>
  <c r="AQ324" i="29" s="1"/>
  <c r="AR324" i="29" s="1"/>
  <c r="AP590" i="29"/>
  <c r="AQ590" i="29" s="1"/>
  <c r="AR590" i="29" s="1"/>
  <c r="AP85" i="29"/>
  <c r="AQ85" i="29" s="1"/>
  <c r="AR85" i="29" s="1"/>
  <c r="AP223" i="29"/>
  <c r="AQ223" i="29" s="1"/>
  <c r="AR223" i="29" s="1"/>
  <c r="AP436" i="29"/>
  <c r="AQ436" i="29" s="1"/>
  <c r="AR436" i="29" s="1"/>
  <c r="AP441" i="29"/>
  <c r="AQ441" i="29" s="1"/>
  <c r="AR441" i="29" s="1"/>
  <c r="AP414" i="29"/>
  <c r="AQ414" i="29" s="1"/>
  <c r="AR414" i="29" s="1"/>
  <c r="AP26" i="29"/>
  <c r="AQ26" i="29" s="1"/>
  <c r="AR26" i="29" s="1"/>
  <c r="AP581" i="29"/>
  <c r="AQ581" i="29" s="1"/>
  <c r="AR581" i="29" s="1"/>
  <c r="AP105" i="29"/>
  <c r="AQ105" i="29" s="1"/>
  <c r="AR105" i="29" s="1"/>
  <c r="AP53" i="29"/>
  <c r="AQ53" i="29" s="1"/>
  <c r="AR53" i="29" s="1"/>
  <c r="AP451" i="29"/>
  <c r="AQ451" i="29" s="1"/>
  <c r="AR451" i="29" s="1"/>
  <c r="AP541" i="29"/>
  <c r="AQ541" i="29" s="1"/>
  <c r="AR541" i="29" s="1"/>
  <c r="AP58" i="29"/>
  <c r="AQ58" i="29" s="1"/>
  <c r="AR58" i="29" s="1"/>
  <c r="AP474" i="29"/>
  <c r="AQ474" i="29" s="1"/>
  <c r="AR474" i="29" s="1"/>
  <c r="AP192" i="29"/>
  <c r="AQ192" i="29" s="1"/>
  <c r="AR192" i="29" s="1"/>
  <c r="AP299" i="29"/>
  <c r="AQ299" i="29" s="1"/>
  <c r="AR299" i="29" s="1"/>
  <c r="AP466" i="29"/>
  <c r="AQ466" i="29" s="1"/>
  <c r="AR466" i="29" s="1"/>
  <c r="AP111" i="29"/>
  <c r="AQ111" i="29" s="1"/>
  <c r="AR111" i="29" s="1"/>
  <c r="AP524" i="29"/>
  <c r="AQ524" i="29" s="1"/>
  <c r="AR524" i="29" s="1"/>
  <c r="AP160" i="29"/>
  <c r="AQ160" i="29" s="1"/>
  <c r="AR160" i="29" s="1"/>
  <c r="AP226" i="29"/>
  <c r="AQ226" i="29" s="1"/>
  <c r="AR226" i="29" s="1"/>
  <c r="AM511" i="29"/>
  <c r="AP554" i="29"/>
  <c r="AQ554" i="29" s="1"/>
  <c r="AR554" i="29" s="1"/>
  <c r="AP212" i="29"/>
  <c r="AQ212" i="29" s="1"/>
  <c r="AR212" i="29" s="1"/>
  <c r="AP467" i="29"/>
  <c r="AQ467" i="29" s="1"/>
  <c r="AR467" i="29" s="1"/>
  <c r="AP180" i="29"/>
  <c r="AQ180" i="29" s="1"/>
  <c r="AR180" i="29" s="1"/>
  <c r="AP309" i="29"/>
  <c r="AQ309" i="29" s="1"/>
  <c r="AR309" i="29" s="1"/>
  <c r="AP410" i="29"/>
  <c r="AQ410" i="29" s="1"/>
  <c r="AR410" i="29" s="1"/>
  <c r="AP288" i="29"/>
  <c r="AQ288" i="29" s="1"/>
  <c r="AR288" i="29" s="1"/>
  <c r="AP380" i="29"/>
  <c r="AQ380" i="29" s="1"/>
  <c r="AR380" i="29" s="1"/>
  <c r="AP603" i="29"/>
  <c r="AQ603" i="29" s="1"/>
  <c r="AR603" i="29" s="1"/>
  <c r="AP206" i="29"/>
  <c r="AQ206" i="29" s="1"/>
  <c r="AR206" i="29" s="1"/>
  <c r="AP392" i="29"/>
  <c r="AQ392" i="29" s="1"/>
  <c r="AR392" i="29" s="1"/>
  <c r="AP481" i="29"/>
  <c r="AQ481" i="29" s="1"/>
  <c r="AR481" i="29" s="1"/>
  <c r="AP109" i="29"/>
  <c r="AQ109" i="29" s="1"/>
  <c r="AR109" i="29" s="1"/>
  <c r="AP208" i="29"/>
  <c r="AQ208" i="29" s="1"/>
  <c r="AR208" i="29" s="1"/>
  <c r="AP218" i="29"/>
  <c r="AQ218" i="29" s="1"/>
  <c r="AR218" i="29" s="1"/>
  <c r="AP222" i="29"/>
  <c r="AQ222" i="29" s="1"/>
  <c r="AR222" i="29" s="1"/>
  <c r="AP352" i="29"/>
  <c r="AQ352" i="29" s="1"/>
  <c r="AR352" i="29" s="1"/>
  <c r="AP302" i="29"/>
  <c r="AQ302" i="29" s="1"/>
  <c r="AR302" i="29" s="1"/>
  <c r="AP122" i="29"/>
  <c r="AQ122" i="29" s="1"/>
  <c r="AR122" i="29" s="1"/>
  <c r="AP35" i="29"/>
  <c r="AQ35" i="29" s="1"/>
  <c r="AR35" i="29" s="1"/>
  <c r="AP545" i="29"/>
  <c r="AQ545" i="29" s="1"/>
  <c r="AR545" i="29" s="1"/>
  <c r="AP36" i="29"/>
  <c r="AQ36" i="29" s="1"/>
  <c r="AR36" i="29" s="1"/>
  <c r="D52" i="29"/>
  <c r="D54" i="29" s="1"/>
  <c r="AM536" i="29"/>
  <c r="AP153" i="29"/>
  <c r="AQ153" i="29" s="1"/>
  <c r="AR153" i="29" s="1"/>
  <c r="AP187" i="29"/>
  <c r="AQ187" i="29" s="1"/>
  <c r="AR187" i="29" s="1"/>
  <c r="AP144" i="29"/>
  <c r="AQ144" i="29" s="1"/>
  <c r="AR144" i="29" s="1"/>
  <c r="AP210" i="29"/>
  <c r="AQ210" i="29" s="1"/>
  <c r="AR210" i="29" s="1"/>
  <c r="AP214" i="29"/>
  <c r="AQ214" i="29" s="1"/>
  <c r="AR214" i="29" s="1"/>
  <c r="AP518" i="29"/>
  <c r="AQ518" i="29" s="1"/>
  <c r="AR518" i="29" s="1"/>
  <c r="AP351" i="29"/>
  <c r="AQ351" i="29" s="1"/>
  <c r="AR351" i="29" s="1"/>
  <c r="AP194" i="29"/>
  <c r="AQ194" i="29" s="1"/>
  <c r="AR194" i="29" s="1"/>
  <c r="AP163" i="29"/>
  <c r="AQ163" i="29" s="1"/>
  <c r="AR163" i="29" s="1"/>
  <c r="AP61" i="29"/>
  <c r="AQ61" i="29" s="1"/>
  <c r="AR61" i="29" s="1"/>
  <c r="AP430" i="29"/>
  <c r="AQ430" i="29" s="1"/>
  <c r="AR430" i="29" s="1"/>
  <c r="AP139" i="29"/>
  <c r="AQ139" i="29" s="1"/>
  <c r="AR139" i="29" s="1"/>
  <c r="AP182" i="29"/>
  <c r="AQ182" i="29" s="1"/>
  <c r="AR182" i="29" s="1"/>
  <c r="AP534" i="29"/>
  <c r="AQ534" i="29" s="1"/>
  <c r="AR534" i="29" s="1"/>
  <c r="AP137" i="29"/>
  <c r="AQ137" i="29" s="1"/>
  <c r="AR137" i="29" s="1"/>
  <c r="AP536" i="29"/>
  <c r="AQ536" i="29" s="1"/>
  <c r="AR536" i="29" s="1"/>
  <c r="AP186" i="29"/>
  <c r="AQ186" i="29" s="1"/>
  <c r="AR186" i="29" s="1"/>
  <c r="AP568" i="29"/>
  <c r="AQ568" i="29" s="1"/>
  <c r="AR568" i="29" s="1"/>
  <c r="AP583" i="29"/>
  <c r="AQ583" i="29" s="1"/>
  <c r="AR583" i="29" s="1"/>
  <c r="AP66" i="29"/>
  <c r="AQ66" i="29" s="1"/>
  <c r="AR66" i="29" s="1"/>
  <c r="AP125" i="29"/>
  <c r="AQ125" i="29" s="1"/>
  <c r="AR125" i="29" s="1"/>
  <c r="AP147" i="29"/>
  <c r="AQ147" i="29" s="1"/>
  <c r="AR147" i="29" s="1"/>
  <c r="AP197" i="29"/>
  <c r="AQ197" i="29" s="1"/>
  <c r="AR197" i="29" s="1"/>
  <c r="AP291" i="29"/>
  <c r="AQ291" i="29" s="1"/>
  <c r="AR291" i="29" s="1"/>
  <c r="AP491" i="29"/>
  <c r="AQ491" i="29" s="1"/>
  <c r="AR491" i="29" s="1"/>
  <c r="AP217" i="29"/>
  <c r="AQ217" i="29" s="1"/>
  <c r="AR217" i="29" s="1"/>
  <c r="AP32" i="29"/>
  <c r="AQ32" i="29" s="1"/>
  <c r="AR32" i="29" s="1"/>
  <c r="AP56" i="29"/>
  <c r="AQ56" i="29" s="1"/>
  <c r="AR56" i="29" s="1"/>
  <c r="AP134" i="29"/>
  <c r="AQ134" i="29" s="1"/>
  <c r="AR134" i="29" s="1"/>
  <c r="AP13" i="29"/>
  <c r="AQ13" i="29" s="1"/>
  <c r="AR13" i="29" s="1"/>
  <c r="AP356" i="29"/>
  <c r="AQ356" i="29" s="1"/>
  <c r="AR356" i="29" s="1"/>
  <c r="AP34" i="29"/>
  <c r="AQ34" i="29" s="1"/>
  <c r="AR34" i="29" s="1"/>
  <c r="AP475" i="29"/>
  <c r="AQ475" i="29" s="1"/>
  <c r="AR475" i="29" s="1"/>
  <c r="AP270" i="29"/>
  <c r="AQ270" i="29" s="1"/>
  <c r="AR270" i="29" s="1"/>
  <c r="AP357" i="29"/>
  <c r="AQ357" i="29" s="1"/>
  <c r="AR357" i="29" s="1"/>
  <c r="AP50" i="29"/>
  <c r="AQ50" i="29" s="1"/>
  <c r="AR50" i="29" s="1"/>
  <c r="AP447" i="29"/>
  <c r="AQ447" i="29" s="1"/>
  <c r="AR447" i="29" s="1"/>
  <c r="AP483" i="29"/>
  <c r="AQ483" i="29" s="1"/>
  <c r="AR483" i="29" s="1"/>
  <c r="AP533" i="29"/>
  <c r="AQ533" i="29" s="1"/>
  <c r="AR533" i="29" s="1"/>
  <c r="AP136" i="29"/>
  <c r="AQ136" i="29" s="1"/>
  <c r="AR136" i="29" s="1"/>
  <c r="AP15" i="29"/>
  <c r="AQ15" i="29" s="1"/>
  <c r="AR15" i="29" s="1"/>
  <c r="AP543" i="29"/>
  <c r="AQ543" i="29" s="1"/>
  <c r="AR543" i="29" s="1"/>
  <c r="AP78" i="29"/>
  <c r="AQ78" i="29" s="1"/>
  <c r="AR78" i="29" s="1"/>
  <c r="AP336" i="29"/>
  <c r="AQ336" i="29" s="1"/>
  <c r="AR336" i="29" s="1"/>
  <c r="AM181" i="29"/>
  <c r="AM523" i="29"/>
  <c r="AP347" i="29"/>
  <c r="AQ347" i="29" s="1"/>
  <c r="AR347" i="29" s="1"/>
  <c r="AP610" i="29"/>
  <c r="AQ610" i="29" s="1"/>
  <c r="AR610" i="29" s="1"/>
  <c r="AP241" i="29"/>
  <c r="AQ241" i="29" s="1"/>
  <c r="AR241" i="29" s="1"/>
  <c r="AP96" i="29"/>
  <c r="AQ96" i="29" s="1"/>
  <c r="AR96" i="29" s="1"/>
  <c r="AP280" i="29"/>
  <c r="AQ280" i="29" s="1"/>
  <c r="AR280" i="29" s="1"/>
  <c r="AP440" i="29"/>
  <c r="AQ440" i="29" s="1"/>
  <c r="AR440" i="29" s="1"/>
  <c r="AP33" i="29"/>
  <c r="AQ33" i="29" s="1"/>
  <c r="AR33" i="29" s="1"/>
  <c r="AP434" i="29"/>
  <c r="AQ434" i="29" s="1"/>
  <c r="AR434" i="29" s="1"/>
  <c r="AP276" i="29"/>
  <c r="AQ276" i="29" s="1"/>
  <c r="AR276" i="29" s="1"/>
  <c r="AP322" i="29"/>
  <c r="AQ322" i="29" s="1"/>
  <c r="AR322" i="29" s="1"/>
  <c r="AP133" i="29"/>
  <c r="AQ133" i="29" s="1"/>
  <c r="AR133" i="29" s="1"/>
  <c r="AP227" i="29"/>
  <c r="AQ227" i="29" s="1"/>
  <c r="AR227" i="29" s="1"/>
  <c r="AP516" i="29"/>
  <c r="AQ516" i="29" s="1"/>
  <c r="AR516" i="29" s="1"/>
  <c r="AP360" i="29"/>
  <c r="AQ360" i="29" s="1"/>
  <c r="AR360" i="29" s="1"/>
  <c r="AP131" i="29"/>
  <c r="AQ131" i="29" s="1"/>
  <c r="AR131" i="29" s="1"/>
  <c r="AP44" i="29"/>
  <c r="AQ44" i="29" s="1"/>
  <c r="AR44" i="29" s="1"/>
  <c r="AP224" i="29"/>
  <c r="AQ224" i="29" s="1"/>
  <c r="AR224" i="29" s="1"/>
  <c r="AP539" i="29"/>
  <c r="AQ539" i="29" s="1"/>
  <c r="AR539" i="29" s="1"/>
  <c r="AP207" i="29"/>
  <c r="AQ207" i="29" s="1"/>
  <c r="AR207" i="29" s="1"/>
  <c r="AP424" i="29"/>
  <c r="AQ424" i="29" s="1"/>
  <c r="AR424" i="29" s="1"/>
  <c r="AP529" i="29"/>
  <c r="AQ529" i="29" s="1"/>
  <c r="AR529" i="29" s="1"/>
  <c r="AP129" i="29"/>
  <c r="AQ129" i="29" s="1"/>
  <c r="AR129" i="29" s="1"/>
  <c r="AP613" i="29"/>
  <c r="AQ613" i="29" s="1"/>
  <c r="AR613" i="29" s="1"/>
  <c r="AP265" i="29"/>
  <c r="AQ265" i="29" s="1"/>
  <c r="AR265" i="29" s="1"/>
  <c r="AP433" i="29"/>
  <c r="AQ433" i="29" s="1"/>
  <c r="AR433" i="29" s="1"/>
  <c r="AP505" i="29"/>
  <c r="AQ505" i="29" s="1"/>
  <c r="AR505" i="29" s="1"/>
  <c r="AP57" i="29"/>
  <c r="AQ57" i="29" s="1"/>
  <c r="AR57" i="29" s="1"/>
  <c r="AP178" i="29"/>
  <c r="AQ178" i="29" s="1"/>
  <c r="AR178" i="29" s="1"/>
  <c r="AP277" i="29"/>
  <c r="AQ277" i="29" s="1"/>
  <c r="AR277" i="29" s="1"/>
  <c r="AP200" i="29"/>
  <c r="AQ200" i="29" s="1"/>
  <c r="AR200" i="29" s="1"/>
  <c r="AP449" i="29"/>
  <c r="AQ449" i="29" s="1"/>
  <c r="AR449" i="29" s="1"/>
  <c r="AP113" i="29"/>
  <c r="AQ113" i="29" s="1"/>
  <c r="AR113" i="29" s="1"/>
  <c r="AP73" i="29"/>
  <c r="AQ73" i="29" s="1"/>
  <c r="AR73" i="29" s="1"/>
  <c r="AP59" i="29"/>
  <c r="AQ59" i="29" s="1"/>
  <c r="AR59" i="29" s="1"/>
  <c r="AP540" i="29"/>
  <c r="AQ540" i="29" s="1"/>
  <c r="AR540" i="29" s="1"/>
  <c r="AP92" i="29"/>
  <c r="AQ92" i="29" s="1"/>
  <c r="AR92" i="29" s="1"/>
  <c r="AP335" i="29"/>
  <c r="AQ335" i="29" s="1"/>
  <c r="AR335" i="29" s="1"/>
  <c r="AP251" i="29"/>
  <c r="AQ251" i="29" s="1"/>
  <c r="AR251" i="29" s="1"/>
  <c r="AP438" i="29"/>
  <c r="AQ438" i="29" s="1"/>
  <c r="AR438" i="29" s="1"/>
  <c r="AP108" i="29"/>
  <c r="AQ108" i="29" s="1"/>
  <c r="AR108" i="29" s="1"/>
  <c r="AP183" i="29"/>
  <c r="AQ183" i="29" s="1"/>
  <c r="AR183" i="29" s="1"/>
  <c r="AP283" i="29"/>
  <c r="AQ283" i="29" s="1"/>
  <c r="AR283" i="29" s="1"/>
  <c r="AP170" i="29"/>
  <c r="AQ170" i="29" s="1"/>
  <c r="AR170" i="29" s="1"/>
  <c r="AP530" i="29"/>
  <c r="AQ530" i="29" s="1"/>
  <c r="AR530" i="29" s="1"/>
  <c r="AP388" i="29"/>
  <c r="AQ388" i="29" s="1"/>
  <c r="AR388" i="29" s="1"/>
  <c r="AP18" i="29"/>
  <c r="AQ18" i="29" s="1"/>
  <c r="AR18" i="29" s="1"/>
  <c r="AP284" i="29"/>
  <c r="AQ284" i="29" s="1"/>
  <c r="AR284" i="29" s="1"/>
  <c r="AP307" i="29"/>
  <c r="AQ307" i="29" s="1"/>
  <c r="AR307" i="29" s="1"/>
  <c r="AP310" i="29"/>
  <c r="AQ310" i="29" s="1"/>
  <c r="AR310" i="29" s="1"/>
  <c r="AP273" i="29"/>
  <c r="AQ273" i="29" s="1"/>
  <c r="AR273" i="29" s="1"/>
  <c r="AP215" i="29"/>
  <c r="AQ215" i="29" s="1"/>
  <c r="AR215" i="29" s="1"/>
  <c r="AP582" i="29"/>
  <c r="AQ582" i="29" s="1"/>
  <c r="AR582" i="29" s="1"/>
  <c r="AP478" i="29"/>
  <c r="AQ478" i="29" s="1"/>
  <c r="AR478" i="29" s="1"/>
  <c r="AP67" i="29"/>
  <c r="AQ67" i="29" s="1"/>
  <c r="AR67" i="29" s="1"/>
  <c r="AP546" i="29"/>
  <c r="AQ546" i="29" s="1"/>
  <c r="AR546" i="29" s="1"/>
  <c r="AP551" i="29"/>
  <c r="AQ551" i="29" s="1"/>
  <c r="AR551" i="29" s="1"/>
  <c r="AP46" i="29"/>
  <c r="AQ46" i="29" s="1"/>
  <c r="AR46" i="29" s="1"/>
  <c r="AP161" i="29"/>
  <c r="AQ161" i="29" s="1"/>
  <c r="AR161" i="29" s="1"/>
  <c r="AP393" i="29"/>
  <c r="AQ393" i="29" s="1"/>
  <c r="AR393" i="29" s="1"/>
  <c r="AP193" i="29"/>
  <c r="AQ193" i="29" s="1"/>
  <c r="AR193" i="29" s="1"/>
  <c r="AP526" i="29"/>
  <c r="AQ526" i="29" s="1"/>
  <c r="AR526" i="29" s="1"/>
  <c r="AP239" i="29"/>
  <c r="AQ239" i="29" s="1"/>
  <c r="AR239" i="29" s="1"/>
  <c r="AP37" i="29"/>
  <c r="AQ37" i="29" s="1"/>
  <c r="AR37" i="29" s="1"/>
  <c r="AP523" i="29"/>
  <c r="AQ523" i="29" s="1"/>
  <c r="AR523" i="29" s="1"/>
  <c r="AP40" i="29"/>
  <c r="AQ40" i="29" s="1"/>
  <c r="AR40" i="29" s="1"/>
  <c r="AP370" i="29"/>
  <c r="AQ370" i="29" s="1"/>
  <c r="AR370" i="29" s="1"/>
  <c r="AP188" i="29"/>
  <c r="AQ188" i="29" s="1"/>
  <c r="AR188" i="29" s="1"/>
  <c r="AP72" i="29"/>
  <c r="AQ72" i="29" s="1"/>
  <c r="AR72" i="29" s="1"/>
  <c r="AP547" i="29"/>
  <c r="AQ547" i="29" s="1"/>
  <c r="AR547" i="29" s="1"/>
  <c r="AP445" i="29"/>
  <c r="AQ445" i="29" s="1"/>
  <c r="AR445" i="29" s="1"/>
  <c r="AP573" i="29"/>
  <c r="AQ573" i="29" s="1"/>
  <c r="AR573" i="29" s="1"/>
  <c r="AP456" i="29"/>
  <c r="AQ456" i="29" s="1"/>
  <c r="AR456" i="29" s="1"/>
  <c r="AP318" i="29"/>
  <c r="AQ318" i="29" s="1"/>
  <c r="AR318" i="29" s="1"/>
  <c r="AP298" i="29"/>
  <c r="AQ298" i="29" s="1"/>
  <c r="AR298" i="29" s="1"/>
  <c r="AP49" i="29"/>
  <c r="AQ49" i="29" s="1"/>
  <c r="AR49" i="29" s="1"/>
  <c r="AP446" i="29"/>
  <c r="AQ446" i="29" s="1"/>
  <c r="AR446" i="29" s="1"/>
  <c r="AP189" i="29"/>
  <c r="AQ189" i="29" s="1"/>
  <c r="AR189" i="29" s="1"/>
  <c r="AP70" i="29"/>
  <c r="AQ70" i="29" s="1"/>
  <c r="AR70" i="29" s="1"/>
  <c r="AP531" i="29"/>
  <c r="AQ531" i="29" s="1"/>
  <c r="AR531" i="29" s="1"/>
  <c r="AP329" i="29"/>
  <c r="AQ329" i="29" s="1"/>
  <c r="AR329" i="29" s="1"/>
  <c r="AP240" i="29"/>
  <c r="AQ240" i="29" s="1"/>
  <c r="AR240" i="29" s="1"/>
  <c r="AP146" i="29"/>
  <c r="AQ146" i="29" s="1"/>
  <c r="AR146" i="29" s="1"/>
  <c r="AP320" i="29"/>
  <c r="AQ320" i="29" s="1"/>
  <c r="AR320" i="29" s="1"/>
  <c r="AP448" i="29"/>
  <c r="AQ448" i="29" s="1"/>
  <c r="AR448" i="29" s="1"/>
  <c r="AP39" i="29"/>
  <c r="AQ39" i="29" s="1"/>
  <c r="AR39" i="29" s="1"/>
  <c r="AP381" i="29"/>
  <c r="AQ381" i="29" s="1"/>
  <c r="AR381" i="29" s="1"/>
  <c r="AP138" i="29"/>
  <c r="AQ138" i="29" s="1"/>
  <c r="AR138" i="29" s="1"/>
  <c r="AP313" i="29"/>
  <c r="AQ313" i="29" s="1"/>
  <c r="AR313" i="29" s="1"/>
  <c r="AP558" i="29"/>
  <c r="AQ558" i="29" s="1"/>
  <c r="AR558" i="29" s="1"/>
  <c r="AP415" i="29"/>
  <c r="AQ415" i="29" s="1"/>
  <c r="AR415" i="29" s="1"/>
  <c r="AP519" i="29"/>
  <c r="AQ519" i="29" s="1"/>
  <c r="AR519" i="29" s="1"/>
  <c r="AP257" i="29"/>
  <c r="AQ257" i="29" s="1"/>
  <c r="AR257" i="29" s="1"/>
  <c r="AP225" i="29"/>
  <c r="AQ225" i="29" s="1"/>
  <c r="AR225" i="29" s="1"/>
  <c r="AP235" i="29"/>
  <c r="AQ235" i="29" s="1"/>
  <c r="AR235" i="29" s="1"/>
  <c r="AP559" i="29"/>
  <c r="AQ559" i="29" s="1"/>
  <c r="AR559" i="29" s="1"/>
  <c r="AP597" i="29"/>
  <c r="AQ597" i="29" s="1"/>
  <c r="AR597" i="29" s="1"/>
  <c r="AP171" i="29"/>
  <c r="AQ171" i="29" s="1"/>
  <c r="AR171" i="29" s="1"/>
  <c r="AP65" i="29"/>
  <c r="AQ65" i="29" s="1"/>
  <c r="AR65" i="29" s="1"/>
  <c r="AP141" i="29"/>
  <c r="AQ141" i="29" s="1"/>
  <c r="AR141" i="29" s="1"/>
  <c r="AP107" i="29"/>
  <c r="AQ107" i="29" s="1"/>
  <c r="AR107" i="29" s="1"/>
  <c r="AP348" i="29"/>
  <c r="AQ348" i="29" s="1"/>
  <c r="AR348" i="29" s="1"/>
  <c r="AP71" i="29"/>
  <c r="AQ71" i="29" s="1"/>
  <c r="AR71" i="29" s="1"/>
  <c r="AP428" i="29"/>
  <c r="AQ428" i="29" s="1"/>
  <c r="AR428" i="29" s="1"/>
  <c r="AP337" i="29"/>
  <c r="AQ337" i="29" s="1"/>
  <c r="AR337" i="29" s="1"/>
  <c r="AP538" i="29"/>
  <c r="AQ538" i="29" s="1"/>
  <c r="AR538" i="29" s="1"/>
  <c r="AP552" i="29"/>
  <c r="AQ552" i="29" s="1"/>
  <c r="AR552" i="29" s="1"/>
  <c r="AP115" i="29"/>
  <c r="AQ115" i="29" s="1"/>
  <c r="AR115" i="29" s="1"/>
  <c r="AP396" i="29"/>
  <c r="AQ396" i="29" s="1"/>
  <c r="AR396" i="29" s="1"/>
  <c r="AP574" i="29"/>
  <c r="AQ574" i="29" s="1"/>
  <c r="AR574" i="29" s="1"/>
  <c r="AP423" i="29"/>
  <c r="AQ423" i="29" s="1"/>
  <c r="AR423" i="29" s="1"/>
  <c r="AP354" i="29"/>
  <c r="AQ354" i="29" s="1"/>
  <c r="AR354" i="29" s="1"/>
  <c r="AP358" i="29"/>
  <c r="AQ358" i="29" s="1"/>
  <c r="AR358" i="29" s="1"/>
  <c r="AP612" i="29"/>
  <c r="AQ612" i="29" s="1"/>
  <c r="AR612" i="29" s="1"/>
  <c r="AP94" i="29"/>
  <c r="AQ94" i="29" s="1"/>
  <c r="AR94" i="29" s="1"/>
  <c r="AP196" i="29"/>
  <c r="AQ196" i="29" s="1"/>
  <c r="AR196" i="29" s="1"/>
  <c r="AP611" i="29"/>
  <c r="AQ611" i="29" s="1"/>
  <c r="AR611" i="29" s="1"/>
  <c r="AP262" i="29"/>
  <c r="AQ262" i="29" s="1"/>
  <c r="AR262" i="29" s="1"/>
  <c r="AP267" i="29"/>
  <c r="AQ267" i="29" s="1"/>
  <c r="AR267" i="29" s="1"/>
  <c r="AP595" i="29"/>
  <c r="AQ595" i="29" s="1"/>
  <c r="AR595" i="29" s="1"/>
  <c r="AP405" i="29"/>
  <c r="AQ405" i="29" s="1"/>
  <c r="AR405" i="29" s="1"/>
  <c r="AP231" i="29"/>
  <c r="AQ231" i="29" s="1"/>
  <c r="AR231" i="29" s="1"/>
  <c r="AP490" i="29"/>
  <c r="AQ490" i="29" s="1"/>
  <c r="AR490" i="29" s="1"/>
  <c r="AP461" i="29"/>
  <c r="AQ461" i="29" s="1"/>
  <c r="AR461" i="29" s="1"/>
  <c r="AP355" i="29"/>
  <c r="AQ355" i="29" s="1"/>
  <c r="AR355" i="29" s="1"/>
  <c r="AP435" i="29"/>
  <c r="AQ435" i="29" s="1"/>
  <c r="AR435" i="29" s="1"/>
  <c r="AP442" i="29"/>
  <c r="AQ442" i="29" s="1"/>
  <c r="AR442" i="29" s="1"/>
  <c r="AP106" i="29"/>
  <c r="AQ106" i="29" s="1"/>
  <c r="AR106" i="29" s="1"/>
  <c r="AP157" i="29"/>
  <c r="AQ157" i="29" s="1"/>
  <c r="AR157" i="29" s="1"/>
  <c r="AP101" i="29"/>
  <c r="AQ101" i="29" s="1"/>
  <c r="AR101" i="29" s="1"/>
  <c r="AP350" i="29"/>
  <c r="AQ350" i="29" s="1"/>
  <c r="AR350" i="29" s="1"/>
  <c r="AP130" i="29"/>
  <c r="AQ130" i="29" s="1"/>
  <c r="AR130" i="29" s="1"/>
  <c r="AP47" i="29"/>
  <c r="AQ47" i="29" s="1"/>
  <c r="AR47" i="29" s="1"/>
  <c r="AP173" i="29"/>
  <c r="AQ173" i="29" s="1"/>
  <c r="AR173" i="29" s="1"/>
  <c r="AP589" i="29"/>
  <c r="AQ589" i="29" s="1"/>
  <c r="AR589" i="29" s="1"/>
  <c r="AP17" i="29"/>
  <c r="AQ17" i="29" s="1"/>
  <c r="AR17" i="29" s="1"/>
  <c r="AP604" i="29"/>
  <c r="AQ604" i="29" s="1"/>
  <c r="AR604" i="29" s="1"/>
  <c r="AP104" i="29"/>
  <c r="AQ104" i="29" s="1"/>
  <c r="AR104" i="29" s="1"/>
  <c r="AP376" i="29"/>
  <c r="AQ376" i="29" s="1"/>
  <c r="AR376" i="29" s="1"/>
  <c r="AP498" i="29"/>
  <c r="AQ498" i="29" s="1"/>
  <c r="AR498" i="29" s="1"/>
  <c r="AP608" i="29"/>
  <c r="AQ608" i="29" s="1"/>
  <c r="AR608" i="29" s="1"/>
  <c r="AP334" i="29"/>
  <c r="AQ334" i="29" s="1"/>
  <c r="AR334" i="29" s="1"/>
  <c r="AP135" i="29"/>
  <c r="AQ135" i="29" s="1"/>
  <c r="AR135" i="29" s="1"/>
  <c r="AP166" i="29"/>
  <c r="AQ166" i="29" s="1"/>
  <c r="AR166" i="29" s="1"/>
  <c r="AP81" i="29"/>
  <c r="AQ81" i="29" s="1"/>
  <c r="AR81" i="29" s="1"/>
  <c r="AP169" i="29"/>
  <c r="AQ169" i="29" s="1"/>
  <c r="AR169" i="29" s="1"/>
  <c r="AP570" i="29"/>
  <c r="AQ570" i="29" s="1"/>
  <c r="AR570" i="29" s="1"/>
  <c r="AP158" i="29"/>
  <c r="AQ158" i="29" s="1"/>
  <c r="AR158" i="29" s="1"/>
  <c r="AP261" i="29"/>
  <c r="AQ261" i="29" s="1"/>
  <c r="AR261" i="29" s="1"/>
  <c r="AP317" i="29"/>
  <c r="AQ317" i="29" s="1"/>
  <c r="AR317" i="29" s="1"/>
  <c r="AP344" i="29"/>
  <c r="AQ344" i="29" s="1"/>
  <c r="AR344" i="29" s="1"/>
  <c r="AP301" i="29"/>
  <c r="AQ301" i="29" s="1"/>
  <c r="AR301" i="29" s="1"/>
  <c r="AP342" i="29"/>
  <c r="AQ342" i="29" s="1"/>
  <c r="AR342" i="29" s="1"/>
  <c r="AP278" i="29"/>
  <c r="AQ278" i="29" s="1"/>
  <c r="AR278" i="29" s="1"/>
  <c r="AP292" i="29"/>
  <c r="AQ292" i="29" s="1"/>
  <c r="AR292" i="29" s="1"/>
  <c r="AP398" i="29"/>
  <c r="AQ398" i="29" s="1"/>
  <c r="AR398" i="29" s="1"/>
  <c r="AP31" i="29"/>
  <c r="AQ31" i="29" s="1"/>
  <c r="AR31" i="29" s="1"/>
  <c r="AP90" i="29"/>
  <c r="AQ90" i="29" s="1"/>
  <c r="AR90" i="29" s="1"/>
  <c r="AP28" i="29"/>
  <c r="AQ28" i="29" s="1"/>
  <c r="AR28" i="29" s="1"/>
  <c r="AP544" i="29"/>
  <c r="AQ544" i="29" s="1"/>
  <c r="AR544" i="29" s="1"/>
  <c r="AP245" i="29"/>
  <c r="AQ245" i="29" s="1"/>
  <c r="AR245" i="29" s="1"/>
  <c r="AP19" i="29"/>
  <c r="AQ19" i="29" s="1"/>
  <c r="AR19" i="29" s="1"/>
  <c r="AP25" i="29"/>
  <c r="AQ25" i="29" s="1"/>
  <c r="AR25" i="29" s="1"/>
  <c r="AP124" i="29"/>
  <c r="AQ124" i="29" s="1"/>
  <c r="AR124" i="29" s="1"/>
  <c r="AP68" i="29"/>
  <c r="AQ68" i="29" s="1"/>
  <c r="AR68" i="29" s="1"/>
  <c r="AP140" i="29"/>
  <c r="AQ140" i="29" s="1"/>
  <c r="AR140" i="29" s="1"/>
  <c r="AP332" i="29"/>
  <c r="AQ332" i="29" s="1"/>
  <c r="AR332" i="29" s="1"/>
  <c r="AP203" i="29"/>
  <c r="AQ203" i="29" s="1"/>
  <c r="AR203" i="29" s="1"/>
  <c r="AP88" i="29"/>
  <c r="AQ88" i="29" s="1"/>
  <c r="AR88" i="29" s="1"/>
  <c r="AP494" i="29"/>
  <c r="AQ494" i="29" s="1"/>
  <c r="AR494" i="29" s="1"/>
  <c r="AP63" i="29"/>
  <c r="AQ63" i="29" s="1"/>
  <c r="AR63" i="29" s="1"/>
  <c r="AP87" i="29"/>
  <c r="AQ87" i="29" s="1"/>
  <c r="AR87" i="29" s="1"/>
  <c r="AP29" i="29"/>
  <c r="AQ29" i="29" s="1"/>
  <c r="AR29" i="29" s="1"/>
  <c r="AP605" i="29"/>
  <c r="AQ605" i="29" s="1"/>
  <c r="AR605" i="29" s="1"/>
  <c r="AP585" i="29"/>
  <c r="AQ585" i="29" s="1"/>
  <c r="AR585" i="29" s="1"/>
  <c r="AP346" i="29"/>
  <c r="AQ346" i="29" s="1"/>
  <c r="AR346" i="29" s="1"/>
  <c r="AP601" i="29"/>
  <c r="AQ601" i="29" s="1"/>
  <c r="AR601" i="29" s="1"/>
  <c r="AP202" i="29"/>
  <c r="AQ202" i="29" s="1"/>
  <c r="AR202" i="29" s="1"/>
  <c r="AP432" i="29"/>
  <c r="AQ432" i="29" s="1"/>
  <c r="AR432" i="29" s="1"/>
  <c r="AP496" i="29"/>
  <c r="AQ496" i="29" s="1"/>
  <c r="AR496" i="29" s="1"/>
  <c r="AP229" i="29"/>
  <c r="AQ229" i="29" s="1"/>
  <c r="AR229" i="29" s="1"/>
  <c r="AP561" i="29"/>
  <c r="AQ561" i="29" s="1"/>
  <c r="AR561" i="29" s="1"/>
  <c r="AP521" i="29"/>
  <c r="AQ521" i="29" s="1"/>
  <c r="AR521" i="29" s="1"/>
  <c r="AP254" i="29"/>
  <c r="AQ254" i="29" s="1"/>
  <c r="AR254" i="29" s="1"/>
  <c r="AP487" i="29"/>
  <c r="AQ487" i="29" s="1"/>
  <c r="AR487" i="29" s="1"/>
  <c r="AP560" i="29"/>
  <c r="AQ560" i="29" s="1"/>
  <c r="AR560" i="29" s="1"/>
  <c r="AP575" i="29"/>
  <c r="AQ575" i="29" s="1"/>
  <c r="AR575" i="29" s="1"/>
  <c r="AP462" i="29"/>
  <c r="AQ462" i="29" s="1"/>
  <c r="AR462" i="29" s="1"/>
  <c r="AP305" i="29"/>
  <c r="AQ305" i="29" s="1"/>
  <c r="AR305" i="29" s="1"/>
  <c r="AP151" i="29"/>
  <c r="AQ151" i="29" s="1"/>
  <c r="AR151" i="29" s="1"/>
  <c r="AP287" i="29"/>
  <c r="AQ287" i="29" s="1"/>
  <c r="AR287" i="29" s="1"/>
  <c r="AP588" i="29"/>
  <c r="AQ588" i="29" s="1"/>
  <c r="AR588" i="29" s="1"/>
  <c r="AP319" i="29"/>
  <c r="AQ319" i="29" s="1"/>
  <c r="AR319" i="29" s="1"/>
  <c r="AP279" i="29"/>
  <c r="AQ279" i="29" s="1"/>
  <c r="AR279" i="29" s="1"/>
  <c r="AP437" i="29"/>
  <c r="AQ437" i="29" s="1"/>
  <c r="AR437" i="29" s="1"/>
  <c r="AP100" i="29"/>
  <c r="AQ100" i="29" s="1"/>
  <c r="AR100" i="29" s="1"/>
  <c r="AP500" i="29"/>
  <c r="AQ500" i="29" s="1"/>
  <c r="AR500" i="29" s="1"/>
  <c r="AP400" i="29"/>
  <c r="AQ400" i="29" s="1"/>
  <c r="AR400" i="29" s="1"/>
  <c r="AP495" i="29"/>
  <c r="AQ495" i="29" s="1"/>
  <c r="AR495" i="29" s="1"/>
  <c r="AP569" i="29"/>
  <c r="AQ569" i="29" s="1"/>
  <c r="AR569" i="29" s="1"/>
  <c r="AP411" i="29"/>
  <c r="AQ411" i="29" s="1"/>
  <c r="AR411" i="29" s="1"/>
  <c r="AP439" i="29"/>
  <c r="AQ439" i="29" s="1"/>
  <c r="AR439" i="29" s="1"/>
  <c r="AP409" i="29"/>
  <c r="AQ409" i="29" s="1"/>
  <c r="AR409" i="29" s="1"/>
  <c r="AP41" i="29"/>
  <c r="AQ41" i="29" s="1"/>
  <c r="AR41" i="29" s="1"/>
  <c r="AP247" i="29"/>
  <c r="AQ247" i="29" s="1"/>
  <c r="AR247" i="29" s="1"/>
  <c r="AP562" i="29"/>
  <c r="AQ562" i="29" s="1"/>
  <c r="AR562" i="29" s="1"/>
  <c r="AP42" i="29"/>
  <c r="AQ42" i="29" s="1"/>
  <c r="AR42" i="29" s="1"/>
  <c r="AP60" i="29"/>
  <c r="AQ60" i="29" s="1"/>
  <c r="AR60" i="29" s="1"/>
  <c r="AP579" i="29"/>
  <c r="AQ579" i="29" s="1"/>
  <c r="AR579" i="29" s="1"/>
  <c r="AP359" i="29"/>
  <c r="AQ359" i="29" s="1"/>
  <c r="AR359" i="29" s="1"/>
  <c r="AP578" i="29"/>
  <c r="AQ578" i="29" s="1"/>
  <c r="AR578" i="29" s="1"/>
  <c r="AP260" i="29"/>
  <c r="AQ260" i="29" s="1"/>
  <c r="AR260" i="29" s="1"/>
  <c r="AP20" i="29"/>
  <c r="AQ20" i="29" s="1"/>
  <c r="AR20" i="29" s="1"/>
  <c r="AP43" i="29"/>
  <c r="AQ43" i="29" s="1"/>
  <c r="AR43" i="29" s="1"/>
  <c r="AP484" i="29"/>
  <c r="AQ484" i="29" s="1"/>
  <c r="AR484" i="29" s="1"/>
  <c r="AP457" i="29"/>
  <c r="AQ457" i="29" s="1"/>
  <c r="AR457" i="29" s="1"/>
  <c r="AP413" i="29"/>
  <c r="AQ413" i="29" s="1"/>
  <c r="AR413" i="29" s="1"/>
  <c r="AP91" i="29"/>
  <c r="AQ91" i="29" s="1"/>
  <c r="AR91" i="29" s="1"/>
  <c r="AP150" i="29"/>
  <c r="AQ150" i="29" s="1"/>
  <c r="AR150" i="29" s="1"/>
  <c r="AP238" i="29"/>
  <c r="AQ238" i="29" s="1"/>
  <c r="AR238" i="29" s="1"/>
  <c r="AP374" i="29"/>
  <c r="AQ374" i="29" s="1"/>
  <c r="AR374" i="29" s="1"/>
  <c r="AP564" i="29"/>
  <c r="AQ564" i="29" s="1"/>
  <c r="AR564" i="29" s="1"/>
  <c r="AP327" i="29"/>
  <c r="AQ327" i="29" s="1"/>
  <c r="AR327" i="29" s="1"/>
  <c r="AP263" i="29"/>
  <c r="AQ263" i="29" s="1"/>
  <c r="AR263" i="29" s="1"/>
  <c r="AP315" i="29"/>
  <c r="AQ315" i="29" s="1"/>
  <c r="AR315" i="29" s="1"/>
  <c r="AP492" i="29"/>
  <c r="AQ492" i="29" s="1"/>
  <c r="AR492" i="29" s="1"/>
  <c r="AP325" i="29"/>
  <c r="AQ325" i="29" s="1"/>
  <c r="AR325" i="29" s="1"/>
  <c r="AP339" i="29"/>
  <c r="AQ339" i="29" s="1"/>
  <c r="AR339" i="29" s="1"/>
  <c r="AP256" i="29"/>
  <c r="AQ256" i="29" s="1"/>
  <c r="AR256" i="29" s="1"/>
  <c r="AP542" i="29"/>
  <c r="AQ542" i="29" s="1"/>
  <c r="AR542" i="29" s="1"/>
  <c r="AP164" i="29"/>
  <c r="AQ164" i="29" s="1"/>
  <c r="AR164" i="29" s="1"/>
  <c r="AP386" i="29"/>
  <c r="AQ386" i="29" s="1"/>
  <c r="AR386" i="29" s="1"/>
  <c r="AP470" i="29"/>
  <c r="AQ470" i="29" s="1"/>
  <c r="AR470" i="29" s="1"/>
  <c r="AP312" i="29"/>
  <c r="AQ312" i="29" s="1"/>
  <c r="AR312" i="29" s="1"/>
  <c r="AP295" i="29"/>
  <c r="AQ295" i="29" s="1"/>
  <c r="AR295" i="29" s="1"/>
  <c r="AP116" i="29"/>
  <c r="AQ116" i="29" s="1"/>
  <c r="AR116" i="29" s="1"/>
  <c r="AP482" i="29"/>
  <c r="AQ482" i="29" s="1"/>
  <c r="AR482" i="29" s="1"/>
  <c r="AP83" i="29"/>
  <c r="AQ83" i="29" s="1"/>
  <c r="AR83" i="29" s="1"/>
  <c r="AP285" i="29"/>
  <c r="AQ285" i="29" s="1"/>
  <c r="AR285" i="29" s="1"/>
  <c r="AP128" i="29"/>
  <c r="AQ128" i="29" s="1"/>
  <c r="AR128" i="29" s="1"/>
  <c r="AP272" i="29"/>
  <c r="AQ272" i="29" s="1"/>
  <c r="AR272" i="29" s="1"/>
  <c r="AP97" i="29"/>
  <c r="AQ97" i="29" s="1"/>
  <c r="AR97" i="29" s="1"/>
  <c r="AP422" i="29"/>
  <c r="AQ422" i="29" s="1"/>
  <c r="AR422" i="29" s="1"/>
  <c r="AP556" i="29"/>
  <c r="AQ556" i="29" s="1"/>
  <c r="AR556" i="29" s="1"/>
  <c r="AP252" i="29"/>
  <c r="AQ252" i="29" s="1"/>
  <c r="AR252" i="29" s="1"/>
  <c r="AP244" i="29"/>
  <c r="AQ244" i="29" s="1"/>
  <c r="AR244" i="29" s="1"/>
  <c r="AP452" i="29"/>
  <c r="AQ452" i="29" s="1"/>
  <c r="AR452" i="29" s="1"/>
  <c r="AP21" i="29"/>
  <c r="AQ21" i="29" s="1"/>
  <c r="AR21" i="29" s="1"/>
  <c r="AP30" i="29"/>
  <c r="AQ30" i="29" s="1"/>
  <c r="AR30" i="29" s="1"/>
  <c r="AP102" i="29"/>
  <c r="AQ102" i="29" s="1"/>
  <c r="AR102" i="29" s="1"/>
  <c r="AP580" i="29"/>
  <c r="AQ580" i="29" s="1"/>
  <c r="AR580" i="29" s="1"/>
  <c r="AP268" i="29"/>
  <c r="AQ268" i="29" s="1"/>
  <c r="AR268" i="29" s="1"/>
  <c r="AP460" i="29"/>
  <c r="AQ460" i="29" s="1"/>
  <c r="AR460" i="29" s="1"/>
  <c r="AP497" i="29"/>
  <c r="AQ497" i="29" s="1"/>
  <c r="AR497" i="29" s="1"/>
  <c r="AP345" i="29"/>
  <c r="AQ345" i="29" s="1"/>
  <c r="AR345" i="29" s="1"/>
  <c r="AP220" i="29"/>
  <c r="AQ220" i="29" s="1"/>
  <c r="AR220" i="29" s="1"/>
  <c r="AP609" i="29"/>
  <c r="AQ609" i="29" s="1"/>
  <c r="AR609" i="29" s="1"/>
  <c r="AP504" i="29"/>
  <c r="AQ504" i="29" s="1"/>
  <c r="AR504" i="29" s="1"/>
  <c r="AP512" i="29"/>
  <c r="AQ512" i="29" s="1"/>
  <c r="AR512" i="29" s="1"/>
  <c r="AP587" i="29"/>
  <c r="AQ587" i="29" s="1"/>
  <c r="AR587" i="29" s="1"/>
  <c r="AP443" i="29"/>
  <c r="AQ443" i="29" s="1"/>
  <c r="AR443" i="29" s="1"/>
  <c r="AP506" i="29"/>
  <c r="AQ506" i="29" s="1"/>
  <c r="AR506" i="29" s="1"/>
  <c r="AP16" i="29"/>
  <c r="AQ16" i="29" s="1"/>
  <c r="AR16" i="29" s="1"/>
  <c r="AP112" i="29"/>
  <c r="AQ112" i="29" s="1"/>
  <c r="AR112" i="29" s="1"/>
  <c r="AP387" i="29"/>
  <c r="AQ387" i="29" s="1"/>
  <c r="AR387" i="29" s="1"/>
  <c r="AP148" i="29"/>
  <c r="AQ148" i="29" s="1"/>
  <c r="AR148" i="29" s="1"/>
  <c r="AP373" i="29"/>
  <c r="AQ373" i="29" s="1"/>
  <c r="AR373" i="29" s="1"/>
  <c r="AP420" i="29"/>
  <c r="AQ420" i="29" s="1"/>
  <c r="AR420" i="29" s="1"/>
  <c r="AP145" i="29"/>
  <c r="AQ145" i="29" s="1"/>
  <c r="AR145" i="29" s="1"/>
  <c r="AP246" i="29"/>
  <c r="AQ246" i="29" s="1"/>
  <c r="AR246" i="29" s="1"/>
  <c r="AP174" i="29"/>
  <c r="AQ174" i="29" s="1"/>
  <c r="AR174" i="29" s="1"/>
  <c r="AP421" i="29"/>
  <c r="AQ421" i="29" s="1"/>
  <c r="AR421" i="29" s="1"/>
  <c r="AP80" i="29"/>
  <c r="AQ80" i="29" s="1"/>
  <c r="AR80" i="29" s="1"/>
  <c r="AP403" i="29"/>
  <c r="AQ403" i="29" s="1"/>
  <c r="AR403" i="29" s="1"/>
  <c r="AP509" i="29"/>
  <c r="AQ509" i="29" s="1"/>
  <c r="AR509" i="29" s="1"/>
  <c r="AP477" i="29"/>
  <c r="AQ477" i="29" s="1"/>
  <c r="AR477" i="29" s="1"/>
  <c r="AP479" i="29"/>
  <c r="AQ479" i="29" s="1"/>
  <c r="AR479" i="29" s="1"/>
  <c r="AP566" i="29"/>
  <c r="AQ566" i="29" s="1"/>
  <c r="AR566" i="29" s="1"/>
  <c r="AP172" i="29"/>
  <c r="AQ172" i="29" s="1"/>
  <c r="AR172" i="29" s="1"/>
  <c r="AP471" i="29"/>
  <c r="AQ471" i="29" s="1"/>
  <c r="AR471" i="29" s="1"/>
  <c r="AP553" i="29"/>
  <c r="AQ553" i="29" s="1"/>
  <c r="AR553" i="29" s="1"/>
  <c r="AP121" i="29"/>
  <c r="AQ121" i="29" s="1"/>
  <c r="AR121" i="29" s="1"/>
  <c r="AP363" i="29"/>
  <c r="AQ363" i="29" s="1"/>
  <c r="AR363" i="29" s="1"/>
  <c r="AP549" i="29"/>
  <c r="AQ549" i="29" s="1"/>
  <c r="AR549" i="29" s="1"/>
  <c r="AP274" i="29"/>
  <c r="AQ274" i="29" s="1"/>
  <c r="AR274" i="29" s="1"/>
  <c r="AP425" i="29"/>
  <c r="AQ425" i="29" s="1"/>
  <c r="AR425" i="29" s="1"/>
  <c r="AP316" i="29"/>
  <c r="AQ316" i="29" s="1"/>
  <c r="AR316" i="29" s="1"/>
  <c r="AP343" i="29"/>
  <c r="AQ343" i="29" s="1"/>
  <c r="AR343" i="29" s="1"/>
  <c r="AP508" i="29"/>
  <c r="AQ508" i="29" s="1"/>
  <c r="AR508" i="29" s="1"/>
  <c r="AP366" i="29"/>
  <c r="AQ366" i="29" s="1"/>
  <c r="AR366" i="29" s="1"/>
  <c r="AP297" i="29"/>
  <c r="AQ297" i="29" s="1"/>
  <c r="AR297" i="29" s="1"/>
  <c r="AP48" i="29"/>
  <c r="AQ48" i="29" s="1"/>
  <c r="AR48" i="29" s="1"/>
  <c r="AP142" i="29"/>
  <c r="AQ142" i="29" s="1"/>
  <c r="AR142" i="29" s="1"/>
  <c r="AP127" i="29"/>
  <c r="AQ127" i="29" s="1"/>
  <c r="AR127" i="29" s="1"/>
  <c r="AP408" i="29"/>
  <c r="AQ408" i="29" s="1"/>
  <c r="AR408" i="29" s="1"/>
  <c r="AP511" i="29"/>
  <c r="AQ511" i="29" s="1"/>
  <c r="AR511" i="29" s="1"/>
  <c r="AP69" i="29"/>
  <c r="AQ69" i="29" s="1"/>
  <c r="AR69" i="29" s="1"/>
  <c r="AP205" i="29"/>
  <c r="AQ205" i="29" s="1"/>
  <c r="AR205" i="29" s="1"/>
  <c r="AP377" i="29"/>
  <c r="AQ377" i="29" s="1"/>
  <c r="AR377" i="29" s="1"/>
  <c r="AP93" i="29"/>
  <c r="AQ93" i="29" s="1"/>
  <c r="AR93" i="29" s="1"/>
  <c r="AP331" i="29"/>
  <c r="AQ331" i="29" s="1"/>
  <c r="AR331" i="29" s="1"/>
  <c r="AP76" i="29"/>
  <c r="AQ76" i="29" s="1"/>
  <c r="AR76" i="29" s="1"/>
  <c r="AP395" i="29"/>
  <c r="AQ395" i="29" s="1"/>
  <c r="AR395" i="29" s="1"/>
  <c r="AP14" i="29"/>
  <c r="AQ14" i="29" s="1"/>
  <c r="AR14" i="29" s="1"/>
  <c r="AP602" i="29"/>
  <c r="AQ602" i="29" s="1"/>
  <c r="AR602" i="29" s="1"/>
  <c r="AP242" i="29"/>
  <c r="AQ242" i="29" s="1"/>
  <c r="AR242" i="29" s="1"/>
  <c r="AP230" i="29"/>
  <c r="AQ230" i="29" s="1"/>
  <c r="AR230" i="29" s="1"/>
  <c r="AP486" i="29"/>
  <c r="AQ486" i="29" s="1"/>
  <c r="AR486" i="29" s="1"/>
  <c r="AP23" i="29"/>
  <c r="AQ23" i="29" s="1"/>
  <c r="AR23" i="29" s="1"/>
  <c r="AP211" i="29"/>
  <c r="AQ211" i="29" s="1"/>
  <c r="AR211" i="29" s="1"/>
  <c r="AP453" i="29"/>
  <c r="AQ453" i="29" s="1"/>
  <c r="AR453" i="29" s="1"/>
  <c r="AP528" i="29"/>
  <c r="AQ528" i="29" s="1"/>
  <c r="AR528" i="29" s="1"/>
  <c r="AP77" i="29"/>
  <c r="AQ77" i="29" s="1"/>
  <c r="AR77" i="29" s="1"/>
  <c r="AP271" i="29"/>
  <c r="AQ271" i="29" s="1"/>
  <c r="AR271" i="29" s="1"/>
  <c r="AP385" i="29"/>
  <c r="AQ385" i="29" s="1"/>
  <c r="AR385" i="29" s="1"/>
  <c r="AP232" i="29"/>
  <c r="AQ232" i="29" s="1"/>
  <c r="AR232" i="29" s="1"/>
  <c r="AP74" i="29"/>
  <c r="AQ74" i="29" s="1"/>
  <c r="AR74" i="29" s="1"/>
  <c r="AP384" i="29"/>
  <c r="AQ384" i="29" s="1"/>
  <c r="AR384" i="29" s="1"/>
  <c r="AP514" i="29"/>
  <c r="AQ514" i="29" s="1"/>
  <c r="AR514" i="29" s="1"/>
  <c r="AP427" i="29"/>
  <c r="AQ427" i="29" s="1"/>
  <c r="AR427" i="29" s="1"/>
  <c r="AP328" i="29"/>
  <c r="AQ328" i="29" s="1"/>
  <c r="AR328" i="29" s="1"/>
  <c r="AP517" i="29"/>
  <c r="AQ517" i="29" s="1"/>
  <c r="AR517" i="29" s="1"/>
  <c r="AP404" i="29"/>
  <c r="AQ404" i="29" s="1"/>
  <c r="AR404" i="29" s="1"/>
  <c r="AP389" i="29"/>
  <c r="AQ389" i="29" s="1"/>
  <c r="AR389" i="29" s="1"/>
  <c r="AP372" i="29"/>
  <c r="AQ372" i="29" s="1"/>
  <c r="AR372" i="29" s="1"/>
  <c r="AP300" i="29"/>
  <c r="AQ300" i="29" s="1"/>
  <c r="AR300" i="29" s="1"/>
  <c r="AP493" i="29"/>
  <c r="AQ493" i="29" s="1"/>
  <c r="AR493" i="29" s="1"/>
  <c r="AP219" i="29"/>
  <c r="AQ219" i="29" s="1"/>
  <c r="AR219" i="29" s="1"/>
  <c r="AP123" i="29"/>
  <c r="AQ123" i="29" s="1"/>
  <c r="AR123" i="29" s="1"/>
  <c r="AP22" i="29"/>
  <c r="AQ22" i="29" s="1"/>
  <c r="AR22" i="29" s="1"/>
  <c r="AP431" i="29"/>
  <c r="AQ431" i="29" s="1"/>
  <c r="AR431" i="29" s="1"/>
  <c r="AP156" i="29"/>
  <c r="AQ156" i="29" s="1"/>
  <c r="AR156" i="29" s="1"/>
  <c r="AP472" i="29"/>
  <c r="AQ472" i="29" s="1"/>
  <c r="AR472" i="29" s="1"/>
  <c r="AP364" i="29"/>
  <c r="AQ364" i="29" s="1"/>
  <c r="AR364" i="29" s="1"/>
  <c r="AP489" i="29"/>
  <c r="AQ489" i="29" s="1"/>
  <c r="AR489" i="29" s="1"/>
  <c r="AP444" i="29"/>
  <c r="AQ444" i="29" s="1"/>
  <c r="AR444" i="29" s="1"/>
  <c r="AP209" i="29"/>
  <c r="AQ209" i="29" s="1"/>
  <c r="AR209" i="29" s="1"/>
  <c r="AP304" i="29"/>
  <c r="AQ304" i="29" s="1"/>
  <c r="AR304" i="29" s="1"/>
  <c r="AP537" i="29"/>
  <c r="AQ537" i="29" s="1"/>
  <c r="AR537" i="29" s="1"/>
  <c r="AP264" i="29"/>
  <c r="AQ264" i="29" s="1"/>
  <c r="AR264" i="29" s="1"/>
  <c r="AP79" i="29"/>
  <c r="AQ79" i="29" s="1"/>
  <c r="AR79" i="29" s="1"/>
  <c r="AP473" i="29"/>
  <c r="AQ473" i="29" s="1"/>
  <c r="AR473" i="29" s="1"/>
  <c r="AP532" i="29"/>
  <c r="AQ532" i="29" s="1"/>
  <c r="AR532" i="29" s="1"/>
  <c r="AP592" i="29"/>
  <c r="AQ592" i="29" s="1"/>
  <c r="AR592" i="29" s="1"/>
  <c r="AP399" i="29"/>
  <c r="AQ399" i="29" s="1"/>
  <c r="AR399" i="29" s="1"/>
  <c r="AP362" i="29"/>
  <c r="AQ362" i="29" s="1"/>
  <c r="AR362" i="29" s="1"/>
  <c r="AP390" i="29"/>
  <c r="AQ390" i="29" s="1"/>
  <c r="AR390" i="29" s="1"/>
  <c r="AP64" i="29"/>
  <c r="AQ64" i="29" s="1"/>
  <c r="AR64" i="29" s="1"/>
  <c r="AP314" i="29"/>
  <c r="AQ314" i="29" s="1"/>
  <c r="AR314" i="29" s="1"/>
  <c r="AP576" i="29"/>
  <c r="AQ576" i="29" s="1"/>
  <c r="AR576" i="29" s="1"/>
  <c r="AP45" i="29"/>
  <c r="AQ45" i="29" s="1"/>
  <c r="AR45" i="29" s="1"/>
  <c r="AP391" i="29"/>
  <c r="AQ391" i="29" s="1"/>
  <c r="AR391" i="29" s="1"/>
  <c r="AP368" i="29"/>
  <c r="AQ368" i="29" s="1"/>
  <c r="AR368" i="29" s="1"/>
  <c r="AP118" i="29"/>
  <c r="AQ118" i="29" s="1"/>
  <c r="AR118" i="29" s="1"/>
  <c r="AP296" i="29"/>
  <c r="AQ296" i="29" s="1"/>
  <c r="AR296" i="29" s="1"/>
  <c r="AP177" i="29"/>
  <c r="AQ177" i="29" s="1"/>
  <c r="AR177" i="29" s="1"/>
  <c r="AP375" i="29"/>
  <c r="AQ375" i="29" s="1"/>
  <c r="AR375" i="29" s="1"/>
  <c r="AP563" i="29"/>
  <c r="AQ563" i="29" s="1"/>
  <c r="AR563" i="29" s="1"/>
  <c r="AP89" i="29"/>
  <c r="AQ89" i="29" s="1"/>
  <c r="AR89" i="29" s="1"/>
  <c r="AP465" i="29"/>
  <c r="AQ465" i="29" s="1"/>
  <c r="AR465" i="29" s="1"/>
  <c r="AP234" i="29"/>
  <c r="AQ234" i="29" s="1"/>
  <c r="AR234" i="29" s="1"/>
  <c r="AP397" i="29"/>
  <c r="AQ397" i="29" s="1"/>
  <c r="AR397" i="29" s="1"/>
  <c r="AP591" i="29"/>
  <c r="AQ591" i="29" s="1"/>
  <c r="AR591" i="29" s="1"/>
  <c r="AP338" i="29"/>
  <c r="AQ338" i="29" s="1"/>
  <c r="AR338" i="29" s="1"/>
  <c r="AP190" i="29"/>
  <c r="AQ190" i="29" s="1"/>
  <c r="AR190" i="29" s="1"/>
  <c r="AP269" i="29"/>
  <c r="AQ269" i="29" s="1"/>
  <c r="AR269" i="29" s="1"/>
  <c r="AP600" i="29"/>
  <c r="AQ600" i="29" s="1"/>
  <c r="AR600" i="29" s="1"/>
  <c r="AP250" i="29"/>
  <c r="AQ250" i="29" s="1"/>
  <c r="AR250" i="29" s="1"/>
  <c r="AP378" i="29"/>
  <c r="AQ378" i="29" s="1"/>
  <c r="AR378" i="29" s="1"/>
  <c r="AP361" i="29"/>
  <c r="AQ361" i="29" s="1"/>
  <c r="AR361" i="29" s="1"/>
  <c r="AP249" i="29"/>
  <c r="AQ249" i="29" s="1"/>
  <c r="AR249" i="29" s="1"/>
  <c r="AP407" i="29"/>
  <c r="AQ407" i="29" s="1"/>
  <c r="AR407" i="29" s="1"/>
  <c r="AP323" i="29"/>
  <c r="AQ323" i="29" s="1"/>
  <c r="AR323" i="29" s="1"/>
  <c r="AP184" i="29"/>
  <c r="AQ184" i="29" s="1"/>
  <c r="AR184" i="29" s="1"/>
  <c r="AP458" i="29"/>
  <c r="AQ458" i="29" s="1"/>
  <c r="AR458" i="29" s="1"/>
  <c r="AP120" i="29"/>
  <c r="AQ120" i="29" s="1"/>
  <c r="AR120" i="29" s="1"/>
  <c r="AP38" i="29"/>
  <c r="AQ38" i="29" s="1"/>
  <c r="AR38" i="29" s="1"/>
  <c r="AP119" i="29"/>
  <c r="AQ119" i="29" s="1"/>
  <c r="AR119" i="29" s="1"/>
  <c r="AP303" i="29"/>
  <c r="AQ303" i="29" s="1"/>
  <c r="AR303" i="29" s="1"/>
  <c r="AP266" i="29"/>
  <c r="AQ266" i="29" s="1"/>
  <c r="AR266" i="29" s="1"/>
  <c r="AP27" i="29"/>
  <c r="AQ27" i="29" s="1"/>
  <c r="AR27" i="29" s="1"/>
  <c r="AP416" i="29"/>
  <c r="AQ416" i="29" s="1"/>
  <c r="AR416" i="29" s="1"/>
  <c r="AP463" i="29"/>
  <c r="AQ463" i="29" s="1"/>
  <c r="AR463" i="29" s="1"/>
  <c r="AP584" i="29"/>
  <c r="AQ584" i="29" s="1"/>
  <c r="AR584" i="29" s="1"/>
  <c r="AP149" i="29"/>
  <c r="AQ149" i="29" s="1"/>
  <c r="AR149" i="29" s="1"/>
  <c r="AP503" i="29"/>
  <c r="AQ503" i="29" s="1"/>
  <c r="AR503" i="29" s="1"/>
  <c r="AP464" i="29"/>
  <c r="AQ464" i="29" s="1"/>
  <c r="AR464" i="29" s="1"/>
  <c r="AP199" i="29"/>
  <c r="AQ199" i="29" s="1"/>
  <c r="AR199" i="29" s="1"/>
  <c r="AP341" i="29"/>
  <c r="AQ341" i="29" s="1"/>
  <c r="AR341" i="29" s="1"/>
  <c r="AP165" i="29"/>
  <c r="AQ165" i="29" s="1"/>
  <c r="AR165" i="29" s="1"/>
  <c r="AP426" i="29"/>
  <c r="AQ426" i="29" s="1"/>
  <c r="AR426" i="29" s="1"/>
  <c r="AP103" i="29"/>
  <c r="AQ103" i="29" s="1"/>
  <c r="AR103" i="29" s="1"/>
  <c r="AP110" i="29"/>
  <c r="AQ110" i="29" s="1"/>
  <c r="AR110" i="29" s="1"/>
  <c r="AP159" i="29"/>
  <c r="AQ159" i="29" s="1"/>
  <c r="AR159" i="29" s="1"/>
  <c r="AP469" i="29"/>
  <c r="AQ469" i="29" s="1"/>
  <c r="AR469" i="29" s="1"/>
  <c r="AP152" i="29"/>
  <c r="AQ152" i="29" s="1"/>
  <c r="AR152" i="29" s="1"/>
  <c r="AP185" i="29"/>
  <c r="AQ185" i="29" s="1"/>
  <c r="AR185" i="29" s="1"/>
  <c r="AP594" i="29"/>
  <c r="AQ594" i="29" s="1"/>
  <c r="AR594" i="29" s="1"/>
  <c r="AP181" i="29"/>
  <c r="AQ181" i="29" s="1"/>
  <c r="AR181" i="29" s="1"/>
  <c r="AP155" i="29"/>
  <c r="AQ155" i="29" s="1"/>
  <c r="AR155" i="29" s="1"/>
  <c r="AP369" i="29"/>
  <c r="AQ369" i="29" s="1"/>
  <c r="AR369" i="29" s="1"/>
  <c r="AP394" i="29"/>
  <c r="AQ394" i="29" s="1"/>
  <c r="AR394" i="29" s="1"/>
  <c r="AP607" i="29"/>
  <c r="AQ607" i="29" s="1"/>
  <c r="AR607" i="29" s="1"/>
  <c r="AP333" i="29"/>
  <c r="AQ333" i="29" s="1"/>
  <c r="AR333" i="29" s="1"/>
  <c r="AP401" i="29"/>
  <c r="AQ401" i="29" s="1"/>
  <c r="AR401" i="29" s="1"/>
  <c r="AP429" i="29"/>
  <c r="AQ429" i="29" s="1"/>
  <c r="AR429" i="29" s="1"/>
  <c r="AP258" i="29"/>
  <c r="AQ258" i="29" s="1"/>
  <c r="AR258" i="29" s="1"/>
  <c r="AP606" i="29"/>
  <c r="AQ606" i="29" s="1"/>
  <c r="AR606" i="29" s="1"/>
  <c r="AP62" i="29"/>
  <c r="AQ62" i="29" s="1"/>
  <c r="AR62" i="29" s="1"/>
  <c r="AP548" i="29"/>
  <c r="AQ548" i="29" s="1"/>
  <c r="AR548" i="29" s="1"/>
  <c r="AP154" i="29"/>
  <c r="AQ154" i="29" s="1"/>
  <c r="AR154" i="29" s="1"/>
  <c r="AP275" i="29"/>
  <c r="AQ275" i="29" s="1"/>
  <c r="AR275" i="29" s="1"/>
  <c r="AP216" i="29"/>
  <c r="AQ216" i="29" s="1"/>
  <c r="AR216" i="29" s="1"/>
  <c r="AP326" i="29"/>
  <c r="AQ326" i="29" s="1"/>
  <c r="AR326" i="29" s="1"/>
  <c r="AP513" i="29"/>
  <c r="AQ513" i="29" s="1"/>
  <c r="AR513" i="29" s="1"/>
  <c r="AP419" i="29"/>
  <c r="AQ419" i="29" s="1"/>
  <c r="AR419" i="29" s="1"/>
  <c r="AP499" i="29"/>
  <c r="AQ499" i="29" s="1"/>
  <c r="AR499" i="29" s="1"/>
  <c r="AP353" i="29"/>
  <c r="AQ353" i="29" s="1"/>
  <c r="AR353" i="29" s="1"/>
  <c r="AP55" i="29"/>
  <c r="AQ55" i="29" s="1"/>
  <c r="AR55" i="29" s="1"/>
  <c r="AP455" i="29"/>
  <c r="AQ455" i="29" s="1"/>
  <c r="AR455" i="29" s="1"/>
  <c r="AP555" i="29"/>
  <c r="AQ555" i="29" s="1"/>
  <c r="AR555" i="29" s="1"/>
  <c r="AP565" i="29"/>
  <c r="AQ565" i="29" s="1"/>
  <c r="AR565" i="29" s="1"/>
  <c r="AP550" i="29"/>
  <c r="AQ550" i="29" s="1"/>
  <c r="AR550" i="29" s="1"/>
  <c r="AP535" i="29"/>
  <c r="AQ535" i="29" s="1"/>
  <c r="AR535" i="29" s="1"/>
  <c r="AP406" i="29"/>
  <c r="AQ406" i="29" s="1"/>
  <c r="AR406" i="29" s="1"/>
  <c r="AP596" i="29"/>
  <c r="AQ596" i="29" s="1"/>
  <c r="AR596" i="29" s="1"/>
  <c r="AP162" i="29"/>
  <c r="AQ162" i="29" s="1"/>
  <c r="AR162" i="29" s="1"/>
  <c r="AP571" i="29"/>
  <c r="AQ571" i="29" s="1"/>
  <c r="AR571" i="29" s="1"/>
  <c r="AP515" i="29"/>
  <c r="AQ515" i="29" s="1"/>
  <c r="AR515" i="29" s="1"/>
  <c r="AP480" i="29"/>
  <c r="AQ480" i="29" s="1"/>
  <c r="AR480" i="29" s="1"/>
  <c r="AP126" i="29"/>
  <c r="AQ126" i="29" s="1"/>
  <c r="AR126" i="29" s="1"/>
  <c r="AP501" i="29"/>
  <c r="AQ501" i="29" s="1"/>
  <c r="AR501" i="29" s="1"/>
  <c r="AP289" i="29"/>
  <c r="AQ289" i="29" s="1"/>
  <c r="AR289" i="29" s="1"/>
  <c r="AP402" i="29"/>
  <c r="AQ402" i="29" s="1"/>
  <c r="AR402" i="29" s="1"/>
  <c r="AP228" i="29"/>
  <c r="AQ228" i="29" s="1"/>
  <c r="AR228" i="29" s="1"/>
  <c r="AP259" i="29"/>
  <c r="AQ259" i="29" s="1"/>
  <c r="AR259" i="29" s="1"/>
  <c r="AP598" i="29"/>
  <c r="AQ598" i="29" s="1"/>
  <c r="AR598" i="29" s="1"/>
  <c r="AP371" i="29"/>
  <c r="AQ371" i="29" s="1"/>
  <c r="AR371" i="29" s="1"/>
  <c r="AP510" i="29"/>
  <c r="AQ510" i="29" s="1"/>
  <c r="AR510" i="29" s="1"/>
  <c r="AP51" i="29"/>
  <c r="AQ51" i="29" s="1"/>
  <c r="AR51" i="29" s="1"/>
  <c r="AP95" i="29"/>
  <c r="AQ95" i="29" s="1"/>
  <c r="AR95" i="29" s="1"/>
  <c r="AP365" i="29"/>
  <c r="AQ365" i="29" s="1"/>
  <c r="AR365" i="29" s="1"/>
  <c r="AP286" i="29"/>
  <c r="AQ286" i="29" s="1"/>
  <c r="AR286" i="29" s="1"/>
  <c r="AP117" i="29"/>
  <c r="AQ117" i="29" s="1"/>
  <c r="AR117" i="29" s="1"/>
  <c r="AP99" i="29"/>
  <c r="AQ99" i="29" s="1"/>
  <c r="AR99" i="29" s="1"/>
  <c r="D55" i="29"/>
  <c r="D56" i="29" s="1"/>
  <c r="D57" i="29" s="1"/>
  <c r="AP191" i="29"/>
  <c r="AQ191" i="29" s="1"/>
  <c r="AR191" i="29" s="1"/>
  <c r="AP412" i="29"/>
  <c r="AQ412" i="29" s="1"/>
  <c r="AR412" i="29" s="1"/>
  <c r="AP525" i="29"/>
  <c r="AQ525" i="29" s="1"/>
  <c r="AR525" i="29" s="1"/>
  <c r="AP143" i="29"/>
  <c r="AQ143" i="29" s="1"/>
  <c r="AR143" i="29" s="1"/>
  <c r="AT195" i="25"/>
  <c r="AY195" i="25" s="1"/>
  <c r="AU195" i="25"/>
  <c r="AT160" i="25"/>
  <c r="AY160" i="25" s="1"/>
  <c r="AU160" i="25"/>
  <c r="AT227" i="25"/>
  <c r="AU227" i="25"/>
  <c r="BY292" i="24"/>
  <c r="CA292" i="24" s="1"/>
  <c r="BM292" i="24"/>
  <c r="BN292" i="24" s="1"/>
  <c r="BE254" i="24"/>
  <c r="BT254" i="24" s="1"/>
  <c r="BD254" i="24"/>
  <c r="AY254" i="24"/>
  <c r="AZ254" i="24" s="1"/>
  <c r="BD37" i="24"/>
  <c r="AY37" i="24"/>
  <c r="AZ37" i="24" s="1"/>
  <c r="BE37" i="24"/>
  <c r="BT37" i="24" s="1"/>
  <c r="BB275" i="25"/>
  <c r="BS275" i="25" s="1"/>
  <c r="BC275" i="25"/>
  <c r="BT275" i="25" s="1"/>
  <c r="BA275" i="25"/>
  <c r="BE245" i="24"/>
  <c r="BT245" i="24" s="1"/>
  <c r="AY245" i="24"/>
  <c r="AZ245" i="24" s="1"/>
  <c r="BD245" i="24"/>
  <c r="AT16" i="25"/>
  <c r="AY16" i="25" s="1"/>
  <c r="AU16" i="25"/>
  <c r="BB232" i="25"/>
  <c r="BS232" i="25" s="1"/>
  <c r="BC232" i="25"/>
  <c r="BT232" i="25" s="1"/>
  <c r="BA232" i="25"/>
  <c r="AT119" i="25"/>
  <c r="AY119" i="25" s="1"/>
  <c r="AU119" i="25"/>
  <c r="BE220" i="24"/>
  <c r="BT220" i="24" s="1"/>
  <c r="AY220" i="24"/>
  <c r="AZ220" i="24" s="1"/>
  <c r="BD220" i="24"/>
  <c r="BS19" i="24"/>
  <c r="BG19" i="24"/>
  <c r="BM19" i="24" s="1"/>
  <c r="AT304" i="25"/>
  <c r="AU304" i="25"/>
  <c r="AT299" i="25"/>
  <c r="AU299" i="25"/>
  <c r="AT182" i="25"/>
  <c r="AY182" i="25" s="1"/>
  <c r="AU182" i="25"/>
  <c r="BC261" i="25"/>
  <c r="BT261" i="25" s="1"/>
  <c r="BB261" i="25"/>
  <c r="BS261" i="25" s="1"/>
  <c r="BA261" i="25"/>
  <c r="AT281" i="25"/>
  <c r="AU281" i="25"/>
  <c r="AT185" i="25"/>
  <c r="AY185" i="25" s="1"/>
  <c r="AU185" i="25"/>
  <c r="BC179" i="25"/>
  <c r="BT179" i="25" s="1"/>
  <c r="BA179" i="25"/>
  <c r="BB179" i="25"/>
  <c r="BS179" i="25" s="1"/>
  <c r="AY146" i="24"/>
  <c r="AZ146" i="24" s="1"/>
  <c r="BE146" i="24"/>
  <c r="BT146" i="24" s="1"/>
  <c r="BD146" i="24"/>
  <c r="BB6" i="25"/>
  <c r="BS6" i="25" s="1"/>
  <c r="BA6" i="25"/>
  <c r="BC6" i="25"/>
  <c r="BT6" i="25" s="1"/>
  <c r="BE163" i="24"/>
  <c r="BT163" i="24" s="1"/>
  <c r="BD163" i="24"/>
  <c r="AY163" i="24"/>
  <c r="AZ163" i="24" s="1"/>
  <c r="BD13" i="24"/>
  <c r="AY13" i="24"/>
  <c r="AZ13" i="24" s="1"/>
  <c r="BE13" i="24"/>
  <c r="BT13" i="24" s="1"/>
  <c r="BE124" i="24"/>
  <c r="BT124" i="24" s="1"/>
  <c r="BD124" i="24"/>
  <c r="AY124" i="24"/>
  <c r="AZ124" i="24" s="1"/>
  <c r="BE315" i="24"/>
  <c r="BT315" i="24" s="1"/>
  <c r="BD315" i="24"/>
  <c r="AY315" i="24"/>
  <c r="AZ315" i="24" s="1"/>
  <c r="BB243" i="25"/>
  <c r="BS243" i="25" s="1"/>
  <c r="BA243" i="25"/>
  <c r="BC243" i="25"/>
  <c r="BT243" i="25" s="1"/>
  <c r="BE94" i="24"/>
  <c r="BT94" i="24" s="1"/>
  <c r="AY94" i="24"/>
  <c r="AZ94" i="24" s="1"/>
  <c r="BD94" i="24"/>
  <c r="BD59" i="24"/>
  <c r="BE59" i="24"/>
  <c r="BT59" i="24" s="1"/>
  <c r="AY59" i="24"/>
  <c r="AZ59" i="24" s="1"/>
  <c r="BE150" i="24"/>
  <c r="BT150" i="24" s="1"/>
  <c r="BD150" i="24"/>
  <c r="AY150" i="24"/>
  <c r="AZ150" i="24" s="1"/>
  <c r="AT54" i="25"/>
  <c r="AY54" i="25" s="1"/>
  <c r="AU54" i="25"/>
  <c r="BE60" i="24"/>
  <c r="BT60" i="24" s="1"/>
  <c r="BD60" i="24"/>
  <c r="AY60" i="24"/>
  <c r="AZ60" i="24" s="1"/>
  <c r="AT196" i="25"/>
  <c r="AY196" i="25" s="1"/>
  <c r="AU196" i="25"/>
  <c r="BD227" i="24"/>
  <c r="AY227" i="24"/>
  <c r="AZ227" i="24" s="1"/>
  <c r="BE227" i="24"/>
  <c r="BT227" i="24" s="1"/>
  <c r="BD281" i="24"/>
  <c r="AY281" i="24"/>
  <c r="AZ281" i="24" s="1"/>
  <c r="BE281" i="24"/>
  <c r="BT281" i="24" s="1"/>
  <c r="BD167" i="24"/>
  <c r="BE167" i="24"/>
  <c r="BT167" i="24" s="1"/>
  <c r="AY167" i="24"/>
  <c r="AZ167" i="24" s="1"/>
  <c r="BG152" i="24"/>
  <c r="AT301" i="25"/>
  <c r="AU301" i="25"/>
  <c r="BE267" i="24"/>
  <c r="BT267" i="24" s="1"/>
  <c r="BD267" i="24"/>
  <c r="AY267" i="24"/>
  <c r="AZ267" i="24" s="1"/>
  <c r="BD134" i="24"/>
  <c r="AY134" i="24"/>
  <c r="AZ134" i="24" s="1"/>
  <c r="BE134" i="24"/>
  <c r="BT134" i="24" s="1"/>
  <c r="BE307" i="24"/>
  <c r="BT307" i="24" s="1"/>
  <c r="BD307" i="24"/>
  <c r="AY307" i="24"/>
  <c r="AZ307" i="24" s="1"/>
  <c r="AY210" i="24"/>
  <c r="AZ210" i="24" s="1"/>
  <c r="BD210" i="24"/>
  <c r="BE210" i="24"/>
  <c r="BT210" i="24" s="1"/>
  <c r="AT311" i="25"/>
  <c r="AU311" i="25"/>
  <c r="AT135" i="25"/>
  <c r="AY135" i="25" s="1"/>
  <c r="AU135" i="25"/>
  <c r="BE272" i="24"/>
  <c r="BT272" i="24" s="1"/>
  <c r="BD272" i="24"/>
  <c r="AY272" i="24"/>
  <c r="AZ272" i="24" s="1"/>
  <c r="BD96" i="24"/>
  <c r="BE96" i="24"/>
  <c r="BT96" i="24" s="1"/>
  <c r="AY96" i="24"/>
  <c r="AZ96" i="24" s="1"/>
  <c r="AY244" i="24"/>
  <c r="AZ244" i="24" s="1"/>
  <c r="BE244" i="24"/>
  <c r="BT244" i="24" s="1"/>
  <c r="BD244" i="24"/>
  <c r="BD297" i="24"/>
  <c r="AY297" i="24"/>
  <c r="AZ297" i="24" s="1"/>
  <c r="BE297" i="24"/>
  <c r="BT297" i="24" s="1"/>
  <c r="BE115" i="24"/>
  <c r="BT115" i="24" s="1"/>
  <c r="BD115" i="24"/>
  <c r="AY115" i="24"/>
  <c r="AZ115" i="24" s="1"/>
  <c r="AT164" i="25"/>
  <c r="AY164" i="25" s="1"/>
  <c r="AU164" i="25"/>
  <c r="AY231" i="24"/>
  <c r="AZ231" i="24" s="1"/>
  <c r="BD231" i="24"/>
  <c r="BE231" i="24"/>
  <c r="BT231" i="24" s="1"/>
  <c r="AY314" i="24"/>
  <c r="AZ314" i="24" s="1"/>
  <c r="BD314" i="24"/>
  <c r="BE314" i="24"/>
  <c r="BT314" i="24" s="1"/>
  <c r="BE303" i="24"/>
  <c r="BT303" i="24" s="1"/>
  <c r="BD303" i="24"/>
  <c r="AY303" i="24"/>
  <c r="AZ303" i="24" s="1"/>
  <c r="AY95" i="24"/>
  <c r="AZ95" i="24" s="1"/>
  <c r="BE95" i="24"/>
  <c r="BT95" i="24" s="1"/>
  <c r="BD95" i="24"/>
  <c r="AT103" i="25"/>
  <c r="AY103" i="25" s="1"/>
  <c r="AU103" i="25"/>
  <c r="AY11" i="24"/>
  <c r="AZ11" i="24" s="1"/>
  <c r="BE11" i="24"/>
  <c r="BT11" i="24" s="1"/>
  <c r="BD11" i="24"/>
  <c r="AT127" i="25"/>
  <c r="AY127" i="25" s="1"/>
  <c r="AU127" i="25"/>
  <c r="BA59" i="25"/>
  <c r="BC59" i="25"/>
  <c r="BT59" i="25" s="1"/>
  <c r="BB59" i="25"/>
  <c r="BS59" i="25" s="1"/>
  <c r="BG21" i="24"/>
  <c r="BM21" i="24" s="1"/>
  <c r="BS21" i="24"/>
  <c r="BV21" i="24" s="1"/>
  <c r="BX21" i="24" s="1"/>
  <c r="AT242" i="25"/>
  <c r="AU242" i="25"/>
  <c r="BE39" i="24"/>
  <c r="BT39" i="24" s="1"/>
  <c r="AY39" i="24"/>
  <c r="AZ39" i="24" s="1"/>
  <c r="BD39" i="24"/>
  <c r="AT153" i="25"/>
  <c r="AY153" i="25" s="1"/>
  <c r="AU153" i="25"/>
  <c r="AT233" i="25"/>
  <c r="AU233" i="25"/>
  <c r="AT218" i="25"/>
  <c r="AU218" i="25"/>
  <c r="BA62" i="25"/>
  <c r="BC62" i="25"/>
  <c r="BT62" i="25" s="1"/>
  <c r="BB62" i="25"/>
  <c r="BS62" i="25" s="1"/>
  <c r="AT93" i="25"/>
  <c r="AY93" i="25" s="1"/>
  <c r="AU93" i="25"/>
  <c r="BS41" i="24"/>
  <c r="BV41" i="24" s="1"/>
  <c r="BX41" i="24" s="1"/>
  <c r="BG41" i="24"/>
  <c r="BM41" i="24" s="1"/>
  <c r="BE262" i="24"/>
  <c r="BT262" i="24" s="1"/>
  <c r="BD262" i="24"/>
  <c r="AY262" i="24"/>
  <c r="AZ262" i="24" s="1"/>
  <c r="BG135" i="24"/>
  <c r="BS135" i="24"/>
  <c r="AT49" i="25"/>
  <c r="AY49" i="25" s="1"/>
  <c r="AU49" i="25"/>
  <c r="AT285" i="25"/>
  <c r="AU285" i="25"/>
  <c r="BD186" i="24"/>
  <c r="AY186" i="24"/>
  <c r="AZ186" i="24" s="1"/>
  <c r="BE186" i="24"/>
  <c r="BT186" i="24" s="1"/>
  <c r="AT300" i="25"/>
  <c r="AU300" i="25"/>
  <c r="AT263" i="25"/>
  <c r="AU263" i="25"/>
  <c r="AT310" i="25"/>
  <c r="AU310" i="25"/>
  <c r="AT274" i="25"/>
  <c r="AU274" i="25"/>
  <c r="BD78" i="24"/>
  <c r="AY78" i="24"/>
  <c r="AZ78" i="24" s="1"/>
  <c r="BE78" i="24"/>
  <c r="BT78" i="24" s="1"/>
  <c r="AY36" i="24"/>
  <c r="AZ36" i="24" s="1"/>
  <c r="BD36" i="24"/>
  <c r="BE36" i="24"/>
  <c r="BT36" i="24" s="1"/>
  <c r="AY225" i="24"/>
  <c r="AZ225" i="24" s="1"/>
  <c r="BD225" i="24"/>
  <c r="BE225" i="24"/>
  <c r="BT225" i="24" s="1"/>
  <c r="BC114" i="25"/>
  <c r="BT114" i="25" s="1"/>
  <c r="BB114" i="25"/>
  <c r="BS114" i="25" s="1"/>
  <c r="BA114" i="25"/>
  <c r="BD92" i="24"/>
  <c r="AY92" i="24"/>
  <c r="AZ92" i="24" s="1"/>
  <c r="BE92" i="24"/>
  <c r="BT92" i="24" s="1"/>
  <c r="BA280" i="25"/>
  <c r="BC280" i="25"/>
  <c r="BT280" i="25" s="1"/>
  <c r="BB280" i="25"/>
  <c r="BS280" i="25" s="1"/>
  <c r="AT249" i="25"/>
  <c r="AU249" i="25"/>
  <c r="AT18" i="25"/>
  <c r="AY18" i="25" s="1"/>
  <c r="AU18" i="25"/>
  <c r="BB273" i="25"/>
  <c r="BS273" i="25" s="1"/>
  <c r="BA273" i="25"/>
  <c r="BC273" i="25"/>
  <c r="BT273" i="25" s="1"/>
  <c r="BD277" i="24"/>
  <c r="BE277" i="24"/>
  <c r="BT277" i="24" s="1"/>
  <c r="AY277" i="24"/>
  <c r="AZ277" i="24" s="1"/>
  <c r="AT210" i="25"/>
  <c r="AY210" i="25" s="1"/>
  <c r="AU210" i="25"/>
  <c r="BE68" i="24"/>
  <c r="BT68" i="24" s="1"/>
  <c r="BD68" i="24"/>
  <c r="AY68" i="24"/>
  <c r="AZ68" i="24" s="1"/>
  <c r="AY287" i="24"/>
  <c r="AZ287" i="24" s="1"/>
  <c r="BD287" i="24"/>
  <c r="BE287" i="24"/>
  <c r="BT287" i="24" s="1"/>
  <c r="BE312" i="24"/>
  <c r="BT312" i="24" s="1"/>
  <c r="BD312" i="24"/>
  <c r="AY312" i="24"/>
  <c r="AZ312" i="24" s="1"/>
  <c r="BC293" i="25"/>
  <c r="BT293" i="25" s="1"/>
  <c r="BA293" i="25"/>
  <c r="BB293" i="25"/>
  <c r="BS293" i="25" s="1"/>
  <c r="AT254" i="25"/>
  <c r="AU254" i="25"/>
  <c r="AT39" i="25"/>
  <c r="AY39" i="25" s="1"/>
  <c r="AU39" i="25"/>
  <c r="BC229" i="25"/>
  <c r="BT229" i="25" s="1"/>
  <c r="BB229" i="25"/>
  <c r="BS229" i="25" s="1"/>
  <c r="BA229" i="25"/>
  <c r="BD221" i="24"/>
  <c r="AY221" i="24"/>
  <c r="AZ221" i="24" s="1"/>
  <c r="BE221" i="24"/>
  <c r="BT221" i="24" s="1"/>
  <c r="AT156" i="25"/>
  <c r="AY156" i="25" s="1"/>
  <c r="AU156" i="25"/>
  <c r="BA255" i="25"/>
  <c r="BB255" i="25"/>
  <c r="BS255" i="25" s="1"/>
  <c r="BC255" i="25"/>
  <c r="BT255" i="25" s="1"/>
  <c r="AT316" i="25"/>
  <c r="AU316" i="25"/>
  <c r="AT172" i="25"/>
  <c r="AY172" i="25" s="1"/>
  <c r="AU172" i="25"/>
  <c r="BA306" i="25"/>
  <c r="BC306" i="25"/>
  <c r="BT306" i="25" s="1"/>
  <c r="BB306" i="25"/>
  <c r="BS306" i="25" s="1"/>
  <c r="AT99" i="25"/>
  <c r="AY99" i="25" s="1"/>
  <c r="AU99" i="25"/>
  <c r="BB87" i="25"/>
  <c r="BS87" i="25" s="1"/>
  <c r="BA87" i="25"/>
  <c r="BC87" i="25"/>
  <c r="BT87" i="25" s="1"/>
  <c r="AT162" i="25"/>
  <c r="AY162" i="25" s="1"/>
  <c r="AU162" i="25"/>
  <c r="AT117" i="25"/>
  <c r="AY117" i="25" s="1"/>
  <c r="AU117" i="25"/>
  <c r="AY125" i="24"/>
  <c r="AZ125" i="24" s="1"/>
  <c r="BD125" i="24"/>
  <c r="BE125" i="24"/>
  <c r="BT125" i="24" s="1"/>
  <c r="BA305" i="25"/>
  <c r="BC305" i="25"/>
  <c r="BT305" i="25" s="1"/>
  <c r="BB305" i="25"/>
  <c r="BS305" i="25" s="1"/>
  <c r="AT88" i="25"/>
  <c r="AY88" i="25" s="1"/>
  <c r="AU88" i="25"/>
  <c r="AT226" i="25"/>
  <c r="AU226" i="25"/>
  <c r="BE84" i="24"/>
  <c r="BT84" i="24" s="1"/>
  <c r="BD84" i="24"/>
  <c r="AY84" i="24"/>
  <c r="AZ84" i="24" s="1"/>
  <c r="BE80" i="24"/>
  <c r="BT80" i="24" s="1"/>
  <c r="BD80" i="24"/>
  <c r="AY80" i="24"/>
  <c r="AZ80" i="24" s="1"/>
  <c r="AT25" i="25"/>
  <c r="AY25" i="25" s="1"/>
  <c r="AU25" i="25"/>
  <c r="BC246" i="25"/>
  <c r="BT246" i="25" s="1"/>
  <c r="BA246" i="25"/>
  <c r="BB246" i="25"/>
  <c r="BS246" i="25" s="1"/>
  <c r="AT290" i="25"/>
  <c r="AU290" i="25"/>
  <c r="BC262" i="25"/>
  <c r="BT262" i="25" s="1"/>
  <c r="BB262" i="25"/>
  <c r="BS262" i="25" s="1"/>
  <c r="BA262" i="25"/>
  <c r="AT169" i="25"/>
  <c r="AY169" i="25" s="1"/>
  <c r="AU169" i="25"/>
  <c r="AY291" i="24"/>
  <c r="AZ291" i="24" s="1"/>
  <c r="BE291" i="24"/>
  <c r="BT291" i="24" s="1"/>
  <c r="BD291" i="24"/>
  <c r="AT260" i="25"/>
  <c r="AU260" i="25"/>
  <c r="AY102" i="24"/>
  <c r="AZ102" i="24" s="1"/>
  <c r="BD102" i="24"/>
  <c r="BE102" i="24"/>
  <c r="BT102" i="24" s="1"/>
  <c r="BE223" i="24"/>
  <c r="BT223" i="24" s="1"/>
  <c r="AY223" i="24"/>
  <c r="AZ223" i="24" s="1"/>
  <c r="BD223" i="24"/>
  <c r="AT52" i="25"/>
  <c r="AY52" i="25" s="1"/>
  <c r="AU52" i="25"/>
  <c r="BE141" i="24"/>
  <c r="BT141" i="24" s="1"/>
  <c r="AY141" i="24"/>
  <c r="AZ141" i="24" s="1"/>
  <c r="BD141" i="24"/>
  <c r="BD251" i="24"/>
  <c r="BE251" i="24"/>
  <c r="BT251" i="24" s="1"/>
  <c r="AY251" i="24"/>
  <c r="AZ251" i="24" s="1"/>
  <c r="BA186" i="25"/>
  <c r="BC186" i="25"/>
  <c r="BT186" i="25" s="1"/>
  <c r="BB186" i="25"/>
  <c r="BS186" i="25" s="1"/>
  <c r="AT120" i="25"/>
  <c r="AY120" i="25" s="1"/>
  <c r="AU120" i="25"/>
  <c r="BD302" i="24"/>
  <c r="AY302" i="24"/>
  <c r="AZ302" i="24" s="1"/>
  <c r="BE302" i="24"/>
  <c r="BT302" i="24" s="1"/>
  <c r="AT219" i="25"/>
  <c r="AU219" i="25"/>
  <c r="AT217" i="25"/>
  <c r="AU217" i="25"/>
  <c r="AT209" i="25"/>
  <c r="AY209" i="25" s="1"/>
  <c r="AU209" i="25"/>
  <c r="BD127" i="24"/>
  <c r="AY127" i="24"/>
  <c r="AZ127" i="24" s="1"/>
  <c r="BE127" i="24"/>
  <c r="BT127" i="24" s="1"/>
  <c r="BB170" i="25"/>
  <c r="BS170" i="25" s="1"/>
  <c r="BA170" i="25"/>
  <c r="BC170" i="25"/>
  <c r="BT170" i="25" s="1"/>
  <c r="AT63" i="25"/>
  <c r="AY63" i="25" s="1"/>
  <c r="AU63" i="25"/>
  <c r="BE207" i="24"/>
  <c r="BT207" i="24" s="1"/>
  <c r="BD207" i="24"/>
  <c r="AY207" i="24"/>
  <c r="AZ207" i="24" s="1"/>
  <c r="AT79" i="25"/>
  <c r="AY79" i="25" s="1"/>
  <c r="AU79" i="25"/>
  <c r="AT146" i="25"/>
  <c r="AY146" i="25" s="1"/>
  <c r="AU146" i="25"/>
  <c r="BB206" i="25"/>
  <c r="BS206" i="25" s="1"/>
  <c r="BA206" i="25"/>
  <c r="BC206" i="25"/>
  <c r="BT206" i="25" s="1"/>
  <c r="AT137" i="25"/>
  <c r="AY137" i="25" s="1"/>
  <c r="AU137" i="25"/>
  <c r="AY173" i="24"/>
  <c r="AZ173" i="24" s="1"/>
  <c r="BE173" i="24"/>
  <c r="BT173" i="24" s="1"/>
  <c r="BD173" i="24"/>
  <c r="AT159" i="25"/>
  <c r="AY159" i="25" s="1"/>
  <c r="AU159" i="25"/>
  <c r="AT10" i="25"/>
  <c r="AY10" i="25" s="1"/>
  <c r="AU10" i="25"/>
  <c r="AY49" i="24"/>
  <c r="AZ49" i="24" s="1"/>
  <c r="BD49" i="24"/>
  <c r="BE49" i="24"/>
  <c r="BT49" i="24" s="1"/>
  <c r="AT121" i="25"/>
  <c r="AY121" i="25" s="1"/>
  <c r="AU121" i="25"/>
  <c r="BD77" i="24"/>
  <c r="BE77" i="24"/>
  <c r="BT77" i="24" s="1"/>
  <c r="AY77" i="24"/>
  <c r="AZ77" i="24" s="1"/>
  <c r="BS6" i="24"/>
  <c r="BG6" i="24"/>
  <c r="BM6" i="24" s="1"/>
  <c r="AY196" i="24"/>
  <c r="AZ196" i="24" s="1"/>
  <c r="BD196" i="24"/>
  <c r="BE196" i="24"/>
  <c r="BT196" i="24" s="1"/>
  <c r="BA178" i="25"/>
  <c r="BB178" i="25"/>
  <c r="BS178" i="25" s="1"/>
  <c r="BC178" i="25"/>
  <c r="BT178" i="25" s="1"/>
  <c r="AT141" i="25"/>
  <c r="AY141" i="25" s="1"/>
  <c r="AU141" i="25"/>
  <c r="BA34" i="25"/>
  <c r="BC34" i="25"/>
  <c r="BT34" i="25" s="1"/>
  <c r="BB34" i="25"/>
  <c r="BS34" i="25" s="1"/>
  <c r="BE67" i="24"/>
  <c r="BT67" i="24" s="1"/>
  <c r="BD67" i="24"/>
  <c r="AY67" i="24"/>
  <c r="AZ67" i="24" s="1"/>
  <c r="AT253" i="25"/>
  <c r="AU253" i="25"/>
  <c r="AY88" i="24"/>
  <c r="AZ88" i="24" s="1"/>
  <c r="BE88" i="24"/>
  <c r="BT88" i="24" s="1"/>
  <c r="BD88" i="24"/>
  <c r="BB89" i="25"/>
  <c r="BS89" i="25" s="1"/>
  <c r="BA89" i="25"/>
  <c r="BC89" i="25"/>
  <c r="BT89" i="25" s="1"/>
  <c r="AT294" i="25"/>
  <c r="AU294" i="25"/>
  <c r="BS248" i="24"/>
  <c r="BG248" i="24"/>
  <c r="AT40" i="25"/>
  <c r="AY40" i="25" s="1"/>
  <c r="AU40" i="25"/>
  <c r="BA291" i="25"/>
  <c r="BC291" i="25"/>
  <c r="BT291" i="25" s="1"/>
  <c r="BB291" i="25"/>
  <c r="BS291" i="25" s="1"/>
  <c r="AT9" i="25"/>
  <c r="AY9" i="25" s="1"/>
  <c r="AU9" i="25"/>
  <c r="AT24" i="25"/>
  <c r="AY24" i="25" s="1"/>
  <c r="AU24" i="25"/>
  <c r="BE235" i="24"/>
  <c r="BT235" i="24" s="1"/>
  <c r="BD235" i="24"/>
  <c r="AY235" i="24"/>
  <c r="AZ235" i="24" s="1"/>
  <c r="BE241" i="24"/>
  <c r="BT241" i="24" s="1"/>
  <c r="AY241" i="24"/>
  <c r="AZ241" i="24" s="1"/>
  <c r="BD241" i="24"/>
  <c r="BE74" i="24"/>
  <c r="BT74" i="24" s="1"/>
  <c r="BD74" i="24"/>
  <c r="AY74" i="24"/>
  <c r="AZ74" i="24" s="1"/>
  <c r="BA97" i="25"/>
  <c r="BC97" i="25"/>
  <c r="BT97" i="25" s="1"/>
  <c r="BD261" i="24"/>
  <c r="AY261" i="24"/>
  <c r="AZ261" i="24" s="1"/>
  <c r="BE261" i="24"/>
  <c r="BT261" i="24" s="1"/>
  <c r="BE116" i="24"/>
  <c r="BT116" i="24" s="1"/>
  <c r="BD116" i="24"/>
  <c r="AY116" i="24"/>
  <c r="AZ116" i="24" s="1"/>
  <c r="AT222" i="25"/>
  <c r="AU222" i="25"/>
  <c r="BA238" i="25"/>
  <c r="BC238" i="25"/>
  <c r="BT238" i="25" s="1"/>
  <c r="BB238" i="25"/>
  <c r="BS238" i="25" s="1"/>
  <c r="BD164" i="24"/>
  <c r="BE164" i="24"/>
  <c r="BT164" i="24" s="1"/>
  <c r="AY164" i="24"/>
  <c r="AZ164" i="24" s="1"/>
  <c r="AT53" i="25"/>
  <c r="AY53" i="25" s="1"/>
  <c r="AU53" i="25"/>
  <c r="AT22" i="25"/>
  <c r="AY22" i="25" s="1"/>
  <c r="AU22" i="25"/>
  <c r="AT231" i="25"/>
  <c r="AU231" i="25"/>
  <c r="AT90" i="25"/>
  <c r="AY90" i="25" s="1"/>
  <c r="AU90" i="25"/>
  <c r="BE98" i="24"/>
  <c r="BT98" i="24" s="1"/>
  <c r="BD98" i="24"/>
  <c r="AY98" i="24"/>
  <c r="AZ98" i="24" s="1"/>
  <c r="BD69" i="24"/>
  <c r="AY69" i="24"/>
  <c r="AZ69" i="24" s="1"/>
  <c r="BE69" i="24"/>
  <c r="BT69" i="24" s="1"/>
  <c r="BC94" i="25"/>
  <c r="BT94" i="25" s="1"/>
  <c r="BB94" i="25"/>
  <c r="BS94" i="25" s="1"/>
  <c r="BA94" i="25"/>
  <c r="AY149" i="24"/>
  <c r="AZ149" i="24" s="1"/>
  <c r="BD149" i="24"/>
  <c r="BE149" i="24"/>
  <c r="BT149" i="24" s="1"/>
  <c r="AY64" i="24"/>
  <c r="AZ64" i="24" s="1"/>
  <c r="BE64" i="24"/>
  <c r="BT64" i="24" s="1"/>
  <c r="BD64" i="24"/>
  <c r="AY82" i="24"/>
  <c r="AZ82" i="24" s="1"/>
  <c r="BD82" i="24"/>
  <c r="BE82" i="24"/>
  <c r="BT82" i="24" s="1"/>
  <c r="AY180" i="24"/>
  <c r="AZ180" i="24" s="1"/>
  <c r="BD180" i="24"/>
  <c r="BE180" i="24"/>
  <c r="BT180" i="24" s="1"/>
  <c r="BA167" i="25"/>
  <c r="BC167" i="25"/>
  <c r="BT167" i="25" s="1"/>
  <c r="BB167" i="25"/>
  <c r="BS167" i="25" s="1"/>
  <c r="BG264" i="24"/>
  <c r="BS264" i="24"/>
  <c r="BX264" i="24" s="1"/>
  <c r="BE308" i="24"/>
  <c r="BT308" i="24" s="1"/>
  <c r="AY308" i="24"/>
  <c r="AZ308" i="24" s="1"/>
  <c r="BD308" i="24"/>
  <c r="AT203" i="25"/>
  <c r="AY203" i="25" s="1"/>
  <c r="AU203" i="25"/>
  <c r="BE200" i="24"/>
  <c r="BT200" i="24" s="1"/>
  <c r="AY200" i="24"/>
  <c r="AZ200" i="24" s="1"/>
  <c r="BD200" i="24"/>
  <c r="AT221" i="25"/>
  <c r="AU221" i="25"/>
  <c r="BD170" i="24"/>
  <c r="BE170" i="24"/>
  <c r="BT170" i="24" s="1"/>
  <c r="AY170" i="24"/>
  <c r="AZ170" i="24" s="1"/>
  <c r="BE23" i="24"/>
  <c r="BT23" i="24" s="1"/>
  <c r="BD23" i="24"/>
  <c r="AY23" i="24"/>
  <c r="AZ23" i="24" s="1"/>
  <c r="AY155" i="24"/>
  <c r="AZ155" i="24" s="1"/>
  <c r="BD155" i="24"/>
  <c r="BE155" i="24"/>
  <c r="BT155" i="24" s="1"/>
  <c r="AT116" i="25"/>
  <c r="AY116" i="25" s="1"/>
  <c r="AU116" i="25"/>
  <c r="AT74" i="25"/>
  <c r="AY74" i="25" s="1"/>
  <c r="AU74" i="25"/>
  <c r="AT47" i="25"/>
  <c r="AY47" i="25" s="1"/>
  <c r="AU47" i="25"/>
  <c r="AT298" i="25"/>
  <c r="AU298" i="25"/>
  <c r="BD81" i="24"/>
  <c r="AY81" i="24"/>
  <c r="AZ81" i="24" s="1"/>
  <c r="BE81" i="24"/>
  <c r="BT81" i="24" s="1"/>
  <c r="BB155" i="25"/>
  <c r="BS155" i="25" s="1"/>
  <c r="BC155" i="25"/>
  <c r="BT155" i="25" s="1"/>
  <c r="BA155" i="25"/>
  <c r="AT142" i="25"/>
  <c r="AY142" i="25" s="1"/>
  <c r="AU142" i="25"/>
  <c r="BD43" i="24"/>
  <c r="BE43" i="24"/>
  <c r="BT43" i="24" s="1"/>
  <c r="AY43" i="24"/>
  <c r="AZ43" i="24" s="1"/>
  <c r="BD199" i="24"/>
  <c r="BE199" i="24"/>
  <c r="BT199" i="24" s="1"/>
  <c r="AY199" i="24"/>
  <c r="AZ199" i="24" s="1"/>
  <c r="AY178" i="24"/>
  <c r="AZ178" i="24" s="1"/>
  <c r="BE178" i="24"/>
  <c r="BT178" i="24" s="1"/>
  <c r="BD178" i="24"/>
  <c r="AT132" i="25"/>
  <c r="AY132" i="25" s="1"/>
  <c r="AU132" i="25"/>
  <c r="BA14" i="25"/>
  <c r="BC14" i="25"/>
  <c r="BT14" i="25" s="1"/>
  <c r="BB14" i="25"/>
  <c r="BS14" i="25" s="1"/>
  <c r="AT45" i="25"/>
  <c r="AY45" i="25" s="1"/>
  <c r="AU45" i="25"/>
  <c r="BA192" i="25"/>
  <c r="BC192" i="25"/>
  <c r="BT192" i="25" s="1"/>
  <c r="BB192" i="25"/>
  <c r="BS192" i="25" s="1"/>
  <c r="BC283" i="25"/>
  <c r="BT283" i="25" s="1"/>
  <c r="BA283" i="25"/>
  <c r="BB283" i="25"/>
  <c r="BS283" i="25" s="1"/>
  <c r="BE9" i="24"/>
  <c r="BT9" i="24" s="1"/>
  <c r="AY9" i="24"/>
  <c r="AZ9" i="24" s="1"/>
  <c r="BD9" i="24"/>
  <c r="AT84" i="25"/>
  <c r="AY84" i="25" s="1"/>
  <c r="AU84" i="25"/>
  <c r="BB204" i="25"/>
  <c r="BS204" i="25" s="1"/>
  <c r="BA204" i="25"/>
  <c r="BC204" i="25"/>
  <c r="BT204" i="25" s="1"/>
  <c r="BE194" i="24"/>
  <c r="BT194" i="24" s="1"/>
  <c r="BD194" i="24"/>
  <c r="AY194" i="24"/>
  <c r="AZ194" i="24" s="1"/>
  <c r="AT234" i="25"/>
  <c r="AU234" i="25"/>
  <c r="BE229" i="24"/>
  <c r="BT229" i="24" s="1"/>
  <c r="BD229" i="24"/>
  <c r="AY229" i="24"/>
  <c r="AZ229" i="24" s="1"/>
  <c r="AY201" i="24"/>
  <c r="AZ201" i="24" s="1"/>
  <c r="BE201" i="24"/>
  <c r="BT201" i="24" s="1"/>
  <c r="BD201" i="24"/>
  <c r="BG191" i="24"/>
  <c r="BS191" i="24"/>
  <c r="BX191" i="24" s="1"/>
  <c r="AT83" i="25"/>
  <c r="AY83" i="25" s="1"/>
  <c r="AU83" i="25"/>
  <c r="BE42" i="24"/>
  <c r="BT42" i="24" s="1"/>
  <c r="AY42" i="24"/>
  <c r="AZ42" i="24" s="1"/>
  <c r="BD42" i="24"/>
  <c r="BE139" i="24"/>
  <c r="BT139" i="24" s="1"/>
  <c r="BD139" i="24"/>
  <c r="AY139" i="24"/>
  <c r="AZ139" i="24" s="1"/>
  <c r="AT35" i="25"/>
  <c r="AY35" i="25" s="1"/>
  <c r="AU35" i="25"/>
  <c r="AY278" i="24"/>
  <c r="AZ278" i="24" s="1"/>
  <c r="BE278" i="24"/>
  <c r="BT278" i="24" s="1"/>
  <c r="BD278" i="24"/>
  <c r="AT230" i="25"/>
  <c r="AU230" i="25"/>
  <c r="BE275" i="24"/>
  <c r="BT275" i="24" s="1"/>
  <c r="AY275" i="24"/>
  <c r="AZ275" i="24" s="1"/>
  <c r="BD275" i="24"/>
  <c r="AT236" i="25"/>
  <c r="AU236" i="25"/>
  <c r="AT123" i="25"/>
  <c r="AY123" i="25" s="1"/>
  <c r="AU123" i="25"/>
  <c r="BE126" i="24"/>
  <c r="BT126" i="24" s="1"/>
  <c r="AY126" i="24"/>
  <c r="AZ126" i="24" s="1"/>
  <c r="BD126" i="24"/>
  <c r="BE284" i="24"/>
  <c r="BT284" i="24" s="1"/>
  <c r="AY284" i="24"/>
  <c r="AZ284" i="24" s="1"/>
  <c r="BD284" i="24"/>
  <c r="BD30" i="24"/>
  <c r="AY30" i="24"/>
  <c r="AZ30" i="24" s="1"/>
  <c r="BE30" i="24"/>
  <c r="BT30" i="24" s="1"/>
  <c r="AY114" i="24"/>
  <c r="AZ114" i="24" s="1"/>
  <c r="BE114" i="24"/>
  <c r="BT114" i="24" s="1"/>
  <c r="BD114" i="24"/>
  <c r="AT250" i="25"/>
  <c r="AU250" i="25"/>
  <c r="AT33" i="25"/>
  <c r="AY33" i="25" s="1"/>
  <c r="AU33" i="25"/>
  <c r="BD136" i="24"/>
  <c r="AY136" i="24"/>
  <c r="AZ136" i="24" s="1"/>
  <c r="BE136" i="24"/>
  <c r="BT136" i="24" s="1"/>
  <c r="AT112" i="25"/>
  <c r="AY112" i="25" s="1"/>
  <c r="AU112" i="25"/>
  <c r="BD177" i="24"/>
  <c r="AY177" i="24"/>
  <c r="AZ177" i="24" s="1"/>
  <c r="BE177" i="24"/>
  <c r="BT177" i="24" s="1"/>
  <c r="AT7" i="25"/>
  <c r="AY7" i="25" s="1"/>
  <c r="AU7" i="25"/>
  <c r="AT256" i="25"/>
  <c r="AU256" i="25"/>
  <c r="BA30" i="25"/>
  <c r="BB30" i="25"/>
  <c r="BS30" i="25" s="1"/>
  <c r="BC30" i="25"/>
  <c r="BT30" i="25" s="1"/>
  <c r="BA113" i="25"/>
  <c r="BC113" i="25"/>
  <c r="BT113" i="25" s="1"/>
  <c r="BB113" i="25"/>
  <c r="BS113" i="25" s="1"/>
  <c r="AY203" i="24"/>
  <c r="AZ203" i="24" s="1"/>
  <c r="BD203" i="24"/>
  <c r="BE203" i="24"/>
  <c r="BT203" i="24" s="1"/>
  <c r="AT8" i="25"/>
  <c r="AY8" i="25" s="1"/>
  <c r="AU8" i="25"/>
  <c r="BE63" i="24"/>
  <c r="BT63" i="24" s="1"/>
  <c r="BD63" i="24"/>
  <c r="AY63" i="24"/>
  <c r="AZ63" i="24" s="1"/>
  <c r="AT15" i="25"/>
  <c r="AY15" i="25" s="1"/>
  <c r="AU15" i="25"/>
  <c r="AT239" i="25"/>
  <c r="AU239" i="25"/>
  <c r="BD76" i="24"/>
  <c r="BE76" i="24"/>
  <c r="BT76" i="24" s="1"/>
  <c r="AY76" i="24"/>
  <c r="AZ76" i="24" s="1"/>
  <c r="BG44" i="24"/>
  <c r="BM44" i="24" s="1"/>
  <c r="BS44" i="24"/>
  <c r="BV44" i="24" s="1"/>
  <c r="BX44" i="24" s="1"/>
  <c r="AT70" i="25"/>
  <c r="AY70" i="25" s="1"/>
  <c r="AU70" i="25"/>
  <c r="AT76" i="25"/>
  <c r="AY76" i="25" s="1"/>
  <c r="AU76" i="25"/>
  <c r="BE27" i="24"/>
  <c r="BT27" i="24" s="1"/>
  <c r="AY27" i="24"/>
  <c r="AZ27" i="24" s="1"/>
  <c r="BD27" i="24"/>
  <c r="BD301" i="24"/>
  <c r="BE301" i="24"/>
  <c r="BT301" i="24" s="1"/>
  <c r="AY301" i="24"/>
  <c r="AZ301" i="24" s="1"/>
  <c r="BE17" i="24"/>
  <c r="BT17" i="24" s="1"/>
  <c r="BD17" i="24"/>
  <c r="AY17" i="24"/>
  <c r="AZ17" i="24" s="1"/>
  <c r="BE156" i="24"/>
  <c r="BT156" i="24" s="1"/>
  <c r="BD156" i="24"/>
  <c r="AY156" i="24"/>
  <c r="AZ156" i="24" s="1"/>
  <c r="AY174" i="24"/>
  <c r="AZ174" i="24" s="1"/>
  <c r="BE174" i="24"/>
  <c r="BT174" i="24" s="1"/>
  <c r="BD174" i="24"/>
  <c r="BE290" i="24"/>
  <c r="BT290" i="24" s="1"/>
  <c r="AY290" i="24"/>
  <c r="AZ290" i="24" s="1"/>
  <c r="BD290" i="24"/>
  <c r="AT202" i="25"/>
  <c r="AY202" i="25" s="1"/>
  <c r="AU202" i="25"/>
  <c r="BD131" i="24"/>
  <c r="AY131" i="24"/>
  <c r="AZ131" i="24" s="1"/>
  <c r="BE131" i="24"/>
  <c r="BT131" i="24" s="1"/>
  <c r="AY249" i="24"/>
  <c r="AZ249" i="24" s="1"/>
  <c r="BE249" i="24"/>
  <c r="BT249" i="24" s="1"/>
  <c r="BD249" i="24"/>
  <c r="BD183" i="24"/>
  <c r="AY183" i="24"/>
  <c r="AZ183" i="24" s="1"/>
  <c r="BE183" i="24"/>
  <c r="BT183" i="24" s="1"/>
  <c r="BE35" i="24"/>
  <c r="BT35" i="24" s="1"/>
  <c r="BD35" i="24"/>
  <c r="AY35" i="24"/>
  <c r="AZ35" i="24" s="1"/>
  <c r="BE89" i="24"/>
  <c r="BT89" i="24" s="1"/>
  <c r="BD89" i="24"/>
  <c r="AY89" i="24"/>
  <c r="AZ89" i="24" s="1"/>
  <c r="AT180" i="25"/>
  <c r="AY180" i="25" s="1"/>
  <c r="AU180" i="25"/>
  <c r="BC21" i="25"/>
  <c r="BT21" i="25" s="1"/>
  <c r="BB21" i="25"/>
  <c r="BS21" i="25" s="1"/>
  <c r="BA21" i="25"/>
  <c r="AT223" i="25"/>
  <c r="AU223" i="25"/>
  <c r="BB190" i="25"/>
  <c r="BS190" i="25" s="1"/>
  <c r="BC190" i="25"/>
  <c r="BT190" i="25" s="1"/>
  <c r="BA190" i="25"/>
  <c r="BE268" i="24"/>
  <c r="BT268" i="24" s="1"/>
  <c r="BD268" i="24"/>
  <c r="AY268" i="24"/>
  <c r="AZ268" i="24" s="1"/>
  <c r="AT64" i="25"/>
  <c r="AY64" i="25" s="1"/>
  <c r="AU64" i="25"/>
  <c r="AT200" i="25"/>
  <c r="AY200" i="25" s="1"/>
  <c r="AU200" i="25"/>
  <c r="AT55" i="25"/>
  <c r="AY55" i="25" s="1"/>
  <c r="AU55" i="25"/>
  <c r="AT122" i="25"/>
  <c r="AY122" i="25" s="1"/>
  <c r="AU122" i="25"/>
  <c r="AT73" i="25"/>
  <c r="AY73" i="25" s="1"/>
  <c r="AU73" i="25"/>
  <c r="AY205" i="24"/>
  <c r="AZ205" i="24" s="1"/>
  <c r="BE205" i="24"/>
  <c r="BT205" i="24" s="1"/>
  <c r="BD205" i="24"/>
  <c r="BE309" i="24"/>
  <c r="BT309" i="24" s="1"/>
  <c r="AY309" i="24"/>
  <c r="AZ309" i="24" s="1"/>
  <c r="BD309" i="24"/>
  <c r="AT72" i="25"/>
  <c r="AY72" i="25" s="1"/>
  <c r="AU72" i="25"/>
  <c r="BG259" i="24"/>
  <c r="BS259" i="24"/>
  <c r="BC82" i="25"/>
  <c r="BT82" i="25" s="1"/>
  <c r="BB82" i="25"/>
  <c r="BS82" i="25" s="1"/>
  <c r="BA82" i="25"/>
  <c r="BE193" i="24"/>
  <c r="BT193" i="24" s="1"/>
  <c r="BD193" i="24"/>
  <c r="AY193" i="24"/>
  <c r="AZ193" i="24" s="1"/>
  <c r="AT125" i="25"/>
  <c r="AY125" i="25" s="1"/>
  <c r="AU125" i="25"/>
  <c r="BE65" i="24"/>
  <c r="BT65" i="24" s="1"/>
  <c r="BD65" i="24"/>
  <c r="AY65" i="24"/>
  <c r="AZ65" i="24" s="1"/>
  <c r="AT37" i="25"/>
  <c r="AY37" i="25" s="1"/>
  <c r="AU37" i="25"/>
  <c r="BE110" i="25"/>
  <c r="BR110" i="25"/>
  <c r="BX110" i="25" s="1"/>
  <c r="BD97" i="24"/>
  <c r="BE97" i="24"/>
  <c r="BT97" i="24" s="1"/>
  <c r="AY97" i="24"/>
  <c r="AZ97" i="24" s="1"/>
  <c r="AY243" i="24"/>
  <c r="AZ243" i="24" s="1"/>
  <c r="BD243" i="24"/>
  <c r="BE243" i="24"/>
  <c r="BT243" i="24" s="1"/>
  <c r="BA259" i="25"/>
  <c r="BB259" i="25"/>
  <c r="BS259" i="25" s="1"/>
  <c r="BC259" i="25"/>
  <c r="BT259" i="25" s="1"/>
  <c r="BG294" i="24"/>
  <c r="BS294" i="24"/>
  <c r="BX294" i="24" s="1"/>
  <c r="AT277" i="25"/>
  <c r="AU277" i="25"/>
  <c r="BD87" i="24"/>
  <c r="AY87" i="24"/>
  <c r="AZ87" i="24" s="1"/>
  <c r="BE87" i="24"/>
  <c r="BT87" i="24" s="1"/>
  <c r="AT75" i="25"/>
  <c r="AY75" i="25" s="1"/>
  <c r="AU75" i="25"/>
  <c r="AT268" i="25"/>
  <c r="AU268" i="25"/>
  <c r="AT46" i="25"/>
  <c r="AY46" i="25" s="1"/>
  <c r="AU46" i="25"/>
  <c r="BA161" i="25"/>
  <c r="BC161" i="25"/>
  <c r="BT161" i="25" s="1"/>
  <c r="BB161" i="25"/>
  <c r="BS161" i="25" s="1"/>
  <c r="AT184" i="25"/>
  <c r="AY184" i="25" s="1"/>
  <c r="AU184" i="25"/>
  <c r="AT80" i="25"/>
  <c r="AY80" i="25" s="1"/>
  <c r="AU80" i="25"/>
  <c r="BE46" i="24"/>
  <c r="BT46" i="24" s="1"/>
  <c r="AY46" i="24"/>
  <c r="AZ46" i="24" s="1"/>
  <c r="BD46" i="24"/>
  <c r="BE47" i="24"/>
  <c r="BT47" i="24" s="1"/>
  <c r="BD47" i="24"/>
  <c r="AY47" i="24"/>
  <c r="AZ47" i="24" s="1"/>
  <c r="AT175" i="25"/>
  <c r="AY175" i="25" s="1"/>
  <c r="AU175" i="25"/>
  <c r="BE197" i="24"/>
  <c r="BT197" i="24" s="1"/>
  <c r="BD197" i="24"/>
  <c r="AY197" i="24"/>
  <c r="AZ197" i="24" s="1"/>
  <c r="AY159" i="24"/>
  <c r="AZ159" i="24" s="1"/>
  <c r="BD159" i="24"/>
  <c r="BE159" i="24"/>
  <c r="BT159" i="24" s="1"/>
  <c r="AT56" i="25"/>
  <c r="AY56" i="25" s="1"/>
  <c r="AU56" i="25"/>
  <c r="BC314" i="25"/>
  <c r="BT314" i="25" s="1"/>
  <c r="BB314" i="25"/>
  <c r="BS314" i="25" s="1"/>
  <c r="BA314" i="25"/>
  <c r="AT313" i="25"/>
  <c r="AU313" i="25"/>
  <c r="BE79" i="24"/>
  <c r="BT79" i="24" s="1"/>
  <c r="BD79" i="24"/>
  <c r="AY79" i="24"/>
  <c r="AZ79" i="24" s="1"/>
  <c r="BC13" i="25"/>
  <c r="BT13" i="25" s="1"/>
  <c r="BB13" i="25"/>
  <c r="BS13" i="25" s="1"/>
  <c r="BA13" i="25"/>
  <c r="AY93" i="24"/>
  <c r="AZ93" i="24" s="1"/>
  <c r="BE93" i="24"/>
  <c r="BT93" i="24" s="1"/>
  <c r="BD93" i="24"/>
  <c r="AT23" i="25"/>
  <c r="AY23" i="25" s="1"/>
  <c r="AU23" i="25"/>
  <c r="AT207" i="25"/>
  <c r="AY207" i="25" s="1"/>
  <c r="AU207" i="25"/>
  <c r="BD286" i="24"/>
  <c r="AY286" i="24"/>
  <c r="AZ286" i="24" s="1"/>
  <c r="BE286" i="24"/>
  <c r="BT286" i="24" s="1"/>
  <c r="AT36" i="25"/>
  <c r="AY36" i="25" s="1"/>
  <c r="AU36" i="25"/>
  <c r="AT27" i="25"/>
  <c r="AY27" i="25" s="1"/>
  <c r="AU27" i="25"/>
  <c r="BE52" i="24"/>
  <c r="BT52" i="24" s="1"/>
  <c r="AY52" i="24"/>
  <c r="AZ52" i="24" s="1"/>
  <c r="BD52" i="24"/>
  <c r="AT12" i="25"/>
  <c r="AY12" i="25" s="1"/>
  <c r="AU12" i="25"/>
  <c r="BE181" i="24"/>
  <c r="BT181" i="24" s="1"/>
  <c r="BD181" i="24"/>
  <c r="AY181" i="24"/>
  <c r="AZ181" i="24" s="1"/>
  <c r="AT19" i="25"/>
  <c r="AY19" i="25" s="1"/>
  <c r="AU19" i="25"/>
  <c r="BC148" i="25"/>
  <c r="BT148" i="25" s="1"/>
  <c r="BA148" i="25"/>
  <c r="BB148" i="25"/>
  <c r="BS148" i="25" s="1"/>
  <c r="BD176" i="24"/>
  <c r="AY176" i="24"/>
  <c r="AZ176" i="24" s="1"/>
  <c r="BE176" i="24"/>
  <c r="BT176" i="24" s="1"/>
  <c r="BG101" i="24"/>
  <c r="BM101" i="24" s="1"/>
  <c r="BS101" i="24"/>
  <c r="BV101" i="24" s="1"/>
  <c r="BX101" i="24" s="1"/>
  <c r="BE217" i="24"/>
  <c r="BT217" i="24" s="1"/>
  <c r="BD217" i="24"/>
  <c r="AY217" i="24"/>
  <c r="AZ217" i="24" s="1"/>
  <c r="BD274" i="24"/>
  <c r="AY274" i="24"/>
  <c r="AZ274" i="24" s="1"/>
  <c r="BE274" i="24"/>
  <c r="BT274" i="24" s="1"/>
  <c r="BA174" i="25"/>
  <c r="BB174" i="25"/>
  <c r="BS174" i="25" s="1"/>
  <c r="BC174" i="25"/>
  <c r="BT174" i="25" s="1"/>
  <c r="BD289" i="24"/>
  <c r="AY289" i="24"/>
  <c r="AZ289" i="24" s="1"/>
  <c r="BE289" i="24"/>
  <c r="BT289" i="24" s="1"/>
  <c r="BE86" i="24"/>
  <c r="BT86" i="24" s="1"/>
  <c r="BD86" i="24"/>
  <c r="AY86" i="24"/>
  <c r="AZ86" i="24" s="1"/>
  <c r="AT44" i="25"/>
  <c r="AY44" i="25" s="1"/>
  <c r="AU44" i="25"/>
  <c r="BS7" i="24"/>
  <c r="BV7" i="24" s="1"/>
  <c r="BX7" i="24" s="1"/>
  <c r="BG7" i="24"/>
  <c r="BM7" i="24" s="1"/>
  <c r="BD270" i="24"/>
  <c r="BE270" i="24"/>
  <c r="BT270" i="24" s="1"/>
  <c r="AY270" i="24"/>
  <c r="AZ270" i="24" s="1"/>
  <c r="AT284" i="25"/>
  <c r="AU284" i="25"/>
  <c r="BC71" i="25"/>
  <c r="BT71" i="25" s="1"/>
  <c r="BB71" i="25"/>
  <c r="BS71" i="25" s="1"/>
  <c r="BA71" i="25"/>
  <c r="AT126" i="25"/>
  <c r="AY126" i="25" s="1"/>
  <c r="AU126" i="25"/>
  <c r="AY304" i="24"/>
  <c r="AZ304" i="24" s="1"/>
  <c r="BE304" i="24"/>
  <c r="BT304" i="24" s="1"/>
  <c r="BD304" i="24"/>
  <c r="AT168" i="25"/>
  <c r="AY168" i="25" s="1"/>
  <c r="AU168" i="25"/>
  <c r="BA96" i="25"/>
  <c r="BB96" i="25"/>
  <c r="BS96" i="25" s="1"/>
  <c r="BC96" i="25"/>
  <c r="BT96" i="25" s="1"/>
  <c r="AT145" i="25"/>
  <c r="AY145" i="25" s="1"/>
  <c r="AU145" i="25"/>
  <c r="BE189" i="24"/>
  <c r="BT189" i="24" s="1"/>
  <c r="AY189" i="24"/>
  <c r="AZ189" i="24" s="1"/>
  <c r="BD189" i="24"/>
  <c r="AT150" i="25"/>
  <c r="AY150" i="25" s="1"/>
  <c r="AU150" i="25"/>
  <c r="AY230" i="24"/>
  <c r="AZ230" i="24" s="1"/>
  <c r="BE230" i="24"/>
  <c r="BT230" i="24" s="1"/>
  <c r="BD230" i="24"/>
  <c r="BA240" i="25"/>
  <c r="BC240" i="25"/>
  <c r="BT240" i="25" s="1"/>
  <c r="BB240" i="25"/>
  <c r="BS240" i="25" s="1"/>
  <c r="AT98" i="25"/>
  <c r="AY98" i="25" s="1"/>
  <c r="AU98" i="25"/>
  <c r="AT228" i="25"/>
  <c r="AU228" i="25"/>
  <c r="BE187" i="24"/>
  <c r="BT187" i="24" s="1"/>
  <c r="AY187" i="24"/>
  <c r="AZ187" i="24" s="1"/>
  <c r="BD187" i="24"/>
  <c r="BD300" i="24"/>
  <c r="BE300" i="24"/>
  <c r="BT300" i="24" s="1"/>
  <c r="AY300" i="24"/>
  <c r="AZ300" i="24" s="1"/>
  <c r="AY168" i="24"/>
  <c r="AZ168" i="24" s="1"/>
  <c r="BE168" i="24"/>
  <c r="BT168" i="24" s="1"/>
  <c r="BD168" i="24"/>
  <c r="BD113" i="24"/>
  <c r="AY113" i="24"/>
  <c r="AZ113" i="24" s="1"/>
  <c r="BE113" i="24"/>
  <c r="BT113" i="24" s="1"/>
  <c r="BE15" i="24"/>
  <c r="BT15" i="24" s="1"/>
  <c r="BD15" i="24"/>
  <c r="AY15" i="24"/>
  <c r="AZ15" i="24" s="1"/>
  <c r="BE208" i="24"/>
  <c r="BT208" i="24" s="1"/>
  <c r="BD208" i="24"/>
  <c r="AY208" i="24"/>
  <c r="AZ208" i="24" s="1"/>
  <c r="AT144" i="25"/>
  <c r="AY144" i="25" s="1"/>
  <c r="AU144" i="25"/>
  <c r="BB247" i="25"/>
  <c r="BS247" i="25" s="1"/>
  <c r="BA247" i="25"/>
  <c r="BC247" i="25"/>
  <c r="BT247" i="25" s="1"/>
  <c r="AT51" i="25"/>
  <c r="AY51" i="25" s="1"/>
  <c r="AU51" i="25"/>
  <c r="AT61" i="25"/>
  <c r="AY61" i="25" s="1"/>
  <c r="AU61" i="25"/>
  <c r="AY293" i="24"/>
  <c r="AZ293" i="24" s="1"/>
  <c r="BD293" i="24"/>
  <c r="BE293" i="24"/>
  <c r="BT293" i="24" s="1"/>
  <c r="BE288" i="24"/>
  <c r="BT288" i="24" s="1"/>
  <c r="AY288" i="24"/>
  <c r="AZ288" i="24" s="1"/>
  <c r="BD288" i="24"/>
  <c r="BC267" i="25"/>
  <c r="BT267" i="25" s="1"/>
  <c r="BB267" i="25"/>
  <c r="BS267" i="25" s="1"/>
  <c r="BA267" i="25"/>
  <c r="BE118" i="24"/>
  <c r="BT118" i="24" s="1"/>
  <c r="BD118" i="24"/>
  <c r="AY118" i="24"/>
  <c r="AZ118" i="24" s="1"/>
  <c r="BE266" i="24"/>
  <c r="BT266" i="24" s="1"/>
  <c r="AY266" i="24"/>
  <c r="AZ266" i="24" s="1"/>
  <c r="BD266" i="24"/>
  <c r="AT208" i="25"/>
  <c r="AY208" i="25" s="1"/>
  <c r="AU208" i="25"/>
  <c r="BB29" i="25"/>
  <c r="BS29" i="25" s="1"/>
  <c r="BC29" i="25"/>
  <c r="BT29" i="25" s="1"/>
  <c r="BA29" i="25"/>
  <c r="AT105" i="25"/>
  <c r="B140" i="2"/>
  <c r="B130" i="2"/>
  <c r="AU105" i="25"/>
  <c r="BD175" i="24"/>
  <c r="AY175" i="24"/>
  <c r="AZ175" i="24" s="1"/>
  <c r="BE175" i="24"/>
  <c r="BT175" i="24" s="1"/>
  <c r="AT42" i="25"/>
  <c r="AY42" i="25" s="1"/>
  <c r="AU42" i="25"/>
  <c r="AT171" i="25"/>
  <c r="AY171" i="25" s="1"/>
  <c r="AU171" i="25"/>
  <c r="AY202" i="24"/>
  <c r="AZ202" i="24" s="1"/>
  <c r="BE202" i="24"/>
  <c r="BT202" i="24" s="1"/>
  <c r="BD202" i="24"/>
  <c r="BD206" i="24"/>
  <c r="AY206" i="24"/>
  <c r="AZ206" i="24" s="1"/>
  <c r="BE206" i="24"/>
  <c r="BT206" i="24" s="1"/>
  <c r="AY188" i="24"/>
  <c r="AZ188" i="24" s="1"/>
  <c r="BD188" i="24"/>
  <c r="BE188" i="24"/>
  <c r="BT188" i="24" s="1"/>
  <c r="AY66" i="24"/>
  <c r="AZ66" i="24" s="1"/>
  <c r="BE66" i="24"/>
  <c r="BT66" i="24" s="1"/>
  <c r="BD66" i="24"/>
  <c r="BE179" i="24"/>
  <c r="BT179" i="24" s="1"/>
  <c r="BD179" i="24"/>
  <c r="AY179" i="24"/>
  <c r="AZ179" i="24" s="1"/>
  <c r="BD153" i="24"/>
  <c r="AY153" i="24"/>
  <c r="AZ153" i="24" s="1"/>
  <c r="BE153" i="24"/>
  <c r="BT153" i="24" s="1"/>
  <c r="AT86" i="25"/>
  <c r="AY86" i="25" s="1"/>
  <c r="AU86" i="25"/>
  <c r="BA11" i="25"/>
  <c r="BB11" i="25"/>
  <c r="BS11" i="25" s="1"/>
  <c r="BC11" i="25"/>
  <c r="BT11" i="25" s="1"/>
  <c r="AT188" i="25"/>
  <c r="AY188" i="25" s="1"/>
  <c r="AU188" i="25"/>
  <c r="BE133" i="24"/>
  <c r="BT133" i="24" s="1"/>
  <c r="BD133" i="24"/>
  <c r="AY133" i="24"/>
  <c r="AZ133" i="24" s="1"/>
  <c r="AY246" i="24"/>
  <c r="AZ246" i="24" s="1"/>
  <c r="BD246" i="24"/>
  <c r="BE246" i="24"/>
  <c r="BT246" i="24" s="1"/>
  <c r="AY209" i="24"/>
  <c r="AZ209" i="24" s="1"/>
  <c r="BE209" i="24"/>
  <c r="BT209" i="24" s="1"/>
  <c r="BD209" i="24"/>
  <c r="BB131" i="25"/>
  <c r="BS131" i="25" s="1"/>
  <c r="BC131" i="25"/>
  <c r="BT131" i="25" s="1"/>
  <c r="BA131" i="25"/>
  <c r="AT43" i="25"/>
  <c r="AY43" i="25" s="1"/>
  <c r="AU43" i="25"/>
  <c r="BG240" i="24"/>
  <c r="BS240" i="24"/>
  <c r="AT102" i="25"/>
  <c r="AY102" i="25" s="1"/>
  <c r="AU102" i="25"/>
  <c r="AY25" i="24"/>
  <c r="AZ25" i="24" s="1"/>
  <c r="BD25" i="24"/>
  <c r="BE25" i="24"/>
  <c r="BT25" i="24" s="1"/>
  <c r="AO78" i="29" l="1"/>
  <c r="AO442" i="29"/>
  <c r="AO110" i="29"/>
  <c r="AO231" i="29"/>
  <c r="AO323" i="29"/>
  <c r="AO541" i="29"/>
  <c r="AO544" i="29"/>
  <c r="AO352" i="29"/>
  <c r="AO508" i="29"/>
  <c r="U508" i="29" s="1"/>
  <c r="AO521" i="29"/>
  <c r="U521" i="29" s="1"/>
  <c r="BX240" i="24"/>
  <c r="AO63" i="29"/>
  <c r="U63" i="29" s="1"/>
  <c r="AO584" i="29"/>
  <c r="V584" i="29" s="1"/>
  <c r="AO380" i="29"/>
  <c r="V380" i="29" s="1"/>
  <c r="AO591" i="29"/>
  <c r="U591" i="29" s="1"/>
  <c r="AO576" i="29"/>
  <c r="V576" i="29" s="1"/>
  <c r="AO163" i="29"/>
  <c r="V163" i="29" s="1"/>
  <c r="AO485" i="29"/>
  <c r="U485" i="29" s="1"/>
  <c r="AO478" i="29"/>
  <c r="U478" i="29" s="1"/>
  <c r="AO304" i="29"/>
  <c r="U304" i="29" s="1"/>
  <c r="BG120" i="24"/>
  <c r="BY120" i="24" s="1"/>
  <c r="CA120" i="24" s="1"/>
  <c r="CB120" i="24" s="1"/>
  <c r="BC265" i="25"/>
  <c r="BT265" i="25" s="1"/>
  <c r="BA265" i="25"/>
  <c r="BE265" i="25" s="1"/>
  <c r="AO271" i="29"/>
  <c r="U271" i="29" s="1"/>
  <c r="AO566" i="29"/>
  <c r="V566" i="29" s="1"/>
  <c r="AO181" i="29"/>
  <c r="U181" i="29" s="1"/>
  <c r="AO261" i="29"/>
  <c r="V261" i="29" s="1"/>
  <c r="AO279" i="29"/>
  <c r="V279" i="29" s="1"/>
  <c r="AO59" i="29"/>
  <c r="U59" i="29" s="1"/>
  <c r="AO253" i="29"/>
  <c r="V253" i="29" s="1"/>
  <c r="AO393" i="29"/>
  <c r="U393" i="29" s="1"/>
  <c r="AO64" i="29"/>
  <c r="V64" i="29" s="1"/>
  <c r="AO445" i="29"/>
  <c r="U445" i="29" s="1"/>
  <c r="AO551" i="29"/>
  <c r="U551" i="29" s="1"/>
  <c r="AO66" i="29"/>
  <c r="U66" i="29" s="1"/>
  <c r="AO337" i="29"/>
  <c r="U337" i="29" s="1"/>
  <c r="AO606" i="29"/>
  <c r="V606" i="29" s="1"/>
  <c r="AO363" i="29"/>
  <c r="U363" i="29" s="1"/>
  <c r="AO483" i="29"/>
  <c r="V483" i="29" s="1"/>
  <c r="AO223" i="29"/>
  <c r="V223" i="29" s="1"/>
  <c r="AO137" i="29"/>
  <c r="V137" i="29" s="1"/>
  <c r="AO225" i="29"/>
  <c r="V225" i="29" s="1"/>
  <c r="AO602" i="29"/>
  <c r="U602" i="29" s="1"/>
  <c r="AO113" i="29"/>
  <c r="V113" i="29" s="1"/>
  <c r="AO371" i="29"/>
  <c r="U371" i="29" s="1"/>
  <c r="AO536" i="29"/>
  <c r="U536" i="29" s="1"/>
  <c r="AO248" i="29"/>
  <c r="V248" i="29" s="1"/>
  <c r="AO74" i="29"/>
  <c r="U74" i="29" s="1"/>
  <c r="AO46" i="29"/>
  <c r="U46" i="29" s="1"/>
  <c r="AO212" i="29"/>
  <c r="U212" i="29" s="1"/>
  <c r="AO148" i="29"/>
  <c r="V148" i="29" s="1"/>
  <c r="AO24" i="29"/>
  <c r="V24" i="29" s="1"/>
  <c r="AO206" i="29"/>
  <c r="U206" i="29" s="1"/>
  <c r="AO374" i="29"/>
  <c r="U374" i="29" s="1"/>
  <c r="AO85" i="29"/>
  <c r="V85" i="29" s="1"/>
  <c r="AO159" i="29"/>
  <c r="U159" i="29" s="1"/>
  <c r="BG283" i="24"/>
  <c r="BY283" i="24" s="1"/>
  <c r="CA283" i="24" s="1"/>
  <c r="CB283" i="24" s="1"/>
  <c r="CB292" i="24"/>
  <c r="CF292" i="24"/>
  <c r="BS12" i="24"/>
  <c r="BV12" i="24" s="1"/>
  <c r="BX12" i="24" s="1"/>
  <c r="BS219" i="24"/>
  <c r="BX219" i="24" s="1"/>
  <c r="AO106" i="29"/>
  <c r="U106" i="29" s="1"/>
  <c r="BS147" i="24"/>
  <c r="BX147" i="24" s="1"/>
  <c r="BS242" i="24"/>
  <c r="BX242" i="24" s="1"/>
  <c r="BX260" i="24"/>
  <c r="BG18" i="24"/>
  <c r="BM18" i="24" s="1"/>
  <c r="BY18" i="24" s="1"/>
  <c r="CA18" i="24" s="1"/>
  <c r="CB18" i="24" s="1"/>
  <c r="BS34" i="24"/>
  <c r="BV34" i="24" s="1"/>
  <c r="BX34" i="24" s="1"/>
  <c r="BA154" i="25"/>
  <c r="BE154" i="25" s="1"/>
  <c r="BC154" i="25"/>
  <c r="BT154" i="25" s="1"/>
  <c r="BS265" i="24"/>
  <c r="BX265" i="24" s="1"/>
  <c r="BX259" i="24"/>
  <c r="BX283" i="24"/>
  <c r="BG121" i="24"/>
  <c r="BM121" i="24" s="1"/>
  <c r="BN121" i="24" s="1"/>
  <c r="BX120" i="24"/>
  <c r="BV26" i="24"/>
  <c r="BX26" i="24" s="1"/>
  <c r="BX111" i="24"/>
  <c r="AO49" i="29"/>
  <c r="V49" i="29" s="1"/>
  <c r="AO397" i="29"/>
  <c r="U397" i="29" s="1"/>
  <c r="AO510" i="29"/>
  <c r="U510" i="29" s="1"/>
  <c r="AO194" i="29"/>
  <c r="V194" i="29" s="1"/>
  <c r="AO284" i="29"/>
  <c r="V284" i="29" s="1"/>
  <c r="AO454" i="29"/>
  <c r="U454" i="29" s="1"/>
  <c r="AO384" i="29"/>
  <c r="U384" i="29" s="1"/>
  <c r="AO340" i="29"/>
  <c r="U340" i="29" s="1"/>
  <c r="AO98" i="29"/>
  <c r="V98" i="29" s="1"/>
  <c r="AO107" i="29"/>
  <c r="V107" i="29" s="1"/>
  <c r="AO127" i="29"/>
  <c r="U127" i="29" s="1"/>
  <c r="AO289" i="29"/>
  <c r="V289" i="29" s="1"/>
  <c r="BX152" i="24"/>
  <c r="AO73" i="29"/>
  <c r="V73" i="29" s="1"/>
  <c r="AO22" i="29"/>
  <c r="U22" i="29" s="1"/>
  <c r="AO367" i="29"/>
  <c r="U367" i="29" s="1"/>
  <c r="AO123" i="29"/>
  <c r="V123" i="29" s="1"/>
  <c r="AO470" i="29"/>
  <c r="U470" i="29" s="1"/>
  <c r="AO161" i="29"/>
  <c r="U161" i="29" s="1"/>
  <c r="AO222" i="29"/>
  <c r="V222" i="29" s="1"/>
  <c r="AO379" i="29"/>
  <c r="V379" i="29" s="1"/>
  <c r="AO298" i="29"/>
  <c r="U298" i="29" s="1"/>
  <c r="AO257" i="29"/>
  <c r="U257" i="29" s="1"/>
  <c r="AO417" i="29"/>
  <c r="V417" i="29" s="1"/>
  <c r="AO603" i="29"/>
  <c r="V603" i="29" s="1"/>
  <c r="AO229" i="29"/>
  <c r="U229" i="29" s="1"/>
  <c r="AO471" i="29"/>
  <c r="U471" i="29" s="1"/>
  <c r="AO152" i="29"/>
  <c r="U152" i="29" s="1"/>
  <c r="AO590" i="29"/>
  <c r="U590" i="29" s="1"/>
  <c r="AO558" i="29"/>
  <c r="U558" i="29" s="1"/>
  <c r="AO111" i="29"/>
  <c r="V111" i="29" s="1"/>
  <c r="AO391" i="29"/>
  <c r="U391" i="29" s="1"/>
  <c r="AO557" i="29"/>
  <c r="V557" i="29" s="1"/>
  <c r="AO361" i="29"/>
  <c r="U361" i="29" s="1"/>
  <c r="AO515" i="29"/>
  <c r="V515" i="29" s="1"/>
  <c r="AO233" i="29"/>
  <c r="U233" i="29" s="1"/>
  <c r="AO327" i="29"/>
  <c r="U327" i="29" s="1"/>
  <c r="AO596" i="29"/>
  <c r="U596" i="29" s="1"/>
  <c r="AO373" i="29"/>
  <c r="V373" i="29" s="1"/>
  <c r="AO54" i="29"/>
  <c r="U54" i="29" s="1"/>
  <c r="AO613" i="29"/>
  <c r="U613" i="29" s="1"/>
  <c r="AO493" i="29"/>
  <c r="V493" i="29" s="1"/>
  <c r="AO475" i="29"/>
  <c r="V475" i="29" s="1"/>
  <c r="AO53" i="29"/>
  <c r="U53" i="29" s="1"/>
  <c r="AO322" i="29"/>
  <c r="V322" i="29" s="1"/>
  <c r="AO242" i="29"/>
  <c r="V242" i="29" s="1"/>
  <c r="AO205" i="29"/>
  <c r="U205" i="29" s="1"/>
  <c r="AO19" i="29"/>
  <c r="V19" i="29" s="1"/>
  <c r="AO466" i="29"/>
  <c r="U466" i="29" s="1"/>
  <c r="AO586" i="29"/>
  <c r="U586" i="29" s="1"/>
  <c r="AO144" i="29"/>
  <c r="V144" i="29" s="1"/>
  <c r="AO43" i="29"/>
  <c r="U43" i="29" s="1"/>
  <c r="BS130" i="24"/>
  <c r="BY130" i="24" s="1"/>
  <c r="CA130" i="24" s="1"/>
  <c r="CB130" i="24" s="1"/>
  <c r="BX135" i="24"/>
  <c r="AO168" i="29"/>
  <c r="U168" i="29" s="1"/>
  <c r="AO608" i="29"/>
  <c r="V608" i="29" s="1"/>
  <c r="AO563" i="29"/>
  <c r="U563" i="29" s="1"/>
  <c r="AO577" i="29"/>
  <c r="U577" i="29" s="1"/>
  <c r="AO598" i="29"/>
  <c r="V598" i="29" s="1"/>
  <c r="AO443" i="29"/>
  <c r="U443" i="29" s="1"/>
  <c r="AO293" i="29"/>
  <c r="U293" i="29" s="1"/>
  <c r="AO400" i="29"/>
  <c r="U400" i="29" s="1"/>
  <c r="AO578" i="29"/>
  <c r="U578" i="29" s="1"/>
  <c r="AO604" i="29"/>
  <c r="U604" i="29" s="1"/>
  <c r="AO203" i="29"/>
  <c r="U203" i="29" s="1"/>
  <c r="AO326" i="29"/>
  <c r="V326" i="29" s="1"/>
  <c r="BX121" i="24"/>
  <c r="BS232" i="24"/>
  <c r="BX232" i="24" s="1"/>
  <c r="BS295" i="24"/>
  <c r="BX295" i="24" s="1"/>
  <c r="BS253" i="24"/>
  <c r="BX253" i="24" s="1"/>
  <c r="BV6" i="24"/>
  <c r="BX6" i="24" s="1"/>
  <c r="BS238" i="24"/>
  <c r="BX238" i="24" s="1"/>
  <c r="BS298" i="24"/>
  <c r="BX298" i="24" s="1"/>
  <c r="BS296" i="24"/>
  <c r="BX296" i="24" s="1"/>
  <c r="BS305" i="24"/>
  <c r="BX305" i="24" s="1"/>
  <c r="BS280" i="24"/>
  <c r="BX280" i="24" s="1"/>
  <c r="BS112" i="24"/>
  <c r="BX112" i="24" s="1"/>
  <c r="BG28" i="24"/>
  <c r="BM28" i="24" s="1"/>
  <c r="BY28" i="24" s="1"/>
  <c r="CA28" i="24" s="1"/>
  <c r="CB28" i="24" s="1"/>
  <c r="AO105" i="29"/>
  <c r="V105" i="29" s="1"/>
  <c r="AO511" i="29"/>
  <c r="V511" i="29" s="1"/>
  <c r="AO412" i="29"/>
  <c r="V412" i="29" s="1"/>
  <c r="AO555" i="29"/>
  <c r="V555" i="29" s="1"/>
  <c r="AO499" i="29"/>
  <c r="U499" i="29" s="1"/>
  <c r="AO208" i="29"/>
  <c r="U208" i="29" s="1"/>
  <c r="AO71" i="29"/>
  <c r="U71" i="29" s="1"/>
  <c r="AO118" i="29"/>
  <c r="U118" i="29" s="1"/>
  <c r="AO186" i="29"/>
  <c r="V186" i="29" s="1"/>
  <c r="AO316" i="29"/>
  <c r="V316" i="29" s="1"/>
  <c r="AO104" i="29"/>
  <c r="V104" i="29" s="1"/>
  <c r="AO35" i="29"/>
  <c r="U35" i="29" s="1"/>
  <c r="AO571" i="29"/>
  <c r="V571" i="29" s="1"/>
  <c r="AO428" i="29"/>
  <c r="U428" i="29" s="1"/>
  <c r="AO309" i="29"/>
  <c r="U309" i="29" s="1"/>
  <c r="AO514" i="29"/>
  <c r="V514" i="29" s="1"/>
  <c r="AO362" i="29"/>
  <c r="V362" i="29" s="1"/>
  <c r="AO438" i="29"/>
  <c r="U438" i="29" s="1"/>
  <c r="AO32" i="29"/>
  <c r="V32" i="29" s="1"/>
  <c r="AO48" i="29"/>
  <c r="U48" i="29" s="1"/>
  <c r="AO319" i="29"/>
  <c r="V319" i="29" s="1"/>
  <c r="AO447" i="29"/>
  <c r="V447" i="29" s="1"/>
  <c r="AO507" i="29"/>
  <c r="V507" i="29" s="1"/>
  <c r="AO120" i="29"/>
  <c r="V120" i="29" s="1"/>
  <c r="AO553" i="29"/>
  <c r="U553" i="29" s="1"/>
  <c r="AO236" i="29"/>
  <c r="U236" i="29" s="1"/>
  <c r="AO505" i="29"/>
  <c r="U505" i="29" s="1"/>
  <c r="AO246" i="29"/>
  <c r="V246" i="29" s="1"/>
  <c r="AO529" i="29"/>
  <c r="V529" i="29" s="1"/>
  <c r="AO486" i="29"/>
  <c r="U486" i="29" s="1"/>
  <c r="AO338" i="29"/>
  <c r="V338" i="29" s="1"/>
  <c r="AO17" i="29"/>
  <c r="U17" i="29" s="1"/>
  <c r="AO207" i="29"/>
  <c r="V207" i="29" s="1"/>
  <c r="AO390" i="29"/>
  <c r="V390" i="29" s="1"/>
  <c r="AO151" i="29"/>
  <c r="U151" i="29" s="1"/>
  <c r="AO512" i="29"/>
  <c r="U512" i="29" s="1"/>
  <c r="AO494" i="29"/>
  <c r="U494" i="29" s="1"/>
  <c r="AO339" i="29"/>
  <c r="U339" i="29" s="1"/>
  <c r="AO556" i="29"/>
  <c r="V556" i="29" s="1"/>
  <c r="AO448" i="29"/>
  <c r="V448" i="29" s="1"/>
  <c r="AO349" i="29"/>
  <c r="V349" i="29" s="1"/>
  <c r="AO239" i="29"/>
  <c r="U239" i="29" s="1"/>
  <c r="AO370" i="29"/>
  <c r="U370" i="29" s="1"/>
  <c r="AO418" i="29"/>
  <c r="U418" i="29" s="1"/>
  <c r="AO609" i="29"/>
  <c r="V609" i="29" s="1"/>
  <c r="AO543" i="29"/>
  <c r="U543" i="29" s="1"/>
  <c r="AO540" i="29"/>
  <c r="V540" i="29" s="1"/>
  <c r="AO580" i="29"/>
  <c r="U580" i="29" s="1"/>
  <c r="AO368" i="29"/>
  <c r="U368" i="29" s="1"/>
  <c r="AO39" i="29"/>
  <c r="U39" i="29" s="1"/>
  <c r="AO587" i="29"/>
  <c r="V587" i="29" s="1"/>
  <c r="AO388" i="29"/>
  <c r="U388" i="29" s="1"/>
  <c r="AO413" i="29"/>
  <c r="U413" i="29" s="1"/>
  <c r="AO89" i="29"/>
  <c r="V89" i="29" s="1"/>
  <c r="AO250" i="29"/>
  <c r="U250" i="29" s="1"/>
  <c r="AO402" i="29"/>
  <c r="U402" i="29" s="1"/>
  <c r="AO136" i="29"/>
  <c r="U136" i="29" s="1"/>
  <c r="AO365" i="29"/>
  <c r="V365" i="29" s="1"/>
  <c r="AO516" i="29"/>
  <c r="U516" i="29" s="1"/>
  <c r="AO334" i="29"/>
  <c r="U334" i="29" s="1"/>
  <c r="AO488" i="29"/>
  <c r="V488" i="29" s="1"/>
  <c r="AO597" i="29"/>
  <c r="U597" i="29" s="1"/>
  <c r="AO330" i="29"/>
  <c r="V330" i="29" s="1"/>
  <c r="AO165" i="29"/>
  <c r="V165" i="29" s="1"/>
  <c r="AO461" i="29"/>
  <c r="U461" i="29" s="1"/>
  <c r="AO57" i="29"/>
  <c r="U57" i="29" s="1"/>
  <c r="AO359" i="29"/>
  <c r="U359" i="29" s="1"/>
  <c r="AO387" i="29"/>
  <c r="V387" i="29" s="1"/>
  <c r="AO40" i="29"/>
  <c r="U40" i="29" s="1"/>
  <c r="AO220" i="29"/>
  <c r="U220" i="29" s="1"/>
  <c r="AO612" i="29"/>
  <c r="U612" i="29" s="1"/>
  <c r="AO50" i="29"/>
  <c r="V50" i="29" s="1"/>
  <c r="BV19" i="24"/>
  <c r="BX19" i="24" s="1"/>
  <c r="BS279" i="24"/>
  <c r="BX279" i="24" s="1"/>
  <c r="BS299" i="24"/>
  <c r="BX299" i="24" s="1"/>
  <c r="AO354" i="29"/>
  <c r="U354" i="29" s="1"/>
  <c r="AO376" i="29"/>
  <c r="U376" i="29" s="1"/>
  <c r="AO216" i="29"/>
  <c r="V216" i="29" s="1"/>
  <c r="AO125" i="29"/>
  <c r="U125" i="29" s="1"/>
  <c r="AO244" i="29"/>
  <c r="V244" i="29" s="1"/>
  <c r="AO395" i="29"/>
  <c r="U395" i="29" s="1"/>
  <c r="AO550" i="29"/>
  <c r="U550" i="29" s="1"/>
  <c r="AO254" i="29"/>
  <c r="V254" i="29" s="1"/>
  <c r="AO266" i="29"/>
  <c r="V266" i="29" s="1"/>
  <c r="AO25" i="29"/>
  <c r="V25" i="29" s="1"/>
  <c r="AO404" i="29"/>
  <c r="U404" i="29" s="1"/>
  <c r="AO210" i="29"/>
  <c r="V210" i="29" s="1"/>
  <c r="AO275" i="29"/>
  <c r="U275" i="29" s="1"/>
  <c r="AO502" i="29"/>
  <c r="V502" i="29" s="1"/>
  <c r="AO154" i="29"/>
  <c r="V154" i="29" s="1"/>
  <c r="AO217" i="29"/>
  <c r="U217" i="29" s="1"/>
  <c r="AO503" i="29"/>
  <c r="U503" i="29" s="1"/>
  <c r="AO342" i="29"/>
  <c r="U342" i="29" s="1"/>
  <c r="AO347" i="29"/>
  <c r="V347" i="29" s="1"/>
  <c r="AO259" i="29"/>
  <c r="U259" i="29" s="1"/>
  <c r="AO103" i="29"/>
  <c r="V103" i="29" s="1"/>
  <c r="AO433" i="29"/>
  <c r="V433" i="29" s="1"/>
  <c r="AO117" i="29"/>
  <c r="V117" i="29" s="1"/>
  <c r="AO582" i="29"/>
  <c r="U582" i="29" s="1"/>
  <c r="AO308" i="29"/>
  <c r="U308" i="29" s="1"/>
  <c r="AO268" i="29"/>
  <c r="U268" i="29" s="1"/>
  <c r="AO480" i="29"/>
  <c r="V480" i="29" s="1"/>
  <c r="AO112" i="29"/>
  <c r="V112" i="29" s="1"/>
  <c r="AO272" i="29"/>
  <c r="U272" i="29" s="1"/>
  <c r="AO378" i="29"/>
  <c r="U378" i="29" s="1"/>
  <c r="AO358" i="29"/>
  <c r="U358" i="29" s="1"/>
  <c r="BG26" i="24"/>
  <c r="BM26" i="24" s="1"/>
  <c r="BN26" i="24" s="1"/>
  <c r="AO86" i="29"/>
  <c r="V86" i="29" s="1"/>
  <c r="AO190" i="29"/>
  <c r="U190" i="29" s="1"/>
  <c r="AO185" i="29"/>
  <c r="V185" i="29" s="1"/>
  <c r="AO219" i="29"/>
  <c r="V219" i="29" s="1"/>
  <c r="AO409" i="29"/>
  <c r="U409" i="29" s="1"/>
  <c r="AO593" i="29"/>
  <c r="U593" i="29" s="1"/>
  <c r="AO267" i="29"/>
  <c r="U267" i="29" s="1"/>
  <c r="AO79" i="29"/>
  <c r="U79" i="29" s="1"/>
  <c r="BS148" i="24"/>
  <c r="BX148" i="24" s="1"/>
  <c r="BS282" i="24"/>
  <c r="BX282" i="24" s="1"/>
  <c r="BS54" i="24"/>
  <c r="BV54" i="24" s="1"/>
  <c r="BX54" i="24" s="1"/>
  <c r="BS247" i="24"/>
  <c r="BX247" i="24" s="1"/>
  <c r="BG228" i="24"/>
  <c r="BM228" i="24" s="1"/>
  <c r="BN228" i="24" s="1"/>
  <c r="BS20" i="24"/>
  <c r="BV20" i="24" s="1"/>
  <c r="BX20" i="24" s="1"/>
  <c r="BX248" i="24"/>
  <c r="AO141" i="29"/>
  <c r="U141" i="29" s="1"/>
  <c r="AO230" i="29"/>
  <c r="V230" i="29" s="1"/>
  <c r="AO44" i="29"/>
  <c r="U44" i="29" s="1"/>
  <c r="AO332" i="29"/>
  <c r="V332" i="29" s="1"/>
  <c r="AO389" i="29"/>
  <c r="V389" i="29" s="1"/>
  <c r="AO320" i="29"/>
  <c r="U320" i="29" s="1"/>
  <c r="AO446" i="29"/>
  <c r="U446" i="29" s="1"/>
  <c r="AO100" i="29"/>
  <c r="V100" i="29" s="1"/>
  <c r="AO301" i="29"/>
  <c r="V301" i="29" s="1"/>
  <c r="AO214" i="29"/>
  <c r="U214" i="29" s="1"/>
  <c r="AO440" i="29"/>
  <c r="V440" i="29" s="1"/>
  <c r="AO345" i="29"/>
  <c r="U345" i="29" s="1"/>
  <c r="AO381" i="29"/>
  <c r="V381" i="29" s="1"/>
  <c r="AO243" i="29"/>
  <c r="U243" i="29" s="1"/>
  <c r="AO164" i="29"/>
  <c r="V164" i="29" s="1"/>
  <c r="AO547" i="29"/>
  <c r="V547" i="29" s="1"/>
  <c r="AO291" i="29"/>
  <c r="V291" i="29" s="1"/>
  <c r="AO114" i="29"/>
  <c r="U114" i="29" s="1"/>
  <c r="AO299" i="29"/>
  <c r="U299" i="29" s="1"/>
  <c r="AO237" i="29"/>
  <c r="U237" i="29" s="1"/>
  <c r="AO588" i="29"/>
  <c r="V588" i="29" s="1"/>
  <c r="AO407" i="29"/>
  <c r="U407" i="29" s="1"/>
  <c r="AO252" i="29"/>
  <c r="V252" i="29" s="1"/>
  <c r="AO600" i="29"/>
  <c r="U600" i="29" s="1"/>
  <c r="AO465" i="29"/>
  <c r="V465" i="29" s="1"/>
  <c r="AO274" i="29"/>
  <c r="U274" i="29" s="1"/>
  <c r="AO122" i="29"/>
  <c r="V122" i="29" s="1"/>
  <c r="AO306" i="29"/>
  <c r="U306" i="29" s="1"/>
  <c r="AO273" i="29"/>
  <c r="U273" i="29" s="1"/>
  <c r="AO83" i="29"/>
  <c r="U83" i="29" s="1"/>
  <c r="AO70" i="29"/>
  <c r="V70" i="29" s="1"/>
  <c r="AO410" i="29"/>
  <c r="V410" i="29" s="1"/>
  <c r="AO147" i="29"/>
  <c r="V147" i="29" s="1"/>
  <c r="AO183" i="29"/>
  <c r="V183" i="29" s="1"/>
  <c r="AO377" i="29"/>
  <c r="U377" i="29" s="1"/>
  <c r="AO146" i="29"/>
  <c r="V146" i="29" s="1"/>
  <c r="AO351" i="29"/>
  <c r="V351" i="29" s="1"/>
  <c r="AO132" i="29"/>
  <c r="V132" i="29" s="1"/>
  <c r="AO343" i="29"/>
  <c r="V343" i="29" s="1"/>
  <c r="AO52" i="29"/>
  <c r="V52" i="29" s="1"/>
  <c r="AO424" i="29"/>
  <c r="U424" i="29" s="1"/>
  <c r="AO84" i="29"/>
  <c r="V84" i="29" s="1"/>
  <c r="AO526" i="29"/>
  <c r="V526" i="29" s="1"/>
  <c r="AO504" i="29"/>
  <c r="V504" i="29" s="1"/>
  <c r="AO434" i="29"/>
  <c r="V434" i="29" s="1"/>
  <c r="AO195" i="29"/>
  <c r="V195" i="29" s="1"/>
  <c r="AO297" i="29"/>
  <c r="V297" i="29" s="1"/>
  <c r="AO501" i="29"/>
  <c r="U501" i="29" s="1"/>
  <c r="AO167" i="29"/>
  <c r="U167" i="29" s="1"/>
  <c r="AO559" i="29"/>
  <c r="V559" i="29" s="1"/>
  <c r="AO423" i="29"/>
  <c r="U423" i="29" s="1"/>
  <c r="AO116" i="29"/>
  <c r="V116" i="29" s="1"/>
  <c r="AO548" i="29"/>
  <c r="U548" i="29" s="1"/>
  <c r="AO108" i="29"/>
  <c r="V108" i="29" s="1"/>
  <c r="AO166" i="29"/>
  <c r="V166" i="29" s="1"/>
  <c r="AO270" i="29"/>
  <c r="V270" i="29" s="1"/>
  <c r="AO422" i="29"/>
  <c r="V422" i="29" s="1"/>
  <c r="AO325" i="29"/>
  <c r="V325" i="29" s="1"/>
  <c r="AO265" i="29"/>
  <c r="V265" i="29" s="1"/>
  <c r="AO569" i="29"/>
  <c r="V569" i="29" s="1"/>
  <c r="AO202" i="29"/>
  <c r="V202" i="29" s="1"/>
  <c r="AO562" i="29"/>
  <c r="V562" i="29" s="1"/>
  <c r="AO592" i="29"/>
  <c r="U592" i="29" s="1"/>
  <c r="AO140" i="29"/>
  <c r="V140" i="29" s="1"/>
  <c r="AO346" i="29"/>
  <c r="U346" i="29" s="1"/>
  <c r="AO468" i="29"/>
  <c r="U468" i="29" s="1"/>
  <c r="AO95" i="29"/>
  <c r="U95" i="29" s="1"/>
  <c r="AO283" i="29"/>
  <c r="U283" i="29" s="1"/>
  <c r="AO27" i="29"/>
  <c r="U27" i="29" s="1"/>
  <c r="AO198" i="29"/>
  <c r="V198" i="29" s="1"/>
  <c r="AO427" i="29"/>
  <c r="U427" i="29" s="1"/>
  <c r="AO350" i="29"/>
  <c r="V350" i="29" s="1"/>
  <c r="AO321" i="29"/>
  <c r="U321" i="29" s="1"/>
  <c r="AO331" i="29"/>
  <c r="U331" i="29" s="1"/>
  <c r="AO421" i="29"/>
  <c r="V421" i="29" s="1"/>
  <c r="AO92" i="29"/>
  <c r="V92" i="29" s="1"/>
  <c r="AO517" i="29"/>
  <c r="U517" i="29" s="1"/>
  <c r="AO130" i="29"/>
  <c r="V130" i="29" s="1"/>
  <c r="AO315" i="29"/>
  <c r="V315" i="29" s="1"/>
  <c r="AO221" i="29"/>
  <c r="V221" i="29" s="1"/>
  <c r="AO324" i="29"/>
  <c r="V324" i="29" s="1"/>
  <c r="AO256" i="29"/>
  <c r="U256" i="29" s="1"/>
  <c r="AO38" i="29"/>
  <c r="V38" i="29" s="1"/>
  <c r="AO91" i="29"/>
  <c r="V91" i="29" s="1"/>
  <c r="BV33" i="24"/>
  <c r="BX33" i="24" s="1"/>
  <c r="BS24" i="24"/>
  <c r="BV24" i="24" s="1"/>
  <c r="BX24" i="24" s="1"/>
  <c r="AO414" i="29"/>
  <c r="U414" i="29" s="1"/>
  <c r="AO235" i="29"/>
  <c r="U235" i="29" s="1"/>
  <c r="AO138" i="29"/>
  <c r="U138" i="29" s="1"/>
  <c r="AO102" i="29"/>
  <c r="U102" i="29" s="1"/>
  <c r="AO177" i="29"/>
  <c r="V177" i="29" s="1"/>
  <c r="AO492" i="29"/>
  <c r="V492" i="29" s="1"/>
  <c r="AO453" i="29"/>
  <c r="V453" i="29" s="1"/>
  <c r="AO506" i="29"/>
  <c r="U506" i="29" s="1"/>
  <c r="AO567" i="29"/>
  <c r="U567" i="29" s="1"/>
  <c r="AO314" i="29"/>
  <c r="V314" i="29" s="1"/>
  <c r="AO462" i="29"/>
  <c r="U462" i="29" s="1"/>
  <c r="AO303" i="29"/>
  <c r="U303" i="29" s="1"/>
  <c r="AO188" i="29"/>
  <c r="U188" i="29" s="1"/>
  <c r="AO94" i="29"/>
  <c r="U94" i="29" s="1"/>
  <c r="AO467" i="29"/>
  <c r="U467" i="29" s="1"/>
  <c r="AO156" i="29"/>
  <c r="V156" i="29" s="1"/>
  <c r="AO439" i="29"/>
  <c r="V439" i="29" s="1"/>
  <c r="AO312" i="29"/>
  <c r="V312" i="29" s="1"/>
  <c r="AO15" i="29"/>
  <c r="V15" i="29" s="1"/>
  <c r="AO451" i="29"/>
  <c r="U451" i="29" s="1"/>
  <c r="AO68" i="29"/>
  <c r="U68" i="29" s="1"/>
  <c r="AO23" i="29"/>
  <c r="V23" i="29" s="1"/>
  <c r="AO20" i="29"/>
  <c r="U20" i="29" s="1"/>
  <c r="AO21" i="29"/>
  <c r="U21" i="29" s="1"/>
  <c r="AO546" i="29"/>
  <c r="U546" i="29" s="1"/>
  <c r="AO121" i="29"/>
  <c r="V121" i="29" s="1"/>
  <c r="AO527" i="29"/>
  <c r="V527" i="29" s="1"/>
  <c r="AO449" i="29"/>
  <c r="V449" i="29" s="1"/>
  <c r="AO199" i="29"/>
  <c r="V199" i="29" s="1"/>
  <c r="AO200" i="29"/>
  <c r="V200" i="29" s="1"/>
  <c r="BV58" i="24"/>
  <c r="BX58" i="24" s="1"/>
  <c r="AO204" i="29"/>
  <c r="V204" i="29" s="1"/>
  <c r="AO415" i="29"/>
  <c r="U415" i="29" s="1"/>
  <c r="AO180" i="29"/>
  <c r="V180" i="29" s="1"/>
  <c r="AO482" i="29"/>
  <c r="U482" i="29" s="1"/>
  <c r="AO278" i="29"/>
  <c r="V278" i="29" s="1"/>
  <c r="AO240" i="29"/>
  <c r="V240" i="29" s="1"/>
  <c r="AO160" i="29"/>
  <c r="U160" i="29" s="1"/>
  <c r="AO457" i="29"/>
  <c r="U457" i="29" s="1"/>
  <c r="AO429" i="29"/>
  <c r="V429" i="29" s="1"/>
  <c r="AO90" i="29"/>
  <c r="V90" i="29" s="1"/>
  <c r="AO534" i="29"/>
  <c r="V534" i="29" s="1"/>
  <c r="AO360" i="29"/>
  <c r="V360" i="29" s="1"/>
  <c r="AO277" i="29"/>
  <c r="V277" i="29" s="1"/>
  <c r="AO583" i="29"/>
  <c r="V583" i="29" s="1"/>
  <c r="AO172" i="29"/>
  <c r="V172" i="29" s="1"/>
  <c r="AO535" i="29"/>
  <c r="U535" i="29" s="1"/>
  <c r="AO153" i="29"/>
  <c r="V153" i="29" s="1"/>
  <c r="AO552" i="29"/>
  <c r="U552" i="29" s="1"/>
  <c r="AO75" i="29"/>
  <c r="V75" i="29" s="1"/>
  <c r="AO524" i="29"/>
  <c r="V524" i="29" s="1"/>
  <c r="AO157" i="29"/>
  <c r="V157" i="29" s="1"/>
  <c r="AO135" i="29"/>
  <c r="U135" i="29" s="1"/>
  <c r="AO489" i="29"/>
  <c r="V489" i="29" s="1"/>
  <c r="AO490" i="29"/>
  <c r="V490" i="29" s="1"/>
  <c r="AO611" i="29"/>
  <c r="V611" i="29" s="1"/>
  <c r="AO479" i="29"/>
  <c r="U479" i="29" s="1"/>
  <c r="AO143" i="29"/>
  <c r="V143" i="29" s="1"/>
  <c r="AO335" i="29"/>
  <c r="V335" i="29" s="1"/>
  <c r="AO385" i="29"/>
  <c r="U385" i="29" s="1"/>
  <c r="AO430" i="29"/>
  <c r="V430" i="29" s="1"/>
  <c r="AO356" i="29"/>
  <c r="V356" i="29" s="1"/>
  <c r="AO317" i="29"/>
  <c r="U317" i="29" s="1"/>
  <c r="AO408" i="29"/>
  <c r="U408" i="29" s="1"/>
  <c r="AO96" i="29"/>
  <c r="U96" i="29" s="1"/>
  <c r="AO474" i="29"/>
  <c r="V474" i="29" s="1"/>
  <c r="AO62" i="29"/>
  <c r="U62" i="29" s="1"/>
  <c r="AO542" i="29"/>
  <c r="V542" i="29" s="1"/>
  <c r="AO455" i="29"/>
  <c r="V455" i="29" s="1"/>
  <c r="AO191" i="29"/>
  <c r="U191" i="29" s="1"/>
  <c r="AO476" i="29"/>
  <c r="U476" i="29" s="1"/>
  <c r="AO481" i="29"/>
  <c r="U481" i="29" s="1"/>
  <c r="AO530" i="29"/>
  <c r="V530" i="29" s="1"/>
  <c r="AO13" i="29"/>
  <c r="V13" i="29" s="1"/>
  <c r="AO99" i="29"/>
  <c r="V99" i="29" s="1"/>
  <c r="AO182" i="29"/>
  <c r="U182" i="29" s="1"/>
  <c r="AO375" i="29"/>
  <c r="V375" i="29" s="1"/>
  <c r="AO575" i="29"/>
  <c r="U575" i="29" s="1"/>
  <c r="AO333" i="29"/>
  <c r="U333" i="29" s="1"/>
  <c r="AO65" i="29"/>
  <c r="U65" i="29" s="1"/>
  <c r="AO69" i="29"/>
  <c r="U69" i="29" s="1"/>
  <c r="AO574" i="29"/>
  <c r="V574" i="29" s="1"/>
  <c r="AO209" i="29"/>
  <c r="V209" i="29" s="1"/>
  <c r="AO525" i="29"/>
  <c r="V525" i="29" s="1"/>
  <c r="AO416" i="29"/>
  <c r="U416" i="29" s="1"/>
  <c r="AO119" i="29"/>
  <c r="V119" i="29" s="1"/>
  <c r="AO336" i="29"/>
  <c r="V336" i="29" s="1"/>
  <c r="AO398" i="29"/>
  <c r="V398" i="29" s="1"/>
  <c r="AO341" i="29"/>
  <c r="V341" i="29" s="1"/>
  <c r="AO463" i="29"/>
  <c r="V463" i="29" s="1"/>
  <c r="AO131" i="29"/>
  <c r="U131" i="29" s="1"/>
  <c r="AO227" i="29"/>
  <c r="U227" i="29" s="1"/>
  <c r="AO76" i="29"/>
  <c r="U76" i="29" s="1"/>
  <c r="AO318" i="29"/>
  <c r="V318" i="29" s="1"/>
  <c r="AO344" i="29"/>
  <c r="U344" i="29" s="1"/>
  <c r="AO56" i="29"/>
  <c r="V56" i="29" s="1"/>
  <c r="AO45" i="29"/>
  <c r="V45" i="29" s="1"/>
  <c r="AO519" i="29"/>
  <c r="U519" i="29" s="1"/>
  <c r="AO372" i="29"/>
  <c r="U372" i="29" s="1"/>
  <c r="AO300" i="29"/>
  <c r="U300" i="29" s="1"/>
  <c r="AO364" i="29"/>
  <c r="U364" i="29" s="1"/>
  <c r="AO16" i="29"/>
  <c r="U16" i="29" s="1"/>
  <c r="AO178" i="29"/>
  <c r="U178" i="29" s="1"/>
  <c r="AO518" i="29"/>
  <c r="V518" i="29" s="1"/>
  <c r="AO218" i="29"/>
  <c r="V218" i="29" s="1"/>
  <c r="AO129" i="29"/>
  <c r="U129" i="29" s="1"/>
  <c r="AO459" i="29"/>
  <c r="V459" i="29" s="1"/>
  <c r="AO281" i="29"/>
  <c r="U281" i="29" s="1"/>
  <c r="AO232" i="29"/>
  <c r="V232" i="29" s="1"/>
  <c r="AO450" i="29"/>
  <c r="V450" i="29" s="1"/>
  <c r="AO472" i="29"/>
  <c r="U472" i="29" s="1"/>
  <c r="AO513" i="29"/>
  <c r="V513" i="29" s="1"/>
  <c r="AO139" i="29"/>
  <c r="V139" i="29" s="1"/>
  <c r="AO383" i="29"/>
  <c r="V383" i="29" s="1"/>
  <c r="AO564" i="29"/>
  <c r="V564" i="29" s="1"/>
  <c r="AO396" i="29"/>
  <c r="U396" i="29" s="1"/>
  <c r="AO533" i="29"/>
  <c r="V533" i="29" s="1"/>
  <c r="AO403" i="29"/>
  <c r="U403" i="29" s="1"/>
  <c r="AO357" i="29"/>
  <c r="V357" i="29" s="1"/>
  <c r="AO292" i="29"/>
  <c r="U292" i="29" s="1"/>
  <c r="AO594" i="29"/>
  <c r="V594" i="29" s="1"/>
  <c r="BB237" i="25"/>
  <c r="BS237" i="25" s="1"/>
  <c r="BA237" i="25"/>
  <c r="BC237" i="25"/>
  <c r="BT237" i="25" s="1"/>
  <c r="AO169" i="29"/>
  <c r="U169" i="29" s="1"/>
  <c r="AO67" i="29"/>
  <c r="U67" i="29" s="1"/>
  <c r="AO435" i="29"/>
  <c r="U435" i="29" s="1"/>
  <c r="AO34" i="29"/>
  <c r="U34" i="29" s="1"/>
  <c r="AO554" i="29"/>
  <c r="U554" i="29" s="1"/>
  <c r="AO81" i="29"/>
  <c r="U81" i="29" s="1"/>
  <c r="AO549" i="29"/>
  <c r="U549" i="29" s="1"/>
  <c r="AO37" i="29"/>
  <c r="V37" i="29" s="1"/>
  <c r="AO51" i="29"/>
  <c r="U51" i="29" s="1"/>
  <c r="AO313" i="29"/>
  <c r="U313" i="29" s="1"/>
  <c r="AO264" i="29"/>
  <c r="V264" i="29" s="1"/>
  <c r="AO353" i="29"/>
  <c r="V353" i="29" s="1"/>
  <c r="AO294" i="29"/>
  <c r="V294" i="29" s="1"/>
  <c r="BS117" i="24"/>
  <c r="BX117" i="24" s="1"/>
  <c r="AJ212" i="25"/>
  <c r="AM212" i="25"/>
  <c r="AX212" i="25"/>
  <c r="AW212" i="25"/>
  <c r="AO187" i="29"/>
  <c r="V187" i="29" s="1"/>
  <c r="AO520" i="29"/>
  <c r="V520" i="29" s="1"/>
  <c r="AO101" i="29"/>
  <c r="U101" i="29" s="1"/>
  <c r="AO311" i="29"/>
  <c r="U311" i="29" s="1"/>
  <c r="AO93" i="29"/>
  <c r="U93" i="29" s="1"/>
  <c r="AO366" i="29"/>
  <c r="V366" i="29" s="1"/>
  <c r="AO282" i="29"/>
  <c r="U282" i="29" s="1"/>
  <c r="AO179" i="29"/>
  <c r="V179" i="29" s="1"/>
  <c r="AO87" i="29"/>
  <c r="U87" i="29" s="1"/>
  <c r="AO456" i="29"/>
  <c r="U456" i="29" s="1"/>
  <c r="BG224" i="24"/>
  <c r="BY224" i="24" s="1"/>
  <c r="CA224" i="24" s="1"/>
  <c r="AO523" i="29"/>
  <c r="V523" i="29" s="1"/>
  <c r="AO296" i="29"/>
  <c r="V296" i="29" s="1"/>
  <c r="AO269" i="29"/>
  <c r="U269" i="29" s="1"/>
  <c r="AO498" i="29"/>
  <c r="V498" i="29" s="1"/>
  <c r="AO607" i="29"/>
  <c r="U607" i="29" s="1"/>
  <c r="AO109" i="29"/>
  <c r="V109" i="29" s="1"/>
  <c r="AO142" i="29"/>
  <c r="V142" i="29" s="1"/>
  <c r="AO605" i="29"/>
  <c r="U605" i="29" s="1"/>
  <c r="AO420" i="29"/>
  <c r="U420" i="29" s="1"/>
  <c r="AO173" i="29"/>
  <c r="V173" i="29" s="1"/>
  <c r="AO565" i="29"/>
  <c r="V565" i="29" s="1"/>
  <c r="AO260" i="29"/>
  <c r="V260" i="29" s="1"/>
  <c r="AO158" i="29"/>
  <c r="V158" i="29" s="1"/>
  <c r="AO560" i="29"/>
  <c r="V560" i="29" s="1"/>
  <c r="AO115" i="29"/>
  <c r="V115" i="29" s="1"/>
  <c r="AO286" i="29"/>
  <c r="V286" i="29" s="1"/>
  <c r="AO211" i="29"/>
  <c r="U211" i="29" s="1"/>
  <c r="AO532" i="29"/>
  <c r="V532" i="29" s="1"/>
  <c r="AO405" i="29"/>
  <c r="U405" i="29" s="1"/>
  <c r="AO355" i="29"/>
  <c r="U355" i="29" s="1"/>
  <c r="AO444" i="29"/>
  <c r="V444" i="29" s="1"/>
  <c r="AO258" i="29"/>
  <c r="U258" i="29" s="1"/>
  <c r="AO469" i="29"/>
  <c r="U469" i="29" s="1"/>
  <c r="AO88" i="29"/>
  <c r="V88" i="29" s="1"/>
  <c r="AO36" i="29"/>
  <c r="U36" i="29" s="1"/>
  <c r="AO394" i="29"/>
  <c r="U394" i="29" s="1"/>
  <c r="AO263" i="29"/>
  <c r="U263" i="29" s="1"/>
  <c r="AO228" i="29"/>
  <c r="U228" i="29" s="1"/>
  <c r="AO215" i="29"/>
  <c r="U215" i="29" s="1"/>
  <c r="AO460" i="29"/>
  <c r="V460" i="29" s="1"/>
  <c r="AO201" i="29"/>
  <c r="V201" i="29" s="1"/>
  <c r="AO30" i="29"/>
  <c r="U30" i="29" s="1"/>
  <c r="AO55" i="29"/>
  <c r="V55" i="29" s="1"/>
  <c r="AO31" i="29"/>
  <c r="V31" i="29" s="1"/>
  <c r="AO42" i="29"/>
  <c r="U42" i="29" s="1"/>
  <c r="AO573" i="29"/>
  <c r="V573" i="29" s="1"/>
  <c r="AO307" i="29"/>
  <c r="U307" i="29" s="1"/>
  <c r="AO348" i="29"/>
  <c r="V348" i="29" s="1"/>
  <c r="AO175" i="29"/>
  <c r="U175" i="29" s="1"/>
  <c r="AO522" i="29"/>
  <c r="V522" i="29" s="1"/>
  <c r="AO213" i="29"/>
  <c r="V213" i="29" s="1"/>
  <c r="AO386" i="29"/>
  <c r="U386" i="29" s="1"/>
  <c r="AO26" i="29"/>
  <c r="V26" i="29" s="1"/>
  <c r="AO262" i="29"/>
  <c r="U262" i="29" s="1"/>
  <c r="AO47" i="29"/>
  <c r="U47" i="29" s="1"/>
  <c r="AO192" i="29"/>
  <c r="V192" i="29" s="1"/>
  <c r="AO305" i="29"/>
  <c r="V305" i="29" s="1"/>
  <c r="AO610" i="29"/>
  <c r="V610" i="29" s="1"/>
  <c r="AO288" i="29"/>
  <c r="U288" i="29" s="1"/>
  <c r="AO82" i="29"/>
  <c r="V82" i="29" s="1"/>
  <c r="AO595" i="29"/>
  <c r="V595" i="29" s="1"/>
  <c r="AO134" i="29"/>
  <c r="U134" i="29" s="1"/>
  <c r="AO280" i="29"/>
  <c r="V280" i="29" s="1"/>
  <c r="AO473" i="29"/>
  <c r="U473" i="29" s="1"/>
  <c r="AO241" i="29"/>
  <c r="U241" i="29" s="1"/>
  <c r="AO401" i="29"/>
  <c r="V401" i="29" s="1"/>
  <c r="AO496" i="29"/>
  <c r="U496" i="29" s="1"/>
  <c r="AO28" i="29"/>
  <c r="U28" i="29" s="1"/>
  <c r="AO601" i="29"/>
  <c r="U601" i="29" s="1"/>
  <c r="AO500" i="29"/>
  <c r="V500" i="29" s="1"/>
  <c r="AO77" i="29"/>
  <c r="U77" i="29" s="1"/>
  <c r="AO276" i="29"/>
  <c r="U276" i="29" s="1"/>
  <c r="AO411" i="29"/>
  <c r="U411" i="29" s="1"/>
  <c r="AO29" i="29"/>
  <c r="U29" i="29" s="1"/>
  <c r="AO128" i="29"/>
  <c r="V128" i="29" s="1"/>
  <c r="AO570" i="29"/>
  <c r="U570" i="29" s="1"/>
  <c r="AO579" i="29"/>
  <c r="U579" i="29" s="1"/>
  <c r="AO538" i="29"/>
  <c r="U538" i="29" s="1"/>
  <c r="AO484" i="29"/>
  <c r="U484" i="29" s="1"/>
  <c r="AO197" i="29"/>
  <c r="U197" i="29" s="1"/>
  <c r="AO572" i="29"/>
  <c r="U572" i="29" s="1"/>
  <c r="AO234" i="29"/>
  <c r="V234" i="29" s="1"/>
  <c r="AO431" i="29"/>
  <c r="V431" i="29" s="1"/>
  <c r="AO441" i="29"/>
  <c r="V441" i="29" s="1"/>
  <c r="AO150" i="29"/>
  <c r="V150" i="29" s="1"/>
  <c r="AO369" i="29"/>
  <c r="V369" i="29" s="1"/>
  <c r="AO528" i="29"/>
  <c r="V528" i="29" s="1"/>
  <c r="AO302" i="29"/>
  <c r="U302" i="29" s="1"/>
  <c r="AO245" i="29"/>
  <c r="V245" i="29" s="1"/>
  <c r="AO497" i="29"/>
  <c r="U497" i="29" s="1"/>
  <c r="AO399" i="29"/>
  <c r="U399" i="29" s="1"/>
  <c r="AO162" i="29"/>
  <c r="U162" i="29" s="1"/>
  <c r="AO226" i="29"/>
  <c r="V226" i="29" s="1"/>
  <c r="AO247" i="29"/>
  <c r="U247" i="29" s="1"/>
  <c r="AO436" i="29"/>
  <c r="U436" i="29" s="1"/>
  <c r="AO33" i="29"/>
  <c r="V33" i="29" s="1"/>
  <c r="AO382" i="29"/>
  <c r="V382" i="29" s="1"/>
  <c r="AO170" i="29"/>
  <c r="V170" i="29" s="1"/>
  <c r="AO545" i="29"/>
  <c r="U545" i="29" s="1"/>
  <c r="AO561" i="29"/>
  <c r="V561" i="29" s="1"/>
  <c r="AO72" i="29"/>
  <c r="V72" i="29" s="1"/>
  <c r="AO249" i="29"/>
  <c r="U249" i="29" s="1"/>
  <c r="AO531" i="29"/>
  <c r="V531" i="29" s="1"/>
  <c r="AO581" i="29"/>
  <c r="U581" i="29" s="1"/>
  <c r="AO589" i="29"/>
  <c r="U589" i="29" s="1"/>
  <c r="AO184" i="29"/>
  <c r="U184" i="29" s="1"/>
  <c r="AO487" i="29"/>
  <c r="U487" i="29" s="1"/>
  <c r="AO196" i="29"/>
  <c r="U196" i="29" s="1"/>
  <c r="AO458" i="29"/>
  <c r="U458" i="29" s="1"/>
  <c r="AO432" i="29"/>
  <c r="V432" i="29" s="1"/>
  <c r="AO426" i="29"/>
  <c r="V426" i="29" s="1"/>
  <c r="AO406" i="29"/>
  <c r="V406" i="29" s="1"/>
  <c r="AO80" i="29"/>
  <c r="U80" i="29" s="1"/>
  <c r="AO224" i="29"/>
  <c r="U224" i="29" s="1"/>
  <c r="AO495" i="29"/>
  <c r="V495" i="29" s="1"/>
  <c r="AO126" i="29"/>
  <c r="U126" i="29" s="1"/>
  <c r="AO290" i="29"/>
  <c r="V290" i="29" s="1"/>
  <c r="AO41" i="29"/>
  <c r="V41" i="29" s="1"/>
  <c r="AO392" i="29"/>
  <c r="U392" i="29" s="1"/>
  <c r="AO329" i="29"/>
  <c r="U329" i="29" s="1"/>
  <c r="AO477" i="29"/>
  <c r="U477" i="29" s="1"/>
  <c r="AO133" i="29"/>
  <c r="V133" i="29" s="1"/>
  <c r="AO491" i="29"/>
  <c r="U491" i="29" s="1"/>
  <c r="AO568" i="29"/>
  <c r="V568" i="29" s="1"/>
  <c r="AO176" i="29"/>
  <c r="U176" i="29" s="1"/>
  <c r="AO310" i="29"/>
  <c r="V310" i="29" s="1"/>
  <c r="AO419" i="29"/>
  <c r="U419" i="29" s="1"/>
  <c r="AO539" i="29"/>
  <c r="U539" i="29" s="1"/>
  <c r="AO14" i="29"/>
  <c r="U14" i="29" s="1"/>
  <c r="AO171" i="29"/>
  <c r="U171" i="29" s="1"/>
  <c r="AO287" i="29"/>
  <c r="V287" i="29" s="1"/>
  <c r="AO425" i="29"/>
  <c r="U425" i="29" s="1"/>
  <c r="AO255" i="29"/>
  <c r="V255" i="29" s="1"/>
  <c r="AO251" i="29"/>
  <c r="V251" i="29" s="1"/>
  <c r="AO145" i="29"/>
  <c r="V145" i="29" s="1"/>
  <c r="AO149" i="29"/>
  <c r="V149" i="29" s="1"/>
  <c r="AO295" i="29"/>
  <c r="U295" i="29" s="1"/>
  <c r="BB77" i="25"/>
  <c r="BS77" i="25" s="1"/>
  <c r="BA77" i="25"/>
  <c r="BC77" i="25"/>
  <c r="BT77" i="25" s="1"/>
  <c r="BS25" i="24"/>
  <c r="BV25" i="24" s="1"/>
  <c r="BX25" i="24" s="1"/>
  <c r="BG25" i="24"/>
  <c r="BM25" i="24" s="1"/>
  <c r="BG133" i="24"/>
  <c r="BS133" i="24"/>
  <c r="BX133" i="24" s="1"/>
  <c r="BC175" i="25"/>
  <c r="BT175" i="25" s="1"/>
  <c r="BA175" i="25"/>
  <c r="BB175" i="25"/>
  <c r="BS175" i="25" s="1"/>
  <c r="BA64" i="25"/>
  <c r="BB64" i="25"/>
  <c r="BS64" i="25" s="1"/>
  <c r="BC64" i="25"/>
  <c r="BT64" i="25" s="1"/>
  <c r="BB171" i="25"/>
  <c r="BS171" i="25" s="1"/>
  <c r="BA171" i="25"/>
  <c r="BC171" i="25"/>
  <c r="BT171" i="25" s="1"/>
  <c r="BR240" i="25"/>
  <c r="BX240" i="25" s="1"/>
  <c r="BE240" i="25"/>
  <c r="BG189" i="24"/>
  <c r="BS189" i="24"/>
  <c r="BX189" i="24" s="1"/>
  <c r="BG93" i="24"/>
  <c r="BM93" i="24" s="1"/>
  <c r="BS93" i="24"/>
  <c r="BV93" i="24" s="1"/>
  <c r="BX93" i="24" s="1"/>
  <c r="BC73" i="25"/>
  <c r="BT73" i="25" s="1"/>
  <c r="BA73" i="25"/>
  <c r="BB73" i="25"/>
  <c r="BS73" i="25" s="1"/>
  <c r="BS268" i="24"/>
  <c r="BX268" i="24" s="1"/>
  <c r="BG268" i="24"/>
  <c r="BR21" i="25"/>
  <c r="BV21" i="25" s="1"/>
  <c r="BX21" i="25" s="1"/>
  <c r="BE21" i="25"/>
  <c r="BK21" i="25" s="1"/>
  <c r="BN44" i="24"/>
  <c r="BY44" i="24"/>
  <c r="CA44" i="24" s="1"/>
  <c r="CB44" i="24" s="1"/>
  <c r="BB8" i="25"/>
  <c r="BS8" i="25" s="1"/>
  <c r="BA8" i="25"/>
  <c r="BC8" i="25"/>
  <c r="BT8" i="25" s="1"/>
  <c r="BG42" i="24"/>
  <c r="BM42" i="24" s="1"/>
  <c r="BS42" i="24"/>
  <c r="BV42" i="24" s="1"/>
  <c r="BX42" i="24" s="1"/>
  <c r="BY191" i="24"/>
  <c r="CA191" i="24" s="1"/>
  <c r="BM191" i="24"/>
  <c r="BN191" i="24" s="1"/>
  <c r="BA234" i="25"/>
  <c r="BC234" i="25"/>
  <c r="BT234" i="25" s="1"/>
  <c r="BB234" i="25"/>
  <c r="BS234" i="25" s="1"/>
  <c r="BB84" i="25"/>
  <c r="BS84" i="25" s="1"/>
  <c r="BC84" i="25"/>
  <c r="BT84" i="25" s="1"/>
  <c r="BA84" i="25"/>
  <c r="BS43" i="24"/>
  <c r="BV43" i="24" s="1"/>
  <c r="BX43" i="24" s="1"/>
  <c r="BG43" i="24"/>
  <c r="BM43" i="24" s="1"/>
  <c r="BC116" i="25"/>
  <c r="BT116" i="25" s="1"/>
  <c r="BB116" i="25"/>
  <c r="BS116" i="25" s="1"/>
  <c r="BA116" i="25"/>
  <c r="BG116" i="24"/>
  <c r="BS116" i="24"/>
  <c r="BX116" i="24" s="1"/>
  <c r="BE34" i="25"/>
  <c r="BK34" i="25" s="1"/>
  <c r="BR34" i="25"/>
  <c r="BV34" i="25" s="1"/>
  <c r="BX34" i="25" s="1"/>
  <c r="BG196" i="24"/>
  <c r="BS196" i="24"/>
  <c r="BX196" i="24" s="1"/>
  <c r="BG173" i="24"/>
  <c r="BS173" i="24"/>
  <c r="BX173" i="24" s="1"/>
  <c r="BB146" i="25"/>
  <c r="BS146" i="25" s="1"/>
  <c r="BC146" i="25"/>
  <c r="BT146" i="25" s="1"/>
  <c r="BA146" i="25"/>
  <c r="BC63" i="25"/>
  <c r="BT63" i="25" s="1"/>
  <c r="BB63" i="25"/>
  <c r="BS63" i="25" s="1"/>
  <c r="BA63" i="25"/>
  <c r="BA52" i="25"/>
  <c r="BB52" i="25"/>
  <c r="BS52" i="25" s="1"/>
  <c r="BC52" i="25"/>
  <c r="BT52" i="25" s="1"/>
  <c r="BB290" i="25"/>
  <c r="BS290" i="25" s="1"/>
  <c r="BC290" i="25"/>
  <c r="BT290" i="25" s="1"/>
  <c r="BA290" i="25"/>
  <c r="BG125" i="24"/>
  <c r="BS125" i="24"/>
  <c r="BX125" i="24" s="1"/>
  <c r="BS221" i="24"/>
  <c r="BX221" i="24" s="1"/>
  <c r="BG221" i="24"/>
  <c r="BB249" i="25"/>
  <c r="BS249" i="25" s="1"/>
  <c r="BA249" i="25"/>
  <c r="BC249" i="25"/>
  <c r="BT249" i="25" s="1"/>
  <c r="BE114" i="25"/>
  <c r="BR114" i="25"/>
  <c r="BX114" i="25" s="1"/>
  <c r="BB300" i="25"/>
  <c r="BS300" i="25" s="1"/>
  <c r="BA300" i="25"/>
  <c r="BC300" i="25"/>
  <c r="BT300" i="25" s="1"/>
  <c r="BG186" i="24"/>
  <c r="BS186" i="24"/>
  <c r="BX186" i="24" s="1"/>
  <c r="BA153" i="25"/>
  <c r="BB153" i="25"/>
  <c r="BS153" i="25" s="1"/>
  <c r="BC153" i="25"/>
  <c r="BT153" i="25" s="1"/>
  <c r="BN21" i="24"/>
  <c r="BY21" i="24"/>
  <c r="CA21" i="24" s="1"/>
  <c r="BG267" i="24"/>
  <c r="BS267" i="24"/>
  <c r="BX267" i="24" s="1"/>
  <c r="BG281" i="24"/>
  <c r="BS281" i="24"/>
  <c r="BX281" i="24" s="1"/>
  <c r="BS94" i="24"/>
  <c r="BV94" i="24" s="1"/>
  <c r="BX94" i="24" s="1"/>
  <c r="BG94" i="24"/>
  <c r="BM94" i="24" s="1"/>
  <c r="BS13" i="24"/>
  <c r="BV13" i="24" s="1"/>
  <c r="BX13" i="24" s="1"/>
  <c r="BG13" i="24"/>
  <c r="BM13" i="24" s="1"/>
  <c r="BA281" i="25"/>
  <c r="BC281" i="25"/>
  <c r="BT281" i="25" s="1"/>
  <c r="BB281" i="25"/>
  <c r="BS281" i="25" s="1"/>
  <c r="BG220" i="24"/>
  <c r="BS220" i="24"/>
  <c r="BX220" i="24" s="1"/>
  <c r="BE275" i="25"/>
  <c r="BR275" i="25"/>
  <c r="BX275" i="25" s="1"/>
  <c r="BA160" i="25"/>
  <c r="BB160" i="25"/>
  <c r="BS160" i="25" s="1"/>
  <c r="BC160" i="25"/>
  <c r="BT160" i="25" s="1"/>
  <c r="U452" i="29"/>
  <c r="V452" i="29"/>
  <c r="U97" i="29"/>
  <c r="V97" i="29"/>
  <c r="V285" i="29"/>
  <c r="U285" i="29"/>
  <c r="V599" i="29"/>
  <c r="U599" i="29"/>
  <c r="V193" i="29"/>
  <c r="U193" i="29"/>
  <c r="U58" i="29"/>
  <c r="V58" i="29"/>
  <c r="AO585" i="29"/>
  <c r="BG222" i="24"/>
  <c r="BS222" i="24"/>
  <c r="BX222" i="24" s="1"/>
  <c r="BS70" i="24"/>
  <c r="BV70" i="24" s="1"/>
  <c r="BX70" i="24" s="1"/>
  <c r="BG70" i="24"/>
  <c r="BM70" i="24" s="1"/>
  <c r="BE282" i="25"/>
  <c r="BR282" i="25"/>
  <c r="BX282" i="25" s="1"/>
  <c r="BB302" i="25"/>
  <c r="BS302" i="25" s="1"/>
  <c r="BC302" i="25"/>
  <c r="BT302" i="25" s="1"/>
  <c r="BA302" i="25"/>
  <c r="BB176" i="25"/>
  <c r="BS176" i="25" s="1"/>
  <c r="BC176" i="25"/>
  <c r="BT176" i="25" s="1"/>
  <c r="BA176" i="25"/>
  <c r="BG158" i="24"/>
  <c r="BS158" i="24"/>
  <c r="BX158" i="24" s="1"/>
  <c r="BR201" i="25"/>
  <c r="BX201" i="25" s="1"/>
  <c r="BE201" i="25"/>
  <c r="BG90" i="24"/>
  <c r="BM90" i="24" s="1"/>
  <c r="BS90" i="24"/>
  <c r="BV90" i="24" s="1"/>
  <c r="BX90" i="24" s="1"/>
  <c r="BE95" i="25"/>
  <c r="BK95" i="25" s="1"/>
  <c r="BR95" i="25"/>
  <c r="BV95" i="25" s="1"/>
  <c r="BX95" i="25" s="1"/>
  <c r="BA41" i="25"/>
  <c r="BB41" i="25"/>
  <c r="BS41" i="25" s="1"/>
  <c r="BC41" i="25"/>
  <c r="BT41" i="25" s="1"/>
  <c r="BA17" i="25"/>
  <c r="BB17" i="25"/>
  <c r="BS17" i="25" s="1"/>
  <c r="BC17" i="25"/>
  <c r="BT17" i="25" s="1"/>
  <c r="BS56" i="24"/>
  <c r="BV56" i="24" s="1"/>
  <c r="BX56" i="24" s="1"/>
  <c r="BG56" i="24"/>
  <c r="BM56" i="24" s="1"/>
  <c r="BS91" i="24"/>
  <c r="BV91" i="24" s="1"/>
  <c r="BX91" i="24" s="1"/>
  <c r="BG91" i="24"/>
  <c r="BM91" i="24" s="1"/>
  <c r="BE92" i="25"/>
  <c r="BK92" i="25" s="1"/>
  <c r="BR92" i="25"/>
  <c r="BV92" i="25" s="1"/>
  <c r="BX92" i="25" s="1"/>
  <c r="BN24" i="24"/>
  <c r="BY190" i="24"/>
  <c r="CA190" i="24" s="1"/>
  <c r="CB190" i="24" s="1"/>
  <c r="BM190" i="24"/>
  <c r="BN190" i="24" s="1"/>
  <c r="BS40" i="24"/>
  <c r="BV40" i="24" s="1"/>
  <c r="BX40" i="24" s="1"/>
  <c r="BG40" i="24"/>
  <c r="BM40" i="24" s="1"/>
  <c r="BG140" i="24"/>
  <c r="BS140" i="24"/>
  <c r="BX140" i="24" s="1"/>
  <c r="BC286" i="25"/>
  <c r="BT286" i="25" s="1"/>
  <c r="BB286" i="25"/>
  <c r="BS286" i="25" s="1"/>
  <c r="BA286" i="25"/>
  <c r="BA60" i="25"/>
  <c r="BC60" i="25"/>
  <c r="BT60" i="25" s="1"/>
  <c r="BB60" i="25"/>
  <c r="BS60" i="25" s="1"/>
  <c r="BG310" i="24"/>
  <c r="BS310" i="24"/>
  <c r="BX310" i="24" s="1"/>
  <c r="BA101" i="25"/>
  <c r="BC101" i="25"/>
  <c r="BT101" i="25" s="1"/>
  <c r="BB101" i="25"/>
  <c r="BS101" i="25" s="1"/>
  <c r="BB26" i="25"/>
  <c r="BS26" i="25" s="1"/>
  <c r="BC26" i="25"/>
  <c r="BT26" i="25" s="1"/>
  <c r="BA26" i="25"/>
  <c r="BE296" i="25"/>
  <c r="BR296" i="25"/>
  <c r="BX296" i="25" s="1"/>
  <c r="BN34" i="24"/>
  <c r="BA51" i="25"/>
  <c r="BC51" i="25"/>
  <c r="BT51" i="25" s="1"/>
  <c r="BB51" i="25"/>
  <c r="BS51" i="25" s="1"/>
  <c r="BG113" i="24"/>
  <c r="BS113" i="24"/>
  <c r="BX113" i="24" s="1"/>
  <c r="BA150" i="25"/>
  <c r="BB150" i="25"/>
  <c r="BS150" i="25" s="1"/>
  <c r="BC150" i="25"/>
  <c r="BT150" i="25" s="1"/>
  <c r="BG181" i="24"/>
  <c r="BS181" i="24"/>
  <c r="BX181" i="24" s="1"/>
  <c r="BS87" i="24"/>
  <c r="BV87" i="24" s="1"/>
  <c r="BX87" i="24" s="1"/>
  <c r="BG87" i="24"/>
  <c r="BM87" i="24" s="1"/>
  <c r="BG118" i="24"/>
  <c r="BS118" i="24"/>
  <c r="BX118" i="24" s="1"/>
  <c r="BE247" i="25"/>
  <c r="BR247" i="25"/>
  <c r="BX247" i="25" s="1"/>
  <c r="BG168" i="24"/>
  <c r="BS168" i="24"/>
  <c r="BX168" i="24" s="1"/>
  <c r="BB12" i="25"/>
  <c r="BS12" i="25" s="1"/>
  <c r="BC12" i="25"/>
  <c r="BT12" i="25" s="1"/>
  <c r="BA12" i="25"/>
  <c r="BG47" i="24"/>
  <c r="BM47" i="24" s="1"/>
  <c r="BS47" i="24"/>
  <c r="BV47" i="24" s="1"/>
  <c r="BX47" i="24" s="1"/>
  <c r="BA46" i="25"/>
  <c r="BB46" i="25"/>
  <c r="BS46" i="25" s="1"/>
  <c r="BC46" i="25"/>
  <c r="BT46" i="25" s="1"/>
  <c r="BB75" i="25"/>
  <c r="BS75" i="25" s="1"/>
  <c r="BC75" i="25"/>
  <c r="BT75" i="25" s="1"/>
  <c r="BA75" i="25"/>
  <c r="BG243" i="24"/>
  <c r="BS243" i="24"/>
  <c r="BX243" i="24" s="1"/>
  <c r="BG249" i="24"/>
  <c r="BS249" i="24"/>
  <c r="BX249" i="24" s="1"/>
  <c r="BA7" i="25"/>
  <c r="BB7" i="25"/>
  <c r="BS7" i="25" s="1"/>
  <c r="BC7" i="25"/>
  <c r="BT7" i="25" s="1"/>
  <c r="BC112" i="25"/>
  <c r="BT112" i="25" s="1"/>
  <c r="BB112" i="25"/>
  <c r="BS112" i="25" s="1"/>
  <c r="BA112" i="25"/>
  <c r="BC250" i="25"/>
  <c r="BT250" i="25" s="1"/>
  <c r="BA250" i="25"/>
  <c r="BB250" i="25"/>
  <c r="BS250" i="25" s="1"/>
  <c r="BG126" i="24"/>
  <c r="BS126" i="24"/>
  <c r="BX126" i="24" s="1"/>
  <c r="BG275" i="24"/>
  <c r="BS275" i="24"/>
  <c r="BX275" i="24" s="1"/>
  <c r="BG81" i="24"/>
  <c r="BM81" i="24" s="1"/>
  <c r="BS81" i="24"/>
  <c r="BV81" i="24" s="1"/>
  <c r="BX81" i="24" s="1"/>
  <c r="BG200" i="24"/>
  <c r="BS200" i="24"/>
  <c r="BX200" i="24" s="1"/>
  <c r="BS180" i="24"/>
  <c r="BX180" i="24" s="1"/>
  <c r="BG180" i="24"/>
  <c r="BC294" i="25"/>
  <c r="BT294" i="25" s="1"/>
  <c r="BB294" i="25"/>
  <c r="BS294" i="25" s="1"/>
  <c r="BA294" i="25"/>
  <c r="BE186" i="25"/>
  <c r="BR186" i="25"/>
  <c r="BX186" i="25" s="1"/>
  <c r="BE131" i="25"/>
  <c r="BR131" i="25"/>
  <c r="BX131" i="25" s="1"/>
  <c r="BG246" i="24"/>
  <c r="BS246" i="24"/>
  <c r="BX246" i="24" s="1"/>
  <c r="BS66" i="24"/>
  <c r="BV66" i="24" s="1"/>
  <c r="BX66" i="24" s="1"/>
  <c r="BG66" i="24"/>
  <c r="BM66" i="24" s="1"/>
  <c r="BG293" i="24"/>
  <c r="BS293" i="24"/>
  <c r="BX293" i="24" s="1"/>
  <c r="BG15" i="24"/>
  <c r="BM15" i="24" s="1"/>
  <c r="BS15" i="24"/>
  <c r="BV15" i="24" s="1"/>
  <c r="BX15" i="24" s="1"/>
  <c r="BG230" i="24"/>
  <c r="BS230" i="24"/>
  <c r="BX230" i="24" s="1"/>
  <c r="BB168" i="25"/>
  <c r="BS168" i="25" s="1"/>
  <c r="BC168" i="25"/>
  <c r="BT168" i="25" s="1"/>
  <c r="BA168" i="25"/>
  <c r="BE174" i="25"/>
  <c r="BR174" i="25"/>
  <c r="BX174" i="25" s="1"/>
  <c r="BE314" i="25"/>
  <c r="BR314" i="25"/>
  <c r="BX314" i="25" s="1"/>
  <c r="BB184" i="25"/>
  <c r="BS184" i="25" s="1"/>
  <c r="BC184" i="25"/>
  <c r="BT184" i="25" s="1"/>
  <c r="BA184" i="25"/>
  <c r="BY294" i="24"/>
  <c r="CA294" i="24" s="1"/>
  <c r="CB294" i="24" s="1"/>
  <c r="BM294" i="24"/>
  <c r="BN294" i="24" s="1"/>
  <c r="BR82" i="25"/>
  <c r="BV82" i="25" s="1"/>
  <c r="BX82" i="25" s="1"/>
  <c r="BE82" i="25"/>
  <c r="BK82" i="25" s="1"/>
  <c r="BG309" i="24"/>
  <c r="BS309" i="24"/>
  <c r="BX309" i="24" s="1"/>
  <c r="BG35" i="24"/>
  <c r="BM35" i="24" s="1"/>
  <c r="BS35" i="24"/>
  <c r="BV35" i="24" s="1"/>
  <c r="BX35" i="24" s="1"/>
  <c r="BC202" i="25"/>
  <c r="BT202" i="25" s="1"/>
  <c r="BB202" i="25"/>
  <c r="BS202" i="25" s="1"/>
  <c r="BA202" i="25"/>
  <c r="BG174" i="24"/>
  <c r="BS174" i="24"/>
  <c r="BX174" i="24" s="1"/>
  <c r="BC142" i="25"/>
  <c r="BT142" i="25" s="1"/>
  <c r="BB142" i="25"/>
  <c r="BS142" i="25" s="1"/>
  <c r="BA142" i="25"/>
  <c r="BC298" i="25"/>
  <c r="BT298" i="25" s="1"/>
  <c r="BB298" i="25"/>
  <c r="BS298" i="25" s="1"/>
  <c r="BA298" i="25"/>
  <c r="BS23" i="24"/>
  <c r="BV23" i="24" s="1"/>
  <c r="BX23" i="24" s="1"/>
  <c r="BG23" i="24"/>
  <c r="BM23" i="24" s="1"/>
  <c r="BA22" i="25"/>
  <c r="BC22" i="25"/>
  <c r="BT22" i="25" s="1"/>
  <c r="BB22" i="25"/>
  <c r="BS22" i="25" s="1"/>
  <c r="BG74" i="24"/>
  <c r="BM74" i="24" s="1"/>
  <c r="BS74" i="24"/>
  <c r="BV74" i="24" s="1"/>
  <c r="BX74" i="24" s="1"/>
  <c r="BB253" i="25"/>
  <c r="BS253" i="25" s="1"/>
  <c r="BC253" i="25"/>
  <c r="BT253" i="25" s="1"/>
  <c r="BA253" i="25"/>
  <c r="BA141" i="25"/>
  <c r="BC141" i="25"/>
  <c r="BT141" i="25" s="1"/>
  <c r="BB141" i="25"/>
  <c r="BS141" i="25" s="1"/>
  <c r="BG127" i="24"/>
  <c r="BS127" i="24"/>
  <c r="BX127" i="24" s="1"/>
  <c r="BB162" i="25"/>
  <c r="BS162" i="25" s="1"/>
  <c r="BC162" i="25"/>
  <c r="BT162" i="25" s="1"/>
  <c r="BA162" i="25"/>
  <c r="BE229" i="25"/>
  <c r="BR229" i="25"/>
  <c r="BX229" i="25" s="1"/>
  <c r="BG312" i="24"/>
  <c r="BS312" i="24"/>
  <c r="BX312" i="24" s="1"/>
  <c r="BS68" i="24"/>
  <c r="BV68" i="24" s="1"/>
  <c r="BX68" i="24" s="1"/>
  <c r="BG68" i="24"/>
  <c r="BM68" i="24" s="1"/>
  <c r="BM282" i="24"/>
  <c r="BN282" i="24" s="1"/>
  <c r="BS36" i="24"/>
  <c r="BV36" i="24" s="1"/>
  <c r="BX36" i="24" s="1"/>
  <c r="BG36" i="24"/>
  <c r="BM36" i="24" s="1"/>
  <c r="BA285" i="25"/>
  <c r="BB285" i="25"/>
  <c r="BS285" i="25" s="1"/>
  <c r="BC285" i="25"/>
  <c r="BT285" i="25" s="1"/>
  <c r="BG262" i="24"/>
  <c r="BS262" i="24"/>
  <c r="BX262" i="24" s="1"/>
  <c r="BA103" i="25"/>
  <c r="BC103" i="25"/>
  <c r="BT103" i="25" s="1"/>
  <c r="BB103" i="25"/>
  <c r="BS103" i="25" s="1"/>
  <c r="BA164" i="25"/>
  <c r="BC164" i="25"/>
  <c r="BT164" i="25" s="1"/>
  <c r="BB164" i="25"/>
  <c r="BS164" i="25" s="1"/>
  <c r="BG297" i="24"/>
  <c r="BS297" i="24"/>
  <c r="BX297" i="24" s="1"/>
  <c r="BS96" i="24"/>
  <c r="BV96" i="24" s="1"/>
  <c r="BX96" i="24" s="1"/>
  <c r="BG96" i="24"/>
  <c r="BM96" i="24" s="1"/>
  <c r="BS60" i="24"/>
  <c r="BV60" i="24" s="1"/>
  <c r="BX60" i="24" s="1"/>
  <c r="BG60" i="24"/>
  <c r="BM60" i="24" s="1"/>
  <c r="U110" i="29"/>
  <c r="V110" i="29"/>
  <c r="U231" i="29"/>
  <c r="V231" i="29"/>
  <c r="V464" i="29"/>
  <c r="U464" i="29"/>
  <c r="U155" i="29"/>
  <c r="V155" i="29"/>
  <c r="BE258" i="25"/>
  <c r="BR258" i="25"/>
  <c r="BX258" i="25" s="1"/>
  <c r="BA50" i="25"/>
  <c r="BB50" i="25"/>
  <c r="BS50" i="25" s="1"/>
  <c r="BC50" i="25"/>
  <c r="BT50" i="25" s="1"/>
  <c r="BR28" i="25"/>
  <c r="BV28" i="25" s="1"/>
  <c r="BX28" i="25" s="1"/>
  <c r="BE28" i="25"/>
  <c r="BK28" i="25" s="1"/>
  <c r="BA216" i="25"/>
  <c r="BB216" i="25"/>
  <c r="BS216" i="25" s="1"/>
  <c r="BC216" i="25"/>
  <c r="BT216" i="25" s="1"/>
  <c r="BG192" i="24"/>
  <c r="BS192" i="24"/>
  <c r="BX192" i="24" s="1"/>
  <c r="BE32" i="25"/>
  <c r="BK32" i="25" s="1"/>
  <c r="BR32" i="25"/>
  <c r="BV32" i="25" s="1"/>
  <c r="BX32" i="25" s="1"/>
  <c r="BA193" i="25"/>
  <c r="BB193" i="25"/>
  <c r="BS193" i="25" s="1"/>
  <c r="BC193" i="25"/>
  <c r="BT193" i="25" s="1"/>
  <c r="BG218" i="24"/>
  <c r="BS218" i="24"/>
  <c r="BX218" i="24" s="1"/>
  <c r="BM117" i="24"/>
  <c r="BN117" i="24" s="1"/>
  <c r="BA152" i="25"/>
  <c r="BB152" i="25"/>
  <c r="BS152" i="25" s="1"/>
  <c r="BC152" i="25"/>
  <c r="BT152" i="25" s="1"/>
  <c r="BS32" i="24"/>
  <c r="BV32" i="24" s="1"/>
  <c r="BX32" i="24" s="1"/>
  <c r="BG32" i="24"/>
  <c r="BM32" i="24" s="1"/>
  <c r="BB197" i="25"/>
  <c r="BS197" i="25" s="1"/>
  <c r="BC197" i="25"/>
  <c r="BT197" i="25" s="1"/>
  <c r="BA197" i="25"/>
  <c r="BG271" i="24"/>
  <c r="BS271" i="24"/>
  <c r="BX271" i="24" s="1"/>
  <c r="BC288" i="25"/>
  <c r="BT288" i="25" s="1"/>
  <c r="BB288" i="25"/>
  <c r="BS288" i="25" s="1"/>
  <c r="BA288" i="25"/>
  <c r="BS62" i="24"/>
  <c r="BV62" i="24" s="1"/>
  <c r="BX62" i="24" s="1"/>
  <c r="BG62" i="24"/>
  <c r="BM62" i="24" s="1"/>
  <c r="BC308" i="25"/>
  <c r="BT308" i="25" s="1"/>
  <c r="BB308" i="25"/>
  <c r="BS308" i="25" s="1"/>
  <c r="BA308" i="25"/>
  <c r="BS103" i="24"/>
  <c r="BV103" i="24" s="1"/>
  <c r="BX103" i="24" s="1"/>
  <c r="BG103" i="24"/>
  <c r="BM103" i="24" s="1"/>
  <c r="BS73" i="24"/>
  <c r="BV73" i="24" s="1"/>
  <c r="BX73" i="24" s="1"/>
  <c r="BG73" i="24"/>
  <c r="BM73" i="24" s="1"/>
  <c r="BY143" i="25"/>
  <c r="CA143" i="25" s="1"/>
  <c r="CB143" i="25" s="1"/>
  <c r="BL143" i="25"/>
  <c r="BK143" i="25"/>
  <c r="BG285" i="24"/>
  <c r="BS285" i="24"/>
  <c r="BX285" i="24" s="1"/>
  <c r="BE177" i="25"/>
  <c r="BR177" i="25"/>
  <c r="BX177" i="25" s="1"/>
  <c r="BG171" i="24"/>
  <c r="BS171" i="24"/>
  <c r="BX171" i="24" s="1"/>
  <c r="BB220" i="25"/>
  <c r="BS220" i="25" s="1"/>
  <c r="BC220" i="25"/>
  <c r="BT220" i="25" s="1"/>
  <c r="BA220" i="25"/>
  <c r="BA163" i="25"/>
  <c r="BC163" i="25"/>
  <c r="BT163" i="25" s="1"/>
  <c r="BB163" i="25"/>
  <c r="BS163" i="25" s="1"/>
  <c r="B138" i="2"/>
  <c r="B141" i="2"/>
  <c r="L36" i="1" s="1"/>
  <c r="BG176" i="24"/>
  <c r="BS176" i="24"/>
  <c r="BX176" i="24" s="1"/>
  <c r="BA27" i="25"/>
  <c r="BB27" i="25"/>
  <c r="BS27" i="25" s="1"/>
  <c r="BC27" i="25"/>
  <c r="BT27" i="25" s="1"/>
  <c r="BG153" i="24"/>
  <c r="BS153" i="24"/>
  <c r="BX153" i="24" s="1"/>
  <c r="BA208" i="25"/>
  <c r="BC208" i="25"/>
  <c r="BT208" i="25" s="1"/>
  <c r="BB208" i="25"/>
  <c r="BS208" i="25" s="1"/>
  <c r="BY240" i="24"/>
  <c r="CA240" i="24" s="1"/>
  <c r="CB240" i="24" s="1"/>
  <c r="BM240" i="24"/>
  <c r="BN240" i="24" s="1"/>
  <c r="BG175" i="24"/>
  <c r="BS175" i="24"/>
  <c r="BX175" i="24" s="1"/>
  <c r="BE267" i="25"/>
  <c r="BR267" i="25"/>
  <c r="BX267" i="25" s="1"/>
  <c r="BA228" i="25"/>
  <c r="BB228" i="25"/>
  <c r="BS228" i="25" s="1"/>
  <c r="BC228" i="25"/>
  <c r="BT228" i="25" s="1"/>
  <c r="BA126" i="25"/>
  <c r="BB126" i="25"/>
  <c r="BS126" i="25" s="1"/>
  <c r="BC126" i="25"/>
  <c r="BT126" i="25" s="1"/>
  <c r="BG86" i="24"/>
  <c r="BM86" i="24" s="1"/>
  <c r="BS86" i="24"/>
  <c r="BV86" i="24" s="1"/>
  <c r="BX86" i="24" s="1"/>
  <c r="BN101" i="24"/>
  <c r="BY101" i="24"/>
  <c r="CA101" i="24" s="1"/>
  <c r="BA19" i="25"/>
  <c r="BC19" i="25"/>
  <c r="BT19" i="25" s="1"/>
  <c r="BB19" i="25"/>
  <c r="BS19" i="25" s="1"/>
  <c r="BS52" i="24"/>
  <c r="BV52" i="24" s="1"/>
  <c r="BX52" i="24" s="1"/>
  <c r="BG52" i="24"/>
  <c r="BM52" i="24" s="1"/>
  <c r="BS79" i="24"/>
  <c r="BV79" i="24" s="1"/>
  <c r="BX79" i="24" s="1"/>
  <c r="BG79" i="24"/>
  <c r="BM79" i="24" s="1"/>
  <c r="BG197" i="24"/>
  <c r="BS197" i="24"/>
  <c r="BX197" i="24" s="1"/>
  <c r="BA268" i="25"/>
  <c r="BC268" i="25"/>
  <c r="BT268" i="25" s="1"/>
  <c r="BB268" i="25"/>
  <c r="BS268" i="25" s="1"/>
  <c r="BS65" i="24"/>
  <c r="BV65" i="24" s="1"/>
  <c r="BX65" i="24" s="1"/>
  <c r="BG65" i="24"/>
  <c r="BM65" i="24" s="1"/>
  <c r="BE190" i="25"/>
  <c r="BR190" i="25"/>
  <c r="BX190" i="25" s="1"/>
  <c r="BG17" i="24"/>
  <c r="BM17" i="24" s="1"/>
  <c r="BS17" i="24"/>
  <c r="BV17" i="24" s="1"/>
  <c r="BX17" i="24" s="1"/>
  <c r="BG114" i="24"/>
  <c r="BS114" i="24"/>
  <c r="BX114" i="24" s="1"/>
  <c r="BG30" i="24"/>
  <c r="BM30" i="24" s="1"/>
  <c r="BS30" i="24"/>
  <c r="BV30" i="24" s="1"/>
  <c r="BX30" i="24" s="1"/>
  <c r="BA35" i="25"/>
  <c r="BB35" i="25"/>
  <c r="BS35" i="25" s="1"/>
  <c r="BC35" i="25"/>
  <c r="BT35" i="25" s="1"/>
  <c r="BG201" i="24"/>
  <c r="BS201" i="24"/>
  <c r="BX201" i="24" s="1"/>
  <c r="BS9" i="24"/>
  <c r="BV9" i="24" s="1"/>
  <c r="BX9" i="24" s="1"/>
  <c r="BG9" i="24"/>
  <c r="BM9" i="24" s="1"/>
  <c r="BR192" i="25"/>
  <c r="BX192" i="25" s="1"/>
  <c r="BE192" i="25"/>
  <c r="BE238" i="25"/>
  <c r="BR238" i="25"/>
  <c r="BX238" i="25" s="1"/>
  <c r="BA24" i="25"/>
  <c r="BB24" i="25"/>
  <c r="BS24" i="25" s="1"/>
  <c r="BC24" i="25"/>
  <c r="BT24" i="25" s="1"/>
  <c r="BE291" i="25"/>
  <c r="BR291" i="25"/>
  <c r="BX291" i="25" s="1"/>
  <c r="BN6" i="24"/>
  <c r="BS49" i="24"/>
  <c r="BV49" i="24" s="1"/>
  <c r="BX49" i="24" s="1"/>
  <c r="BG49" i="24"/>
  <c r="BM49" i="24" s="1"/>
  <c r="BC79" i="25"/>
  <c r="BT79" i="25" s="1"/>
  <c r="BB79" i="25"/>
  <c r="BS79" i="25" s="1"/>
  <c r="BA79" i="25"/>
  <c r="BG223" i="24"/>
  <c r="BS223" i="24"/>
  <c r="BX223" i="24" s="1"/>
  <c r="BM279" i="24"/>
  <c r="BN279" i="24" s="1"/>
  <c r="BB169" i="25"/>
  <c r="BS169" i="25" s="1"/>
  <c r="BC169" i="25"/>
  <c r="BT169" i="25" s="1"/>
  <c r="BA169" i="25"/>
  <c r="BC310" i="25"/>
  <c r="BT310" i="25" s="1"/>
  <c r="BA310" i="25"/>
  <c r="BB310" i="25"/>
  <c r="BS310" i="25" s="1"/>
  <c r="BS39" i="24"/>
  <c r="BV39" i="24" s="1"/>
  <c r="BX39" i="24" s="1"/>
  <c r="BG39" i="24"/>
  <c r="BM39" i="24" s="1"/>
  <c r="BG314" i="24"/>
  <c r="BS314" i="24"/>
  <c r="BX314" i="24" s="1"/>
  <c r="BA135" i="25"/>
  <c r="BB135" i="25"/>
  <c r="BS135" i="25" s="1"/>
  <c r="BC135" i="25"/>
  <c r="BT135" i="25" s="1"/>
  <c r="BG307" i="24"/>
  <c r="BS307" i="24"/>
  <c r="BX307" i="24" s="1"/>
  <c r="BA301" i="25"/>
  <c r="BB301" i="25"/>
  <c r="BS301" i="25" s="1"/>
  <c r="BC301" i="25"/>
  <c r="BT301" i="25" s="1"/>
  <c r="BY152" i="24"/>
  <c r="CA152" i="24" s="1"/>
  <c r="CB152" i="24" s="1"/>
  <c r="BM152" i="24"/>
  <c r="BN152" i="24" s="1"/>
  <c r="BG124" i="24"/>
  <c r="BS124" i="24"/>
  <c r="BX124" i="24" s="1"/>
  <c r="BG163" i="24"/>
  <c r="BS163" i="24"/>
  <c r="BX163" i="24" s="1"/>
  <c r="BR261" i="25"/>
  <c r="BX261" i="25" s="1"/>
  <c r="BE261" i="25"/>
  <c r="BA304" i="25"/>
  <c r="BC304" i="25"/>
  <c r="BT304" i="25" s="1"/>
  <c r="BB304" i="25"/>
  <c r="BS304" i="25" s="1"/>
  <c r="BB195" i="25"/>
  <c r="BS195" i="25" s="1"/>
  <c r="BC195" i="25"/>
  <c r="BT195" i="25" s="1"/>
  <c r="BA195" i="25"/>
  <c r="U328" i="29"/>
  <c r="V328" i="29"/>
  <c r="V78" i="29"/>
  <c r="U78" i="29"/>
  <c r="V174" i="29"/>
  <c r="U174" i="29"/>
  <c r="BG184" i="24"/>
  <c r="BS184" i="24"/>
  <c r="BX184" i="24" s="1"/>
  <c r="BG157" i="24"/>
  <c r="BS157" i="24"/>
  <c r="BX157" i="24" s="1"/>
  <c r="BY260" i="24"/>
  <c r="CA260" i="24" s="1"/>
  <c r="CB260" i="24" s="1"/>
  <c r="BM260" i="24"/>
  <c r="BN260" i="24" s="1"/>
  <c r="BN58" i="24"/>
  <c r="BC272" i="25"/>
  <c r="BT272" i="25" s="1"/>
  <c r="BB272" i="25"/>
  <c r="BS272" i="25" s="1"/>
  <c r="BA272" i="25"/>
  <c r="BY22" i="24"/>
  <c r="CA22" i="24" s="1"/>
  <c r="BN22" i="24"/>
  <c r="BG123" i="24"/>
  <c r="BS123" i="24"/>
  <c r="BX123" i="24" s="1"/>
  <c r="BG198" i="24"/>
  <c r="BS198" i="24"/>
  <c r="BX198" i="24" s="1"/>
  <c r="BG258" i="24"/>
  <c r="BS258" i="24"/>
  <c r="BX258" i="24" s="1"/>
  <c r="BA303" i="25"/>
  <c r="BC303" i="25"/>
  <c r="BT303" i="25" s="1"/>
  <c r="BB303" i="25"/>
  <c r="BS303" i="25" s="1"/>
  <c r="BB205" i="25"/>
  <c r="BS205" i="25" s="1"/>
  <c r="BC205" i="25"/>
  <c r="BT205" i="25" s="1"/>
  <c r="BA205" i="25"/>
  <c r="BE31" i="25"/>
  <c r="BK31" i="25" s="1"/>
  <c r="BR31" i="25"/>
  <c r="BV31" i="25" s="1"/>
  <c r="BX31" i="25" s="1"/>
  <c r="BG71" i="24"/>
  <c r="BM71" i="24" s="1"/>
  <c r="BS71" i="24"/>
  <c r="BV71" i="24" s="1"/>
  <c r="BX71" i="24" s="1"/>
  <c r="BB295" i="25"/>
  <c r="BS295" i="25" s="1"/>
  <c r="BC295" i="25"/>
  <c r="BT295" i="25" s="1"/>
  <c r="BA295" i="25"/>
  <c r="BG195" i="24"/>
  <c r="BS195" i="24"/>
  <c r="BX195" i="24" s="1"/>
  <c r="BG129" i="24"/>
  <c r="BS129" i="24"/>
  <c r="BX129" i="24" s="1"/>
  <c r="BA38" i="25"/>
  <c r="BC38" i="25"/>
  <c r="BT38" i="25" s="1"/>
  <c r="BB38" i="25"/>
  <c r="BS38" i="25" s="1"/>
  <c r="BA20" i="25"/>
  <c r="BC20" i="25"/>
  <c r="BT20" i="25" s="1"/>
  <c r="BB20" i="25"/>
  <c r="BS20" i="25" s="1"/>
  <c r="BG104" i="24"/>
  <c r="BM104" i="24" s="1"/>
  <c r="BS104" i="24"/>
  <c r="BV104" i="24" s="1"/>
  <c r="BX104" i="24" s="1"/>
  <c r="BN20" i="24"/>
  <c r="BA307" i="25"/>
  <c r="BB307" i="25"/>
  <c r="BS307" i="25" s="1"/>
  <c r="BC307" i="25"/>
  <c r="BT307" i="25" s="1"/>
  <c r="BY142" i="24"/>
  <c r="CA142" i="24" s="1"/>
  <c r="CB142" i="24" s="1"/>
  <c r="BM142" i="24"/>
  <c r="BN142" i="24" s="1"/>
  <c r="BB315" i="25"/>
  <c r="BS315" i="25" s="1"/>
  <c r="BC315" i="25"/>
  <c r="BT315" i="25" s="1"/>
  <c r="BA315" i="25"/>
  <c r="BG144" i="24"/>
  <c r="BS144" i="24"/>
  <c r="BX144" i="24" s="1"/>
  <c r="BB133" i="25"/>
  <c r="BS133" i="25" s="1"/>
  <c r="BA133" i="25"/>
  <c r="BC133" i="25"/>
  <c r="BT133" i="25" s="1"/>
  <c r="BC134" i="25"/>
  <c r="BT134" i="25" s="1"/>
  <c r="BB134" i="25"/>
  <c r="BS134" i="25" s="1"/>
  <c r="BA134" i="25"/>
  <c r="BC140" i="25"/>
  <c r="BT140" i="25" s="1"/>
  <c r="BB140" i="25"/>
  <c r="BS140" i="25" s="1"/>
  <c r="BA140" i="25"/>
  <c r="BG304" i="24"/>
  <c r="BS304" i="24"/>
  <c r="BX304" i="24" s="1"/>
  <c r="BA70" i="25"/>
  <c r="BB70" i="25"/>
  <c r="BS70" i="25" s="1"/>
  <c r="BC70" i="25"/>
  <c r="BT70" i="25" s="1"/>
  <c r="BG206" i="24"/>
  <c r="BS206" i="24"/>
  <c r="BX206" i="24" s="1"/>
  <c r="BB61" i="25"/>
  <c r="BS61" i="25" s="1"/>
  <c r="BA61" i="25"/>
  <c r="BC61" i="25"/>
  <c r="BT61" i="25" s="1"/>
  <c r="BB145" i="25"/>
  <c r="BS145" i="25" s="1"/>
  <c r="BC145" i="25"/>
  <c r="BT145" i="25" s="1"/>
  <c r="BA145" i="25"/>
  <c r="BG286" i="24"/>
  <c r="BS286" i="24"/>
  <c r="BX286" i="24" s="1"/>
  <c r="BE13" i="25"/>
  <c r="BK13" i="25" s="1"/>
  <c r="BR13" i="25"/>
  <c r="BV13" i="25" s="1"/>
  <c r="BX13" i="25" s="1"/>
  <c r="BG46" i="24"/>
  <c r="BM46" i="24" s="1"/>
  <c r="BS46" i="24"/>
  <c r="BV46" i="24" s="1"/>
  <c r="BX46" i="24" s="1"/>
  <c r="BC122" i="25"/>
  <c r="BT122" i="25" s="1"/>
  <c r="BA122" i="25"/>
  <c r="BB122" i="25"/>
  <c r="BS122" i="25" s="1"/>
  <c r="BA180" i="25"/>
  <c r="BC180" i="25"/>
  <c r="BT180" i="25" s="1"/>
  <c r="BB180" i="25"/>
  <c r="BS180" i="25" s="1"/>
  <c r="BB76" i="25"/>
  <c r="BS76" i="25" s="1"/>
  <c r="BC76" i="25"/>
  <c r="BT76" i="25" s="1"/>
  <c r="BA76" i="25"/>
  <c r="BG76" i="24"/>
  <c r="BM76" i="24" s="1"/>
  <c r="BS76" i="24"/>
  <c r="BV76" i="24" s="1"/>
  <c r="BX76" i="24" s="1"/>
  <c r="BS203" i="24"/>
  <c r="BX203" i="24" s="1"/>
  <c r="BG203" i="24"/>
  <c r="BG284" i="24"/>
  <c r="BS284" i="24"/>
  <c r="BX284" i="24" s="1"/>
  <c r="BB230" i="25"/>
  <c r="BS230" i="25" s="1"/>
  <c r="BA230" i="25"/>
  <c r="BC230" i="25"/>
  <c r="BT230" i="25" s="1"/>
  <c r="BG194" i="24"/>
  <c r="BS194" i="24"/>
  <c r="BX194" i="24" s="1"/>
  <c r="BB45" i="25"/>
  <c r="BS45" i="25" s="1"/>
  <c r="BC45" i="25"/>
  <c r="BT45" i="25" s="1"/>
  <c r="BA45" i="25"/>
  <c r="BR14" i="25"/>
  <c r="BV14" i="25" s="1"/>
  <c r="BX14" i="25" s="1"/>
  <c r="BE14" i="25"/>
  <c r="BK14" i="25" s="1"/>
  <c r="BE155" i="25"/>
  <c r="BR155" i="25"/>
  <c r="BX155" i="25" s="1"/>
  <c r="BA47" i="25"/>
  <c r="BC47" i="25"/>
  <c r="BT47" i="25" s="1"/>
  <c r="BB47" i="25"/>
  <c r="BS47" i="25" s="1"/>
  <c r="BC203" i="25"/>
  <c r="BT203" i="25" s="1"/>
  <c r="BB203" i="25"/>
  <c r="BS203" i="25" s="1"/>
  <c r="BA203" i="25"/>
  <c r="BY264" i="24"/>
  <c r="CA264" i="24" s="1"/>
  <c r="CB264" i="24" s="1"/>
  <c r="BM264" i="24"/>
  <c r="BN264" i="24" s="1"/>
  <c r="BS82" i="24"/>
  <c r="BV82" i="24" s="1"/>
  <c r="BX82" i="24" s="1"/>
  <c r="BG82" i="24"/>
  <c r="BM82" i="24" s="1"/>
  <c r="BS69" i="24"/>
  <c r="BV69" i="24" s="1"/>
  <c r="BX69" i="24" s="1"/>
  <c r="BG69" i="24"/>
  <c r="BM69" i="24" s="1"/>
  <c r="BB53" i="25"/>
  <c r="BS53" i="25" s="1"/>
  <c r="BC53" i="25"/>
  <c r="BT53" i="25" s="1"/>
  <c r="BA53" i="25"/>
  <c r="BG241" i="24"/>
  <c r="BS241" i="24"/>
  <c r="BX241" i="24" s="1"/>
  <c r="BB137" i="25"/>
  <c r="BS137" i="25" s="1"/>
  <c r="BC137" i="25"/>
  <c r="BT137" i="25" s="1"/>
  <c r="BA137" i="25"/>
  <c r="BE170" i="25"/>
  <c r="BR170" i="25"/>
  <c r="BX170" i="25" s="1"/>
  <c r="BA209" i="25"/>
  <c r="BB209" i="25"/>
  <c r="BS209" i="25" s="1"/>
  <c r="BC209" i="25"/>
  <c r="BT209" i="25" s="1"/>
  <c r="BG302" i="24"/>
  <c r="BS302" i="24"/>
  <c r="BX302" i="24" s="1"/>
  <c r="BE246" i="25"/>
  <c r="BR246" i="25"/>
  <c r="BX246" i="25" s="1"/>
  <c r="BS84" i="24"/>
  <c r="BV84" i="24" s="1"/>
  <c r="BX84" i="24" s="1"/>
  <c r="BG84" i="24"/>
  <c r="BM84" i="24" s="1"/>
  <c r="BE305" i="25"/>
  <c r="BR305" i="25"/>
  <c r="BX305" i="25" s="1"/>
  <c r="BN54" i="24"/>
  <c r="BE306" i="25"/>
  <c r="BR306" i="25"/>
  <c r="BX306" i="25" s="1"/>
  <c r="BE255" i="25"/>
  <c r="BR255" i="25"/>
  <c r="BX255" i="25" s="1"/>
  <c r="BA254" i="25"/>
  <c r="BB254" i="25"/>
  <c r="BS254" i="25" s="1"/>
  <c r="BC254" i="25"/>
  <c r="BT254" i="25" s="1"/>
  <c r="BB210" i="25"/>
  <c r="BS210" i="25" s="1"/>
  <c r="BC210" i="25"/>
  <c r="BT210" i="25" s="1"/>
  <c r="BA210" i="25"/>
  <c r="BE273" i="25"/>
  <c r="BR273" i="25"/>
  <c r="BX273" i="25" s="1"/>
  <c r="BY41" i="24"/>
  <c r="CA41" i="24" s="1"/>
  <c r="CB41" i="24" s="1"/>
  <c r="BN41" i="24"/>
  <c r="BR62" i="25"/>
  <c r="BV62" i="25" s="1"/>
  <c r="BX62" i="25" s="1"/>
  <c r="BE62" i="25"/>
  <c r="BK62" i="25" s="1"/>
  <c r="BE59" i="25"/>
  <c r="BK59" i="25" s="1"/>
  <c r="BR59" i="25"/>
  <c r="BV59" i="25" s="1"/>
  <c r="BX59" i="25" s="1"/>
  <c r="BS95" i="24"/>
  <c r="BV95" i="24" s="1"/>
  <c r="BX95" i="24" s="1"/>
  <c r="BG95" i="24"/>
  <c r="BM95" i="24" s="1"/>
  <c r="BG244" i="24"/>
  <c r="BS244" i="24"/>
  <c r="BX244" i="24" s="1"/>
  <c r="BG272" i="24"/>
  <c r="BS272" i="24"/>
  <c r="BX272" i="24" s="1"/>
  <c r="BG227" i="24"/>
  <c r="BS227" i="24"/>
  <c r="BX227" i="24" s="1"/>
  <c r="BG59" i="24"/>
  <c r="BM59" i="24" s="1"/>
  <c r="BS59" i="24"/>
  <c r="BV59" i="24" s="1"/>
  <c r="BX59" i="24" s="1"/>
  <c r="BE179" i="25"/>
  <c r="BR179" i="25"/>
  <c r="BX179" i="25" s="1"/>
  <c r="BA16" i="25"/>
  <c r="BB16" i="25"/>
  <c r="BS16" i="25" s="1"/>
  <c r="BC16" i="25"/>
  <c r="BT16" i="25" s="1"/>
  <c r="V442" i="29"/>
  <c r="U442" i="29"/>
  <c r="U544" i="29"/>
  <c r="V544" i="29"/>
  <c r="BY236" i="24"/>
  <c r="CA236" i="24" s="1"/>
  <c r="CB236" i="24" s="1"/>
  <c r="BM236" i="24"/>
  <c r="BN236" i="24" s="1"/>
  <c r="BG53" i="24"/>
  <c r="BM53" i="24" s="1"/>
  <c r="BS53" i="24"/>
  <c r="BV53" i="24" s="1"/>
  <c r="BX53" i="24" s="1"/>
  <c r="BC111" i="25"/>
  <c r="BT111" i="25" s="1"/>
  <c r="BB111" i="25"/>
  <c r="BS111" i="25" s="1"/>
  <c r="BA111" i="25"/>
  <c r="BG85" i="24"/>
  <c r="BM85" i="24" s="1"/>
  <c r="BS85" i="24"/>
  <c r="BV85" i="24" s="1"/>
  <c r="BX85" i="24" s="1"/>
  <c r="BC181" i="25"/>
  <c r="BT181" i="25" s="1"/>
  <c r="BB181" i="25"/>
  <c r="BS181" i="25" s="1"/>
  <c r="BA181" i="25"/>
  <c r="BM148" i="24"/>
  <c r="BN148" i="24" s="1"/>
  <c r="BG276" i="24"/>
  <c r="BS276" i="24"/>
  <c r="BX276" i="24" s="1"/>
  <c r="BB287" i="25"/>
  <c r="BS287" i="25" s="1"/>
  <c r="BC287" i="25"/>
  <c r="BT287" i="25" s="1"/>
  <c r="BA287" i="25"/>
  <c r="BA57" i="25"/>
  <c r="BB57" i="25"/>
  <c r="BS57" i="25" s="1"/>
  <c r="BC57" i="25"/>
  <c r="BT57" i="25" s="1"/>
  <c r="BB151" i="25"/>
  <c r="BS151" i="25" s="1"/>
  <c r="BC151" i="25"/>
  <c r="BT151" i="25" s="1"/>
  <c r="BA151" i="25"/>
  <c r="BG182" i="24"/>
  <c r="BS182" i="24"/>
  <c r="BX182" i="24" s="1"/>
  <c r="BG138" i="24"/>
  <c r="BS138" i="24"/>
  <c r="BX138" i="24" s="1"/>
  <c r="BY233" i="24"/>
  <c r="CA233" i="24" s="1"/>
  <c r="BM233" i="24"/>
  <c r="BN233" i="24" s="1"/>
  <c r="BY257" i="24"/>
  <c r="CA257" i="24" s="1"/>
  <c r="BM257" i="24"/>
  <c r="BN257" i="24" s="1"/>
  <c r="BC252" i="25"/>
  <c r="BT252" i="25" s="1"/>
  <c r="BB252" i="25"/>
  <c r="BS252" i="25" s="1"/>
  <c r="BA252" i="25"/>
  <c r="BB271" i="25"/>
  <c r="BS271" i="25" s="1"/>
  <c r="BC271" i="25"/>
  <c r="BT271" i="25" s="1"/>
  <c r="BA271" i="25"/>
  <c r="BB91" i="25"/>
  <c r="BS91" i="25" s="1"/>
  <c r="BC91" i="25"/>
  <c r="BT91" i="25" s="1"/>
  <c r="BA91" i="25"/>
  <c r="BG185" i="24"/>
  <c r="BS185" i="24"/>
  <c r="BX185" i="24" s="1"/>
  <c r="BS8" i="24"/>
  <c r="BV8" i="24" s="1"/>
  <c r="BX8" i="24" s="1"/>
  <c r="BG8" i="24"/>
  <c r="BM8" i="24" s="1"/>
  <c r="BE173" i="25"/>
  <c r="BR173" i="25"/>
  <c r="BX173" i="25" s="1"/>
  <c r="BA183" i="25"/>
  <c r="BB183" i="25"/>
  <c r="BS183" i="25" s="1"/>
  <c r="BC183" i="25"/>
  <c r="BT183" i="25" s="1"/>
  <c r="BE248" i="25"/>
  <c r="BR248" i="25"/>
  <c r="BX248" i="25" s="1"/>
  <c r="BA157" i="25"/>
  <c r="BB157" i="25"/>
  <c r="BS157" i="25" s="1"/>
  <c r="BC157" i="25"/>
  <c r="BT157" i="25" s="1"/>
  <c r="BM265" i="24"/>
  <c r="BN265" i="24" s="1"/>
  <c r="BG105" i="24"/>
  <c r="BM105" i="24" s="1"/>
  <c r="BS105" i="24"/>
  <c r="BV105" i="24" s="1"/>
  <c r="BX105" i="24" s="1"/>
  <c r="BA289" i="25"/>
  <c r="BB289" i="25"/>
  <c r="BS289" i="25" s="1"/>
  <c r="BC289" i="25"/>
  <c r="BT289" i="25" s="1"/>
  <c r="BA118" i="25"/>
  <c r="BB118" i="25"/>
  <c r="BS118" i="25" s="1"/>
  <c r="BC118" i="25"/>
  <c r="BT118" i="25" s="1"/>
  <c r="BS99" i="24"/>
  <c r="BV99" i="24" s="1"/>
  <c r="BX99" i="24" s="1"/>
  <c r="BG99" i="24"/>
  <c r="BM99" i="24" s="1"/>
  <c r="BG269" i="24"/>
  <c r="BS269" i="24"/>
  <c r="BX269" i="24" s="1"/>
  <c r="BG274" i="24"/>
  <c r="BS274" i="24"/>
  <c r="BX274" i="24" s="1"/>
  <c r="BE11" i="25"/>
  <c r="BK11" i="25" s="1"/>
  <c r="BR11" i="25"/>
  <c r="BV11" i="25" s="1"/>
  <c r="BX11" i="25" s="1"/>
  <c r="BG179" i="24"/>
  <c r="BS179" i="24"/>
  <c r="BX179" i="24" s="1"/>
  <c r="BA105" i="25"/>
  <c r="BB105" i="25"/>
  <c r="BS105" i="25" s="1"/>
  <c r="BC105" i="25"/>
  <c r="BT105" i="25" s="1"/>
  <c r="BE29" i="25"/>
  <c r="BK29" i="25" s="1"/>
  <c r="BR29" i="25"/>
  <c r="BV29" i="25" s="1"/>
  <c r="BX29" i="25" s="1"/>
  <c r="BM295" i="24"/>
  <c r="BN295" i="24" s="1"/>
  <c r="BB144" i="25"/>
  <c r="BS144" i="25" s="1"/>
  <c r="BC144" i="25"/>
  <c r="BT144" i="25" s="1"/>
  <c r="BA144" i="25"/>
  <c r="BG209" i="24"/>
  <c r="BS209" i="24"/>
  <c r="BX209" i="24" s="1"/>
  <c r="BA86" i="25"/>
  <c r="BB86" i="25"/>
  <c r="BS86" i="25" s="1"/>
  <c r="BC86" i="25"/>
  <c r="BT86" i="25" s="1"/>
  <c r="BG202" i="24"/>
  <c r="BS202" i="24"/>
  <c r="BX202" i="24" s="1"/>
  <c r="B128" i="2"/>
  <c r="B131" i="2"/>
  <c r="E36" i="1" s="1"/>
  <c r="BG266" i="24"/>
  <c r="BS266" i="24"/>
  <c r="BX266" i="24" s="1"/>
  <c r="BG288" i="24"/>
  <c r="BS288" i="24"/>
  <c r="BX288" i="24" s="1"/>
  <c r="BA98" i="25"/>
  <c r="BB98" i="25"/>
  <c r="BS98" i="25" s="1"/>
  <c r="BC98" i="25"/>
  <c r="BT98" i="25" s="1"/>
  <c r="BR71" i="25"/>
  <c r="BV71" i="25" s="1"/>
  <c r="BX71" i="25" s="1"/>
  <c r="BE71" i="25"/>
  <c r="BK71" i="25" s="1"/>
  <c r="BG270" i="24"/>
  <c r="BS270" i="24"/>
  <c r="BX270" i="24" s="1"/>
  <c r="BA207" i="25"/>
  <c r="BC207" i="25"/>
  <c r="BT207" i="25" s="1"/>
  <c r="BB207" i="25"/>
  <c r="BS207" i="25" s="1"/>
  <c r="BA56" i="25"/>
  <c r="BB56" i="25"/>
  <c r="BS56" i="25" s="1"/>
  <c r="BC56" i="25"/>
  <c r="BT56" i="25" s="1"/>
  <c r="BG97" i="24"/>
  <c r="BM97" i="24" s="1"/>
  <c r="BS97" i="24"/>
  <c r="BV97" i="24" s="1"/>
  <c r="BX97" i="24" s="1"/>
  <c r="BB125" i="25"/>
  <c r="BS125" i="25" s="1"/>
  <c r="BC125" i="25"/>
  <c r="BT125" i="25" s="1"/>
  <c r="BA125" i="25"/>
  <c r="BG205" i="24"/>
  <c r="BS205" i="24"/>
  <c r="BX205" i="24" s="1"/>
  <c r="BS63" i="24"/>
  <c r="BV63" i="24" s="1"/>
  <c r="BX63" i="24" s="1"/>
  <c r="BG63" i="24"/>
  <c r="BM63" i="24" s="1"/>
  <c r="BE30" i="25"/>
  <c r="BK30" i="25" s="1"/>
  <c r="BR30" i="25"/>
  <c r="BV30" i="25" s="1"/>
  <c r="BX30" i="25" s="1"/>
  <c r="BG177" i="24"/>
  <c r="BS177" i="24"/>
  <c r="BX177" i="24" s="1"/>
  <c r="BS136" i="24"/>
  <c r="BX136" i="24" s="1"/>
  <c r="BG136" i="24"/>
  <c r="BC123" i="25"/>
  <c r="BT123" i="25" s="1"/>
  <c r="BB123" i="25"/>
  <c r="BS123" i="25" s="1"/>
  <c r="BA123" i="25"/>
  <c r="BA83" i="25"/>
  <c r="BB83" i="25"/>
  <c r="BS83" i="25" s="1"/>
  <c r="BC83" i="25"/>
  <c r="BT83" i="25" s="1"/>
  <c r="BB132" i="25"/>
  <c r="BS132" i="25" s="1"/>
  <c r="BA132" i="25"/>
  <c r="BC132" i="25"/>
  <c r="BT132" i="25" s="1"/>
  <c r="BG199" i="24"/>
  <c r="BS199" i="24"/>
  <c r="BX199" i="24" s="1"/>
  <c r="BG155" i="24"/>
  <c r="BS155" i="24"/>
  <c r="BX155" i="24" s="1"/>
  <c r="BG149" i="24"/>
  <c r="BS149" i="24"/>
  <c r="BX149" i="24" s="1"/>
  <c r="BB90" i="25"/>
  <c r="BS90" i="25" s="1"/>
  <c r="BC90" i="25"/>
  <c r="BT90" i="25" s="1"/>
  <c r="BA90" i="25"/>
  <c r="BC222" i="25"/>
  <c r="BT222" i="25" s="1"/>
  <c r="BB222" i="25"/>
  <c r="BS222" i="25" s="1"/>
  <c r="BA222" i="25"/>
  <c r="BG261" i="24"/>
  <c r="BS261" i="24"/>
  <c r="BX261" i="24" s="1"/>
  <c r="BA40" i="25"/>
  <c r="BB40" i="25"/>
  <c r="BS40" i="25" s="1"/>
  <c r="BC40" i="25"/>
  <c r="BT40" i="25" s="1"/>
  <c r="BE89" i="25"/>
  <c r="BK89" i="25" s="1"/>
  <c r="BR89" i="25"/>
  <c r="BV89" i="25" s="1"/>
  <c r="BX89" i="25" s="1"/>
  <c r="BG67" i="24"/>
  <c r="BM67" i="24" s="1"/>
  <c r="BS67" i="24"/>
  <c r="BV67" i="24" s="1"/>
  <c r="BX67" i="24" s="1"/>
  <c r="BB10" i="25"/>
  <c r="BS10" i="25" s="1"/>
  <c r="BA10" i="25"/>
  <c r="BC10" i="25"/>
  <c r="BT10" i="25" s="1"/>
  <c r="BB120" i="25"/>
  <c r="BS120" i="25" s="1"/>
  <c r="BC120" i="25"/>
  <c r="BT120" i="25" s="1"/>
  <c r="BA120" i="25"/>
  <c r="BG251" i="24"/>
  <c r="BS251" i="24"/>
  <c r="BX251" i="24" s="1"/>
  <c r="BM238" i="24"/>
  <c r="BN238" i="24" s="1"/>
  <c r="BE262" i="25"/>
  <c r="BR262" i="25"/>
  <c r="BX262" i="25" s="1"/>
  <c r="BA156" i="25"/>
  <c r="BB156" i="25"/>
  <c r="BS156" i="25" s="1"/>
  <c r="BC156" i="25"/>
  <c r="BT156" i="25" s="1"/>
  <c r="BE280" i="25"/>
  <c r="BR280" i="25"/>
  <c r="BX280" i="25" s="1"/>
  <c r="BM219" i="24"/>
  <c r="BN219" i="24" s="1"/>
  <c r="BA263" i="25"/>
  <c r="BB263" i="25"/>
  <c r="BS263" i="25" s="1"/>
  <c r="BC263" i="25"/>
  <c r="BT263" i="25" s="1"/>
  <c r="BA49" i="25"/>
  <c r="BB49" i="25"/>
  <c r="BS49" i="25" s="1"/>
  <c r="BC49" i="25"/>
  <c r="BT49" i="25" s="1"/>
  <c r="BA218" i="25"/>
  <c r="BC218" i="25"/>
  <c r="BT218" i="25" s="1"/>
  <c r="BB218" i="25"/>
  <c r="BS218" i="25" s="1"/>
  <c r="BC127" i="25"/>
  <c r="BT127" i="25" s="1"/>
  <c r="BB127" i="25"/>
  <c r="BS127" i="25" s="1"/>
  <c r="BA127" i="25"/>
  <c r="BM296" i="24"/>
  <c r="BN296" i="24" s="1"/>
  <c r="BG115" i="24"/>
  <c r="BS115" i="24"/>
  <c r="BX115" i="24" s="1"/>
  <c r="BC311" i="25"/>
  <c r="BT311" i="25" s="1"/>
  <c r="BB311" i="25"/>
  <c r="BS311" i="25" s="1"/>
  <c r="BA311" i="25"/>
  <c r="BC196" i="25"/>
  <c r="BT196" i="25" s="1"/>
  <c r="BB196" i="25"/>
  <c r="BS196" i="25" s="1"/>
  <c r="BA196" i="25"/>
  <c r="BB54" i="25"/>
  <c r="BS54" i="25" s="1"/>
  <c r="BA54" i="25"/>
  <c r="BC54" i="25"/>
  <c r="BT54" i="25" s="1"/>
  <c r="BE243" i="25"/>
  <c r="BR243" i="25"/>
  <c r="BX243" i="25" s="1"/>
  <c r="BB119" i="25"/>
  <c r="BS119" i="25" s="1"/>
  <c r="BC119" i="25"/>
  <c r="BT119" i="25" s="1"/>
  <c r="BA119" i="25"/>
  <c r="D58" i="29"/>
  <c r="D50" i="29" s="1"/>
  <c r="D51" i="29" s="1"/>
  <c r="D60" i="29" s="1"/>
  <c r="U60" i="29"/>
  <c r="V60" i="29"/>
  <c r="U189" i="29"/>
  <c r="V189" i="29"/>
  <c r="U238" i="29"/>
  <c r="V238" i="29"/>
  <c r="V18" i="29"/>
  <c r="U18" i="29"/>
  <c r="BG250" i="24"/>
  <c r="BS250" i="24"/>
  <c r="BX250" i="24" s="1"/>
  <c r="BS50" i="24"/>
  <c r="BV50" i="24" s="1"/>
  <c r="BX50" i="24" s="1"/>
  <c r="BG50" i="24"/>
  <c r="BM50" i="24" s="1"/>
  <c r="BM130" i="24"/>
  <c r="BN130" i="24" s="1"/>
  <c r="BN12" i="24"/>
  <c r="BM147" i="24"/>
  <c r="BN147" i="24" s="1"/>
  <c r="BG145" i="24"/>
  <c r="BS145" i="24"/>
  <c r="BX145" i="24" s="1"/>
  <c r="BG255" i="24"/>
  <c r="BS255" i="24"/>
  <c r="BX255" i="24" s="1"/>
  <c r="BA235" i="25"/>
  <c r="BB235" i="25"/>
  <c r="BS235" i="25" s="1"/>
  <c r="BC235" i="25"/>
  <c r="BT235" i="25" s="1"/>
  <c r="BC309" i="25"/>
  <c r="BT309" i="25" s="1"/>
  <c r="BB309" i="25"/>
  <c r="BS309" i="25" s="1"/>
  <c r="BA309" i="25"/>
  <c r="BC251" i="25"/>
  <c r="BT251" i="25" s="1"/>
  <c r="BA251" i="25"/>
  <c r="BB251" i="25"/>
  <c r="BS251" i="25" s="1"/>
  <c r="BG252" i="24"/>
  <c r="BS252" i="24"/>
  <c r="BX252" i="24" s="1"/>
  <c r="BN55" i="24"/>
  <c r="BY55" i="24"/>
  <c r="CA55" i="24" s="1"/>
  <c r="BG151" i="24"/>
  <c r="BS151" i="24"/>
  <c r="BX151" i="24" s="1"/>
  <c r="BR104" i="25"/>
  <c r="BV104" i="25" s="1"/>
  <c r="BX104" i="25" s="1"/>
  <c r="BE104" i="25"/>
  <c r="BK104" i="25" s="1"/>
  <c r="BA65" i="25"/>
  <c r="BB65" i="25"/>
  <c r="BS65" i="25" s="1"/>
  <c r="BC65" i="25"/>
  <c r="BT65" i="25" s="1"/>
  <c r="BN45" i="24"/>
  <c r="BY45" i="24"/>
  <c r="CA45" i="24" s="1"/>
  <c r="BS10" i="24"/>
  <c r="BV10" i="24" s="1"/>
  <c r="BX10" i="24" s="1"/>
  <c r="BG10" i="24"/>
  <c r="BM10" i="24" s="1"/>
  <c r="BA264" i="25"/>
  <c r="BC264" i="25"/>
  <c r="BT264" i="25" s="1"/>
  <c r="BB264" i="25"/>
  <c r="BS264" i="25" s="1"/>
  <c r="BE257" i="25"/>
  <c r="BR257" i="25"/>
  <c r="BX257" i="25" s="1"/>
  <c r="BA68" i="25"/>
  <c r="BC68" i="25"/>
  <c r="BT68" i="25" s="1"/>
  <c r="BB68" i="25"/>
  <c r="BS68" i="25" s="1"/>
  <c r="BE198" i="25"/>
  <c r="BR198" i="25"/>
  <c r="BX198" i="25" s="1"/>
  <c r="BG316" i="24"/>
  <c r="BS316" i="24"/>
  <c r="BX316" i="24" s="1"/>
  <c r="BA278" i="25"/>
  <c r="BB278" i="25"/>
  <c r="BS278" i="25" s="1"/>
  <c r="BC278" i="25"/>
  <c r="BT278" i="25" s="1"/>
  <c r="BC297" i="25"/>
  <c r="BT297" i="25" s="1"/>
  <c r="BB297" i="25"/>
  <c r="BS297" i="25" s="1"/>
  <c r="BA297" i="25"/>
  <c r="BG169" i="24"/>
  <c r="BS169" i="24"/>
  <c r="BX169" i="24" s="1"/>
  <c r="BS154" i="24"/>
  <c r="BX154" i="24" s="1"/>
  <c r="BG154" i="24"/>
  <c r="BA224" i="25"/>
  <c r="BC224" i="25"/>
  <c r="BT224" i="25" s="1"/>
  <c r="BB224" i="25"/>
  <c r="BS224" i="25" s="1"/>
  <c r="BY7" i="24"/>
  <c r="CA7" i="24" s="1"/>
  <c r="CB7" i="24" s="1"/>
  <c r="BN7" i="24"/>
  <c r="BB74" i="25"/>
  <c r="BS74" i="25" s="1"/>
  <c r="BC74" i="25"/>
  <c r="BT74" i="25" s="1"/>
  <c r="BA74" i="25"/>
  <c r="BG170" i="24"/>
  <c r="BS170" i="24"/>
  <c r="BX170" i="24" s="1"/>
  <c r="BM280" i="24"/>
  <c r="BN280" i="24" s="1"/>
  <c r="BE178" i="25"/>
  <c r="BR178" i="25"/>
  <c r="BX178" i="25" s="1"/>
  <c r="BG207" i="24"/>
  <c r="BS207" i="24"/>
  <c r="BX207" i="24" s="1"/>
  <c r="BA217" i="25"/>
  <c r="BB217" i="25"/>
  <c r="BS217" i="25" s="1"/>
  <c r="BC217" i="25"/>
  <c r="BT217" i="25" s="1"/>
  <c r="BG141" i="24"/>
  <c r="BS141" i="24"/>
  <c r="BX141" i="24" s="1"/>
  <c r="BA260" i="25"/>
  <c r="BC260" i="25"/>
  <c r="BT260" i="25" s="1"/>
  <c r="BB260" i="25"/>
  <c r="BS260" i="25" s="1"/>
  <c r="BA226" i="25"/>
  <c r="BC226" i="25"/>
  <c r="BT226" i="25" s="1"/>
  <c r="BB226" i="25"/>
  <c r="BS226" i="25" s="1"/>
  <c r="BR87" i="25"/>
  <c r="BV87" i="25" s="1"/>
  <c r="BX87" i="25" s="1"/>
  <c r="BE87" i="25"/>
  <c r="BK87" i="25" s="1"/>
  <c r="BA172" i="25"/>
  <c r="BC172" i="25"/>
  <c r="BT172" i="25" s="1"/>
  <c r="BB172" i="25"/>
  <c r="BS172" i="25" s="1"/>
  <c r="BG78" i="24"/>
  <c r="BM78" i="24" s="1"/>
  <c r="BS78" i="24"/>
  <c r="BV78" i="24" s="1"/>
  <c r="BX78" i="24" s="1"/>
  <c r="BA242" i="25"/>
  <c r="BC242" i="25"/>
  <c r="BT242" i="25" s="1"/>
  <c r="BB242" i="25"/>
  <c r="BS242" i="25" s="1"/>
  <c r="BG167" i="24"/>
  <c r="BS167" i="24"/>
  <c r="BX167" i="24" s="1"/>
  <c r="BE6" i="25"/>
  <c r="BK6" i="25" s="1"/>
  <c r="BR6" i="25"/>
  <c r="BV6" i="25" s="1"/>
  <c r="BX6" i="25" s="1"/>
  <c r="BC182" i="25"/>
  <c r="BT182" i="25" s="1"/>
  <c r="BB182" i="25"/>
  <c r="BS182" i="25" s="1"/>
  <c r="BA182" i="25"/>
  <c r="BN19" i="24"/>
  <c r="BG245" i="24"/>
  <c r="BS245" i="24"/>
  <c r="BX245" i="24" s="1"/>
  <c r="BG37" i="24"/>
  <c r="BM37" i="24" s="1"/>
  <c r="BS37" i="24"/>
  <c r="BV37" i="24" s="1"/>
  <c r="BX37" i="24" s="1"/>
  <c r="BC227" i="25"/>
  <c r="BT227" i="25" s="1"/>
  <c r="BB227" i="25"/>
  <c r="BS227" i="25" s="1"/>
  <c r="BA227" i="25"/>
  <c r="U323" i="29"/>
  <c r="V323" i="29"/>
  <c r="BC312" i="25"/>
  <c r="BT312" i="25" s="1"/>
  <c r="BA312" i="25"/>
  <c r="BB312" i="25"/>
  <c r="BS312" i="25" s="1"/>
  <c r="BG237" i="24"/>
  <c r="BS237" i="24"/>
  <c r="BX237" i="24" s="1"/>
  <c r="BC269" i="25"/>
  <c r="BT269" i="25" s="1"/>
  <c r="BB269" i="25"/>
  <c r="BS269" i="25" s="1"/>
  <c r="BA269" i="25"/>
  <c r="BE147" i="25"/>
  <c r="BR147" i="25"/>
  <c r="BX147" i="25" s="1"/>
  <c r="BL129" i="25"/>
  <c r="BY129" i="25"/>
  <c r="CA129" i="25" s="1"/>
  <c r="CB129" i="25" s="1"/>
  <c r="BK129" i="25"/>
  <c r="BG226" i="24"/>
  <c r="BS226" i="24"/>
  <c r="BX226" i="24" s="1"/>
  <c r="BC78" i="25"/>
  <c r="BT78" i="25" s="1"/>
  <c r="BA78" i="25"/>
  <c r="BB78" i="25"/>
  <c r="BS78" i="25" s="1"/>
  <c r="BC138" i="25"/>
  <c r="BT138" i="25" s="1"/>
  <c r="BB138" i="25"/>
  <c r="BS138" i="25" s="1"/>
  <c r="BA138" i="25"/>
  <c r="BR158" i="25"/>
  <c r="BX158" i="25" s="1"/>
  <c r="BE158" i="25"/>
  <c r="BM298" i="24"/>
  <c r="BN298" i="24" s="1"/>
  <c r="BA166" i="25"/>
  <c r="BC166" i="25"/>
  <c r="BT166" i="25" s="1"/>
  <c r="BB166" i="25"/>
  <c r="BS166" i="25" s="1"/>
  <c r="BC149" i="25"/>
  <c r="BT149" i="25" s="1"/>
  <c r="BB149" i="25"/>
  <c r="BS149" i="25" s="1"/>
  <c r="BA149" i="25"/>
  <c r="BG128" i="24"/>
  <c r="BS128" i="24"/>
  <c r="BX128" i="24" s="1"/>
  <c r="BB266" i="25"/>
  <c r="BS266" i="25" s="1"/>
  <c r="BC266" i="25"/>
  <c r="BT266" i="25" s="1"/>
  <c r="BA266" i="25"/>
  <c r="BB69" i="25"/>
  <c r="BS69" i="25" s="1"/>
  <c r="BC69" i="25"/>
  <c r="BT69" i="25" s="1"/>
  <c r="BA69" i="25"/>
  <c r="BS61" i="24"/>
  <c r="BV61" i="24" s="1"/>
  <c r="BX61" i="24" s="1"/>
  <c r="BG61" i="24"/>
  <c r="BM61" i="24" s="1"/>
  <c r="BG263" i="24"/>
  <c r="BS263" i="24"/>
  <c r="BX263" i="24" s="1"/>
  <c r="BC81" i="25"/>
  <c r="BT81" i="25" s="1"/>
  <c r="BA81" i="25"/>
  <c r="BB81" i="25"/>
  <c r="BS81" i="25" s="1"/>
  <c r="BG234" i="24"/>
  <c r="BS234" i="24"/>
  <c r="BX234" i="24" s="1"/>
  <c r="BY160" i="24"/>
  <c r="CA160" i="24" s="1"/>
  <c r="CB160" i="24" s="1"/>
  <c r="BM160" i="24"/>
  <c r="BN160" i="24" s="1"/>
  <c r="BA244" i="25"/>
  <c r="BC244" i="25"/>
  <c r="BT244" i="25" s="1"/>
  <c r="BB244" i="25"/>
  <c r="BS244" i="25" s="1"/>
  <c r="BB130" i="25"/>
  <c r="BS130" i="25" s="1"/>
  <c r="BC130" i="25"/>
  <c r="BT130" i="25" s="1"/>
  <c r="BA130" i="25"/>
  <c r="BB55" i="25"/>
  <c r="BS55" i="25" s="1"/>
  <c r="BA55" i="25"/>
  <c r="BC55" i="25"/>
  <c r="BT55" i="25" s="1"/>
  <c r="BG183" i="24"/>
  <c r="BS183" i="24"/>
  <c r="BX183" i="24" s="1"/>
  <c r="BC239" i="25"/>
  <c r="BT239" i="25" s="1"/>
  <c r="BB239" i="25"/>
  <c r="BS239" i="25" s="1"/>
  <c r="BA239" i="25"/>
  <c r="BG278" i="24"/>
  <c r="BS278" i="24"/>
  <c r="BX278" i="24" s="1"/>
  <c r="BG139" i="24"/>
  <c r="BS139" i="24"/>
  <c r="BX139" i="24" s="1"/>
  <c r="BA43" i="25"/>
  <c r="BB43" i="25"/>
  <c r="BS43" i="25" s="1"/>
  <c r="BC43" i="25"/>
  <c r="BT43" i="25" s="1"/>
  <c r="BG188" i="24"/>
  <c r="BS188" i="24"/>
  <c r="BX188" i="24" s="1"/>
  <c r="BC42" i="25"/>
  <c r="BT42" i="25" s="1"/>
  <c r="BB42" i="25"/>
  <c r="BS42" i="25" s="1"/>
  <c r="BA42" i="25"/>
  <c r="B159" i="2"/>
  <c r="AY105" i="25"/>
  <c r="BG208" i="24"/>
  <c r="BS208" i="24"/>
  <c r="BX208" i="24" s="1"/>
  <c r="BG300" i="24"/>
  <c r="BS300" i="24"/>
  <c r="BX300" i="24" s="1"/>
  <c r="BG289" i="24"/>
  <c r="BS289" i="24"/>
  <c r="BX289" i="24" s="1"/>
  <c r="BC23" i="25"/>
  <c r="BT23" i="25" s="1"/>
  <c r="BB23" i="25"/>
  <c r="BS23" i="25" s="1"/>
  <c r="BA23" i="25"/>
  <c r="BA313" i="25"/>
  <c r="BC313" i="25"/>
  <c r="BT313" i="25" s="1"/>
  <c r="BB313" i="25"/>
  <c r="BS313" i="25" s="1"/>
  <c r="BE161" i="25"/>
  <c r="BR161" i="25"/>
  <c r="BX161" i="25" s="1"/>
  <c r="BA277" i="25"/>
  <c r="BB277" i="25"/>
  <c r="BS277" i="25" s="1"/>
  <c r="BC277" i="25"/>
  <c r="BT277" i="25" s="1"/>
  <c r="BE259" i="25"/>
  <c r="BR259" i="25"/>
  <c r="BX259" i="25" s="1"/>
  <c r="BL110" i="25"/>
  <c r="BY110" i="25"/>
  <c r="CA110" i="25" s="1"/>
  <c r="CB110" i="25" s="1"/>
  <c r="BK110" i="25"/>
  <c r="BA72" i="25"/>
  <c r="BC72" i="25"/>
  <c r="BT72" i="25" s="1"/>
  <c r="BB72" i="25"/>
  <c r="BS72" i="25" s="1"/>
  <c r="BG89" i="24"/>
  <c r="BM89" i="24" s="1"/>
  <c r="BS89" i="24"/>
  <c r="BV89" i="24" s="1"/>
  <c r="BX89" i="24" s="1"/>
  <c r="BG131" i="24"/>
  <c r="BS131" i="24"/>
  <c r="BX131" i="24" s="1"/>
  <c r="BS290" i="24"/>
  <c r="BX290" i="24" s="1"/>
  <c r="BG290" i="24"/>
  <c r="BG156" i="24"/>
  <c r="BS156" i="24"/>
  <c r="BX156" i="24" s="1"/>
  <c r="BG301" i="24"/>
  <c r="BS301" i="24"/>
  <c r="BX301" i="24" s="1"/>
  <c r="BC256" i="25"/>
  <c r="BT256" i="25" s="1"/>
  <c r="BB256" i="25"/>
  <c r="BS256" i="25" s="1"/>
  <c r="BA256" i="25"/>
  <c r="BM299" i="24"/>
  <c r="BN299" i="24" s="1"/>
  <c r="BA33" i="25"/>
  <c r="BB33" i="25"/>
  <c r="BS33" i="25" s="1"/>
  <c r="BC33" i="25"/>
  <c r="BT33" i="25" s="1"/>
  <c r="BC236" i="25"/>
  <c r="BT236" i="25" s="1"/>
  <c r="BA236" i="25"/>
  <c r="BB236" i="25"/>
  <c r="BS236" i="25" s="1"/>
  <c r="BG229" i="24"/>
  <c r="BS229" i="24"/>
  <c r="BX229" i="24" s="1"/>
  <c r="BE204" i="25"/>
  <c r="BR204" i="25"/>
  <c r="BX204" i="25" s="1"/>
  <c r="BE283" i="25"/>
  <c r="BR283" i="25"/>
  <c r="BX283" i="25" s="1"/>
  <c r="BG178" i="24"/>
  <c r="BS178" i="24"/>
  <c r="BX178" i="24" s="1"/>
  <c r="BA221" i="25"/>
  <c r="BB221" i="25"/>
  <c r="BS221" i="25" s="1"/>
  <c r="BC221" i="25"/>
  <c r="BT221" i="25" s="1"/>
  <c r="BG308" i="24"/>
  <c r="BS308" i="24"/>
  <c r="BX308" i="24" s="1"/>
  <c r="BR167" i="25"/>
  <c r="BX167" i="25" s="1"/>
  <c r="BE167" i="25"/>
  <c r="BS64" i="24"/>
  <c r="BV64" i="24" s="1"/>
  <c r="BX64" i="24" s="1"/>
  <c r="BG64" i="24"/>
  <c r="BM64" i="24" s="1"/>
  <c r="BE94" i="25"/>
  <c r="BK94" i="25" s="1"/>
  <c r="BR94" i="25"/>
  <c r="BV94" i="25" s="1"/>
  <c r="BX94" i="25" s="1"/>
  <c r="BA231" i="25"/>
  <c r="BB231" i="25"/>
  <c r="BS231" i="25" s="1"/>
  <c r="BC231" i="25"/>
  <c r="BT231" i="25" s="1"/>
  <c r="BA9" i="25"/>
  <c r="BB9" i="25"/>
  <c r="BS9" i="25" s="1"/>
  <c r="BC9" i="25"/>
  <c r="BT9" i="25" s="1"/>
  <c r="BY248" i="24"/>
  <c r="CA248" i="24" s="1"/>
  <c r="CB248" i="24" s="1"/>
  <c r="BM248" i="24"/>
  <c r="BN248" i="24" s="1"/>
  <c r="BS88" i="24"/>
  <c r="BV88" i="24" s="1"/>
  <c r="BX88" i="24" s="1"/>
  <c r="BG88" i="24"/>
  <c r="BM88" i="24" s="1"/>
  <c r="BG77" i="24"/>
  <c r="BM77" i="24" s="1"/>
  <c r="BS77" i="24"/>
  <c r="BV77" i="24" s="1"/>
  <c r="BX77" i="24" s="1"/>
  <c r="BA159" i="25"/>
  <c r="BB159" i="25"/>
  <c r="BS159" i="25" s="1"/>
  <c r="BC159" i="25"/>
  <c r="BT159" i="25" s="1"/>
  <c r="BR206" i="25"/>
  <c r="BX206" i="25" s="1"/>
  <c r="BE206" i="25"/>
  <c r="BC25" i="25"/>
  <c r="BT25" i="25" s="1"/>
  <c r="BB25" i="25"/>
  <c r="BS25" i="25" s="1"/>
  <c r="BA25" i="25"/>
  <c r="BM242" i="24"/>
  <c r="BN242" i="24" s="1"/>
  <c r="BM253" i="24"/>
  <c r="BN253" i="24" s="1"/>
  <c r="BE293" i="25"/>
  <c r="BR293" i="25"/>
  <c r="BX293" i="25" s="1"/>
  <c r="BG287" i="24"/>
  <c r="BS287" i="24"/>
  <c r="BX287" i="24" s="1"/>
  <c r="BC18" i="25"/>
  <c r="BT18" i="25" s="1"/>
  <c r="BB18" i="25"/>
  <c r="BS18" i="25" s="1"/>
  <c r="BA18" i="25"/>
  <c r="BG225" i="24"/>
  <c r="BS225" i="24"/>
  <c r="BX225" i="24" s="1"/>
  <c r="BA274" i="25"/>
  <c r="BB274" i="25"/>
  <c r="BS274" i="25" s="1"/>
  <c r="BC274" i="25"/>
  <c r="BT274" i="25" s="1"/>
  <c r="BC233" i="25"/>
  <c r="BT233" i="25" s="1"/>
  <c r="BA233" i="25"/>
  <c r="BB233" i="25"/>
  <c r="BS233" i="25" s="1"/>
  <c r="BG11" i="24"/>
  <c r="BM11" i="24" s="1"/>
  <c r="BS11" i="24"/>
  <c r="BV11" i="24" s="1"/>
  <c r="BX11" i="24" s="1"/>
  <c r="BS134" i="24"/>
  <c r="BX134" i="24" s="1"/>
  <c r="BG134" i="24"/>
  <c r="BB185" i="25"/>
  <c r="BS185" i="25" s="1"/>
  <c r="BC185" i="25"/>
  <c r="BT185" i="25" s="1"/>
  <c r="BA185" i="25"/>
  <c r="BE232" i="25"/>
  <c r="BR232" i="25"/>
  <c r="BX232" i="25" s="1"/>
  <c r="V437" i="29"/>
  <c r="U437" i="29"/>
  <c r="U509" i="29"/>
  <c r="V509" i="29"/>
  <c r="U124" i="29"/>
  <c r="V124" i="29"/>
  <c r="U537" i="29"/>
  <c r="V537" i="29"/>
  <c r="BN33" i="24"/>
  <c r="BC128" i="25"/>
  <c r="BT128" i="25" s="1"/>
  <c r="BA128" i="25"/>
  <c r="BB128" i="25"/>
  <c r="BS128" i="25" s="1"/>
  <c r="BB194" i="25"/>
  <c r="BS194" i="25" s="1"/>
  <c r="BC194" i="25"/>
  <c r="BT194" i="25" s="1"/>
  <c r="BA194" i="25"/>
  <c r="BG204" i="24"/>
  <c r="BS204" i="24"/>
  <c r="BX204" i="24" s="1"/>
  <c r="BG166" i="24"/>
  <c r="BS166" i="24"/>
  <c r="BX166" i="24" s="1"/>
  <c r="BB136" i="25"/>
  <c r="BS136" i="25" s="1"/>
  <c r="BC136" i="25"/>
  <c r="BT136" i="25" s="1"/>
  <c r="BA136" i="25"/>
  <c r="BA100" i="25"/>
  <c r="BB100" i="25"/>
  <c r="BS100" i="25" s="1"/>
  <c r="BC100" i="25"/>
  <c r="BT100" i="25" s="1"/>
  <c r="BG161" i="24"/>
  <c r="BS161" i="24"/>
  <c r="BX161" i="24" s="1"/>
  <c r="BB48" i="25"/>
  <c r="BS48" i="25" s="1"/>
  <c r="BA48" i="25"/>
  <c r="BC48" i="25"/>
  <c r="BT48" i="25" s="1"/>
  <c r="BY132" i="24"/>
  <c r="CA132" i="24" s="1"/>
  <c r="BM132" i="24"/>
  <c r="BN132" i="24" s="1"/>
  <c r="BS273" i="24"/>
  <c r="BX273" i="24" s="1"/>
  <c r="BG273" i="24"/>
  <c r="BE189" i="25"/>
  <c r="BR189" i="25"/>
  <c r="BX189" i="25" s="1"/>
  <c r="BA124" i="25"/>
  <c r="BC124" i="25"/>
  <c r="BT124" i="25" s="1"/>
  <c r="BB124" i="25"/>
  <c r="BS124" i="25" s="1"/>
  <c r="BS38" i="24"/>
  <c r="BV38" i="24" s="1"/>
  <c r="BX38" i="24" s="1"/>
  <c r="BG38" i="24"/>
  <c r="BM38" i="24" s="1"/>
  <c r="BA67" i="25"/>
  <c r="BC67" i="25"/>
  <c r="BT67" i="25" s="1"/>
  <c r="BB67" i="25"/>
  <c r="BS67" i="25" s="1"/>
  <c r="BG14" i="24"/>
  <c r="BM14" i="24" s="1"/>
  <c r="BS14" i="24"/>
  <c r="BV14" i="24" s="1"/>
  <c r="BX14" i="24" s="1"/>
  <c r="BG137" i="24"/>
  <c r="BS137" i="24"/>
  <c r="BX137" i="24" s="1"/>
  <c r="BY162" i="24"/>
  <c r="CA162" i="24" s="1"/>
  <c r="BM162" i="24"/>
  <c r="BN162" i="24" s="1"/>
  <c r="BG122" i="24"/>
  <c r="BS122" i="24"/>
  <c r="BX122" i="24" s="1"/>
  <c r="BA270" i="25"/>
  <c r="BC270" i="25"/>
  <c r="BT270" i="25" s="1"/>
  <c r="BB270" i="25"/>
  <c r="BS270" i="25" s="1"/>
  <c r="BY111" i="24"/>
  <c r="CA111" i="24" s="1"/>
  <c r="BM111" i="24"/>
  <c r="BN111" i="24" s="1"/>
  <c r="BS256" i="24"/>
  <c r="BX256" i="24" s="1"/>
  <c r="BG256" i="24"/>
  <c r="BE276" i="25"/>
  <c r="BR276" i="25"/>
  <c r="BX276" i="25" s="1"/>
  <c r="BG75" i="24"/>
  <c r="BM75" i="24" s="1"/>
  <c r="BS75" i="24"/>
  <c r="BV75" i="24" s="1"/>
  <c r="BX75" i="24" s="1"/>
  <c r="BB241" i="25"/>
  <c r="BS241" i="25" s="1"/>
  <c r="BC241" i="25"/>
  <c r="BT241" i="25" s="1"/>
  <c r="BA241" i="25"/>
  <c r="BY119" i="24"/>
  <c r="CA119" i="24" s="1"/>
  <c r="BM119" i="24"/>
  <c r="BN119" i="24" s="1"/>
  <c r="BG31" i="24"/>
  <c r="BM31" i="24" s="1"/>
  <c r="BS31" i="24"/>
  <c r="BV31" i="24" s="1"/>
  <c r="BX31" i="24" s="1"/>
  <c r="BB139" i="25"/>
  <c r="BS139" i="25" s="1"/>
  <c r="BC139" i="25"/>
  <c r="BT139" i="25" s="1"/>
  <c r="BA139" i="25"/>
  <c r="BS29" i="24"/>
  <c r="BV29" i="24" s="1"/>
  <c r="BX29" i="24" s="1"/>
  <c r="BG29" i="24"/>
  <c r="BM29" i="24" s="1"/>
  <c r="BY259" i="24"/>
  <c r="CA259" i="24" s="1"/>
  <c r="CB259" i="24" s="1"/>
  <c r="BM259" i="24"/>
  <c r="BN259" i="24" s="1"/>
  <c r="BA223" i="25"/>
  <c r="BC223" i="25"/>
  <c r="BT223" i="25" s="1"/>
  <c r="BB223" i="25"/>
  <c r="BS223" i="25" s="1"/>
  <c r="BA102" i="25"/>
  <c r="BB102" i="25"/>
  <c r="BS102" i="25" s="1"/>
  <c r="BC102" i="25"/>
  <c r="BT102" i="25" s="1"/>
  <c r="BA188" i="25"/>
  <c r="BC188" i="25"/>
  <c r="BT188" i="25" s="1"/>
  <c r="BB188" i="25"/>
  <c r="BS188" i="25" s="1"/>
  <c r="BG187" i="24"/>
  <c r="BS187" i="24"/>
  <c r="BX187" i="24" s="1"/>
  <c r="BE96" i="25"/>
  <c r="BK96" i="25" s="1"/>
  <c r="BR96" i="25"/>
  <c r="BV96" i="25" s="1"/>
  <c r="BX96" i="25" s="1"/>
  <c r="BA284" i="25"/>
  <c r="BB284" i="25"/>
  <c r="BS284" i="25" s="1"/>
  <c r="BC284" i="25"/>
  <c r="BT284" i="25" s="1"/>
  <c r="BC44" i="25"/>
  <c r="BT44" i="25" s="1"/>
  <c r="BB44" i="25"/>
  <c r="BS44" i="25" s="1"/>
  <c r="BA44" i="25"/>
  <c r="BG217" i="24"/>
  <c r="BS217" i="24"/>
  <c r="BX217" i="24" s="1"/>
  <c r="BE148" i="25"/>
  <c r="BR148" i="25"/>
  <c r="BX148" i="25" s="1"/>
  <c r="BB36" i="25"/>
  <c r="BS36" i="25" s="1"/>
  <c r="BA36" i="25"/>
  <c r="BC36" i="25"/>
  <c r="BT36" i="25" s="1"/>
  <c r="BG159" i="24"/>
  <c r="BS159" i="24"/>
  <c r="BX159" i="24" s="1"/>
  <c r="BA80" i="25"/>
  <c r="BB80" i="25"/>
  <c r="BS80" i="25" s="1"/>
  <c r="BC80" i="25"/>
  <c r="BT80" i="25" s="1"/>
  <c r="BB37" i="25"/>
  <c r="BS37" i="25" s="1"/>
  <c r="BC37" i="25"/>
  <c r="BT37" i="25" s="1"/>
  <c r="BA37" i="25"/>
  <c r="BG193" i="24"/>
  <c r="BS193" i="24"/>
  <c r="BX193" i="24" s="1"/>
  <c r="BA200" i="25"/>
  <c r="BB200" i="25"/>
  <c r="BS200" i="25" s="1"/>
  <c r="BC200" i="25"/>
  <c r="BT200" i="25" s="1"/>
  <c r="BS27" i="24"/>
  <c r="BV27" i="24" s="1"/>
  <c r="BX27" i="24" s="1"/>
  <c r="BG27" i="24"/>
  <c r="BM27" i="24" s="1"/>
  <c r="BB15" i="25"/>
  <c r="BS15" i="25" s="1"/>
  <c r="BC15" i="25"/>
  <c r="BT15" i="25" s="1"/>
  <c r="BA15" i="25"/>
  <c r="BE113" i="25"/>
  <c r="BR113" i="25"/>
  <c r="BX113" i="25" s="1"/>
  <c r="BG98" i="24"/>
  <c r="BM98" i="24" s="1"/>
  <c r="BS98" i="24"/>
  <c r="BV98" i="24" s="1"/>
  <c r="BX98" i="24" s="1"/>
  <c r="BG164" i="24"/>
  <c r="BS164" i="24"/>
  <c r="BX164" i="24" s="1"/>
  <c r="BE97" i="25"/>
  <c r="BK97" i="25" s="1"/>
  <c r="BR97" i="25"/>
  <c r="BV97" i="25" s="1"/>
  <c r="BX97" i="25" s="1"/>
  <c r="BG235" i="24"/>
  <c r="BS235" i="24"/>
  <c r="BX235" i="24" s="1"/>
  <c r="BA121" i="25"/>
  <c r="BB121" i="25"/>
  <c r="BS121" i="25" s="1"/>
  <c r="BC121" i="25"/>
  <c r="BT121" i="25" s="1"/>
  <c r="BB219" i="25"/>
  <c r="BS219" i="25" s="1"/>
  <c r="BC219" i="25"/>
  <c r="BT219" i="25" s="1"/>
  <c r="BA219" i="25"/>
  <c r="BG102" i="24"/>
  <c r="BM102" i="24" s="1"/>
  <c r="BS102" i="24"/>
  <c r="BV102" i="24" s="1"/>
  <c r="BX102" i="24" s="1"/>
  <c r="BG291" i="24"/>
  <c r="BS291" i="24"/>
  <c r="BX291" i="24" s="1"/>
  <c r="BS80" i="24"/>
  <c r="BV80" i="24" s="1"/>
  <c r="BX80" i="24" s="1"/>
  <c r="BG80" i="24"/>
  <c r="BM80" i="24" s="1"/>
  <c r="BA88" i="25"/>
  <c r="BC88" i="25"/>
  <c r="BT88" i="25" s="1"/>
  <c r="BB88" i="25"/>
  <c r="BS88" i="25" s="1"/>
  <c r="BA117" i="25"/>
  <c r="BC117" i="25"/>
  <c r="BT117" i="25" s="1"/>
  <c r="BB117" i="25"/>
  <c r="BS117" i="25" s="1"/>
  <c r="BB99" i="25"/>
  <c r="BS99" i="25" s="1"/>
  <c r="BC99" i="25"/>
  <c r="BT99" i="25" s="1"/>
  <c r="BA99" i="25"/>
  <c r="BA316" i="25"/>
  <c r="BC316" i="25"/>
  <c r="BT316" i="25" s="1"/>
  <c r="BB316" i="25"/>
  <c r="BS316" i="25" s="1"/>
  <c r="BC39" i="25"/>
  <c r="BT39" i="25" s="1"/>
  <c r="BA39" i="25"/>
  <c r="BB39" i="25"/>
  <c r="BS39" i="25" s="1"/>
  <c r="BG277" i="24"/>
  <c r="BS277" i="24"/>
  <c r="BX277" i="24" s="1"/>
  <c r="BS92" i="24"/>
  <c r="BV92" i="24" s="1"/>
  <c r="BX92" i="24" s="1"/>
  <c r="BG92" i="24"/>
  <c r="BM92" i="24" s="1"/>
  <c r="BM112" i="24"/>
  <c r="BN112" i="24" s="1"/>
  <c r="BY135" i="24"/>
  <c r="CA135" i="24" s="1"/>
  <c r="BM135" i="24"/>
  <c r="BN135" i="24" s="1"/>
  <c r="BA93" i="25"/>
  <c r="BC93" i="25"/>
  <c r="BT93" i="25" s="1"/>
  <c r="BB93" i="25"/>
  <c r="BS93" i="25" s="1"/>
  <c r="BG303" i="24"/>
  <c r="BS303" i="24"/>
  <c r="BX303" i="24" s="1"/>
  <c r="BS231" i="24"/>
  <c r="BX231" i="24" s="1"/>
  <c r="BG231" i="24"/>
  <c r="BM232" i="24"/>
  <c r="BN232" i="24" s="1"/>
  <c r="BG210" i="24"/>
  <c r="E19" i="1"/>
  <c r="BS210" i="24"/>
  <c r="BX210" i="24" s="1"/>
  <c r="BM247" i="24"/>
  <c r="BN247" i="24" s="1"/>
  <c r="BG150" i="24"/>
  <c r="BS150" i="24"/>
  <c r="BX150" i="24" s="1"/>
  <c r="BM305" i="24"/>
  <c r="BN305" i="24" s="1"/>
  <c r="BG315" i="24"/>
  <c r="BS315" i="24"/>
  <c r="BX315" i="24" s="1"/>
  <c r="BG146" i="24"/>
  <c r="BS146" i="24"/>
  <c r="BX146" i="24" s="1"/>
  <c r="BB299" i="25"/>
  <c r="BS299" i="25" s="1"/>
  <c r="BC299" i="25"/>
  <c r="BT299" i="25" s="1"/>
  <c r="BA299" i="25"/>
  <c r="BG254" i="24"/>
  <c r="BS254" i="24"/>
  <c r="BX254" i="24" s="1"/>
  <c r="V541" i="29"/>
  <c r="U541" i="29"/>
  <c r="U352" i="29"/>
  <c r="V352" i="29"/>
  <c r="U61" i="29"/>
  <c r="V61" i="29"/>
  <c r="BA165" i="25"/>
  <c r="BC165" i="25"/>
  <c r="BT165" i="25" s="1"/>
  <c r="BB165" i="25"/>
  <c r="BS165" i="25" s="1"/>
  <c r="BG172" i="24"/>
  <c r="BS172" i="24"/>
  <c r="BX172" i="24" s="1"/>
  <c r="BG165" i="24"/>
  <c r="BS165" i="24"/>
  <c r="BX165" i="24" s="1"/>
  <c r="BG239" i="24"/>
  <c r="BS239" i="24"/>
  <c r="BX239" i="24" s="1"/>
  <c r="BS72" i="24"/>
  <c r="BV72" i="24" s="1"/>
  <c r="BX72" i="24" s="1"/>
  <c r="BG72" i="24"/>
  <c r="BM72" i="24" s="1"/>
  <c r="BC191" i="25"/>
  <c r="BT191" i="25" s="1"/>
  <c r="BA191" i="25"/>
  <c r="BB191" i="25"/>
  <c r="BS191" i="25" s="1"/>
  <c r="BG143" i="24"/>
  <c r="BS143" i="24"/>
  <c r="BX143" i="24" s="1"/>
  <c r="BS57" i="24"/>
  <c r="BV57" i="24" s="1"/>
  <c r="BX57" i="24" s="1"/>
  <c r="BG57" i="24"/>
  <c r="BM57" i="24" s="1"/>
  <c r="BA58" i="25"/>
  <c r="BB58" i="25"/>
  <c r="BS58" i="25" s="1"/>
  <c r="BC58" i="25"/>
  <c r="BT58" i="25" s="1"/>
  <c r="BS83" i="24"/>
  <c r="BV83" i="24" s="1"/>
  <c r="BX83" i="24" s="1"/>
  <c r="BG83" i="24"/>
  <c r="BM83" i="24" s="1"/>
  <c r="BR199" i="25"/>
  <c r="BX199" i="25" s="1"/>
  <c r="BE199" i="25"/>
  <c r="BB225" i="25"/>
  <c r="BS225" i="25" s="1"/>
  <c r="BA225" i="25"/>
  <c r="BC225" i="25"/>
  <c r="BT225" i="25" s="1"/>
  <c r="BB187" i="25"/>
  <c r="BS187" i="25" s="1"/>
  <c r="BC187" i="25"/>
  <c r="BT187" i="25" s="1"/>
  <c r="BA187" i="25"/>
  <c r="BA245" i="25"/>
  <c r="BC245" i="25"/>
  <c r="BT245" i="25" s="1"/>
  <c r="BB245" i="25"/>
  <c r="BS245" i="25" s="1"/>
  <c r="BC115" i="25"/>
  <c r="BT115" i="25" s="1"/>
  <c r="BB115" i="25"/>
  <c r="BS115" i="25" s="1"/>
  <c r="BA115" i="25"/>
  <c r="BS48" i="24"/>
  <c r="BV48" i="24" s="1"/>
  <c r="BX48" i="24" s="1"/>
  <c r="BG48" i="24"/>
  <c r="BM48" i="24" s="1"/>
  <c r="BB279" i="25"/>
  <c r="BS279" i="25" s="1"/>
  <c r="BC279" i="25"/>
  <c r="BT279" i="25" s="1"/>
  <c r="BA279" i="25"/>
  <c r="BS100" i="24"/>
  <c r="BV100" i="24" s="1"/>
  <c r="BX100" i="24" s="1"/>
  <c r="BG100" i="24"/>
  <c r="BM100" i="24" s="1"/>
  <c r="BS16" i="24"/>
  <c r="BV16" i="24" s="1"/>
  <c r="BX16" i="24" s="1"/>
  <c r="BG16" i="24"/>
  <c r="BM16" i="24" s="1"/>
  <c r="BG313" i="24"/>
  <c r="BS313" i="24"/>
  <c r="BX313" i="24" s="1"/>
  <c r="BS51" i="24"/>
  <c r="BV51" i="24" s="1"/>
  <c r="BX51" i="24" s="1"/>
  <c r="BG51" i="24"/>
  <c r="BM51" i="24" s="1"/>
  <c r="BG311" i="24"/>
  <c r="BS311" i="24"/>
  <c r="BX311" i="24" s="1"/>
  <c r="BB85" i="25"/>
  <c r="BS85" i="25" s="1"/>
  <c r="BC85" i="25"/>
  <c r="BT85" i="25" s="1"/>
  <c r="BA85" i="25"/>
  <c r="BE292" i="25"/>
  <c r="BR292" i="25"/>
  <c r="BX292" i="25" s="1"/>
  <c r="BG306" i="24"/>
  <c r="BS306" i="24"/>
  <c r="BX306" i="24" s="1"/>
  <c r="BB66" i="25"/>
  <c r="BS66" i="25" s="1"/>
  <c r="BA66" i="25"/>
  <c r="BC66" i="25"/>
  <c r="BT66" i="25" s="1"/>
  <c r="V508" i="29" l="1"/>
  <c r="V521" i="29"/>
  <c r="CB224" i="24"/>
  <c r="CF224" i="24"/>
  <c r="AP212" i="25"/>
  <c r="BG212" i="25"/>
  <c r="V63" i="29"/>
  <c r="U584" i="29"/>
  <c r="AG584" i="29" s="1"/>
  <c r="U380" i="29"/>
  <c r="AG380" i="29" s="1"/>
  <c r="V591" i="29"/>
  <c r="X591" i="29" s="1"/>
  <c r="Y591" i="29" s="1"/>
  <c r="U483" i="29"/>
  <c r="W483" i="29" s="1"/>
  <c r="U576" i="29"/>
  <c r="W576" i="29" s="1"/>
  <c r="CB132" i="24"/>
  <c r="CF132" i="24"/>
  <c r="CB233" i="24"/>
  <c r="CF233" i="24"/>
  <c r="CB21" i="24"/>
  <c r="CF21" i="24"/>
  <c r="CB22" i="24"/>
  <c r="CF22" i="24"/>
  <c r="CB119" i="24"/>
  <c r="CF119" i="24"/>
  <c r="U163" i="29"/>
  <c r="AG163" i="29" s="1"/>
  <c r="CB111" i="24"/>
  <c r="CF111" i="24"/>
  <c r="V536" i="29"/>
  <c r="AH536" i="29" s="1"/>
  <c r="V551" i="29"/>
  <c r="AH551" i="29" s="1"/>
  <c r="BR265" i="25"/>
  <c r="BX265" i="25" s="1"/>
  <c r="V485" i="29"/>
  <c r="X485" i="29" s="1"/>
  <c r="Y485" i="29" s="1"/>
  <c r="V445" i="29"/>
  <c r="X445" i="29" s="1"/>
  <c r="Y445" i="29" s="1"/>
  <c r="V371" i="29"/>
  <c r="AH371" i="29" s="1"/>
  <c r="BM120" i="24"/>
  <c r="BN120" i="24" s="1"/>
  <c r="U225" i="29"/>
  <c r="AG225" i="29" s="1"/>
  <c r="V393" i="29"/>
  <c r="AH393" i="29" s="1"/>
  <c r="V478" i="29"/>
  <c r="AH478" i="29" s="1"/>
  <c r="U24" i="29"/>
  <c r="W24" i="29" s="1"/>
  <c r="V74" i="29"/>
  <c r="AH74" i="29" s="1"/>
  <c r="V304" i="29"/>
  <c r="X304" i="29" s="1"/>
  <c r="Y304" i="29" s="1"/>
  <c r="V66" i="29"/>
  <c r="AH66" i="29" s="1"/>
  <c r="V271" i="29"/>
  <c r="X271" i="29" s="1"/>
  <c r="Y271" i="29" s="1"/>
  <c r="U566" i="29"/>
  <c r="AG566" i="29" s="1"/>
  <c r="U148" i="29"/>
  <c r="W148" i="29" s="1"/>
  <c r="V212" i="29"/>
  <c r="AH212" i="29" s="1"/>
  <c r="V181" i="29"/>
  <c r="AH181" i="29" s="1"/>
  <c r="U223" i="29"/>
  <c r="AG223" i="29" s="1"/>
  <c r="U261" i="29"/>
  <c r="AG261" i="29" s="1"/>
  <c r="V59" i="29"/>
  <c r="AH59" i="29" s="1"/>
  <c r="U137" i="29"/>
  <c r="AG137" i="29" s="1"/>
  <c r="V206" i="29"/>
  <c r="AH206" i="29" s="1"/>
  <c r="U279" i="29"/>
  <c r="W279" i="29" s="1"/>
  <c r="V374" i="29"/>
  <c r="X374" i="29" s="1"/>
  <c r="Y374" i="29" s="1"/>
  <c r="U253" i="29"/>
  <c r="AG253" i="29" s="1"/>
  <c r="U113" i="29"/>
  <c r="AG113" i="29" s="1"/>
  <c r="V159" i="29"/>
  <c r="X159" i="29" s="1"/>
  <c r="Y159" i="29" s="1"/>
  <c r="V602" i="29"/>
  <c r="AH602" i="29" s="1"/>
  <c r="U248" i="29"/>
  <c r="W248" i="29" s="1"/>
  <c r="U64" i="29"/>
  <c r="W64" i="29" s="1"/>
  <c r="V337" i="29"/>
  <c r="AH337" i="29" s="1"/>
  <c r="V363" i="29"/>
  <c r="AH363" i="29" s="1"/>
  <c r="V106" i="29"/>
  <c r="AH106" i="29" s="1"/>
  <c r="U606" i="29"/>
  <c r="W606" i="29" s="1"/>
  <c r="V46" i="29"/>
  <c r="X46" i="29" s="1"/>
  <c r="Y46" i="29" s="1"/>
  <c r="BY219" i="24"/>
  <c r="CA219" i="24" s="1"/>
  <c r="CB219" i="24" s="1"/>
  <c r="BM283" i="24"/>
  <c r="BN283" i="24" s="1"/>
  <c r="BY295" i="24"/>
  <c r="CA295" i="24" s="1"/>
  <c r="CB295" i="24" s="1"/>
  <c r="U85" i="29"/>
  <c r="W85" i="29" s="1"/>
  <c r="CB257" i="24"/>
  <c r="CF257" i="24"/>
  <c r="CB101" i="24"/>
  <c r="CF101" i="24"/>
  <c r="CB191" i="24"/>
  <c r="CF191" i="24"/>
  <c r="BY147" i="24"/>
  <c r="CA147" i="24" s="1"/>
  <c r="CB147" i="24" s="1"/>
  <c r="BY12" i="24"/>
  <c r="CA12" i="24" s="1"/>
  <c r="CB12" i="24" s="1"/>
  <c r="BY242" i="24"/>
  <c r="CA242" i="24" s="1"/>
  <c r="CB242" i="24" s="1"/>
  <c r="BY121" i="24"/>
  <c r="CA121" i="24" s="1"/>
  <c r="CB121" i="24" s="1"/>
  <c r="V71" i="29"/>
  <c r="X71" i="29" s="1"/>
  <c r="Y71" i="29" s="1"/>
  <c r="BN18" i="24"/>
  <c r="U19" i="29"/>
  <c r="AG19" i="29" s="1"/>
  <c r="V604" i="29"/>
  <c r="X604" i="29" s="1"/>
  <c r="Y604" i="29" s="1"/>
  <c r="U266" i="29"/>
  <c r="W266" i="29" s="1"/>
  <c r="BR154" i="25"/>
  <c r="BX154" i="25" s="1"/>
  <c r="BY265" i="24"/>
  <c r="CA265" i="24" s="1"/>
  <c r="CB265" i="24" s="1"/>
  <c r="U603" i="29"/>
  <c r="AG603" i="29" s="1"/>
  <c r="V309" i="29"/>
  <c r="AH309" i="29" s="1"/>
  <c r="U379" i="29"/>
  <c r="W379" i="29" s="1"/>
  <c r="U338" i="29"/>
  <c r="W338" i="29" s="1"/>
  <c r="U507" i="29"/>
  <c r="AG507" i="29" s="1"/>
  <c r="BY112" i="24"/>
  <c r="CA112" i="24" s="1"/>
  <c r="CB112" i="24" s="1"/>
  <c r="U284" i="29"/>
  <c r="W284" i="29" s="1"/>
  <c r="BX130" i="24"/>
  <c r="U322" i="29"/>
  <c r="AG322" i="29" s="1"/>
  <c r="V384" i="29"/>
  <c r="AH384" i="29" s="1"/>
  <c r="V168" i="29"/>
  <c r="X168" i="29" s="1"/>
  <c r="Y168" i="29" s="1"/>
  <c r="U186" i="29"/>
  <c r="W186" i="29" s="1"/>
  <c r="U105" i="29"/>
  <c r="W105" i="29" s="1"/>
  <c r="V205" i="29"/>
  <c r="X205" i="29" s="1"/>
  <c r="Y205" i="29" s="1"/>
  <c r="U562" i="29"/>
  <c r="AG562" i="29" s="1"/>
  <c r="U198" i="29"/>
  <c r="AG198" i="29" s="1"/>
  <c r="V367" i="29"/>
  <c r="AH367" i="29" s="1"/>
  <c r="V578" i="29"/>
  <c r="AH578" i="29" s="1"/>
  <c r="U608" i="29"/>
  <c r="W608" i="29" s="1"/>
  <c r="BY6" i="24"/>
  <c r="CA6" i="24" s="1"/>
  <c r="U373" i="29"/>
  <c r="AG373" i="29" s="1"/>
  <c r="V391" i="29"/>
  <c r="AH391" i="29" s="1"/>
  <c r="V257" i="29"/>
  <c r="AH257" i="29" s="1"/>
  <c r="V22" i="29"/>
  <c r="X22" i="29" s="1"/>
  <c r="Y22" i="29" s="1"/>
  <c r="U511" i="29"/>
  <c r="W511" i="29" s="1"/>
  <c r="U417" i="29"/>
  <c r="W417" i="29" s="1"/>
  <c r="BY238" i="24"/>
  <c r="CA238" i="24" s="1"/>
  <c r="U207" i="29"/>
  <c r="AG207" i="29" s="1"/>
  <c r="U111" i="29"/>
  <c r="W111" i="29" s="1"/>
  <c r="V553" i="29"/>
  <c r="AH553" i="29" s="1"/>
  <c r="U362" i="29"/>
  <c r="W362" i="29" s="1"/>
  <c r="U343" i="29"/>
  <c r="AG343" i="29" s="1"/>
  <c r="V340" i="29"/>
  <c r="AH340" i="29" s="1"/>
  <c r="V54" i="29"/>
  <c r="AH54" i="29" s="1"/>
  <c r="BY279" i="24"/>
  <c r="CA279" i="24" s="1"/>
  <c r="CB279" i="24" s="1"/>
  <c r="U108" i="29"/>
  <c r="AG108" i="29" s="1"/>
  <c r="V358" i="29"/>
  <c r="X358" i="29" s="1"/>
  <c r="Y358" i="29" s="1"/>
  <c r="BY27" i="24"/>
  <c r="CA27" i="24" s="1"/>
  <c r="V457" i="29"/>
  <c r="AH457" i="29" s="1"/>
  <c r="V79" i="29"/>
  <c r="AH79" i="29" s="1"/>
  <c r="V370" i="29"/>
  <c r="AH370" i="29" s="1"/>
  <c r="V276" i="29"/>
  <c r="AH276" i="29" s="1"/>
  <c r="U348" i="29"/>
  <c r="AG348" i="29" s="1"/>
  <c r="BY298" i="24"/>
  <c r="CA298" i="24" s="1"/>
  <c r="CB298" i="24" s="1"/>
  <c r="V317" i="29"/>
  <c r="AH317" i="29" s="1"/>
  <c r="U252" i="29"/>
  <c r="W252" i="29" s="1"/>
  <c r="U365" i="29"/>
  <c r="W365" i="29" s="1"/>
  <c r="V203" i="29"/>
  <c r="X203" i="29" s="1"/>
  <c r="Y203" i="29" s="1"/>
  <c r="U70" i="29"/>
  <c r="AG70" i="29" s="1"/>
  <c r="U357" i="29"/>
  <c r="AG357" i="29" s="1"/>
  <c r="V258" i="29"/>
  <c r="AH258" i="29" s="1"/>
  <c r="U123" i="29"/>
  <c r="W123" i="29" s="1"/>
  <c r="BY299" i="24"/>
  <c r="CA299" i="24" s="1"/>
  <c r="U109" i="29"/>
  <c r="AG109" i="29" s="1"/>
  <c r="U560" i="29"/>
  <c r="W560" i="29" s="1"/>
  <c r="V466" i="29"/>
  <c r="X466" i="29" s="1"/>
  <c r="Y466" i="29" s="1"/>
  <c r="U107" i="29"/>
  <c r="AG107" i="29" s="1"/>
  <c r="U475" i="29"/>
  <c r="W475" i="29" s="1"/>
  <c r="CB55" i="24"/>
  <c r="B287" i="2" s="1"/>
  <c r="CF55" i="24"/>
  <c r="U115" i="29"/>
  <c r="AG115" i="29" s="1"/>
  <c r="U254" i="29"/>
  <c r="AG254" i="29" s="1"/>
  <c r="V80" i="29"/>
  <c r="AH80" i="29" s="1"/>
  <c r="V516" i="29"/>
  <c r="X516" i="29" s="1"/>
  <c r="Y516" i="29" s="1"/>
  <c r="V563" i="29"/>
  <c r="AH563" i="29" s="1"/>
  <c r="V34" i="29"/>
  <c r="X34" i="29" s="1"/>
  <c r="Y34" i="29" s="1"/>
  <c r="V408" i="29"/>
  <c r="AH408" i="29" s="1"/>
  <c r="V501" i="29"/>
  <c r="AH501" i="29" s="1"/>
  <c r="U429" i="29"/>
  <c r="AG429" i="29" s="1"/>
  <c r="U156" i="29"/>
  <c r="AG156" i="29" s="1"/>
  <c r="V151" i="29"/>
  <c r="AH151" i="29" s="1"/>
  <c r="U49" i="29"/>
  <c r="AG49" i="29" s="1"/>
  <c r="U587" i="29"/>
  <c r="AG587" i="29" s="1"/>
  <c r="V582" i="29"/>
  <c r="AH582" i="29" s="1"/>
  <c r="V217" i="29"/>
  <c r="AH217" i="29" s="1"/>
  <c r="U611" i="29"/>
  <c r="W611" i="29" s="1"/>
  <c r="V359" i="29"/>
  <c r="X359" i="29" s="1"/>
  <c r="Y359" i="29" s="1"/>
  <c r="U557" i="29"/>
  <c r="AG557" i="29" s="1"/>
  <c r="BY24" i="24"/>
  <c r="CA24" i="24" s="1"/>
  <c r="CB24" i="24" s="1"/>
  <c r="U166" i="29"/>
  <c r="AG166" i="29" s="1"/>
  <c r="U104" i="29"/>
  <c r="W104" i="29" s="1"/>
  <c r="U153" i="29"/>
  <c r="AG153" i="29" s="1"/>
  <c r="V589" i="29"/>
  <c r="X589" i="29" s="1"/>
  <c r="Y589" i="29" s="1"/>
  <c r="U98" i="29"/>
  <c r="AG98" i="29" s="1"/>
  <c r="V292" i="29"/>
  <c r="AH292" i="29" s="1"/>
  <c r="U513" i="29"/>
  <c r="W513" i="29" s="1"/>
  <c r="V613" i="29"/>
  <c r="AH613" i="29" s="1"/>
  <c r="V477" i="29"/>
  <c r="X477" i="29" s="1"/>
  <c r="Y477" i="29" s="1"/>
  <c r="U52" i="29"/>
  <c r="AG52" i="29" s="1"/>
  <c r="U204" i="29"/>
  <c r="W204" i="29" s="1"/>
  <c r="BY282" i="24"/>
  <c r="CA282" i="24" s="1"/>
  <c r="CB282" i="24" s="1"/>
  <c r="U571" i="29"/>
  <c r="AG571" i="29" s="1"/>
  <c r="V161" i="29"/>
  <c r="X161" i="29" s="1"/>
  <c r="Y161" i="29" s="1"/>
  <c r="V235" i="29"/>
  <c r="X235" i="29" s="1"/>
  <c r="Y235" i="29" s="1"/>
  <c r="U598" i="29"/>
  <c r="AG598" i="29" s="1"/>
  <c r="U144" i="29"/>
  <c r="W144" i="29" s="1"/>
  <c r="V510" i="29"/>
  <c r="X510" i="29" s="1"/>
  <c r="Y510" i="29" s="1"/>
  <c r="U515" i="29"/>
  <c r="W515" i="29" s="1"/>
  <c r="V471" i="29"/>
  <c r="AH471" i="29" s="1"/>
  <c r="BY305" i="24"/>
  <c r="CA305" i="24" s="1"/>
  <c r="V127" i="29"/>
  <c r="X127" i="29" s="1"/>
  <c r="Y127" i="29" s="1"/>
  <c r="U216" i="29"/>
  <c r="AG216" i="29" s="1"/>
  <c r="U326" i="29"/>
  <c r="AG326" i="29" s="1"/>
  <c r="BY296" i="24"/>
  <c r="CA296" i="24" s="1"/>
  <c r="CB296" i="24" s="1"/>
  <c r="U555" i="29"/>
  <c r="W555" i="29" s="1"/>
  <c r="V361" i="29"/>
  <c r="X361" i="29" s="1"/>
  <c r="Y361" i="29" s="1"/>
  <c r="V397" i="29"/>
  <c r="X397" i="29" s="1"/>
  <c r="Y397" i="29" s="1"/>
  <c r="U493" i="29"/>
  <c r="AG493" i="29" s="1"/>
  <c r="V229" i="29"/>
  <c r="X229" i="29" s="1"/>
  <c r="Y229" i="29" s="1"/>
  <c r="V35" i="29"/>
  <c r="AH35" i="29" s="1"/>
  <c r="V470" i="29"/>
  <c r="X470" i="29" s="1"/>
  <c r="Y470" i="29" s="1"/>
  <c r="V577" i="29"/>
  <c r="X577" i="29" s="1"/>
  <c r="Y577" i="29" s="1"/>
  <c r="V586" i="29"/>
  <c r="AH586" i="29" s="1"/>
  <c r="U270" i="29"/>
  <c r="AG270" i="29" s="1"/>
  <c r="U90" i="29"/>
  <c r="AG90" i="29" s="1"/>
  <c r="V241" i="29"/>
  <c r="AH241" i="29" s="1"/>
  <c r="U325" i="29"/>
  <c r="W325" i="29" s="1"/>
  <c r="V377" i="29"/>
  <c r="AH377" i="29" s="1"/>
  <c r="U532" i="29"/>
  <c r="W532" i="29" s="1"/>
  <c r="V339" i="29"/>
  <c r="X339" i="29" s="1"/>
  <c r="Y339" i="29" s="1"/>
  <c r="U194" i="29"/>
  <c r="W194" i="29" s="1"/>
  <c r="U347" i="29"/>
  <c r="AG347" i="29" s="1"/>
  <c r="V152" i="29"/>
  <c r="X152" i="29" s="1"/>
  <c r="Y152" i="29" s="1"/>
  <c r="V345" i="29"/>
  <c r="X345" i="29" s="1"/>
  <c r="Y345" i="29" s="1"/>
  <c r="V256" i="29"/>
  <c r="X256" i="29" s="1"/>
  <c r="Y256" i="29" s="1"/>
  <c r="U89" i="29"/>
  <c r="AG89" i="29" s="1"/>
  <c r="BY232" i="24"/>
  <c r="CA232" i="24" s="1"/>
  <c r="V220" i="29"/>
  <c r="AH220" i="29" s="1"/>
  <c r="U559" i="29"/>
  <c r="W559" i="29" s="1"/>
  <c r="V299" i="29"/>
  <c r="AH299" i="29" s="1"/>
  <c r="V138" i="29"/>
  <c r="X138" i="29" s="1"/>
  <c r="Y138" i="29" s="1"/>
  <c r="V462" i="29"/>
  <c r="AH462" i="29" s="1"/>
  <c r="BY280" i="24"/>
  <c r="CA280" i="24" s="1"/>
  <c r="CB280" i="24" s="1"/>
  <c r="V597" i="29"/>
  <c r="X597" i="29" s="1"/>
  <c r="Y597" i="29" s="1"/>
  <c r="U185" i="29"/>
  <c r="AG185" i="29" s="1"/>
  <c r="U332" i="29"/>
  <c r="W332" i="29" s="1"/>
  <c r="U222" i="29"/>
  <c r="AG222" i="29" s="1"/>
  <c r="U480" i="29"/>
  <c r="AG480" i="29" s="1"/>
  <c r="V443" i="29"/>
  <c r="X443" i="29" s="1"/>
  <c r="Y443" i="29" s="1"/>
  <c r="V43" i="29"/>
  <c r="AH43" i="29" s="1"/>
  <c r="V331" i="29"/>
  <c r="AH331" i="29" s="1"/>
  <c r="U526" i="29"/>
  <c r="AG526" i="29" s="1"/>
  <c r="U122" i="29"/>
  <c r="AG122" i="29" s="1"/>
  <c r="V543" i="29"/>
  <c r="X543" i="29" s="1"/>
  <c r="Y543" i="29" s="1"/>
  <c r="BY54" i="24"/>
  <c r="CA54" i="24" s="1"/>
  <c r="V53" i="29"/>
  <c r="AH53" i="29" s="1"/>
  <c r="V468" i="29"/>
  <c r="X468" i="29" s="1"/>
  <c r="Y468" i="29" s="1"/>
  <c r="V404" i="29"/>
  <c r="AH404" i="29" s="1"/>
  <c r="V233" i="29"/>
  <c r="AH233" i="29" s="1"/>
  <c r="U289" i="29"/>
  <c r="AG289" i="29" s="1"/>
  <c r="V327" i="29"/>
  <c r="AH327" i="29" s="1"/>
  <c r="V93" i="29"/>
  <c r="X93" i="29" s="1"/>
  <c r="Y93" i="29" s="1"/>
  <c r="U73" i="29"/>
  <c r="W73" i="29" s="1"/>
  <c r="U165" i="29"/>
  <c r="W165" i="29" s="1"/>
  <c r="V293" i="29"/>
  <c r="AH293" i="29" s="1"/>
  <c r="V402" i="29"/>
  <c r="AH402" i="29" s="1"/>
  <c r="V596" i="29"/>
  <c r="AH596" i="29" s="1"/>
  <c r="V590" i="29"/>
  <c r="X590" i="29" s="1"/>
  <c r="Y590" i="29" s="1"/>
  <c r="V580" i="29"/>
  <c r="AH580" i="29" s="1"/>
  <c r="BN28" i="24"/>
  <c r="V454" i="29"/>
  <c r="X454" i="29" s="1"/>
  <c r="Y454" i="29" s="1"/>
  <c r="U50" i="29"/>
  <c r="W50" i="29" s="1"/>
  <c r="U448" i="29"/>
  <c r="AG448" i="29" s="1"/>
  <c r="U556" i="29"/>
  <c r="AG556" i="29" s="1"/>
  <c r="V558" i="29"/>
  <c r="X558" i="29" s="1"/>
  <c r="Y558" i="29" s="1"/>
  <c r="V298" i="29"/>
  <c r="AH298" i="29" s="1"/>
  <c r="V400" i="29"/>
  <c r="X400" i="29" s="1"/>
  <c r="Y400" i="29" s="1"/>
  <c r="U242" i="29"/>
  <c r="AG242" i="29" s="1"/>
  <c r="BY253" i="24"/>
  <c r="CA253" i="24" s="1"/>
  <c r="CB253" i="24" s="1"/>
  <c r="V303" i="29"/>
  <c r="AH303" i="29" s="1"/>
  <c r="V503" i="29"/>
  <c r="AH503" i="29" s="1"/>
  <c r="U139" i="29"/>
  <c r="W139" i="29" s="1"/>
  <c r="V48" i="29"/>
  <c r="AH48" i="29" s="1"/>
  <c r="V308" i="29"/>
  <c r="AH308" i="29" s="1"/>
  <c r="V184" i="29"/>
  <c r="AH184" i="29" s="1"/>
  <c r="V546" i="29"/>
  <c r="X546" i="29" s="1"/>
  <c r="Y546" i="29" s="1"/>
  <c r="U246" i="29"/>
  <c r="W246" i="29" s="1"/>
  <c r="U387" i="29"/>
  <c r="W387" i="29" s="1"/>
  <c r="U610" i="29"/>
  <c r="AG610" i="29" s="1"/>
  <c r="V497" i="29"/>
  <c r="AH497" i="29" s="1"/>
  <c r="CB45" i="24"/>
  <c r="CF45" i="24"/>
  <c r="CB135" i="24"/>
  <c r="CF135" i="24"/>
  <c r="U530" i="29"/>
  <c r="W530" i="29" s="1"/>
  <c r="V96" i="29"/>
  <c r="X96" i="29" s="1"/>
  <c r="Y96" i="29" s="1"/>
  <c r="U439" i="29"/>
  <c r="AG439" i="29" s="1"/>
  <c r="U86" i="29"/>
  <c r="W86" i="29" s="1"/>
  <c r="V512" i="29"/>
  <c r="AH512" i="29" s="1"/>
  <c r="U218" i="29"/>
  <c r="AG218" i="29" s="1"/>
  <c r="U221" i="29"/>
  <c r="AG221" i="29" s="1"/>
  <c r="U350" i="29"/>
  <c r="AG350" i="29" s="1"/>
  <c r="BM224" i="24"/>
  <c r="BN224" i="24" s="1"/>
  <c r="V567" i="29"/>
  <c r="AH567" i="29" s="1"/>
  <c r="V414" i="29"/>
  <c r="AH414" i="29" s="1"/>
  <c r="U401" i="29"/>
  <c r="AG401" i="29" s="1"/>
  <c r="V214" i="29"/>
  <c r="X214" i="29" s="1"/>
  <c r="Y214" i="29" s="1"/>
  <c r="V29" i="29"/>
  <c r="AH29" i="29" s="1"/>
  <c r="U45" i="29"/>
  <c r="W45" i="29" s="1"/>
  <c r="U522" i="29"/>
  <c r="AG522" i="29" s="1"/>
  <c r="V30" i="29"/>
  <c r="AH30" i="29" s="1"/>
  <c r="V171" i="29"/>
  <c r="X171" i="29" s="1"/>
  <c r="Y171" i="29" s="1"/>
  <c r="U88" i="29"/>
  <c r="W88" i="29" s="1"/>
  <c r="V224" i="29"/>
  <c r="X224" i="29" s="1"/>
  <c r="Y224" i="29" s="1"/>
  <c r="V605" i="29"/>
  <c r="X605" i="29" s="1"/>
  <c r="Y605" i="29" s="1"/>
  <c r="V101" i="29"/>
  <c r="AH101" i="29" s="1"/>
  <c r="U234" i="29"/>
  <c r="AG234" i="29" s="1"/>
  <c r="V418" i="29"/>
  <c r="AH418" i="29" s="1"/>
  <c r="U529" i="29"/>
  <c r="AG529" i="29" s="1"/>
  <c r="U140" i="29"/>
  <c r="AG140" i="29" s="1"/>
  <c r="U133" i="29"/>
  <c r="AG133" i="29" s="1"/>
  <c r="V554" i="29"/>
  <c r="AH554" i="29" s="1"/>
  <c r="U465" i="29"/>
  <c r="AG465" i="29" s="1"/>
  <c r="U341" i="29"/>
  <c r="AG341" i="29" s="1"/>
  <c r="U291" i="29"/>
  <c r="AG291" i="29" s="1"/>
  <c r="V388" i="29"/>
  <c r="AH388" i="29" s="1"/>
  <c r="U594" i="29"/>
  <c r="W594" i="29" s="1"/>
  <c r="V552" i="29"/>
  <c r="AH552" i="29" s="1"/>
  <c r="V499" i="29"/>
  <c r="AH499" i="29" s="1"/>
  <c r="V354" i="29"/>
  <c r="X354" i="29" s="1"/>
  <c r="Y354" i="29" s="1"/>
  <c r="V334" i="29"/>
  <c r="AH334" i="29" s="1"/>
  <c r="U230" i="29"/>
  <c r="W230" i="29" s="1"/>
  <c r="V69" i="29"/>
  <c r="AH69" i="29" s="1"/>
  <c r="V479" i="29"/>
  <c r="AH479" i="29" s="1"/>
  <c r="V415" i="29"/>
  <c r="AH415" i="29" s="1"/>
  <c r="U286" i="29"/>
  <c r="W286" i="29" s="1"/>
  <c r="V167" i="29"/>
  <c r="AH167" i="29" s="1"/>
  <c r="V424" i="29"/>
  <c r="AH424" i="29" s="1"/>
  <c r="U147" i="29"/>
  <c r="AG147" i="29" s="1"/>
  <c r="U170" i="29"/>
  <c r="AG170" i="29" s="1"/>
  <c r="U294" i="29"/>
  <c r="W294" i="29" s="1"/>
  <c r="U319" i="29"/>
  <c r="W319" i="29" s="1"/>
  <c r="U25" i="29"/>
  <c r="AG25" i="29" s="1"/>
  <c r="V44" i="29"/>
  <c r="AH44" i="29" s="1"/>
  <c r="V190" i="29"/>
  <c r="X190" i="29" s="1"/>
  <c r="Y190" i="29" s="1"/>
  <c r="V376" i="29"/>
  <c r="AH376" i="29" s="1"/>
  <c r="V342" i="29"/>
  <c r="AH342" i="29" s="1"/>
  <c r="V413" i="29"/>
  <c r="AH413" i="29" s="1"/>
  <c r="V81" i="29"/>
  <c r="X81" i="29" s="1"/>
  <c r="Y81" i="29" s="1"/>
  <c r="U440" i="29"/>
  <c r="W440" i="29" s="1"/>
  <c r="U422" i="29"/>
  <c r="AG422" i="29" s="1"/>
  <c r="V428" i="29"/>
  <c r="AH428" i="29" s="1"/>
  <c r="V40" i="29"/>
  <c r="AH40" i="29" s="1"/>
  <c r="V268" i="29"/>
  <c r="AH268" i="29" s="1"/>
  <c r="U609" i="29"/>
  <c r="W609" i="29" s="1"/>
  <c r="V486" i="29"/>
  <c r="X486" i="29" s="1"/>
  <c r="Y486" i="29" s="1"/>
  <c r="V321" i="29"/>
  <c r="X321" i="29" s="1"/>
  <c r="Y321" i="29" s="1"/>
  <c r="U447" i="29"/>
  <c r="W447" i="29" s="1"/>
  <c r="U84" i="29"/>
  <c r="AG84" i="29" s="1"/>
  <c r="V208" i="29"/>
  <c r="X208" i="29" s="1"/>
  <c r="Y208" i="29" s="1"/>
  <c r="U180" i="29"/>
  <c r="W180" i="29" s="1"/>
  <c r="V274" i="29"/>
  <c r="AH274" i="29" s="1"/>
  <c r="U488" i="29"/>
  <c r="W488" i="29" s="1"/>
  <c r="V494" i="29"/>
  <c r="X494" i="29" s="1"/>
  <c r="Y494" i="29" s="1"/>
  <c r="U183" i="29"/>
  <c r="AG183" i="29" s="1"/>
  <c r="V114" i="29"/>
  <c r="AH114" i="29" s="1"/>
  <c r="U463" i="29"/>
  <c r="AG463" i="29" s="1"/>
  <c r="U474" i="29"/>
  <c r="AG474" i="29" s="1"/>
  <c r="U324" i="29"/>
  <c r="W324" i="29" s="1"/>
  <c r="V346" i="29"/>
  <c r="X346" i="29" s="1"/>
  <c r="Y346" i="29" s="1"/>
  <c r="U13" i="29"/>
  <c r="AG13" i="29" s="1"/>
  <c r="BY26" i="24"/>
  <c r="CA26" i="24" s="1"/>
  <c r="CB26" i="24" s="1"/>
  <c r="BY148" i="24"/>
  <c r="CA148" i="24" s="1"/>
  <c r="CB148" i="24" s="1"/>
  <c r="V550" i="29"/>
  <c r="X550" i="29" s="1"/>
  <c r="Y550" i="29" s="1"/>
  <c r="U406" i="29"/>
  <c r="AG406" i="29" s="1"/>
  <c r="V581" i="29"/>
  <c r="X581" i="29" s="1"/>
  <c r="Y581" i="29" s="1"/>
  <c r="U453" i="29"/>
  <c r="W453" i="29" s="1"/>
  <c r="U33" i="29"/>
  <c r="W33" i="29" s="1"/>
  <c r="V57" i="29"/>
  <c r="AH57" i="29" s="1"/>
  <c r="U187" i="29"/>
  <c r="AG187" i="29" s="1"/>
  <c r="V302" i="29"/>
  <c r="X302" i="29" s="1"/>
  <c r="Y302" i="29" s="1"/>
  <c r="V197" i="29"/>
  <c r="AH197" i="29" s="1"/>
  <c r="BY58" i="24"/>
  <c r="CA58" i="24" s="1"/>
  <c r="CB58" i="24" s="1"/>
  <c r="V239" i="29"/>
  <c r="X239" i="29" s="1"/>
  <c r="Y239" i="29" s="1"/>
  <c r="U154" i="29"/>
  <c r="AG154" i="29" s="1"/>
  <c r="U336" i="29"/>
  <c r="AG336" i="29" s="1"/>
  <c r="V333" i="29"/>
  <c r="X333" i="29" s="1"/>
  <c r="Y333" i="29" s="1"/>
  <c r="U32" i="29"/>
  <c r="W32" i="29" s="1"/>
  <c r="U412" i="29"/>
  <c r="AG412" i="29" s="1"/>
  <c r="V267" i="29"/>
  <c r="X267" i="29" s="1"/>
  <c r="Y267" i="29" s="1"/>
  <c r="U117" i="29"/>
  <c r="W117" i="29" s="1"/>
  <c r="U390" i="29"/>
  <c r="W390" i="29" s="1"/>
  <c r="V178" i="29"/>
  <c r="AH178" i="29" s="1"/>
  <c r="U130" i="29"/>
  <c r="AG130" i="29" s="1"/>
  <c r="V505" i="29"/>
  <c r="AH505" i="29" s="1"/>
  <c r="U149" i="29"/>
  <c r="AG149" i="29" s="1"/>
  <c r="V329" i="29"/>
  <c r="AH329" i="29" s="1"/>
  <c r="BY33" i="24"/>
  <c r="CA33" i="24" s="1"/>
  <c r="CB33" i="24" s="1"/>
  <c r="V535" i="29"/>
  <c r="AH535" i="29" s="1"/>
  <c r="V467" i="29"/>
  <c r="X467" i="29" s="1"/>
  <c r="Y467" i="29" s="1"/>
  <c r="U164" i="29"/>
  <c r="AG164" i="29" s="1"/>
  <c r="U100" i="29"/>
  <c r="W100" i="29" s="1"/>
  <c r="U192" i="29"/>
  <c r="W192" i="29" s="1"/>
  <c r="V472" i="29"/>
  <c r="AH472" i="29" s="1"/>
  <c r="U297" i="29"/>
  <c r="AG297" i="29" s="1"/>
  <c r="V435" i="29"/>
  <c r="X435" i="29" s="1"/>
  <c r="Y435" i="29" s="1"/>
  <c r="V20" i="29"/>
  <c r="X20" i="29" s="1"/>
  <c r="Y20" i="29" s="1"/>
  <c r="V344" i="29"/>
  <c r="AH344" i="29" s="1"/>
  <c r="U460" i="29"/>
  <c r="W460" i="29" s="1"/>
  <c r="V476" i="29"/>
  <c r="AH476" i="29" s="1"/>
  <c r="V87" i="29"/>
  <c r="X87" i="29" s="1"/>
  <c r="Y87" i="29" s="1"/>
  <c r="U264" i="29"/>
  <c r="W264" i="29" s="1"/>
  <c r="U490" i="29"/>
  <c r="W490" i="29" s="1"/>
  <c r="V39" i="29"/>
  <c r="X39" i="29" s="1"/>
  <c r="Y39" i="29" s="1"/>
  <c r="V473" i="29"/>
  <c r="X473" i="29" s="1"/>
  <c r="Y473" i="29" s="1"/>
  <c r="V118" i="29"/>
  <c r="X118" i="29" s="1"/>
  <c r="Y118" i="29" s="1"/>
  <c r="V306" i="29"/>
  <c r="AH306" i="29" s="1"/>
  <c r="U540" i="29"/>
  <c r="W540" i="29" s="1"/>
  <c r="U330" i="29"/>
  <c r="AG330" i="29" s="1"/>
  <c r="U514" i="29"/>
  <c r="AG514" i="29" s="1"/>
  <c r="V17" i="29"/>
  <c r="X17" i="29" s="1"/>
  <c r="Y17" i="29" s="1"/>
  <c r="U120" i="29"/>
  <c r="W120" i="29" s="1"/>
  <c r="BY247" i="24"/>
  <c r="CA247" i="24" s="1"/>
  <c r="CB247" i="24" s="1"/>
  <c r="U210" i="29"/>
  <c r="AG210" i="29" s="1"/>
  <c r="U574" i="29"/>
  <c r="W574" i="29" s="1"/>
  <c r="V236" i="29"/>
  <c r="X236" i="29" s="1"/>
  <c r="Y236" i="29" s="1"/>
  <c r="U349" i="29"/>
  <c r="W349" i="29" s="1"/>
  <c r="U316" i="29"/>
  <c r="W316" i="29" s="1"/>
  <c r="BY19" i="24"/>
  <c r="CA19" i="24" s="1"/>
  <c r="CB19" i="24" s="1"/>
  <c r="V461" i="29"/>
  <c r="AH461" i="29" s="1"/>
  <c r="V136" i="29"/>
  <c r="X136" i="29" s="1"/>
  <c r="Y136" i="29" s="1"/>
  <c r="V438" i="29"/>
  <c r="X438" i="29" s="1"/>
  <c r="Y438" i="29" s="1"/>
  <c r="U23" i="29"/>
  <c r="AG23" i="29" s="1"/>
  <c r="V368" i="29"/>
  <c r="AH368" i="29" s="1"/>
  <c r="V612" i="29"/>
  <c r="X612" i="29" s="1"/>
  <c r="Y612" i="29" s="1"/>
  <c r="V250" i="29"/>
  <c r="AH250" i="29" s="1"/>
  <c r="U128" i="29"/>
  <c r="W128" i="29" s="1"/>
  <c r="V125" i="29"/>
  <c r="X125" i="29" s="1"/>
  <c r="Y125" i="29" s="1"/>
  <c r="U112" i="29"/>
  <c r="W112" i="29" s="1"/>
  <c r="U277" i="29"/>
  <c r="W277" i="29" s="1"/>
  <c r="U72" i="29"/>
  <c r="W72" i="29" s="1"/>
  <c r="U146" i="29"/>
  <c r="W146" i="29" s="1"/>
  <c r="U498" i="29"/>
  <c r="AG498" i="29" s="1"/>
  <c r="U219" i="29"/>
  <c r="AG219" i="29" s="1"/>
  <c r="U150" i="29"/>
  <c r="AG150" i="29" s="1"/>
  <c r="V281" i="29"/>
  <c r="AH281" i="29" s="1"/>
  <c r="V259" i="29"/>
  <c r="AH259" i="29" s="1"/>
  <c r="U366" i="29"/>
  <c r="W366" i="29" s="1"/>
  <c r="U569" i="29"/>
  <c r="W569" i="29" s="1"/>
  <c r="V262" i="29"/>
  <c r="AH262" i="29" s="1"/>
  <c r="U116" i="29"/>
  <c r="AG116" i="29" s="1"/>
  <c r="U588" i="29"/>
  <c r="AG588" i="29" s="1"/>
  <c r="BY228" i="24"/>
  <c r="CA228" i="24" s="1"/>
  <c r="CB228" i="24" s="1"/>
  <c r="U455" i="29"/>
  <c r="W455" i="29" s="1"/>
  <c r="V320" i="29"/>
  <c r="X320" i="29" s="1"/>
  <c r="Y320" i="29" s="1"/>
  <c r="U430" i="29"/>
  <c r="AG430" i="29" s="1"/>
  <c r="U432" i="29"/>
  <c r="AG432" i="29" s="1"/>
  <c r="U240" i="29"/>
  <c r="AG240" i="29" s="1"/>
  <c r="U351" i="29"/>
  <c r="AG351" i="29" s="1"/>
  <c r="V272" i="29"/>
  <c r="AH272" i="29" s="1"/>
  <c r="U199" i="29"/>
  <c r="AG199" i="29" s="1"/>
  <c r="V538" i="29"/>
  <c r="X538" i="29" s="1"/>
  <c r="Y538" i="29" s="1"/>
  <c r="V228" i="29"/>
  <c r="AH228" i="29" s="1"/>
  <c r="U41" i="29"/>
  <c r="AG41" i="29" s="1"/>
  <c r="V135" i="29"/>
  <c r="X135" i="29" s="1"/>
  <c r="Y135" i="29" s="1"/>
  <c r="U434" i="29"/>
  <c r="AG434" i="29" s="1"/>
  <c r="U38" i="29"/>
  <c r="W38" i="29" s="1"/>
  <c r="U177" i="29"/>
  <c r="AG177" i="29" s="1"/>
  <c r="V409" i="29"/>
  <c r="AH409" i="29" s="1"/>
  <c r="V76" i="29"/>
  <c r="X76" i="29" s="1"/>
  <c r="Y76" i="29" s="1"/>
  <c r="U244" i="29"/>
  <c r="W244" i="29" s="1"/>
  <c r="U583" i="29"/>
  <c r="W583" i="29" s="1"/>
  <c r="V273" i="29"/>
  <c r="AH273" i="29" s="1"/>
  <c r="V283" i="29"/>
  <c r="X283" i="29" s="1"/>
  <c r="Y283" i="29" s="1"/>
  <c r="V169" i="29"/>
  <c r="AH169" i="29" s="1"/>
  <c r="U103" i="29"/>
  <c r="W103" i="29" s="1"/>
  <c r="U92" i="29"/>
  <c r="W92" i="29" s="1"/>
  <c r="V355" i="29"/>
  <c r="X355" i="29" s="1"/>
  <c r="Y355" i="29" s="1"/>
  <c r="V249" i="29"/>
  <c r="X249" i="29" s="1"/>
  <c r="Y249" i="29" s="1"/>
  <c r="V188" i="29"/>
  <c r="X188" i="29" s="1"/>
  <c r="Y188" i="29" s="1"/>
  <c r="U232" i="29"/>
  <c r="W232" i="29" s="1"/>
  <c r="V275" i="29"/>
  <c r="X275" i="29" s="1"/>
  <c r="Y275" i="29" s="1"/>
  <c r="BY34" i="24"/>
  <c r="CA34" i="24" s="1"/>
  <c r="CB34" i="24" s="1"/>
  <c r="U260" i="29"/>
  <c r="W260" i="29" s="1"/>
  <c r="V395" i="29"/>
  <c r="AH395" i="29" s="1"/>
  <c r="V378" i="29"/>
  <c r="AH378" i="29" s="1"/>
  <c r="V539" i="29"/>
  <c r="AH539" i="29" s="1"/>
  <c r="V403" i="29"/>
  <c r="X403" i="29" s="1"/>
  <c r="Y403" i="29" s="1"/>
  <c r="V575" i="29"/>
  <c r="AH575" i="29" s="1"/>
  <c r="V446" i="29"/>
  <c r="X446" i="29" s="1"/>
  <c r="Y446" i="29" s="1"/>
  <c r="U433" i="29"/>
  <c r="AG433" i="29" s="1"/>
  <c r="U195" i="29"/>
  <c r="W195" i="29" s="1"/>
  <c r="V407" i="29"/>
  <c r="X407" i="29" s="1"/>
  <c r="Y407" i="29" s="1"/>
  <c r="V593" i="29"/>
  <c r="AH593" i="29" s="1"/>
  <c r="V484" i="29"/>
  <c r="X484" i="29" s="1"/>
  <c r="Y484" i="29" s="1"/>
  <c r="U502" i="29"/>
  <c r="AG502" i="29" s="1"/>
  <c r="V94" i="29"/>
  <c r="AH94" i="29" s="1"/>
  <c r="BY20" i="24"/>
  <c r="CA20" i="24" s="1"/>
  <c r="CB20" i="24" s="1"/>
  <c r="V295" i="29"/>
  <c r="X295" i="29" s="1"/>
  <c r="Y295" i="29" s="1"/>
  <c r="U201" i="29"/>
  <c r="W201" i="29" s="1"/>
  <c r="U523" i="29"/>
  <c r="W523" i="29" s="1"/>
  <c r="U383" i="29"/>
  <c r="AG383" i="29" s="1"/>
  <c r="V519" i="29"/>
  <c r="AH519" i="29" s="1"/>
  <c r="V36" i="29"/>
  <c r="AH36" i="29" s="1"/>
  <c r="V469" i="29"/>
  <c r="AH469" i="29" s="1"/>
  <c r="U245" i="29"/>
  <c r="AG245" i="29" s="1"/>
  <c r="V572" i="29"/>
  <c r="X572" i="29" s="1"/>
  <c r="Y572" i="29" s="1"/>
  <c r="U305" i="29"/>
  <c r="AG305" i="29" s="1"/>
  <c r="V411" i="29"/>
  <c r="AH411" i="29" s="1"/>
  <c r="U410" i="29"/>
  <c r="AG410" i="29" s="1"/>
  <c r="V21" i="29"/>
  <c r="AH21" i="29" s="1"/>
  <c r="U518" i="29"/>
  <c r="W518" i="29" s="1"/>
  <c r="U520" i="29"/>
  <c r="W520" i="29" s="1"/>
  <c r="V592" i="29"/>
  <c r="X592" i="29" s="1"/>
  <c r="Y592" i="29" s="1"/>
  <c r="V141" i="29"/>
  <c r="AH141" i="29" s="1"/>
  <c r="V14" i="29"/>
  <c r="AH14" i="29" s="1"/>
  <c r="V481" i="29"/>
  <c r="X481" i="29" s="1"/>
  <c r="Y481" i="29" s="1"/>
  <c r="U142" i="29"/>
  <c r="AG142" i="29" s="1"/>
  <c r="U382" i="29"/>
  <c r="AG382" i="29" s="1"/>
  <c r="V506" i="29"/>
  <c r="X506" i="29" s="1"/>
  <c r="Y506" i="29" s="1"/>
  <c r="V600" i="29"/>
  <c r="AH600" i="29" s="1"/>
  <c r="U353" i="29"/>
  <c r="AG353" i="29" s="1"/>
  <c r="U547" i="29"/>
  <c r="AG547" i="29" s="1"/>
  <c r="U315" i="29"/>
  <c r="AG315" i="29" s="1"/>
  <c r="V65" i="29"/>
  <c r="X65" i="29" s="1"/>
  <c r="Y65" i="29" s="1"/>
  <c r="U398" i="29"/>
  <c r="W398" i="29" s="1"/>
  <c r="U56" i="29"/>
  <c r="AG56" i="29" s="1"/>
  <c r="V456" i="29"/>
  <c r="X456" i="29" s="1"/>
  <c r="Y456" i="29" s="1"/>
  <c r="U301" i="29"/>
  <c r="AG301" i="29" s="1"/>
  <c r="V427" i="29"/>
  <c r="X427" i="29" s="1"/>
  <c r="Y427" i="29" s="1"/>
  <c r="V175" i="29"/>
  <c r="X175" i="29" s="1"/>
  <c r="Y175" i="29" s="1"/>
  <c r="V263" i="29"/>
  <c r="AH263" i="29" s="1"/>
  <c r="U145" i="29"/>
  <c r="W145" i="29" s="1"/>
  <c r="U356" i="29"/>
  <c r="AG356" i="29" s="1"/>
  <c r="U91" i="29"/>
  <c r="AG91" i="29" s="1"/>
  <c r="V243" i="29"/>
  <c r="X243" i="29" s="1"/>
  <c r="Y243" i="29" s="1"/>
  <c r="U450" i="29"/>
  <c r="AG450" i="29" s="1"/>
  <c r="U200" i="29"/>
  <c r="AG200" i="29" s="1"/>
  <c r="U531" i="29"/>
  <c r="AG531" i="29" s="1"/>
  <c r="U179" i="29"/>
  <c r="AG179" i="29" s="1"/>
  <c r="U202" i="29"/>
  <c r="W202" i="29" s="1"/>
  <c r="U426" i="29"/>
  <c r="W426" i="29" s="1"/>
  <c r="U172" i="29"/>
  <c r="W172" i="29" s="1"/>
  <c r="V191" i="29"/>
  <c r="AH191" i="29" s="1"/>
  <c r="V77" i="29"/>
  <c r="X77" i="29" s="1"/>
  <c r="Y77" i="29" s="1"/>
  <c r="V47" i="29"/>
  <c r="X47" i="29" s="1"/>
  <c r="Y47" i="29" s="1"/>
  <c r="V27" i="29"/>
  <c r="X27" i="29" s="1"/>
  <c r="Y27" i="29" s="1"/>
  <c r="U318" i="29"/>
  <c r="W318" i="29" s="1"/>
  <c r="V307" i="29"/>
  <c r="AH307" i="29" s="1"/>
  <c r="U119" i="29"/>
  <c r="W119" i="29" s="1"/>
  <c r="V160" i="29"/>
  <c r="AH160" i="29" s="1"/>
  <c r="V67" i="29"/>
  <c r="AH67" i="29" s="1"/>
  <c r="V313" i="29"/>
  <c r="X313" i="29" s="1"/>
  <c r="Y313" i="29" s="1"/>
  <c r="V16" i="29"/>
  <c r="X16" i="29" s="1"/>
  <c r="Y16" i="29" s="1"/>
  <c r="U158" i="29"/>
  <c r="W158" i="29" s="1"/>
  <c r="V392" i="29"/>
  <c r="X392" i="29" s="1"/>
  <c r="Y392" i="29" s="1"/>
  <c r="V548" i="29"/>
  <c r="AH548" i="29" s="1"/>
  <c r="U489" i="29"/>
  <c r="W489" i="29" s="1"/>
  <c r="U280" i="29"/>
  <c r="AG280" i="29" s="1"/>
  <c r="U444" i="29"/>
  <c r="AG444" i="29" s="1"/>
  <c r="U132" i="29"/>
  <c r="AG132" i="29" s="1"/>
  <c r="V83" i="29"/>
  <c r="AH83" i="29" s="1"/>
  <c r="V607" i="29"/>
  <c r="AH607" i="29" s="1"/>
  <c r="U492" i="29"/>
  <c r="AG492" i="29" s="1"/>
  <c r="V436" i="29"/>
  <c r="AH436" i="29" s="1"/>
  <c r="U528" i="29"/>
  <c r="AG528" i="29" s="1"/>
  <c r="V517" i="29"/>
  <c r="AH517" i="29" s="1"/>
  <c r="V215" i="29"/>
  <c r="AH215" i="29" s="1"/>
  <c r="V385" i="29"/>
  <c r="X385" i="29" s="1"/>
  <c r="Y385" i="29" s="1"/>
  <c r="U157" i="29"/>
  <c r="W157" i="29" s="1"/>
  <c r="U504" i="29"/>
  <c r="W504" i="29" s="1"/>
  <c r="V458" i="29"/>
  <c r="AH458" i="29" s="1"/>
  <c r="U449" i="29"/>
  <c r="W449" i="29" s="1"/>
  <c r="V237" i="29"/>
  <c r="X237" i="29" s="1"/>
  <c r="Y237" i="29" s="1"/>
  <c r="U226" i="29"/>
  <c r="W226" i="29" s="1"/>
  <c r="V601" i="29"/>
  <c r="AH601" i="29" s="1"/>
  <c r="U595" i="29"/>
  <c r="AG595" i="29" s="1"/>
  <c r="U26" i="29"/>
  <c r="AG26" i="29" s="1"/>
  <c r="V42" i="29"/>
  <c r="AH42" i="29" s="1"/>
  <c r="U265" i="29"/>
  <c r="W265" i="29" s="1"/>
  <c r="U542" i="29"/>
  <c r="AG542" i="29" s="1"/>
  <c r="U565" i="29"/>
  <c r="W565" i="29" s="1"/>
  <c r="U381" i="29"/>
  <c r="W381" i="29" s="1"/>
  <c r="U389" i="29"/>
  <c r="W389" i="29" s="1"/>
  <c r="V396" i="29"/>
  <c r="AH396" i="29" s="1"/>
  <c r="V95" i="29"/>
  <c r="X95" i="29" s="1"/>
  <c r="Y95" i="29" s="1"/>
  <c r="V182" i="29"/>
  <c r="AH182" i="29" s="1"/>
  <c r="V579" i="29"/>
  <c r="AH579" i="29" s="1"/>
  <c r="V269" i="29"/>
  <c r="AH269" i="29" s="1"/>
  <c r="V451" i="29"/>
  <c r="AH451" i="29" s="1"/>
  <c r="V102" i="29"/>
  <c r="X102" i="29" s="1"/>
  <c r="Y102" i="29" s="1"/>
  <c r="U37" i="29"/>
  <c r="AG37" i="29" s="1"/>
  <c r="U421" i="29"/>
  <c r="AG421" i="29" s="1"/>
  <c r="V300" i="29"/>
  <c r="X300" i="29" s="1"/>
  <c r="Y300" i="29" s="1"/>
  <c r="V227" i="29"/>
  <c r="AH227" i="29" s="1"/>
  <c r="V405" i="29"/>
  <c r="X405" i="29" s="1"/>
  <c r="Y405" i="29" s="1"/>
  <c r="U290" i="29"/>
  <c r="W290" i="29" s="1"/>
  <c r="V423" i="29"/>
  <c r="AH423" i="29" s="1"/>
  <c r="U278" i="29"/>
  <c r="AG278" i="29" s="1"/>
  <c r="U525" i="29"/>
  <c r="AG525" i="29" s="1"/>
  <c r="U568" i="29"/>
  <c r="W568" i="29" s="1"/>
  <c r="V126" i="29"/>
  <c r="AH126" i="29" s="1"/>
  <c r="CB162" i="24"/>
  <c r="CF162" i="24"/>
  <c r="U524" i="29"/>
  <c r="W524" i="29" s="1"/>
  <c r="U561" i="29"/>
  <c r="W561" i="29" s="1"/>
  <c r="U255" i="29"/>
  <c r="W255" i="29" s="1"/>
  <c r="V247" i="29"/>
  <c r="AH247" i="29" s="1"/>
  <c r="V134" i="29"/>
  <c r="X134" i="29" s="1"/>
  <c r="Y134" i="29" s="1"/>
  <c r="U287" i="29"/>
  <c r="W287" i="29" s="1"/>
  <c r="U533" i="29"/>
  <c r="AG533" i="29" s="1"/>
  <c r="U573" i="29"/>
  <c r="AG573" i="29" s="1"/>
  <c r="U375" i="29"/>
  <c r="AG375" i="29" s="1"/>
  <c r="U251" i="29"/>
  <c r="AG251" i="29" s="1"/>
  <c r="V51" i="29"/>
  <c r="AH51" i="29" s="1"/>
  <c r="U310" i="29"/>
  <c r="AG310" i="29" s="1"/>
  <c r="V68" i="29"/>
  <c r="AH68" i="29" s="1"/>
  <c r="V282" i="29"/>
  <c r="AH282" i="29" s="1"/>
  <c r="U369" i="29"/>
  <c r="AG369" i="29" s="1"/>
  <c r="U500" i="29"/>
  <c r="W500" i="29" s="1"/>
  <c r="V364" i="29"/>
  <c r="AH364" i="29" s="1"/>
  <c r="V416" i="29"/>
  <c r="X416" i="29" s="1"/>
  <c r="Y416" i="29" s="1"/>
  <c r="U15" i="29"/>
  <c r="AG15" i="29" s="1"/>
  <c r="U296" i="29"/>
  <c r="W296" i="29" s="1"/>
  <c r="V386" i="29"/>
  <c r="X386" i="29" s="1"/>
  <c r="Y386" i="29" s="1"/>
  <c r="U31" i="29"/>
  <c r="W31" i="29" s="1"/>
  <c r="V491" i="29"/>
  <c r="AH491" i="29" s="1"/>
  <c r="V211" i="29"/>
  <c r="AH211" i="29" s="1"/>
  <c r="U75" i="29"/>
  <c r="AG75" i="29" s="1"/>
  <c r="U534" i="29"/>
  <c r="W534" i="29" s="1"/>
  <c r="V399" i="29"/>
  <c r="AH399" i="29" s="1"/>
  <c r="U82" i="29"/>
  <c r="AG82" i="29" s="1"/>
  <c r="V570" i="29"/>
  <c r="AH570" i="29" s="1"/>
  <c r="U459" i="29"/>
  <c r="W459" i="29" s="1"/>
  <c r="V549" i="29"/>
  <c r="AH549" i="29" s="1"/>
  <c r="U99" i="29"/>
  <c r="AG99" i="29" s="1"/>
  <c r="U527" i="29"/>
  <c r="W527" i="29" s="1"/>
  <c r="U312" i="29"/>
  <c r="AG312" i="29" s="1"/>
  <c r="U314" i="29"/>
  <c r="W314" i="29" s="1"/>
  <c r="U431" i="29"/>
  <c r="AG431" i="29" s="1"/>
  <c r="V131" i="29"/>
  <c r="X131" i="29" s="1"/>
  <c r="Y131" i="29" s="1"/>
  <c r="U55" i="29"/>
  <c r="W55" i="29" s="1"/>
  <c r="V425" i="29"/>
  <c r="AH425" i="29" s="1"/>
  <c r="V394" i="29"/>
  <c r="X394" i="29" s="1"/>
  <c r="Y394" i="29" s="1"/>
  <c r="U143" i="29"/>
  <c r="W143" i="29" s="1"/>
  <c r="V482" i="29"/>
  <c r="X482" i="29" s="1"/>
  <c r="Y482" i="29" s="1"/>
  <c r="V487" i="29"/>
  <c r="AH487" i="29" s="1"/>
  <c r="U564" i="29"/>
  <c r="W564" i="29" s="1"/>
  <c r="V419" i="29"/>
  <c r="AH419" i="29" s="1"/>
  <c r="U173" i="29"/>
  <c r="W173" i="29" s="1"/>
  <c r="V420" i="29"/>
  <c r="AH420" i="29" s="1"/>
  <c r="U121" i="29"/>
  <c r="W121" i="29" s="1"/>
  <c r="V545" i="29"/>
  <c r="X545" i="29" s="1"/>
  <c r="Y545" i="29" s="1"/>
  <c r="V28" i="29"/>
  <c r="X28" i="29" s="1"/>
  <c r="Y28" i="29" s="1"/>
  <c r="V496" i="29"/>
  <c r="AH496" i="29" s="1"/>
  <c r="U441" i="29"/>
  <c r="AG441" i="29" s="1"/>
  <c r="BY117" i="24"/>
  <c r="CA117" i="24" s="1"/>
  <c r="U213" i="29"/>
  <c r="AG213" i="29" s="1"/>
  <c r="V372" i="29"/>
  <c r="AH372" i="29" s="1"/>
  <c r="U209" i="29"/>
  <c r="W209" i="29" s="1"/>
  <c r="V62" i="29"/>
  <c r="AH62" i="29" s="1"/>
  <c r="U495" i="29"/>
  <c r="AG495" i="29" s="1"/>
  <c r="U335" i="29"/>
  <c r="AG335" i="29" s="1"/>
  <c r="U360" i="29"/>
  <c r="AG360" i="29" s="1"/>
  <c r="V196" i="29"/>
  <c r="X196" i="29" s="1"/>
  <c r="Y196" i="29" s="1"/>
  <c r="V311" i="29"/>
  <c r="AH311" i="29" s="1"/>
  <c r="V162" i="29"/>
  <c r="AH162" i="29" s="1"/>
  <c r="V288" i="29"/>
  <c r="AH288" i="29" s="1"/>
  <c r="V129" i="29"/>
  <c r="AH129" i="29" s="1"/>
  <c r="BE237" i="25"/>
  <c r="BR237" i="25"/>
  <c r="BX237" i="25" s="1"/>
  <c r="V176" i="29"/>
  <c r="X176" i="29" s="1"/>
  <c r="Y176" i="29" s="1"/>
  <c r="AR212" i="25"/>
  <c r="BJ212" i="25"/>
  <c r="CE212" i="25"/>
  <c r="BH212" i="25"/>
  <c r="BW212" i="25"/>
  <c r="BU212" i="25"/>
  <c r="BF212" i="25"/>
  <c r="BR77" i="25"/>
  <c r="BV77" i="25" s="1"/>
  <c r="BX77" i="25" s="1"/>
  <c r="BE77" i="25"/>
  <c r="BK77" i="25" s="1"/>
  <c r="CF279" i="24"/>
  <c r="AH24" i="29"/>
  <c r="X24" i="29"/>
  <c r="Y24" i="29" s="1"/>
  <c r="BN16" i="24"/>
  <c r="BY16" i="24"/>
  <c r="CA16" i="24" s="1"/>
  <c r="CB16" i="24" s="1"/>
  <c r="BE191" i="25"/>
  <c r="BR191" i="25"/>
  <c r="BX191" i="25" s="1"/>
  <c r="X455" i="29"/>
  <c r="Y455" i="29" s="1"/>
  <c r="AH455" i="29"/>
  <c r="X116" i="29"/>
  <c r="Y116" i="29" s="1"/>
  <c r="AH116" i="29"/>
  <c r="BY311" i="24"/>
  <c r="CA311" i="24" s="1"/>
  <c r="BM311" i="24"/>
  <c r="BN311" i="24" s="1"/>
  <c r="BR225" i="25"/>
  <c r="BX225" i="25" s="1"/>
  <c r="BE225" i="25"/>
  <c r="BR58" i="25"/>
  <c r="BV58" i="25" s="1"/>
  <c r="BX58" i="25" s="1"/>
  <c r="BE58" i="25"/>
  <c r="BK58" i="25" s="1"/>
  <c r="BY72" i="24"/>
  <c r="CA72" i="24" s="1"/>
  <c r="CB72" i="24" s="1"/>
  <c r="BN72" i="24"/>
  <c r="AH606" i="29"/>
  <c r="X606" i="29"/>
  <c r="Y606" i="29" s="1"/>
  <c r="AH584" i="29"/>
  <c r="X584" i="29"/>
  <c r="Y584" i="29" s="1"/>
  <c r="W355" i="29"/>
  <c r="AG355" i="29"/>
  <c r="X270" i="29"/>
  <c r="Y270" i="29" s="1"/>
  <c r="AH270" i="29"/>
  <c r="X248" i="29"/>
  <c r="Y248" i="29" s="1"/>
  <c r="AH248" i="29"/>
  <c r="X133" i="29"/>
  <c r="Y133" i="29" s="1"/>
  <c r="AH133" i="29"/>
  <c r="AG408" i="29"/>
  <c r="W408" i="29"/>
  <c r="W392" i="29"/>
  <c r="AG392" i="29"/>
  <c r="X290" i="29"/>
  <c r="Y290" i="29" s="1"/>
  <c r="AH290" i="29"/>
  <c r="AH143" i="29"/>
  <c r="X143" i="29"/>
  <c r="Y143" i="29" s="1"/>
  <c r="AG404" i="29"/>
  <c r="W404" i="29"/>
  <c r="AG35" i="29"/>
  <c r="W35" i="29"/>
  <c r="W423" i="29"/>
  <c r="AG423" i="29"/>
  <c r="X611" i="29"/>
  <c r="Y611" i="29" s="1"/>
  <c r="AH611" i="29"/>
  <c r="BY303" i="24"/>
  <c r="CA303" i="24" s="1"/>
  <c r="CB303" i="24" s="1"/>
  <c r="BM303" i="24"/>
  <c r="BN303" i="24" s="1"/>
  <c r="BY92" i="24"/>
  <c r="CA92" i="24" s="1"/>
  <c r="BN92" i="24"/>
  <c r="BN102" i="24"/>
  <c r="BY102" i="24"/>
  <c r="CA102" i="24" s="1"/>
  <c r="BY235" i="24"/>
  <c r="CA235" i="24" s="1"/>
  <c r="CB235" i="24" s="1"/>
  <c r="BM235" i="24"/>
  <c r="BN235" i="24" s="1"/>
  <c r="BY113" i="25"/>
  <c r="CA113" i="25" s="1"/>
  <c r="BL113" i="25"/>
  <c r="BK113" i="25"/>
  <c r="BE200" i="25"/>
  <c r="BR200" i="25"/>
  <c r="BX200" i="25" s="1"/>
  <c r="BE80" i="25"/>
  <c r="BK80" i="25" s="1"/>
  <c r="BR80" i="25"/>
  <c r="BV80" i="25" s="1"/>
  <c r="BX80" i="25" s="1"/>
  <c r="BE188" i="25"/>
  <c r="BR188" i="25"/>
  <c r="BX188" i="25" s="1"/>
  <c r="BL276" i="25"/>
  <c r="BY276" i="25"/>
  <c r="CA276" i="25" s="1"/>
  <c r="CB276" i="25" s="1"/>
  <c r="BK276" i="25"/>
  <c r="W257" i="29"/>
  <c r="AG257" i="29"/>
  <c r="AG118" i="29"/>
  <c r="W118" i="29"/>
  <c r="W135" i="29"/>
  <c r="AG135" i="29"/>
  <c r="AH406" i="29"/>
  <c r="X406" i="29"/>
  <c r="Y406" i="29" s="1"/>
  <c r="AG124" i="29"/>
  <c r="W124" i="29"/>
  <c r="AG66" i="29"/>
  <c r="W66" i="29"/>
  <c r="AG535" i="29"/>
  <c r="W535" i="29"/>
  <c r="AH583" i="29"/>
  <c r="X583" i="29"/>
  <c r="Y583" i="29" s="1"/>
  <c r="X277" i="29"/>
  <c r="Y277" i="29" s="1"/>
  <c r="AH277" i="29"/>
  <c r="W208" i="29"/>
  <c r="AG208" i="29"/>
  <c r="W457" i="29"/>
  <c r="AG457" i="29"/>
  <c r="W499" i="29"/>
  <c r="AG499" i="29"/>
  <c r="AH278" i="29"/>
  <c r="X278" i="29"/>
  <c r="Y278" i="29" s="1"/>
  <c r="AG482" i="29"/>
  <c r="W482" i="29"/>
  <c r="AG487" i="29"/>
  <c r="W487" i="29"/>
  <c r="X123" i="29"/>
  <c r="Y123" i="29" s="1"/>
  <c r="AH123" i="29"/>
  <c r="AH412" i="29"/>
  <c r="X412" i="29"/>
  <c r="Y412" i="29" s="1"/>
  <c r="AG415" i="29"/>
  <c r="W415" i="29"/>
  <c r="BE159" i="25"/>
  <c r="BR159" i="25"/>
  <c r="BX159" i="25" s="1"/>
  <c r="BE256" i="25"/>
  <c r="BR256" i="25"/>
  <c r="BX256" i="25" s="1"/>
  <c r="BR42" i="25"/>
  <c r="BV42" i="25" s="1"/>
  <c r="BX42" i="25" s="1"/>
  <c r="BE42" i="25"/>
  <c r="BK42" i="25" s="1"/>
  <c r="BY183" i="24"/>
  <c r="CA183" i="24" s="1"/>
  <c r="CB183" i="24" s="1"/>
  <c r="BM183" i="24"/>
  <c r="BN183" i="24" s="1"/>
  <c r="BE266" i="25"/>
  <c r="BR266" i="25"/>
  <c r="BX266" i="25" s="1"/>
  <c r="BY237" i="24"/>
  <c r="CA237" i="24" s="1"/>
  <c r="CB237" i="24" s="1"/>
  <c r="BM237" i="24"/>
  <c r="BN237" i="24" s="1"/>
  <c r="AG384" i="29"/>
  <c r="W384" i="29"/>
  <c r="AH323" i="29"/>
  <c r="X323" i="29"/>
  <c r="Y323" i="29" s="1"/>
  <c r="W303" i="29"/>
  <c r="AG303" i="29"/>
  <c r="BY37" i="24"/>
  <c r="CA37" i="24" s="1"/>
  <c r="CB37" i="24" s="1"/>
  <c r="BN37" i="24"/>
  <c r="BY78" i="24"/>
  <c r="CA78" i="24" s="1"/>
  <c r="BN78" i="24"/>
  <c r="BL198" i="25"/>
  <c r="BY198" i="25"/>
  <c r="CA198" i="25" s="1"/>
  <c r="BK198" i="25"/>
  <c r="BE264" i="25"/>
  <c r="BR264" i="25"/>
  <c r="BX264" i="25" s="1"/>
  <c r="BL104" i="25"/>
  <c r="BY104" i="25"/>
  <c r="CA104" i="25" s="1"/>
  <c r="BE235" i="25"/>
  <c r="BR235" i="25"/>
  <c r="BX235" i="25" s="1"/>
  <c r="AG456" i="29"/>
  <c r="W456" i="29"/>
  <c r="AH341" i="29"/>
  <c r="X341" i="29"/>
  <c r="Y341" i="29" s="1"/>
  <c r="X252" i="29"/>
  <c r="Y252" i="29" s="1"/>
  <c r="AH252" i="29"/>
  <c r="AG436" i="29"/>
  <c r="W436" i="29"/>
  <c r="W40" i="29"/>
  <c r="AG40" i="29"/>
  <c r="AG57" i="29"/>
  <c r="W57" i="29"/>
  <c r="AG272" i="29"/>
  <c r="W272" i="29"/>
  <c r="AH398" i="29"/>
  <c r="X398" i="29"/>
  <c r="Y398" i="29" s="1"/>
  <c r="W114" i="29"/>
  <c r="AG114" i="29"/>
  <c r="AG578" i="29"/>
  <c r="W578" i="29"/>
  <c r="AG334" i="29"/>
  <c r="W334" i="29"/>
  <c r="X490" i="29"/>
  <c r="Y490" i="29" s="1"/>
  <c r="AH490" i="29"/>
  <c r="X365" i="29"/>
  <c r="Y365" i="29" s="1"/>
  <c r="AH365" i="29"/>
  <c r="AG293" i="29"/>
  <c r="W293" i="29"/>
  <c r="AH187" i="29"/>
  <c r="X187" i="29"/>
  <c r="Y187" i="29" s="1"/>
  <c r="BE127" i="25"/>
  <c r="BR127" i="25"/>
  <c r="BX127" i="25" s="1"/>
  <c r="BR49" i="25"/>
  <c r="BV49" i="25" s="1"/>
  <c r="BX49" i="25" s="1"/>
  <c r="BE49" i="25"/>
  <c r="BK49" i="25" s="1"/>
  <c r="BY251" i="24"/>
  <c r="CA251" i="24" s="1"/>
  <c r="CB251" i="24" s="1"/>
  <c r="BM251" i="24"/>
  <c r="BN251" i="24" s="1"/>
  <c r="BY67" i="24"/>
  <c r="CA67" i="24" s="1"/>
  <c r="CB67" i="24" s="1"/>
  <c r="BN67" i="24"/>
  <c r="BE222" i="25"/>
  <c r="BR222" i="25"/>
  <c r="BX222" i="25" s="1"/>
  <c r="BY177" i="24"/>
  <c r="CA177" i="24" s="1"/>
  <c r="CB177" i="24" s="1"/>
  <c r="BM177" i="24"/>
  <c r="BN177" i="24" s="1"/>
  <c r="BR98" i="25"/>
  <c r="BV98" i="25" s="1"/>
  <c r="BX98" i="25" s="1"/>
  <c r="BE98" i="25"/>
  <c r="BK98" i="25" s="1"/>
  <c r="BY202" i="24"/>
  <c r="CA202" i="24" s="1"/>
  <c r="BM202" i="24"/>
  <c r="BN202" i="24" s="1"/>
  <c r="BE183" i="25"/>
  <c r="BR183" i="25"/>
  <c r="BX183" i="25" s="1"/>
  <c r="BE151" i="25"/>
  <c r="BR151" i="25"/>
  <c r="BX151" i="25" s="1"/>
  <c r="AG402" i="29"/>
  <c r="W402" i="29"/>
  <c r="AG544" i="29"/>
  <c r="W544" i="29"/>
  <c r="AG313" i="29"/>
  <c r="W313" i="29"/>
  <c r="AH442" i="29"/>
  <c r="X442" i="29"/>
  <c r="Y442" i="29" s="1"/>
  <c r="AH598" i="29"/>
  <c r="X598" i="29"/>
  <c r="Y598" i="29" s="1"/>
  <c r="AG409" i="29"/>
  <c r="W409" i="29"/>
  <c r="AH587" i="29"/>
  <c r="X587" i="29"/>
  <c r="Y587" i="29" s="1"/>
  <c r="AG577" i="29"/>
  <c r="W577" i="29"/>
  <c r="AG591" i="29"/>
  <c r="W591" i="29"/>
  <c r="AH185" i="29"/>
  <c r="X185" i="29"/>
  <c r="Y185" i="29" s="1"/>
  <c r="W268" i="29"/>
  <c r="AG268" i="29"/>
  <c r="AH86" i="29"/>
  <c r="X86" i="29"/>
  <c r="Y86" i="29" s="1"/>
  <c r="W543" i="29"/>
  <c r="AG543" i="29"/>
  <c r="X148" i="29"/>
  <c r="Y148" i="29" s="1"/>
  <c r="AH148" i="29"/>
  <c r="X230" i="29"/>
  <c r="Y230" i="29" s="1"/>
  <c r="AH230" i="29"/>
  <c r="X609" i="29"/>
  <c r="Y609" i="29" s="1"/>
  <c r="AH609" i="29"/>
  <c r="X511" i="29"/>
  <c r="Y511" i="29" s="1"/>
  <c r="AH511" i="29"/>
  <c r="BY95" i="24"/>
  <c r="CA95" i="24" s="1"/>
  <c r="CB95" i="24" s="1"/>
  <c r="BN95" i="24"/>
  <c r="BN84" i="24"/>
  <c r="BY84" i="24"/>
  <c r="CA84" i="24" s="1"/>
  <c r="BE47" i="25"/>
  <c r="BK47" i="25" s="1"/>
  <c r="BR47" i="25"/>
  <c r="BV47" i="25" s="1"/>
  <c r="BX47" i="25" s="1"/>
  <c r="BE180" i="25"/>
  <c r="BR180" i="25"/>
  <c r="BX180" i="25" s="1"/>
  <c r="BR61" i="25"/>
  <c r="BV61" i="25" s="1"/>
  <c r="BX61" i="25" s="1"/>
  <c r="BE61" i="25"/>
  <c r="BK61" i="25" s="1"/>
  <c r="BY304" i="24"/>
  <c r="CA304" i="24" s="1"/>
  <c r="CB304" i="24" s="1"/>
  <c r="BM304" i="24"/>
  <c r="BN304" i="24" s="1"/>
  <c r="BE133" i="25"/>
  <c r="BR133" i="25"/>
  <c r="BX133" i="25" s="1"/>
  <c r="BY31" i="25"/>
  <c r="CA31" i="25" s="1"/>
  <c r="CB31" i="25" s="1"/>
  <c r="BL31" i="25"/>
  <c r="BY258" i="24"/>
  <c r="CA258" i="24" s="1"/>
  <c r="CB258" i="24" s="1"/>
  <c r="BM258" i="24"/>
  <c r="BN258" i="24" s="1"/>
  <c r="W206" i="29"/>
  <c r="AG206" i="29"/>
  <c r="AG174" i="29"/>
  <c r="W174" i="29"/>
  <c r="AH128" i="29"/>
  <c r="X128" i="29"/>
  <c r="Y128" i="29" s="1"/>
  <c r="AH19" i="29"/>
  <c r="X19" i="29"/>
  <c r="Y19" i="29" s="1"/>
  <c r="AH328" i="29"/>
  <c r="X328" i="29"/>
  <c r="Y328" i="29" s="1"/>
  <c r="AH322" i="29"/>
  <c r="X322" i="29"/>
  <c r="Y322" i="29" s="1"/>
  <c r="W393" i="29"/>
  <c r="AG393" i="29"/>
  <c r="BY307" i="24"/>
  <c r="CA307" i="24" s="1"/>
  <c r="BM307" i="24"/>
  <c r="BN307" i="24" s="1"/>
  <c r="BL192" i="25"/>
  <c r="BY192" i="25"/>
  <c r="CA192" i="25" s="1"/>
  <c r="BK192" i="25"/>
  <c r="BE35" i="25"/>
  <c r="BK35" i="25" s="1"/>
  <c r="BR35" i="25"/>
  <c r="BV35" i="25" s="1"/>
  <c r="BX35" i="25" s="1"/>
  <c r="BY190" i="25"/>
  <c r="CA190" i="25" s="1"/>
  <c r="BL190" i="25"/>
  <c r="BK190" i="25"/>
  <c r="BN79" i="24"/>
  <c r="BY79" i="24"/>
  <c r="CA79" i="24" s="1"/>
  <c r="BE228" i="25"/>
  <c r="BR228" i="25"/>
  <c r="BX228" i="25" s="1"/>
  <c r="BY176" i="24"/>
  <c r="CA176" i="24" s="1"/>
  <c r="CB176" i="24" s="1"/>
  <c r="BM176" i="24"/>
  <c r="BN176" i="24" s="1"/>
  <c r="BE288" i="25"/>
  <c r="BR288" i="25"/>
  <c r="BX288" i="25" s="1"/>
  <c r="BN32" i="24"/>
  <c r="BY32" i="24"/>
  <c r="CA32" i="24" s="1"/>
  <c r="CB32" i="24" s="1"/>
  <c r="BY218" i="24"/>
  <c r="CA218" i="24" s="1"/>
  <c r="CB218" i="24" s="1"/>
  <c r="BM218" i="24"/>
  <c r="BN218" i="24" s="1"/>
  <c r="AG327" i="29"/>
  <c r="W327" i="29"/>
  <c r="BY15" i="24"/>
  <c r="CA15" i="24" s="1"/>
  <c r="CB15" i="24" s="1"/>
  <c r="B288" i="2" s="1"/>
  <c r="BN15" i="24"/>
  <c r="BY131" i="25"/>
  <c r="CA131" i="25" s="1"/>
  <c r="CB131" i="25" s="1"/>
  <c r="BL131" i="25"/>
  <c r="BK131" i="25"/>
  <c r="BR7" i="25"/>
  <c r="BV7" i="25" s="1"/>
  <c r="BX7" i="25" s="1"/>
  <c r="BE7" i="25"/>
  <c r="BK7" i="25" s="1"/>
  <c r="BR60" i="25"/>
  <c r="BV60" i="25" s="1"/>
  <c r="BX60" i="25" s="1"/>
  <c r="BE60" i="25"/>
  <c r="BK60" i="25" s="1"/>
  <c r="BN56" i="24"/>
  <c r="BY56" i="24"/>
  <c r="CA56" i="24" s="1"/>
  <c r="BE176" i="25"/>
  <c r="BR176" i="25"/>
  <c r="BX176" i="25" s="1"/>
  <c r="BN70" i="24"/>
  <c r="BY70" i="24"/>
  <c r="CA70" i="24" s="1"/>
  <c r="CB70" i="24" s="1"/>
  <c r="AG416" i="29"/>
  <c r="W416" i="29"/>
  <c r="AG346" i="29"/>
  <c r="W346" i="29"/>
  <c r="AH55" i="29"/>
  <c r="X55" i="29"/>
  <c r="Y55" i="29" s="1"/>
  <c r="X201" i="29"/>
  <c r="Y201" i="29" s="1"/>
  <c r="AH201" i="29"/>
  <c r="X599" i="29"/>
  <c r="Y599" i="29" s="1"/>
  <c r="AH599" i="29"/>
  <c r="W65" i="29"/>
  <c r="AG65" i="29"/>
  <c r="AH460" i="29"/>
  <c r="X460" i="29"/>
  <c r="Y460" i="29" s="1"/>
  <c r="AG425" i="29"/>
  <c r="W425" i="29"/>
  <c r="W575" i="29"/>
  <c r="AG575" i="29"/>
  <c r="W171" i="29"/>
  <c r="AG171" i="29"/>
  <c r="AG438" i="29"/>
  <c r="W438" i="29"/>
  <c r="AH99" i="29"/>
  <c r="X99" i="29"/>
  <c r="Y99" i="29" s="1"/>
  <c r="AG176" i="29"/>
  <c r="W176" i="29"/>
  <c r="AG476" i="29"/>
  <c r="W476" i="29"/>
  <c r="BY281" i="24"/>
  <c r="CA281" i="24" s="1"/>
  <c r="BM281" i="24"/>
  <c r="BN281" i="24" s="1"/>
  <c r="BE249" i="25"/>
  <c r="BR249" i="25"/>
  <c r="BX249" i="25" s="1"/>
  <c r="BY42" i="24"/>
  <c r="CA42" i="24" s="1"/>
  <c r="CB42" i="24" s="1"/>
  <c r="BN42" i="24"/>
  <c r="BY268" i="24"/>
  <c r="CA268" i="24" s="1"/>
  <c r="BM268" i="24"/>
  <c r="BN268" i="24" s="1"/>
  <c r="BY189" i="24"/>
  <c r="CA189" i="24" s="1"/>
  <c r="CB189" i="24" s="1"/>
  <c r="BM189" i="24"/>
  <c r="BN189" i="24" s="1"/>
  <c r="BR64" i="25"/>
  <c r="BV64" i="25" s="1"/>
  <c r="BX64" i="25" s="1"/>
  <c r="BE64" i="25"/>
  <c r="BK64" i="25" s="1"/>
  <c r="BY165" i="24"/>
  <c r="CA165" i="24" s="1"/>
  <c r="BM165" i="24"/>
  <c r="BN165" i="24" s="1"/>
  <c r="AH61" i="29"/>
  <c r="X61" i="29"/>
  <c r="Y61" i="29" s="1"/>
  <c r="BE115" i="25"/>
  <c r="BR115" i="25"/>
  <c r="BX115" i="25" s="1"/>
  <c r="BN100" i="24"/>
  <c r="BY100" i="24"/>
  <c r="CA100" i="24" s="1"/>
  <c r="CB100" i="24" s="1"/>
  <c r="BY172" i="24"/>
  <c r="CA172" i="24" s="1"/>
  <c r="CB172" i="24" s="1"/>
  <c r="BM172" i="24"/>
  <c r="BN172" i="24" s="1"/>
  <c r="AH210" i="29"/>
  <c r="X210" i="29"/>
  <c r="Y210" i="29" s="1"/>
  <c r="BY306" i="24"/>
  <c r="CA306" i="24" s="1"/>
  <c r="BM306" i="24"/>
  <c r="BN306" i="24" s="1"/>
  <c r="BY51" i="24"/>
  <c r="CA51" i="24" s="1"/>
  <c r="CB51" i="24" s="1"/>
  <c r="BN51" i="24"/>
  <c r="BE279" i="25"/>
  <c r="BR279" i="25"/>
  <c r="BX279" i="25" s="1"/>
  <c r="BY57" i="24"/>
  <c r="CA57" i="24" s="1"/>
  <c r="CB57" i="24" s="1"/>
  <c r="BN57" i="24"/>
  <c r="AG74" i="29"/>
  <c r="W74" i="29"/>
  <c r="W508" i="29"/>
  <c r="AG508" i="29"/>
  <c r="AH286" i="29"/>
  <c r="X286" i="29"/>
  <c r="Y286" i="29" s="1"/>
  <c r="AH560" i="29"/>
  <c r="X560" i="29"/>
  <c r="Y560" i="29" s="1"/>
  <c r="AH25" i="29"/>
  <c r="X25" i="29"/>
  <c r="Y25" i="29" s="1"/>
  <c r="BY315" i="24"/>
  <c r="CA315" i="24" s="1"/>
  <c r="BM315" i="24"/>
  <c r="BN315" i="24" s="1"/>
  <c r="BE316" i="25"/>
  <c r="BR316" i="25"/>
  <c r="BX316" i="25" s="1"/>
  <c r="BE219" i="25"/>
  <c r="BR219" i="25"/>
  <c r="BX219" i="25" s="1"/>
  <c r="BR15" i="25"/>
  <c r="BV15" i="25" s="1"/>
  <c r="BX15" i="25" s="1"/>
  <c r="BE15" i="25"/>
  <c r="BK15" i="25" s="1"/>
  <c r="BY148" i="25"/>
  <c r="CA148" i="25" s="1"/>
  <c r="CB148" i="25" s="1"/>
  <c r="BL148" i="25"/>
  <c r="BK148" i="25"/>
  <c r="BE284" i="25"/>
  <c r="BR284" i="25"/>
  <c r="BX284" i="25" s="1"/>
  <c r="BY29" i="24"/>
  <c r="CA29" i="24" s="1"/>
  <c r="CB29" i="24" s="1"/>
  <c r="BN29" i="24"/>
  <c r="BY256" i="24"/>
  <c r="CA256" i="24" s="1"/>
  <c r="BM256" i="24"/>
  <c r="BN256" i="24" s="1"/>
  <c r="BY122" i="24"/>
  <c r="CA122" i="24" s="1"/>
  <c r="CB122" i="24" s="1"/>
  <c r="BM122" i="24"/>
  <c r="BN122" i="24" s="1"/>
  <c r="BL189" i="25"/>
  <c r="BY189" i="25"/>
  <c r="CA189" i="25" s="1"/>
  <c r="BK189" i="25"/>
  <c r="BR128" i="25"/>
  <c r="BX128" i="25" s="1"/>
  <c r="BE128" i="25"/>
  <c r="AH509" i="29"/>
  <c r="X509" i="29"/>
  <c r="Y509" i="29" s="1"/>
  <c r="X52" i="29"/>
  <c r="Y52" i="29" s="1"/>
  <c r="AH52" i="29"/>
  <c r="AH90" i="29"/>
  <c r="X90" i="29"/>
  <c r="Y90" i="29" s="1"/>
  <c r="AH216" i="29"/>
  <c r="X216" i="29"/>
  <c r="Y216" i="29" s="1"/>
  <c r="W367" i="29"/>
  <c r="AG367" i="29"/>
  <c r="BE25" i="25"/>
  <c r="BK25" i="25" s="1"/>
  <c r="BR25" i="25"/>
  <c r="BV25" i="25" s="1"/>
  <c r="BX25" i="25" s="1"/>
  <c r="BR9" i="25"/>
  <c r="BV9" i="25" s="1"/>
  <c r="BX9" i="25" s="1"/>
  <c r="BE9" i="25"/>
  <c r="BK9" i="25" s="1"/>
  <c r="BY167" i="25"/>
  <c r="CA167" i="25" s="1"/>
  <c r="CB167" i="25" s="1"/>
  <c r="BL167" i="25"/>
  <c r="BK167" i="25"/>
  <c r="BY178" i="24"/>
  <c r="CA178" i="24" s="1"/>
  <c r="BM178" i="24"/>
  <c r="BN178" i="24" s="1"/>
  <c r="BR236" i="25"/>
  <c r="BX236" i="25" s="1"/>
  <c r="BE236" i="25"/>
  <c r="BY161" i="25"/>
  <c r="CA161" i="25" s="1"/>
  <c r="BL161" i="25"/>
  <c r="BK161" i="25"/>
  <c r="BY289" i="24"/>
  <c r="CA289" i="24" s="1"/>
  <c r="CB289" i="24" s="1"/>
  <c r="BM289" i="24"/>
  <c r="BN289" i="24" s="1"/>
  <c r="BY139" i="24"/>
  <c r="CA139" i="24" s="1"/>
  <c r="BM139" i="24"/>
  <c r="BN139" i="24" s="1"/>
  <c r="BE244" i="25"/>
  <c r="BR244" i="25"/>
  <c r="BX244" i="25" s="1"/>
  <c r="AH183" i="29"/>
  <c r="X183" i="29"/>
  <c r="Y183" i="29" s="1"/>
  <c r="AH200" i="29"/>
  <c r="X200" i="29"/>
  <c r="Y200" i="29" s="1"/>
  <c r="AH173" i="29"/>
  <c r="X173" i="29"/>
  <c r="Y173" i="29" s="1"/>
  <c r="W420" i="29"/>
  <c r="AG420" i="29"/>
  <c r="AH121" i="29"/>
  <c r="X121" i="29"/>
  <c r="Y121" i="29" s="1"/>
  <c r="W605" i="29"/>
  <c r="AG605" i="29"/>
  <c r="AG273" i="29"/>
  <c r="W273" i="29"/>
  <c r="AH107" i="29"/>
  <c r="X107" i="29"/>
  <c r="Y107" i="29" s="1"/>
  <c r="AG607" i="29"/>
  <c r="W607" i="29"/>
  <c r="W323" i="29"/>
  <c r="AG323" i="29"/>
  <c r="W269" i="29"/>
  <c r="AG269" i="29"/>
  <c r="W68" i="29"/>
  <c r="AG68" i="29"/>
  <c r="AH439" i="29"/>
  <c r="X439" i="29"/>
  <c r="Y439" i="29" s="1"/>
  <c r="W545" i="29"/>
  <c r="AG545" i="29"/>
  <c r="X170" i="29"/>
  <c r="Y170" i="29" s="1"/>
  <c r="AH170" i="29"/>
  <c r="X465" i="29"/>
  <c r="Y465" i="29" s="1"/>
  <c r="AH465" i="29"/>
  <c r="X49" i="29"/>
  <c r="Y49" i="29" s="1"/>
  <c r="AH49" i="29"/>
  <c r="BY6" i="25"/>
  <c r="CA6" i="25" s="1"/>
  <c r="BL6" i="25"/>
  <c r="BY10" i="24"/>
  <c r="CA10" i="24" s="1"/>
  <c r="CB10" i="24" s="1"/>
  <c r="BN10" i="24"/>
  <c r="BE251" i="25"/>
  <c r="BR251" i="25"/>
  <c r="BX251" i="25" s="1"/>
  <c r="AH588" i="29"/>
  <c r="X588" i="29"/>
  <c r="Y588" i="29" s="1"/>
  <c r="AH326" i="29"/>
  <c r="X326" i="29"/>
  <c r="Y326" i="29" s="1"/>
  <c r="AH366" i="29"/>
  <c r="X366" i="29"/>
  <c r="Y366" i="29" s="1"/>
  <c r="AH223" i="29"/>
  <c r="X223" i="29"/>
  <c r="Y223" i="29" s="1"/>
  <c r="AH238" i="29"/>
  <c r="X238" i="29"/>
  <c r="Y238" i="29" s="1"/>
  <c r="BE311" i="25"/>
  <c r="BR311" i="25"/>
  <c r="BX311" i="25" s="1"/>
  <c r="BE120" i="25"/>
  <c r="BR120" i="25"/>
  <c r="BX120" i="25" s="1"/>
  <c r="BY155" i="24"/>
  <c r="CA155" i="24" s="1"/>
  <c r="CB155" i="24" s="1"/>
  <c r="BM155" i="24"/>
  <c r="BN155" i="24" s="1"/>
  <c r="BR83" i="25"/>
  <c r="BV83" i="25" s="1"/>
  <c r="BX83" i="25" s="1"/>
  <c r="BE83" i="25"/>
  <c r="BK83" i="25" s="1"/>
  <c r="BR207" i="25"/>
  <c r="BX207" i="25" s="1"/>
  <c r="BE207" i="25"/>
  <c r="BY179" i="24"/>
  <c r="CA179" i="24" s="1"/>
  <c r="BM179" i="24"/>
  <c r="BN179" i="24" s="1"/>
  <c r="BY269" i="24"/>
  <c r="CA269" i="24" s="1"/>
  <c r="BM269" i="24"/>
  <c r="BN269" i="24" s="1"/>
  <c r="BE118" i="25"/>
  <c r="BR118" i="25"/>
  <c r="BX118" i="25" s="1"/>
  <c r="BN85" i="24"/>
  <c r="BY85" i="24"/>
  <c r="CA85" i="24" s="1"/>
  <c r="CB85" i="24" s="1"/>
  <c r="AG601" i="29"/>
  <c r="W601" i="29"/>
  <c r="AG413" i="29"/>
  <c r="W413" i="29"/>
  <c r="AH150" i="29"/>
  <c r="X150" i="29"/>
  <c r="Y150" i="29" s="1"/>
  <c r="AG308" i="29"/>
  <c r="W308" i="29"/>
  <c r="W538" i="29"/>
  <c r="AG538" i="29"/>
  <c r="BY59" i="24"/>
  <c r="CA59" i="24" s="1"/>
  <c r="CB59" i="24" s="1"/>
  <c r="BN59" i="24"/>
  <c r="BL273" i="25"/>
  <c r="BY273" i="25"/>
  <c r="CA273" i="25" s="1"/>
  <c r="CB273" i="25" s="1"/>
  <c r="BK273" i="25"/>
  <c r="BY255" i="25"/>
  <c r="CA255" i="25" s="1"/>
  <c r="CB255" i="25" s="1"/>
  <c r="BL255" i="25"/>
  <c r="BK255" i="25"/>
  <c r="BY241" i="24"/>
  <c r="CA241" i="24" s="1"/>
  <c r="BM241" i="24"/>
  <c r="BN241" i="24" s="1"/>
  <c r="BY194" i="24"/>
  <c r="CA194" i="24" s="1"/>
  <c r="CB194" i="24" s="1"/>
  <c r="BM194" i="24"/>
  <c r="BN194" i="24" s="1"/>
  <c r="BY286" i="24"/>
  <c r="CA286" i="24" s="1"/>
  <c r="BM286" i="24"/>
  <c r="BN286" i="24" s="1"/>
  <c r="BE140" i="25"/>
  <c r="BR140" i="25"/>
  <c r="BX140" i="25" s="1"/>
  <c r="BY195" i="24"/>
  <c r="CA195" i="24" s="1"/>
  <c r="CB195" i="24" s="1"/>
  <c r="BM195" i="24"/>
  <c r="BN195" i="24" s="1"/>
  <c r="BR205" i="25"/>
  <c r="BX205" i="25" s="1"/>
  <c r="BE205" i="25"/>
  <c r="BY184" i="24"/>
  <c r="CA184" i="24" s="1"/>
  <c r="CB184" i="24" s="1"/>
  <c r="BM184" i="24"/>
  <c r="BN184" i="24" s="1"/>
  <c r="W51" i="29"/>
  <c r="AG51" i="29"/>
  <c r="X533" i="29"/>
  <c r="Y533" i="29" s="1"/>
  <c r="AH533" i="29"/>
  <c r="AH174" i="29"/>
  <c r="X174" i="29"/>
  <c r="Y174" i="29" s="1"/>
  <c r="AH383" i="29"/>
  <c r="X383" i="29"/>
  <c r="Y383" i="29" s="1"/>
  <c r="AG586" i="29"/>
  <c r="W586" i="29"/>
  <c r="W29" i="29"/>
  <c r="AG29" i="29"/>
  <c r="AH448" i="29"/>
  <c r="X448" i="29"/>
  <c r="Y448" i="29" s="1"/>
  <c r="W328" i="29"/>
  <c r="AG328" i="29"/>
  <c r="W276" i="29"/>
  <c r="AG276" i="29"/>
  <c r="AH450" i="29"/>
  <c r="X450" i="29"/>
  <c r="Y450" i="29" s="1"/>
  <c r="W281" i="29"/>
  <c r="AG281" i="29"/>
  <c r="W53" i="29"/>
  <c r="AG53" i="29"/>
  <c r="W47" i="29"/>
  <c r="AG47" i="29"/>
  <c r="BY124" i="24"/>
  <c r="CA124" i="24" s="1"/>
  <c r="BM124" i="24"/>
  <c r="BN124" i="24" s="1"/>
  <c r="BE310" i="25"/>
  <c r="BR310" i="25"/>
  <c r="BX310" i="25" s="1"/>
  <c r="BY223" i="24"/>
  <c r="CA223" i="24" s="1"/>
  <c r="CB223" i="24" s="1"/>
  <c r="BM223" i="24"/>
  <c r="BN223" i="24" s="1"/>
  <c r="BN65" i="24"/>
  <c r="BY65" i="24"/>
  <c r="CA65" i="24" s="1"/>
  <c r="CB65" i="24" s="1"/>
  <c r="BR208" i="25"/>
  <c r="BX208" i="25" s="1"/>
  <c r="BE208" i="25"/>
  <c r="BY177" i="25"/>
  <c r="CA177" i="25" s="1"/>
  <c r="BL177" i="25"/>
  <c r="BK177" i="25"/>
  <c r="BN103" i="24"/>
  <c r="BY103" i="24"/>
  <c r="CA103" i="24" s="1"/>
  <c r="BL258" i="25"/>
  <c r="BY258" i="25"/>
  <c r="CA258" i="25" s="1"/>
  <c r="CB258" i="25" s="1"/>
  <c r="BK258" i="25"/>
  <c r="AH207" i="29"/>
  <c r="X207" i="29"/>
  <c r="Y207" i="29" s="1"/>
  <c r="AH338" i="29"/>
  <c r="X338" i="29"/>
  <c r="Y338" i="29" s="1"/>
  <c r="X221" i="29"/>
  <c r="Y221" i="29" s="1"/>
  <c r="AH221" i="29"/>
  <c r="AH113" i="29"/>
  <c r="X113" i="29"/>
  <c r="Y113" i="29" s="1"/>
  <c r="AG517" i="29"/>
  <c r="W517" i="29"/>
  <c r="AH421" i="29"/>
  <c r="X421" i="29"/>
  <c r="Y421" i="29" s="1"/>
  <c r="AH557" i="29"/>
  <c r="X557" i="29"/>
  <c r="Y557" i="29" s="1"/>
  <c r="AH350" i="29"/>
  <c r="X350" i="29"/>
  <c r="Y350" i="29" s="1"/>
  <c r="W427" i="29"/>
  <c r="AG427" i="29"/>
  <c r="AG27" i="29"/>
  <c r="W27" i="29"/>
  <c r="AG217" i="29"/>
  <c r="W217" i="29"/>
  <c r="AH522" i="29"/>
  <c r="X522" i="29"/>
  <c r="Y522" i="29" s="1"/>
  <c r="X318" i="29"/>
  <c r="Y318" i="29" s="1"/>
  <c r="AH318" i="29"/>
  <c r="AG227" i="29"/>
  <c r="W227" i="29"/>
  <c r="AG590" i="29"/>
  <c r="W590" i="29"/>
  <c r="AG95" i="29"/>
  <c r="W95" i="29"/>
  <c r="AG152" i="29"/>
  <c r="W152" i="29"/>
  <c r="BY297" i="24"/>
  <c r="CA297" i="24" s="1"/>
  <c r="BM297" i="24"/>
  <c r="BN297" i="24" s="1"/>
  <c r="BY262" i="24"/>
  <c r="CA262" i="24" s="1"/>
  <c r="BM262" i="24"/>
  <c r="BN262" i="24" s="1"/>
  <c r="BY68" i="24"/>
  <c r="CA68" i="24" s="1"/>
  <c r="CB68" i="24" s="1"/>
  <c r="BN68" i="24"/>
  <c r="BE298" i="25"/>
  <c r="BR298" i="25"/>
  <c r="BX298" i="25" s="1"/>
  <c r="BE184" i="25"/>
  <c r="BR184" i="25"/>
  <c r="BX184" i="25" s="1"/>
  <c r="BY200" i="24"/>
  <c r="CA200" i="24" s="1"/>
  <c r="BM200" i="24"/>
  <c r="BN200" i="24" s="1"/>
  <c r="BR250" i="25"/>
  <c r="BX250" i="25" s="1"/>
  <c r="BE250" i="25"/>
  <c r="BY168" i="24"/>
  <c r="CA168" i="24" s="1"/>
  <c r="BM168" i="24"/>
  <c r="BN168" i="24" s="1"/>
  <c r="BY181" i="24"/>
  <c r="CA181" i="24" s="1"/>
  <c r="CB181" i="24" s="1"/>
  <c r="BM181" i="24"/>
  <c r="BN181" i="24" s="1"/>
  <c r="BR51" i="25"/>
  <c r="BV51" i="25" s="1"/>
  <c r="BX51" i="25" s="1"/>
  <c r="BE51" i="25"/>
  <c r="BK51" i="25" s="1"/>
  <c r="BR286" i="25"/>
  <c r="BX286" i="25" s="1"/>
  <c r="BE286" i="25"/>
  <c r="BY95" i="25"/>
  <c r="CA95" i="25" s="1"/>
  <c r="CB95" i="25" s="1"/>
  <c r="BL95" i="25"/>
  <c r="AG295" i="29"/>
  <c r="W295" i="29"/>
  <c r="AG193" i="29"/>
  <c r="W193" i="29"/>
  <c r="W333" i="29"/>
  <c r="AG333" i="29"/>
  <c r="AG285" i="29"/>
  <c r="W285" i="29"/>
  <c r="X562" i="29"/>
  <c r="Y562" i="29" s="1"/>
  <c r="AH562" i="29"/>
  <c r="AH569" i="29"/>
  <c r="X569" i="29"/>
  <c r="Y569" i="29" s="1"/>
  <c r="AH265" i="29"/>
  <c r="X265" i="29"/>
  <c r="Y265" i="29" s="1"/>
  <c r="BY186" i="24"/>
  <c r="CA186" i="24" s="1"/>
  <c r="BM186" i="24"/>
  <c r="BN186" i="24" s="1"/>
  <c r="BY116" i="24"/>
  <c r="CA116" i="24" s="1"/>
  <c r="CB116" i="24" s="1"/>
  <c r="BM116" i="24"/>
  <c r="BN116" i="24" s="1"/>
  <c r="BL240" i="25"/>
  <c r="BY240" i="25"/>
  <c r="CA240" i="25" s="1"/>
  <c r="CB240" i="25" s="1"/>
  <c r="BK240" i="25"/>
  <c r="AH514" i="29"/>
  <c r="X514" i="29"/>
  <c r="Y514" i="29" s="1"/>
  <c r="AG309" i="29"/>
  <c r="W309" i="29"/>
  <c r="W62" i="29"/>
  <c r="AG62" i="29"/>
  <c r="AH422" i="29"/>
  <c r="X422" i="29"/>
  <c r="Y422" i="29" s="1"/>
  <c r="AH166" i="29"/>
  <c r="X166" i="29"/>
  <c r="Y166" i="29" s="1"/>
  <c r="AG477" i="29"/>
  <c r="W477" i="29"/>
  <c r="X508" i="29"/>
  <c r="Y508" i="29" s="1"/>
  <c r="AH508" i="29"/>
  <c r="X41" i="29"/>
  <c r="Y41" i="29" s="1"/>
  <c r="AH41" i="29"/>
  <c r="AH495" i="29"/>
  <c r="X495" i="29"/>
  <c r="Y495" i="29" s="1"/>
  <c r="AH335" i="29"/>
  <c r="X335" i="29"/>
  <c r="Y335" i="29" s="1"/>
  <c r="AG479" i="29"/>
  <c r="W479" i="29"/>
  <c r="W550" i="29"/>
  <c r="AG550" i="29"/>
  <c r="AH559" i="29"/>
  <c r="X559" i="29"/>
  <c r="Y559" i="29" s="1"/>
  <c r="BY254" i="24"/>
  <c r="CA254" i="24" s="1"/>
  <c r="CB254" i="24" s="1"/>
  <c r="BM254" i="24"/>
  <c r="BN254" i="24" s="1"/>
  <c r="BY210" i="24"/>
  <c r="CA210" i="24" s="1"/>
  <c r="BM210" i="24"/>
  <c r="BN210" i="24" s="1"/>
  <c r="BE99" i="25"/>
  <c r="BK99" i="25" s="1"/>
  <c r="BR99" i="25"/>
  <c r="BV99" i="25" s="1"/>
  <c r="BX99" i="25" s="1"/>
  <c r="BE88" i="25"/>
  <c r="BK88" i="25" s="1"/>
  <c r="BR88" i="25"/>
  <c r="BV88" i="25" s="1"/>
  <c r="BX88" i="25" s="1"/>
  <c r="BY97" i="25"/>
  <c r="CA97" i="25" s="1"/>
  <c r="BL97" i="25"/>
  <c r="BY193" i="24"/>
  <c r="CA193" i="24" s="1"/>
  <c r="BM193" i="24"/>
  <c r="BN193" i="24" s="1"/>
  <c r="BY159" i="24"/>
  <c r="CA159" i="24" s="1"/>
  <c r="CB159" i="24" s="1"/>
  <c r="BM159" i="24"/>
  <c r="BN159" i="24" s="1"/>
  <c r="BE241" i="25"/>
  <c r="BR241" i="25"/>
  <c r="BX241" i="25" s="1"/>
  <c r="BE67" i="25"/>
  <c r="BK67" i="25" s="1"/>
  <c r="BR67" i="25"/>
  <c r="BV67" i="25" s="1"/>
  <c r="BX67" i="25" s="1"/>
  <c r="BY273" i="24"/>
  <c r="CA273" i="24" s="1"/>
  <c r="CB273" i="24" s="1"/>
  <c r="BM273" i="24"/>
  <c r="BN273" i="24" s="1"/>
  <c r="BY161" i="24"/>
  <c r="CA161" i="24" s="1"/>
  <c r="BM161" i="24"/>
  <c r="BN161" i="24" s="1"/>
  <c r="BY166" i="24"/>
  <c r="CA166" i="24" s="1"/>
  <c r="BM166" i="24"/>
  <c r="BN166" i="24" s="1"/>
  <c r="AG80" i="29"/>
  <c r="W80" i="29"/>
  <c r="AH85" i="29"/>
  <c r="X85" i="29"/>
  <c r="Y85" i="29" s="1"/>
  <c r="AH157" i="29"/>
  <c r="X157" i="29"/>
  <c r="Y157" i="29" s="1"/>
  <c r="X426" i="29"/>
  <c r="Y426" i="29" s="1"/>
  <c r="AH426" i="29"/>
  <c r="X434" i="29"/>
  <c r="Y434" i="29" s="1"/>
  <c r="AH434" i="29"/>
  <c r="W509" i="29"/>
  <c r="AG509" i="29"/>
  <c r="AH84" i="29"/>
  <c r="X84" i="29"/>
  <c r="Y84" i="29" s="1"/>
  <c r="AH222" i="29"/>
  <c r="X222" i="29"/>
  <c r="Y222" i="29" s="1"/>
  <c r="AH360" i="29"/>
  <c r="X360" i="29"/>
  <c r="Y360" i="29" s="1"/>
  <c r="AG458" i="29"/>
  <c r="W458" i="29"/>
  <c r="W470" i="29"/>
  <c r="AG470" i="29"/>
  <c r="W196" i="29"/>
  <c r="AG196" i="29"/>
  <c r="AH351" i="29"/>
  <c r="X351" i="29"/>
  <c r="Y351" i="29" s="1"/>
  <c r="AH146" i="29"/>
  <c r="X146" i="29"/>
  <c r="Y146" i="29" s="1"/>
  <c r="W377" i="29"/>
  <c r="AG377" i="29"/>
  <c r="BY134" i="24"/>
  <c r="CA134" i="24" s="1"/>
  <c r="CB134" i="24" s="1"/>
  <c r="BM134" i="24"/>
  <c r="BN134" i="24" s="1"/>
  <c r="BY287" i="24"/>
  <c r="CA287" i="24" s="1"/>
  <c r="CB287" i="24" s="1"/>
  <c r="BM287" i="24"/>
  <c r="BN287" i="24" s="1"/>
  <c r="BY77" i="24"/>
  <c r="CA77" i="24" s="1"/>
  <c r="CB77" i="24" s="1"/>
  <c r="BN77" i="24"/>
  <c r="BY131" i="24"/>
  <c r="CA131" i="24" s="1"/>
  <c r="CB131" i="24" s="1"/>
  <c r="BM131" i="24"/>
  <c r="BN131" i="24" s="1"/>
  <c r="BE55" i="25"/>
  <c r="BK55" i="25" s="1"/>
  <c r="BR55" i="25"/>
  <c r="BV55" i="25" s="1"/>
  <c r="BX55" i="25" s="1"/>
  <c r="BY263" i="24"/>
  <c r="CA263" i="24" s="1"/>
  <c r="BM263" i="24"/>
  <c r="BN263" i="24" s="1"/>
  <c r="BE166" i="25"/>
  <c r="BR166" i="25"/>
  <c r="BX166" i="25" s="1"/>
  <c r="BE312" i="25"/>
  <c r="BR312" i="25"/>
  <c r="BX312" i="25" s="1"/>
  <c r="X260" i="29"/>
  <c r="Y260" i="29" s="1"/>
  <c r="AH260" i="29"/>
  <c r="AG235" i="29"/>
  <c r="W235" i="29"/>
  <c r="W546" i="29"/>
  <c r="AG546" i="29"/>
  <c r="W454" i="29"/>
  <c r="AG454" i="29"/>
  <c r="AH498" i="29"/>
  <c r="X498" i="29"/>
  <c r="Y498" i="29" s="1"/>
  <c r="AH561" i="29"/>
  <c r="X561" i="29"/>
  <c r="Y561" i="29" s="1"/>
  <c r="W462" i="29"/>
  <c r="AG462" i="29"/>
  <c r="AH523" i="29"/>
  <c r="X523" i="29"/>
  <c r="Y523" i="29" s="1"/>
  <c r="BY245" i="24"/>
  <c r="CA245" i="24" s="1"/>
  <c r="BM245" i="24"/>
  <c r="BN245" i="24" s="1"/>
  <c r="BE226" i="25"/>
  <c r="BR226" i="25"/>
  <c r="BX226" i="25" s="1"/>
  <c r="BE217" i="25"/>
  <c r="BR217" i="25"/>
  <c r="BX217" i="25" s="1"/>
  <c r="BY170" i="24"/>
  <c r="CA170" i="24" s="1"/>
  <c r="BM170" i="24"/>
  <c r="BN170" i="24" s="1"/>
  <c r="BE224" i="25"/>
  <c r="BR224" i="25"/>
  <c r="BX224" i="25" s="1"/>
  <c r="BY255" i="24"/>
  <c r="CA255" i="24" s="1"/>
  <c r="CB255" i="24" s="1"/>
  <c r="BM255" i="24"/>
  <c r="BN255" i="24" s="1"/>
  <c r="W87" i="29"/>
  <c r="AG87" i="29"/>
  <c r="AH294" i="29"/>
  <c r="X294" i="29"/>
  <c r="Y294" i="29" s="1"/>
  <c r="X33" i="29"/>
  <c r="Y33" i="29" s="1"/>
  <c r="AH33" i="29"/>
  <c r="W407" i="29"/>
  <c r="AG407" i="29"/>
  <c r="X137" i="29"/>
  <c r="Y137" i="29" s="1"/>
  <c r="AH137" i="29"/>
  <c r="W247" i="29"/>
  <c r="AG247" i="29"/>
  <c r="AG461" i="29"/>
  <c r="W461" i="29"/>
  <c r="AH291" i="29"/>
  <c r="X291" i="29"/>
  <c r="Y291" i="29" s="1"/>
  <c r="W311" i="29"/>
  <c r="AG311" i="29"/>
  <c r="W162" i="29"/>
  <c r="AG162" i="29"/>
  <c r="AH164" i="29"/>
  <c r="X164" i="29"/>
  <c r="Y164" i="29" s="1"/>
  <c r="AG238" i="29"/>
  <c r="W238" i="29"/>
  <c r="AG400" i="29"/>
  <c r="W400" i="29"/>
  <c r="X480" i="29"/>
  <c r="Y480" i="29" s="1"/>
  <c r="AH480" i="29"/>
  <c r="AH489" i="29"/>
  <c r="X489" i="29"/>
  <c r="Y489" i="29" s="1"/>
  <c r="BY243" i="25"/>
  <c r="CA243" i="25" s="1"/>
  <c r="CB243" i="25" s="1"/>
  <c r="BL243" i="25"/>
  <c r="BK243" i="25"/>
  <c r="BE156" i="25"/>
  <c r="BR156" i="25"/>
  <c r="BX156" i="25" s="1"/>
  <c r="BY89" i="25"/>
  <c r="CA89" i="25" s="1"/>
  <c r="BL89" i="25"/>
  <c r="BE123" i="25"/>
  <c r="BR123" i="25"/>
  <c r="BX123" i="25" s="1"/>
  <c r="BY30" i="25"/>
  <c r="CA30" i="25" s="1"/>
  <c r="BL30" i="25"/>
  <c r="BY288" i="24"/>
  <c r="CA288" i="24" s="1"/>
  <c r="BM288" i="24"/>
  <c r="BN288" i="24" s="1"/>
  <c r="BY173" i="25"/>
  <c r="CA173" i="25" s="1"/>
  <c r="BL173" i="25"/>
  <c r="BK173" i="25"/>
  <c r="BE271" i="25"/>
  <c r="BR271" i="25"/>
  <c r="BX271" i="25" s="1"/>
  <c r="BY276" i="24"/>
  <c r="CA276" i="24" s="1"/>
  <c r="BM276" i="24"/>
  <c r="BN276" i="24" s="1"/>
  <c r="BE111" i="25"/>
  <c r="BR111" i="25"/>
  <c r="BX111" i="25" s="1"/>
  <c r="W267" i="29"/>
  <c r="AG267" i="29"/>
  <c r="AG250" i="29"/>
  <c r="W250" i="29"/>
  <c r="AH528" i="29"/>
  <c r="X528" i="29"/>
  <c r="Y528" i="29" s="1"/>
  <c r="AH369" i="29"/>
  <c r="X369" i="29"/>
  <c r="Y369" i="29" s="1"/>
  <c r="X440" i="29"/>
  <c r="Y440" i="29" s="1"/>
  <c r="AH440" i="29"/>
  <c r="X301" i="29"/>
  <c r="Y301" i="29" s="1"/>
  <c r="AH301" i="29"/>
  <c r="AG39" i="29"/>
  <c r="W39" i="29"/>
  <c r="W320" i="29"/>
  <c r="AG320" i="29"/>
  <c r="X431" i="29"/>
  <c r="Y431" i="29" s="1"/>
  <c r="AH431" i="29"/>
  <c r="AH380" i="29"/>
  <c r="X380" i="29"/>
  <c r="Y380" i="29" s="1"/>
  <c r="AG572" i="29"/>
  <c r="W572" i="29"/>
  <c r="W197" i="29"/>
  <c r="AG197" i="29"/>
  <c r="AG44" i="29"/>
  <c r="W44" i="29"/>
  <c r="AG418" i="29"/>
  <c r="W418" i="29"/>
  <c r="W536" i="29"/>
  <c r="AG536" i="29"/>
  <c r="BE210" i="25"/>
  <c r="BR210" i="25"/>
  <c r="BX210" i="25" s="1"/>
  <c r="BR209" i="25"/>
  <c r="BX209" i="25" s="1"/>
  <c r="BE209" i="25"/>
  <c r="BE53" i="25"/>
  <c r="BK53" i="25" s="1"/>
  <c r="BR53" i="25"/>
  <c r="BV53" i="25" s="1"/>
  <c r="BX53" i="25" s="1"/>
  <c r="BY155" i="25"/>
  <c r="CA155" i="25" s="1"/>
  <c r="CB155" i="25" s="1"/>
  <c r="BL155" i="25"/>
  <c r="BK155" i="25"/>
  <c r="BN76" i="24"/>
  <c r="BY76" i="24"/>
  <c r="CA76" i="24" s="1"/>
  <c r="CB76" i="24" s="1"/>
  <c r="BE122" i="25"/>
  <c r="BR122" i="25"/>
  <c r="BX122" i="25" s="1"/>
  <c r="BE20" i="25"/>
  <c r="BK20" i="25" s="1"/>
  <c r="BR20" i="25"/>
  <c r="BV20" i="25" s="1"/>
  <c r="BX20" i="25" s="1"/>
  <c r="BE295" i="25"/>
  <c r="BR295" i="25"/>
  <c r="BX295" i="25" s="1"/>
  <c r="BY198" i="24"/>
  <c r="CA198" i="24" s="1"/>
  <c r="CB198" i="24" s="1"/>
  <c r="BM198" i="24"/>
  <c r="BN198" i="24" s="1"/>
  <c r="AG239" i="29"/>
  <c r="W239" i="29"/>
  <c r="AG78" i="29"/>
  <c r="W78" i="29"/>
  <c r="X347" i="29"/>
  <c r="Y347" i="29" s="1"/>
  <c r="AH347" i="29"/>
  <c r="X513" i="29"/>
  <c r="Y513" i="29" s="1"/>
  <c r="AH513" i="29"/>
  <c r="AG205" i="29"/>
  <c r="W205" i="29"/>
  <c r="BR79" i="25"/>
  <c r="BV79" i="25" s="1"/>
  <c r="BX79" i="25" s="1"/>
  <c r="BE79" i="25"/>
  <c r="BK79" i="25" s="1"/>
  <c r="BY291" i="25"/>
  <c r="CA291" i="25" s="1"/>
  <c r="CB291" i="25" s="1"/>
  <c r="BL291" i="25"/>
  <c r="BK291" i="25"/>
  <c r="BY9" i="24"/>
  <c r="CA9" i="24" s="1"/>
  <c r="CB9" i="24" s="1"/>
  <c r="BN9" i="24"/>
  <c r="BY30" i="24"/>
  <c r="CA30" i="24" s="1"/>
  <c r="BN30" i="24"/>
  <c r="BY52" i="24"/>
  <c r="CA52" i="24" s="1"/>
  <c r="CB52" i="24" s="1"/>
  <c r="BN52" i="24"/>
  <c r="BY86" i="24"/>
  <c r="CA86" i="24" s="1"/>
  <c r="CB86" i="24" s="1"/>
  <c r="BN86" i="24"/>
  <c r="BL267" i="25"/>
  <c r="BY267" i="25"/>
  <c r="CA267" i="25" s="1"/>
  <c r="CB267" i="25" s="1"/>
  <c r="BK267" i="25"/>
  <c r="BE216" i="25"/>
  <c r="BR216" i="25"/>
  <c r="BX216" i="25" s="1"/>
  <c r="AG549" i="29"/>
  <c r="W549" i="29"/>
  <c r="AG76" i="29"/>
  <c r="W76" i="29"/>
  <c r="BY35" i="24"/>
  <c r="CA35" i="24" s="1"/>
  <c r="CB35" i="24" s="1"/>
  <c r="BN35" i="24"/>
  <c r="BE168" i="25"/>
  <c r="BR168" i="25"/>
  <c r="BX168" i="25" s="1"/>
  <c r="BY293" i="24"/>
  <c r="CA293" i="24" s="1"/>
  <c r="CB293" i="24" s="1"/>
  <c r="BM293" i="24"/>
  <c r="BN293" i="24" s="1"/>
  <c r="BY186" i="25"/>
  <c r="CA186" i="25" s="1"/>
  <c r="BL186" i="25"/>
  <c r="BK186" i="25"/>
  <c r="BY249" i="24"/>
  <c r="CA249" i="24" s="1"/>
  <c r="CB249" i="24" s="1"/>
  <c r="BM249" i="24"/>
  <c r="BN249" i="24" s="1"/>
  <c r="BR46" i="25"/>
  <c r="BV46" i="25" s="1"/>
  <c r="BX46" i="25" s="1"/>
  <c r="BE46" i="25"/>
  <c r="BK46" i="25" s="1"/>
  <c r="AG468" i="29"/>
  <c r="W468" i="29"/>
  <c r="AH507" i="29"/>
  <c r="X507" i="29"/>
  <c r="Y507" i="29" s="1"/>
  <c r="AH447" i="29"/>
  <c r="X447" i="29"/>
  <c r="Y447" i="29" s="1"/>
  <c r="AH209" i="29"/>
  <c r="X209" i="29"/>
  <c r="Y209" i="29" s="1"/>
  <c r="W30" i="29"/>
  <c r="AG30" i="29"/>
  <c r="X193" i="29"/>
  <c r="Y193" i="29" s="1"/>
  <c r="AH193" i="29"/>
  <c r="AH140" i="29"/>
  <c r="X140" i="29"/>
  <c r="Y140" i="29" s="1"/>
  <c r="X285" i="29"/>
  <c r="Y285" i="29" s="1"/>
  <c r="AH285" i="29"/>
  <c r="X202" i="29"/>
  <c r="Y202" i="29" s="1"/>
  <c r="AH202" i="29"/>
  <c r="W182" i="29"/>
  <c r="AG182" i="29"/>
  <c r="AG419" i="29"/>
  <c r="W419" i="29"/>
  <c r="AG228" i="29"/>
  <c r="W228" i="29"/>
  <c r="AG159" i="29"/>
  <c r="W159" i="29"/>
  <c r="BE281" i="25"/>
  <c r="BR281" i="25"/>
  <c r="BX281" i="25" s="1"/>
  <c r="BY267" i="24"/>
  <c r="CA267" i="24" s="1"/>
  <c r="BM267" i="24"/>
  <c r="BN267" i="24" s="1"/>
  <c r="BY221" i="24"/>
  <c r="CA221" i="24" s="1"/>
  <c r="CB221" i="24" s="1"/>
  <c r="BM221" i="24"/>
  <c r="BN221" i="24" s="1"/>
  <c r="BE116" i="25"/>
  <c r="BR116" i="25"/>
  <c r="BX116" i="25" s="1"/>
  <c r="BE8" i="25"/>
  <c r="BK8" i="25" s="1"/>
  <c r="BR8" i="25"/>
  <c r="BV8" i="25" s="1"/>
  <c r="BX8" i="25" s="1"/>
  <c r="BE175" i="25"/>
  <c r="BR175" i="25"/>
  <c r="BX175" i="25" s="1"/>
  <c r="AG258" i="29"/>
  <c r="W258" i="29"/>
  <c r="BL292" i="25"/>
  <c r="BY292" i="25"/>
  <c r="CA292" i="25" s="1"/>
  <c r="CB292" i="25" s="1"/>
  <c r="BK292" i="25"/>
  <c r="BE245" i="25"/>
  <c r="BR245" i="25"/>
  <c r="BX245" i="25" s="1"/>
  <c r="BY239" i="24"/>
  <c r="CA239" i="24" s="1"/>
  <c r="CB239" i="24" s="1"/>
  <c r="BM239" i="24"/>
  <c r="BN239" i="24" s="1"/>
  <c r="W81" i="29"/>
  <c r="AG81" i="29"/>
  <c r="X108" i="29"/>
  <c r="Y108" i="29" s="1"/>
  <c r="AH108" i="29"/>
  <c r="X266" i="29"/>
  <c r="Y266" i="29" s="1"/>
  <c r="AH266" i="29"/>
  <c r="AH104" i="29"/>
  <c r="X104" i="29"/>
  <c r="Y104" i="29" s="1"/>
  <c r="BE299" i="25"/>
  <c r="BR299" i="25"/>
  <c r="BX299" i="25" s="1"/>
  <c r="BR93" i="25"/>
  <c r="BV93" i="25" s="1"/>
  <c r="BX93" i="25" s="1"/>
  <c r="BE93" i="25"/>
  <c r="BK93" i="25" s="1"/>
  <c r="BY277" i="24"/>
  <c r="CA277" i="24" s="1"/>
  <c r="CB277" i="24" s="1"/>
  <c r="BM277" i="24"/>
  <c r="BN277" i="24" s="1"/>
  <c r="BN80" i="24"/>
  <c r="BY80" i="24"/>
  <c r="CA80" i="24" s="1"/>
  <c r="BE37" i="25"/>
  <c r="BK37" i="25" s="1"/>
  <c r="BR37" i="25"/>
  <c r="BV37" i="25" s="1"/>
  <c r="BX37" i="25" s="1"/>
  <c r="BY217" i="24"/>
  <c r="CA217" i="24" s="1"/>
  <c r="BM217" i="24"/>
  <c r="BN217" i="24" s="1"/>
  <c r="BL96" i="25"/>
  <c r="BY96" i="25"/>
  <c r="CA96" i="25" s="1"/>
  <c r="BE102" i="25"/>
  <c r="BK102" i="25" s="1"/>
  <c r="BR102" i="25"/>
  <c r="BV102" i="25" s="1"/>
  <c r="BX102" i="25" s="1"/>
  <c r="BE139" i="25"/>
  <c r="BR139" i="25"/>
  <c r="BX139" i="25" s="1"/>
  <c r="BY38" i="24"/>
  <c r="CA38" i="24" s="1"/>
  <c r="CB38" i="24" s="1"/>
  <c r="BN38" i="24"/>
  <c r="AG437" i="29"/>
  <c r="W437" i="29"/>
  <c r="BE274" i="25"/>
  <c r="BR274" i="25"/>
  <c r="BX274" i="25" s="1"/>
  <c r="BN88" i="24"/>
  <c r="BY88" i="24"/>
  <c r="CA88" i="24" s="1"/>
  <c r="BY283" i="25"/>
  <c r="CA283" i="25" s="1"/>
  <c r="CB283" i="25" s="1"/>
  <c r="BL283" i="25"/>
  <c r="BK283" i="25"/>
  <c r="BY300" i="24"/>
  <c r="CA300" i="24" s="1"/>
  <c r="CB300" i="24" s="1"/>
  <c r="BM300" i="24"/>
  <c r="BN300" i="24" s="1"/>
  <c r="BY278" i="24"/>
  <c r="CA278" i="24" s="1"/>
  <c r="CB278" i="24" s="1"/>
  <c r="BM278" i="24"/>
  <c r="BN278" i="24" s="1"/>
  <c r="BY61" i="24"/>
  <c r="CA61" i="24" s="1"/>
  <c r="BN61" i="24"/>
  <c r="BR78" i="25"/>
  <c r="BV78" i="25" s="1"/>
  <c r="BX78" i="25" s="1"/>
  <c r="BE78" i="25"/>
  <c r="BK78" i="25" s="1"/>
  <c r="BY147" i="25"/>
  <c r="CA147" i="25" s="1"/>
  <c r="BL147" i="25"/>
  <c r="BK147" i="25"/>
  <c r="X531" i="29"/>
  <c r="Y531" i="29" s="1"/>
  <c r="AH531" i="29"/>
  <c r="AH410" i="29"/>
  <c r="X410" i="29"/>
  <c r="Y410" i="29" s="1"/>
  <c r="X289" i="29"/>
  <c r="Y289" i="29" s="1"/>
  <c r="AH289" i="29"/>
  <c r="W127" i="29"/>
  <c r="AG127" i="29"/>
  <c r="AH98" i="29"/>
  <c r="X98" i="29"/>
  <c r="Y98" i="29" s="1"/>
  <c r="AG510" i="29"/>
  <c r="W510" i="29"/>
  <c r="W20" i="29"/>
  <c r="AG20" i="29"/>
  <c r="AG451" i="29"/>
  <c r="W451" i="29"/>
  <c r="W94" i="29"/>
  <c r="AG94" i="29"/>
  <c r="AH382" i="29"/>
  <c r="X382" i="29"/>
  <c r="Y382" i="29" s="1"/>
  <c r="W506" i="29"/>
  <c r="AG506" i="29"/>
  <c r="BY167" i="24"/>
  <c r="CA167" i="24" s="1"/>
  <c r="CB167" i="24" s="1"/>
  <c r="BM167" i="24"/>
  <c r="BN167" i="24" s="1"/>
  <c r="BE74" i="25"/>
  <c r="BK74" i="25" s="1"/>
  <c r="BR74" i="25"/>
  <c r="BV74" i="25" s="1"/>
  <c r="BX74" i="25" s="1"/>
  <c r="BY154" i="24"/>
  <c r="CA154" i="24" s="1"/>
  <c r="CB154" i="24" s="1"/>
  <c r="BM154" i="24"/>
  <c r="BN154" i="24" s="1"/>
  <c r="BE68" i="25"/>
  <c r="BK68" i="25" s="1"/>
  <c r="BR68" i="25"/>
  <c r="BV68" i="25" s="1"/>
  <c r="BX68" i="25" s="1"/>
  <c r="BY151" i="24"/>
  <c r="CA151" i="24" s="1"/>
  <c r="BM151" i="24"/>
  <c r="BN151" i="24" s="1"/>
  <c r="BE309" i="25"/>
  <c r="BR309" i="25"/>
  <c r="BX309" i="25" s="1"/>
  <c r="BY50" i="24"/>
  <c r="CA50" i="24" s="1"/>
  <c r="CB50" i="24" s="1"/>
  <c r="BN50" i="24"/>
  <c r="AG18" i="29"/>
  <c r="W18" i="29"/>
  <c r="AH387" i="29"/>
  <c r="X387" i="29"/>
  <c r="Y387" i="29" s="1"/>
  <c r="X330" i="29"/>
  <c r="Y330" i="29" s="1"/>
  <c r="AH330" i="29"/>
  <c r="AH189" i="29"/>
  <c r="X189" i="29"/>
  <c r="Y189" i="29" s="1"/>
  <c r="AH60" i="29"/>
  <c r="X60" i="29"/>
  <c r="Y60" i="29" s="1"/>
  <c r="BE263" i="25"/>
  <c r="BR263" i="25"/>
  <c r="BX263" i="25" s="1"/>
  <c r="BR90" i="25"/>
  <c r="BV90" i="25" s="1"/>
  <c r="BX90" i="25" s="1"/>
  <c r="BE90" i="25"/>
  <c r="BK90" i="25" s="1"/>
  <c r="BY199" i="24"/>
  <c r="CA199" i="24" s="1"/>
  <c r="BM199" i="24"/>
  <c r="BN199" i="24" s="1"/>
  <c r="BN63" i="24"/>
  <c r="BY63" i="24"/>
  <c r="CA63" i="24" s="1"/>
  <c r="CB63" i="24" s="1"/>
  <c r="BN97" i="24"/>
  <c r="BY97" i="24"/>
  <c r="CA97" i="24" s="1"/>
  <c r="BY270" i="24"/>
  <c r="CA270" i="24" s="1"/>
  <c r="CB270" i="24" s="1"/>
  <c r="BM270" i="24"/>
  <c r="BN270" i="24" s="1"/>
  <c r="BR86" i="25"/>
  <c r="BV86" i="25" s="1"/>
  <c r="BX86" i="25" s="1"/>
  <c r="BE86" i="25"/>
  <c r="BK86" i="25" s="1"/>
  <c r="BY11" i="25"/>
  <c r="CA11" i="25" s="1"/>
  <c r="CB11" i="25" s="1"/>
  <c r="BL11" i="25"/>
  <c r="BE157" i="25"/>
  <c r="BR157" i="25"/>
  <c r="BX157" i="25" s="1"/>
  <c r="BN8" i="24"/>
  <c r="BY8" i="24"/>
  <c r="CA8" i="24" s="1"/>
  <c r="CB8" i="24" s="1"/>
  <c r="AG446" i="29"/>
  <c r="W446" i="29"/>
  <c r="W484" i="29"/>
  <c r="AG484" i="29"/>
  <c r="BY227" i="24"/>
  <c r="CA227" i="24" s="1"/>
  <c r="CB227" i="24" s="1"/>
  <c r="BM227" i="24"/>
  <c r="BN227" i="24" s="1"/>
  <c r="BY59" i="25"/>
  <c r="CA59" i="25" s="1"/>
  <c r="CB59" i="25" s="1"/>
  <c r="BL59" i="25"/>
  <c r="BY306" i="25"/>
  <c r="CA306" i="25" s="1"/>
  <c r="CB306" i="25" s="1"/>
  <c r="BL306" i="25"/>
  <c r="BK306" i="25"/>
  <c r="BE203" i="25"/>
  <c r="BR203" i="25"/>
  <c r="BX203" i="25" s="1"/>
  <c r="BY14" i="25"/>
  <c r="CA14" i="25" s="1"/>
  <c r="BL14" i="25"/>
  <c r="BE230" i="25"/>
  <c r="BR230" i="25"/>
  <c r="BX230" i="25" s="1"/>
  <c r="BR76" i="25"/>
  <c r="BV76" i="25" s="1"/>
  <c r="BX76" i="25" s="1"/>
  <c r="BE76" i="25"/>
  <c r="BK76" i="25" s="1"/>
  <c r="BY206" i="24"/>
  <c r="CA206" i="24" s="1"/>
  <c r="BM206" i="24"/>
  <c r="BN206" i="24" s="1"/>
  <c r="BY144" i="24"/>
  <c r="CA144" i="24" s="1"/>
  <c r="CB144" i="24" s="1"/>
  <c r="BM144" i="24"/>
  <c r="BN144" i="24" s="1"/>
  <c r="BE307" i="25"/>
  <c r="BR307" i="25"/>
  <c r="BX307" i="25" s="1"/>
  <c r="X594" i="29"/>
  <c r="Y594" i="29" s="1"/>
  <c r="AH594" i="29"/>
  <c r="AG582" i="29"/>
  <c r="W582" i="29"/>
  <c r="X82" i="29"/>
  <c r="Y82" i="29" s="1"/>
  <c r="AH82" i="29"/>
  <c r="W370" i="29"/>
  <c r="AG370" i="29"/>
  <c r="W570" i="29"/>
  <c r="AG570" i="29"/>
  <c r="AH78" i="29"/>
  <c r="X78" i="29"/>
  <c r="Y78" i="29" s="1"/>
  <c r="AH103" i="29"/>
  <c r="X103" i="29"/>
  <c r="Y103" i="29" s="1"/>
  <c r="AH139" i="29"/>
  <c r="X139" i="29"/>
  <c r="Y139" i="29" s="1"/>
  <c r="X261" i="29"/>
  <c r="Y261" i="29" s="1"/>
  <c r="AH261" i="29"/>
  <c r="AG77" i="29"/>
  <c r="W77" i="29"/>
  <c r="AH459" i="29"/>
  <c r="X459" i="29"/>
  <c r="Y459" i="29" s="1"/>
  <c r="AG494" i="29"/>
  <c r="W494" i="29"/>
  <c r="W151" i="29"/>
  <c r="AG151" i="29"/>
  <c r="W613" i="29"/>
  <c r="AG613" i="29"/>
  <c r="AH218" i="29"/>
  <c r="X218" i="29"/>
  <c r="Y218" i="29" s="1"/>
  <c r="BE304" i="25"/>
  <c r="BR304" i="25"/>
  <c r="BX304" i="25" s="1"/>
  <c r="BE135" i="25"/>
  <c r="BR135" i="25"/>
  <c r="BX135" i="25" s="1"/>
  <c r="BE169" i="25"/>
  <c r="BR169" i="25"/>
  <c r="BX169" i="25" s="1"/>
  <c r="BY153" i="24"/>
  <c r="CA153" i="24" s="1"/>
  <c r="CB153" i="24" s="1"/>
  <c r="BM153" i="24"/>
  <c r="BN153" i="24" s="1"/>
  <c r="BY285" i="24"/>
  <c r="CA285" i="24" s="1"/>
  <c r="BM285" i="24"/>
  <c r="BN285" i="24" s="1"/>
  <c r="BE308" i="25"/>
  <c r="BR308" i="25"/>
  <c r="BX308" i="25" s="1"/>
  <c r="BE193" i="25"/>
  <c r="BR193" i="25"/>
  <c r="BX193" i="25" s="1"/>
  <c r="BL28" i="25"/>
  <c r="BY28" i="25"/>
  <c r="CA28" i="25" s="1"/>
  <c r="CB28" i="25" s="1"/>
  <c r="AG262" i="29"/>
  <c r="W262" i="29"/>
  <c r="W17" i="29"/>
  <c r="AG17" i="29"/>
  <c r="AG233" i="29"/>
  <c r="W233" i="29"/>
  <c r="W178" i="29"/>
  <c r="AG178" i="29"/>
  <c r="W386" i="29"/>
  <c r="AG386" i="29"/>
  <c r="AG361" i="29"/>
  <c r="W361" i="29"/>
  <c r="AG602" i="29"/>
  <c r="W602" i="29"/>
  <c r="AG16" i="29"/>
  <c r="W16" i="29"/>
  <c r="AH529" i="29"/>
  <c r="X529" i="29"/>
  <c r="Y529" i="29" s="1"/>
  <c r="AG519" i="29"/>
  <c r="W519" i="29"/>
  <c r="W391" i="29"/>
  <c r="AG391" i="29"/>
  <c r="X56" i="29"/>
  <c r="Y56" i="29" s="1"/>
  <c r="AH56" i="29"/>
  <c r="W344" i="29"/>
  <c r="AG344" i="29"/>
  <c r="AG505" i="29"/>
  <c r="W505" i="29"/>
  <c r="W175" i="29"/>
  <c r="AG175" i="29"/>
  <c r="AG553" i="29"/>
  <c r="W553" i="29"/>
  <c r="AH463" i="29"/>
  <c r="X463" i="29"/>
  <c r="Y463" i="29" s="1"/>
  <c r="BY127" i="24"/>
  <c r="CA127" i="24" s="1"/>
  <c r="BM127" i="24"/>
  <c r="BN127" i="24" s="1"/>
  <c r="BY74" i="24"/>
  <c r="CA74" i="24" s="1"/>
  <c r="BN74" i="24"/>
  <c r="BY66" i="24"/>
  <c r="CA66" i="24" s="1"/>
  <c r="BN66" i="24"/>
  <c r="BR294" i="25"/>
  <c r="BX294" i="25" s="1"/>
  <c r="BE294" i="25"/>
  <c r="BY81" i="24"/>
  <c r="CA81" i="24" s="1"/>
  <c r="BN81" i="24"/>
  <c r="BE112" i="25"/>
  <c r="BR112" i="25"/>
  <c r="BX112" i="25" s="1"/>
  <c r="BY247" i="25"/>
  <c r="CA247" i="25" s="1"/>
  <c r="CB247" i="25" s="1"/>
  <c r="BL247" i="25"/>
  <c r="BK247" i="25"/>
  <c r="BR101" i="25"/>
  <c r="BV101" i="25" s="1"/>
  <c r="BX101" i="25" s="1"/>
  <c r="BE101" i="25"/>
  <c r="BK101" i="25" s="1"/>
  <c r="BY90" i="24"/>
  <c r="CA90" i="24" s="1"/>
  <c r="CB90" i="24" s="1"/>
  <c r="BN90" i="24"/>
  <c r="BE302" i="25"/>
  <c r="BR302" i="25"/>
  <c r="BX302" i="25" s="1"/>
  <c r="BY222" i="24"/>
  <c r="CA222" i="24" s="1"/>
  <c r="CB222" i="24" s="1"/>
  <c r="BM222" i="24"/>
  <c r="BN222" i="24" s="1"/>
  <c r="AH603" i="29"/>
  <c r="X603" i="29"/>
  <c r="Y603" i="29" s="1"/>
  <c r="AH287" i="29"/>
  <c r="X287" i="29"/>
  <c r="Y287" i="29" s="1"/>
  <c r="W485" i="29"/>
  <c r="AG485" i="29"/>
  <c r="W263" i="29"/>
  <c r="AG263" i="29"/>
  <c r="BR160" i="25"/>
  <c r="BX160" i="25" s="1"/>
  <c r="BE160" i="25"/>
  <c r="BY13" i="24"/>
  <c r="CA13" i="24" s="1"/>
  <c r="CB13" i="24" s="1"/>
  <c r="BN13" i="24"/>
  <c r="BE300" i="25"/>
  <c r="BR300" i="25"/>
  <c r="BX300" i="25" s="1"/>
  <c r="BE52" i="25"/>
  <c r="BK52" i="25" s="1"/>
  <c r="BR52" i="25"/>
  <c r="BV52" i="25" s="1"/>
  <c r="BX52" i="25" s="1"/>
  <c r="BY173" i="24"/>
  <c r="CA173" i="24" s="1"/>
  <c r="BM173" i="24"/>
  <c r="BN173" i="24" s="1"/>
  <c r="BR73" i="25"/>
  <c r="BV73" i="25" s="1"/>
  <c r="BX73" i="25" s="1"/>
  <c r="BE73" i="25"/>
  <c r="BK73" i="25" s="1"/>
  <c r="BE85" i="25"/>
  <c r="BK85" i="25" s="1"/>
  <c r="BR85" i="25"/>
  <c r="BV85" i="25" s="1"/>
  <c r="BX85" i="25" s="1"/>
  <c r="X568" i="29"/>
  <c r="Y568" i="29" s="1"/>
  <c r="AH568" i="29"/>
  <c r="X474" i="29"/>
  <c r="Y474" i="29" s="1"/>
  <c r="AH474" i="29"/>
  <c r="AH532" i="29"/>
  <c r="X532" i="29"/>
  <c r="Y532" i="29" s="1"/>
  <c r="AG428" i="29"/>
  <c r="W428" i="29"/>
  <c r="AG96" i="29"/>
  <c r="W96" i="29"/>
  <c r="W329" i="29"/>
  <c r="AG329" i="29"/>
  <c r="AH356" i="29"/>
  <c r="X356" i="29"/>
  <c r="Y356" i="29" s="1"/>
  <c r="W126" i="29"/>
  <c r="AG126" i="29"/>
  <c r="AH430" i="29"/>
  <c r="X430" i="29"/>
  <c r="Y430" i="29" s="1"/>
  <c r="AH115" i="29"/>
  <c r="X115" i="29"/>
  <c r="Y115" i="29" s="1"/>
  <c r="AH158" i="29"/>
  <c r="X158" i="29"/>
  <c r="Y158" i="29" s="1"/>
  <c r="AH316" i="29"/>
  <c r="X316" i="29"/>
  <c r="Y316" i="29" s="1"/>
  <c r="AH244" i="29"/>
  <c r="X244" i="29"/>
  <c r="Y244" i="29" s="1"/>
  <c r="BY164" i="24"/>
  <c r="CA164" i="24" s="1"/>
  <c r="CB164" i="24" s="1"/>
  <c r="BM164" i="24"/>
  <c r="BN164" i="24" s="1"/>
  <c r="BN27" i="24"/>
  <c r="BE44" i="25"/>
  <c r="BK44" i="25" s="1"/>
  <c r="BR44" i="25"/>
  <c r="BV44" i="25" s="1"/>
  <c r="BX44" i="25" s="1"/>
  <c r="BY204" i="24"/>
  <c r="CA204" i="24" s="1"/>
  <c r="BM204" i="24"/>
  <c r="BN204" i="24" s="1"/>
  <c r="AH91" i="29"/>
  <c r="X91" i="29"/>
  <c r="Y91" i="29" s="1"/>
  <c r="AG501" i="29"/>
  <c r="W501" i="29"/>
  <c r="X524" i="29"/>
  <c r="Y524" i="29" s="1"/>
  <c r="AH524" i="29"/>
  <c r="AH432" i="29"/>
  <c r="X432" i="29"/>
  <c r="Y432" i="29" s="1"/>
  <c r="AG298" i="29"/>
  <c r="W298" i="29"/>
  <c r="AH526" i="29"/>
  <c r="X526" i="29"/>
  <c r="Y526" i="29" s="1"/>
  <c r="AH379" i="29"/>
  <c r="X379" i="29"/>
  <c r="Y379" i="29" s="1"/>
  <c r="AG424" i="29"/>
  <c r="W424" i="29"/>
  <c r="AH437" i="29"/>
  <c r="X437" i="29"/>
  <c r="Y437" i="29" s="1"/>
  <c r="AG161" i="29"/>
  <c r="W161" i="29"/>
  <c r="AG125" i="29"/>
  <c r="W125" i="29"/>
  <c r="W160" i="29"/>
  <c r="AG160" i="29"/>
  <c r="AH555" i="29"/>
  <c r="X555" i="29"/>
  <c r="Y555" i="29" s="1"/>
  <c r="AG551" i="29"/>
  <c r="W551" i="29"/>
  <c r="AH343" i="29"/>
  <c r="X343" i="29"/>
  <c r="Y343" i="29" s="1"/>
  <c r="W184" i="29"/>
  <c r="AG184" i="29"/>
  <c r="AG589" i="29"/>
  <c r="W589" i="29"/>
  <c r="AH180" i="29"/>
  <c r="X180" i="29"/>
  <c r="Y180" i="29" s="1"/>
  <c r="W181" i="29"/>
  <c r="AG181" i="29"/>
  <c r="BL293" i="25"/>
  <c r="BY293" i="25"/>
  <c r="CA293" i="25" s="1"/>
  <c r="CB293" i="25" s="1"/>
  <c r="BK293" i="25"/>
  <c r="BL206" i="25"/>
  <c r="BY206" i="25"/>
  <c r="CA206" i="25" s="1"/>
  <c r="BK206" i="25"/>
  <c r="BE231" i="25"/>
  <c r="BR231" i="25"/>
  <c r="BX231" i="25" s="1"/>
  <c r="BY308" i="24"/>
  <c r="CA308" i="24" s="1"/>
  <c r="BM308" i="24"/>
  <c r="BN308" i="24" s="1"/>
  <c r="BY301" i="24"/>
  <c r="CA301" i="24" s="1"/>
  <c r="CB301" i="24" s="1"/>
  <c r="BM301" i="24"/>
  <c r="BN301" i="24" s="1"/>
  <c r="BN89" i="24"/>
  <c r="BY89" i="24"/>
  <c r="CA89" i="24" s="1"/>
  <c r="CB89" i="24" s="1"/>
  <c r="BY259" i="25"/>
  <c r="CA259" i="25" s="1"/>
  <c r="CB259" i="25" s="1"/>
  <c r="BL259" i="25"/>
  <c r="BK259" i="25"/>
  <c r="BE313" i="25"/>
  <c r="BR313" i="25"/>
  <c r="BX313" i="25" s="1"/>
  <c r="BY188" i="24"/>
  <c r="CA188" i="24" s="1"/>
  <c r="CB188" i="24" s="1"/>
  <c r="BM188" i="24"/>
  <c r="BN188" i="24" s="1"/>
  <c r="BR239" i="25"/>
  <c r="BX239" i="25" s="1"/>
  <c r="BE239" i="25"/>
  <c r="BE130" i="25"/>
  <c r="BR130" i="25"/>
  <c r="BX130" i="25" s="1"/>
  <c r="BY128" i="24"/>
  <c r="CA128" i="24" s="1"/>
  <c r="CB128" i="24" s="1"/>
  <c r="BM128" i="24"/>
  <c r="BN128" i="24" s="1"/>
  <c r="BE269" i="25"/>
  <c r="BR269" i="25"/>
  <c r="BX269" i="25" s="1"/>
  <c r="AH449" i="29"/>
  <c r="X449" i="29"/>
  <c r="Y449" i="29" s="1"/>
  <c r="W249" i="29"/>
  <c r="AG249" i="29"/>
  <c r="X225" i="29"/>
  <c r="Y225" i="29" s="1"/>
  <c r="AH225" i="29"/>
  <c r="AH72" i="29"/>
  <c r="X72" i="29"/>
  <c r="Y72" i="29" s="1"/>
  <c r="AH156" i="29"/>
  <c r="X156" i="29"/>
  <c r="Y156" i="29" s="1"/>
  <c r="BE227" i="25"/>
  <c r="BR227" i="25"/>
  <c r="BX227" i="25" s="1"/>
  <c r="BY207" i="24"/>
  <c r="CA207" i="24" s="1"/>
  <c r="CB207" i="24" s="1"/>
  <c r="BM207" i="24"/>
  <c r="BN207" i="24" s="1"/>
  <c r="BE278" i="25"/>
  <c r="BR278" i="25"/>
  <c r="BX278" i="25" s="1"/>
  <c r="BY145" i="24"/>
  <c r="CA145" i="24" s="1"/>
  <c r="CB145" i="24" s="1"/>
  <c r="BM145" i="24"/>
  <c r="BN145" i="24" s="1"/>
  <c r="AG414" i="29"/>
  <c r="W414" i="29"/>
  <c r="AH518" i="29"/>
  <c r="X518" i="29"/>
  <c r="Y518" i="29" s="1"/>
  <c r="AH179" i="29"/>
  <c r="X179" i="29"/>
  <c r="Y179" i="29" s="1"/>
  <c r="AH264" i="29"/>
  <c r="X264" i="29"/>
  <c r="Y264" i="29" s="1"/>
  <c r="AH18" i="29"/>
  <c r="X18" i="29"/>
  <c r="Y18" i="29" s="1"/>
  <c r="AG237" i="29"/>
  <c r="W237" i="29"/>
  <c r="X204" i="29"/>
  <c r="Y204" i="29" s="1"/>
  <c r="AH204" i="29"/>
  <c r="AH165" i="29"/>
  <c r="X165" i="29"/>
  <c r="Y165" i="29" s="1"/>
  <c r="AG597" i="29"/>
  <c r="W597" i="29"/>
  <c r="W93" i="29"/>
  <c r="AG93" i="29"/>
  <c r="AG191" i="29"/>
  <c r="W191" i="29"/>
  <c r="W101" i="29"/>
  <c r="AG101" i="29"/>
  <c r="W516" i="29"/>
  <c r="AG516" i="29"/>
  <c r="AG189" i="29"/>
  <c r="W189" i="29"/>
  <c r="W60" i="29"/>
  <c r="AG60" i="29"/>
  <c r="W374" i="29"/>
  <c r="AG374" i="29"/>
  <c r="AG497" i="29"/>
  <c r="W497" i="29"/>
  <c r="BE54" i="25"/>
  <c r="BK54" i="25" s="1"/>
  <c r="BR54" i="25"/>
  <c r="BV54" i="25" s="1"/>
  <c r="BX54" i="25" s="1"/>
  <c r="BY262" i="25"/>
  <c r="CA262" i="25" s="1"/>
  <c r="CB262" i="25" s="1"/>
  <c r="BL262" i="25"/>
  <c r="BK262" i="25"/>
  <c r="BL71" i="25"/>
  <c r="BY71" i="25"/>
  <c r="CA71" i="25" s="1"/>
  <c r="BY266" i="24"/>
  <c r="CA266" i="24" s="1"/>
  <c r="CB266" i="24" s="1"/>
  <c r="BM266" i="24"/>
  <c r="BN266" i="24" s="1"/>
  <c r="BY29" i="25"/>
  <c r="CA29" i="25" s="1"/>
  <c r="CB29" i="25" s="1"/>
  <c r="BL29" i="25"/>
  <c r="BE289" i="25"/>
  <c r="BR289" i="25"/>
  <c r="BX289" i="25" s="1"/>
  <c r="W79" i="29"/>
  <c r="AG79" i="29"/>
  <c r="W593" i="29"/>
  <c r="AG593" i="29"/>
  <c r="AG443" i="29"/>
  <c r="W443" i="29"/>
  <c r="AG28" i="29"/>
  <c r="W28" i="29"/>
  <c r="W496" i="29"/>
  <c r="AG496" i="29"/>
  <c r="X401" i="29"/>
  <c r="Y401" i="29" s="1"/>
  <c r="AH401" i="29"/>
  <c r="X441" i="29"/>
  <c r="Y441" i="29" s="1"/>
  <c r="AH441" i="29"/>
  <c r="W214" i="29"/>
  <c r="AG214" i="29"/>
  <c r="W241" i="29"/>
  <c r="AG241" i="29"/>
  <c r="W563" i="29"/>
  <c r="AG563" i="29"/>
  <c r="W473" i="29"/>
  <c r="AG473" i="29"/>
  <c r="X234" i="29"/>
  <c r="Y234" i="29" s="1"/>
  <c r="AH234" i="29"/>
  <c r="W580" i="29"/>
  <c r="AG580" i="29"/>
  <c r="X332" i="29"/>
  <c r="Y332" i="29" s="1"/>
  <c r="AH332" i="29"/>
  <c r="AG134" i="29"/>
  <c r="W134" i="29"/>
  <c r="W46" i="29"/>
  <c r="AG46" i="29"/>
  <c r="W579" i="29"/>
  <c r="AG579" i="29"/>
  <c r="BL62" i="25"/>
  <c r="BY62" i="25"/>
  <c r="CA62" i="25" s="1"/>
  <c r="BL170" i="25"/>
  <c r="BY170" i="25"/>
  <c r="CA170" i="25" s="1"/>
  <c r="BK170" i="25"/>
  <c r="BR145" i="25"/>
  <c r="BX145" i="25" s="1"/>
  <c r="BE145" i="25"/>
  <c r="BE134" i="25"/>
  <c r="BR134" i="25"/>
  <c r="BX134" i="25" s="1"/>
  <c r="BE315" i="25"/>
  <c r="BR315" i="25"/>
  <c r="BX315" i="25" s="1"/>
  <c r="BY123" i="24"/>
  <c r="CA123" i="24" s="1"/>
  <c r="CB123" i="24" s="1"/>
  <c r="BM123" i="24"/>
  <c r="BN123" i="24" s="1"/>
  <c r="AG403" i="29"/>
  <c r="W403" i="29"/>
  <c r="AG106" i="29"/>
  <c r="W106" i="29"/>
  <c r="W339" i="29"/>
  <c r="AG339" i="29"/>
  <c r="X475" i="29"/>
  <c r="Y475" i="29" s="1"/>
  <c r="AH475" i="29"/>
  <c r="BL261" i="25"/>
  <c r="BY261" i="25"/>
  <c r="CA261" i="25" s="1"/>
  <c r="CB261" i="25" s="1"/>
  <c r="BK261" i="25"/>
  <c r="BY114" i="24"/>
  <c r="CA114" i="24" s="1"/>
  <c r="CB114" i="24" s="1"/>
  <c r="BM114" i="24"/>
  <c r="BN114" i="24" s="1"/>
  <c r="BY175" i="24"/>
  <c r="CA175" i="24" s="1"/>
  <c r="BM175" i="24"/>
  <c r="BN175" i="24" s="1"/>
  <c r="BY271" i="24"/>
  <c r="CA271" i="24" s="1"/>
  <c r="BM271" i="24"/>
  <c r="BN271" i="24" s="1"/>
  <c r="BE152" i="25"/>
  <c r="BR152" i="25"/>
  <c r="BX152" i="25" s="1"/>
  <c r="AH483" i="29"/>
  <c r="X483" i="29"/>
  <c r="Y483" i="29" s="1"/>
  <c r="X155" i="29"/>
  <c r="Y155" i="29" s="1"/>
  <c r="AH155" i="29"/>
  <c r="AG256" i="29"/>
  <c r="W256" i="29"/>
  <c r="AH198" i="29"/>
  <c r="X198" i="29"/>
  <c r="Y198" i="29" s="1"/>
  <c r="AH154" i="29"/>
  <c r="X154" i="29"/>
  <c r="Y154" i="29" s="1"/>
  <c r="W464" i="29"/>
  <c r="AG464" i="29"/>
  <c r="X110" i="29"/>
  <c r="Y110" i="29" s="1"/>
  <c r="AH110" i="29"/>
  <c r="BY60" i="24"/>
  <c r="CA60" i="24" s="1"/>
  <c r="CB60" i="24" s="1"/>
  <c r="BN60" i="24"/>
  <c r="BE164" i="25"/>
  <c r="BR164" i="25"/>
  <c r="BX164" i="25" s="1"/>
  <c r="BE285" i="25"/>
  <c r="BR285" i="25"/>
  <c r="BX285" i="25" s="1"/>
  <c r="BY312" i="24"/>
  <c r="CA312" i="24" s="1"/>
  <c r="BM312" i="24"/>
  <c r="BN312" i="24" s="1"/>
  <c r="BE142" i="25"/>
  <c r="BR142" i="25"/>
  <c r="BX142" i="25" s="1"/>
  <c r="BY309" i="24"/>
  <c r="CA309" i="24" s="1"/>
  <c r="BM309" i="24"/>
  <c r="BN309" i="24" s="1"/>
  <c r="BY243" i="24"/>
  <c r="CA243" i="24" s="1"/>
  <c r="BM243" i="24"/>
  <c r="BN243" i="24" s="1"/>
  <c r="BY47" i="24"/>
  <c r="CA47" i="24" s="1"/>
  <c r="CB47" i="24" s="1"/>
  <c r="BN47" i="24"/>
  <c r="BE150" i="25"/>
  <c r="BR150" i="25"/>
  <c r="BX150" i="25" s="1"/>
  <c r="BE17" i="25"/>
  <c r="BK17" i="25" s="1"/>
  <c r="BR17" i="25"/>
  <c r="BV17" i="25" s="1"/>
  <c r="BX17" i="25" s="1"/>
  <c r="BY201" i="25"/>
  <c r="CA201" i="25" s="1"/>
  <c r="BL201" i="25"/>
  <c r="BK201" i="25"/>
  <c r="AG307" i="29"/>
  <c r="W307" i="29"/>
  <c r="X573" i="29"/>
  <c r="Y573" i="29" s="1"/>
  <c r="AH573" i="29"/>
  <c r="AH525" i="29"/>
  <c r="X525" i="29"/>
  <c r="Y525" i="29" s="1"/>
  <c r="AH319" i="29"/>
  <c r="X319" i="29"/>
  <c r="Y319" i="29" s="1"/>
  <c r="AG229" i="29"/>
  <c r="W229" i="29"/>
  <c r="AG478" i="29"/>
  <c r="W478" i="29"/>
  <c r="X251" i="29"/>
  <c r="Y251" i="29" s="1"/>
  <c r="AH251" i="29"/>
  <c r="AG69" i="29"/>
  <c r="W69" i="29"/>
  <c r="AG48" i="29"/>
  <c r="W48" i="29"/>
  <c r="AH417" i="29"/>
  <c r="X417" i="29"/>
  <c r="Y417" i="29" s="1"/>
  <c r="AG14" i="29"/>
  <c r="W14" i="29"/>
  <c r="AH362" i="29"/>
  <c r="X362" i="29"/>
  <c r="Y362" i="29" s="1"/>
  <c r="AG481" i="29"/>
  <c r="W481" i="29"/>
  <c r="AG394" i="29"/>
  <c r="W394" i="29"/>
  <c r="BR63" i="25"/>
  <c r="BV63" i="25" s="1"/>
  <c r="BX63" i="25" s="1"/>
  <c r="BE63" i="25"/>
  <c r="BK63" i="25" s="1"/>
  <c r="BE234" i="25"/>
  <c r="BR234" i="25"/>
  <c r="BX234" i="25" s="1"/>
  <c r="BE171" i="25"/>
  <c r="BR171" i="25"/>
  <c r="BX171" i="25" s="1"/>
  <c r="BR165" i="25"/>
  <c r="BX165" i="25" s="1"/>
  <c r="BE165" i="25"/>
  <c r="BN48" i="24"/>
  <c r="BY48" i="24"/>
  <c r="CA48" i="24" s="1"/>
  <c r="CB48" i="24" s="1"/>
  <c r="BE187" i="25"/>
  <c r="BR187" i="25"/>
  <c r="BX187" i="25" s="1"/>
  <c r="BY143" i="24"/>
  <c r="CA143" i="24" s="1"/>
  <c r="CB143" i="24" s="1"/>
  <c r="BM143" i="24"/>
  <c r="BN143" i="24" s="1"/>
  <c r="AH352" i="29"/>
  <c r="X352" i="29"/>
  <c r="Y352" i="29" s="1"/>
  <c r="AG541" i="29"/>
  <c r="W541" i="29"/>
  <c r="AH186" i="29"/>
  <c r="X186" i="29"/>
  <c r="Y186" i="29" s="1"/>
  <c r="BY150" i="24"/>
  <c r="CA150" i="24" s="1"/>
  <c r="BM150" i="24"/>
  <c r="BN150" i="24" s="1"/>
  <c r="BY231" i="24"/>
  <c r="CA231" i="24" s="1"/>
  <c r="CB231" i="24" s="1"/>
  <c r="BM231" i="24"/>
  <c r="BN231" i="24" s="1"/>
  <c r="BR39" i="25"/>
  <c r="BV39" i="25" s="1"/>
  <c r="BX39" i="25" s="1"/>
  <c r="BE39" i="25"/>
  <c r="BK39" i="25" s="1"/>
  <c r="BY187" i="24"/>
  <c r="CA187" i="24" s="1"/>
  <c r="CB187" i="24" s="1"/>
  <c r="BM187" i="24"/>
  <c r="BN187" i="24" s="1"/>
  <c r="BY137" i="24"/>
  <c r="CA137" i="24" s="1"/>
  <c r="BM137" i="24"/>
  <c r="BN137" i="24" s="1"/>
  <c r="BE100" i="25"/>
  <c r="BK100" i="25" s="1"/>
  <c r="BR100" i="25"/>
  <c r="BV100" i="25" s="1"/>
  <c r="BX100" i="25" s="1"/>
  <c r="BE194" i="25"/>
  <c r="BR194" i="25"/>
  <c r="BX194" i="25" s="1"/>
  <c r="X537" i="29"/>
  <c r="Y537" i="29" s="1"/>
  <c r="AH537" i="29"/>
  <c r="X153" i="29"/>
  <c r="Y153" i="29" s="1"/>
  <c r="AH153" i="29"/>
  <c r="AG71" i="29"/>
  <c r="W71" i="29"/>
  <c r="AG376" i="29"/>
  <c r="W376" i="29"/>
  <c r="AH64" i="29"/>
  <c r="X64" i="29"/>
  <c r="Y64" i="29" s="1"/>
  <c r="BY11" i="24"/>
  <c r="CA11" i="24" s="1"/>
  <c r="CB11" i="24" s="1"/>
  <c r="BN11" i="24"/>
  <c r="BY225" i="24"/>
  <c r="CA225" i="24" s="1"/>
  <c r="BM225" i="24"/>
  <c r="BN225" i="24" s="1"/>
  <c r="BY204" i="25"/>
  <c r="CA204" i="25" s="1"/>
  <c r="BL204" i="25"/>
  <c r="BK204" i="25"/>
  <c r="BE33" i="25"/>
  <c r="BK33" i="25" s="1"/>
  <c r="BR33" i="25"/>
  <c r="BV33" i="25" s="1"/>
  <c r="BX33" i="25" s="1"/>
  <c r="BE23" i="25"/>
  <c r="BK23" i="25" s="1"/>
  <c r="BR23" i="25"/>
  <c r="BV23" i="25" s="1"/>
  <c r="BX23" i="25" s="1"/>
  <c r="BY208" i="24"/>
  <c r="CA208" i="24" s="1"/>
  <c r="BM208" i="24"/>
  <c r="BN208" i="24" s="1"/>
  <c r="BY234" i="24"/>
  <c r="CA234" i="24" s="1"/>
  <c r="CB234" i="24" s="1"/>
  <c r="BM234" i="24"/>
  <c r="BN234" i="24" s="1"/>
  <c r="BR69" i="25"/>
  <c r="BV69" i="25" s="1"/>
  <c r="BX69" i="25" s="1"/>
  <c r="BE69" i="25"/>
  <c r="BK69" i="25" s="1"/>
  <c r="BR149" i="25"/>
  <c r="BX149" i="25" s="1"/>
  <c r="BE149" i="25"/>
  <c r="BY158" i="25"/>
  <c r="CA158" i="25" s="1"/>
  <c r="CB158" i="25" s="1"/>
  <c r="BL158" i="25"/>
  <c r="BK158" i="25"/>
  <c r="AG138" i="29"/>
  <c r="W138" i="29"/>
  <c r="AH565" i="29"/>
  <c r="X565" i="29"/>
  <c r="Y565" i="29" s="1"/>
  <c r="W371" i="29"/>
  <c r="AG371" i="29"/>
  <c r="AH147" i="29"/>
  <c r="X147" i="29"/>
  <c r="Y147" i="29" s="1"/>
  <c r="AG67" i="29"/>
  <c r="W67" i="29"/>
  <c r="X142" i="29"/>
  <c r="Y142" i="29" s="1"/>
  <c r="AH142" i="29"/>
  <c r="W21" i="29"/>
  <c r="AG21" i="29"/>
  <c r="AG306" i="29"/>
  <c r="W306" i="29"/>
  <c r="X284" i="29"/>
  <c r="Y284" i="29" s="1"/>
  <c r="AH284" i="29"/>
  <c r="AH15" i="29"/>
  <c r="X15" i="29"/>
  <c r="Y15" i="29" s="1"/>
  <c r="AH296" i="29"/>
  <c r="X296" i="29"/>
  <c r="Y296" i="29" s="1"/>
  <c r="AG274" i="29"/>
  <c r="W274" i="29"/>
  <c r="W397" i="29"/>
  <c r="AG397" i="29"/>
  <c r="X453" i="29"/>
  <c r="Y453" i="29" s="1"/>
  <c r="AH453" i="29"/>
  <c r="BE182" i="25"/>
  <c r="BR182" i="25"/>
  <c r="BX182" i="25" s="1"/>
  <c r="BE172" i="25"/>
  <c r="BR172" i="25"/>
  <c r="BX172" i="25" s="1"/>
  <c r="BE260" i="25"/>
  <c r="BR260" i="25"/>
  <c r="BX260" i="25" s="1"/>
  <c r="BY257" i="25"/>
  <c r="CA257" i="25" s="1"/>
  <c r="CB257" i="25" s="1"/>
  <c r="BL257" i="25"/>
  <c r="BK257" i="25"/>
  <c r="AG612" i="29"/>
  <c r="W612" i="29"/>
  <c r="AG220" i="29"/>
  <c r="W220" i="29"/>
  <c r="AH226" i="29"/>
  <c r="X226" i="29"/>
  <c r="Y226" i="29" s="1"/>
  <c r="D64" i="29"/>
  <c r="E59" i="1" s="1"/>
  <c r="D61" i="29"/>
  <c r="BY115" i="24"/>
  <c r="CA115" i="24" s="1"/>
  <c r="CB115" i="24" s="1"/>
  <c r="BM115" i="24"/>
  <c r="BN115" i="24" s="1"/>
  <c r="BE218" i="25"/>
  <c r="BR218" i="25"/>
  <c r="BX218" i="25" s="1"/>
  <c r="BE10" i="25"/>
  <c r="BK10" i="25" s="1"/>
  <c r="BR10" i="25"/>
  <c r="BV10" i="25" s="1"/>
  <c r="BX10" i="25" s="1"/>
  <c r="BR40" i="25"/>
  <c r="BV40" i="25" s="1"/>
  <c r="BX40" i="25" s="1"/>
  <c r="BE40" i="25"/>
  <c r="BK40" i="25" s="1"/>
  <c r="BE132" i="25"/>
  <c r="BR132" i="25"/>
  <c r="BX132" i="25" s="1"/>
  <c r="BY136" i="24"/>
  <c r="CA136" i="24" s="1"/>
  <c r="CB136" i="24" s="1"/>
  <c r="BM136" i="24"/>
  <c r="BN136" i="24" s="1"/>
  <c r="BY209" i="24"/>
  <c r="CA209" i="24" s="1"/>
  <c r="BM209" i="24"/>
  <c r="BN209" i="24" s="1"/>
  <c r="BY274" i="24"/>
  <c r="CA274" i="24" s="1"/>
  <c r="BM274" i="24"/>
  <c r="BN274" i="24" s="1"/>
  <c r="BY99" i="24"/>
  <c r="CA99" i="24" s="1"/>
  <c r="CB99" i="24" s="1"/>
  <c r="BN99" i="24"/>
  <c r="BY248" i="25"/>
  <c r="CA248" i="25" s="1"/>
  <c r="CB248" i="25" s="1"/>
  <c r="BL248" i="25"/>
  <c r="BK248" i="25"/>
  <c r="BE252" i="25"/>
  <c r="BR252" i="25"/>
  <c r="BX252" i="25" s="1"/>
  <c r="BY138" i="24"/>
  <c r="CA138" i="24" s="1"/>
  <c r="CB138" i="24" s="1"/>
  <c r="BM138" i="24"/>
  <c r="BN138" i="24" s="1"/>
  <c r="BR57" i="25"/>
  <c r="BV57" i="25" s="1"/>
  <c r="BX57" i="25" s="1"/>
  <c r="BE57" i="25"/>
  <c r="BK57" i="25" s="1"/>
  <c r="BE181" i="25"/>
  <c r="BR181" i="25"/>
  <c r="BX181" i="25" s="1"/>
  <c r="W302" i="29"/>
  <c r="AG302" i="29"/>
  <c r="X521" i="29"/>
  <c r="Y521" i="29" s="1"/>
  <c r="AH521" i="29"/>
  <c r="AG345" i="29"/>
  <c r="W345" i="29"/>
  <c r="AH63" i="29"/>
  <c r="X63" i="29"/>
  <c r="Y63" i="29" s="1"/>
  <c r="X595" i="29"/>
  <c r="Y595" i="29" s="1"/>
  <c r="AH595" i="29"/>
  <c r="BE16" i="25"/>
  <c r="BK16" i="25" s="1"/>
  <c r="BR16" i="25"/>
  <c r="BV16" i="25" s="1"/>
  <c r="BX16" i="25" s="1"/>
  <c r="BY272" i="24"/>
  <c r="CA272" i="24" s="1"/>
  <c r="BM272" i="24"/>
  <c r="BN272" i="24" s="1"/>
  <c r="BY246" i="25"/>
  <c r="CA246" i="25" s="1"/>
  <c r="CB246" i="25" s="1"/>
  <c r="BL246" i="25"/>
  <c r="BK246" i="25"/>
  <c r="BE137" i="25"/>
  <c r="BR137" i="25"/>
  <c r="BX137" i="25" s="1"/>
  <c r="BY69" i="24"/>
  <c r="CA69" i="24" s="1"/>
  <c r="CB69" i="24" s="1"/>
  <c r="BN69" i="24"/>
  <c r="BR45" i="25"/>
  <c r="BV45" i="25" s="1"/>
  <c r="BX45" i="25" s="1"/>
  <c r="BE45" i="25"/>
  <c r="BK45" i="25" s="1"/>
  <c r="BN46" i="24"/>
  <c r="BY46" i="24"/>
  <c r="CA46" i="24" s="1"/>
  <c r="CB46" i="24" s="1"/>
  <c r="BR38" i="25"/>
  <c r="BV38" i="25" s="1"/>
  <c r="BX38" i="25" s="1"/>
  <c r="BE38" i="25"/>
  <c r="BK38" i="25" s="1"/>
  <c r="AH253" i="29"/>
  <c r="X253" i="29"/>
  <c r="Y253" i="29" s="1"/>
  <c r="AG292" i="29"/>
  <c r="W292" i="29"/>
  <c r="X117" i="29"/>
  <c r="Y117" i="29" s="1"/>
  <c r="AH117" i="29"/>
  <c r="W396" i="29"/>
  <c r="AG396" i="29"/>
  <c r="X564" i="29"/>
  <c r="Y564" i="29" s="1"/>
  <c r="AH564" i="29"/>
  <c r="X433" i="29"/>
  <c r="Y433" i="29" s="1"/>
  <c r="AH433" i="29"/>
  <c r="X610" i="29"/>
  <c r="Y610" i="29" s="1"/>
  <c r="AH610" i="29"/>
  <c r="AH349" i="29"/>
  <c r="X349" i="29"/>
  <c r="Y349" i="29" s="1"/>
  <c r="AH305" i="29"/>
  <c r="X305" i="29"/>
  <c r="Y305" i="29" s="1"/>
  <c r="W411" i="29"/>
  <c r="AG411" i="29"/>
  <c r="W503" i="29"/>
  <c r="AG503" i="29"/>
  <c r="AH232" i="29"/>
  <c r="X232" i="29"/>
  <c r="Y232" i="29" s="1"/>
  <c r="AG512" i="29"/>
  <c r="W512" i="29"/>
  <c r="X390" i="29"/>
  <c r="Y390" i="29" s="1"/>
  <c r="AH390" i="29"/>
  <c r="AG54" i="29"/>
  <c r="W54" i="29"/>
  <c r="BY314" i="24"/>
  <c r="CA314" i="24" s="1"/>
  <c r="CB314" i="24" s="1"/>
  <c r="BM314" i="24"/>
  <c r="BN314" i="24" s="1"/>
  <c r="BY49" i="24"/>
  <c r="CA49" i="24" s="1"/>
  <c r="CB49" i="24" s="1"/>
  <c r="BN49" i="24"/>
  <c r="BE24" i="25"/>
  <c r="BK24" i="25" s="1"/>
  <c r="BR24" i="25"/>
  <c r="BV24" i="25" s="1"/>
  <c r="BX24" i="25" s="1"/>
  <c r="BY201" i="24"/>
  <c r="CA201" i="24" s="1"/>
  <c r="BM201" i="24"/>
  <c r="BN201" i="24" s="1"/>
  <c r="BE268" i="25"/>
  <c r="BR268" i="25"/>
  <c r="BX268" i="25" s="1"/>
  <c r="BE126" i="25"/>
  <c r="BR126" i="25"/>
  <c r="BX126" i="25" s="1"/>
  <c r="BE163" i="25"/>
  <c r="BR163" i="25"/>
  <c r="BX163" i="25" s="1"/>
  <c r="BY171" i="24"/>
  <c r="CA171" i="24" s="1"/>
  <c r="CB171" i="24" s="1"/>
  <c r="BM171" i="24"/>
  <c r="BN171" i="24" s="1"/>
  <c r="BE197" i="25"/>
  <c r="BR197" i="25"/>
  <c r="BX197" i="25" s="1"/>
  <c r="BY32" i="25"/>
  <c r="CA32" i="25" s="1"/>
  <c r="CB32" i="25" s="1"/>
  <c r="BL32" i="25"/>
  <c r="AH37" i="29"/>
  <c r="X37" i="29"/>
  <c r="Y37" i="29" s="1"/>
  <c r="W155" i="29"/>
  <c r="AG155" i="29"/>
  <c r="AG486" i="29"/>
  <c r="W486" i="29"/>
  <c r="AH515" i="29"/>
  <c r="X515" i="29"/>
  <c r="Y515" i="29" s="1"/>
  <c r="AH92" i="29"/>
  <c r="X92" i="29"/>
  <c r="Y92" i="29" s="1"/>
  <c r="W331" i="29"/>
  <c r="AG331" i="29"/>
  <c r="AG321" i="29"/>
  <c r="W321" i="29"/>
  <c r="W300" i="29"/>
  <c r="AG300" i="29"/>
  <c r="AH45" i="29"/>
  <c r="X45" i="29"/>
  <c r="Y45" i="29" s="1"/>
  <c r="AH502" i="29"/>
  <c r="X502" i="29"/>
  <c r="Y502" i="29" s="1"/>
  <c r="AG283" i="29"/>
  <c r="W283" i="29"/>
  <c r="W131" i="29"/>
  <c r="AG131" i="29"/>
  <c r="AH464" i="29"/>
  <c r="X464" i="29"/>
  <c r="Y464" i="29" s="1"/>
  <c r="W110" i="29"/>
  <c r="AG110" i="29"/>
  <c r="BY36" i="24"/>
  <c r="CA36" i="24" s="1"/>
  <c r="CB36" i="24" s="1"/>
  <c r="BN36" i="24"/>
  <c r="BY174" i="24"/>
  <c r="CA174" i="24" s="1"/>
  <c r="CB174" i="24" s="1"/>
  <c r="BM174" i="24"/>
  <c r="BN174" i="24" s="1"/>
  <c r="BL82" i="25"/>
  <c r="BY82" i="25"/>
  <c r="CA82" i="25" s="1"/>
  <c r="BY314" i="25"/>
  <c r="CA314" i="25" s="1"/>
  <c r="CB314" i="25" s="1"/>
  <c r="BL314" i="25"/>
  <c r="BK314" i="25"/>
  <c r="BY275" i="24"/>
  <c r="CA275" i="24" s="1"/>
  <c r="CB275" i="24" s="1"/>
  <c r="BM275" i="24"/>
  <c r="BN275" i="24" s="1"/>
  <c r="BR75" i="25"/>
  <c r="BV75" i="25" s="1"/>
  <c r="BX75" i="25" s="1"/>
  <c r="BE75" i="25"/>
  <c r="BK75" i="25" s="1"/>
  <c r="BR12" i="25"/>
  <c r="BV12" i="25" s="1"/>
  <c r="BX12" i="25" s="1"/>
  <c r="BE12" i="25"/>
  <c r="BK12" i="25" s="1"/>
  <c r="BY118" i="24"/>
  <c r="CA118" i="24" s="1"/>
  <c r="BM118" i="24"/>
  <c r="BN118" i="24" s="1"/>
  <c r="BL296" i="25"/>
  <c r="BY296" i="25"/>
  <c r="CA296" i="25" s="1"/>
  <c r="CB296" i="25" s="1"/>
  <c r="BK296" i="25"/>
  <c r="BY310" i="24"/>
  <c r="CA310" i="24" s="1"/>
  <c r="BM310" i="24"/>
  <c r="BN310" i="24" s="1"/>
  <c r="BY140" i="24"/>
  <c r="CA140" i="24" s="1"/>
  <c r="CB140" i="24" s="1"/>
  <c r="BM140" i="24"/>
  <c r="BN140" i="24" s="1"/>
  <c r="BY92" i="25"/>
  <c r="CA92" i="25" s="1"/>
  <c r="BL92" i="25"/>
  <c r="X348" i="29"/>
  <c r="Y348" i="29" s="1"/>
  <c r="AH348" i="29"/>
  <c r="AH58" i="29"/>
  <c r="X58" i="29"/>
  <c r="Y58" i="29" s="1"/>
  <c r="X32" i="29"/>
  <c r="Y32" i="29" s="1"/>
  <c r="AH32" i="29"/>
  <c r="AH13" i="29"/>
  <c r="X13" i="29"/>
  <c r="Y13" i="29" s="1"/>
  <c r="X97" i="29"/>
  <c r="Y97" i="29" s="1"/>
  <c r="AH97" i="29"/>
  <c r="AH452" i="29"/>
  <c r="X452" i="29"/>
  <c r="Y452" i="29" s="1"/>
  <c r="BL275" i="25"/>
  <c r="BY275" i="25"/>
  <c r="CA275" i="25" s="1"/>
  <c r="CB275" i="25" s="1"/>
  <c r="BK275" i="25"/>
  <c r="BN94" i="24"/>
  <c r="BY94" i="24"/>
  <c r="CA94" i="24" s="1"/>
  <c r="CB94" i="24" s="1"/>
  <c r="BY125" i="24"/>
  <c r="CA125" i="24" s="1"/>
  <c r="CB125" i="24" s="1"/>
  <c r="BM125" i="24"/>
  <c r="BN125" i="24" s="1"/>
  <c r="BY196" i="24"/>
  <c r="CA196" i="24" s="1"/>
  <c r="CB196" i="24" s="1"/>
  <c r="BM196" i="24"/>
  <c r="BN196" i="24" s="1"/>
  <c r="BY43" i="24"/>
  <c r="CA43" i="24" s="1"/>
  <c r="CB43" i="24" s="1"/>
  <c r="BN43" i="24"/>
  <c r="BY133" i="24"/>
  <c r="CA133" i="24" s="1"/>
  <c r="CB133" i="24" s="1"/>
  <c r="BM133" i="24"/>
  <c r="BN133" i="24" s="1"/>
  <c r="BR66" i="25"/>
  <c r="BV66" i="25" s="1"/>
  <c r="BX66" i="25" s="1"/>
  <c r="BE66" i="25"/>
  <c r="BK66" i="25" s="1"/>
  <c r="BY313" i="24"/>
  <c r="CA313" i="24" s="1"/>
  <c r="CB313" i="24" s="1"/>
  <c r="BM313" i="24"/>
  <c r="BN313" i="24" s="1"/>
  <c r="BY83" i="24"/>
  <c r="CA83" i="24" s="1"/>
  <c r="CB83" i="24" s="1"/>
  <c r="BN83" i="24"/>
  <c r="AH325" i="29"/>
  <c r="X325" i="29"/>
  <c r="Y325" i="29" s="1"/>
  <c r="W469" i="29"/>
  <c r="AG469" i="29"/>
  <c r="AH444" i="29"/>
  <c r="X444" i="29"/>
  <c r="Y444" i="29" s="1"/>
  <c r="AH542" i="29"/>
  <c r="X542" i="29"/>
  <c r="Y542" i="29" s="1"/>
  <c r="AG554" i="29"/>
  <c r="W554" i="29"/>
  <c r="AG34" i="29"/>
  <c r="W34" i="29"/>
  <c r="W491" i="29"/>
  <c r="AG491" i="29"/>
  <c r="AG61" i="29"/>
  <c r="W61" i="29"/>
  <c r="AG317" i="29"/>
  <c r="W317" i="29"/>
  <c r="AG211" i="29"/>
  <c r="W211" i="29"/>
  <c r="AG548" i="29"/>
  <c r="W548" i="29"/>
  <c r="AG385" i="29"/>
  <c r="W385" i="29"/>
  <c r="W352" i="29"/>
  <c r="AG352" i="29"/>
  <c r="AG224" i="29"/>
  <c r="W224" i="29"/>
  <c r="AH541" i="29"/>
  <c r="X541" i="29"/>
  <c r="Y541" i="29" s="1"/>
  <c r="AH254" i="29"/>
  <c r="X254" i="29"/>
  <c r="Y254" i="29" s="1"/>
  <c r="AH105" i="29"/>
  <c r="X105" i="29"/>
  <c r="Y105" i="29" s="1"/>
  <c r="BY291" i="24"/>
  <c r="CA291" i="24" s="1"/>
  <c r="BM291" i="24"/>
  <c r="BN291" i="24" s="1"/>
  <c r="BE121" i="25"/>
  <c r="BR121" i="25"/>
  <c r="BX121" i="25" s="1"/>
  <c r="BN98" i="24"/>
  <c r="BY98" i="24"/>
  <c r="CA98" i="24" s="1"/>
  <c r="BE36" i="25"/>
  <c r="BK36" i="25" s="1"/>
  <c r="BR36" i="25"/>
  <c r="BV36" i="25" s="1"/>
  <c r="BX36" i="25" s="1"/>
  <c r="BE223" i="25"/>
  <c r="BR223" i="25"/>
  <c r="BX223" i="25" s="1"/>
  <c r="BN75" i="24"/>
  <c r="BY75" i="24"/>
  <c r="CA75" i="24" s="1"/>
  <c r="CB75" i="24" s="1"/>
  <c r="BE136" i="25"/>
  <c r="BR136" i="25"/>
  <c r="BX136" i="25" s="1"/>
  <c r="AG169" i="29"/>
  <c r="W169" i="29"/>
  <c r="W167" i="29"/>
  <c r="AG167" i="29"/>
  <c r="W537" i="29"/>
  <c r="AG537" i="29"/>
  <c r="X297" i="29"/>
  <c r="Y297" i="29" s="1"/>
  <c r="AH297" i="29"/>
  <c r="X75" i="29"/>
  <c r="Y75" i="29" s="1"/>
  <c r="AH75" i="29"/>
  <c r="AH504" i="29"/>
  <c r="X504" i="29"/>
  <c r="Y504" i="29" s="1"/>
  <c r="W552" i="29"/>
  <c r="AG552" i="29"/>
  <c r="AH172" i="29"/>
  <c r="X172" i="29"/>
  <c r="Y172" i="29" s="1"/>
  <c r="X534" i="29"/>
  <c r="Y534" i="29" s="1"/>
  <c r="AH534" i="29"/>
  <c r="AH429" i="29"/>
  <c r="X429" i="29"/>
  <c r="Y429" i="29" s="1"/>
  <c r="X240" i="29"/>
  <c r="Y240" i="29" s="1"/>
  <c r="AH240" i="29"/>
  <c r="W354" i="29"/>
  <c r="AG354" i="29"/>
  <c r="AH132" i="29"/>
  <c r="X132" i="29"/>
  <c r="Y132" i="29" s="1"/>
  <c r="AG22" i="29"/>
  <c r="W22" i="29"/>
  <c r="AH73" i="29"/>
  <c r="X73" i="29"/>
  <c r="Y73" i="29" s="1"/>
  <c r="BL232" i="25"/>
  <c r="BY232" i="25"/>
  <c r="CA232" i="25" s="1"/>
  <c r="CB232" i="25" s="1"/>
  <c r="BK232" i="25"/>
  <c r="BR18" i="25"/>
  <c r="BV18" i="25" s="1"/>
  <c r="BX18" i="25" s="1"/>
  <c r="BE18" i="25"/>
  <c r="BK18" i="25" s="1"/>
  <c r="BL94" i="25"/>
  <c r="BY94" i="25"/>
  <c r="CA94" i="25" s="1"/>
  <c r="CB94" i="25" s="1"/>
  <c r="BY156" i="24"/>
  <c r="CA156" i="24" s="1"/>
  <c r="BM156" i="24"/>
  <c r="BN156" i="24" s="1"/>
  <c r="BY226" i="24"/>
  <c r="CA226" i="24" s="1"/>
  <c r="CB226" i="24" s="1"/>
  <c r="BM226" i="24"/>
  <c r="BN226" i="24" s="1"/>
  <c r="W581" i="29"/>
  <c r="AG581" i="29"/>
  <c r="AH70" i="29"/>
  <c r="X70" i="29"/>
  <c r="Y70" i="29" s="1"/>
  <c r="X109" i="29"/>
  <c r="Y109" i="29" s="1"/>
  <c r="AH109" i="29"/>
  <c r="W340" i="29"/>
  <c r="AG340" i="29"/>
  <c r="AG358" i="29"/>
  <c r="W358" i="29"/>
  <c r="BE242" i="25"/>
  <c r="BR242" i="25"/>
  <c r="BX242" i="25" s="1"/>
  <c r="BY87" i="25"/>
  <c r="CA87" i="25" s="1"/>
  <c r="CB87" i="25" s="1"/>
  <c r="BL87" i="25"/>
  <c r="BY178" i="25"/>
  <c r="CA178" i="25" s="1"/>
  <c r="CB178" i="25" s="1"/>
  <c r="BL178" i="25"/>
  <c r="BK178" i="25"/>
  <c r="BY169" i="24"/>
  <c r="CA169" i="24" s="1"/>
  <c r="CB169" i="24" s="1"/>
  <c r="BM169" i="24"/>
  <c r="BN169" i="24" s="1"/>
  <c r="BY316" i="24"/>
  <c r="CA316" i="24" s="1"/>
  <c r="BM316" i="24"/>
  <c r="BY250" i="24"/>
  <c r="CA250" i="24" s="1"/>
  <c r="CB250" i="24" s="1"/>
  <c r="BM250" i="24"/>
  <c r="BN250" i="24" s="1"/>
  <c r="W600" i="29"/>
  <c r="AG600" i="29"/>
  <c r="AH353" i="29"/>
  <c r="X353" i="29"/>
  <c r="Y353" i="29" s="1"/>
  <c r="AH566" i="29"/>
  <c r="X566" i="29"/>
  <c r="Y566" i="29" s="1"/>
  <c r="W299" i="29"/>
  <c r="AG299" i="29"/>
  <c r="W359" i="29"/>
  <c r="AG359" i="29"/>
  <c r="W282" i="29"/>
  <c r="AG282" i="29"/>
  <c r="AG102" i="29"/>
  <c r="W102" i="29"/>
  <c r="AG203" i="29"/>
  <c r="W203" i="29"/>
  <c r="W604" i="29"/>
  <c r="AG604" i="29"/>
  <c r="X488" i="29"/>
  <c r="Y488" i="29" s="1"/>
  <c r="AH488" i="29"/>
  <c r="AH547" i="29"/>
  <c r="X547" i="29"/>
  <c r="Y547" i="29" s="1"/>
  <c r="W399" i="29"/>
  <c r="AG399" i="29"/>
  <c r="X520" i="29"/>
  <c r="Y520" i="29" s="1"/>
  <c r="AH520" i="29"/>
  <c r="W243" i="29"/>
  <c r="AG243" i="29"/>
  <c r="W136" i="29"/>
  <c r="AG136" i="29"/>
  <c r="BR119" i="25"/>
  <c r="BX119" i="25" s="1"/>
  <c r="BE119" i="25"/>
  <c r="BR196" i="25"/>
  <c r="BX196" i="25" s="1"/>
  <c r="BE196" i="25"/>
  <c r="BY205" i="24"/>
  <c r="CA205" i="24" s="1"/>
  <c r="BM205" i="24"/>
  <c r="BN205" i="24" s="1"/>
  <c r="BR56" i="25"/>
  <c r="BV56" i="25" s="1"/>
  <c r="BX56" i="25" s="1"/>
  <c r="BE56" i="25"/>
  <c r="BK56" i="25" s="1"/>
  <c r="BE144" i="25"/>
  <c r="BR144" i="25"/>
  <c r="BX144" i="25" s="1"/>
  <c r="BN105" i="24"/>
  <c r="BY105" i="24"/>
  <c r="CA105" i="24" s="1"/>
  <c r="BY185" i="24"/>
  <c r="CA185" i="24" s="1"/>
  <c r="BM185" i="24"/>
  <c r="BN185" i="24" s="1"/>
  <c r="BE287" i="25"/>
  <c r="BR287" i="25"/>
  <c r="BX287" i="25" s="1"/>
  <c r="BN53" i="24"/>
  <c r="BY53" i="24"/>
  <c r="CA53" i="24" s="1"/>
  <c r="CB53" i="24" s="1"/>
  <c r="AH245" i="29"/>
  <c r="X245" i="29"/>
  <c r="Y245" i="29" s="1"/>
  <c r="AH381" i="29"/>
  <c r="X381" i="29"/>
  <c r="Y381" i="29" s="1"/>
  <c r="AG521" i="29"/>
  <c r="W521" i="29"/>
  <c r="X576" i="29"/>
  <c r="Y576" i="29" s="1"/>
  <c r="AH576" i="29"/>
  <c r="AG388" i="29"/>
  <c r="W388" i="29"/>
  <c r="X219" i="29"/>
  <c r="Y219" i="29" s="1"/>
  <c r="AH219" i="29"/>
  <c r="X100" i="29"/>
  <c r="Y100" i="29" s="1"/>
  <c r="AH100" i="29"/>
  <c r="AG368" i="29"/>
  <c r="W368" i="29"/>
  <c r="X389" i="29"/>
  <c r="Y389" i="29" s="1"/>
  <c r="AH389" i="29"/>
  <c r="AG63" i="29"/>
  <c r="W63" i="29"/>
  <c r="AG190" i="29"/>
  <c r="W190" i="29"/>
  <c r="AH540" i="29"/>
  <c r="X540" i="29"/>
  <c r="Y540" i="29" s="1"/>
  <c r="X280" i="29"/>
  <c r="Y280" i="29" s="1"/>
  <c r="AH280" i="29"/>
  <c r="AG212" i="29"/>
  <c r="W212" i="29"/>
  <c r="W168" i="29"/>
  <c r="AG168" i="29"/>
  <c r="W141" i="29"/>
  <c r="AG141" i="29"/>
  <c r="BY284" i="24"/>
  <c r="CA284" i="24" s="1"/>
  <c r="BM284" i="24"/>
  <c r="BN284" i="24" s="1"/>
  <c r="BR70" i="25"/>
  <c r="BV70" i="25" s="1"/>
  <c r="BX70" i="25" s="1"/>
  <c r="BE70" i="25"/>
  <c r="BK70" i="25" s="1"/>
  <c r="BY71" i="24"/>
  <c r="CA71" i="24" s="1"/>
  <c r="CB71" i="24" s="1"/>
  <c r="BN71" i="24"/>
  <c r="BE303" i="25"/>
  <c r="BR303" i="25"/>
  <c r="BX303" i="25" s="1"/>
  <c r="AH357" i="29"/>
  <c r="X357" i="29"/>
  <c r="Y357" i="29" s="1"/>
  <c r="W342" i="29"/>
  <c r="AG342" i="29"/>
  <c r="AH556" i="29"/>
  <c r="X556" i="29"/>
  <c r="Y556" i="29" s="1"/>
  <c r="BE195" i="25"/>
  <c r="BR195" i="25"/>
  <c r="BX195" i="25" s="1"/>
  <c r="BE301" i="25"/>
  <c r="BR301" i="25"/>
  <c r="BX301" i="25" s="1"/>
  <c r="BN39" i="24"/>
  <c r="BY39" i="24"/>
  <c r="CA39" i="24" s="1"/>
  <c r="CB39" i="24" s="1"/>
  <c r="BY17" i="24"/>
  <c r="CA17" i="24" s="1"/>
  <c r="CB17" i="24" s="1"/>
  <c r="BN17" i="24"/>
  <c r="BR19" i="25"/>
  <c r="BV19" i="25" s="1"/>
  <c r="BX19" i="25" s="1"/>
  <c r="BE19" i="25"/>
  <c r="BK19" i="25" s="1"/>
  <c r="BE27" i="25"/>
  <c r="BK27" i="25" s="1"/>
  <c r="BR27" i="25"/>
  <c r="BV27" i="25" s="1"/>
  <c r="BX27" i="25" s="1"/>
  <c r="BE220" i="25"/>
  <c r="BR220" i="25"/>
  <c r="BX220" i="25" s="1"/>
  <c r="BN62" i="24"/>
  <c r="BY62" i="24"/>
  <c r="CA62" i="24" s="1"/>
  <c r="X26" i="29"/>
  <c r="Y26" i="29" s="1"/>
  <c r="AH26" i="29"/>
  <c r="AG596" i="29"/>
  <c r="W596" i="29"/>
  <c r="AH231" i="29"/>
  <c r="X231" i="29"/>
  <c r="Y231" i="29" s="1"/>
  <c r="AH120" i="29"/>
  <c r="X120" i="29"/>
  <c r="Y120" i="29" s="1"/>
  <c r="BY96" i="24"/>
  <c r="CA96" i="24" s="1"/>
  <c r="CB96" i="24" s="1"/>
  <c r="BN96" i="24"/>
  <c r="BL229" i="25"/>
  <c r="BY229" i="25"/>
  <c r="CA229" i="25" s="1"/>
  <c r="CB229" i="25" s="1"/>
  <c r="BK229" i="25"/>
  <c r="BE141" i="25"/>
  <c r="BR141" i="25"/>
  <c r="BX141" i="25" s="1"/>
  <c r="BE22" i="25"/>
  <c r="BK22" i="25" s="1"/>
  <c r="BR22" i="25"/>
  <c r="BV22" i="25" s="1"/>
  <c r="BX22" i="25" s="1"/>
  <c r="BR202" i="25"/>
  <c r="BX202" i="25" s="1"/>
  <c r="BE202" i="25"/>
  <c r="BY230" i="24"/>
  <c r="CA230" i="24" s="1"/>
  <c r="BM230" i="24"/>
  <c r="BN230" i="24" s="1"/>
  <c r="BY246" i="24"/>
  <c r="CA246" i="24" s="1"/>
  <c r="CB246" i="24" s="1"/>
  <c r="BM246" i="24"/>
  <c r="BN246" i="24" s="1"/>
  <c r="BY180" i="24"/>
  <c r="CA180" i="24" s="1"/>
  <c r="BM180" i="24"/>
  <c r="BN180" i="24" s="1"/>
  <c r="BN87" i="24"/>
  <c r="BY87" i="24"/>
  <c r="CA87" i="24" s="1"/>
  <c r="BY113" i="24"/>
  <c r="CA113" i="24" s="1"/>
  <c r="CB113" i="24" s="1"/>
  <c r="BM113" i="24"/>
  <c r="BN113" i="24" s="1"/>
  <c r="BR26" i="25"/>
  <c r="BV26" i="25" s="1"/>
  <c r="BX26" i="25" s="1"/>
  <c r="BE26" i="25"/>
  <c r="BK26" i="25" s="1"/>
  <c r="BN40" i="24"/>
  <c r="BY40" i="24"/>
  <c r="CA40" i="24" s="1"/>
  <c r="CB40" i="24" s="1"/>
  <c r="BN91" i="24"/>
  <c r="BY91" i="24"/>
  <c r="CA91" i="24" s="1"/>
  <c r="CB91" i="24" s="1"/>
  <c r="V585" i="29"/>
  <c r="U585" i="29"/>
  <c r="AH149" i="29"/>
  <c r="X149" i="29"/>
  <c r="Y149" i="29" s="1"/>
  <c r="AH119" i="29"/>
  <c r="X119" i="29"/>
  <c r="Y119" i="29" s="1"/>
  <c r="AG58" i="29"/>
  <c r="W58" i="29"/>
  <c r="W42" i="29"/>
  <c r="AG42" i="29"/>
  <c r="X31" i="29"/>
  <c r="Y31" i="29" s="1"/>
  <c r="AH31" i="29"/>
  <c r="AH574" i="29"/>
  <c r="X574" i="29"/>
  <c r="Y574" i="29" s="1"/>
  <c r="AG304" i="29"/>
  <c r="W304" i="29"/>
  <c r="X255" i="29"/>
  <c r="Y255" i="29" s="1"/>
  <c r="AH255" i="29"/>
  <c r="AG271" i="29"/>
  <c r="W271" i="29"/>
  <c r="AG592" i="29"/>
  <c r="W592" i="29"/>
  <c r="W215" i="29"/>
  <c r="AG215" i="29"/>
  <c r="X375" i="29"/>
  <c r="Y375" i="29" s="1"/>
  <c r="AH375" i="29"/>
  <c r="W539" i="29"/>
  <c r="AG539" i="29"/>
  <c r="AH310" i="29"/>
  <c r="X310" i="29"/>
  <c r="Y310" i="29" s="1"/>
  <c r="AG97" i="29"/>
  <c r="W97" i="29"/>
  <c r="W452" i="29"/>
  <c r="AG452" i="29"/>
  <c r="BY114" i="25"/>
  <c r="CA114" i="25" s="1"/>
  <c r="CB114" i="25" s="1"/>
  <c r="BL114" i="25"/>
  <c r="BK114" i="25"/>
  <c r="BE290" i="25"/>
  <c r="BR290" i="25"/>
  <c r="BX290" i="25" s="1"/>
  <c r="BY21" i="25"/>
  <c r="CA21" i="25" s="1"/>
  <c r="BL21" i="25"/>
  <c r="BY93" i="24"/>
  <c r="CA93" i="24" s="1"/>
  <c r="CB93" i="24" s="1"/>
  <c r="BN93" i="24"/>
  <c r="BY25" i="24"/>
  <c r="CA25" i="24" s="1"/>
  <c r="CB25" i="24" s="1"/>
  <c r="BN25" i="24"/>
  <c r="BY199" i="25"/>
  <c r="CA199" i="25" s="1"/>
  <c r="BL199" i="25"/>
  <c r="BK199" i="25"/>
  <c r="X88" i="29"/>
  <c r="Y88" i="29" s="1"/>
  <c r="AH88" i="29"/>
  <c r="X571" i="29"/>
  <c r="Y571" i="29" s="1"/>
  <c r="AH571" i="29"/>
  <c r="AG405" i="29"/>
  <c r="W405" i="29"/>
  <c r="W395" i="29"/>
  <c r="AG395" i="29"/>
  <c r="BY146" i="24"/>
  <c r="CA146" i="24" s="1"/>
  <c r="CB146" i="24" s="1"/>
  <c r="BM146" i="24"/>
  <c r="BN146" i="24" s="1"/>
  <c r="BE117" i="25"/>
  <c r="BR117" i="25"/>
  <c r="BX117" i="25" s="1"/>
  <c r="BN31" i="24"/>
  <c r="BY31" i="24"/>
  <c r="CA31" i="24" s="1"/>
  <c r="CB31" i="24" s="1"/>
  <c r="BE270" i="25"/>
  <c r="BR270" i="25"/>
  <c r="BX270" i="25" s="1"/>
  <c r="BY14" i="24"/>
  <c r="CA14" i="24" s="1"/>
  <c r="BN14" i="24"/>
  <c r="BE124" i="25"/>
  <c r="BR124" i="25"/>
  <c r="BX124" i="25" s="1"/>
  <c r="BR48" i="25"/>
  <c r="BV48" i="25" s="1"/>
  <c r="BX48" i="25" s="1"/>
  <c r="BE48" i="25"/>
  <c r="BK48" i="25" s="1"/>
  <c r="AH195" i="29"/>
  <c r="X195" i="29"/>
  <c r="Y195" i="29" s="1"/>
  <c r="AH124" i="29"/>
  <c r="X124" i="29"/>
  <c r="Y124" i="29" s="1"/>
  <c r="BR185" i="25"/>
  <c r="BX185" i="25" s="1"/>
  <c r="BE185" i="25"/>
  <c r="BE233" i="25"/>
  <c r="BR233" i="25"/>
  <c r="BX233" i="25" s="1"/>
  <c r="BY64" i="24"/>
  <c r="CA64" i="24" s="1"/>
  <c r="CB64" i="24" s="1"/>
  <c r="BN64" i="24"/>
  <c r="BE221" i="25"/>
  <c r="BR221" i="25"/>
  <c r="BX221" i="25" s="1"/>
  <c r="BY229" i="24"/>
  <c r="CA229" i="24" s="1"/>
  <c r="CB229" i="24" s="1"/>
  <c r="BM229" i="24"/>
  <c r="BN229" i="24" s="1"/>
  <c r="BY290" i="24"/>
  <c r="CA290" i="24" s="1"/>
  <c r="CB290" i="24" s="1"/>
  <c r="BM290" i="24"/>
  <c r="BN290" i="24" s="1"/>
  <c r="BR72" i="25"/>
  <c r="BV72" i="25" s="1"/>
  <c r="BX72" i="25" s="1"/>
  <c r="BE72" i="25"/>
  <c r="BK72" i="25" s="1"/>
  <c r="BE277" i="25"/>
  <c r="BR277" i="25"/>
  <c r="BX277" i="25" s="1"/>
  <c r="B154" i="2"/>
  <c r="B160" i="2"/>
  <c r="E32" i="1" s="1"/>
  <c r="BR43" i="25"/>
  <c r="BV43" i="25" s="1"/>
  <c r="BX43" i="25" s="1"/>
  <c r="BE43" i="25"/>
  <c r="BK43" i="25" s="1"/>
  <c r="BR81" i="25"/>
  <c r="BV81" i="25" s="1"/>
  <c r="BX81" i="25" s="1"/>
  <c r="BE81" i="25"/>
  <c r="BK81" i="25" s="1"/>
  <c r="BE138" i="25"/>
  <c r="BR138" i="25"/>
  <c r="BX138" i="25" s="1"/>
  <c r="X38" i="29"/>
  <c r="Y38" i="29" s="1"/>
  <c r="AH38" i="29"/>
  <c r="W435" i="29"/>
  <c r="AG435" i="29"/>
  <c r="AH199" i="29"/>
  <c r="X199" i="29"/>
  <c r="Y199" i="29" s="1"/>
  <c r="AH527" i="29"/>
  <c r="X527" i="29"/>
  <c r="Y527" i="29" s="1"/>
  <c r="AG83" i="29"/>
  <c r="W83" i="29"/>
  <c r="X122" i="29"/>
  <c r="Y122" i="29" s="1"/>
  <c r="AH122" i="29"/>
  <c r="AH194" i="29"/>
  <c r="X194" i="29"/>
  <c r="Y194" i="29" s="1"/>
  <c r="AH23" i="29"/>
  <c r="X23" i="29"/>
  <c r="Y23" i="29" s="1"/>
  <c r="X312" i="29"/>
  <c r="Y312" i="29" s="1"/>
  <c r="AH312" i="29"/>
  <c r="AG467" i="29"/>
  <c r="W467" i="29"/>
  <c r="AG188" i="29"/>
  <c r="W188" i="29"/>
  <c r="AH314" i="29"/>
  <c r="X314" i="29"/>
  <c r="Y314" i="29" s="1"/>
  <c r="W567" i="29"/>
  <c r="AG567" i="29"/>
  <c r="X492" i="29"/>
  <c r="Y492" i="29" s="1"/>
  <c r="AH492" i="29"/>
  <c r="BY141" i="24"/>
  <c r="CA141" i="24" s="1"/>
  <c r="CB141" i="24" s="1"/>
  <c r="BM141" i="24"/>
  <c r="BN141" i="24" s="1"/>
  <c r="BE297" i="25"/>
  <c r="BR297" i="25"/>
  <c r="BX297" i="25" s="1"/>
  <c r="BR65" i="25"/>
  <c r="BV65" i="25" s="1"/>
  <c r="BX65" i="25" s="1"/>
  <c r="BE65" i="25"/>
  <c r="BK65" i="25" s="1"/>
  <c r="BY252" i="24"/>
  <c r="CA252" i="24" s="1"/>
  <c r="CB252" i="24" s="1"/>
  <c r="BM252" i="24"/>
  <c r="BN252" i="24" s="1"/>
  <c r="X50" i="29"/>
  <c r="Y50" i="29" s="1"/>
  <c r="AH50" i="29"/>
  <c r="AH177" i="29"/>
  <c r="X177" i="29"/>
  <c r="Y177" i="29" s="1"/>
  <c r="W378" i="29"/>
  <c r="AG378" i="29"/>
  <c r="AH112" i="29"/>
  <c r="X112" i="29"/>
  <c r="Y112" i="29" s="1"/>
  <c r="BY280" i="25"/>
  <c r="CA280" i="25" s="1"/>
  <c r="CB280" i="25" s="1"/>
  <c r="BL280" i="25"/>
  <c r="BK280" i="25"/>
  <c r="BY261" i="24"/>
  <c r="CA261" i="24" s="1"/>
  <c r="CB261" i="24" s="1"/>
  <c r="BM261" i="24"/>
  <c r="BN261" i="24" s="1"/>
  <c r="BY149" i="24"/>
  <c r="CA149" i="24" s="1"/>
  <c r="CB149" i="24" s="1"/>
  <c r="BM149" i="24"/>
  <c r="BN149" i="24" s="1"/>
  <c r="BR125" i="25"/>
  <c r="BX125" i="25" s="1"/>
  <c r="BE125" i="25"/>
  <c r="BE105" i="25"/>
  <c r="BK105" i="25" s="1"/>
  <c r="BR105" i="25"/>
  <c r="BV105" i="25" s="1"/>
  <c r="BX105" i="25" s="1"/>
  <c r="BL265" i="25"/>
  <c r="BK265" i="25"/>
  <c r="BE91" i="25"/>
  <c r="BK91" i="25" s="1"/>
  <c r="BR91" i="25"/>
  <c r="BV91" i="25" s="1"/>
  <c r="BX91" i="25" s="1"/>
  <c r="BY182" i="24"/>
  <c r="CA182" i="24" s="1"/>
  <c r="BM182" i="24"/>
  <c r="BN182" i="24" s="1"/>
  <c r="AH544" i="29"/>
  <c r="X544" i="29"/>
  <c r="Y544" i="29" s="1"/>
  <c r="X89" i="29"/>
  <c r="Y89" i="29" s="1"/>
  <c r="AH89" i="29"/>
  <c r="AG442" i="29"/>
  <c r="W442" i="29"/>
  <c r="AH608" i="29"/>
  <c r="X608" i="29"/>
  <c r="Y608" i="29" s="1"/>
  <c r="BL179" i="25"/>
  <c r="BY179" i="25"/>
  <c r="CA179" i="25" s="1"/>
  <c r="BK179" i="25"/>
  <c r="BY244" i="24"/>
  <c r="CA244" i="24" s="1"/>
  <c r="CB244" i="24" s="1"/>
  <c r="BM244" i="24"/>
  <c r="BN244" i="24" s="1"/>
  <c r="BE254" i="25"/>
  <c r="BR254" i="25"/>
  <c r="BX254" i="25" s="1"/>
  <c r="BL305" i="25"/>
  <c r="BY305" i="25"/>
  <c r="CA305" i="25" s="1"/>
  <c r="CB305" i="25" s="1"/>
  <c r="BK305" i="25"/>
  <c r="BY302" i="24"/>
  <c r="CA302" i="24" s="1"/>
  <c r="CB302" i="24" s="1"/>
  <c r="BM302" i="24"/>
  <c r="BN302" i="24" s="1"/>
  <c r="BN82" i="24"/>
  <c r="BY82" i="24"/>
  <c r="CA82" i="24" s="1"/>
  <c r="CB82" i="24" s="1"/>
  <c r="BY203" i="24"/>
  <c r="CA203" i="24" s="1"/>
  <c r="BM203" i="24"/>
  <c r="BN203" i="24" s="1"/>
  <c r="BL13" i="25"/>
  <c r="BY13" i="25"/>
  <c r="CA13" i="25" s="1"/>
  <c r="CB13" i="25" s="1"/>
  <c r="BY104" i="24"/>
  <c r="CA104" i="24" s="1"/>
  <c r="BN104" i="24"/>
  <c r="BY129" i="24"/>
  <c r="CA129" i="24" s="1"/>
  <c r="CB129" i="24" s="1"/>
  <c r="BM129" i="24"/>
  <c r="BN129" i="24" s="1"/>
  <c r="BE272" i="25"/>
  <c r="BR272" i="25"/>
  <c r="BX272" i="25" s="1"/>
  <c r="BY157" i="24"/>
  <c r="CA157" i="24" s="1"/>
  <c r="BM157" i="24"/>
  <c r="BN157" i="24" s="1"/>
  <c r="AG337" i="29"/>
  <c r="W337" i="29"/>
  <c r="AH163" i="29"/>
  <c r="X163" i="29"/>
  <c r="Y163" i="29" s="1"/>
  <c r="AG43" i="29"/>
  <c r="W43" i="29"/>
  <c r="AG288" i="29"/>
  <c r="W288" i="29"/>
  <c r="W59" i="29"/>
  <c r="AG59" i="29"/>
  <c r="X144" i="29"/>
  <c r="Y144" i="29" s="1"/>
  <c r="AH144" i="29"/>
  <c r="W259" i="29"/>
  <c r="AG259" i="29"/>
  <c r="W466" i="29"/>
  <c r="AG466" i="29"/>
  <c r="AH192" i="29"/>
  <c r="X192" i="29"/>
  <c r="Y192" i="29" s="1"/>
  <c r="AG472" i="29"/>
  <c r="W472" i="29"/>
  <c r="AH242" i="29"/>
  <c r="X242" i="29"/>
  <c r="Y242" i="29" s="1"/>
  <c r="W129" i="29"/>
  <c r="AG129" i="29"/>
  <c r="W445" i="29"/>
  <c r="AG445" i="29"/>
  <c r="AH493" i="29"/>
  <c r="X493" i="29"/>
  <c r="Y493" i="29" s="1"/>
  <c r="AH500" i="29"/>
  <c r="X500" i="29"/>
  <c r="Y500" i="29" s="1"/>
  <c r="BY163" i="24"/>
  <c r="CA163" i="24" s="1"/>
  <c r="BM163" i="24"/>
  <c r="BN163" i="24" s="1"/>
  <c r="BL238" i="25"/>
  <c r="BY238" i="25"/>
  <c r="CA238" i="25" s="1"/>
  <c r="CB238" i="25" s="1"/>
  <c r="BK238" i="25"/>
  <c r="BY197" i="24"/>
  <c r="CA197" i="24" s="1"/>
  <c r="CB197" i="24" s="1"/>
  <c r="BM197" i="24"/>
  <c r="BN197" i="24" s="1"/>
  <c r="BL154" i="25"/>
  <c r="BK154" i="25"/>
  <c r="BY73" i="24"/>
  <c r="CA73" i="24" s="1"/>
  <c r="BN73" i="24"/>
  <c r="BY192" i="24"/>
  <c r="CA192" i="24" s="1"/>
  <c r="CB192" i="24" s="1"/>
  <c r="BM192" i="24"/>
  <c r="BN192" i="24" s="1"/>
  <c r="BE50" i="25"/>
  <c r="BK50" i="25" s="1"/>
  <c r="BR50" i="25"/>
  <c r="BV50" i="25" s="1"/>
  <c r="BX50" i="25" s="1"/>
  <c r="X373" i="29"/>
  <c r="Y373" i="29" s="1"/>
  <c r="AH373" i="29"/>
  <c r="X324" i="29"/>
  <c r="Y324" i="29" s="1"/>
  <c r="AH324" i="29"/>
  <c r="X315" i="29"/>
  <c r="Y315" i="29" s="1"/>
  <c r="AH315" i="29"/>
  <c r="X130" i="29"/>
  <c r="Y130" i="29" s="1"/>
  <c r="AH130" i="29"/>
  <c r="W363" i="29"/>
  <c r="AG363" i="29"/>
  <c r="AH213" i="29"/>
  <c r="X213" i="29"/>
  <c r="Y213" i="29" s="1"/>
  <c r="W364" i="29"/>
  <c r="AG364" i="29"/>
  <c r="AG372" i="29"/>
  <c r="W372" i="29"/>
  <c r="AH246" i="29"/>
  <c r="X246" i="29"/>
  <c r="Y246" i="29" s="1"/>
  <c r="X111" i="29"/>
  <c r="Y111" i="29" s="1"/>
  <c r="AH111" i="29"/>
  <c r="W558" i="29"/>
  <c r="AG558" i="29"/>
  <c r="X279" i="29"/>
  <c r="Y279" i="29" s="1"/>
  <c r="AH279" i="29"/>
  <c r="W275" i="29"/>
  <c r="AG275" i="29"/>
  <c r="AG236" i="29"/>
  <c r="W236" i="29"/>
  <c r="W231" i="29"/>
  <c r="AG231" i="29"/>
  <c r="BE103" i="25"/>
  <c r="BK103" i="25" s="1"/>
  <c r="BR103" i="25"/>
  <c r="BV103" i="25" s="1"/>
  <c r="BX103" i="25" s="1"/>
  <c r="BE162" i="25"/>
  <c r="BR162" i="25"/>
  <c r="BX162" i="25" s="1"/>
  <c r="BE253" i="25"/>
  <c r="BR253" i="25"/>
  <c r="BX253" i="25" s="1"/>
  <c r="BY23" i="24"/>
  <c r="CA23" i="24" s="1"/>
  <c r="BN23" i="24"/>
  <c r="BL174" i="25"/>
  <c r="BY174" i="25"/>
  <c r="CA174" i="25" s="1"/>
  <c r="BK174" i="25"/>
  <c r="BY126" i="24"/>
  <c r="CA126" i="24" s="1"/>
  <c r="BM126" i="24"/>
  <c r="BN126" i="24" s="1"/>
  <c r="BR41" i="25"/>
  <c r="BV41" i="25" s="1"/>
  <c r="BX41" i="25" s="1"/>
  <c r="BE41" i="25"/>
  <c r="BK41" i="25" s="1"/>
  <c r="BY158" i="24"/>
  <c r="CA158" i="24" s="1"/>
  <c r="CB158" i="24" s="1"/>
  <c r="BM158" i="24"/>
  <c r="BN158" i="24" s="1"/>
  <c r="BY282" i="25"/>
  <c r="CA282" i="25" s="1"/>
  <c r="CB282" i="25" s="1"/>
  <c r="BL282" i="25"/>
  <c r="BK282" i="25"/>
  <c r="AH336" i="29"/>
  <c r="X336" i="29"/>
  <c r="Y336" i="29" s="1"/>
  <c r="X145" i="29"/>
  <c r="Y145" i="29" s="1"/>
  <c r="AH145" i="29"/>
  <c r="AG471" i="29"/>
  <c r="W471" i="29"/>
  <c r="W599" i="29"/>
  <c r="AG599" i="29"/>
  <c r="AH530" i="29"/>
  <c r="X530" i="29"/>
  <c r="Y530" i="29" s="1"/>
  <c r="W36" i="29"/>
  <c r="AG36" i="29"/>
  <c r="BY220" i="24"/>
  <c r="CA220" i="24" s="1"/>
  <c r="CB220" i="24" s="1"/>
  <c r="BM220" i="24"/>
  <c r="BN220" i="24" s="1"/>
  <c r="BE153" i="25"/>
  <c r="BR153" i="25"/>
  <c r="BX153" i="25" s="1"/>
  <c r="BE146" i="25"/>
  <c r="BR146" i="25"/>
  <c r="BX146" i="25" s="1"/>
  <c r="BY34" i="25"/>
  <c r="CA34" i="25" s="1"/>
  <c r="CB34" i="25" s="1"/>
  <c r="BL34" i="25"/>
  <c r="BR84" i="25"/>
  <c r="BV84" i="25" s="1"/>
  <c r="BX84" i="25" s="1"/>
  <c r="BE84" i="25"/>
  <c r="BK84" i="25" s="1"/>
  <c r="CB27" i="24" l="1"/>
  <c r="CF27" i="24"/>
  <c r="CB230" i="24"/>
  <c r="CF230" i="24"/>
  <c r="CB124" i="24"/>
  <c r="CF124" i="24"/>
  <c r="CB281" i="24"/>
  <c r="CF281" i="24"/>
  <c r="CB84" i="24"/>
  <c r="CF84" i="24"/>
  <c r="CB175" i="24"/>
  <c r="CF175" i="24"/>
  <c r="L110" i="2"/>
  <c r="W584" i="29"/>
  <c r="AJ583" i="29" s="1"/>
  <c r="AK583" i="29" s="1"/>
  <c r="CB54" i="24"/>
  <c r="CF54" i="24"/>
  <c r="CB256" i="24"/>
  <c r="CF256" i="24"/>
  <c r="CB150" i="24"/>
  <c r="CF150" i="24"/>
  <c r="AG576" i="29"/>
  <c r="W380" i="29"/>
  <c r="AJ380" i="29" s="1"/>
  <c r="AK380" i="29" s="1"/>
  <c r="AH591" i="29"/>
  <c r="AG483" i="29"/>
  <c r="W163" i="29"/>
  <c r="AA163" i="29" s="1"/>
  <c r="CB113" i="25"/>
  <c r="CF113" i="25"/>
  <c r="CB118" i="24"/>
  <c r="CF118" i="24"/>
  <c r="X551" i="29"/>
  <c r="Y551" i="29" s="1"/>
  <c r="X371" i="29"/>
  <c r="Y371" i="29" s="1"/>
  <c r="CB30" i="25"/>
  <c r="CF30" i="25"/>
  <c r="W225" i="29"/>
  <c r="AJ224" i="29" s="1"/>
  <c r="AK224" i="29" s="1"/>
  <c r="CB238" i="24"/>
  <c r="CF238" i="24"/>
  <c r="CB21" i="25"/>
  <c r="CF21" i="25"/>
  <c r="CB127" i="24"/>
  <c r="CF127" i="24"/>
  <c r="CB23" i="24"/>
  <c r="CF23" i="24"/>
  <c r="CB30" i="24"/>
  <c r="CF30" i="24"/>
  <c r="BY265" i="25"/>
  <c r="CA265" i="25" s="1"/>
  <c r="CB265" i="25" s="1"/>
  <c r="X536" i="29"/>
  <c r="Y536" i="29" s="1"/>
  <c r="CB232" i="24"/>
  <c r="CF232" i="24"/>
  <c r="CB126" i="24"/>
  <c r="CF126" i="24"/>
  <c r="AH485" i="29"/>
  <c r="CB78" i="24"/>
  <c r="CF78" i="24"/>
  <c r="AH159" i="29"/>
  <c r="CB62" i="24"/>
  <c r="CF62" i="24"/>
  <c r="AH445" i="29"/>
  <c r="CB243" i="24"/>
  <c r="CF243" i="24"/>
  <c r="CB61" i="24"/>
  <c r="CF61" i="24"/>
  <c r="CB137" i="24"/>
  <c r="CF137" i="24"/>
  <c r="CB117" i="24"/>
  <c r="CF117" i="24"/>
  <c r="CB225" i="24"/>
  <c r="CF225" i="24"/>
  <c r="CB14" i="24"/>
  <c r="CF14" i="24"/>
  <c r="CB14" i="25"/>
  <c r="CF14" i="25"/>
  <c r="CB312" i="24"/>
  <c r="CF312" i="24"/>
  <c r="CB206" i="24"/>
  <c r="CF206" i="24"/>
  <c r="CB66" i="24"/>
  <c r="CF66" i="24"/>
  <c r="CB6" i="24"/>
  <c r="CF6" i="24"/>
  <c r="CB217" i="24"/>
  <c r="CF217" i="24"/>
  <c r="CB6" i="25"/>
  <c r="CF6" i="25"/>
  <c r="X393" i="29"/>
  <c r="Y393" i="29" s="1"/>
  <c r="X478" i="29"/>
  <c r="Y478" i="29" s="1"/>
  <c r="X74" i="29"/>
  <c r="Y74" i="29" s="1"/>
  <c r="X66" i="29"/>
  <c r="Y66" i="29" s="1"/>
  <c r="AH374" i="29"/>
  <c r="AH304" i="29"/>
  <c r="W566" i="29"/>
  <c r="AJ565" i="29" s="1"/>
  <c r="AK565" i="29" s="1"/>
  <c r="AH271" i="29"/>
  <c r="AG148" i="29"/>
  <c r="W223" i="29"/>
  <c r="AA223" i="29" s="1"/>
  <c r="X106" i="29"/>
  <c r="Y106" i="29" s="1"/>
  <c r="AG24" i="29"/>
  <c r="X59" i="29"/>
  <c r="Y59" i="29" s="1"/>
  <c r="X602" i="29"/>
  <c r="Y602" i="29" s="1"/>
  <c r="X212" i="29"/>
  <c r="Y212" i="29" s="1"/>
  <c r="X181" i="29"/>
  <c r="Y181" i="29" s="1"/>
  <c r="W261" i="29"/>
  <c r="AA261" i="29" s="1"/>
  <c r="X206" i="29"/>
  <c r="Y206" i="29" s="1"/>
  <c r="W137" i="29"/>
  <c r="AJ137" i="29" s="1"/>
  <c r="AK137" i="29" s="1"/>
  <c r="AG279" i="29"/>
  <c r="AG248" i="29"/>
  <c r="W113" i="29"/>
  <c r="AJ112" i="29" s="1"/>
  <c r="AK112" i="29" s="1"/>
  <c r="W253" i="29"/>
  <c r="AA253" i="29" s="1"/>
  <c r="AG64" i="29"/>
  <c r="X337" i="29"/>
  <c r="Y337" i="29" s="1"/>
  <c r="CB262" i="24"/>
  <c r="CF262" i="24"/>
  <c r="CB87" i="24"/>
  <c r="CF87" i="24"/>
  <c r="CB156" i="24"/>
  <c r="CF156" i="24"/>
  <c r="AG606" i="29"/>
  <c r="CB269" i="24"/>
  <c r="CF269" i="24"/>
  <c r="CB163" i="24"/>
  <c r="CF163" i="24"/>
  <c r="AH46" i="29"/>
  <c r="X363" i="29"/>
  <c r="Y363" i="29" s="1"/>
  <c r="AG85" i="29"/>
  <c r="W19" i="29"/>
  <c r="AJ18" i="29" s="1"/>
  <c r="AK18" i="29" s="1"/>
  <c r="CB271" i="24"/>
  <c r="CF271" i="24"/>
  <c r="CB165" i="24"/>
  <c r="CF165" i="24"/>
  <c r="AH71" i="29"/>
  <c r="CB96" i="25"/>
  <c r="CF96" i="25"/>
  <c r="CB305" i="24"/>
  <c r="CF305" i="24"/>
  <c r="CB199" i="24"/>
  <c r="CF199" i="24"/>
  <c r="CB97" i="24"/>
  <c r="CF97" i="24"/>
  <c r="CB206" i="25"/>
  <c r="CF206" i="25"/>
  <c r="AG338" i="29"/>
  <c r="W108" i="29"/>
  <c r="AA108" i="29" s="1"/>
  <c r="CB161" i="24"/>
  <c r="CF161" i="24"/>
  <c r="CB267" i="24"/>
  <c r="CF267" i="24"/>
  <c r="CB73" i="24"/>
  <c r="CF73" i="24"/>
  <c r="CB147" i="25"/>
  <c r="CF147" i="25"/>
  <c r="CB56" i="24"/>
  <c r="CF56" i="24"/>
  <c r="CB151" i="24"/>
  <c r="CF151" i="24"/>
  <c r="CB177" i="25"/>
  <c r="CF177" i="25"/>
  <c r="CB316" i="24"/>
  <c r="CF316" i="24"/>
  <c r="CB210" i="24"/>
  <c r="CF210" i="24"/>
  <c r="CB198" i="25"/>
  <c r="CF198" i="25"/>
  <c r="CB173" i="25"/>
  <c r="CF173" i="25"/>
  <c r="CB192" i="25"/>
  <c r="CF192" i="25"/>
  <c r="CB182" i="24"/>
  <c r="CF182" i="24"/>
  <c r="CB288" i="24"/>
  <c r="CF288" i="24"/>
  <c r="CB80" i="24"/>
  <c r="CF80" i="24"/>
  <c r="CB208" i="24"/>
  <c r="CF208" i="24"/>
  <c r="CB174" i="25"/>
  <c r="CF174" i="25"/>
  <c r="CB193" i="24"/>
  <c r="CF193" i="24"/>
  <c r="CB299" i="24"/>
  <c r="CF299" i="24"/>
  <c r="CB88" i="24"/>
  <c r="CF88" i="24"/>
  <c r="CB89" i="25"/>
  <c r="CF89" i="25"/>
  <c r="CB104" i="24"/>
  <c r="CF104" i="24"/>
  <c r="CB308" i="24"/>
  <c r="CF308" i="24"/>
  <c r="CB202" i="24"/>
  <c r="CF202" i="24"/>
  <c r="CB204" i="25"/>
  <c r="CF204" i="25"/>
  <c r="CB297" i="24"/>
  <c r="CF297" i="24"/>
  <c r="CB82" i="25"/>
  <c r="CF82" i="25"/>
  <c r="CB180" i="24"/>
  <c r="CF180" i="24"/>
  <c r="CB286" i="24"/>
  <c r="CF286" i="24"/>
  <c r="CB81" i="24"/>
  <c r="CF81" i="24"/>
  <c r="AH604" i="29"/>
  <c r="CB204" i="24"/>
  <c r="CF204" i="24"/>
  <c r="CB310" i="24"/>
  <c r="CF310" i="24"/>
  <c r="CB190" i="25"/>
  <c r="CF190" i="25"/>
  <c r="CB98" i="24"/>
  <c r="CF98" i="24"/>
  <c r="CB306" i="24"/>
  <c r="CF306" i="24"/>
  <c r="CB200" i="24"/>
  <c r="CF200" i="24"/>
  <c r="CB179" i="25"/>
  <c r="CF179" i="25"/>
  <c r="W562" i="29"/>
  <c r="AJ562" i="29" s="1"/>
  <c r="AK562" i="29" s="1"/>
  <c r="CB203" i="24"/>
  <c r="CF203" i="24"/>
  <c r="CB309" i="24"/>
  <c r="CF309" i="24"/>
  <c r="CB307" i="24"/>
  <c r="CF307" i="24"/>
  <c r="CB201" i="24"/>
  <c r="CF201" i="24"/>
  <c r="CB103" i="24"/>
  <c r="CF103" i="24"/>
  <c r="AG266" i="29"/>
  <c r="CB62" i="25"/>
  <c r="CF62" i="25"/>
  <c r="CB71" i="25"/>
  <c r="CF71" i="25"/>
  <c r="W603" i="29"/>
  <c r="AJ602" i="29" s="1"/>
  <c r="AK602" i="29" s="1"/>
  <c r="CB104" i="25"/>
  <c r="CF104" i="25"/>
  <c r="AG511" i="29"/>
  <c r="AH203" i="29"/>
  <c r="W49" i="29"/>
  <c r="AJ48" i="29" s="1"/>
  <c r="AK48" i="29" s="1"/>
  <c r="AH543" i="29"/>
  <c r="AH477" i="29"/>
  <c r="W322" i="29"/>
  <c r="AJ322" i="29" s="1"/>
  <c r="AK322" i="29" s="1"/>
  <c r="X309" i="29"/>
  <c r="Y309" i="29" s="1"/>
  <c r="AG475" i="29"/>
  <c r="AG417" i="29"/>
  <c r="X384" i="29"/>
  <c r="Y384" i="29" s="1"/>
  <c r="AH34" i="29"/>
  <c r="W153" i="29"/>
  <c r="AJ152" i="29" s="1"/>
  <c r="AK152" i="29" s="1"/>
  <c r="X578" i="29"/>
  <c r="Y578" i="29" s="1"/>
  <c r="AH339" i="29"/>
  <c r="X220" i="29"/>
  <c r="Y220" i="29" s="1"/>
  <c r="AH577" i="29"/>
  <c r="AH466" i="29"/>
  <c r="AH22" i="29"/>
  <c r="X79" i="29"/>
  <c r="Y79" i="29" s="1"/>
  <c r="AG144" i="29"/>
  <c r="W198" i="29"/>
  <c r="AJ197" i="29" s="1"/>
  <c r="AK197" i="29" s="1"/>
  <c r="W166" i="29"/>
  <c r="AJ166" i="29" s="1"/>
  <c r="AK166" i="29" s="1"/>
  <c r="AG284" i="29"/>
  <c r="AG332" i="29"/>
  <c r="AH516" i="29"/>
  <c r="BY154" i="25"/>
  <c r="CA154" i="25" s="1"/>
  <c r="CB154" i="25" s="1"/>
  <c r="AH93" i="29"/>
  <c r="W343" i="29"/>
  <c r="AJ343" i="29" s="1"/>
  <c r="AK343" i="29" s="1"/>
  <c r="CB311" i="24"/>
  <c r="CF311" i="24"/>
  <c r="CB205" i="24"/>
  <c r="CF205" i="24"/>
  <c r="AG379" i="29"/>
  <c r="X408" i="29"/>
  <c r="Y408" i="29" s="1"/>
  <c r="AH589" i="29"/>
  <c r="CB189" i="25"/>
  <c r="CF189" i="25"/>
  <c r="CB199" i="25"/>
  <c r="CF199" i="25"/>
  <c r="AH168" i="29"/>
  <c r="X217" i="29"/>
  <c r="Y217" i="29" s="1"/>
  <c r="AG608" i="29"/>
  <c r="CB186" i="25"/>
  <c r="CF186" i="25"/>
  <c r="CB201" i="25"/>
  <c r="CF201" i="25"/>
  <c r="AG611" i="29"/>
  <c r="AG186" i="29"/>
  <c r="W207" i="29"/>
  <c r="AA207" i="29" s="1"/>
  <c r="W98" i="29"/>
  <c r="AJ97" i="29" s="1"/>
  <c r="AK97" i="29" s="1"/>
  <c r="W109" i="29"/>
  <c r="AJ109" i="29" s="1"/>
  <c r="AK109" i="29" s="1"/>
  <c r="AG252" i="29"/>
  <c r="X391" i="29"/>
  <c r="Y391" i="29" s="1"/>
  <c r="AG123" i="29"/>
  <c r="W493" i="29"/>
  <c r="AA493" i="29" s="1"/>
  <c r="AH205" i="29"/>
  <c r="X553" i="29"/>
  <c r="Y553" i="29" s="1"/>
  <c r="W557" i="29"/>
  <c r="AJ557" i="29" s="1"/>
  <c r="AK557" i="29" s="1"/>
  <c r="W571" i="29"/>
  <c r="AJ570" i="29" s="1"/>
  <c r="AK570" i="29" s="1"/>
  <c r="X241" i="29"/>
  <c r="Y241" i="29" s="1"/>
  <c r="X501" i="29"/>
  <c r="Y501" i="29" s="1"/>
  <c r="W89" i="29"/>
  <c r="AA89" i="29" s="1"/>
  <c r="AG349" i="29"/>
  <c r="W507" i="29"/>
  <c r="AJ506" i="29" s="1"/>
  <c r="AK506" i="29" s="1"/>
  <c r="AG488" i="29"/>
  <c r="X596" i="29"/>
  <c r="Y596" i="29" s="1"/>
  <c r="AH229" i="29"/>
  <c r="AG105" i="29"/>
  <c r="AH359" i="29"/>
  <c r="W115" i="29"/>
  <c r="AJ114" i="29" s="1"/>
  <c r="AH161" i="29"/>
  <c r="CB105" i="24"/>
  <c r="CF105" i="24"/>
  <c r="CB161" i="25"/>
  <c r="CF161" i="25"/>
  <c r="CB186" i="24"/>
  <c r="CF186" i="24"/>
  <c r="X367" i="29"/>
  <c r="Y367" i="29" s="1"/>
  <c r="W70" i="29"/>
  <c r="AA70" i="29" s="1"/>
  <c r="X340" i="29"/>
  <c r="Y340" i="29" s="1"/>
  <c r="X415" i="29"/>
  <c r="Y415" i="29" s="1"/>
  <c r="X370" i="29"/>
  <c r="Y370" i="29" s="1"/>
  <c r="W107" i="29"/>
  <c r="AJ106" i="29" s="1"/>
  <c r="W357" i="29"/>
  <c r="AJ357" i="29" s="1"/>
  <c r="AK357" i="29" s="1"/>
  <c r="AG204" i="29"/>
  <c r="X54" i="29"/>
  <c r="Y54" i="29" s="1"/>
  <c r="X582" i="29"/>
  <c r="Y582" i="29" s="1"/>
  <c r="X276" i="29"/>
  <c r="Y276" i="29" s="1"/>
  <c r="X151" i="29"/>
  <c r="Y151" i="29" s="1"/>
  <c r="AG365" i="29"/>
  <c r="W291" i="29"/>
  <c r="AJ290" i="29" s="1"/>
  <c r="AK290" i="29" s="1"/>
  <c r="W185" i="29"/>
  <c r="AJ185" i="29" s="1"/>
  <c r="AK185" i="29" s="1"/>
  <c r="AG560" i="29"/>
  <c r="W234" i="29"/>
  <c r="AA234" i="29" s="1"/>
  <c r="W326" i="29"/>
  <c r="AJ325" i="29" s="1"/>
  <c r="AK325" i="29" s="1"/>
  <c r="X457" i="29"/>
  <c r="Y457" i="29" s="1"/>
  <c r="X257" i="29"/>
  <c r="Y257" i="29" s="1"/>
  <c r="W122" i="29"/>
  <c r="AJ121" i="29" s="1"/>
  <c r="AK121" i="29" s="1"/>
  <c r="AG294" i="29"/>
  <c r="W598" i="29"/>
  <c r="AJ598" i="29" s="1"/>
  <c r="AK598" i="29" s="1"/>
  <c r="AH302" i="29"/>
  <c r="AG362" i="29"/>
  <c r="X580" i="29"/>
  <c r="Y580" i="29" s="1"/>
  <c r="X184" i="29"/>
  <c r="Y184" i="29" s="1"/>
  <c r="AG532" i="29"/>
  <c r="X613" i="29"/>
  <c r="Y613" i="29" s="1"/>
  <c r="X327" i="29"/>
  <c r="Y327" i="29" s="1"/>
  <c r="X80" i="29"/>
  <c r="Y80" i="29" s="1"/>
  <c r="AG45" i="29"/>
  <c r="AH400" i="29"/>
  <c r="AH470" i="29"/>
  <c r="AH17" i="29"/>
  <c r="AH81" i="29"/>
  <c r="W330" i="29"/>
  <c r="AA330" i="29" s="1"/>
  <c r="AG325" i="29"/>
  <c r="W13" i="29"/>
  <c r="AA13" i="29" s="1"/>
  <c r="AG111" i="29"/>
  <c r="W373" i="29"/>
  <c r="AJ372" i="29" s="1"/>
  <c r="AK372" i="29" s="1"/>
  <c r="AG192" i="29"/>
  <c r="W547" i="29"/>
  <c r="AJ546" i="29" s="1"/>
  <c r="AK546" i="29" s="1"/>
  <c r="X292" i="29"/>
  <c r="Y292" i="29" s="1"/>
  <c r="W147" i="29"/>
  <c r="AA147" i="29" s="1"/>
  <c r="AH214" i="29"/>
  <c r="AH333" i="29"/>
  <c r="X512" i="29"/>
  <c r="Y512" i="29" s="1"/>
  <c r="W433" i="29"/>
  <c r="AA433" i="29" s="1"/>
  <c r="W498" i="29"/>
  <c r="AA498" i="29" s="1"/>
  <c r="AG609" i="29"/>
  <c r="AH358" i="29"/>
  <c r="X42" i="29"/>
  <c r="Y42" i="29" s="1"/>
  <c r="W429" i="29"/>
  <c r="AA429" i="29" s="1"/>
  <c r="X169" i="29"/>
  <c r="Y169" i="29" s="1"/>
  <c r="X317" i="29"/>
  <c r="Y317" i="29" s="1"/>
  <c r="X331" i="29"/>
  <c r="Y331" i="29" s="1"/>
  <c r="AH612" i="29"/>
  <c r="AH256" i="29"/>
  <c r="AH127" i="29"/>
  <c r="W465" i="29"/>
  <c r="AJ464" i="29" s="1"/>
  <c r="AK464" i="29" s="1"/>
  <c r="X342" i="29"/>
  <c r="Y342" i="29" s="1"/>
  <c r="X334" i="29"/>
  <c r="Y334" i="29" s="1"/>
  <c r="X57" i="29"/>
  <c r="Y57" i="29" s="1"/>
  <c r="AH558" i="29"/>
  <c r="AG38" i="29"/>
  <c r="X141" i="29"/>
  <c r="Y141" i="29" s="1"/>
  <c r="X48" i="29"/>
  <c r="Y48" i="29" s="1"/>
  <c r="X505" i="29"/>
  <c r="Y505" i="29" s="1"/>
  <c r="X233" i="29"/>
  <c r="Y233" i="29" s="1"/>
  <c r="W348" i="29"/>
  <c r="AA348" i="29" s="1"/>
  <c r="X471" i="29"/>
  <c r="Y471" i="29" s="1"/>
  <c r="AH397" i="29"/>
  <c r="X258" i="29"/>
  <c r="Y258" i="29" s="1"/>
  <c r="X293" i="29"/>
  <c r="Y293" i="29" s="1"/>
  <c r="AH605" i="29"/>
  <c r="W116" i="29"/>
  <c r="AH87" i="29"/>
  <c r="W351" i="29"/>
  <c r="AA351" i="29" s="1"/>
  <c r="AH175" i="29"/>
  <c r="AH572" i="29"/>
  <c r="AG230" i="29"/>
  <c r="X35" i="29"/>
  <c r="Y35" i="29" s="1"/>
  <c r="W526" i="29"/>
  <c r="AA526" i="29" s="1"/>
  <c r="W216" i="29"/>
  <c r="AA216" i="29" s="1"/>
  <c r="X377" i="29"/>
  <c r="Y377" i="29" s="1"/>
  <c r="W219" i="29"/>
  <c r="AJ219" i="29" s="1"/>
  <c r="AK219" i="29" s="1"/>
  <c r="W341" i="29"/>
  <c r="AJ341" i="29" s="1"/>
  <c r="AK341" i="29" s="1"/>
  <c r="W289" i="29"/>
  <c r="AJ288" i="29" s="1"/>
  <c r="AK288" i="29" s="1"/>
  <c r="W156" i="29"/>
  <c r="AJ155" i="29" s="1"/>
  <c r="AK155" i="29" s="1"/>
  <c r="W254" i="29"/>
  <c r="AJ254" i="29" s="1"/>
  <c r="AK254" i="29" s="1"/>
  <c r="AH597" i="29"/>
  <c r="AH235" i="29"/>
  <c r="AG513" i="29"/>
  <c r="W187" i="29"/>
  <c r="AA187" i="29" s="1"/>
  <c r="W52" i="29"/>
  <c r="AJ52" i="29" s="1"/>
  <c r="AK52" i="29" s="1"/>
  <c r="W529" i="29"/>
  <c r="AA529" i="29" s="1"/>
  <c r="W587" i="29"/>
  <c r="AA587" i="29" s="1"/>
  <c r="AG246" i="29"/>
  <c r="AG73" i="29"/>
  <c r="X586" i="29"/>
  <c r="Y586" i="29" s="1"/>
  <c r="AH473" i="29"/>
  <c r="AH20" i="29"/>
  <c r="X563" i="29"/>
  <c r="Y563" i="29" s="1"/>
  <c r="AH510" i="29"/>
  <c r="AG530" i="29"/>
  <c r="AG117" i="29"/>
  <c r="AH484" i="29"/>
  <c r="AG104" i="29"/>
  <c r="CB245" i="24"/>
  <c r="CF245" i="24"/>
  <c r="CB139" i="24"/>
  <c r="CF139" i="24"/>
  <c r="X299" i="29"/>
  <c r="Y299" i="29" s="1"/>
  <c r="AH171" i="29"/>
  <c r="AG165" i="29"/>
  <c r="W270" i="29"/>
  <c r="AJ269" i="29" s="1"/>
  <c r="AK269" i="29" s="1"/>
  <c r="AH136" i="29"/>
  <c r="AG390" i="29"/>
  <c r="AG594" i="29"/>
  <c r="W140" i="29"/>
  <c r="AJ140" i="29" s="1"/>
  <c r="AK140" i="29" s="1"/>
  <c r="AH320" i="29"/>
  <c r="X303" i="29"/>
  <c r="Y303" i="29" s="1"/>
  <c r="W347" i="29"/>
  <c r="AH454" i="29"/>
  <c r="W480" i="29"/>
  <c r="AJ479" i="29" s="1"/>
  <c r="AK479" i="29" s="1"/>
  <c r="W222" i="29"/>
  <c r="AA222" i="29" s="1"/>
  <c r="AG194" i="29"/>
  <c r="AG387" i="29"/>
  <c r="W463" i="29"/>
  <c r="AA463" i="29" s="1"/>
  <c r="AH361" i="29"/>
  <c r="X259" i="29"/>
  <c r="Y259" i="29" s="1"/>
  <c r="AG515" i="29"/>
  <c r="AG555" i="29"/>
  <c r="AH96" i="29"/>
  <c r="W25" i="29"/>
  <c r="AA25" i="29" s="1"/>
  <c r="X30" i="29"/>
  <c r="Y30" i="29" s="1"/>
  <c r="W84" i="29"/>
  <c r="AJ84" i="29" s="1"/>
  <c r="AK84" i="29" s="1"/>
  <c r="AG559" i="29"/>
  <c r="W41" i="29"/>
  <c r="AA41" i="29" s="1"/>
  <c r="W210" i="29"/>
  <c r="AA210" i="29" s="1"/>
  <c r="X535" i="29"/>
  <c r="Y535" i="29" s="1"/>
  <c r="W406" i="29"/>
  <c r="AJ406" i="29" s="1"/>
  <c r="AK406" i="29" s="1"/>
  <c r="W422" i="29"/>
  <c r="AA422" i="29" s="1"/>
  <c r="X53" i="29"/>
  <c r="Y53" i="29" s="1"/>
  <c r="AG50" i="29"/>
  <c r="X499" i="29"/>
  <c r="Y499" i="29" s="1"/>
  <c r="X40" i="29"/>
  <c r="Y40" i="29" s="1"/>
  <c r="AG460" i="29"/>
  <c r="W90" i="29"/>
  <c r="AA90" i="29" s="1"/>
  <c r="AH152" i="29"/>
  <c r="X503" i="29"/>
  <c r="Y503" i="29" s="1"/>
  <c r="AH355" i="29"/>
  <c r="W154" i="29"/>
  <c r="AJ154" i="29" s="1"/>
  <c r="AK154" i="29" s="1"/>
  <c r="AH468" i="29"/>
  <c r="AG324" i="29"/>
  <c r="W133" i="29"/>
  <c r="AJ133" i="29" s="1"/>
  <c r="AK133" i="29" s="1"/>
  <c r="AH190" i="29"/>
  <c r="AH295" i="29"/>
  <c r="X162" i="29"/>
  <c r="Y162" i="29" s="1"/>
  <c r="W610" i="29"/>
  <c r="AJ610" i="29" s="1"/>
  <c r="AK610" i="29" s="1"/>
  <c r="X306" i="29"/>
  <c r="Y306" i="29" s="1"/>
  <c r="AH138" i="29"/>
  <c r="AG88" i="29"/>
  <c r="X178" i="29"/>
  <c r="Y178" i="29" s="1"/>
  <c r="X414" i="29"/>
  <c r="Y414" i="29" s="1"/>
  <c r="AG180" i="29"/>
  <c r="X167" i="29"/>
  <c r="Y167" i="29" s="1"/>
  <c r="AG574" i="29"/>
  <c r="AG453" i="29"/>
  <c r="AH443" i="29"/>
  <c r="X402" i="29"/>
  <c r="Y402" i="29" s="1"/>
  <c r="X404" i="29"/>
  <c r="Y404" i="29" s="1"/>
  <c r="AH345" i="29"/>
  <c r="X43" i="29"/>
  <c r="Y43" i="29" s="1"/>
  <c r="X462" i="29"/>
  <c r="Y462" i="29" s="1"/>
  <c r="W448" i="29"/>
  <c r="AJ448" i="29" s="1"/>
  <c r="AK448" i="29" s="1"/>
  <c r="W439" i="29"/>
  <c r="AJ438" i="29" s="1"/>
  <c r="AK438" i="29" s="1"/>
  <c r="W164" i="29"/>
  <c r="AA164" i="29" s="1"/>
  <c r="AH385" i="29"/>
  <c r="X376" i="29"/>
  <c r="Y376" i="29" s="1"/>
  <c r="X274" i="29"/>
  <c r="Y274" i="29" s="1"/>
  <c r="AH236" i="29"/>
  <c r="AG139" i="29"/>
  <c r="AG100" i="29"/>
  <c r="W556" i="29"/>
  <c r="AA556" i="29" s="1"/>
  <c r="W130" i="29"/>
  <c r="AJ129" i="29" s="1"/>
  <c r="AK129" i="29" s="1"/>
  <c r="X497" i="29"/>
  <c r="Y497" i="29" s="1"/>
  <c r="X476" i="29"/>
  <c r="Y476" i="29" s="1"/>
  <c r="AG540" i="29"/>
  <c r="AH346" i="29"/>
  <c r="AH354" i="29"/>
  <c r="CB209" i="24"/>
  <c r="CF209" i="24"/>
  <c r="CB315" i="24"/>
  <c r="CF315" i="24"/>
  <c r="X368" i="29"/>
  <c r="Y368" i="29" s="1"/>
  <c r="X268" i="29"/>
  <c r="Y268" i="29" s="1"/>
  <c r="W401" i="29"/>
  <c r="AJ401" i="29" s="1"/>
  <c r="AK401" i="29" s="1"/>
  <c r="AG33" i="29"/>
  <c r="AG459" i="29"/>
  <c r="W336" i="29"/>
  <c r="AJ336" i="29" s="1"/>
  <c r="AK336" i="29" s="1"/>
  <c r="X554" i="29"/>
  <c r="Y554" i="29" s="1"/>
  <c r="AG86" i="29"/>
  <c r="AH224" i="29"/>
  <c r="X424" i="29"/>
  <c r="Y424" i="29" s="1"/>
  <c r="X101" i="29"/>
  <c r="Y101" i="29" s="1"/>
  <c r="X413" i="29"/>
  <c r="Y413" i="29" s="1"/>
  <c r="AG316" i="29"/>
  <c r="W218" i="29"/>
  <c r="AA218" i="29" s="1"/>
  <c r="X298" i="29"/>
  <c r="Y298" i="29" s="1"/>
  <c r="AH590" i="29"/>
  <c r="AH494" i="29"/>
  <c r="X308" i="29"/>
  <c r="Y308" i="29" s="1"/>
  <c r="X29" i="29"/>
  <c r="Y29" i="29" s="1"/>
  <c r="W170" i="29"/>
  <c r="AA170" i="29" s="1"/>
  <c r="AH486" i="29"/>
  <c r="W177" i="29"/>
  <c r="AA177" i="29" s="1"/>
  <c r="W514" i="29"/>
  <c r="AJ514" i="29" s="1"/>
  <c r="AK514" i="29" s="1"/>
  <c r="AH435" i="29"/>
  <c r="W242" i="29"/>
  <c r="AJ241" i="29" s="1"/>
  <c r="AK241" i="29" s="1"/>
  <c r="AH546" i="29"/>
  <c r="AH581" i="29"/>
  <c r="AH118" i="29"/>
  <c r="AH239" i="29"/>
  <c r="W474" i="29"/>
  <c r="AA474" i="29" s="1"/>
  <c r="X44" i="29"/>
  <c r="Y44" i="29" s="1"/>
  <c r="AH208" i="29"/>
  <c r="X567" i="29"/>
  <c r="Y567" i="29" s="1"/>
  <c r="AG286" i="29"/>
  <c r="X552" i="29"/>
  <c r="Y552" i="29" s="1"/>
  <c r="W502" i="29"/>
  <c r="AJ501" i="29" s="1"/>
  <c r="AK501" i="29" s="1"/>
  <c r="X428" i="29"/>
  <c r="Y428" i="29" s="1"/>
  <c r="X344" i="29"/>
  <c r="Y344" i="29" s="1"/>
  <c r="AH188" i="29"/>
  <c r="AH467" i="29"/>
  <c r="CB241" i="24"/>
  <c r="CF241" i="24"/>
  <c r="CB284" i="24"/>
  <c r="CF284" i="24"/>
  <c r="CB178" i="24"/>
  <c r="CF178" i="24"/>
  <c r="CB291" i="24"/>
  <c r="CF291" i="24"/>
  <c r="X451" i="29"/>
  <c r="Y451" i="29" s="1"/>
  <c r="CB185" i="24"/>
  <c r="CF185" i="24"/>
  <c r="X329" i="29"/>
  <c r="Y329" i="29" s="1"/>
  <c r="W522" i="29"/>
  <c r="AA522" i="29" s="1"/>
  <c r="AH321" i="29"/>
  <c r="AG565" i="29"/>
  <c r="AG319" i="29"/>
  <c r="W150" i="29"/>
  <c r="AJ150" i="29" s="1"/>
  <c r="AK150" i="29" s="1"/>
  <c r="AH267" i="29"/>
  <c r="AG120" i="29"/>
  <c r="W297" i="29"/>
  <c r="AJ297" i="29" s="1"/>
  <c r="AK297" i="29" s="1"/>
  <c r="W221" i="29"/>
  <c r="AA221" i="29" s="1"/>
  <c r="AG490" i="29"/>
  <c r="X114" i="29"/>
  <c r="Y114" i="29" s="1"/>
  <c r="W412" i="29"/>
  <c r="AJ412" i="29" s="1"/>
  <c r="AK412" i="29" s="1"/>
  <c r="X69" i="29"/>
  <c r="Y69" i="29" s="1"/>
  <c r="AG128" i="29"/>
  <c r="AH39" i="29"/>
  <c r="X479" i="29"/>
  <c r="Y479" i="29" s="1"/>
  <c r="X388" i="29"/>
  <c r="Y388" i="29" s="1"/>
  <c r="AG447" i="29"/>
  <c r="X418" i="29"/>
  <c r="Y418" i="29" s="1"/>
  <c r="X197" i="29"/>
  <c r="Y197" i="29" s="1"/>
  <c r="AG440" i="29"/>
  <c r="W350" i="29"/>
  <c r="W183" i="29"/>
  <c r="AA183" i="29" s="1"/>
  <c r="AG92" i="29"/>
  <c r="AH550" i="29"/>
  <c r="W142" i="29"/>
  <c r="AJ142" i="29" s="1"/>
  <c r="AK142" i="29" s="1"/>
  <c r="AG426" i="29"/>
  <c r="AG527" i="29"/>
  <c r="X364" i="29"/>
  <c r="Y364" i="29" s="1"/>
  <c r="AH28" i="29"/>
  <c r="AG201" i="29"/>
  <c r="X250" i="29"/>
  <c r="Y250" i="29" s="1"/>
  <c r="X272" i="29"/>
  <c r="Y272" i="29" s="1"/>
  <c r="W149" i="29"/>
  <c r="AG264" i="29"/>
  <c r="AG260" i="29"/>
  <c r="AG103" i="29"/>
  <c r="W588" i="29"/>
  <c r="AA588" i="29" s="1"/>
  <c r="AG32" i="29"/>
  <c r="X472" i="29"/>
  <c r="Y472" i="29" s="1"/>
  <c r="AH416" i="29"/>
  <c r="AG398" i="29"/>
  <c r="AH125" i="29"/>
  <c r="X461" i="29"/>
  <c r="Y461" i="29" s="1"/>
  <c r="X281" i="29"/>
  <c r="Y281" i="29" s="1"/>
  <c r="X423" i="29"/>
  <c r="Y423" i="29" s="1"/>
  <c r="X409" i="29"/>
  <c r="Y409" i="29" s="1"/>
  <c r="X548" i="29"/>
  <c r="Y548" i="29" s="1"/>
  <c r="X378" i="29"/>
  <c r="Y378" i="29" s="1"/>
  <c r="AG455" i="29"/>
  <c r="AG561" i="29"/>
  <c r="AH482" i="29"/>
  <c r="W356" i="29"/>
  <c r="AJ355" i="29" s="1"/>
  <c r="AK355" i="29" s="1"/>
  <c r="W410" i="29"/>
  <c r="AA410" i="29" s="1"/>
  <c r="W528" i="29"/>
  <c r="X395" i="29"/>
  <c r="Y395" i="29" s="1"/>
  <c r="AG119" i="29"/>
  <c r="AH76" i="29"/>
  <c r="X593" i="29"/>
  <c r="Y593" i="29" s="1"/>
  <c r="AH237" i="29"/>
  <c r="AH538" i="29"/>
  <c r="W383" i="29"/>
  <c r="AJ383" i="29" s="1"/>
  <c r="AK383" i="29" s="1"/>
  <c r="W312" i="29"/>
  <c r="AJ311" i="29" s="1"/>
  <c r="W251" i="29"/>
  <c r="AA251" i="29" s="1"/>
  <c r="AG489" i="29"/>
  <c r="AG366" i="29"/>
  <c r="AH438" i="29"/>
  <c r="AH403" i="29"/>
  <c r="AG112" i="29"/>
  <c r="AG277" i="29"/>
  <c r="W430" i="29"/>
  <c r="AA430" i="29" s="1"/>
  <c r="AG583" i="29"/>
  <c r="AG72" i="29"/>
  <c r="AG232" i="29"/>
  <c r="X575" i="29"/>
  <c r="Y575" i="29" s="1"/>
  <c r="AH135" i="29"/>
  <c r="AG520" i="29"/>
  <c r="W23" i="29"/>
  <c r="AA23" i="29" s="1"/>
  <c r="AH77" i="29"/>
  <c r="X273" i="29"/>
  <c r="Y273" i="29" s="1"/>
  <c r="W132" i="29"/>
  <c r="AA132" i="29" s="1"/>
  <c r="AG569" i="29"/>
  <c r="AH283" i="29"/>
  <c r="AH446" i="29"/>
  <c r="W434" i="29"/>
  <c r="AA434" i="29" s="1"/>
  <c r="X469" i="29"/>
  <c r="Y469" i="29" s="1"/>
  <c r="AH592" i="29"/>
  <c r="X262" i="29"/>
  <c r="Y262" i="29" s="1"/>
  <c r="X94" i="29"/>
  <c r="Y94" i="29" s="1"/>
  <c r="W301" i="29"/>
  <c r="AJ301" i="29" s="1"/>
  <c r="AK301" i="29" s="1"/>
  <c r="AH275" i="29"/>
  <c r="W240" i="29"/>
  <c r="AJ240" i="29" s="1"/>
  <c r="AK240" i="29" s="1"/>
  <c r="W432" i="29"/>
  <c r="AA432" i="29" s="1"/>
  <c r="AG146" i="29"/>
  <c r="AG157" i="29"/>
  <c r="AH65" i="29"/>
  <c r="AG449" i="29"/>
  <c r="X411" i="29"/>
  <c r="Y411" i="29" s="1"/>
  <c r="AG143" i="29"/>
  <c r="W199" i="29"/>
  <c r="AA199" i="29" s="1"/>
  <c r="W375" i="29"/>
  <c r="AJ375" i="29" s="1"/>
  <c r="AK375" i="29" s="1"/>
  <c r="AG524" i="29"/>
  <c r="AG202" i="29"/>
  <c r="AG145" i="29"/>
  <c r="X436" i="29"/>
  <c r="Y436" i="29" s="1"/>
  <c r="X129" i="29"/>
  <c r="Y129" i="29" s="1"/>
  <c r="AG290" i="29"/>
  <c r="W75" i="29"/>
  <c r="AJ75" i="29" s="1"/>
  <c r="AK75" i="29" s="1"/>
  <c r="AG523" i="29"/>
  <c r="W542" i="29"/>
  <c r="AA542" i="29" s="1"/>
  <c r="AH481" i="29"/>
  <c r="X307" i="29"/>
  <c r="Y307" i="29" s="1"/>
  <c r="AH407" i="29"/>
  <c r="X51" i="29"/>
  <c r="Y51" i="29" s="1"/>
  <c r="AG244" i="29"/>
  <c r="W56" i="29"/>
  <c r="AA56" i="29" s="1"/>
  <c r="X539" i="29"/>
  <c r="Y539" i="29" s="1"/>
  <c r="X228" i="29"/>
  <c r="Y228" i="29" s="1"/>
  <c r="AH249" i="29"/>
  <c r="X21" i="29"/>
  <c r="Y21" i="29" s="1"/>
  <c r="AG172" i="29"/>
  <c r="W91" i="29"/>
  <c r="W573" i="29"/>
  <c r="AJ573" i="29" s="1"/>
  <c r="AK573" i="29" s="1"/>
  <c r="AG500" i="29"/>
  <c r="W315" i="29"/>
  <c r="AA315" i="29" s="1"/>
  <c r="W492" i="29"/>
  <c r="W305" i="29"/>
  <c r="AJ305" i="29" s="1"/>
  <c r="AK305" i="29" s="1"/>
  <c r="AG195" i="29"/>
  <c r="AG265" i="29"/>
  <c r="AH392" i="29"/>
  <c r="W99" i="29"/>
  <c r="AJ99" i="29" s="1"/>
  <c r="AK99" i="29" s="1"/>
  <c r="X263" i="29"/>
  <c r="Y263" i="29" s="1"/>
  <c r="X14" i="29"/>
  <c r="Y14" i="29" s="1"/>
  <c r="X579" i="29"/>
  <c r="Y579" i="29" s="1"/>
  <c r="AH394" i="29"/>
  <c r="W179" i="29"/>
  <c r="AJ178" i="29" s="1"/>
  <c r="AK178" i="29" s="1"/>
  <c r="X211" i="29"/>
  <c r="Y211" i="29" s="1"/>
  <c r="X160" i="29"/>
  <c r="Y160" i="29" s="1"/>
  <c r="X487" i="29"/>
  <c r="Y487" i="29" s="1"/>
  <c r="X399" i="29"/>
  <c r="Y399" i="29" s="1"/>
  <c r="W382" i="29"/>
  <c r="AJ381" i="29" s="1"/>
  <c r="AK381" i="29" s="1"/>
  <c r="X519" i="29"/>
  <c r="Y519" i="29" s="1"/>
  <c r="X517" i="29"/>
  <c r="Y517" i="29" s="1"/>
  <c r="AG226" i="29"/>
  <c r="AH102" i="29"/>
  <c r="W15" i="29"/>
  <c r="AA15" i="29" s="1"/>
  <c r="W278" i="29"/>
  <c r="AJ277" i="29" s="1"/>
  <c r="AK277" i="29" s="1"/>
  <c r="AG314" i="29"/>
  <c r="AG255" i="29"/>
  <c r="W280" i="29"/>
  <c r="AA280" i="29" s="1"/>
  <c r="AG381" i="29"/>
  <c r="X496" i="29"/>
  <c r="Y496" i="29" s="1"/>
  <c r="W335" i="29"/>
  <c r="W353" i="29"/>
  <c r="AA353" i="29" s="1"/>
  <c r="AH386" i="29"/>
  <c r="AH427" i="29"/>
  <c r="W595" i="29"/>
  <c r="AA595" i="29" s="1"/>
  <c r="X570" i="29"/>
  <c r="Y570" i="29" s="1"/>
  <c r="X419" i="29"/>
  <c r="Y419" i="29" s="1"/>
  <c r="W450" i="29"/>
  <c r="AJ450" i="29" s="1"/>
  <c r="AK450" i="29" s="1"/>
  <c r="AH313" i="29"/>
  <c r="W213" i="29"/>
  <c r="AA213" i="29" s="1"/>
  <c r="X600" i="29"/>
  <c r="Y600" i="29" s="1"/>
  <c r="AG568" i="29"/>
  <c r="AH196" i="29"/>
  <c r="AH47" i="29"/>
  <c r="X68" i="29"/>
  <c r="Y68" i="29" s="1"/>
  <c r="W245" i="29"/>
  <c r="AJ245" i="29" s="1"/>
  <c r="AK245" i="29" s="1"/>
  <c r="AH131" i="29"/>
  <c r="X126" i="29"/>
  <c r="Y126" i="29" s="1"/>
  <c r="X396" i="29"/>
  <c r="Y396" i="29" s="1"/>
  <c r="AH134" i="29"/>
  <c r="W421" i="29"/>
  <c r="X36" i="29"/>
  <c r="Y36" i="29" s="1"/>
  <c r="X458" i="29"/>
  <c r="Y458" i="29" s="1"/>
  <c r="AG318" i="29"/>
  <c r="AH405" i="29"/>
  <c r="AG209" i="29"/>
  <c r="AH456" i="29"/>
  <c r="AH243" i="29"/>
  <c r="X601" i="29"/>
  <c r="Y601" i="29" s="1"/>
  <c r="AG121" i="29"/>
  <c r="W444" i="29"/>
  <c r="AJ443" i="29" s="1"/>
  <c r="AK443" i="29" s="1"/>
  <c r="AG389" i="29"/>
  <c r="AG518" i="29"/>
  <c r="W310" i="29"/>
  <c r="AJ310" i="29" s="1"/>
  <c r="AK310" i="29" s="1"/>
  <c r="X67" i="29"/>
  <c r="Y67" i="29" s="1"/>
  <c r="X215" i="29"/>
  <c r="Y215" i="29" s="1"/>
  <c r="W37" i="29"/>
  <c r="AJ36" i="29" s="1"/>
  <c r="AK36" i="29" s="1"/>
  <c r="X191" i="29"/>
  <c r="Y191" i="29" s="1"/>
  <c r="W525" i="29"/>
  <c r="AH506" i="29"/>
  <c r="X425" i="29"/>
  <c r="Y425" i="29" s="1"/>
  <c r="X282" i="29"/>
  <c r="Y282" i="29" s="1"/>
  <c r="AG504" i="29"/>
  <c r="W369" i="29"/>
  <c r="AA369" i="29" s="1"/>
  <c r="X311" i="29"/>
  <c r="Y311" i="29" s="1"/>
  <c r="X227" i="29"/>
  <c r="Y227" i="29" s="1"/>
  <c r="AH27" i="29"/>
  <c r="AG173" i="29"/>
  <c r="AG55" i="29"/>
  <c r="W26" i="29"/>
  <c r="X83" i="29"/>
  <c r="Y83" i="29" s="1"/>
  <c r="AG158" i="29"/>
  <c r="AH16" i="29"/>
  <c r="X182" i="29"/>
  <c r="Y182" i="29" s="1"/>
  <c r="W533" i="29"/>
  <c r="AJ532" i="29" s="1"/>
  <c r="AK532" i="29" s="1"/>
  <c r="W200" i="29"/>
  <c r="AJ200" i="29" s="1"/>
  <c r="AK200" i="29" s="1"/>
  <c r="X372" i="29"/>
  <c r="Y372" i="29" s="1"/>
  <c r="AH300" i="29"/>
  <c r="X549" i="29"/>
  <c r="Y549" i="29" s="1"/>
  <c r="AH95" i="29"/>
  <c r="X420" i="29"/>
  <c r="Y420" i="29" s="1"/>
  <c r="AG31" i="29"/>
  <c r="X491" i="29"/>
  <c r="Y491" i="29" s="1"/>
  <c r="AG287" i="29"/>
  <c r="W531" i="29"/>
  <c r="AJ531" i="29" s="1"/>
  <c r="AK531" i="29" s="1"/>
  <c r="X607" i="29"/>
  <c r="Y607" i="29" s="1"/>
  <c r="AH545" i="29"/>
  <c r="X62" i="29"/>
  <c r="Y62" i="29" s="1"/>
  <c r="X269" i="29"/>
  <c r="Y269" i="29" s="1"/>
  <c r="CB170" i="25"/>
  <c r="CF170" i="25"/>
  <c r="CB170" i="24"/>
  <c r="CF170" i="24"/>
  <c r="CB276" i="24"/>
  <c r="CF276" i="24"/>
  <c r="W360" i="29"/>
  <c r="AJ359" i="29" s="1"/>
  <c r="AK359" i="29" s="1"/>
  <c r="CB166" i="24"/>
  <c r="CF166" i="24"/>
  <c r="CB272" i="24"/>
  <c r="CF272" i="24"/>
  <c r="CB102" i="24"/>
  <c r="CF102" i="24"/>
  <c r="W441" i="29"/>
  <c r="AA441" i="29" s="1"/>
  <c r="CB92" i="25"/>
  <c r="CF92" i="25"/>
  <c r="CB92" i="24"/>
  <c r="CF92" i="24"/>
  <c r="AH176" i="29"/>
  <c r="W82" i="29"/>
  <c r="AA82" i="29" s="1"/>
  <c r="AG564" i="29"/>
  <c r="AG296" i="29"/>
  <c r="W431" i="29"/>
  <c r="AA431" i="29" s="1"/>
  <c r="X247" i="29"/>
  <c r="Y247" i="29" s="1"/>
  <c r="CB268" i="24"/>
  <c r="CF268" i="24"/>
  <c r="CB157" i="24"/>
  <c r="CF157" i="24"/>
  <c r="CB263" i="24"/>
  <c r="CF263" i="24"/>
  <c r="CB79" i="24"/>
  <c r="CF79" i="24"/>
  <c r="CB274" i="24"/>
  <c r="CF274" i="24"/>
  <c r="CB168" i="24"/>
  <c r="CF168" i="24"/>
  <c r="CB285" i="24"/>
  <c r="CF285" i="24"/>
  <c r="CB179" i="24"/>
  <c r="CF179" i="24"/>
  <c r="W495" i="29"/>
  <c r="AJ494" i="29" s="1"/>
  <c r="AK494" i="29" s="1"/>
  <c r="X288" i="29"/>
  <c r="Y288" i="29" s="1"/>
  <c r="AG534" i="29"/>
  <c r="BY237" i="25"/>
  <c r="CA237" i="25" s="1"/>
  <c r="CB237" i="25" s="1"/>
  <c r="BL237" i="25"/>
  <c r="BK237" i="25"/>
  <c r="AT212" i="25"/>
  <c r="AY212" i="25" s="1"/>
  <c r="AU212" i="25"/>
  <c r="BY77" i="25"/>
  <c r="CA77" i="25" s="1"/>
  <c r="BL77" i="25"/>
  <c r="CB173" i="24"/>
  <c r="CF173" i="24"/>
  <c r="CB74" i="24"/>
  <c r="CF74" i="24"/>
  <c r="AA599" i="29"/>
  <c r="AJ58" i="29"/>
  <c r="AK58" i="29" s="1"/>
  <c r="AA59" i="29"/>
  <c r="AA201" i="29"/>
  <c r="BY72" i="25"/>
  <c r="CA72" i="25" s="1"/>
  <c r="BL72" i="25"/>
  <c r="AA325" i="29"/>
  <c r="AJ324" i="29"/>
  <c r="AK324" i="29" s="1"/>
  <c r="BL146" i="25"/>
  <c r="BY146" i="25"/>
  <c r="CA146" i="25" s="1"/>
  <c r="CB146" i="25" s="1"/>
  <c r="BK146" i="25"/>
  <c r="AA460" i="29"/>
  <c r="AJ459" i="29"/>
  <c r="AK459" i="29" s="1"/>
  <c r="AJ54" i="29"/>
  <c r="AK54" i="29" s="1"/>
  <c r="AA55" i="29"/>
  <c r="BL41" i="25"/>
  <c r="BY41" i="25"/>
  <c r="CA41" i="25" s="1"/>
  <c r="CB41" i="25" s="1"/>
  <c r="AJ119" i="29"/>
  <c r="AK119" i="29" s="1"/>
  <c r="AA120" i="29"/>
  <c r="AA445" i="29"/>
  <c r="AJ258" i="29"/>
  <c r="AK258" i="29" s="1"/>
  <c r="AA259" i="29"/>
  <c r="AA148" i="29"/>
  <c r="BL125" i="25"/>
  <c r="BY125" i="25"/>
  <c r="CA125" i="25" s="1"/>
  <c r="BK125" i="25"/>
  <c r="AA490" i="29"/>
  <c r="AJ489" i="29"/>
  <c r="AK489" i="29" s="1"/>
  <c r="AA435" i="29"/>
  <c r="AA277" i="29"/>
  <c r="AJ276" i="29"/>
  <c r="AK276" i="29" s="1"/>
  <c r="AJ214" i="29"/>
  <c r="AK214" i="29" s="1"/>
  <c r="AA215" i="29"/>
  <c r="AA246" i="29"/>
  <c r="AA596" i="29"/>
  <c r="AA63" i="29"/>
  <c r="AJ62" i="29"/>
  <c r="AK62" i="29" s="1"/>
  <c r="AA521" i="29"/>
  <c r="AJ520" i="29"/>
  <c r="AK520" i="29" s="1"/>
  <c r="BY119" i="25"/>
  <c r="CA119" i="25" s="1"/>
  <c r="CB119" i="25" s="1"/>
  <c r="BL119" i="25"/>
  <c r="BK119" i="25"/>
  <c r="AJ202" i="29"/>
  <c r="AK202" i="29" s="1"/>
  <c r="AA203" i="29"/>
  <c r="BN316" i="24"/>
  <c r="AJ313" i="29"/>
  <c r="AK313" i="29" s="1"/>
  <c r="AA314" i="29"/>
  <c r="AJ339" i="29"/>
  <c r="AK339" i="29" s="1"/>
  <c r="AA340" i="29"/>
  <c r="AA38" i="29"/>
  <c r="AA64" i="29"/>
  <c r="AJ63" i="29"/>
  <c r="AK63" i="29" s="1"/>
  <c r="AJ168" i="29"/>
  <c r="AK168" i="29" s="1"/>
  <c r="AA169" i="29"/>
  <c r="AA224" i="29"/>
  <c r="AA211" i="29"/>
  <c r="AJ30" i="29"/>
  <c r="AK30" i="29" s="1"/>
  <c r="AA31" i="29"/>
  <c r="BL75" i="25"/>
  <c r="BY75" i="25"/>
  <c r="CA75" i="25" s="1"/>
  <c r="CB75" i="25" s="1"/>
  <c r="BY163" i="25"/>
  <c r="CA163" i="25" s="1"/>
  <c r="BL163" i="25"/>
  <c r="BK163" i="25"/>
  <c r="BY24" i="25"/>
  <c r="CA24" i="25" s="1"/>
  <c r="CB24" i="25" s="1"/>
  <c r="BL24" i="25"/>
  <c r="AA100" i="29"/>
  <c r="AA576" i="29"/>
  <c r="AJ575" i="29"/>
  <c r="AK575" i="29" s="1"/>
  <c r="AA306" i="29"/>
  <c r="AA67" i="29"/>
  <c r="AJ66" i="29"/>
  <c r="AK66" i="29" s="1"/>
  <c r="BY23" i="25"/>
  <c r="CA23" i="25" s="1"/>
  <c r="CB23" i="25" s="1"/>
  <c r="BL23" i="25"/>
  <c r="BL39" i="25"/>
  <c r="BY39" i="25"/>
  <c r="CA39" i="25" s="1"/>
  <c r="CB39" i="25" s="1"/>
  <c r="AA481" i="29"/>
  <c r="AA69" i="29"/>
  <c r="AJ68" i="29"/>
  <c r="AK68" i="29" s="1"/>
  <c r="BY150" i="25"/>
  <c r="CA150" i="25" s="1"/>
  <c r="CB150" i="25" s="1"/>
  <c r="BL150" i="25"/>
  <c r="BK150" i="25"/>
  <c r="BY142" i="25"/>
  <c r="CA142" i="25" s="1"/>
  <c r="CB142" i="25" s="1"/>
  <c r="BL142" i="25"/>
  <c r="BK142" i="25"/>
  <c r="AA403" i="29"/>
  <c r="AJ402" i="29"/>
  <c r="AK402" i="29" s="1"/>
  <c r="AA241" i="29"/>
  <c r="AA496" i="29"/>
  <c r="AJ78" i="29"/>
  <c r="AK78" i="29" s="1"/>
  <c r="AA79" i="29"/>
  <c r="AA497" i="29"/>
  <c r="AJ496" i="29"/>
  <c r="AK496" i="29" s="1"/>
  <c r="AJ596" i="29"/>
  <c r="AK596" i="29" s="1"/>
  <c r="AA597" i="29"/>
  <c r="AA565" i="29"/>
  <c r="AJ564" i="29"/>
  <c r="AK564" i="29" s="1"/>
  <c r="AA184" i="29"/>
  <c r="AJ159" i="29"/>
  <c r="AK159" i="29" s="1"/>
  <c r="AA160" i="29"/>
  <c r="BY85" i="25"/>
  <c r="CA85" i="25" s="1"/>
  <c r="CB85" i="25" s="1"/>
  <c r="BL85" i="25"/>
  <c r="BL300" i="25"/>
  <c r="BY300" i="25"/>
  <c r="CA300" i="25" s="1"/>
  <c r="CB300" i="25" s="1"/>
  <c r="BK300" i="25"/>
  <c r="AJ262" i="29"/>
  <c r="AK262" i="29" s="1"/>
  <c r="AA263" i="29"/>
  <c r="BL294" i="25"/>
  <c r="BY294" i="25"/>
  <c r="CA294" i="25" s="1"/>
  <c r="CB294" i="25" s="1"/>
  <c r="BK294" i="25"/>
  <c r="AA519" i="29"/>
  <c r="AJ518" i="29"/>
  <c r="AK518" i="29" s="1"/>
  <c r="AA361" i="29"/>
  <c r="AJ76" i="29"/>
  <c r="AK76" i="29" s="1"/>
  <c r="AA77" i="29"/>
  <c r="AA582" i="29"/>
  <c r="AJ581" i="29"/>
  <c r="AK581" i="29" s="1"/>
  <c r="AA264" i="29"/>
  <c r="AJ263" i="29"/>
  <c r="AK263" i="29" s="1"/>
  <c r="BL175" i="25"/>
  <c r="BY175" i="25"/>
  <c r="CA175" i="25" s="1"/>
  <c r="BK175" i="25"/>
  <c r="AA205" i="29"/>
  <c r="AJ204" i="29"/>
  <c r="AK204" i="29" s="1"/>
  <c r="BL53" i="25"/>
  <c r="BY53" i="25"/>
  <c r="CA53" i="25" s="1"/>
  <c r="CB53" i="25" s="1"/>
  <c r="AJ196" i="29"/>
  <c r="AK196" i="29" s="1"/>
  <c r="AA197" i="29"/>
  <c r="AA320" i="29"/>
  <c r="AJ319" i="29"/>
  <c r="AK319" i="29" s="1"/>
  <c r="AA311" i="29"/>
  <c r="AJ86" i="29"/>
  <c r="AK86" i="29" s="1"/>
  <c r="AA87" i="29"/>
  <c r="BL217" i="25"/>
  <c r="BY217" i="25"/>
  <c r="CA217" i="25" s="1"/>
  <c r="CB217" i="25" s="1"/>
  <c r="BK217" i="25"/>
  <c r="BY67" i="25"/>
  <c r="CA67" i="25" s="1"/>
  <c r="CB67" i="25" s="1"/>
  <c r="BL67" i="25"/>
  <c r="CB97" i="25"/>
  <c r="CF97" i="25"/>
  <c r="AJ285" i="29"/>
  <c r="AK285" i="29" s="1"/>
  <c r="AA286" i="29"/>
  <c r="AJ192" i="29"/>
  <c r="AK192" i="29" s="1"/>
  <c r="AA193" i="29"/>
  <c r="BL286" i="25"/>
  <c r="BY286" i="25"/>
  <c r="CA286" i="25" s="1"/>
  <c r="CB286" i="25" s="1"/>
  <c r="BK286" i="25"/>
  <c r="BL250" i="25"/>
  <c r="BY250" i="25"/>
  <c r="CA250" i="25" s="1"/>
  <c r="CB250" i="25" s="1"/>
  <c r="BK250" i="25"/>
  <c r="AA95" i="29"/>
  <c r="AJ94" i="29"/>
  <c r="BL83" i="25"/>
  <c r="BY83" i="25"/>
  <c r="CA83" i="25" s="1"/>
  <c r="CB83" i="25" s="1"/>
  <c r="BY284" i="25"/>
  <c r="CA284" i="25" s="1"/>
  <c r="CB284" i="25" s="1"/>
  <c r="BL284" i="25"/>
  <c r="BK284" i="25"/>
  <c r="AJ424" i="29"/>
  <c r="AK424" i="29" s="1"/>
  <c r="AA425" i="29"/>
  <c r="AA416" i="29"/>
  <c r="AJ415" i="29"/>
  <c r="AK415" i="29" s="1"/>
  <c r="AJ392" i="29"/>
  <c r="AK392" i="29" s="1"/>
  <c r="AA393" i="29"/>
  <c r="BY133" i="25"/>
  <c r="CA133" i="25" s="1"/>
  <c r="CB133" i="25" s="1"/>
  <c r="BL133" i="25"/>
  <c r="BK133" i="25"/>
  <c r="BL47" i="25"/>
  <c r="BY47" i="25"/>
  <c r="CA47" i="25" s="1"/>
  <c r="CB47" i="25" s="1"/>
  <c r="AA50" i="29"/>
  <c r="AA195" i="29"/>
  <c r="AJ194" i="29"/>
  <c r="AK194" i="29" s="1"/>
  <c r="BY80" i="25"/>
  <c r="CA80" i="25" s="1"/>
  <c r="BL80" i="25"/>
  <c r="BL225" i="25"/>
  <c r="BY225" i="25"/>
  <c r="CA225" i="25" s="1"/>
  <c r="CB225" i="25" s="1"/>
  <c r="BK225" i="25"/>
  <c r="AJ371" i="29"/>
  <c r="AK371" i="29" s="1"/>
  <c r="AA372" i="29"/>
  <c r="AA43" i="29"/>
  <c r="AJ42" i="29"/>
  <c r="AK42" i="29" s="1"/>
  <c r="AA398" i="29"/>
  <c r="AJ397" i="29"/>
  <c r="AK397" i="29" s="1"/>
  <c r="BY65" i="25"/>
  <c r="CA65" i="25" s="1"/>
  <c r="BL65" i="25"/>
  <c r="BY43" i="25"/>
  <c r="CA43" i="25" s="1"/>
  <c r="CB43" i="25" s="1"/>
  <c r="BL43" i="25"/>
  <c r="AA611" i="29"/>
  <c r="AJ404" i="29"/>
  <c r="AK404" i="29" s="1"/>
  <c r="AA405" i="29"/>
  <c r="AA592" i="29"/>
  <c r="AJ591" i="29"/>
  <c r="AK591" i="29" s="1"/>
  <c r="BY220" i="25"/>
  <c r="CA220" i="25" s="1"/>
  <c r="CB220" i="25" s="1"/>
  <c r="BL220" i="25"/>
  <c r="BK220" i="25"/>
  <c r="AA342" i="29"/>
  <c r="BL144" i="25"/>
  <c r="BY144" i="25"/>
  <c r="CA144" i="25" s="1"/>
  <c r="CB144" i="25" s="1"/>
  <c r="BK144" i="25"/>
  <c r="AA399" i="29"/>
  <c r="AJ398" i="29"/>
  <c r="AK398" i="29" s="1"/>
  <c r="AA359" i="29"/>
  <c r="AJ358" i="29"/>
  <c r="AK358" i="29" s="1"/>
  <c r="AA358" i="29"/>
  <c r="BY36" i="25"/>
  <c r="CA36" i="25" s="1"/>
  <c r="CB36" i="25" s="1"/>
  <c r="BL36" i="25"/>
  <c r="AA475" i="29"/>
  <c r="BL252" i="25"/>
  <c r="BY252" i="25"/>
  <c r="CA252" i="25" s="1"/>
  <c r="CB252" i="25" s="1"/>
  <c r="BK252" i="25"/>
  <c r="BY260" i="25"/>
  <c r="CA260" i="25" s="1"/>
  <c r="CB260" i="25" s="1"/>
  <c r="BL260" i="25"/>
  <c r="BK260" i="25"/>
  <c r="AJ396" i="29"/>
  <c r="AK396" i="29" s="1"/>
  <c r="AA397" i="29"/>
  <c r="BL69" i="25"/>
  <c r="BY69" i="25"/>
  <c r="CA69" i="25" s="1"/>
  <c r="CB69" i="25" s="1"/>
  <c r="BL194" i="25"/>
  <c r="BY194" i="25"/>
  <c r="CA194" i="25" s="1"/>
  <c r="BK194" i="25"/>
  <c r="BY187" i="25"/>
  <c r="CA187" i="25" s="1"/>
  <c r="CB187" i="25" s="1"/>
  <c r="BL187" i="25"/>
  <c r="BK187" i="25"/>
  <c r="BY234" i="25"/>
  <c r="CA234" i="25" s="1"/>
  <c r="CB234" i="25" s="1"/>
  <c r="BL234" i="25"/>
  <c r="BK234" i="25"/>
  <c r="AJ338" i="29"/>
  <c r="AK338" i="29" s="1"/>
  <c r="AA339" i="29"/>
  <c r="BL315" i="25"/>
  <c r="BY315" i="25"/>
  <c r="CA315" i="25" s="1"/>
  <c r="CB315" i="25" s="1"/>
  <c r="BK315" i="25"/>
  <c r="AA134" i="29"/>
  <c r="AJ27" i="29"/>
  <c r="AK27" i="29" s="1"/>
  <c r="AA28" i="29"/>
  <c r="AJ515" i="29"/>
  <c r="AK515" i="29" s="1"/>
  <c r="AA516" i="29"/>
  <c r="AJ386" i="29"/>
  <c r="AK386" i="29" s="1"/>
  <c r="AA387" i="29"/>
  <c r="BY278" i="25"/>
  <c r="CA278" i="25" s="1"/>
  <c r="CB278" i="25" s="1"/>
  <c r="BL278" i="25"/>
  <c r="BK278" i="25"/>
  <c r="BL130" i="25"/>
  <c r="BY130" i="25"/>
  <c r="CA130" i="25" s="1"/>
  <c r="BK130" i="25"/>
  <c r="AA125" i="29"/>
  <c r="AJ124" i="29"/>
  <c r="AK124" i="29" s="1"/>
  <c r="BY73" i="25"/>
  <c r="CA73" i="25" s="1"/>
  <c r="CB73" i="25" s="1"/>
  <c r="BL73" i="25"/>
  <c r="BL193" i="25"/>
  <c r="BY193" i="25"/>
  <c r="CA193" i="25" s="1"/>
  <c r="BK193" i="25"/>
  <c r="BL169" i="25"/>
  <c r="BY169" i="25"/>
  <c r="CA169" i="25" s="1"/>
  <c r="BK169" i="25"/>
  <c r="AJ613" i="29"/>
  <c r="AK613" i="29" s="1"/>
  <c r="AA613" i="29"/>
  <c r="AJ612" i="29"/>
  <c r="AK612" i="29" s="1"/>
  <c r="BY203" i="25"/>
  <c r="CA203" i="25" s="1"/>
  <c r="BL203" i="25"/>
  <c r="BK203" i="25"/>
  <c r="BL263" i="25"/>
  <c r="BY263" i="25"/>
  <c r="CA263" i="25" s="1"/>
  <c r="CB263" i="25" s="1"/>
  <c r="BK263" i="25"/>
  <c r="AA204" i="29"/>
  <c r="AJ203" i="29"/>
  <c r="AK203" i="29" s="1"/>
  <c r="AJ505" i="29"/>
  <c r="AK505" i="29" s="1"/>
  <c r="AA506" i="29"/>
  <c r="AJ560" i="29"/>
  <c r="AK560" i="29" s="1"/>
  <c r="AA561" i="29"/>
  <c r="AJ126" i="29"/>
  <c r="AA127" i="29"/>
  <c r="AA180" i="29"/>
  <c r="BL102" i="25"/>
  <c r="BY102" i="25"/>
  <c r="CA102" i="25" s="1"/>
  <c r="AJ243" i="29"/>
  <c r="AK243" i="29" s="1"/>
  <c r="AA244" i="29"/>
  <c r="AJ157" i="29"/>
  <c r="AK157" i="29" s="1"/>
  <c r="AA158" i="29"/>
  <c r="AJ80" i="29"/>
  <c r="AA81" i="29"/>
  <c r="BY245" i="25"/>
  <c r="CA245" i="25" s="1"/>
  <c r="CB245" i="25" s="1"/>
  <c r="BL245" i="25"/>
  <c r="BK245" i="25"/>
  <c r="AJ418" i="29"/>
  <c r="AK418" i="29" s="1"/>
  <c r="AA419" i="29"/>
  <c r="BL168" i="25"/>
  <c r="BY168" i="25"/>
  <c r="CA168" i="25" s="1"/>
  <c r="BK168" i="25"/>
  <c r="AJ593" i="29"/>
  <c r="AK593" i="29" s="1"/>
  <c r="AA594" i="29"/>
  <c r="BY122" i="25"/>
  <c r="CA122" i="25" s="1"/>
  <c r="CB122" i="25" s="1"/>
  <c r="BL122" i="25"/>
  <c r="BK122" i="25"/>
  <c r="BY209" i="25"/>
  <c r="CA209" i="25" s="1"/>
  <c r="BL209" i="25"/>
  <c r="BK209" i="25"/>
  <c r="AA572" i="29"/>
  <c r="AA39" i="29"/>
  <c r="AJ38" i="29"/>
  <c r="AK38" i="29" s="1"/>
  <c r="AJ237" i="29"/>
  <c r="AK237" i="29" s="1"/>
  <c r="AA238" i="29"/>
  <c r="AA560" i="29"/>
  <c r="AJ559" i="29"/>
  <c r="AK559" i="29" s="1"/>
  <c r="BL310" i="25"/>
  <c r="BY310" i="25"/>
  <c r="CA310" i="25" s="1"/>
  <c r="CB310" i="25" s="1"/>
  <c r="BK310" i="25"/>
  <c r="AA53" i="29"/>
  <c r="AJ275" i="29"/>
  <c r="AK275" i="29" s="1"/>
  <c r="AA276" i="29"/>
  <c r="AJ28" i="29"/>
  <c r="AK28" i="29" s="1"/>
  <c r="AA29" i="29"/>
  <c r="BY118" i="25"/>
  <c r="CA118" i="25" s="1"/>
  <c r="CB118" i="25" s="1"/>
  <c r="BL118" i="25"/>
  <c r="BK118" i="25"/>
  <c r="AA489" i="29"/>
  <c r="AJ488" i="29"/>
  <c r="AK488" i="29" s="1"/>
  <c r="AA33" i="29"/>
  <c r="AJ32" i="29"/>
  <c r="AK32" i="29" s="1"/>
  <c r="AA68" i="29"/>
  <c r="AJ67" i="29"/>
  <c r="AK67" i="29" s="1"/>
  <c r="AA146" i="29"/>
  <c r="AJ145" i="29"/>
  <c r="AK145" i="29" s="1"/>
  <c r="AA85" i="29"/>
  <c r="BY316" i="25"/>
  <c r="CA316" i="25" s="1"/>
  <c r="CB316" i="25" s="1"/>
  <c r="BL316" i="25"/>
  <c r="BK316" i="25"/>
  <c r="BL176" i="25"/>
  <c r="BY176" i="25"/>
  <c r="CA176" i="25" s="1"/>
  <c r="BK176" i="25"/>
  <c r="BY35" i="25"/>
  <c r="CA35" i="25" s="1"/>
  <c r="CB35" i="25" s="1"/>
  <c r="BL35" i="25"/>
  <c r="AA577" i="29"/>
  <c r="AJ576" i="29"/>
  <c r="AK576" i="29" s="1"/>
  <c r="AA402" i="29"/>
  <c r="BL98" i="25"/>
  <c r="BY98" i="25"/>
  <c r="CA98" i="25" s="1"/>
  <c r="AJ292" i="29"/>
  <c r="AK292" i="29" s="1"/>
  <c r="AA293" i="29"/>
  <c r="AJ577" i="29"/>
  <c r="AK577" i="29" s="1"/>
  <c r="AA578" i="29"/>
  <c r="AA272" i="29"/>
  <c r="AJ271" i="29"/>
  <c r="AK271" i="29" s="1"/>
  <c r="AJ302" i="29"/>
  <c r="AK302" i="29" s="1"/>
  <c r="AA303" i="29"/>
  <c r="BY256" i="25"/>
  <c r="CA256" i="25" s="1"/>
  <c r="CB256" i="25" s="1"/>
  <c r="BL256" i="25"/>
  <c r="BK256" i="25"/>
  <c r="AA499" i="29"/>
  <c r="AA257" i="29"/>
  <c r="AJ256" i="29"/>
  <c r="AK256" i="29" s="1"/>
  <c r="AJ391" i="29"/>
  <c r="AK391" i="29" s="1"/>
  <c r="AA392" i="29"/>
  <c r="AJ247" i="29"/>
  <c r="AK247" i="29" s="1"/>
  <c r="AA248" i="29"/>
  <c r="BL50" i="25"/>
  <c r="BY50" i="25"/>
  <c r="CA50" i="25" s="1"/>
  <c r="CB50" i="25" s="1"/>
  <c r="BL153" i="25"/>
  <c r="BY153" i="25"/>
  <c r="CA153" i="25" s="1"/>
  <c r="BK153" i="25"/>
  <c r="BL253" i="25"/>
  <c r="BY253" i="25"/>
  <c r="CA253" i="25" s="1"/>
  <c r="CB253" i="25" s="1"/>
  <c r="BK253" i="25"/>
  <c r="AJ230" i="29"/>
  <c r="AK230" i="29" s="1"/>
  <c r="AA231" i="29"/>
  <c r="AA558" i="29"/>
  <c r="AJ363" i="29"/>
  <c r="AK363" i="29" s="1"/>
  <c r="AA364" i="29"/>
  <c r="AJ128" i="29"/>
  <c r="AK128" i="29" s="1"/>
  <c r="AA129" i="29"/>
  <c r="BL272" i="25"/>
  <c r="BY272" i="25"/>
  <c r="CA272" i="25" s="1"/>
  <c r="CB272" i="25" s="1"/>
  <c r="BK272" i="25"/>
  <c r="AJ510" i="29"/>
  <c r="AK510" i="29" s="1"/>
  <c r="AA511" i="29"/>
  <c r="BL91" i="25"/>
  <c r="BY91" i="25"/>
  <c r="CA91" i="25" s="1"/>
  <c r="CB91" i="25" s="1"/>
  <c r="AA567" i="29"/>
  <c r="BY233" i="25"/>
  <c r="CA233" i="25" s="1"/>
  <c r="CB233" i="25" s="1"/>
  <c r="BL233" i="25"/>
  <c r="BK233" i="25"/>
  <c r="AA123" i="29"/>
  <c r="AJ582" i="29"/>
  <c r="AK582" i="29" s="1"/>
  <c r="AA583" i="29"/>
  <c r="BY270" i="25"/>
  <c r="CA270" i="25" s="1"/>
  <c r="CB270" i="25" s="1"/>
  <c r="BL270" i="25"/>
  <c r="BK270" i="25"/>
  <c r="AJ451" i="29"/>
  <c r="AK451" i="29" s="1"/>
  <c r="AA452" i="29"/>
  <c r="AA539" i="29"/>
  <c r="AJ538" i="29"/>
  <c r="AK538" i="29" s="1"/>
  <c r="BY22" i="25"/>
  <c r="CA22" i="25" s="1"/>
  <c r="BL22" i="25"/>
  <c r="BY56" i="25"/>
  <c r="CA56" i="25" s="1"/>
  <c r="BL56" i="25"/>
  <c r="AA102" i="29"/>
  <c r="AJ101" i="29"/>
  <c r="BY242" i="25"/>
  <c r="CA242" i="25" s="1"/>
  <c r="CB242" i="25" s="1"/>
  <c r="BL242" i="25"/>
  <c r="BK242" i="25"/>
  <c r="AA186" i="29"/>
  <c r="AA317" i="29"/>
  <c r="AJ316" i="29"/>
  <c r="AK316" i="29" s="1"/>
  <c r="AJ33" i="29"/>
  <c r="AK33" i="29" s="1"/>
  <c r="AA34" i="29"/>
  <c r="AA255" i="29"/>
  <c r="AA131" i="29"/>
  <c r="AA331" i="29"/>
  <c r="BL126" i="25"/>
  <c r="BY126" i="25"/>
  <c r="CA126" i="25" s="1"/>
  <c r="CB126" i="25" s="1"/>
  <c r="BK126" i="25"/>
  <c r="AA503" i="29"/>
  <c r="AA396" i="29"/>
  <c r="AJ395" i="29"/>
  <c r="AK395" i="29" s="1"/>
  <c r="BY10" i="25"/>
  <c r="CA10" i="25" s="1"/>
  <c r="BL10" i="25"/>
  <c r="AA274" i="29"/>
  <c r="AJ273" i="29"/>
  <c r="AK273" i="29" s="1"/>
  <c r="AJ71" i="29"/>
  <c r="AK71" i="29" s="1"/>
  <c r="AA72" i="29"/>
  <c r="AA138" i="29"/>
  <c r="BY33" i="25"/>
  <c r="CA33" i="25" s="1"/>
  <c r="CB33" i="25" s="1"/>
  <c r="BL33" i="25"/>
  <c r="AA73" i="29"/>
  <c r="AJ72" i="29"/>
  <c r="AK72" i="29" s="1"/>
  <c r="BY63" i="25"/>
  <c r="CA63" i="25" s="1"/>
  <c r="CB63" i="25" s="1"/>
  <c r="BL63" i="25"/>
  <c r="AA515" i="29"/>
  <c r="AJ231" i="29"/>
  <c r="AK231" i="29" s="1"/>
  <c r="AA232" i="29"/>
  <c r="AJ472" i="29"/>
  <c r="AK472" i="29" s="1"/>
  <c r="AA473" i="29"/>
  <c r="AA214" i="29"/>
  <c r="BY289" i="25"/>
  <c r="CA289" i="25" s="1"/>
  <c r="CB289" i="25" s="1"/>
  <c r="BL289" i="25"/>
  <c r="BK289" i="25"/>
  <c r="AJ236" i="29"/>
  <c r="AK236" i="29" s="1"/>
  <c r="AA237" i="29"/>
  <c r="BY239" i="25"/>
  <c r="CA239" i="25" s="1"/>
  <c r="CB239" i="25" s="1"/>
  <c r="BL239" i="25"/>
  <c r="BK239" i="25"/>
  <c r="BL231" i="25"/>
  <c r="BY231" i="25"/>
  <c r="CA231" i="25" s="1"/>
  <c r="CB231" i="25" s="1"/>
  <c r="BK231" i="25"/>
  <c r="AJ180" i="29"/>
  <c r="AK180" i="29" s="1"/>
  <c r="AA181" i="29"/>
  <c r="BY44" i="25"/>
  <c r="CA44" i="25" s="1"/>
  <c r="CB44" i="25" s="1"/>
  <c r="BL44" i="25"/>
  <c r="AA329" i="29"/>
  <c r="AJ328" i="29"/>
  <c r="AK328" i="29" s="1"/>
  <c r="AJ484" i="29"/>
  <c r="AK484" i="29" s="1"/>
  <c r="AA485" i="29"/>
  <c r="AJ318" i="29"/>
  <c r="AK318" i="29" s="1"/>
  <c r="AA319" i="29"/>
  <c r="AJ552" i="29"/>
  <c r="AK552" i="29" s="1"/>
  <c r="AA553" i="29"/>
  <c r="BY76" i="25"/>
  <c r="CA76" i="25" s="1"/>
  <c r="CB76" i="25" s="1"/>
  <c r="BL76" i="25"/>
  <c r="AJ331" i="29"/>
  <c r="AK331" i="29" s="1"/>
  <c r="AA332" i="29"/>
  <c r="BL157" i="25"/>
  <c r="BY157" i="25"/>
  <c r="CA157" i="25" s="1"/>
  <c r="CB157" i="25" s="1"/>
  <c r="BK157" i="25"/>
  <c r="AA451" i="29"/>
  <c r="AJ436" i="29"/>
  <c r="AK436" i="29" s="1"/>
  <c r="AA437" i="29"/>
  <c r="BL8" i="25"/>
  <c r="BY8" i="25"/>
  <c r="CA8" i="25" s="1"/>
  <c r="CB8" i="25" s="1"/>
  <c r="BL281" i="25"/>
  <c r="BY281" i="25"/>
  <c r="CA281" i="25" s="1"/>
  <c r="CB281" i="25" s="1"/>
  <c r="BK281" i="25"/>
  <c r="BY79" i="25"/>
  <c r="CA79" i="25" s="1"/>
  <c r="BL79" i="25"/>
  <c r="AA267" i="29"/>
  <c r="AJ266" i="29"/>
  <c r="AK266" i="29" s="1"/>
  <c r="BL271" i="25"/>
  <c r="BY271" i="25"/>
  <c r="CA271" i="25" s="1"/>
  <c r="CB271" i="25" s="1"/>
  <c r="BK271" i="25"/>
  <c r="AJ246" i="29"/>
  <c r="AK246" i="29" s="1"/>
  <c r="AA247" i="29"/>
  <c r="AA407" i="29"/>
  <c r="BY226" i="25"/>
  <c r="CA226" i="25" s="1"/>
  <c r="CB226" i="25" s="1"/>
  <c r="BL226" i="25"/>
  <c r="BK226" i="25"/>
  <c r="AA454" i="29"/>
  <c r="AJ453" i="29"/>
  <c r="AK453" i="29" s="1"/>
  <c r="BY55" i="25"/>
  <c r="CA55" i="25" s="1"/>
  <c r="BL55" i="25"/>
  <c r="BY241" i="25"/>
  <c r="CA241" i="25" s="1"/>
  <c r="CB241" i="25" s="1"/>
  <c r="BL241" i="25"/>
  <c r="BK241" i="25"/>
  <c r="BY88" i="25"/>
  <c r="CA88" i="25" s="1"/>
  <c r="BL88" i="25"/>
  <c r="AA285" i="29"/>
  <c r="AJ284" i="29"/>
  <c r="AK284" i="29" s="1"/>
  <c r="BY51" i="25"/>
  <c r="CA51" i="25" s="1"/>
  <c r="CB51" i="25" s="1"/>
  <c r="BL51" i="25"/>
  <c r="AJ589" i="29"/>
  <c r="AK589" i="29" s="1"/>
  <c r="AA590" i="29"/>
  <c r="AA217" i="29"/>
  <c r="BL208" i="25"/>
  <c r="BY208" i="25"/>
  <c r="CA208" i="25" s="1"/>
  <c r="BK208" i="25"/>
  <c r="AA586" i="29"/>
  <c r="BY205" i="25"/>
  <c r="CA205" i="25" s="1"/>
  <c r="BL205" i="25"/>
  <c r="BK205" i="25"/>
  <c r="AA413" i="29"/>
  <c r="AA294" i="29"/>
  <c r="AJ293" i="29"/>
  <c r="AK293" i="29" s="1"/>
  <c r="BY9" i="25"/>
  <c r="CA9" i="25" s="1"/>
  <c r="CB9" i="25" s="1"/>
  <c r="BL9" i="25"/>
  <c r="AA476" i="29"/>
  <c r="AJ475" i="29"/>
  <c r="AK475" i="29" s="1"/>
  <c r="AA438" i="29"/>
  <c r="AJ437" i="29"/>
  <c r="AK437" i="29" s="1"/>
  <c r="BL228" i="25"/>
  <c r="BY228" i="25"/>
  <c r="CA228" i="25" s="1"/>
  <c r="CB228" i="25" s="1"/>
  <c r="BK228" i="25"/>
  <c r="AJ205" i="29"/>
  <c r="AK205" i="29" s="1"/>
  <c r="AA206" i="29"/>
  <c r="AJ607" i="29"/>
  <c r="AK607" i="29" s="1"/>
  <c r="AA608" i="29"/>
  <c r="AJ39" i="29"/>
  <c r="AK39" i="29" s="1"/>
  <c r="AA40" i="29"/>
  <c r="BY264" i="25"/>
  <c r="CA264" i="25" s="1"/>
  <c r="CB264" i="25" s="1"/>
  <c r="BL264" i="25"/>
  <c r="BK264" i="25"/>
  <c r="AJ486" i="29"/>
  <c r="AK486" i="29" s="1"/>
  <c r="AA487" i="29"/>
  <c r="AA535" i="29"/>
  <c r="AJ534" i="29"/>
  <c r="AK534" i="29" s="1"/>
  <c r="BY200" i="25"/>
  <c r="CA200" i="25" s="1"/>
  <c r="BL200" i="25"/>
  <c r="BK200" i="25"/>
  <c r="AA408" i="29"/>
  <c r="AJ407" i="29"/>
  <c r="AK407" i="29" s="1"/>
  <c r="BL162" i="25"/>
  <c r="BY162" i="25"/>
  <c r="CA162" i="25" s="1"/>
  <c r="BK162" i="25"/>
  <c r="BY84" i="25"/>
  <c r="CA84" i="25" s="1"/>
  <c r="CB84" i="25" s="1"/>
  <c r="BL84" i="25"/>
  <c r="AA471" i="29"/>
  <c r="AJ470" i="29"/>
  <c r="AK470" i="29" s="1"/>
  <c r="AA236" i="29"/>
  <c r="AJ235" i="29"/>
  <c r="AK235" i="29" s="1"/>
  <c r="BY254" i="25"/>
  <c r="CA254" i="25" s="1"/>
  <c r="CB254" i="25" s="1"/>
  <c r="BL254" i="25"/>
  <c r="BK254" i="25"/>
  <c r="BL185" i="25"/>
  <c r="BY185" i="25"/>
  <c r="CA185" i="25" s="1"/>
  <c r="BK185" i="25"/>
  <c r="BY48" i="25"/>
  <c r="CA48" i="25" s="1"/>
  <c r="CB48" i="25" s="1"/>
  <c r="BL48" i="25"/>
  <c r="AA97" i="29"/>
  <c r="AJ96" i="29"/>
  <c r="AK96" i="29" s="1"/>
  <c r="AA271" i="29"/>
  <c r="BL26" i="25"/>
  <c r="BY26" i="25"/>
  <c r="CA26" i="25" s="1"/>
  <c r="AA279" i="29"/>
  <c r="BL27" i="25"/>
  <c r="BY27" i="25"/>
  <c r="CA27" i="25" s="1"/>
  <c r="BL301" i="25"/>
  <c r="BY301" i="25"/>
  <c r="CA301" i="25" s="1"/>
  <c r="CB301" i="25" s="1"/>
  <c r="BK301" i="25"/>
  <c r="BY303" i="25"/>
  <c r="CA303" i="25" s="1"/>
  <c r="CB303" i="25" s="1"/>
  <c r="BL303" i="25"/>
  <c r="BK303" i="25"/>
  <c r="AA141" i="29"/>
  <c r="BL287" i="25"/>
  <c r="BY287" i="25"/>
  <c r="CA287" i="25" s="1"/>
  <c r="CB287" i="25" s="1"/>
  <c r="BK287" i="25"/>
  <c r="AJ135" i="29"/>
  <c r="AK135" i="29" s="1"/>
  <c r="AA136" i="29"/>
  <c r="AJ298" i="29"/>
  <c r="AK298" i="29" s="1"/>
  <c r="AA299" i="29"/>
  <c r="BL136" i="25"/>
  <c r="BY136" i="25"/>
  <c r="CA136" i="25" s="1"/>
  <c r="CB136" i="25" s="1"/>
  <c r="BK136" i="25"/>
  <c r="AA352" i="29"/>
  <c r="AJ468" i="29"/>
  <c r="AK468" i="29" s="1"/>
  <c r="AA469" i="29"/>
  <c r="AJ282" i="29"/>
  <c r="AK282" i="29" s="1"/>
  <c r="AA283" i="29"/>
  <c r="AA512" i="29"/>
  <c r="AJ511" i="29"/>
  <c r="AK511" i="29" s="1"/>
  <c r="BY38" i="25"/>
  <c r="CA38" i="25" s="1"/>
  <c r="CB38" i="25" s="1"/>
  <c r="BL38" i="25"/>
  <c r="BY16" i="25"/>
  <c r="CA16" i="25" s="1"/>
  <c r="CB16" i="25" s="1"/>
  <c r="BL16" i="25"/>
  <c r="BY181" i="25"/>
  <c r="CA181" i="25" s="1"/>
  <c r="BL181" i="25"/>
  <c r="BK181" i="25"/>
  <c r="AJ487" i="29"/>
  <c r="AK487" i="29" s="1"/>
  <c r="AA488" i="29"/>
  <c r="AA220" i="29"/>
  <c r="BY172" i="25"/>
  <c r="CA172" i="25" s="1"/>
  <c r="BL172" i="25"/>
  <c r="BK172" i="25"/>
  <c r="AA449" i="29"/>
  <c r="AA534" i="29"/>
  <c r="BY100" i="25"/>
  <c r="CA100" i="25" s="1"/>
  <c r="CB100" i="25" s="1"/>
  <c r="BL100" i="25"/>
  <c r="AJ286" i="29"/>
  <c r="AK286" i="29" s="1"/>
  <c r="AA287" i="29"/>
  <c r="AA390" i="29"/>
  <c r="AJ389" i="29"/>
  <c r="AK389" i="29" s="1"/>
  <c r="AJ563" i="29"/>
  <c r="AK563" i="29" s="1"/>
  <c r="AA564" i="29"/>
  <c r="BY134" i="25"/>
  <c r="CA134" i="25" s="1"/>
  <c r="CB134" i="25" s="1"/>
  <c r="BL134" i="25"/>
  <c r="BK134" i="25"/>
  <c r="AA443" i="29"/>
  <c r="AJ442" i="29"/>
  <c r="AK442" i="29" s="1"/>
  <c r="AA374" i="29"/>
  <c r="AJ100" i="29"/>
  <c r="AK100" i="29" s="1"/>
  <c r="AA101" i="29"/>
  <c r="AJ248" i="29"/>
  <c r="AK248" i="29" s="1"/>
  <c r="AA249" i="29"/>
  <c r="AA551" i="29"/>
  <c r="AJ550" i="29"/>
  <c r="AK550" i="29" s="1"/>
  <c r="AA161" i="29"/>
  <c r="AJ160" i="29"/>
  <c r="AK160" i="29" s="1"/>
  <c r="AA501" i="29"/>
  <c r="AJ500" i="29"/>
  <c r="AK500" i="29" s="1"/>
  <c r="BL160" i="25"/>
  <c r="BY160" i="25"/>
  <c r="CA160" i="25" s="1"/>
  <c r="BK160" i="25"/>
  <c r="AA344" i="29"/>
  <c r="AJ385" i="29"/>
  <c r="AK385" i="29" s="1"/>
  <c r="AA386" i="29"/>
  <c r="AA17" i="29"/>
  <c r="AJ16" i="29"/>
  <c r="AK16" i="29" s="1"/>
  <c r="BY308" i="25"/>
  <c r="CA308" i="25" s="1"/>
  <c r="CB308" i="25" s="1"/>
  <c r="BL308" i="25"/>
  <c r="BK308" i="25"/>
  <c r="BY135" i="25"/>
  <c r="CA135" i="25" s="1"/>
  <c r="BL135" i="25"/>
  <c r="BK135" i="25"/>
  <c r="AA151" i="29"/>
  <c r="AA570" i="29"/>
  <c r="AJ569" i="29"/>
  <c r="AK569" i="29" s="1"/>
  <c r="AA446" i="29"/>
  <c r="AJ445" i="29"/>
  <c r="AK445" i="29" s="1"/>
  <c r="BY309" i="25"/>
  <c r="CA309" i="25" s="1"/>
  <c r="CB309" i="25" s="1"/>
  <c r="BL309" i="25"/>
  <c r="BK309" i="25"/>
  <c r="BL74" i="25"/>
  <c r="BY74" i="25"/>
  <c r="CA74" i="25" s="1"/>
  <c r="AJ259" i="29"/>
  <c r="AK259" i="29" s="1"/>
  <c r="AA260" i="29"/>
  <c r="AA555" i="29"/>
  <c r="AJ554" i="29"/>
  <c r="AK554" i="29" s="1"/>
  <c r="AA316" i="29"/>
  <c r="AA532" i="29"/>
  <c r="AJ87" i="29"/>
  <c r="AK87" i="29" s="1"/>
  <c r="AA88" i="29"/>
  <c r="AA468" i="29"/>
  <c r="AJ467" i="29"/>
  <c r="AK467" i="29" s="1"/>
  <c r="BY216" i="25"/>
  <c r="CA216" i="25" s="1"/>
  <c r="CB216" i="25" s="1"/>
  <c r="BL216" i="25"/>
  <c r="BK216" i="25"/>
  <c r="AA103" i="29"/>
  <c r="AJ102" i="29"/>
  <c r="AK102" i="29" s="1"/>
  <c r="AA44" i="29"/>
  <c r="AJ43" i="29"/>
  <c r="AK43" i="29" s="1"/>
  <c r="BL123" i="25"/>
  <c r="BY123" i="25"/>
  <c r="CA123" i="25" s="1"/>
  <c r="CB123" i="25" s="1"/>
  <c r="BK123" i="25"/>
  <c r="AA328" i="29"/>
  <c r="AJ327" i="29"/>
  <c r="AK327" i="29" s="1"/>
  <c r="AJ537" i="29"/>
  <c r="AK537" i="29" s="1"/>
  <c r="AA538" i="29"/>
  <c r="AA269" i="29"/>
  <c r="AJ268" i="29"/>
  <c r="AK268" i="29" s="1"/>
  <c r="AA420" i="29"/>
  <c r="AJ419" i="29"/>
  <c r="AK419" i="29" s="1"/>
  <c r="BY244" i="25"/>
  <c r="CA244" i="25" s="1"/>
  <c r="CB244" i="25" s="1"/>
  <c r="BL244" i="25"/>
  <c r="BK244" i="25"/>
  <c r="BL236" i="25"/>
  <c r="BY236" i="25"/>
  <c r="CA236" i="25" s="1"/>
  <c r="CB236" i="25" s="1"/>
  <c r="BK236" i="25"/>
  <c r="AJ366" i="29"/>
  <c r="AK366" i="29" s="1"/>
  <c r="AA367" i="29"/>
  <c r="BY279" i="25"/>
  <c r="CA279" i="25" s="1"/>
  <c r="CB279" i="25" s="1"/>
  <c r="BL279" i="25"/>
  <c r="BK279" i="25"/>
  <c r="AJ144" i="29"/>
  <c r="AK144" i="29" s="1"/>
  <c r="AA145" i="29"/>
  <c r="AA327" i="29"/>
  <c r="AA174" i="29"/>
  <c r="AJ173" i="29"/>
  <c r="AK173" i="29" s="1"/>
  <c r="BY61" i="25"/>
  <c r="CA61" i="25" s="1"/>
  <c r="CB61" i="25" s="1"/>
  <c r="BL61" i="25"/>
  <c r="BY49" i="25"/>
  <c r="CA49" i="25" s="1"/>
  <c r="CB49" i="25" s="1"/>
  <c r="BL49" i="25"/>
  <c r="AA436" i="29"/>
  <c r="AJ435" i="29"/>
  <c r="AK435" i="29" s="1"/>
  <c r="AJ455" i="29"/>
  <c r="AK455" i="29" s="1"/>
  <c r="AA456" i="29"/>
  <c r="AJ172" i="29"/>
  <c r="AK172" i="29" s="1"/>
  <c r="AA173" i="29"/>
  <c r="BY266" i="25"/>
  <c r="CA266" i="25" s="1"/>
  <c r="CB266" i="25" s="1"/>
  <c r="BL266" i="25"/>
  <c r="BK266" i="25"/>
  <c r="BY159" i="25"/>
  <c r="CA159" i="25" s="1"/>
  <c r="BL159" i="25"/>
  <c r="BK159" i="25"/>
  <c r="AJ456" i="29"/>
  <c r="AK456" i="29" s="1"/>
  <c r="AA457" i="29"/>
  <c r="AA423" i="29"/>
  <c r="AJ454" i="29"/>
  <c r="AK454" i="29" s="1"/>
  <c r="AA455" i="29"/>
  <c r="AA609" i="29"/>
  <c r="AJ608" i="29"/>
  <c r="AK608" i="29" s="1"/>
  <c r="AJ85" i="29"/>
  <c r="AK85" i="29" s="1"/>
  <c r="AA86" i="29"/>
  <c r="BL297" i="25"/>
  <c r="BY297" i="25"/>
  <c r="CA297" i="25" s="1"/>
  <c r="CB297" i="25" s="1"/>
  <c r="BK297" i="25"/>
  <c r="AJ394" i="29"/>
  <c r="AK394" i="29" s="1"/>
  <c r="AA395" i="29"/>
  <c r="AA143" i="29"/>
  <c r="AJ605" i="29"/>
  <c r="AK605" i="29" s="1"/>
  <c r="AA606" i="29"/>
  <c r="BY141" i="25"/>
  <c r="CA141" i="25" s="1"/>
  <c r="CB141" i="25" s="1"/>
  <c r="BL141" i="25"/>
  <c r="BK141" i="25"/>
  <c r="BY19" i="25"/>
  <c r="CA19" i="25" s="1"/>
  <c r="CB19" i="25" s="1"/>
  <c r="BL19" i="25"/>
  <c r="AJ367" i="29"/>
  <c r="AK367" i="29" s="1"/>
  <c r="AA368" i="29"/>
  <c r="AA388" i="29"/>
  <c r="AJ387" i="29"/>
  <c r="AK387" i="29" s="1"/>
  <c r="AA194" i="29"/>
  <c r="AJ193" i="29"/>
  <c r="AK193" i="29" s="1"/>
  <c r="AA385" i="29"/>
  <c r="AJ384" i="29"/>
  <c r="AK384" i="29" s="1"/>
  <c r="AA61" i="29"/>
  <c r="AJ60" i="29"/>
  <c r="AK60" i="29" s="1"/>
  <c r="AJ553" i="29"/>
  <c r="AK553" i="29" s="1"/>
  <c r="AA554" i="29"/>
  <c r="AA155" i="29"/>
  <c r="BY197" i="25"/>
  <c r="CA197" i="25" s="1"/>
  <c r="CB197" i="25" s="1"/>
  <c r="BL197" i="25"/>
  <c r="BK197" i="25"/>
  <c r="BY268" i="25"/>
  <c r="CA268" i="25" s="1"/>
  <c r="CB268" i="25" s="1"/>
  <c r="BL268" i="25"/>
  <c r="BK268" i="25"/>
  <c r="BY137" i="25"/>
  <c r="CA137" i="25" s="1"/>
  <c r="CB137" i="25" s="1"/>
  <c r="BL137" i="25"/>
  <c r="BK137" i="25"/>
  <c r="AJ344" i="29"/>
  <c r="AK344" i="29" s="1"/>
  <c r="AA345" i="29"/>
  <c r="BY57" i="25"/>
  <c r="CA57" i="25" s="1"/>
  <c r="BL57" i="25"/>
  <c r="BL218" i="25"/>
  <c r="BY218" i="25"/>
  <c r="CA218" i="25" s="1"/>
  <c r="CB218" i="25" s="1"/>
  <c r="BK218" i="25"/>
  <c r="AA376" i="29"/>
  <c r="AA71" i="29"/>
  <c r="AA504" i="29"/>
  <c r="AJ503" i="29"/>
  <c r="AK503" i="29" s="1"/>
  <c r="AJ540" i="29"/>
  <c r="AK540" i="29" s="1"/>
  <c r="AA541" i="29"/>
  <c r="BY165" i="25"/>
  <c r="CA165" i="25" s="1"/>
  <c r="BL165" i="25"/>
  <c r="BK165" i="25"/>
  <c r="AA394" i="29"/>
  <c r="AJ393" i="29"/>
  <c r="AK393" i="29" s="1"/>
  <c r="AA14" i="29"/>
  <c r="AA478" i="29"/>
  <c r="AJ477" i="29"/>
  <c r="AK477" i="29" s="1"/>
  <c r="BL285" i="25"/>
  <c r="BY285" i="25"/>
  <c r="CA285" i="25" s="1"/>
  <c r="CB285" i="25" s="1"/>
  <c r="BK285" i="25"/>
  <c r="AA464" i="29"/>
  <c r="AA349" i="29"/>
  <c r="BY145" i="25"/>
  <c r="CA145" i="25" s="1"/>
  <c r="CB145" i="25" s="1"/>
  <c r="BL145" i="25"/>
  <c r="BK145" i="25"/>
  <c r="AJ578" i="29"/>
  <c r="AK578" i="29" s="1"/>
  <c r="AA579" i="29"/>
  <c r="AA563" i="29"/>
  <c r="AA191" i="29"/>
  <c r="AJ190" i="29"/>
  <c r="AK190" i="29" s="1"/>
  <c r="AA414" i="29"/>
  <c r="AJ413" i="29"/>
  <c r="AK413" i="29" s="1"/>
  <c r="AJ103" i="29"/>
  <c r="AK103" i="29" s="1"/>
  <c r="AA104" i="29"/>
  <c r="AJ361" i="29"/>
  <c r="AK361" i="29" s="1"/>
  <c r="AA362" i="29"/>
  <c r="BY302" i="25"/>
  <c r="CA302" i="25" s="1"/>
  <c r="CB302" i="25" s="1"/>
  <c r="BL302" i="25"/>
  <c r="BK302" i="25"/>
  <c r="AA16" i="29"/>
  <c r="AA262" i="29"/>
  <c r="AA494" i="29"/>
  <c r="BY86" i="25"/>
  <c r="CA86" i="25" s="1"/>
  <c r="BL86" i="25"/>
  <c r="BL93" i="25"/>
  <c r="BY93" i="25"/>
  <c r="CA93" i="25" s="1"/>
  <c r="CB93" i="25" s="1"/>
  <c r="BY116" i="25"/>
  <c r="CA116" i="25" s="1"/>
  <c r="BL116" i="25"/>
  <c r="BK116" i="25"/>
  <c r="AA265" i="29"/>
  <c r="AJ264" i="29"/>
  <c r="AK264" i="29" s="1"/>
  <c r="AA182" i="29"/>
  <c r="AJ181" i="29"/>
  <c r="AK181" i="29" s="1"/>
  <c r="AJ29" i="29"/>
  <c r="AK29" i="29" s="1"/>
  <c r="AA30" i="29"/>
  <c r="AA76" i="29"/>
  <c r="AA549" i="29"/>
  <c r="AJ548" i="29"/>
  <c r="AK548" i="29" s="1"/>
  <c r="AA459" i="29"/>
  <c r="AJ458" i="29"/>
  <c r="AK458" i="29" s="1"/>
  <c r="AA78" i="29"/>
  <c r="AJ77" i="29"/>
  <c r="AK77" i="29" s="1"/>
  <c r="BY210" i="25"/>
  <c r="CA210" i="25" s="1"/>
  <c r="BL210" i="25"/>
  <c r="BK210" i="25"/>
  <c r="BL224" i="25"/>
  <c r="BY224" i="25"/>
  <c r="CA224" i="25" s="1"/>
  <c r="CB224" i="25" s="1"/>
  <c r="BK224" i="25"/>
  <c r="AJ461" i="29"/>
  <c r="AK461" i="29" s="1"/>
  <c r="AA462" i="29"/>
  <c r="BY312" i="25"/>
  <c r="CA312" i="25" s="1"/>
  <c r="CB312" i="25" s="1"/>
  <c r="BL312" i="25"/>
  <c r="BK312" i="25"/>
  <c r="AJ376" i="29"/>
  <c r="AK376" i="29" s="1"/>
  <c r="AA377" i="29"/>
  <c r="AJ195" i="29"/>
  <c r="AK195" i="29" s="1"/>
  <c r="AA196" i="29"/>
  <c r="BL99" i="25"/>
  <c r="BY99" i="25"/>
  <c r="CA99" i="25" s="1"/>
  <c r="CB99" i="25" s="1"/>
  <c r="AA550" i="29"/>
  <c r="AJ549" i="29"/>
  <c r="AK549" i="29" s="1"/>
  <c r="AA209" i="29"/>
  <c r="AJ208" i="29"/>
  <c r="AK208" i="29" s="1"/>
  <c r="AA295" i="29"/>
  <c r="AJ294" i="29"/>
  <c r="AK294" i="29" s="1"/>
  <c r="AJ226" i="29"/>
  <c r="AK226" i="29" s="1"/>
  <c r="AA227" i="29"/>
  <c r="AA27" i="29"/>
  <c r="AA601" i="29"/>
  <c r="AJ600" i="29"/>
  <c r="AK600" i="29" s="1"/>
  <c r="AA273" i="29"/>
  <c r="AJ272" i="29"/>
  <c r="AK272" i="29" s="1"/>
  <c r="AA426" i="29"/>
  <c r="AJ425" i="29"/>
  <c r="AK425" i="29" s="1"/>
  <c r="BL128" i="25"/>
  <c r="BY128" i="25"/>
  <c r="CA128" i="25" s="1"/>
  <c r="CB128" i="25" s="1"/>
  <c r="BK128" i="25"/>
  <c r="BY15" i="25"/>
  <c r="CA15" i="25" s="1"/>
  <c r="CB15" i="25" s="1"/>
  <c r="BL15" i="25"/>
  <c r="AA74" i="29"/>
  <c r="AJ73" i="29"/>
  <c r="AK73" i="29" s="1"/>
  <c r="BY64" i="25"/>
  <c r="CA64" i="25" s="1"/>
  <c r="BL64" i="25"/>
  <c r="AA176" i="29"/>
  <c r="AJ175" i="29"/>
  <c r="AK175" i="29" s="1"/>
  <c r="AA346" i="29"/>
  <c r="AJ345" i="29"/>
  <c r="AK345" i="29" s="1"/>
  <c r="BL60" i="25"/>
  <c r="BY60" i="25"/>
  <c r="CA60" i="25" s="1"/>
  <c r="AJ267" i="29"/>
  <c r="AK267" i="29" s="1"/>
  <c r="AA268" i="29"/>
  <c r="BY151" i="25"/>
  <c r="CA151" i="25" s="1"/>
  <c r="BL151" i="25"/>
  <c r="BK151" i="25"/>
  <c r="AJ111" i="29"/>
  <c r="AK111" i="29" s="1"/>
  <c r="AA112" i="29"/>
  <c r="AA415" i="29"/>
  <c r="AJ414" i="29"/>
  <c r="AK414" i="29" s="1"/>
  <c r="AA482" i="29"/>
  <c r="AJ481" i="29"/>
  <c r="AK481" i="29" s="1"/>
  <c r="AJ65" i="29"/>
  <c r="AK65" i="29" s="1"/>
  <c r="AA66" i="29"/>
  <c r="AA35" i="29"/>
  <c r="AJ34" i="29"/>
  <c r="AK34" i="29" s="1"/>
  <c r="AJ287" i="29"/>
  <c r="AK287" i="29" s="1"/>
  <c r="AA288" i="29"/>
  <c r="AA337" i="29"/>
  <c r="AA442" i="29"/>
  <c r="AA188" i="29"/>
  <c r="BY290" i="25"/>
  <c r="CA290" i="25" s="1"/>
  <c r="CB290" i="25" s="1"/>
  <c r="BL290" i="25"/>
  <c r="BK290" i="25"/>
  <c r="AG585" i="29"/>
  <c r="W585" i="29"/>
  <c r="AJ585" i="29" s="1"/>
  <c r="AK585" i="29" s="1"/>
  <c r="BY195" i="25"/>
  <c r="CA195" i="25" s="1"/>
  <c r="CB195" i="25" s="1"/>
  <c r="BL195" i="25"/>
  <c r="BK195" i="25"/>
  <c r="AA192" i="29"/>
  <c r="AJ191" i="29"/>
  <c r="AK191" i="29" s="1"/>
  <c r="AJ143" i="29"/>
  <c r="AK143" i="29" s="1"/>
  <c r="AA144" i="29"/>
  <c r="AJ167" i="29"/>
  <c r="AK167" i="29" s="1"/>
  <c r="AA168" i="29"/>
  <c r="AA243" i="29"/>
  <c r="AJ281" i="29"/>
  <c r="AK281" i="29" s="1"/>
  <c r="AA282" i="29"/>
  <c r="AJ599" i="29"/>
  <c r="AK599" i="29" s="1"/>
  <c r="AA600" i="29"/>
  <c r="AA354" i="29"/>
  <c r="AJ551" i="29"/>
  <c r="AK551" i="29" s="1"/>
  <c r="AA552" i="29"/>
  <c r="AA537" i="29"/>
  <c r="AJ536" i="29"/>
  <c r="AK536" i="29" s="1"/>
  <c r="BY121" i="25"/>
  <c r="CA121" i="25" s="1"/>
  <c r="BL121" i="25"/>
  <c r="BK121" i="25"/>
  <c r="AA54" i="29"/>
  <c r="AJ53" i="29"/>
  <c r="AK53" i="29" s="1"/>
  <c r="AJ388" i="29"/>
  <c r="AK388" i="29" s="1"/>
  <c r="AA389" i="29"/>
  <c r="AA302" i="29"/>
  <c r="AA612" i="29"/>
  <c r="AJ611" i="29"/>
  <c r="AK611" i="29" s="1"/>
  <c r="BY182" i="25"/>
  <c r="CA182" i="25" s="1"/>
  <c r="BL182" i="25"/>
  <c r="BK182" i="25"/>
  <c r="AA21" i="29"/>
  <c r="AJ20" i="29"/>
  <c r="AK20" i="29" s="1"/>
  <c r="AA45" i="29"/>
  <c r="AJ44" i="29"/>
  <c r="AA256" i="29"/>
  <c r="AJ255" i="29"/>
  <c r="AK255" i="29" s="1"/>
  <c r="AJ59" i="29"/>
  <c r="AK59" i="29" s="1"/>
  <c r="AA60" i="29"/>
  <c r="BY227" i="25"/>
  <c r="CA227" i="25" s="1"/>
  <c r="CB227" i="25" s="1"/>
  <c r="BL227" i="25"/>
  <c r="BK227" i="25"/>
  <c r="AJ295" i="29"/>
  <c r="AK295" i="29" s="1"/>
  <c r="AA296" i="29"/>
  <c r="BY269" i="25"/>
  <c r="CA269" i="25" s="1"/>
  <c r="CB269" i="25" s="1"/>
  <c r="BL269" i="25"/>
  <c r="BK269" i="25"/>
  <c r="AA589" i="29"/>
  <c r="AA298" i="29"/>
  <c r="AJ95" i="29"/>
  <c r="AK95" i="29" s="1"/>
  <c r="AA96" i="29"/>
  <c r="BL112" i="25"/>
  <c r="BY112" i="25"/>
  <c r="CA112" i="25" s="1"/>
  <c r="BK112" i="25"/>
  <c r="AA175" i="29"/>
  <c r="AJ174" i="29"/>
  <c r="AK174" i="29" s="1"/>
  <c r="AA178" i="29"/>
  <c r="BL304" i="25"/>
  <c r="BY304" i="25"/>
  <c r="CA304" i="25" s="1"/>
  <c r="CB304" i="25" s="1"/>
  <c r="BK304" i="25"/>
  <c r="AA370" i="29"/>
  <c r="BY307" i="25"/>
  <c r="CA307" i="25" s="1"/>
  <c r="CB307" i="25" s="1"/>
  <c r="BL307" i="25"/>
  <c r="BK307" i="25"/>
  <c r="BY230" i="25"/>
  <c r="CA230" i="25" s="1"/>
  <c r="CB230" i="25" s="1"/>
  <c r="BL230" i="25"/>
  <c r="BK230" i="25"/>
  <c r="AA518" i="29"/>
  <c r="AJ517" i="29"/>
  <c r="AK517" i="29" s="1"/>
  <c r="AA20" i="29"/>
  <c r="BY274" i="25"/>
  <c r="CA274" i="25" s="1"/>
  <c r="CB274" i="25" s="1"/>
  <c r="BL274" i="25"/>
  <c r="BK274" i="25"/>
  <c r="AA24" i="29"/>
  <c r="AA258" i="29"/>
  <c r="AJ257" i="29"/>
  <c r="AK257" i="29" s="1"/>
  <c r="AA159" i="29"/>
  <c r="AJ158" i="29"/>
  <c r="AK158" i="29" s="1"/>
  <c r="BY295" i="25"/>
  <c r="CA295" i="25" s="1"/>
  <c r="CB295" i="25" s="1"/>
  <c r="BL295" i="25"/>
  <c r="BK295" i="25"/>
  <c r="AA479" i="29"/>
  <c r="AJ478" i="29"/>
  <c r="AK478" i="29" s="1"/>
  <c r="AA477" i="29"/>
  <c r="AJ476" i="29"/>
  <c r="AK476" i="29" s="1"/>
  <c r="AA333" i="29"/>
  <c r="AJ332" i="29"/>
  <c r="AK332" i="29" s="1"/>
  <c r="BL184" i="25"/>
  <c r="BY184" i="25"/>
  <c r="CA184" i="25" s="1"/>
  <c r="BK184" i="25"/>
  <c r="AA281" i="29"/>
  <c r="AJ50" i="29"/>
  <c r="AK50" i="29" s="1"/>
  <c r="AA51" i="29"/>
  <c r="BY120" i="25"/>
  <c r="CA120" i="25" s="1"/>
  <c r="CB120" i="25" s="1"/>
  <c r="BL120" i="25"/>
  <c r="BK120" i="25"/>
  <c r="AA545" i="29"/>
  <c r="AJ544" i="29"/>
  <c r="AK544" i="29" s="1"/>
  <c r="AA323" i="29"/>
  <c r="BY25" i="25"/>
  <c r="CA25" i="25" s="1"/>
  <c r="CB25" i="25" s="1"/>
  <c r="BL25" i="25"/>
  <c r="AA559" i="29"/>
  <c r="AJ558" i="29"/>
  <c r="AK558" i="29" s="1"/>
  <c r="BY115" i="25"/>
  <c r="CA115" i="25" s="1"/>
  <c r="BL115" i="25"/>
  <c r="BK115" i="25"/>
  <c r="BL249" i="25"/>
  <c r="BY249" i="25"/>
  <c r="CA249" i="25" s="1"/>
  <c r="CB249" i="25" s="1"/>
  <c r="BK249" i="25"/>
  <c r="AA171" i="29"/>
  <c r="AJ64" i="29"/>
  <c r="AK64" i="29" s="1"/>
  <c r="AA65" i="29"/>
  <c r="AA338" i="29"/>
  <c r="AJ337" i="29"/>
  <c r="AK337" i="29" s="1"/>
  <c r="AJ408" i="29"/>
  <c r="AK408" i="29" s="1"/>
  <c r="AA409" i="29"/>
  <c r="AA313" i="29"/>
  <c r="AA57" i="29"/>
  <c r="AA208" i="29"/>
  <c r="AJ134" i="29"/>
  <c r="AK134" i="29" s="1"/>
  <c r="AA135" i="29"/>
  <c r="AJ354" i="29"/>
  <c r="AK354" i="29" s="1"/>
  <c r="AA355" i="29"/>
  <c r="AJ364" i="29"/>
  <c r="AK364" i="29" s="1"/>
  <c r="AA365" i="29"/>
  <c r="AA36" i="29"/>
  <c r="AJ35" i="29"/>
  <c r="AK35" i="29" s="1"/>
  <c r="BY103" i="25"/>
  <c r="CA103" i="25" s="1"/>
  <c r="CB103" i="25" s="1"/>
  <c r="BL103" i="25"/>
  <c r="AJ274" i="29"/>
  <c r="AK274" i="29" s="1"/>
  <c r="AA275" i="29"/>
  <c r="AJ362" i="29"/>
  <c r="AK362" i="29" s="1"/>
  <c r="AA363" i="29"/>
  <c r="AA230" i="29"/>
  <c r="AJ229" i="29"/>
  <c r="AK229" i="29" s="1"/>
  <c r="AJ377" i="29"/>
  <c r="AK377" i="29" s="1"/>
  <c r="AA378" i="29"/>
  <c r="BY138" i="25"/>
  <c r="CA138" i="25" s="1"/>
  <c r="BL138" i="25"/>
  <c r="BK138" i="25"/>
  <c r="BY277" i="25"/>
  <c r="CA277" i="25" s="1"/>
  <c r="CB277" i="25" s="1"/>
  <c r="BL277" i="25"/>
  <c r="BK277" i="25"/>
  <c r="BL221" i="25"/>
  <c r="BY221" i="25"/>
  <c r="CA221" i="25" s="1"/>
  <c r="CB221" i="25" s="1"/>
  <c r="BK221" i="25"/>
  <c r="BY124" i="25"/>
  <c r="CA124" i="25" s="1"/>
  <c r="BL124" i="25"/>
  <c r="BK124" i="25"/>
  <c r="BY117" i="25"/>
  <c r="CA117" i="25" s="1"/>
  <c r="BL117" i="25"/>
  <c r="BK117" i="25"/>
  <c r="AA290" i="29"/>
  <c r="AA32" i="29"/>
  <c r="AJ31" i="29"/>
  <c r="AK31" i="29" s="1"/>
  <c r="AA42" i="29"/>
  <c r="AH585" i="29"/>
  <c r="X585" i="29"/>
  <c r="Y585" i="29" s="1"/>
  <c r="AA500" i="29"/>
  <c r="AJ499" i="29"/>
  <c r="AK499" i="29" s="1"/>
  <c r="BY70" i="25"/>
  <c r="CA70" i="25" s="1"/>
  <c r="CB70" i="25" s="1"/>
  <c r="BL70" i="25"/>
  <c r="AJ211" i="29"/>
  <c r="AK211" i="29" s="1"/>
  <c r="AA212" i="29"/>
  <c r="AA190" i="29"/>
  <c r="AJ189" i="29"/>
  <c r="AK189" i="29" s="1"/>
  <c r="BL196" i="25"/>
  <c r="BY196" i="25"/>
  <c r="CA196" i="25" s="1"/>
  <c r="BK196" i="25"/>
  <c r="AA581" i="29"/>
  <c r="AJ580" i="29"/>
  <c r="AK580" i="29" s="1"/>
  <c r="AA22" i="29"/>
  <c r="AJ21" i="29"/>
  <c r="AK21" i="29" s="1"/>
  <c r="AA548" i="29"/>
  <c r="BY66" i="25"/>
  <c r="CA66" i="25" s="1"/>
  <c r="CB66" i="25" s="1"/>
  <c r="BL66" i="25"/>
  <c r="AA574" i="29"/>
  <c r="AA119" i="29"/>
  <c r="AJ118" i="29"/>
  <c r="AK118" i="29" s="1"/>
  <c r="BY12" i="25"/>
  <c r="CA12" i="25" s="1"/>
  <c r="CB12" i="25" s="1"/>
  <c r="BL12" i="25"/>
  <c r="AA110" i="29"/>
  <c r="AA300" i="29"/>
  <c r="AJ299" i="29"/>
  <c r="AK299" i="29" s="1"/>
  <c r="AJ482" i="29"/>
  <c r="AK482" i="29" s="1"/>
  <c r="AA483" i="29"/>
  <c r="AA411" i="29"/>
  <c r="AA540" i="29"/>
  <c r="AJ539" i="29"/>
  <c r="AK539" i="29" s="1"/>
  <c r="BY132" i="25"/>
  <c r="CA132" i="25" s="1"/>
  <c r="BL132" i="25"/>
  <c r="BK132" i="25"/>
  <c r="AJ519" i="29"/>
  <c r="AK519" i="29" s="1"/>
  <c r="AA520" i="29"/>
  <c r="AA48" i="29"/>
  <c r="AJ47" i="29"/>
  <c r="AK47" i="29" s="1"/>
  <c r="AJ228" i="29"/>
  <c r="AK228" i="29" s="1"/>
  <c r="AA229" i="29"/>
  <c r="AA307" i="29"/>
  <c r="AJ306" i="29"/>
  <c r="AK306" i="29" s="1"/>
  <c r="BY17" i="25"/>
  <c r="CA17" i="25" s="1"/>
  <c r="CB17" i="25" s="1"/>
  <c r="BL17" i="25"/>
  <c r="BL164" i="25"/>
  <c r="BY164" i="25"/>
  <c r="CA164" i="25" s="1"/>
  <c r="BK164" i="25"/>
  <c r="BY152" i="25"/>
  <c r="CA152" i="25" s="1"/>
  <c r="BL152" i="25"/>
  <c r="BK152" i="25"/>
  <c r="AA106" i="29"/>
  <c r="AJ105" i="29"/>
  <c r="AK105" i="29" s="1"/>
  <c r="AA117" i="29"/>
  <c r="AA46" i="29"/>
  <c r="AJ45" i="29"/>
  <c r="AK45" i="29" s="1"/>
  <c r="AA580" i="29"/>
  <c r="AJ579" i="29"/>
  <c r="AK579" i="29" s="1"/>
  <c r="AA593" i="29"/>
  <c r="AJ592" i="29"/>
  <c r="AK592" i="29" s="1"/>
  <c r="AA189" i="29"/>
  <c r="AJ188" i="29"/>
  <c r="AK188" i="29" s="1"/>
  <c r="AJ265" i="29"/>
  <c r="AK265" i="29" s="1"/>
  <c r="AA266" i="29"/>
  <c r="AA126" i="29"/>
  <c r="AJ125" i="29"/>
  <c r="AK125" i="29" s="1"/>
  <c r="BY52" i="25"/>
  <c r="CA52" i="25" s="1"/>
  <c r="BL52" i="25"/>
  <c r="AA505" i="29"/>
  <c r="AJ504" i="29"/>
  <c r="AK504" i="29" s="1"/>
  <c r="AA602" i="29"/>
  <c r="AJ601" i="29"/>
  <c r="AK601" i="29" s="1"/>
  <c r="AJ232" i="29"/>
  <c r="AK232" i="29" s="1"/>
  <c r="AA233" i="29"/>
  <c r="AA484" i="29"/>
  <c r="AJ483" i="29"/>
  <c r="AK483" i="29" s="1"/>
  <c r="BL90" i="25"/>
  <c r="BY90" i="25"/>
  <c r="CA90" i="25" s="1"/>
  <c r="AA165" i="29"/>
  <c r="AA18" i="29"/>
  <c r="AJ17" i="29"/>
  <c r="AK17" i="29" s="1"/>
  <c r="AA510" i="29"/>
  <c r="AJ509" i="29"/>
  <c r="AK509" i="29" s="1"/>
  <c r="AA379" i="29"/>
  <c r="AJ378" i="29"/>
  <c r="AK378" i="29" s="1"/>
  <c r="AJ568" i="29"/>
  <c r="AK568" i="29" s="1"/>
  <c r="AA569" i="29"/>
  <c r="AA239" i="29"/>
  <c r="AJ238" i="29"/>
  <c r="AK238" i="29" s="1"/>
  <c r="AA536" i="29"/>
  <c r="AJ535" i="29"/>
  <c r="AK535" i="29" s="1"/>
  <c r="BL111" i="25"/>
  <c r="BY111" i="25"/>
  <c r="CA111" i="25" s="1"/>
  <c r="BK111" i="25"/>
  <c r="AA162" i="29"/>
  <c r="AJ161" i="29"/>
  <c r="AK161" i="29" s="1"/>
  <c r="AA366" i="29"/>
  <c r="AJ365" i="29"/>
  <c r="AK365" i="29" s="1"/>
  <c r="AJ545" i="29"/>
  <c r="AK545" i="29" s="1"/>
  <c r="AA546" i="29"/>
  <c r="BY166" i="25"/>
  <c r="CA166" i="25" s="1"/>
  <c r="BL166" i="25"/>
  <c r="BK166" i="25"/>
  <c r="AA470" i="29"/>
  <c r="AJ469" i="29"/>
  <c r="AK469" i="29" s="1"/>
  <c r="AJ508" i="29"/>
  <c r="AK508" i="29" s="1"/>
  <c r="AA509" i="29"/>
  <c r="AA62" i="29"/>
  <c r="AJ61" i="29"/>
  <c r="AK61" i="29" s="1"/>
  <c r="AA447" i="29"/>
  <c r="AJ446" i="29"/>
  <c r="AK446" i="29" s="1"/>
  <c r="AA152" i="29"/>
  <c r="AJ151" i="29"/>
  <c r="AK151" i="29" s="1"/>
  <c r="AA517" i="29"/>
  <c r="AJ516" i="29"/>
  <c r="AK516" i="29" s="1"/>
  <c r="AA308" i="29"/>
  <c r="AJ307" i="29"/>
  <c r="AK307" i="29" s="1"/>
  <c r="BY207" i="25"/>
  <c r="CA207" i="25" s="1"/>
  <c r="BL207" i="25"/>
  <c r="BK207" i="25"/>
  <c r="AA607" i="29"/>
  <c r="AJ606" i="29"/>
  <c r="AK606" i="29" s="1"/>
  <c r="AA530" i="29"/>
  <c r="BY7" i="25"/>
  <c r="CA7" i="25" s="1"/>
  <c r="CB7" i="25" s="1"/>
  <c r="BL7" i="25"/>
  <c r="AA318" i="29"/>
  <c r="AJ317" i="29"/>
  <c r="AK317" i="29" s="1"/>
  <c r="BY288" i="25"/>
  <c r="CA288" i="25" s="1"/>
  <c r="CB288" i="25" s="1"/>
  <c r="BL288" i="25"/>
  <c r="BK288" i="25"/>
  <c r="BY180" i="25"/>
  <c r="CA180" i="25" s="1"/>
  <c r="BL180" i="25"/>
  <c r="BK180" i="25"/>
  <c r="AA543" i="29"/>
  <c r="BY183" i="25"/>
  <c r="CA183" i="25" s="1"/>
  <c r="BL183" i="25"/>
  <c r="BK183" i="25"/>
  <c r="BY222" i="25"/>
  <c r="CA222" i="25" s="1"/>
  <c r="CB222" i="25" s="1"/>
  <c r="BL222" i="25"/>
  <c r="BK222" i="25"/>
  <c r="BY127" i="25"/>
  <c r="CA127" i="25" s="1"/>
  <c r="CB127" i="25" s="1"/>
  <c r="BL127" i="25"/>
  <c r="BK127" i="25"/>
  <c r="AA114" i="29"/>
  <c r="BY235" i="25"/>
  <c r="CA235" i="25" s="1"/>
  <c r="CB235" i="25" s="1"/>
  <c r="BL235" i="25"/>
  <c r="BK235" i="25"/>
  <c r="AA384" i="29"/>
  <c r="AA121" i="29"/>
  <c r="AJ120" i="29"/>
  <c r="AK120" i="29" s="1"/>
  <c r="BY42" i="25"/>
  <c r="CA42" i="25" s="1"/>
  <c r="CB42" i="25" s="1"/>
  <c r="BL42" i="25"/>
  <c r="AA124" i="29"/>
  <c r="AJ123" i="29"/>
  <c r="AK123" i="29" s="1"/>
  <c r="AA118" i="29"/>
  <c r="AJ117" i="29"/>
  <c r="AK117" i="29" s="1"/>
  <c r="BL188" i="25"/>
  <c r="BY188" i="25"/>
  <c r="CA188" i="25" s="1"/>
  <c r="CB188" i="25" s="1"/>
  <c r="BK188" i="25"/>
  <c r="AJ403" i="29"/>
  <c r="AK403" i="29" s="1"/>
  <c r="AA404" i="29"/>
  <c r="BL58" i="25"/>
  <c r="BY58" i="25"/>
  <c r="CA58" i="25" s="1"/>
  <c r="CB58" i="25" s="1"/>
  <c r="AA466" i="29"/>
  <c r="AA472" i="29"/>
  <c r="AJ471" i="29"/>
  <c r="AK471" i="29" s="1"/>
  <c r="BY105" i="25"/>
  <c r="CA105" i="25" s="1"/>
  <c r="BL105" i="25"/>
  <c r="AA252" i="29"/>
  <c r="AA467" i="29"/>
  <c r="AJ466" i="29"/>
  <c r="AK466" i="29" s="1"/>
  <c r="AA83" i="29"/>
  <c r="BL81" i="25"/>
  <c r="BY81" i="25"/>
  <c r="CA81" i="25" s="1"/>
  <c r="AJ303" i="29"/>
  <c r="AK303" i="29" s="1"/>
  <c r="AA304" i="29"/>
  <c r="AA58" i="29"/>
  <c r="AJ57" i="29"/>
  <c r="AK57" i="29" s="1"/>
  <c r="BL202" i="25"/>
  <c r="BY202" i="25"/>
  <c r="CA202" i="25" s="1"/>
  <c r="BK202" i="25"/>
  <c r="AJ110" i="29"/>
  <c r="AK110" i="29" s="1"/>
  <c r="AA111" i="29"/>
  <c r="AJ323" i="29"/>
  <c r="AK323" i="29" s="1"/>
  <c r="AA324" i="29"/>
  <c r="AA604" i="29"/>
  <c r="AA226" i="29"/>
  <c r="AA527" i="29"/>
  <c r="BY18" i="25"/>
  <c r="CA18" i="25" s="1"/>
  <c r="CB18" i="25" s="1"/>
  <c r="BL18" i="25"/>
  <c r="AA167" i="29"/>
  <c r="BY223" i="25"/>
  <c r="CA223" i="25" s="1"/>
  <c r="CB223" i="25" s="1"/>
  <c r="BL223" i="25"/>
  <c r="BK223" i="25"/>
  <c r="AA491" i="29"/>
  <c r="AJ490" i="29"/>
  <c r="AK490" i="29" s="1"/>
  <c r="AA321" i="29"/>
  <c r="AJ320" i="29"/>
  <c r="AK320" i="29" s="1"/>
  <c r="AA486" i="29"/>
  <c r="AJ485" i="29"/>
  <c r="AK485" i="29" s="1"/>
  <c r="AA292" i="29"/>
  <c r="BL45" i="25"/>
  <c r="BY45" i="25"/>
  <c r="CA45" i="25" s="1"/>
  <c r="AA381" i="29"/>
  <c r="BY40" i="25"/>
  <c r="CA40" i="25" s="1"/>
  <c r="CB40" i="25" s="1"/>
  <c r="BL40" i="25"/>
  <c r="D65" i="29"/>
  <c r="E61" i="1" s="1"/>
  <c r="D62" i="29"/>
  <c r="D66" i="29" s="1"/>
  <c r="E63" i="1" s="1"/>
  <c r="AJ370" i="29"/>
  <c r="AK370" i="29" s="1"/>
  <c r="AA371" i="29"/>
  <c r="BL149" i="25"/>
  <c r="BY149" i="25"/>
  <c r="CA149" i="25" s="1"/>
  <c r="CB149" i="25" s="1"/>
  <c r="BK149" i="25"/>
  <c r="AJ171" i="29"/>
  <c r="AK171" i="29" s="1"/>
  <c r="AA172" i="29"/>
  <c r="AA105" i="29"/>
  <c r="AJ104" i="29"/>
  <c r="AK104" i="29" s="1"/>
  <c r="BY171" i="25"/>
  <c r="CA171" i="25" s="1"/>
  <c r="BL171" i="25"/>
  <c r="BK171" i="25"/>
  <c r="AA92" i="29"/>
  <c r="BY54" i="25"/>
  <c r="CA54" i="25" s="1"/>
  <c r="CB54" i="25" s="1"/>
  <c r="BL54" i="25"/>
  <c r="AA93" i="29"/>
  <c r="AJ92" i="29"/>
  <c r="AK92" i="29" s="1"/>
  <c r="AA453" i="29"/>
  <c r="AJ452" i="29"/>
  <c r="AK452" i="29" s="1"/>
  <c r="AJ283" i="29"/>
  <c r="AK283" i="29" s="1"/>
  <c r="AA284" i="29"/>
  <c r="BL313" i="25"/>
  <c r="BY313" i="25"/>
  <c r="CA313" i="25" s="1"/>
  <c r="CB313" i="25" s="1"/>
  <c r="BK313" i="25"/>
  <c r="AJ423" i="29"/>
  <c r="AK423" i="29" s="1"/>
  <c r="AA424" i="29"/>
  <c r="AA428" i="29"/>
  <c r="AJ427" i="29"/>
  <c r="AK427" i="29" s="1"/>
  <c r="AA417" i="29"/>
  <c r="AJ416" i="29"/>
  <c r="AK416" i="29" s="1"/>
  <c r="BL101" i="25"/>
  <c r="BY101" i="25"/>
  <c r="CA101" i="25" s="1"/>
  <c r="AJ390" i="29"/>
  <c r="AK390" i="29" s="1"/>
  <c r="AA391" i="29"/>
  <c r="AJ512" i="29"/>
  <c r="AK512" i="29" s="1"/>
  <c r="AA513" i="29"/>
  <c r="BL68" i="25"/>
  <c r="BY68" i="25"/>
  <c r="CA68" i="25" s="1"/>
  <c r="CB68" i="25" s="1"/>
  <c r="AA523" i="29"/>
  <c r="AA94" i="29"/>
  <c r="AJ93" i="29"/>
  <c r="AK93" i="29" s="1"/>
  <c r="BY78" i="25"/>
  <c r="CA78" i="25" s="1"/>
  <c r="CB78" i="25" s="1"/>
  <c r="BL78" i="25"/>
  <c r="AJ523" i="29"/>
  <c r="AK523" i="29" s="1"/>
  <c r="AA524" i="29"/>
  <c r="BL139" i="25"/>
  <c r="BY139" i="25"/>
  <c r="CA139" i="25" s="1"/>
  <c r="CB139" i="25" s="1"/>
  <c r="BK139" i="25"/>
  <c r="BY37" i="25"/>
  <c r="CA37" i="25" s="1"/>
  <c r="CB37" i="25" s="1"/>
  <c r="BL37" i="25"/>
  <c r="BY299" i="25"/>
  <c r="CA299" i="25" s="1"/>
  <c r="CB299" i="25" s="1"/>
  <c r="BL299" i="25"/>
  <c r="BK299" i="25"/>
  <c r="AJ567" i="29"/>
  <c r="AK567" i="29" s="1"/>
  <c r="AA568" i="29"/>
  <c r="AJ227" i="29"/>
  <c r="AK227" i="29" s="1"/>
  <c r="AA228" i="29"/>
  <c r="BL46" i="25"/>
  <c r="BY46" i="25"/>
  <c r="CA46" i="25" s="1"/>
  <c r="CB46" i="25" s="1"/>
  <c r="AA139" i="29"/>
  <c r="AJ138" i="29"/>
  <c r="AK138" i="29" s="1"/>
  <c r="BY20" i="25"/>
  <c r="CA20" i="25" s="1"/>
  <c r="CB20" i="25" s="1"/>
  <c r="BL20" i="25"/>
  <c r="AJ417" i="29"/>
  <c r="AK417" i="29" s="1"/>
  <c r="AA418" i="29"/>
  <c r="AA250" i="29"/>
  <c r="AJ249" i="29"/>
  <c r="AK249" i="29" s="1"/>
  <c r="BL156" i="25"/>
  <c r="BY156" i="25"/>
  <c r="CA156" i="25" s="1"/>
  <c r="BK156" i="25"/>
  <c r="AA400" i="29"/>
  <c r="AJ399" i="29"/>
  <c r="AK399" i="29" s="1"/>
  <c r="AA461" i="29"/>
  <c r="AJ460" i="29"/>
  <c r="AK460" i="29" s="1"/>
  <c r="AA235" i="29"/>
  <c r="AJ457" i="29"/>
  <c r="AK457" i="29" s="1"/>
  <c r="AA458" i="29"/>
  <c r="AA80" i="29"/>
  <c r="AJ79" i="29"/>
  <c r="AK79" i="29" s="1"/>
  <c r="AA309" i="29"/>
  <c r="AJ308" i="29"/>
  <c r="AK308" i="29" s="1"/>
  <c r="AJ201" i="29"/>
  <c r="AK201" i="29" s="1"/>
  <c r="AA202" i="29"/>
  <c r="BL298" i="25"/>
  <c r="BY298" i="25"/>
  <c r="CA298" i="25" s="1"/>
  <c r="CB298" i="25" s="1"/>
  <c r="BK298" i="25"/>
  <c r="AA427" i="29"/>
  <c r="AJ426" i="29"/>
  <c r="AK426" i="29" s="1"/>
  <c r="AJ46" i="29"/>
  <c r="AK46" i="29" s="1"/>
  <c r="AA47" i="29"/>
  <c r="AJ127" i="29"/>
  <c r="AK127" i="29" s="1"/>
  <c r="AA128" i="29"/>
  <c r="BY140" i="25"/>
  <c r="CA140" i="25" s="1"/>
  <c r="CB140" i="25" s="1"/>
  <c r="BL140" i="25"/>
  <c r="BK140" i="25"/>
  <c r="AA440" i="29"/>
  <c r="BY311" i="25"/>
  <c r="CA311" i="25" s="1"/>
  <c r="CB311" i="25" s="1"/>
  <c r="BL311" i="25"/>
  <c r="BK311" i="25"/>
  <c r="BY251" i="25"/>
  <c r="CA251" i="25" s="1"/>
  <c r="CB251" i="25" s="1"/>
  <c r="BL251" i="25"/>
  <c r="BK251" i="25"/>
  <c r="AJ604" i="29"/>
  <c r="AK604" i="29" s="1"/>
  <c r="AA605" i="29"/>
  <c r="AA157" i="29"/>
  <c r="BL219" i="25"/>
  <c r="BY219" i="25"/>
  <c r="CA219" i="25" s="1"/>
  <c r="CB219" i="25" s="1"/>
  <c r="BK219" i="25"/>
  <c r="AA508" i="29"/>
  <c r="AJ574" i="29"/>
  <c r="AK574" i="29" s="1"/>
  <c r="AA575" i="29"/>
  <c r="AA591" i="29"/>
  <c r="AJ590" i="29"/>
  <c r="AK590" i="29" s="1"/>
  <c r="AA544" i="29"/>
  <c r="AJ543" i="29"/>
  <c r="AK543" i="29" s="1"/>
  <c r="AA334" i="29"/>
  <c r="AJ333" i="29"/>
  <c r="AK333" i="29" s="1"/>
  <c r="BY191" i="25"/>
  <c r="CA191" i="25" s="1"/>
  <c r="BL191" i="25"/>
  <c r="BK191" i="25"/>
  <c r="CB124" i="25" l="1"/>
  <c r="CF124" i="25"/>
  <c r="CB26" i="25"/>
  <c r="CF26" i="25"/>
  <c r="AA584" i="29"/>
  <c r="AK126" i="29"/>
  <c r="AK114" i="29"/>
  <c r="AA225" i="29"/>
  <c r="AJ162" i="29"/>
  <c r="AK162" i="29" s="1"/>
  <c r="AA380" i="29"/>
  <c r="AJ225" i="29"/>
  <c r="AK225" i="29" s="1"/>
  <c r="AK311" i="29"/>
  <c r="AJ379" i="29"/>
  <c r="AK379" i="29" s="1"/>
  <c r="CB57" i="25"/>
  <c r="CF57" i="25"/>
  <c r="L111" i="2"/>
  <c r="L112" i="2" s="1"/>
  <c r="L26" i="1" s="1"/>
  <c r="CB112" i="25"/>
  <c r="CF112" i="25"/>
  <c r="AK44" i="29"/>
  <c r="CB130" i="25"/>
  <c r="CF130" i="25"/>
  <c r="CB27" i="25"/>
  <c r="CF27" i="25"/>
  <c r="CB125" i="25"/>
  <c r="CF125" i="25"/>
  <c r="CB10" i="25"/>
  <c r="CF10" i="25"/>
  <c r="CB115" i="25"/>
  <c r="CF115" i="25"/>
  <c r="CB88" i="25"/>
  <c r="CF88" i="25"/>
  <c r="CB121" i="25"/>
  <c r="CF121" i="25"/>
  <c r="CB22" i="25"/>
  <c r="CF22" i="25"/>
  <c r="CB162" i="25"/>
  <c r="CF162" i="25"/>
  <c r="CB77" i="25"/>
  <c r="CF77" i="25"/>
  <c r="CB60" i="25"/>
  <c r="CF60" i="25"/>
  <c r="CB116" i="25"/>
  <c r="CF116" i="25"/>
  <c r="CB117" i="25"/>
  <c r="CF117" i="25"/>
  <c r="CB65" i="25"/>
  <c r="CF65" i="25"/>
  <c r="CB111" i="25"/>
  <c r="CF111" i="25"/>
  <c r="AK106" i="29"/>
  <c r="AA566" i="29"/>
  <c r="AK94" i="29"/>
  <c r="AJ261" i="29"/>
  <c r="AK261" i="29" s="1"/>
  <c r="AJ566" i="29"/>
  <c r="AK566" i="29" s="1"/>
  <c r="AJ223" i="29"/>
  <c r="AK223" i="29" s="1"/>
  <c r="AJ260" i="29"/>
  <c r="AK260" i="29" s="1"/>
  <c r="AJ136" i="29"/>
  <c r="AK136" i="29" s="1"/>
  <c r="AA137" i="29"/>
  <c r="AJ113" i="29"/>
  <c r="AK113" i="29" s="1"/>
  <c r="AA113" i="29"/>
  <c r="AJ252" i="29"/>
  <c r="AK252" i="29" s="1"/>
  <c r="AJ19" i="29"/>
  <c r="AK19" i="29" s="1"/>
  <c r="AJ49" i="29"/>
  <c r="AK49" i="29" s="1"/>
  <c r="CB86" i="25"/>
  <c r="CF86" i="25"/>
  <c r="AA19" i="29"/>
  <c r="CB152" i="25"/>
  <c r="CF152" i="25"/>
  <c r="AK101" i="29"/>
  <c r="CF154" i="25"/>
  <c r="CB56" i="25"/>
  <c r="CF56" i="25"/>
  <c r="CB205" i="25"/>
  <c r="CF205" i="25"/>
  <c r="CB200" i="25"/>
  <c r="CF200" i="25"/>
  <c r="CB153" i="25"/>
  <c r="CF153" i="25"/>
  <c r="CB64" i="25"/>
  <c r="CF64" i="25"/>
  <c r="CB193" i="25"/>
  <c r="CF193" i="25"/>
  <c r="CB159" i="25"/>
  <c r="CF159" i="25"/>
  <c r="CB81" i="25"/>
  <c r="CF81" i="25"/>
  <c r="CB164" i="25"/>
  <c r="CF164" i="25"/>
  <c r="CB101" i="25"/>
  <c r="CF101" i="25"/>
  <c r="CB185" i="25"/>
  <c r="CF185" i="25"/>
  <c r="CB169" i="25"/>
  <c r="CF169" i="25"/>
  <c r="CB181" i="25"/>
  <c r="CF181" i="25"/>
  <c r="AJ342" i="29"/>
  <c r="AK342" i="29" s="1"/>
  <c r="CB151" i="25"/>
  <c r="CF151" i="25"/>
  <c r="AA562" i="29"/>
  <c r="AJ561" i="29"/>
  <c r="AK561" i="29" s="1"/>
  <c r="AA603" i="29"/>
  <c r="CB98" i="25"/>
  <c r="CF98" i="25"/>
  <c r="AA49" i="29"/>
  <c r="AA343" i="29"/>
  <c r="AA153" i="29"/>
  <c r="CB191" i="25"/>
  <c r="CF191" i="25"/>
  <c r="CB184" i="25"/>
  <c r="CF184" i="25"/>
  <c r="CB203" i="25"/>
  <c r="CF203" i="25"/>
  <c r="AJ603" i="29"/>
  <c r="AK603" i="29" s="1"/>
  <c r="CB172" i="25"/>
  <c r="CF172" i="25"/>
  <c r="CB202" i="25"/>
  <c r="CF202" i="25"/>
  <c r="AJ507" i="29"/>
  <c r="AK507" i="29" s="1"/>
  <c r="AA322" i="29"/>
  <c r="AJ321" i="29"/>
  <c r="AK321" i="29" s="1"/>
  <c r="AA98" i="29"/>
  <c r="AJ165" i="29"/>
  <c r="AK165" i="29" s="1"/>
  <c r="AA166" i="29"/>
  <c r="AA198" i="29"/>
  <c r="AA109" i="29"/>
  <c r="CB183" i="25"/>
  <c r="CF183" i="25"/>
  <c r="AK80" i="29"/>
  <c r="AJ88" i="29"/>
  <c r="AK88" i="29" s="1"/>
  <c r="AJ493" i="29"/>
  <c r="AK493" i="29" s="1"/>
  <c r="AJ207" i="29"/>
  <c r="AK207" i="29" s="1"/>
  <c r="CB180" i="25"/>
  <c r="CF180" i="25"/>
  <c r="AJ206" i="29"/>
  <c r="AK206" i="29" s="1"/>
  <c r="CB80" i="25"/>
  <c r="CF80" i="25"/>
  <c r="CB52" i="25"/>
  <c r="CF52" i="25"/>
  <c r="CB90" i="25"/>
  <c r="CF90" i="25"/>
  <c r="AJ108" i="29"/>
  <c r="AK108" i="29" s="1"/>
  <c r="CB196" i="25"/>
  <c r="CF196" i="25"/>
  <c r="AJ492" i="29"/>
  <c r="AK492" i="29" s="1"/>
  <c r="AA357" i="29"/>
  <c r="AJ348" i="29"/>
  <c r="AK348" i="29" s="1"/>
  <c r="AA270" i="29"/>
  <c r="AJ122" i="29"/>
  <c r="AK122" i="29" s="1"/>
  <c r="AA507" i="29"/>
  <c r="AJ465" i="29"/>
  <c r="AK465" i="29" s="1"/>
  <c r="AJ329" i="29"/>
  <c r="AK329" i="29" s="1"/>
  <c r="AA465" i="29"/>
  <c r="AA122" i="29"/>
  <c r="AJ330" i="29"/>
  <c r="AK330" i="29" s="1"/>
  <c r="AA571" i="29"/>
  <c r="AJ216" i="29"/>
  <c r="AK216" i="29" s="1"/>
  <c r="AJ571" i="29"/>
  <c r="AK571" i="29" s="1"/>
  <c r="AA557" i="29"/>
  <c r="AJ146" i="29"/>
  <c r="AK146" i="29" s="1"/>
  <c r="AJ147" i="29"/>
  <c r="AK147" i="29" s="1"/>
  <c r="AJ351" i="29"/>
  <c r="AK351" i="29" s="1"/>
  <c r="AJ184" i="29"/>
  <c r="AK184" i="29" s="1"/>
  <c r="AJ13" i="29"/>
  <c r="AK13" i="29" s="1"/>
  <c r="AA185" i="29"/>
  <c r="AA598" i="29"/>
  <c r="AJ597" i="29"/>
  <c r="AK597" i="29" s="1"/>
  <c r="AJ69" i="29"/>
  <c r="AK69" i="29" s="1"/>
  <c r="AA107" i="29"/>
  <c r="AJ373" i="29"/>
  <c r="AK373" i="29" s="1"/>
  <c r="AJ234" i="29"/>
  <c r="AK234" i="29" s="1"/>
  <c r="AJ115" i="29"/>
  <c r="AK115" i="29" s="1"/>
  <c r="AA373" i="29"/>
  <c r="AA115" i="29"/>
  <c r="AJ233" i="29"/>
  <c r="AK233" i="29" s="1"/>
  <c r="CB105" i="25"/>
  <c r="B286" i="2" s="1"/>
  <c r="CF105" i="25"/>
  <c r="AA547" i="29"/>
  <c r="CB132" i="25"/>
  <c r="CF132" i="25"/>
  <c r="CB165" i="25"/>
  <c r="CF165" i="25"/>
  <c r="AJ107" i="29"/>
  <c r="AK107" i="29" s="1"/>
  <c r="AJ422" i="29"/>
  <c r="AK422" i="29" s="1"/>
  <c r="AJ340" i="29"/>
  <c r="AK340" i="29" s="1"/>
  <c r="AA341" i="29"/>
  <c r="AJ24" i="29"/>
  <c r="AK24" i="29" s="1"/>
  <c r="AJ51" i="29"/>
  <c r="AK51" i="29" s="1"/>
  <c r="AJ25" i="29"/>
  <c r="AK25" i="29" s="1"/>
  <c r="CB207" i="25"/>
  <c r="CF207" i="25"/>
  <c r="AJ70" i="29"/>
  <c r="AK70" i="29" s="1"/>
  <c r="AJ326" i="29"/>
  <c r="AK326" i="29" s="1"/>
  <c r="AJ156" i="29"/>
  <c r="AK156" i="29" s="1"/>
  <c r="AA52" i="29"/>
  <c r="AJ428" i="29"/>
  <c r="AK428" i="29" s="1"/>
  <c r="AJ291" i="29"/>
  <c r="AK291" i="29" s="1"/>
  <c r="AA291" i="29"/>
  <c r="AJ253" i="29"/>
  <c r="AK253" i="29" s="1"/>
  <c r="AA254" i="29"/>
  <c r="AJ513" i="29"/>
  <c r="AK513" i="29" s="1"/>
  <c r="AJ547" i="29"/>
  <c r="AK547" i="29" s="1"/>
  <c r="AA326" i="29"/>
  <c r="AJ498" i="29"/>
  <c r="AK498" i="29" s="1"/>
  <c r="AA156" i="29"/>
  <c r="AJ586" i="29"/>
  <c r="AK586" i="29" s="1"/>
  <c r="AJ497" i="29"/>
  <c r="AK497" i="29" s="1"/>
  <c r="CB209" i="25"/>
  <c r="CF209" i="25"/>
  <c r="AJ116" i="29"/>
  <c r="AK116" i="29" s="1"/>
  <c r="AA242" i="29"/>
  <c r="AJ270" i="29"/>
  <c r="AK270" i="29" s="1"/>
  <c r="AA116" i="29"/>
  <c r="AJ215" i="29"/>
  <c r="AK215" i="29" s="1"/>
  <c r="AA150" i="29"/>
  <c r="AJ209" i="29"/>
  <c r="AK209" i="29" s="1"/>
  <c r="AJ350" i="29"/>
  <c r="AK350" i="29" s="1"/>
  <c r="AJ347" i="29"/>
  <c r="AK347" i="29" s="1"/>
  <c r="AJ89" i="29"/>
  <c r="AK89" i="29" s="1"/>
  <c r="AA480" i="29"/>
  <c r="AJ480" i="29"/>
  <c r="AK480" i="29" s="1"/>
  <c r="AJ90" i="29"/>
  <c r="AK90" i="29" s="1"/>
  <c r="AJ526" i="29"/>
  <c r="AK526" i="29" s="1"/>
  <c r="AJ346" i="29"/>
  <c r="AK346" i="29" s="1"/>
  <c r="AA347" i="29"/>
  <c r="AJ525" i="29"/>
  <c r="AK525" i="29" s="1"/>
  <c r="AJ529" i="29"/>
  <c r="AK529" i="29" s="1"/>
  <c r="AJ289" i="29"/>
  <c r="AK289" i="29" s="1"/>
  <c r="AJ528" i="29"/>
  <c r="AK528" i="29" s="1"/>
  <c r="AA289" i="29"/>
  <c r="AJ139" i="29"/>
  <c r="AK139" i="29" s="1"/>
  <c r="AJ186" i="29"/>
  <c r="AK186" i="29" s="1"/>
  <c r="AJ187" i="29"/>
  <c r="AK187" i="29" s="1"/>
  <c r="AA219" i="29"/>
  <c r="AJ400" i="29"/>
  <c r="AK400" i="29" s="1"/>
  <c r="AA401" i="29"/>
  <c r="AA406" i="29"/>
  <c r="AJ222" i="29"/>
  <c r="AK222" i="29" s="1"/>
  <c r="AJ405" i="29"/>
  <c r="AK405" i="29" s="1"/>
  <c r="CB138" i="25"/>
  <c r="CF138" i="25"/>
  <c r="CB55" i="25"/>
  <c r="CF55" i="25"/>
  <c r="AA140" i="29"/>
  <c r="AJ164" i="29"/>
  <c r="AK164" i="29" s="1"/>
  <c r="AA514" i="29"/>
  <c r="AJ463" i="29"/>
  <c r="AK463" i="29" s="1"/>
  <c r="AJ83" i="29"/>
  <c r="AK83" i="29" s="1"/>
  <c r="AA84" i="29"/>
  <c r="AJ462" i="29"/>
  <c r="AK462" i="29" s="1"/>
  <c r="AJ130" i="29"/>
  <c r="AK130" i="29" s="1"/>
  <c r="AA130" i="29"/>
  <c r="AJ421" i="29"/>
  <c r="AK421" i="29" s="1"/>
  <c r="AJ163" i="29"/>
  <c r="AK163" i="29" s="1"/>
  <c r="AJ242" i="29"/>
  <c r="AK242" i="29" s="1"/>
  <c r="AJ210" i="29"/>
  <c r="AK210" i="29" s="1"/>
  <c r="AJ149" i="29"/>
  <c r="AK149" i="29" s="1"/>
  <c r="AA133" i="29"/>
  <c r="AJ41" i="29"/>
  <c r="AK41" i="29" s="1"/>
  <c r="AJ40" i="29"/>
  <c r="AK40" i="29" s="1"/>
  <c r="AA502" i="29"/>
  <c r="AJ555" i="29"/>
  <c r="AK555" i="29" s="1"/>
  <c r="AA154" i="29"/>
  <c r="AA439" i="29"/>
  <c r="AJ153" i="29"/>
  <c r="AK153" i="29" s="1"/>
  <c r="AJ439" i="29"/>
  <c r="AK439" i="29" s="1"/>
  <c r="AA142" i="29"/>
  <c r="AJ502" i="29"/>
  <c r="AK502" i="29" s="1"/>
  <c r="AJ169" i="29"/>
  <c r="AK169" i="29" s="1"/>
  <c r="AA91" i="29"/>
  <c r="AA610" i="29"/>
  <c r="AJ609" i="29"/>
  <c r="AK609" i="29" s="1"/>
  <c r="AJ447" i="29"/>
  <c r="AK447" i="29" s="1"/>
  <c r="AJ522" i="29"/>
  <c r="AK522" i="29" s="1"/>
  <c r="AJ170" i="29"/>
  <c r="AK170" i="29" s="1"/>
  <c r="AA448" i="29"/>
  <c r="AJ521" i="29"/>
  <c r="AK521" i="29" s="1"/>
  <c r="AJ132" i="29"/>
  <c r="AK132" i="29" s="1"/>
  <c r="AJ221" i="29"/>
  <c r="AK221" i="29" s="1"/>
  <c r="AJ220" i="29"/>
  <c r="AK220" i="29" s="1"/>
  <c r="AJ556" i="29"/>
  <c r="AK556" i="29" s="1"/>
  <c r="AJ176" i="29"/>
  <c r="AK176" i="29" s="1"/>
  <c r="AJ141" i="29"/>
  <c r="AK141" i="29" s="1"/>
  <c r="AA336" i="29"/>
  <c r="AJ474" i="29"/>
  <c r="AK474" i="29" s="1"/>
  <c r="AJ335" i="29"/>
  <c r="AK335" i="29" s="1"/>
  <c r="AJ218" i="29"/>
  <c r="AK218" i="29" s="1"/>
  <c r="AA149" i="29"/>
  <c r="AJ148" i="29"/>
  <c r="AK148" i="29" s="1"/>
  <c r="AJ217" i="29"/>
  <c r="AK217" i="29" s="1"/>
  <c r="AJ473" i="29"/>
  <c r="AK473" i="29" s="1"/>
  <c r="AJ177" i="29"/>
  <c r="AK177" i="29" s="1"/>
  <c r="AJ588" i="29"/>
  <c r="AK588" i="29" s="1"/>
  <c r="AJ349" i="29"/>
  <c r="AK349" i="29" s="1"/>
  <c r="AJ587" i="29"/>
  <c r="AK587" i="29" s="1"/>
  <c r="AA350" i="29"/>
  <c r="CB208" i="25"/>
  <c r="CF208" i="25"/>
  <c r="AJ356" i="29"/>
  <c r="AK356" i="29" s="1"/>
  <c r="AA99" i="29"/>
  <c r="AJ441" i="29"/>
  <c r="AK441" i="29" s="1"/>
  <c r="AJ98" i="29"/>
  <c r="AK98" i="29" s="1"/>
  <c r="AJ278" i="29"/>
  <c r="AK278" i="29" s="1"/>
  <c r="AA573" i="29"/>
  <c r="AJ572" i="29"/>
  <c r="AK572" i="29" s="1"/>
  <c r="CB45" i="25"/>
  <c r="CF45" i="25"/>
  <c r="AJ411" i="29"/>
  <c r="AK411" i="29" s="1"/>
  <c r="AJ239" i="29"/>
  <c r="AK239" i="29" s="1"/>
  <c r="CB135" i="25"/>
  <c r="CF135" i="25"/>
  <c r="AA412" i="29"/>
  <c r="CB175" i="25"/>
  <c r="CF175" i="25"/>
  <c r="AJ296" i="29"/>
  <c r="AK296" i="29" s="1"/>
  <c r="AA297" i="29"/>
  <c r="CB182" i="25"/>
  <c r="CF182" i="25"/>
  <c r="AJ429" i="29"/>
  <c r="AK429" i="29" s="1"/>
  <c r="AJ183" i="29"/>
  <c r="AK183" i="29" s="1"/>
  <c r="AA312" i="29"/>
  <c r="AJ182" i="29"/>
  <c r="AK182" i="29" s="1"/>
  <c r="AJ527" i="29"/>
  <c r="AK527" i="29" s="1"/>
  <c r="AJ74" i="29"/>
  <c r="AK74" i="29" s="1"/>
  <c r="AA75" i="29"/>
  <c r="AA240" i="29"/>
  <c r="AJ56" i="29"/>
  <c r="AK56" i="29" s="1"/>
  <c r="AA356" i="29"/>
  <c r="AJ430" i="29"/>
  <c r="AK430" i="29" s="1"/>
  <c r="AA528" i="29"/>
  <c r="AJ312" i="29"/>
  <c r="AK312" i="29" s="1"/>
  <c r="AA533" i="29"/>
  <c r="AA383" i="29"/>
  <c r="AJ250" i="29"/>
  <c r="AK250" i="29" s="1"/>
  <c r="AJ251" i="29"/>
  <c r="AK251" i="29" s="1"/>
  <c r="AJ542" i="29"/>
  <c r="AK542" i="29" s="1"/>
  <c r="AJ22" i="29"/>
  <c r="AK22" i="29" s="1"/>
  <c r="AJ23" i="29"/>
  <c r="AK23" i="29" s="1"/>
  <c r="AJ410" i="29"/>
  <c r="AK410" i="29" s="1"/>
  <c r="AJ279" i="29"/>
  <c r="AK279" i="29" s="1"/>
  <c r="AJ131" i="29"/>
  <c r="AK131" i="29" s="1"/>
  <c r="AJ409" i="29"/>
  <c r="AK409" i="29" s="1"/>
  <c r="AJ280" i="29"/>
  <c r="AK280" i="29" s="1"/>
  <c r="AJ541" i="29"/>
  <c r="AK541" i="29" s="1"/>
  <c r="AA492" i="29"/>
  <c r="AJ491" i="29"/>
  <c r="AK491" i="29" s="1"/>
  <c r="AJ449" i="29"/>
  <c r="AK449" i="29" s="1"/>
  <c r="AA450" i="29"/>
  <c r="AJ179" i="29"/>
  <c r="AK179" i="29" s="1"/>
  <c r="AA245" i="29"/>
  <c r="AJ244" i="29"/>
  <c r="AK244" i="29" s="1"/>
  <c r="AA179" i="29"/>
  <c r="AJ595" i="29"/>
  <c r="AK595" i="29" s="1"/>
  <c r="AA37" i="29"/>
  <c r="AJ433" i="29"/>
  <c r="AK433" i="29" s="1"/>
  <c r="AJ434" i="29"/>
  <c r="AK434" i="29" s="1"/>
  <c r="AA382" i="29"/>
  <c r="AJ55" i="29"/>
  <c r="AK55" i="29" s="1"/>
  <c r="AJ432" i="29"/>
  <c r="AK432" i="29" s="1"/>
  <c r="AJ315" i="29"/>
  <c r="AK315" i="29" s="1"/>
  <c r="AJ382" i="29"/>
  <c r="AK382" i="29" s="1"/>
  <c r="AJ374" i="29"/>
  <c r="AK374" i="29" s="1"/>
  <c r="AJ369" i="29"/>
  <c r="AK369" i="29" s="1"/>
  <c r="AJ314" i="29"/>
  <c r="AK314" i="29" s="1"/>
  <c r="AJ420" i="29"/>
  <c r="AK420" i="29" s="1"/>
  <c r="AA375" i="29"/>
  <c r="AA421" i="29"/>
  <c r="AJ368" i="29"/>
  <c r="AK368" i="29" s="1"/>
  <c r="AJ198" i="29"/>
  <c r="AK198" i="29" s="1"/>
  <c r="AJ37" i="29"/>
  <c r="AK37" i="29" s="1"/>
  <c r="AJ431" i="29"/>
  <c r="AK431" i="29" s="1"/>
  <c r="AJ594" i="29"/>
  <c r="AK594" i="29" s="1"/>
  <c r="AJ300" i="29"/>
  <c r="AK300" i="29" s="1"/>
  <c r="AJ91" i="29"/>
  <c r="AK91" i="29" s="1"/>
  <c r="AA301" i="29"/>
  <c r="AJ533" i="29"/>
  <c r="AK533" i="29" s="1"/>
  <c r="AJ304" i="29"/>
  <c r="AK304" i="29" s="1"/>
  <c r="AA305" i="29"/>
  <c r="AA525" i="29"/>
  <c r="AJ524" i="29"/>
  <c r="AK524" i="29" s="1"/>
  <c r="AA444" i="29"/>
  <c r="AA335" i="29"/>
  <c r="AJ14" i="29"/>
  <c r="AK14" i="29" s="1"/>
  <c r="AJ15" i="29"/>
  <c r="AK15" i="29" s="1"/>
  <c r="AJ353" i="29"/>
  <c r="AK353" i="29" s="1"/>
  <c r="AJ213" i="29"/>
  <c r="AK213" i="29" s="1"/>
  <c r="AJ352" i="29"/>
  <c r="AK352" i="29" s="1"/>
  <c r="AJ212" i="29"/>
  <c r="AK212" i="29" s="1"/>
  <c r="AA26" i="29"/>
  <c r="AA278" i="29"/>
  <c r="AJ334" i="29"/>
  <c r="AK334" i="29" s="1"/>
  <c r="AA531" i="29"/>
  <c r="AJ82" i="29"/>
  <c r="AK82" i="29" s="1"/>
  <c r="AJ530" i="29"/>
  <c r="AK530" i="29" s="1"/>
  <c r="AA360" i="29"/>
  <c r="AJ81" i="29"/>
  <c r="AK81" i="29" s="1"/>
  <c r="AJ360" i="29"/>
  <c r="AK360" i="29" s="1"/>
  <c r="AJ444" i="29"/>
  <c r="AK444" i="29" s="1"/>
  <c r="AJ495" i="29"/>
  <c r="AK495" i="29" s="1"/>
  <c r="AJ309" i="29"/>
  <c r="AK309" i="29" s="1"/>
  <c r="AJ26" i="29"/>
  <c r="AK26" i="29" s="1"/>
  <c r="AA310" i="29"/>
  <c r="AA200" i="29"/>
  <c r="AJ199" i="29"/>
  <c r="AK199" i="29" s="1"/>
  <c r="CB168" i="25"/>
  <c r="CF168" i="25"/>
  <c r="AJ440" i="29"/>
  <c r="AK440" i="29" s="1"/>
  <c r="CF211" i="24"/>
  <c r="AA495" i="29"/>
  <c r="CB102" i="25"/>
  <c r="CF102" i="25"/>
  <c r="CB163" i="25"/>
  <c r="CF163" i="25"/>
  <c r="CB156" i="25"/>
  <c r="CF156" i="25"/>
  <c r="CB79" i="25"/>
  <c r="CF79" i="25"/>
  <c r="CB166" i="25"/>
  <c r="CF166" i="25"/>
  <c r="CB176" i="25"/>
  <c r="CF176" i="25"/>
  <c r="BB212" i="25"/>
  <c r="BS212" i="25" s="1"/>
  <c r="BC212" i="25"/>
  <c r="BT212" i="25" s="1"/>
  <c r="BA212" i="25"/>
  <c r="CB210" i="25"/>
  <c r="CF210" i="25"/>
  <c r="CB72" i="25"/>
  <c r="CF72" i="25"/>
  <c r="CB171" i="25"/>
  <c r="CF171" i="25"/>
  <c r="CB74" i="25"/>
  <c r="CF74" i="25"/>
  <c r="CB160" i="25"/>
  <c r="CF160" i="25"/>
  <c r="AA585" i="29"/>
  <c r="AJ584" i="29"/>
  <c r="AK584" i="29" s="1"/>
  <c r="CB194" i="25"/>
  <c r="CF194" i="25"/>
  <c r="BE212" i="25" l="1"/>
  <c r="BR212" i="25"/>
  <c r="BX212" i="25" s="1"/>
  <c r="AK9" i="29"/>
  <c r="W5" i="29" s="1"/>
  <c r="B43" i="29" s="1"/>
  <c r="AK7" i="29"/>
  <c r="AL7" i="29" s="1"/>
  <c r="CF211" i="25"/>
  <c r="BL212" i="25" l="1"/>
  <c r="BY212" i="25"/>
  <c r="CA212" i="25" s="1"/>
  <c r="BK212" i="25"/>
  <c r="W4" i="29"/>
  <c r="G639" i="29" s="1"/>
  <c r="AL9" i="29"/>
  <c r="G617" i="29" l="1"/>
  <c r="J617" i="29" s="1"/>
  <c r="CB212" i="25"/>
  <c r="CF212" i="25"/>
  <c r="B42" i="29"/>
  <c r="G640" i="29"/>
  <c r="G618" i="29" l="1"/>
  <c r="G619" i="29" s="1"/>
  <c r="S617" i="29"/>
  <c r="I617" i="29"/>
  <c r="Q617" i="29"/>
  <c r="L617" i="29"/>
  <c r="AH617" i="29" s="1"/>
  <c r="K617" i="29"/>
  <c r="R617" i="29"/>
  <c r="O617" i="29"/>
  <c r="T617" i="29"/>
  <c r="P617" i="29"/>
  <c r="AG617" i="29" l="1"/>
  <c r="X617" i="29"/>
  <c r="Y617" i="29" s="1"/>
  <c r="AD617" i="29"/>
  <c r="AE617" i="29"/>
  <c r="W617" i="29"/>
  <c r="X62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LM5185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LM5185 low I</t>
        </r>
        <r>
          <rPr>
            <b/>
            <vertAlign val="subscript"/>
            <sz val="9"/>
            <color indexed="81"/>
            <rFont val="Tahoma"/>
            <family val="2"/>
          </rPr>
          <t>Q</t>
        </r>
        <r>
          <rPr>
            <b/>
            <sz val="9"/>
            <color indexed="81"/>
            <rFont val="Tahoma"/>
            <family val="2"/>
          </rPr>
          <t xml:space="preserve"> PSR flyback controller.</t>
        </r>
        <r>
          <rPr>
            <sz val="9"/>
            <color indexed="81"/>
            <rFont val="Tahoma"/>
            <family val="2"/>
          </rPr>
          <t xml:space="preserve"> As such, the user can expeditiously arrive at an optimized design by virtue of the following:
- Select transformer parameters including turns ratio and mag inductance
- Select current sense resistor
- Select power MOSFET parameters including RdsON, Qg and Coss
- Determine input and output capacitances for specified ripple requirements (1% Vout and 5% Vin)
- Select components for feedback, soft-start, input UVLO, and temperature compensation
- Select desired open loop crossover frequency, and choose loop compensation network components 
- Advise componnets (usually optional) for SW voltage clamp and and flyback diode snubber
- Decide the optional use of dummy loads or output Zener clamp 
- Optimize the design using efficiency and solution size as key performance metrics
- Inspect converter efficiency and switching frequency over load and line
- Inspect open loop Bode Plots for appropriate loop design.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b/>
            <sz val="9"/>
            <color indexed="81"/>
            <rFont val="Tahoma"/>
            <family val="2"/>
          </rPr>
          <t>Dislcaimer:</t>
        </r>
        <r>
          <rPr>
            <u/>
            <sz val="9"/>
            <color indexed="12"/>
            <rFont val="Tahoma"/>
            <family val="2"/>
          </rPr>
          <t xml:space="preserve">
https://www.ti.com/legal/important-notice-and-disclaimer.html
</t>
        </r>
        <r>
          <rPr>
            <sz val="9"/>
            <color indexed="81"/>
            <rFont val="Tahoma"/>
            <family val="2"/>
          </rPr>
          <t xml:space="preserve">
</t>
        </r>
        <r>
          <rPr>
            <b/>
            <sz val="9"/>
            <color indexed="81"/>
            <rFont val="Tahoma"/>
            <family val="2"/>
          </rPr>
          <t xml:space="preserve">
Rev 3.3, Youhao Xi, Texas Instruments, Inc.</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LM5185-Q1 product datasheet and EVM user's guides for more details.
</t>
        </r>
        <r>
          <rPr>
            <b/>
            <sz val="9"/>
            <color indexed="81"/>
            <rFont val="Tahoma"/>
            <family val="2"/>
          </rPr>
          <t>Rev 0, WVB/SR/APP,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LM5185 input voltage operating range is 4.5V to 100V.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6" authorId="0" shapeId="0" xr:uid="{00000000-0006-0000-0000-000004000000}">
      <text>
        <r>
          <rPr>
            <b/>
            <u/>
            <sz val="9"/>
            <color indexed="81"/>
            <rFont val="Tahoma"/>
            <family val="2"/>
          </rPr>
          <t>Recommended Magnetizing Inductance</t>
        </r>
        <r>
          <rPr>
            <b/>
            <sz val="9"/>
            <color indexed="81"/>
            <rFont val="Tahoma"/>
            <family val="2"/>
          </rPr>
          <t xml:space="preserve">:
</t>
        </r>
        <r>
          <rPr>
            <sz val="9"/>
            <color indexed="81"/>
            <rFont val="Tahoma"/>
            <family val="2"/>
          </rPr>
          <t>The recommended magnetizing inductance is set to operate at about 200 to 250kHz switching in BCM under full load and Vin_nom. Try not to deviate much from this recommended inductances:
--If the inductance is too high, the transformer would be larger and more expensive.
--If the inductance is too small, the efficiency would be sacrificed due to increase conduction losses with higher peak current.</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LM5185 input voltage operating range is 4.5V to 100V.
</t>
        </r>
        <r>
          <rPr>
            <b/>
            <sz val="9"/>
            <color indexed="81"/>
            <rFont val="Tahoma"/>
            <family val="2"/>
          </rPr>
          <t xml:space="preserve">The text in this cell is red if:
</t>
        </r>
        <r>
          <rPr>
            <sz val="9"/>
            <color indexed="81"/>
            <rFont val="Tahoma"/>
            <family val="2"/>
          </rPr>
          <t>-The Nom Vin is less than Min Vin</t>
        </r>
        <r>
          <rPr>
            <b/>
            <sz val="9"/>
            <color indexed="81"/>
            <rFont val="Tahoma"/>
            <family val="2"/>
          </rPr>
          <t>.</t>
        </r>
        <r>
          <rPr>
            <sz val="9"/>
            <color indexed="81"/>
            <rFont val="Tahoma"/>
            <family val="2"/>
          </rPr>
          <t xml:space="preserve">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of your choice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is too small. Increase the choosen value.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LM5185 input voltage operating range is 4.5V to 100V.
</t>
        </r>
        <r>
          <rPr>
            <b/>
            <sz val="9"/>
            <color indexed="81"/>
            <rFont val="Tahoma"/>
            <family val="2"/>
          </rPr>
          <t xml:space="preserve">The text in this cell is red if:
</t>
        </r>
        <r>
          <rPr>
            <sz val="9"/>
            <color indexed="81"/>
            <rFont val="Tahoma"/>
            <family val="2"/>
          </rPr>
          <t xml:space="preserve">-The Max Vin is less than the Nom Vin.
-The input voltage is above </t>
        </r>
        <r>
          <rPr>
            <b/>
            <sz val="9"/>
            <color indexed="10"/>
            <rFont val="Tahoma"/>
            <family val="2"/>
          </rPr>
          <t>100V</t>
        </r>
        <r>
          <rPr>
            <sz val="9"/>
            <color indexed="81"/>
            <rFont val="Tahoma"/>
            <family val="2"/>
          </rPr>
          <t xml:space="preserve">
-The input voltage is below </t>
        </r>
        <r>
          <rPr>
            <b/>
            <sz val="9"/>
            <color indexed="10"/>
            <rFont val="Tahoma"/>
            <family val="2"/>
          </rPr>
          <t xml:space="preserve">4.5V
</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text>
    </comment>
    <comment ref="M12" authorId="1" shapeId="0" xr:uid="{00000000-0006-0000-0000-00000C000000}">
      <text>
        <r>
          <rPr>
            <b/>
            <sz val="9"/>
            <color indexed="81"/>
            <rFont val="Tahoma"/>
            <family val="2"/>
          </rPr>
          <t xml:space="preserve">Proposed turns ratio.
</t>
        </r>
        <r>
          <rPr>
            <sz val="9"/>
            <color indexed="81"/>
            <rFont val="Tahoma"/>
            <family val="2"/>
          </rPr>
          <t xml:space="preserve">The cell will turn red if the duty cycle under VIN(min) exceeds 75%. The design may still work, but you may consider to adjust the turns ration slightly.
</t>
        </r>
      </text>
    </comment>
    <comment ref="F13" authorId="1" shapeId="0" xr:uid="{00000000-0006-0000-0000-00000D000000}">
      <text>
        <r>
          <rPr>
            <b/>
            <sz val="9"/>
            <color indexed="81"/>
            <rFont val="Tahoma"/>
            <family val="2"/>
          </rPr>
          <t xml:space="preserve">Second Output Load Current.
</t>
        </r>
        <r>
          <rPr>
            <sz val="9"/>
            <color indexed="81"/>
            <rFont val="Tahoma"/>
            <family val="2"/>
          </rPr>
          <t>The text in the cell will turn</t>
        </r>
        <r>
          <rPr>
            <b/>
            <sz val="9"/>
            <color indexed="10"/>
            <rFont val="Tahoma"/>
            <family val="2"/>
          </rPr>
          <t xml:space="preserve"> red if</t>
        </r>
        <r>
          <rPr>
            <b/>
            <sz val="9"/>
            <color indexed="81"/>
            <rFont val="Tahoma"/>
            <family val="2"/>
          </rPr>
          <t xml:space="preserve"> </t>
        </r>
        <r>
          <rPr>
            <sz val="9"/>
            <color indexed="81"/>
            <rFont val="Tahoma"/>
            <family val="2"/>
          </rPr>
          <t>the current has a different sign from the VOUT2.</t>
        </r>
      </text>
    </comment>
    <comment ref="M15" authorId="0" shapeId="0" xr:uid="{00000000-0006-0000-0000-00000E000000}">
      <text>
        <r>
          <rPr>
            <b/>
            <u/>
            <sz val="9"/>
            <color indexed="81"/>
            <rFont val="Tahoma"/>
            <family val="2"/>
          </rPr>
          <t>Max Duty Cycle</t>
        </r>
        <r>
          <rPr>
            <b/>
            <sz val="9"/>
            <color indexed="81"/>
            <rFont val="Tahoma"/>
            <family val="2"/>
          </rPr>
          <t xml:space="preserve">:
</t>
        </r>
        <r>
          <rPr>
            <sz val="9"/>
            <color indexed="81"/>
            <rFont val="Tahoma"/>
            <family val="2"/>
          </rPr>
          <t>The max operating duty cycle is preferably kept below 75% to prevent high peak/rms currents in the flyback diode(s) and secondary winding(s).
If the cell shows "#VALUE!", reduce Rcs value in Cell E17.</t>
        </r>
      </text>
    </comment>
    <comment ref="M16" authorId="0" shapeId="0" xr:uid="{00000000-0006-0000-0000-00000F000000}">
      <text>
        <r>
          <rPr>
            <b/>
            <u/>
            <sz val="9"/>
            <color indexed="81"/>
            <rFont val="Tahoma"/>
            <family val="2"/>
          </rPr>
          <t>Max Output Current at VIN(min)</t>
        </r>
        <r>
          <rPr>
            <b/>
            <sz val="9"/>
            <color indexed="81"/>
            <rFont val="Tahoma"/>
            <family val="2"/>
          </rPr>
          <t xml:space="preserve">:
</t>
        </r>
        <r>
          <rPr>
            <sz val="9"/>
            <color indexed="81"/>
            <rFont val="Tahoma"/>
            <family val="2"/>
          </rPr>
          <t>The output power is most limited at minimum input voltage. Adjust the transformer turns ratio if needed. Allow at least a 10% margin viz-a-viz the required output power.
If the cell shows "#VALUE!", reduce Rcs value in E17.</t>
        </r>
      </text>
    </comment>
    <comment ref="F17" authorId="0" shapeId="0" xr:uid="{00000000-0006-0000-0000-000010000000}">
      <text>
        <r>
          <rPr>
            <b/>
            <u/>
            <sz val="9"/>
            <color indexed="81"/>
            <rFont val="Tahoma"/>
            <family val="2"/>
          </rPr>
          <t>Current Sense Resistor</t>
        </r>
        <r>
          <rPr>
            <b/>
            <sz val="9"/>
            <color indexed="81"/>
            <rFont val="Tahoma"/>
            <family val="2"/>
          </rPr>
          <t xml:space="preserve">:
</t>
        </r>
        <r>
          <rPr>
            <sz val="9"/>
            <color indexed="81"/>
            <rFont val="Tahoma"/>
            <family val="2"/>
          </rPr>
          <t xml:space="preserve">Enter the current sense resistor value here.
The text in the cell will turn </t>
        </r>
        <r>
          <rPr>
            <b/>
            <sz val="9"/>
            <color indexed="10"/>
            <rFont val="Tahoma"/>
            <family val="2"/>
          </rPr>
          <t xml:space="preserve">  red </t>
        </r>
        <r>
          <rPr>
            <b/>
            <sz val="9"/>
            <color indexed="81"/>
            <rFont val="Tahoma"/>
            <family val="2"/>
          </rPr>
          <t xml:space="preserve"> if the selection is greater tha</t>
        </r>
        <r>
          <rPr>
            <sz val="9"/>
            <color indexed="81"/>
            <rFont val="Tahoma"/>
            <family val="2"/>
          </rPr>
          <t>n the recommended maximum Rcs value, and</t>
        </r>
        <r>
          <rPr>
            <b/>
            <sz val="9"/>
            <color indexed="81"/>
            <rFont val="Tahoma"/>
            <family val="2"/>
          </rPr>
          <t xml:space="preserve"> full load would not be guaranteed</t>
        </r>
        <r>
          <rPr>
            <sz val="9"/>
            <color indexed="81"/>
            <rFont val="Tahoma"/>
            <family val="2"/>
          </rPr>
          <t xml:space="preserve">. </t>
        </r>
      </text>
    </comment>
    <comment ref="F18" authorId="1" shapeId="0" xr:uid="{00000000-0006-0000-0000-000011000000}">
      <text>
        <r>
          <rPr>
            <b/>
            <sz val="9"/>
            <color indexed="81"/>
            <rFont val="Tahoma"/>
            <family val="2"/>
          </rPr>
          <t xml:space="preserve">Important: The selected transformer Isat should </t>
        </r>
        <r>
          <rPr>
            <b/>
            <i/>
            <sz val="9"/>
            <color indexed="81"/>
            <rFont val="Tahoma"/>
            <family val="2"/>
          </rPr>
          <t>not</t>
        </r>
        <r>
          <rPr>
            <b/>
            <sz val="9"/>
            <color indexed="81"/>
            <rFont val="Tahoma"/>
            <family val="2"/>
          </rPr>
          <t xml:space="preserve"> be smaller than this value.</t>
        </r>
      </text>
    </comment>
    <comment ref="F23" authorId="1" shapeId="0" xr:uid="{00000000-0006-0000-0000-000012000000}">
      <text>
        <r>
          <rPr>
            <b/>
            <sz val="9"/>
            <color indexed="81"/>
            <rFont val="Tahoma"/>
            <family val="2"/>
          </rPr>
          <t>Selected Zener Rated Voltage.</t>
        </r>
        <r>
          <rPr>
            <sz val="9"/>
            <color indexed="81"/>
            <rFont val="Tahoma"/>
            <family val="2"/>
          </rPr>
          <t xml:space="preserve">
The text in the cell will turn </t>
        </r>
        <r>
          <rPr>
            <b/>
            <sz val="9"/>
            <color indexed="10"/>
            <rFont val="Tahoma"/>
            <family val="2"/>
          </rPr>
          <t>red if</t>
        </r>
        <r>
          <rPr>
            <sz val="9"/>
            <color indexed="81"/>
            <rFont val="Tahoma"/>
            <family val="2"/>
          </rPr>
          <t xml:space="preserve"> the selected Zener voltage is lower than the recommended value.</t>
        </r>
      </text>
    </comment>
    <comment ref="F24" authorId="1" shapeId="0" xr:uid="{00000000-0006-0000-0000-000013000000}">
      <text>
        <r>
          <rPr>
            <b/>
            <sz val="9"/>
            <color indexed="81"/>
            <rFont val="Tahoma"/>
            <family val="2"/>
          </rPr>
          <t>Power MOSFET Vds Rating</t>
        </r>
        <r>
          <rPr>
            <sz val="9"/>
            <color indexed="81"/>
            <rFont val="Tahoma"/>
            <family val="2"/>
          </rPr>
          <t xml:space="preserve"> should </t>
        </r>
        <r>
          <rPr>
            <b/>
            <i/>
            <sz val="9"/>
            <color indexed="81"/>
            <rFont val="Tahoma"/>
            <family val="2"/>
          </rPr>
          <t>not</t>
        </r>
        <r>
          <rPr>
            <sz val="9"/>
            <color indexed="81"/>
            <rFont val="Tahoma"/>
            <family val="2"/>
          </rPr>
          <t xml:space="preserve"> be less than this value. 
</t>
        </r>
      </text>
    </comment>
    <comment ref="M24" authorId="0" shapeId="0" xr:uid="{00000000-0006-0000-0000-000014000000}">
      <text>
        <r>
          <rPr>
            <b/>
            <u/>
            <sz val="9"/>
            <color indexed="81"/>
            <rFont val="Tahoma"/>
            <family val="2"/>
          </rPr>
          <t>MOSFET Qg</t>
        </r>
        <r>
          <rPr>
            <b/>
            <sz val="9"/>
            <color indexed="81"/>
            <rFont val="Tahoma"/>
            <family val="2"/>
          </rPr>
          <t xml:space="preserve">:
</t>
        </r>
        <r>
          <rPr>
            <sz val="9"/>
            <color indexed="81"/>
            <rFont val="Tahoma"/>
            <family val="2"/>
          </rPr>
          <t>Choose a MOSFET having a total gate charge of less than the recommended Max Qg.</t>
        </r>
      </text>
    </comment>
    <comment ref="M25" authorId="0" shapeId="0" xr:uid="{00000000-0006-0000-0000-000015000000}">
      <text>
        <r>
          <rPr>
            <b/>
            <u/>
            <sz val="9"/>
            <color indexed="81"/>
            <rFont val="Tahoma"/>
            <family val="2"/>
          </rPr>
          <t>MOSFET Coss</t>
        </r>
        <r>
          <rPr>
            <sz val="9"/>
            <color indexed="81"/>
            <rFont val="Tahoma"/>
            <family val="2"/>
          </rPr>
          <t xml:space="preserve">
Enter the Coss parameter of selected MOSFET.</t>
        </r>
      </text>
    </comment>
    <comment ref="M26" authorId="0" shapeId="0" xr:uid="{00000000-0006-0000-0000-000016000000}">
      <text>
        <r>
          <rPr>
            <b/>
            <u/>
            <sz val="9"/>
            <color indexed="81"/>
            <rFont val="Tahoma"/>
            <family val="2"/>
          </rPr>
          <t>MOSFET Power Dissipation</t>
        </r>
        <r>
          <rPr>
            <b/>
            <sz val="9"/>
            <color indexed="81"/>
            <rFont val="Tahoma"/>
            <family val="2"/>
          </rPr>
          <t xml:space="preserve">:
</t>
        </r>
        <r>
          <rPr>
            <sz val="9"/>
            <color indexed="81"/>
            <rFont val="Tahoma"/>
            <family val="2"/>
          </rPr>
          <t>Estimated maximum MOSFET power dissipation. Make sure to choose appropriate MOSFET package and/or heatsink for effective heat dissipation.</t>
        </r>
      </text>
    </comment>
    <comment ref="F29" authorId="0" shapeId="0" xr:uid="{00000000-0006-0000-0000-000017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30" authorId="0" shapeId="0" xr:uid="{00000000-0006-0000-0000-000018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derated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31" authorId="0" shapeId="0" xr:uid="{00000000-0006-0000-0000-000019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T31" authorId="1" shapeId="0" xr:uid="{00000000-0006-0000-0000-00001A000000}">
      <text>
        <r>
          <rPr>
            <b/>
            <sz val="9"/>
            <color indexed="81"/>
            <rFont val="Tahoma"/>
            <family val="2"/>
          </rPr>
          <t xml:space="preserve">Output #2 Diode Forward Voltage Drop at Rated Load Current.
</t>
        </r>
        <r>
          <rPr>
            <sz val="9"/>
            <color indexed="81"/>
            <rFont val="Tahoma"/>
            <family val="2"/>
          </rPr>
          <t>The text in the cell will turn</t>
        </r>
        <r>
          <rPr>
            <b/>
            <sz val="9"/>
            <color indexed="81"/>
            <rFont val="Tahoma"/>
            <family val="2"/>
          </rPr>
          <t xml:space="preserve"> </t>
        </r>
        <r>
          <rPr>
            <b/>
            <sz val="9"/>
            <color indexed="10"/>
            <rFont val="Tahoma"/>
            <family val="2"/>
          </rPr>
          <t>red</t>
        </r>
        <r>
          <rPr>
            <b/>
            <sz val="9"/>
            <color indexed="81"/>
            <rFont val="Tahoma"/>
            <family val="2"/>
          </rPr>
          <t xml:space="preserve"> </t>
        </r>
        <r>
          <rPr>
            <sz val="9"/>
            <color indexed="81"/>
            <rFont val="Tahoma"/>
            <family val="2"/>
          </rPr>
          <t xml:space="preserve">if the forward drop voltage is obviously wrong for being outside the normal 0.3V and 1.5V. 
</t>
        </r>
      </text>
    </comment>
    <comment ref="F33" authorId="0" shapeId="0" xr:uid="{00000000-0006-0000-0000-00001B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34" authorId="0" shapeId="0" xr:uid="{00000000-0006-0000-0000-00001C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35" authorId="0" shapeId="0" xr:uid="{00000000-0006-0000-0000-00001D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40" authorId="1" shapeId="0" xr:uid="{00000000-0006-0000-0000-00001E000000}">
      <text>
        <r>
          <rPr>
            <b/>
            <u/>
            <sz val="9"/>
            <color indexed="81"/>
            <rFont val="Tahoma"/>
            <family val="2"/>
          </rPr>
          <t>Feedback Resistor:</t>
        </r>
        <r>
          <rPr>
            <b/>
            <sz val="9"/>
            <color indexed="81"/>
            <rFont val="Tahoma"/>
            <family val="2"/>
          </rPr>
          <t xml:space="preserve">
</t>
        </r>
        <r>
          <rPr>
            <sz val="9"/>
            <color indexed="81"/>
            <rFont val="Tahoma"/>
            <family val="2"/>
          </rPr>
          <t xml:space="preserve">Choose a standard resistor value most close to above recommend value. To be more precise on Vout setting, you may consider to use a combination of two resistors to sever as the Feedback Resistor.  </t>
        </r>
        <r>
          <rPr>
            <b/>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if the selected Feedback Resistor has more than 3% errors.</t>
        </r>
        <r>
          <rPr>
            <b/>
            <sz val="9"/>
            <color indexed="81"/>
            <rFont val="Tahoma"/>
            <family val="2"/>
          </rPr>
          <t xml:space="preserve">  </t>
        </r>
        <r>
          <rPr>
            <sz val="9"/>
            <color indexed="81"/>
            <rFont val="Tahoma"/>
            <family val="2"/>
          </rPr>
          <t>Correct it by choosing a closer value, or the output voltage would have more errors.</t>
        </r>
        <r>
          <rPr>
            <b/>
            <sz val="9"/>
            <color indexed="81"/>
            <rFont val="Tahoma"/>
            <family val="2"/>
          </rPr>
          <t xml:space="preserve">
</t>
        </r>
      </text>
    </comment>
    <comment ref="F41" authorId="0" shapeId="0" xr:uid="{00000000-0006-0000-0000-00001F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 pin open circuit</t>
        </r>
        <r>
          <rPr>
            <sz val="9"/>
            <color indexed="81"/>
            <rFont val="Tahoma"/>
            <family val="2"/>
          </rPr>
          <t xml:space="preserve"> to provide a soft-start time of </t>
        </r>
        <r>
          <rPr>
            <b/>
            <sz val="9"/>
            <color indexed="81"/>
            <rFont val="Tahoma"/>
            <family val="2"/>
          </rPr>
          <t>6ms</t>
        </r>
        <r>
          <rPr>
            <sz val="9"/>
            <color indexed="81"/>
            <rFont val="Tahoma"/>
            <family val="2"/>
          </rPr>
          <t>.</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47" authorId="0" shapeId="0" xr:uid="{00000000-0006-0000-0000-000020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LM5185 input operating voltage range is</t>
        </r>
        <r>
          <rPr>
            <b/>
            <sz val="9"/>
            <color indexed="81"/>
            <rFont val="Tahoma"/>
            <family val="2"/>
          </rPr>
          <t xml:space="preserve"> 4.5V to 100V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100V</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58" authorId="1" shapeId="0" xr:uid="{00000000-0006-0000-0000-000021000000}">
      <text>
        <r>
          <rPr>
            <b/>
            <sz val="9"/>
            <color indexed="81"/>
            <rFont val="Tahoma"/>
            <family val="2"/>
          </rPr>
          <t>Selected crossover frequency.</t>
        </r>
        <r>
          <rPr>
            <sz val="9"/>
            <color indexed="81"/>
            <rFont val="Tahoma"/>
            <family val="2"/>
          </rPr>
          <t xml:space="preserve">
</t>
        </r>
        <r>
          <rPr>
            <b/>
            <sz val="9"/>
            <color indexed="10"/>
            <rFont val="Tahoma"/>
            <family val="2"/>
          </rPr>
          <t>Cell will turn red if</t>
        </r>
        <r>
          <rPr>
            <sz val="9"/>
            <color indexed="81"/>
            <rFont val="Tahoma"/>
            <family val="2"/>
          </rPr>
          <t xml:space="preserve"> the selected Fco is greater than the allowed max cross frequency. 
</t>
        </r>
      </text>
    </comment>
    <comment ref="F74" authorId="1" shapeId="0" xr:uid="{00000000-0006-0000-0000-000022000000}">
      <text>
        <r>
          <rPr>
            <b/>
            <u/>
            <sz val="9"/>
            <color indexed="81"/>
            <rFont val="Tahoma"/>
            <family val="2"/>
          </rPr>
          <t xml:space="preserve">Max Output Voltage Limit
</t>
        </r>
        <r>
          <rPr>
            <sz val="9"/>
            <color indexed="81"/>
            <rFont val="Tahoma"/>
            <family val="2"/>
          </rPr>
          <t xml:space="preserve">Enter the max Vout limit. 
</t>
        </r>
        <r>
          <rPr>
            <b/>
            <u/>
            <sz val="9"/>
            <color indexed="81"/>
            <rFont val="Tahoma"/>
            <family val="2"/>
          </rPr>
          <t xml:space="preserve">
</t>
        </r>
        <r>
          <rPr>
            <b/>
            <sz val="9"/>
            <color indexed="10"/>
            <rFont val="Tahoma"/>
            <family val="2"/>
          </rPr>
          <t>Cell will turn red</t>
        </r>
        <r>
          <rPr>
            <b/>
            <sz val="9"/>
            <color indexed="81"/>
            <rFont val="Tahoma"/>
            <family val="2"/>
          </rPr>
          <t xml:space="preserve"> </t>
        </r>
        <r>
          <rPr>
            <sz val="9"/>
            <color indexed="81"/>
            <rFont val="Tahoma"/>
            <family val="2"/>
          </rPr>
          <t xml:space="preserve">if the limit is less than the regulation level +3%. 
</t>
        </r>
        <r>
          <rPr>
            <b/>
            <sz val="9"/>
            <color indexed="81"/>
            <rFont val="Tahoma"/>
            <family val="2"/>
          </rPr>
          <t xml:space="preserve"> 
</t>
        </r>
        <r>
          <rPr>
            <sz val="9"/>
            <color indexed="81"/>
            <rFont val="Tahoma"/>
            <family val="2"/>
          </rPr>
          <t xml:space="preserve">
</t>
        </r>
      </text>
    </comment>
    <comment ref="M74" authorId="1" shapeId="0" xr:uid="{00000000-0006-0000-0000-000023000000}">
      <text>
        <r>
          <rPr>
            <b/>
            <u/>
            <sz val="9"/>
            <color indexed="81"/>
            <rFont val="Tahoma"/>
            <family val="2"/>
          </rPr>
          <t>Max Output Voltage Limit</t>
        </r>
        <r>
          <rPr>
            <b/>
            <sz val="9"/>
            <color indexed="81"/>
            <rFont val="Tahoma"/>
            <family val="2"/>
          </rPr>
          <t xml:space="preserve">
</t>
        </r>
        <r>
          <rPr>
            <sz val="9"/>
            <color indexed="81"/>
            <rFont val="Tahoma"/>
            <family val="2"/>
          </rPr>
          <t xml:space="preserve">Enter the max Vout limit. </t>
        </r>
        <r>
          <rPr>
            <b/>
            <sz val="9"/>
            <color indexed="81"/>
            <rFont val="Tahoma"/>
            <family val="2"/>
          </rPr>
          <t xml:space="preserve">
</t>
        </r>
        <r>
          <rPr>
            <b/>
            <sz val="10"/>
            <color indexed="10"/>
            <rFont val="Arial"/>
            <family val="2"/>
          </rPr>
          <t>Cell will turn red</t>
        </r>
        <r>
          <rPr>
            <sz val="9"/>
            <color indexed="81"/>
            <rFont val="Tahoma"/>
            <family val="2"/>
          </rPr>
          <t xml:space="preserve"> if the limit is less than the regulation level +3%. </t>
        </r>
      </text>
    </comment>
    <comment ref="F80" authorId="2" shapeId="0" xr:uid="{00000000-0006-0000-0000-000024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feedback resistor calculation)
The text in the cell will turn </t>
        </r>
        <r>
          <rPr>
            <b/>
            <sz val="9"/>
            <color indexed="10"/>
            <rFont val="Tahoma"/>
            <family val="2"/>
          </rPr>
          <t>red</t>
        </r>
        <r>
          <rPr>
            <sz val="9"/>
            <color indexed="81"/>
            <rFont val="Tahoma"/>
            <family val="2"/>
          </rPr>
          <t xml:space="preserve"> if the no load voltage drop is smaller than full load voltage drop. Wrong calculated can be resulted.
</t>
        </r>
      </text>
    </comment>
    <comment ref="F81" authorId="2" shapeId="0" xr:uid="{00000000-0006-0000-0000-000025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83" authorId="0" shapeId="0" xr:uid="{00000000-0006-0000-0000-000026000000}">
      <text>
        <r>
          <rPr>
            <b/>
            <u/>
            <sz val="9"/>
            <color indexed="81"/>
            <rFont val="Tahoma"/>
            <family val="2"/>
          </rPr>
          <t>Ambient Operating Temperature</t>
        </r>
        <r>
          <rPr>
            <b/>
            <sz val="9"/>
            <color indexed="81"/>
            <rFont val="Tahoma"/>
            <family val="2"/>
          </rPr>
          <t xml:space="preserve">:
</t>
        </r>
        <r>
          <rPr>
            <sz val="9"/>
            <color indexed="81"/>
            <rFont val="Tahoma"/>
            <family val="2"/>
          </rPr>
          <t>Enter the LM5185's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85" authorId="0" shapeId="0" xr:uid="{00000000-0006-0000-0000-000027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LM5185's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3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3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<sst xmlns="http://schemas.openxmlformats.org/spreadsheetml/2006/main" count="2461" uniqueCount="960">
  <si>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</si>
  <si>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</si>
  <si>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</si>
  <si>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</si>
  <si>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</si>
  <si>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</si>
  <si>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</si>
  <si>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</si>
  <si>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</si>
  <si>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</si>
  <si>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</si>
  <si>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</si>
  <si>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</si>
  <si>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</si>
  <si>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</si>
  <si>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</si>
  <si>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</si>
  <si>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</si>
  <si>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</si>
  <si>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</si>
  <si>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</si>
  <si>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</si>
  <si>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</si>
  <si>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</si>
  <si>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</si>
  <si>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</si>
  <si>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</si>
  <si>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</si>
  <si>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</si>
  <si>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</si>
  <si>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</si>
  <si>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</si>
  <si>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</si>
  <si>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</si>
  <si>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</si>
  <si>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</si>
  <si>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</si>
  <si>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</si>
  <si>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</si>
  <si>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</si>
  <si>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</si>
  <si>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</si>
  <si>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</si>
  <si>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</si>
  <si>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</si>
  <si>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</si>
  <si>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</si>
  <si>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</si>
  <si>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</si>
  <si>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</si>
  <si>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</si>
  <si>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</si>
  <si>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</si>
  <si>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</si>
  <si>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</si>
  <si>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</si>
  <si>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</si>
  <si>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</si>
  <si>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</si>
  <si>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</si>
  <si>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</si>
  <si>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</si>
  <si>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</si>
  <si>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</si>
  <si>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</si>
  <si>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</si>
  <si>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</si>
  <si>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</si>
  <si>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</si>
  <si>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</si>
  <si>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</si>
  <si>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</si>
  <si>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</si>
  <si>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</si>
  <si>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</si>
  <si>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</si>
  <si>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</si>
  <si>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</si>
  <si>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</si>
  <si>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</si>
  <si>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</si>
  <si>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</si>
  <si>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</si>
  <si>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</si>
  <si>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</si>
  <si>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</si>
  <si>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</si>
  <si>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</si>
  <si>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</si>
  <si>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</si>
  <si>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</si>
  <si>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</si>
  <si>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</si>
  <si>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</si>
  <si>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</si>
  <si>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</si>
  <si>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</si>
  <si>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</si>
  <si>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</si>
  <si>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</si>
  <si>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</si>
  <si>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</si>
  <si>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</si>
  <si>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</si>
  <si>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</si>
  <si>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</si>
  <si>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</si>
  <si>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</si>
  <si>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</si>
  <si>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</si>
  <si>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</si>
  <si>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</si>
  <si>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</si>
  <si>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</si>
  <si>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</si>
  <si>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</si>
  <si>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</si>
  <si>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</si>
  <si>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</si>
  <si>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</si>
  <si>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</si>
  <si>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</si>
  <si>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</si>
  <si>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</si>
  <si>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</si>
  <si>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</si>
  <si>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</si>
  <si>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</si>
  <si>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</si>
  <si>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</si>
  <si>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</si>
  <si>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</si>
  <si>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</si>
  <si>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</si>
  <si>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</si>
  <si>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</si>
  <si>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</si>
  <si>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</si>
  <si>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</si>
  <si>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</si>
  <si>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</si>
  <si>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</si>
  <si>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</si>
  <si>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</si>
  <si>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</si>
  <si>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</si>
  <si>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</si>
  <si>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</si>
  <si>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</si>
  <si>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</si>
  <si>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</si>
  <si>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</si>
  <si>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</si>
  <si>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</si>
  <si>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</si>
  <si>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</si>
  <si>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</si>
  <si>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</si>
  <si>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</si>
  <si>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</si>
  <si>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</si>
  <si>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</si>
  <si>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</si>
  <si>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</si>
  <si>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</si>
  <si>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</si>
  <si>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</si>
  <si>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</si>
  <si>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</si>
  <si>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</si>
  <si>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</si>
  <si>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</si>
  <si>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</si>
  <si>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</si>
  <si>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</si>
  <si>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</si>
  <si>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</si>
  <si>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</si>
  <si>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</si>
  <si>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</si>
  <si>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</si>
  <si>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</si>
  <si>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</si>
  <si>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</si>
  <si>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</si>
  <si>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</si>
  <si>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</si>
  <si>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</si>
  <si>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</si>
  <si>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</si>
  <si>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</si>
  <si>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</si>
  <si>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</si>
  <si>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</si>
  <si>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</si>
  <si>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</si>
  <si>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</si>
  <si>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</si>
  <si>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</si>
  <si>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</si>
  <si>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</si>
  <si>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</si>
  <si>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</si>
  <si>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</si>
  <si>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</si>
  <si>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</si>
  <si>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</si>
  <si>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</si>
  <si>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</si>
  <si>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</si>
  <si>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</si>
  <si>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</si>
  <si>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</si>
  <si>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</si>
  <si>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</si>
  <si>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</si>
  <si>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</si>
  <si>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</si>
  <si>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</si>
  <si>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</si>
  <si>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</si>
  <si>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</si>
  <si>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</si>
  <si>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</si>
  <si>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</si>
  <si>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</si>
  <si>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</si>
  <si>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</si>
  <si>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</si>
  <si>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</si>
  <si>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</si>
  <si>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</si>
  <si>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</si>
  <si>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</si>
  <si>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</si>
  <si>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</si>
  <si>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</si>
  <si>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</si>
  <si>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</si>
  <si>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</si>
  <si>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</si>
  <si>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</si>
  <si>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</si>
  <si>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</si>
  <si>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</si>
  <si>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</si>
  <si>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</si>
  <si>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</si>
  <si>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</si>
  <si>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</si>
  <si>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</si>
  <si>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</si>
  <si>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</si>
  <si>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</si>
  <si>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</si>
  <si>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</si>
  <si>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</si>
  <si>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</si>
  <si>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</si>
  <si>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</si>
  <si>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</si>
  <si>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</si>
  <si>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</si>
  <si>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</si>
  <si>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</si>
  <si>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</si>
  <si>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</si>
  <si>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</si>
  <si>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</si>
  <si>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Series resistance of body diode</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</si>
  <si>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</si>
  <si>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</si>
  <si>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</si>
  <si>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</si>
  <si>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</si>
  <si>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</si>
  <si>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</si>
  <si>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</si>
  <si>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</si>
  <si>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</si>
  <si>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</si>
  <si>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</si>
  <si>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</si>
  <si>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</si>
  <si>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</si>
  <si>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</si>
  <si>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</si>
  <si>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</si>
  <si>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</si>
  <si>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</si>
  <si>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</si>
  <si>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</si>
  <si>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</si>
  <si>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</si>
  <si>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VIN</t>
    </r>
    <r>
      <rPr>
        <vertAlign val="subscript"/>
        <sz val="10"/>
        <rFont val="Arial"/>
        <family val="2"/>
      </rPr>
      <t>UVLO_OFF</t>
    </r>
  </si>
  <si>
    <t>Rhys</t>
  </si>
  <si>
    <t>Soft Start</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</si>
  <si>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</si>
  <si>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</si>
  <si>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</si>
  <si>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</si>
  <si>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</si>
  <si>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</si>
  <si>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</si>
  <si>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</si>
  <si>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</si>
  <si>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</si>
  <si>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</si>
  <si>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</si>
  <si>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</si>
  <si>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</si>
  <si>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</si>
  <si>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</si>
  <si>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</si>
  <si>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</si>
  <si>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</si>
  <si>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</si>
  <si>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</si>
  <si>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</si>
  <si>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</si>
  <si>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</si>
  <si>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</si>
  <si>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</si>
  <si>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</si>
  <si>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</si>
  <si>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</si>
  <si>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</si>
  <si>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</si>
  <si>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</si>
  <si>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</si>
  <si>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</si>
  <si>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</si>
  <si>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</si>
  <si>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</si>
  <si>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</si>
  <si>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</si>
  <si>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</si>
  <si>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</si>
  <si>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</si>
  <si>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</si>
  <si>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</si>
  <si>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</si>
  <si>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</si>
  <si>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</si>
  <si>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</si>
  <si>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</si>
  <si>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</si>
  <si>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</si>
  <si>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</si>
  <si>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</si>
  <si>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</si>
  <si>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</si>
  <si>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</si>
  <si>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</si>
  <si>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</si>
  <si>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</si>
  <si>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</si>
  <si>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</si>
  <si>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</si>
  <si>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</si>
  <si>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</si>
  <si>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</si>
  <si>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</si>
  <si>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</si>
  <si>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</si>
  <si>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</si>
  <si>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t>Single Output or Dual Outputs</t>
  </si>
  <si>
    <r>
      <t>Input Voltage – Min, V</t>
    </r>
    <r>
      <rPr>
        <b/>
        <vertAlign val="subscript"/>
        <sz val="10"/>
        <color theme="1"/>
        <rFont val="Arial"/>
        <family val="2"/>
      </rPr>
      <t>IN(min)</t>
    </r>
    <r>
      <rPr>
        <b/>
        <sz val="10"/>
        <color theme="1"/>
        <rFont val="Arial"/>
        <family val="2"/>
      </rPr>
      <t xml:space="preserve"> </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</si>
  <si>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</si>
  <si>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</si>
  <si>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</si>
  <si>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</si>
  <si>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</si>
  <si>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</si>
  <si>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</si>
  <si>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</si>
  <si>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</si>
  <si>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</si>
  <si>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</si>
  <si>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</si>
  <si>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</si>
  <si>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</si>
  <si>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</si>
  <si>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</si>
  <si>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</si>
  <si>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</si>
  <si>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</si>
  <si>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</si>
  <si>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</si>
  <si>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</si>
  <si>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</si>
  <si>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</si>
  <si>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</si>
  <si>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</si>
  <si>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</si>
  <si>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</si>
  <si>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</si>
  <si>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</si>
  <si>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</si>
  <si>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</si>
  <si>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</si>
  <si>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</si>
  <si>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</si>
  <si>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</si>
  <si>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</si>
  <si>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</si>
  <si>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</si>
  <si>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</si>
  <si>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</si>
  <si>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</si>
  <si>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</si>
  <si>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</si>
  <si>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</si>
  <si>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</si>
  <si>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</si>
  <si>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</si>
  <si>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</si>
  <si>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</si>
  <si>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</si>
  <si>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</si>
  <si>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</si>
  <si>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</si>
  <si>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</si>
  <si>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</si>
  <si>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</si>
  <si>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</si>
  <si>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</si>
  <si>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</si>
  <si>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</si>
  <si>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</si>
  <si>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</si>
  <si>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</si>
  <si>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</si>
  <si>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</si>
  <si>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</si>
  <si>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</si>
  <si>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</si>
  <si>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</si>
  <si>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</si>
  <si>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</si>
  <si>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</si>
  <si>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</si>
  <si>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</si>
  <si>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</si>
  <si>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</si>
  <si>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</si>
  <si>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</si>
  <si>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</si>
  <si>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</si>
  <si>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</si>
  <si>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</si>
  <si>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</si>
  <si>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</si>
  <si>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</si>
  <si>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</si>
  <si>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</si>
  <si>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</si>
  <si>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</si>
  <si>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</si>
  <si>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</si>
  <si>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</si>
  <si>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</si>
  <si>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</si>
  <si>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</si>
  <si>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</si>
  <si>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</si>
  <si>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</si>
  <si>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</si>
  <si>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</si>
  <si>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</si>
  <si>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</si>
  <si>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</si>
  <si>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</si>
  <si>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</si>
  <si>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</si>
  <si>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</si>
  <si>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</si>
  <si>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</si>
  <si>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</si>
  <si>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</si>
  <si>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</si>
  <si>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Cout (µF) for 1%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</si>
  <si>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</si>
  <si>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</si>
  <si>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</si>
  <si>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</si>
  <si>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</si>
  <si>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</si>
  <si>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</si>
  <si>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</si>
  <si>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</si>
  <si>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</si>
  <si>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</si>
  <si>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</si>
  <si>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</si>
  <si>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</si>
  <si>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 xml:space="preserve">Resulting Input Voltage Ripple </t>
  </si>
  <si>
    <t>Check Iout-max</t>
  </si>
  <si>
    <t>Iout2</t>
  </si>
  <si>
    <t>Rout2</t>
  </si>
  <si>
    <t>Pout2</t>
  </si>
  <si>
    <t>Load resistance #2</t>
  </si>
  <si>
    <t>Output power #2</t>
  </si>
  <si>
    <t xml:space="preserve">Total Output Power </t>
  </si>
  <si>
    <t>Total power</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</si>
  <si>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</si>
  <si>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</si>
  <si>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</si>
  <si>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</si>
  <si>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</si>
  <si>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</si>
  <si>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</si>
  <si>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</si>
  <si>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</si>
  <si>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</si>
  <si>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</si>
  <si>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</si>
  <si>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</si>
  <si>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</si>
  <si>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</si>
  <si>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</si>
  <si>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</si>
  <si>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</si>
  <si>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</si>
  <si>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</si>
  <si>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</si>
  <si>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</si>
  <si>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</si>
  <si>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</si>
  <si>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</si>
  <si>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</si>
  <si>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</si>
  <si>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</si>
  <si>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</si>
  <si>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</si>
  <si>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</si>
  <si>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</si>
  <si>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</si>
  <si>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</si>
  <si>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</si>
  <si>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</si>
  <si>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</si>
  <si>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</si>
  <si>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</si>
  <si>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</si>
  <si>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</si>
  <si>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</si>
  <si>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</si>
  <si>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</si>
  <si>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</si>
  <si>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</si>
  <si>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</si>
  <si>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</si>
  <si>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</si>
  <si>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</si>
  <si>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</si>
  <si>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</si>
  <si>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</si>
  <si>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</si>
  <si>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</si>
  <si>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</si>
  <si>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</si>
  <si>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</si>
  <si>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</si>
  <si>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</si>
  <si>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</si>
  <si>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</si>
  <si>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</si>
  <si>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</si>
  <si>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</si>
  <si>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</si>
  <si>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</si>
  <si>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</si>
  <si>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</si>
  <si>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</si>
  <si>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</si>
  <si>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</si>
  <si>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</si>
  <si>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</si>
  <si>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</si>
  <si>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</si>
  <si>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</si>
  <si>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</si>
  <si>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</si>
  <si>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</si>
  <si>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</si>
  <si>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</si>
  <si>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</si>
  <si>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</si>
  <si>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</si>
  <si>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</si>
  <si>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</si>
  <si>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</si>
  <si>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</si>
  <si>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</si>
  <si>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</si>
  <si>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</si>
  <si>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</si>
  <si>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</si>
  <si>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</si>
  <si>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</si>
  <si>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</si>
  <si>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</si>
  <si>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</si>
  <si>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</si>
  <si>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r>
      <t>Max Output Power at V</t>
    </r>
    <r>
      <rPr>
        <vertAlign val="subscript"/>
        <sz val="10"/>
        <rFont val="Arial"/>
        <family val="2"/>
      </rPr>
      <t>IN(min)</t>
    </r>
  </si>
  <si>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</si>
  <si>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</si>
  <si>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</si>
  <si>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</si>
  <si>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</si>
  <si>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</si>
  <si>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</si>
  <si>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</si>
  <si>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</si>
  <si>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</si>
  <si>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</si>
  <si>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</si>
  <si>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</si>
  <si>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</si>
  <si>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</si>
  <si>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</si>
  <si>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</si>
  <si>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</si>
  <si>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t>24V</t>
  </si>
  <si>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</si>
  <si>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</si>
  <si>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</si>
  <si>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</si>
  <si>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</si>
  <si>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</si>
  <si>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</si>
  <si>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</si>
  <si>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</si>
  <si>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</si>
  <si>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</si>
  <si>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t>5.0 x 2.5</t>
  </si>
  <si>
    <t>3.6 x 1.8</t>
  </si>
  <si>
    <t>2.5 x 1.25</t>
  </si>
  <si>
    <t>SOD523</t>
  </si>
  <si>
    <t>Flyback Diode - forward current rating</t>
  </si>
  <si>
    <t>Flyback Diode - reverse voltage rating</t>
  </si>
  <si>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</si>
  <si>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</si>
  <si>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</si>
  <si>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</si>
  <si>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</si>
  <si>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</si>
  <si>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</si>
  <si>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</si>
  <si>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</si>
  <si>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</si>
  <si>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</si>
  <si>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</si>
  <si>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</si>
  <si>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</si>
  <si>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</si>
  <si>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</si>
  <si>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</si>
  <si>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</si>
  <si>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Lmin</t>
  </si>
  <si>
    <t>Lleak</t>
  </si>
  <si>
    <t>nH</t>
  </si>
  <si>
    <t>Pri-Sec Leakage Inductance</t>
  </si>
  <si>
    <t>Check Fsw at  Iout-max</t>
  </si>
  <si>
    <t>Check Pout-max at  Iout-max</t>
  </si>
  <si>
    <t>P-Transforer (W)</t>
  </si>
  <si>
    <t>P-Trans-Total (mW)</t>
  </si>
  <si>
    <t>RdsonTC</t>
  </si>
  <si>
    <t>ppm/°C</t>
  </si>
  <si>
    <t>Drain to Source Resistance Temp Co</t>
  </si>
  <si>
    <t>IC thermal impedance</t>
  </si>
  <si>
    <t>ThetaJA</t>
  </si>
  <si>
    <t>P-trans (W)</t>
  </si>
  <si>
    <t>**** Use a flyback diode RC snubber to dampen ringing if needed ****</t>
  </si>
  <si>
    <t>***** Use an output zener to clamp the output at no load *****</t>
  </si>
  <si>
    <t>*** Use a primary-side RC snubber from SW to VIN to dampen leakage inductance spike ***</t>
  </si>
  <si>
    <t>** Appropriately derate the effective input and output capacitances for applied voltage and temperature, particularly with ceramics **</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</si>
  <si>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</si>
  <si>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</si>
  <si>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</si>
  <si>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</si>
  <si>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</si>
  <si>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</si>
  <si>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</si>
  <si>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</si>
  <si>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</si>
  <si>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</si>
  <si>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</si>
  <si>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</si>
  <si>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</si>
  <si>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</si>
  <si>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</si>
  <si>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</si>
  <si>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</si>
  <si>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</si>
  <si>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</si>
  <si>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</si>
  <si>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</si>
  <si>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</si>
  <si>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</si>
  <si>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</si>
  <si>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</si>
  <si>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</si>
  <si>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</si>
  <si>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</si>
  <si>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</si>
  <si>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</si>
  <si>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</si>
  <si>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</si>
  <si>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</si>
  <si>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</si>
  <si>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</si>
  <si>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</si>
  <si>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</si>
  <si>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</si>
  <si>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</si>
  <si>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</si>
  <si>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</si>
  <si>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</si>
  <si>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</si>
  <si>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</si>
  <si>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</si>
  <si>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</si>
  <si>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</si>
  <si>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</si>
  <si>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</si>
  <si>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</si>
  <si>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</si>
  <si>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</si>
  <si>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</si>
  <si>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</si>
  <si>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</si>
  <si>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</si>
  <si>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</si>
  <si>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</si>
  <si>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</si>
  <si>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</si>
  <si>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</si>
  <si>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</si>
  <si>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</si>
  <si>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</si>
  <si>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</si>
  <si>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</si>
  <si>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</si>
  <si>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</si>
  <si>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</si>
  <si>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</si>
  <si>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</si>
  <si>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</si>
  <si>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</si>
  <si>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</si>
  <si>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</si>
  <si>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</si>
  <si>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</si>
  <si>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</si>
  <si>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</si>
  <si>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</si>
  <si>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</si>
  <si>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</si>
  <si>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</si>
  <si>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</si>
  <si>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</si>
  <si>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</si>
  <si>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</si>
  <si>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</si>
  <si>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</si>
  <si>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</si>
  <si>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</si>
  <si>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</si>
  <si>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</si>
  <si>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Rcs</t>
  </si>
  <si>
    <r>
      <t>Sense Resistor, R</t>
    </r>
    <r>
      <rPr>
        <b/>
        <vertAlign val="subscript"/>
        <sz val="10"/>
        <color theme="1"/>
        <rFont val="Arial"/>
        <family val="2"/>
      </rPr>
      <t>CS</t>
    </r>
    <r>
      <rPr>
        <b/>
        <sz val="10"/>
        <color theme="1"/>
        <rFont val="Arial"/>
        <family val="2"/>
      </rPr>
      <t xml:space="preserve"> </t>
    </r>
  </si>
  <si>
    <t>IpkCAL</t>
  </si>
  <si>
    <t>RCSmin</t>
  </si>
  <si>
    <t>LM5185 quiescent current</t>
  </si>
  <si>
    <t>P-FET-Total (W)</t>
  </si>
  <si>
    <t>P-IC-Total</t>
  </si>
  <si>
    <t>P-Total (mW)</t>
  </si>
  <si>
    <r>
      <t>LM5185 IC Power Dissipation at Full Load, P</t>
    </r>
    <r>
      <rPr>
        <vertAlign val="subscript"/>
        <sz val="10"/>
        <rFont val="Arial"/>
        <family val="2"/>
      </rPr>
      <t>D</t>
    </r>
  </si>
  <si>
    <r>
      <t>LM5185 Junction Temperature at Full Load, T</t>
    </r>
    <r>
      <rPr>
        <vertAlign val="subscript"/>
        <sz val="10"/>
        <rFont val="Arial"/>
        <family val="2"/>
      </rPr>
      <t>J</t>
    </r>
  </si>
  <si>
    <t>dB</t>
  </si>
  <si>
    <t>Reference voltage, updated</t>
  </si>
  <si>
    <t>10 kΩ</t>
  </si>
  <si>
    <t>10kΩ</t>
  </si>
  <si>
    <t>1.2 : 1</t>
  </si>
  <si>
    <t>1 : 1.2</t>
  </si>
  <si>
    <t>Fsw=</t>
  </si>
  <si>
    <t>Checking ro operatingmode at Vnom</t>
  </si>
  <si>
    <t>Lm=</t>
  </si>
  <si>
    <t>Ipk=</t>
  </si>
  <si>
    <t>Duty=</t>
  </si>
  <si>
    <t>Po</t>
  </si>
  <si>
    <t>Po actual</t>
  </si>
  <si>
    <t>LM5185 Parameters</t>
  </si>
  <si>
    <t>Primary Peak Current, Ipk</t>
  </si>
  <si>
    <t>Allawable max Fco</t>
  </si>
  <si>
    <r>
      <t>C</t>
    </r>
    <r>
      <rPr>
        <vertAlign val="subscript"/>
        <sz val="10"/>
        <rFont val="Arial"/>
        <family val="2"/>
      </rPr>
      <t>OUT</t>
    </r>
    <r>
      <rPr>
        <sz val="10"/>
        <rFont val="Arial"/>
        <family val="2"/>
      </rPr>
      <t xml:space="preserve"> ESR Zero Frequency </t>
    </r>
  </si>
  <si>
    <t>Flyback RHP Zero Frequency</t>
  </si>
  <si>
    <t>Allowed Maximum Crossover Frequency</t>
  </si>
  <si>
    <t>Load Pole Frequency</t>
  </si>
  <si>
    <t>Excessive</t>
  </si>
  <si>
    <t>FcoRange</t>
  </si>
  <si>
    <t>Fco_select</t>
  </si>
  <si>
    <t>AN</t>
  </si>
  <si>
    <t>AO</t>
  </si>
  <si>
    <t>AP</t>
  </si>
  <si>
    <t>AQ</t>
  </si>
  <si>
    <t>AR</t>
  </si>
  <si>
    <t>Sampling</t>
  </si>
  <si>
    <t>Power ckt</t>
  </si>
  <si>
    <t>Gain_pwr</t>
  </si>
  <si>
    <t>CHF</t>
  </si>
  <si>
    <r>
      <t>k</t>
    </r>
    <r>
      <rPr>
        <sz val="10"/>
        <rFont val="Calibri"/>
        <family val="2"/>
      </rPr>
      <t>Ω</t>
    </r>
  </si>
  <si>
    <r>
      <t>k</t>
    </r>
    <r>
      <rPr>
        <b/>
        <sz val="10"/>
        <rFont val="Calibri"/>
        <family val="2"/>
      </rPr>
      <t>Ω</t>
    </r>
  </si>
  <si>
    <r>
      <t>Recommended R</t>
    </r>
    <r>
      <rPr>
        <vertAlign val="subscript"/>
        <sz val="10"/>
        <rFont val="Arial"/>
        <family val="2"/>
      </rPr>
      <t>COMP</t>
    </r>
  </si>
  <si>
    <r>
      <t>Selected R</t>
    </r>
    <r>
      <rPr>
        <b/>
        <vertAlign val="subscript"/>
        <sz val="10"/>
        <rFont val="Arial"/>
        <family val="2"/>
      </rPr>
      <t>COMP</t>
    </r>
  </si>
  <si>
    <r>
      <t>Recommended C</t>
    </r>
    <r>
      <rPr>
        <vertAlign val="subscript"/>
        <sz val="10"/>
        <rFont val="Arial"/>
        <family val="2"/>
      </rPr>
      <t>COMP</t>
    </r>
  </si>
  <si>
    <r>
      <t>Selected C</t>
    </r>
    <r>
      <rPr>
        <b/>
        <vertAlign val="subscript"/>
        <sz val="10"/>
        <rFont val="Arial"/>
        <family val="2"/>
      </rPr>
      <t>COMP</t>
    </r>
  </si>
  <si>
    <r>
      <t>Recommended C</t>
    </r>
    <r>
      <rPr>
        <vertAlign val="subscript"/>
        <sz val="10"/>
        <rFont val="Arial"/>
        <family val="2"/>
      </rPr>
      <t>HF</t>
    </r>
  </si>
  <si>
    <r>
      <t>Selected C</t>
    </r>
    <r>
      <rPr>
        <b/>
        <vertAlign val="subscript"/>
        <sz val="10"/>
        <color theme="1"/>
        <rFont val="Arial"/>
        <family val="2"/>
      </rPr>
      <t>HF</t>
    </r>
  </si>
  <si>
    <r>
      <t>Upper UVLO Resistor, R</t>
    </r>
    <r>
      <rPr>
        <vertAlign val="subscript"/>
        <sz val="10"/>
        <rFont val="Arial"/>
        <family val="2"/>
      </rPr>
      <t>UVH</t>
    </r>
  </si>
  <si>
    <r>
      <t>Lower UVLO Resistor, R</t>
    </r>
    <r>
      <rPr>
        <vertAlign val="subscript"/>
        <sz val="10"/>
        <rFont val="Arial"/>
        <family val="2"/>
      </rPr>
      <t>UVL</t>
    </r>
  </si>
  <si>
    <t>Raw Calculation</t>
  </si>
  <si>
    <t>Fine tuning:  Calculations are performed at Vin(nom), Vin(min) and Vin(max) below</t>
  </si>
  <si>
    <t>secondaryt conduction time</t>
  </si>
  <si>
    <t>Ls1</t>
  </si>
  <si>
    <t>Ls2</t>
  </si>
  <si>
    <t>calculated D' based on raw calculation</t>
  </si>
  <si>
    <t>D1' based on raw calculation</t>
  </si>
  <si>
    <t>D2' based on raw calculation</t>
  </si>
  <si>
    <t xml:space="preserve">                       LM5185-Q1 PSR Flyback Controller Design Tool</t>
  </si>
  <si>
    <t>Recommended xfmr turns ratio</t>
  </si>
  <si>
    <t>uH</t>
  </si>
  <si>
    <t>Final chosen turns ratio should be close to this value.</t>
  </si>
  <si>
    <t>Recommned Magnetizing Inductance</t>
  </si>
  <si>
    <r>
      <t>Chosen Magnetizing Inductance, L</t>
    </r>
    <r>
      <rPr>
        <b/>
        <vertAlign val="subscript"/>
        <sz val="10"/>
        <color theme="1"/>
        <rFont val="Arial"/>
        <family val="2"/>
      </rPr>
      <t>MAG</t>
    </r>
    <r>
      <rPr>
        <b/>
        <sz val="10"/>
        <color theme="1"/>
        <rFont val="Arial"/>
        <family val="2"/>
      </rPr>
      <t xml:space="preserve"> </t>
    </r>
  </si>
  <si>
    <t>Fsw at Vin_min</t>
  </si>
  <si>
    <t>Ipkmax  Allowed (20% margin)</t>
  </si>
  <si>
    <t>Max Rcs_rec1</t>
  </si>
  <si>
    <t>Max Rcs_rec2</t>
  </si>
  <si>
    <t>By 100mV VCS pk limit</t>
  </si>
  <si>
    <t>By 450ns min decay time</t>
  </si>
  <si>
    <t>Proposed Transformer Turns Ratio PRI : SEC1</t>
  </si>
  <si>
    <r>
      <t>Maximum Power Dissipation in R</t>
    </r>
    <r>
      <rPr>
        <vertAlign val="subscript"/>
        <sz val="10"/>
        <color theme="1"/>
        <rFont val="Arial"/>
        <family val="2"/>
      </rPr>
      <t>CS</t>
    </r>
    <r>
      <rPr>
        <sz val="10"/>
        <color theme="1"/>
        <rFont val="Arial"/>
        <family val="2"/>
      </rPr>
      <t xml:space="preserve"> </t>
    </r>
  </si>
  <si>
    <t>with selected Lmag</t>
  </si>
  <si>
    <t>Lmin_abs</t>
  </si>
  <si>
    <t>Maximum RCS for IPEAK (10% Power Margin)</t>
  </si>
  <si>
    <r>
      <t>Select MOSFET R</t>
    </r>
    <r>
      <rPr>
        <b/>
        <vertAlign val="subscript"/>
        <sz val="10"/>
        <rFont val="Arial"/>
        <family val="2"/>
      </rPr>
      <t>DSON</t>
    </r>
  </si>
  <si>
    <t xml:space="preserve">power </t>
  </si>
  <si>
    <t>MOSFET Min Voltage Rating</t>
  </si>
  <si>
    <t>Min Drain Voltage Rating</t>
  </si>
  <si>
    <t>Can logic level FET be used?</t>
  </si>
  <si>
    <t>Can regular FET be used?</t>
  </si>
  <si>
    <t>Yes</t>
  </si>
  <si>
    <r>
      <t>Recommended Minimum D</t>
    </r>
    <r>
      <rPr>
        <vertAlign val="subscript"/>
        <sz val="10"/>
        <rFont val="Arial"/>
        <family val="2"/>
      </rPr>
      <t>CLAMP</t>
    </r>
    <r>
      <rPr>
        <sz val="10"/>
        <rFont val="Arial"/>
        <family val="2"/>
      </rPr>
      <t xml:space="preserve"> Voltage</t>
    </r>
  </si>
  <si>
    <r>
      <t>D</t>
    </r>
    <r>
      <rPr>
        <b/>
        <vertAlign val="subscript"/>
        <sz val="10"/>
        <rFont val="Arial"/>
        <family val="2"/>
      </rPr>
      <t>CLAMP</t>
    </r>
    <r>
      <rPr>
        <b/>
        <sz val="10"/>
        <rFont val="Arial"/>
        <family val="2"/>
      </rPr>
      <t xml:space="preserve"> Voltage </t>
    </r>
  </si>
  <si>
    <t>Recommended Max MOSFET Qg</t>
  </si>
  <si>
    <t>Selected MOSFET Qg</t>
  </si>
  <si>
    <r>
      <t>Selected MOSFET C</t>
    </r>
    <r>
      <rPr>
        <b/>
        <vertAlign val="subscript"/>
        <sz val="10"/>
        <rFont val="Arial"/>
        <family val="2"/>
      </rPr>
      <t>OSS</t>
    </r>
  </si>
  <si>
    <t>Step 4: Power MOSFET Suggetions and  Zener Clamp</t>
  </si>
  <si>
    <t>Step 5: Input &amp; Output Capacitors</t>
  </si>
  <si>
    <t>`</t>
  </si>
  <si>
    <r>
      <t>V</t>
    </r>
    <r>
      <rPr>
        <b/>
        <vertAlign val="subscript"/>
        <sz val="16"/>
        <rFont val="Calibri"/>
        <family val="2"/>
      </rPr>
      <t xml:space="preserve">IN </t>
    </r>
    <r>
      <rPr>
        <b/>
        <sz val="16"/>
        <rFont val="Calibri"/>
        <family val="2"/>
      </rPr>
      <t>=</t>
    </r>
  </si>
  <si>
    <t>Selected Crossover Frquency (Fco)</t>
  </si>
  <si>
    <t>Ccopm</t>
  </si>
  <si>
    <t>k</t>
  </si>
  <si>
    <t>m</t>
  </si>
  <si>
    <t>Cflt</t>
  </si>
  <si>
    <t>100pF</t>
  </si>
  <si>
    <t>Rflt</t>
  </si>
  <si>
    <r>
      <t>Recommended CS Pin Filter Resistor R</t>
    </r>
    <r>
      <rPr>
        <vertAlign val="subscript"/>
        <sz val="10"/>
        <rFont val="Arial"/>
        <family val="2"/>
      </rPr>
      <t>FLT</t>
    </r>
  </si>
  <si>
    <r>
      <t>Recommended CS Pin Filter Resistor C</t>
    </r>
    <r>
      <rPr>
        <vertAlign val="subscript"/>
        <sz val="10"/>
        <rFont val="Arial"/>
        <family val="2"/>
      </rPr>
      <t>FLT</t>
    </r>
  </si>
  <si>
    <t>Step 3: Current Sense Resistor and Noise Filter</t>
  </si>
  <si>
    <t>Step 6: Rectifier Diode(s)</t>
  </si>
  <si>
    <t>Vou2 Diode cond duration</t>
  </si>
  <si>
    <t>Vout1 Diode cond duration</t>
  </si>
  <si>
    <t>Min Diode Voltage Rating, Output #2</t>
  </si>
  <si>
    <t>Min Diode DC Current Rating, Output #2</t>
  </si>
  <si>
    <t>Step 7: Feedback, Soft-start, TC, UVLO</t>
  </si>
  <si>
    <t>Diode VF</t>
  </si>
  <si>
    <t>Vfwd22</t>
  </si>
  <si>
    <r>
      <t>Input Voltage – Nom, V</t>
    </r>
    <r>
      <rPr>
        <b/>
        <vertAlign val="subscript"/>
        <sz val="10"/>
        <color rgb="FF0000FF"/>
        <rFont val="Arial"/>
        <family val="2"/>
      </rPr>
      <t>IN(nom)</t>
    </r>
  </si>
  <si>
    <t>MOSFET Power dissipation (WC)</t>
  </si>
  <si>
    <t>Single output</t>
  </si>
  <si>
    <t>Dual</t>
  </si>
  <si>
    <t>Final</t>
  </si>
  <si>
    <t>Estimated Max MOSFET Power Dissipation</t>
  </si>
  <si>
    <t>MOSFET Loss</t>
  </si>
  <si>
    <t>Step 8:  Compensation Design</t>
  </si>
  <si>
    <t>Snubber Capacitor Voltage Rating&gt;</t>
  </si>
  <si>
    <t>Snubber Resistor Power Rating&gt;</t>
  </si>
  <si>
    <t>Initial Csnb2</t>
  </si>
  <si>
    <t>Initial Rsnb2</t>
  </si>
  <si>
    <t>Step 9:  Optional RC Snubber acorss Rectifier Diode(s)</t>
  </si>
  <si>
    <t>Step 10:  Output Zener Clamp and/or Dummy Load</t>
  </si>
  <si>
    <t>Step 11: Power Losses &amp; Thermals</t>
  </si>
  <si>
    <t>Selected Device Min Power Rating&gt;</t>
  </si>
  <si>
    <t>Rdym</t>
  </si>
  <si>
    <t>Rdym1</t>
  </si>
  <si>
    <t>Rdym2</t>
  </si>
  <si>
    <t>min Load</t>
  </si>
  <si>
    <t>min Load1</t>
  </si>
  <si>
    <t>min Load 2</t>
  </si>
  <si>
    <t xml:space="preserve">Customer Min Load </t>
  </si>
  <si>
    <t>Iout_min</t>
  </si>
  <si>
    <t>Po-min</t>
  </si>
  <si>
    <t>Required min load</t>
  </si>
  <si>
    <t>Ton Min</t>
  </si>
  <si>
    <t>Vin_max</t>
  </si>
  <si>
    <t>Fsw_min</t>
  </si>
  <si>
    <t>Po_cal</t>
  </si>
  <si>
    <t>Do you need a  Dummy Load</t>
  </si>
  <si>
    <t>Customer Min Load 1</t>
  </si>
  <si>
    <t>Customer Min Load 2</t>
  </si>
  <si>
    <t>Iout_min1</t>
  </si>
  <si>
    <t>Po-min1</t>
  </si>
  <si>
    <t>Iout_min2</t>
  </si>
  <si>
    <t>Po-min2</t>
  </si>
  <si>
    <t>Do you need a  Dummy Load1</t>
  </si>
  <si>
    <t>Do you need a  Dummy Load2</t>
  </si>
  <si>
    <t>LM5185EVM-SIO PCB Design, 2.4" x 3.6" (60mm x 90mm)</t>
  </si>
  <si>
    <t xml:space="preserve">&lt;--Please input the effective capacitance under the actual dc voltage bias of the designated outpt rail. </t>
  </si>
  <si>
    <t>Slecct  Diode Forward Drop VF, Output #2</t>
  </si>
  <si>
    <r>
      <t>Flyback Diode Voltage Drop, VF</t>
    </r>
    <r>
      <rPr>
        <b/>
        <vertAlign val="subscript"/>
        <sz val="10"/>
        <rFont val="Arial"/>
        <family val="2"/>
      </rPr>
      <t>(no-load)</t>
    </r>
  </si>
  <si>
    <r>
      <t>Flyback Diode Voltage Drop, VF</t>
    </r>
    <r>
      <rPr>
        <vertAlign val="subscript"/>
        <sz val="10"/>
        <rFont val="Arial"/>
        <family val="2"/>
      </rPr>
      <t>(full-load)</t>
    </r>
  </si>
  <si>
    <t xml:space="preserve">Important: Remember to update Cell E80 below, which is VF at no load, in order to get a more accurate output voltage setting in Step 7. </t>
  </si>
  <si>
    <r>
      <t>C</t>
    </r>
    <r>
      <rPr>
        <vertAlign val="subscript"/>
        <sz val="10"/>
        <rFont val="Arial"/>
        <family val="2"/>
      </rPr>
      <t>VCC</t>
    </r>
  </si>
  <si>
    <t>Capacitor, Ceramic, 1µF, 25V, X7R, 10%</t>
  </si>
  <si>
    <r>
      <t>C</t>
    </r>
    <r>
      <rPr>
        <vertAlign val="subscript"/>
        <sz val="10"/>
        <rFont val="Arial"/>
        <family val="2"/>
      </rPr>
      <t>COMP</t>
    </r>
  </si>
  <si>
    <r>
      <t>C</t>
    </r>
    <r>
      <rPr>
        <vertAlign val="subscript"/>
        <sz val="10"/>
        <rFont val="Arial"/>
        <family val="2"/>
      </rPr>
      <t>HF</t>
    </r>
  </si>
  <si>
    <r>
      <t>R</t>
    </r>
    <r>
      <rPr>
        <vertAlign val="subscript"/>
        <sz val="10"/>
        <rFont val="Arial"/>
        <family val="2"/>
      </rPr>
      <t>COMP</t>
    </r>
  </si>
  <si>
    <r>
      <t>R</t>
    </r>
    <r>
      <rPr>
        <vertAlign val="subscript"/>
        <sz val="10"/>
        <rFont val="Arial"/>
        <family val="2"/>
      </rPr>
      <t>CS</t>
    </r>
  </si>
  <si>
    <t>Non-inductive Chip Power Resistor, 1%</t>
  </si>
  <si>
    <r>
      <t>C</t>
    </r>
    <r>
      <rPr>
        <vertAlign val="subscript"/>
        <sz val="10"/>
        <rFont val="Arial"/>
        <family val="2"/>
      </rPr>
      <t>FLT</t>
    </r>
  </si>
  <si>
    <t>Capacitor, Ceramic, 100pF, 50V, X7R, 10%</t>
  </si>
  <si>
    <r>
      <t>R</t>
    </r>
    <r>
      <rPr>
        <vertAlign val="subscript"/>
        <sz val="10"/>
        <rFont val="Arial"/>
        <family val="2"/>
      </rPr>
      <t>FLT</t>
    </r>
  </si>
  <si>
    <r>
      <t>LM5185-Q1 Low I</t>
    </r>
    <r>
      <rPr>
        <b/>
        <vertAlign val="subscript"/>
        <sz val="16"/>
        <rFont val="Arial"/>
        <family val="2"/>
      </rPr>
      <t>Q</t>
    </r>
    <r>
      <rPr>
        <b/>
        <sz val="16"/>
        <rFont val="Arial"/>
        <family val="2"/>
      </rPr>
      <t>, High Efficiency, PSR Flyback Converter BOM</t>
    </r>
  </si>
  <si>
    <t>LM5185-Q1</t>
  </si>
  <si>
    <t>IC, LM5185-Q1, PSR Flyback Controller, 4.5V–100V Input</t>
  </si>
  <si>
    <t>HTSSOP14</t>
  </si>
  <si>
    <r>
      <t>D</t>
    </r>
    <r>
      <rPr>
        <vertAlign val="subscript"/>
        <sz val="10"/>
        <rFont val="Arial"/>
        <family val="2"/>
      </rPr>
      <t>Z1</t>
    </r>
  </si>
  <si>
    <r>
      <t>D</t>
    </r>
    <r>
      <rPr>
        <vertAlign val="subscript"/>
        <sz val="10"/>
        <rFont val="Arial"/>
        <family val="2"/>
      </rPr>
      <t>Z2</t>
    </r>
  </si>
  <si>
    <t>2510</t>
  </si>
  <si>
    <t>9.3 x 2.7</t>
  </si>
  <si>
    <t>(Always reserve the snubber position on PCB and validatate experimentally.)</t>
  </si>
  <si>
    <t>LM5185EVM-MIO PCB Design, (Multiple Outputs, coming soon)</t>
  </si>
  <si>
    <t>* Choose a transformer with saturation current rating higher than the max peak current limit setting for all operating temperatures *</t>
  </si>
  <si>
    <t xml:space="preserve"> LM5185-Q1 PSR Flyback Controller Design Tool</t>
  </si>
  <si>
    <r>
      <t>Q</t>
    </r>
    <r>
      <rPr>
        <vertAlign val="subscript"/>
        <sz val="10"/>
        <rFont val="Arial"/>
        <family val="2"/>
      </rPr>
      <t>1</t>
    </r>
  </si>
  <si>
    <t>Power MOSFET</t>
  </si>
  <si>
    <t>SO-8</t>
  </si>
  <si>
    <t>5.0 x 6.0</t>
  </si>
  <si>
    <t>5.0 x 6.4</t>
  </si>
  <si>
    <t>22mm x 17mm</t>
  </si>
  <si>
    <t>11 x 14</t>
  </si>
  <si>
    <t>23 x 17</t>
  </si>
  <si>
    <t>Toff Max</t>
  </si>
  <si>
    <r>
      <t xml:space="preserve">Estimated Thermal Impedance, </t>
    </r>
    <r>
      <rPr>
        <sz val="11"/>
        <rFont val="Symbol"/>
        <family val="1"/>
        <charset val="2"/>
      </rPr>
      <t>J</t>
    </r>
    <r>
      <rPr>
        <vertAlign val="subscript"/>
        <sz val="10"/>
        <rFont val="Arial"/>
        <family val="2"/>
      </rPr>
      <t>JA</t>
    </r>
  </si>
  <si>
    <t>Recommended Zener VoltageSelection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</si>
</sst>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00"/>
    <numFmt numFmtId="165" formatCode="0.0000"/>
    <numFmt numFmtId="166" formatCode="0.000"/>
    <numFmt numFmtId="167" formatCode="0.0"/>
    <numFmt numFmtId="168" formatCode="0.000E+00"/>
    <numFmt numFmtId="169" formatCode="#0.0#"/>
    <numFmt numFmtId="170" formatCode="General&quot;k&quot;"/>
    <numFmt numFmtId="171" formatCode="General&quot;µF&quot;"/>
    <numFmt numFmtId="172" formatCode="General&quot;µH&quot;"/>
    <numFmt numFmtId="173" formatCode="&quot;Inductor, &quot;General&quot;-µH, 10%&quot;"/>
    <numFmt numFmtId="174" formatCode="&quot;Resistor, Chip, &quot;General&quot;-kΩ, 1/16W, 1%&quot;"/>
    <numFmt numFmtId="175" formatCode="0.E+00"/>
    <numFmt numFmtId="176" formatCode="0.0E+00"/>
    <numFmt numFmtId="177" formatCode="&quot;Capacitor, Ceramic, &quot;General&quot;-µF, 100V, X7R, 20%&quot;"/>
    <numFmt numFmtId="178" formatCode="0.000%"/>
    <numFmt numFmtId="179" formatCode="&quot;Capacitor, Ceramic, &quot;General&quot;-µF, 16V, X7R, 20%&quot;"/>
    <numFmt numFmtId="180" formatCode="&quot;Resistor, Chip, &quot;General&quot; kΩ, 1/16W, 1%&quot;"/>
    <numFmt numFmtId="181" formatCode="General&quot;M&quot;"/>
    <numFmt numFmtId="182" formatCode="&quot;Resistor, Chip, &quot;General&quot;kΩ, 1/16W, 1%&quot;"/>
    <numFmt numFmtId="183" formatCode="0E+00"/>
    <numFmt numFmtId="184" formatCode="0.000000"/>
  </numFmts>
  <fonts count="93">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sz val="36"/>
      <color rgb="FFFF0000"/>
      <name val="Arial"/>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0"/>
      <color rgb="FF0000FF"/>
      <name val="Arial"/>
      <family val="2"/>
    </font>
    <font>
      <u/>
      <sz val="10"/>
      <color theme="0" tint="-0.499984740745262"/>
      <name val="Arial"/>
      <family val="2"/>
    </font>
    <font>
      <vertAlign val="subscript"/>
      <sz val="9"/>
      <color indexed="81"/>
      <name val="Tahoma"/>
      <family val="2"/>
    </font>
    <font>
      <b/>
      <vertAlign val="subscript"/>
      <sz val="16"/>
      <name val="Arial"/>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sz val="6"/>
      <name val="ＭＳ Ｐゴシック"/>
      <family val="3"/>
      <charset val="128"/>
    </font>
    <font>
      <b/>
      <sz val="16"/>
      <name val="Calibri"/>
      <family val="2"/>
    </font>
    <font>
      <b/>
      <vertAlign val="subscript"/>
      <sz val="16"/>
      <name val="Calibri"/>
      <family val="2"/>
    </font>
    <font>
      <sz val="20"/>
      <color rgb="FFFF0000"/>
      <name val="Arial"/>
      <family val="2"/>
    </font>
    <font>
      <i/>
      <sz val="14"/>
      <color indexed="12"/>
      <name val="Arial"/>
      <family val="2"/>
    </font>
    <font>
      <vertAlign val="subscript"/>
      <sz val="10"/>
      <color theme="1"/>
      <name val="Arial"/>
      <family val="2"/>
    </font>
    <font>
      <b/>
      <i/>
      <sz val="9"/>
      <color indexed="81"/>
      <name val="Tahoma"/>
      <family val="2"/>
    </font>
    <font>
      <b/>
      <vertAlign val="subscript"/>
      <sz val="10"/>
      <color rgb="FF0000FF"/>
      <name val="Arial"/>
      <family val="2"/>
    </font>
    <font>
      <b/>
      <sz val="10"/>
      <color indexed="10"/>
      <name val="Arial"/>
      <family val="2"/>
    </font>
    <font>
      <sz val="11"/>
      <name val="Symbol"/>
      <family val="1"/>
      <charset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bottom/>
      <diagonal/>
    </border>
  </borders>
  <cellStyleXfs count="8">
    <xf numFmtId="0" fontId="0" fillId="0" borderId="0"/>
    <xf numFmtId="0" fontId="4" fillId="0" borderId="0" applyNumberForma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43" fontId="2" fillId="0" borderId="0" applyFont="0" applyFill="0" applyBorder="0" applyAlignment="0" applyProtection="0"/>
    <xf numFmtId="9" fontId="70" fillId="0" borderId="0" applyFont="0" applyFill="0" applyBorder="0" applyAlignment="0" applyProtection="0"/>
  </cellStyleXfs>
  <cellXfs count="973">
    <xf numFmtId="0" fontId="0" fillId="0" borderId="0" xfId="0"/>
    <xf numFmtId="0" fontId="23" fillId="24" borderId="0" xfId="0" applyFont="1" applyFill="1" applyBorder="1" applyAlignment="1" applyProtection="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0" borderId="0" xfId="0" applyBorder="1"/>
    <xf numFmtId="2" fontId="0" fillId="0" borderId="0" xfId="0" applyNumberFormat="1" applyBorder="1"/>
    <xf numFmtId="0" fontId="0" fillId="4" borderId="2" xfId="0" applyFill="1" applyBorder="1"/>
    <xf numFmtId="0" fontId="0" fillId="4" borderId="0" xfId="0" applyFill="1" applyBorder="1"/>
    <xf numFmtId="0" fontId="0" fillId="0" borderId="0" xfId="0" applyFill="1"/>
    <xf numFmtId="0" fontId="0" fillId="0" borderId="0" xfId="0" applyFill="1" applyBorder="1"/>
    <xf numFmtId="0" fontId="15" fillId="0" borderId="0" xfId="0" applyFont="1" applyFill="1" applyBorder="1"/>
    <xf numFmtId="0" fontId="4" fillId="0" borderId="0" xfId="0" applyFont="1" applyFill="1" applyBorder="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Fill="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69" fontId="17" fillId="3" borderId="0" xfId="0" applyNumberFormat="1" applyFont="1" applyFill="1" applyBorder="1" applyAlignment="1" applyProtection="1">
      <alignment horizontal="center"/>
    </xf>
    <xf numFmtId="0" fontId="0" fillId="0" borderId="22" xfId="0" applyBorder="1"/>
    <xf numFmtId="0" fontId="0" fillId="0" borderId="23" xfId="0" applyBorder="1"/>
    <xf numFmtId="0" fontId="8" fillId="0" borderId="22" xfId="0" applyFont="1" applyBorder="1"/>
    <xf numFmtId="0" fontId="0" fillId="11" borderId="0" xfId="0" applyFill="1" applyBorder="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applyBorder="1"/>
    <xf numFmtId="0" fontId="0" fillId="10" borderId="0" xfId="0" applyFill="1" applyBorder="1"/>
    <xf numFmtId="0" fontId="0" fillId="0" borderId="0" xfId="0" applyBorder="1" applyAlignment="1">
      <alignment horizontal="right"/>
    </xf>
    <xf numFmtId="0" fontId="0" fillId="0" borderId="25" xfId="0" applyBorder="1" applyAlignment="1">
      <alignment horizontal="right"/>
    </xf>
    <xf numFmtId="0" fontId="4" fillId="0" borderId="0" xfId="0" applyFont="1" applyBorder="1"/>
    <xf numFmtId="11" fontId="7" fillId="0" borderId="25" xfId="0" applyNumberFormat="1" applyFont="1" applyBorder="1"/>
    <xf numFmtId="11" fontId="0" fillId="4" borderId="0" xfId="0" applyNumberFormat="1" applyFill="1" applyBorder="1"/>
    <xf numFmtId="0" fontId="4" fillId="0" borderId="0" xfId="0" applyFont="1" applyFill="1" applyBorder="1" applyAlignment="1"/>
    <xf numFmtId="0" fontId="8" fillId="0" borderId="0" xfId="0" applyFont="1" applyFill="1" applyBorder="1" applyAlignment="1"/>
    <xf numFmtId="0" fontId="8" fillId="0" borderId="0" xfId="0" applyFont="1" applyFill="1" applyBorder="1"/>
    <xf numFmtId="0" fontId="17" fillId="3" borderId="0" xfId="0" applyFont="1" applyFill="1" applyBorder="1" applyProtection="1"/>
    <xf numFmtId="0" fontId="17" fillId="3" borderId="0" xfId="0" applyFont="1" applyFill="1" applyProtection="1"/>
    <xf numFmtId="0" fontId="18" fillId="8" borderId="0" xfId="0" applyFont="1" applyFill="1" applyBorder="1" applyAlignment="1" applyProtection="1"/>
    <xf numFmtId="0" fontId="18" fillId="8" borderId="0" xfId="0" applyFont="1" applyFill="1" applyBorder="1" applyAlignment="1" applyProtection="1">
      <alignment horizontal="right"/>
    </xf>
    <xf numFmtId="0" fontId="17" fillId="8" borderId="0" xfId="0" applyFont="1" applyFill="1" applyBorder="1" applyProtection="1"/>
    <xf numFmtId="0" fontId="21" fillId="0" borderId="0" xfId="0" applyFont="1" applyBorder="1"/>
    <xf numFmtId="0" fontId="4" fillId="0" borderId="0" xfId="0" applyFont="1" applyBorder="1" applyAlignment="1">
      <alignment horizontal="center"/>
    </xf>
    <xf numFmtId="0" fontId="0" fillId="0" borderId="1" xfId="0" applyBorder="1"/>
    <xf numFmtId="0" fontId="0" fillId="0" borderId="2" xfId="0" applyBorder="1" applyAlignment="1">
      <alignment horizontal="right"/>
    </xf>
    <xf numFmtId="0" fontId="22" fillId="0" borderId="0" xfId="0" applyFont="1" applyBorder="1"/>
    <xf numFmtId="0" fontId="4" fillId="0" borderId="22" xfId="0" applyFont="1" applyFill="1" applyBorder="1"/>
    <xf numFmtId="0" fontId="8" fillId="0" borderId="22" xfId="0" applyFont="1" applyFill="1" applyBorder="1"/>
    <xf numFmtId="0" fontId="0" fillId="0" borderId="2" xfId="0" applyBorder="1" applyAlignment="1"/>
    <xf numFmtId="0" fontId="27" fillId="0" borderId="0" xfId="0" applyFont="1" applyBorder="1"/>
    <xf numFmtId="0" fontId="27" fillId="4" borderId="0" xfId="0" applyFont="1" applyFill="1" applyBorder="1"/>
    <xf numFmtId="0" fontId="0" fillId="0" borderId="0" xfId="0" applyFont="1" applyFill="1" applyBorder="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3" xfId="0" applyFont="1" applyFill="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applyBorder="1" applyProtection="1"/>
    <xf numFmtId="2" fontId="17" fillId="8" borderId="0" xfId="0" applyNumberFormat="1" applyFont="1" applyFill="1" applyBorder="1" applyProtection="1"/>
    <xf numFmtId="165" fontId="17" fillId="8" borderId="0" xfId="0" applyNumberFormat="1" applyFont="1" applyFill="1" applyBorder="1" applyProtection="1"/>
    <xf numFmtId="0" fontId="17" fillId="12" borderId="0" xfId="0" applyFont="1" applyFill="1" applyProtection="1"/>
    <xf numFmtId="0" fontId="3" fillId="0" borderId="0" xfId="0" applyFont="1"/>
    <xf numFmtId="0" fontId="3" fillId="0" borderId="0" xfId="0" applyFont="1" applyBorder="1"/>
    <xf numFmtId="0" fontId="0" fillId="0" borderId="0" xfId="0" applyBorder="1" applyAlignment="1">
      <alignment horizontal="left"/>
    </xf>
    <xf numFmtId="0" fontId="3" fillId="0" borderId="2" xfId="0" applyFont="1" applyBorder="1"/>
    <xf numFmtId="0" fontId="3" fillId="0" borderId="25" xfId="0" applyFont="1" applyBorder="1"/>
    <xf numFmtId="0" fontId="30" fillId="8" borderId="0" xfId="0" applyFont="1" applyFill="1" applyBorder="1" applyAlignment="1" applyProtection="1"/>
    <xf numFmtId="0" fontId="17" fillId="12" borderId="0" xfId="0" applyFont="1" applyFill="1" applyBorder="1" applyProtection="1"/>
    <xf numFmtId="0" fontId="20" fillId="15" borderId="0" xfId="0" applyFont="1" applyFill="1" applyBorder="1" applyAlignment="1" applyProtection="1">
      <alignment vertical="center"/>
    </xf>
    <xf numFmtId="0" fontId="0" fillId="14" borderId="0" xfId="0" applyFill="1"/>
    <xf numFmtId="0" fontId="42" fillId="14" borderId="0" xfId="0" applyFont="1" applyFill="1"/>
    <xf numFmtId="0" fontId="4" fillId="8" borderId="0" xfId="0" applyFont="1" applyFill="1" applyBorder="1" applyAlignment="1" applyProtection="1">
      <alignment horizontal="right"/>
    </xf>
    <xf numFmtId="0" fontId="3" fillId="8" borderId="0" xfId="0" applyFont="1" applyFill="1" applyBorder="1" applyAlignment="1" applyProtection="1">
      <alignment horizontal="right"/>
    </xf>
    <xf numFmtId="0" fontId="3" fillId="8" borderId="22" xfId="0" applyFont="1" applyFill="1" applyBorder="1" applyProtection="1"/>
    <xf numFmtId="0" fontId="3" fillId="8" borderId="0" xfId="0" applyFont="1" applyFill="1" applyBorder="1" applyProtection="1"/>
    <xf numFmtId="0" fontId="45" fillId="8" borderId="0" xfId="0" applyFont="1" applyFill="1" applyBorder="1" applyProtection="1"/>
    <xf numFmtId="0" fontId="46" fillId="8" borderId="0" xfId="0" applyFont="1" applyFill="1" applyBorder="1" applyProtection="1"/>
    <xf numFmtId="0" fontId="47" fillId="8" borderId="0" xfId="0" applyFont="1" applyFill="1" applyBorder="1" applyAlignment="1" applyProtection="1"/>
    <xf numFmtId="0" fontId="4" fillId="8" borderId="0" xfId="0" applyFont="1" applyFill="1" applyBorder="1" applyAlignment="1" applyProtection="1"/>
    <xf numFmtId="167" fontId="4" fillId="8" borderId="0" xfId="0" applyNumberFormat="1" applyFont="1" applyFill="1" applyBorder="1" applyAlignment="1" applyProtection="1"/>
    <xf numFmtId="0" fontId="47" fillId="8" borderId="0" xfId="0" applyFont="1" applyFill="1" applyBorder="1" applyProtection="1"/>
    <xf numFmtId="0" fontId="4" fillId="8" borderId="0" xfId="0" applyFont="1" applyFill="1" applyBorder="1" applyProtection="1"/>
    <xf numFmtId="0" fontId="4" fillId="8" borderId="22" xfId="0" applyFont="1" applyFill="1" applyBorder="1" applyProtection="1"/>
    <xf numFmtId="0" fontId="4" fillId="15" borderId="0" xfId="0" applyFont="1" applyFill="1" applyBorder="1" applyProtection="1">
      <protection locked="0"/>
    </xf>
    <xf numFmtId="1" fontId="44" fillId="8" borderId="0" xfId="0" applyNumberFormat="1" applyFont="1" applyFill="1" applyBorder="1" applyAlignment="1" applyProtection="1">
      <alignment horizontal="right"/>
    </xf>
    <xf numFmtId="0" fontId="50" fillId="8" borderId="0" xfId="0" applyFont="1" applyFill="1" applyBorder="1" applyAlignment="1" applyProtection="1">
      <alignment horizontal="right"/>
    </xf>
    <xf numFmtId="0" fontId="3" fillId="8" borderId="24" xfId="0" applyFont="1" applyFill="1" applyBorder="1" applyProtection="1"/>
    <xf numFmtId="0" fontId="3" fillId="8" borderId="25" xfId="0" applyFont="1" applyFill="1" applyBorder="1" applyProtection="1"/>
    <xf numFmtId="0" fontId="3" fillId="8" borderId="23" xfId="0" applyFont="1" applyFill="1" applyBorder="1" applyProtection="1"/>
    <xf numFmtId="0" fontId="3" fillId="8" borderId="39" xfId="0" applyFont="1" applyFill="1" applyBorder="1" applyProtection="1"/>
    <xf numFmtId="0" fontId="3" fillId="8" borderId="40" xfId="0" applyFont="1" applyFill="1" applyBorder="1" applyProtection="1"/>
    <xf numFmtId="0" fontId="22" fillId="8" borderId="22" xfId="0" applyFont="1" applyFill="1" applyBorder="1" applyAlignment="1" applyProtection="1">
      <alignment vertical="center"/>
    </xf>
    <xf numFmtId="0" fontId="17" fillId="3" borderId="22" xfId="0" applyFont="1" applyFill="1" applyBorder="1" applyProtection="1"/>
    <xf numFmtId="0" fontId="4" fillId="8" borderId="39" xfId="0" applyFont="1" applyFill="1" applyBorder="1" applyProtection="1"/>
    <xf numFmtId="0" fontId="3" fillId="0" borderId="1" xfId="0" applyFont="1" applyBorder="1"/>
    <xf numFmtId="0" fontId="3" fillId="0" borderId="22" xfId="0" applyFont="1" applyBorder="1"/>
    <xf numFmtId="0" fontId="3" fillId="0" borderId="0" xfId="0" applyFont="1" applyFill="1" applyBorder="1"/>
    <xf numFmtId="2" fontId="0" fillId="0" borderId="0" xfId="0" applyNumberFormat="1" applyBorder="1" applyAlignment="1">
      <alignment horizontal="right"/>
    </xf>
    <xf numFmtId="0" fontId="53" fillId="0" borderId="0" xfId="0" applyFont="1" applyBorder="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0"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1" fontId="3" fillId="16" borderId="11" xfId="4" applyNumberFormat="1" applyFill="1" applyBorder="1" applyAlignment="1">
      <alignment horizontal="center" vertical="center"/>
    </xf>
    <xf numFmtId="0" fontId="3" fillId="12" borderId="0" xfId="4" applyFill="1"/>
    <xf numFmtId="1" fontId="0" fillId="4" borderId="0" xfId="0" applyNumberFormat="1" applyFill="1" applyBorder="1"/>
    <xf numFmtId="0" fontId="3" fillId="8" borderId="0" xfId="0" applyFont="1" applyFill="1" applyBorder="1" applyAlignment="1" applyProtection="1">
      <alignment vertical="center"/>
    </xf>
    <xf numFmtId="0" fontId="3" fillId="8" borderId="22" xfId="0" applyFont="1" applyFill="1" applyBorder="1" applyAlignment="1" applyProtection="1">
      <alignment vertical="center"/>
    </xf>
    <xf numFmtId="0" fontId="3" fillId="8" borderId="0" xfId="0" applyFont="1" applyFill="1" applyBorder="1" applyAlignment="1" applyProtection="1">
      <alignment horizontal="right" vertical="center"/>
    </xf>
    <xf numFmtId="0" fontId="3" fillId="8" borderId="23" xfId="0" applyFont="1" applyFill="1" applyBorder="1" applyAlignment="1" applyProtection="1">
      <alignment vertical="center"/>
    </xf>
    <xf numFmtId="0" fontId="3" fillId="8" borderId="24" xfId="0" applyFont="1" applyFill="1" applyBorder="1" applyAlignment="1" applyProtection="1">
      <alignment vertical="center"/>
    </xf>
    <xf numFmtId="0" fontId="3" fillId="8" borderId="25" xfId="0" applyFont="1" applyFill="1" applyBorder="1" applyAlignment="1" applyProtection="1">
      <alignment vertical="center"/>
    </xf>
    <xf numFmtId="0" fontId="3" fillId="8" borderId="26" xfId="0" applyFont="1" applyFill="1" applyBorder="1" applyAlignment="1" applyProtection="1">
      <alignment vertical="center"/>
    </xf>
    <xf numFmtId="0" fontId="3" fillId="8" borderId="37" xfId="0" applyFont="1" applyFill="1" applyBorder="1" applyAlignment="1" applyProtection="1">
      <alignment vertical="center"/>
    </xf>
    <xf numFmtId="0" fontId="3" fillId="8" borderId="2" xfId="0" applyFont="1" applyFill="1" applyBorder="1" applyAlignment="1" applyProtection="1">
      <alignment vertical="center"/>
    </xf>
    <xf numFmtId="0" fontId="50"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vertical="center"/>
      <protection locked="0"/>
    </xf>
    <xf numFmtId="0" fontId="4" fillId="8" borderId="23" xfId="0" applyFont="1" applyFill="1" applyBorder="1" applyAlignment="1" applyProtection="1">
      <alignment vertical="center"/>
    </xf>
    <xf numFmtId="1" fontId="3" fillId="8" borderId="0" xfId="0" applyNumberFormat="1" applyFont="1" applyFill="1" applyBorder="1" applyAlignment="1" applyProtection="1">
      <alignment horizontal="right" vertical="center"/>
    </xf>
    <xf numFmtId="0" fontId="50" fillId="12" borderId="0" xfId="0" applyFont="1" applyFill="1" applyBorder="1" applyAlignment="1" applyProtection="1">
      <alignment horizontal="right" vertical="center"/>
    </xf>
    <xf numFmtId="0" fontId="4" fillId="15" borderId="0" xfId="0" applyFont="1" applyFill="1" applyBorder="1" applyAlignment="1" applyProtection="1">
      <alignment vertical="center"/>
      <protection locked="0"/>
    </xf>
    <xf numFmtId="0" fontId="4" fillId="8" borderId="0" xfId="0" applyFont="1" applyFill="1" applyBorder="1" applyAlignment="1" applyProtection="1">
      <alignment vertical="center"/>
    </xf>
    <xf numFmtId="0" fontId="4"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horizontal="right" vertical="center"/>
      <protection locked="0"/>
    </xf>
    <xf numFmtId="0" fontId="3" fillId="8" borderId="39" xfId="0" applyFont="1" applyFill="1" applyBorder="1" applyAlignment="1" applyProtection="1">
      <alignment vertical="center"/>
    </xf>
    <xf numFmtId="0" fontId="0" fillId="0" borderId="35" xfId="0" applyBorder="1"/>
    <xf numFmtId="0" fontId="0" fillId="18" borderId="0" xfId="0" applyFill="1" applyBorder="1"/>
    <xf numFmtId="0" fontId="3" fillId="0" borderId="0" xfId="0" applyFont="1" applyBorder="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Border="1" applyAlignment="1">
      <alignment horizontal="left"/>
    </xf>
    <xf numFmtId="166" fontId="7" fillId="10" borderId="0" xfId="0" applyNumberFormat="1" applyFont="1" applyFill="1" applyBorder="1"/>
    <xf numFmtId="2" fontId="0" fillId="18" borderId="0" xfId="0" applyNumberFormat="1" applyFill="1" applyBorder="1"/>
    <xf numFmtId="1" fontId="0" fillId="10" borderId="0" xfId="0" applyNumberFormat="1" applyFill="1" applyBorder="1"/>
    <xf numFmtId="0" fontId="3" fillId="0" borderId="35" xfId="0" applyFont="1" applyFill="1" applyBorder="1"/>
    <xf numFmtId="0" fontId="3" fillId="0" borderId="24" xfId="0" applyFont="1" applyBorder="1"/>
    <xf numFmtId="0" fontId="7" fillId="0" borderId="25" xfId="0" applyFont="1" applyFill="1" applyBorder="1"/>
    <xf numFmtId="167" fontId="0" fillId="0" borderId="0" xfId="0" applyNumberFormat="1" applyFill="1" applyBorder="1"/>
    <xf numFmtId="0" fontId="4" fillId="0" borderId="45" xfId="0" applyFont="1" applyFill="1" applyBorder="1"/>
    <xf numFmtId="0" fontId="0" fillId="20" borderId="0" xfId="0" applyFill="1" applyBorder="1"/>
    <xf numFmtId="0" fontId="3" fillId="0" borderId="0" xfId="4"/>
    <xf numFmtId="0" fontId="3" fillId="0" borderId="11" xfId="4" applyBorder="1"/>
    <xf numFmtId="2" fontId="3" fillId="0" borderId="0" xfId="4" applyNumberFormat="1"/>
    <xf numFmtId="166" fontId="0" fillId="0" borderId="0" xfId="0" applyNumberFormat="1"/>
    <xf numFmtId="1" fontId="7" fillId="10" borderId="0" xfId="0" applyNumberFormat="1" applyFont="1" applyFill="1" applyBorder="1"/>
    <xf numFmtId="0" fontId="3" fillId="0" borderId="49" xfId="0" applyFont="1" applyBorder="1"/>
    <xf numFmtId="166" fontId="3" fillId="0" borderId="50" xfId="0" applyNumberFormat="1" applyFont="1" applyFill="1" applyBorder="1"/>
    <xf numFmtId="11" fontId="7" fillId="0" borderId="50" xfId="0" applyNumberFormat="1" applyFont="1" applyBorder="1"/>
    <xf numFmtId="0" fontId="53" fillId="0" borderId="50" xfId="0" applyFont="1" applyBorder="1"/>
    <xf numFmtId="0" fontId="49" fillId="0" borderId="0" xfId="0" applyFont="1"/>
    <xf numFmtId="0" fontId="0" fillId="0" borderId="39" xfId="0" applyBorder="1"/>
    <xf numFmtId="0" fontId="50" fillId="0" borderId="0" xfId="0" applyFont="1"/>
    <xf numFmtId="0" fontId="48" fillId="0" borderId="0" xfId="0" applyFont="1" applyFill="1" applyBorder="1"/>
    <xf numFmtId="165" fontId="7" fillId="10" borderId="0" xfId="0" applyNumberFormat="1" applyFont="1" applyFill="1" applyBorder="1"/>
    <xf numFmtId="0" fontId="0" fillId="20" borderId="0" xfId="0" applyFill="1" applyBorder="1" applyAlignment="1">
      <alignment horizontal="right"/>
    </xf>
    <xf numFmtId="166" fontId="27" fillId="18" borderId="0" xfId="0" applyNumberFormat="1" applyFont="1" applyFill="1" applyBorder="1"/>
    <xf numFmtId="0" fontId="0" fillId="19" borderId="0" xfId="0" applyFill="1" applyBorder="1" applyAlignment="1">
      <alignment horizontal="right"/>
    </xf>
    <xf numFmtId="2" fontId="0" fillId="18" borderId="0" xfId="0" applyNumberFormat="1" applyFill="1" applyBorder="1" applyAlignment="1">
      <alignment horizontal="right"/>
    </xf>
    <xf numFmtId="0" fontId="3" fillId="0" borderId="11" xfId="4" applyFill="1" applyBorder="1"/>
    <xf numFmtId="0" fontId="3" fillId="0" borderId="0" xfId="4" applyFont="1"/>
    <xf numFmtId="166" fontId="3" fillId="0" borderId="11" xfId="4" applyNumberFormat="1" applyBorder="1"/>
    <xf numFmtId="0" fontId="0" fillId="19" borderId="0" xfId="0" applyFill="1" applyBorder="1"/>
    <xf numFmtId="2" fontId="3" fillId="0" borderId="0" xfId="0" applyNumberFormat="1" applyFont="1" applyFill="1" applyBorder="1"/>
    <xf numFmtId="0" fontId="3" fillId="20" borderId="0" xfId="0" applyFont="1" applyFill="1" applyBorder="1"/>
    <xf numFmtId="0" fontId="3" fillId="0" borderId="8" xfId="4" applyBorder="1"/>
    <xf numFmtId="176" fontId="0" fillId="10" borderId="0" xfId="0" applyNumberFormat="1" applyFill="1" applyBorder="1"/>
    <xf numFmtId="176" fontId="0" fillId="4" borderId="25" xfId="0" applyNumberFormat="1" applyFill="1" applyBorder="1"/>
    <xf numFmtId="1" fontId="3" fillId="0" borderId="0" xfId="4" applyNumberFormat="1"/>
    <xf numFmtId="0" fontId="0" fillId="0" borderId="0" xfId="0" applyNumberFormat="1" applyBorder="1"/>
    <xf numFmtId="0" fontId="0" fillId="0" borderId="0" xfId="0" applyBorder="1" applyAlignment="1"/>
    <xf numFmtId="0" fontId="15" fillId="0" borderId="33" xfId="0" applyFont="1" applyBorder="1"/>
    <xf numFmtId="0" fontId="15" fillId="0" borderId="0" xfId="0" applyFont="1" applyBorder="1"/>
    <xf numFmtId="0" fontId="54" fillId="3" borderId="43" xfId="4" applyFont="1" applyFill="1" applyBorder="1" applyAlignment="1">
      <alignment horizontal="center" vertical="center"/>
    </xf>
    <xf numFmtId="0" fontId="54" fillId="3" borderId="44" xfId="4" applyFont="1" applyFill="1" applyBorder="1" applyAlignment="1">
      <alignment horizontal="center" vertical="center"/>
    </xf>
    <xf numFmtId="11" fontId="49" fillId="0" borderId="0" xfId="0" applyNumberFormat="1" applyFont="1"/>
    <xf numFmtId="0" fontId="59" fillId="0" borderId="0" xfId="0" applyFont="1" applyFill="1" applyBorder="1"/>
    <xf numFmtId="0" fontId="3" fillId="8" borderId="35" xfId="0" applyFont="1" applyFill="1" applyBorder="1" applyAlignment="1" applyProtection="1">
      <alignment horizontal="right" vertical="center"/>
    </xf>
    <xf numFmtId="0" fontId="3" fillId="0" borderId="24" xfId="0" applyFont="1" applyFill="1" applyBorder="1"/>
    <xf numFmtId="0" fontId="3" fillId="8" borderId="39" xfId="0" applyFont="1" applyFill="1" applyBorder="1" applyAlignment="1" applyProtection="1">
      <alignment horizontal="right"/>
    </xf>
    <xf numFmtId="1" fontId="3" fillId="8" borderId="39" xfId="0" applyNumberFormat="1" applyFont="1" applyFill="1" applyBorder="1" applyProtection="1"/>
    <xf numFmtId="166" fontId="17" fillId="12" borderId="0" xfId="0" applyNumberFormat="1" applyFont="1" applyFill="1" applyBorder="1" applyProtection="1"/>
    <xf numFmtId="0" fontId="3" fillId="12" borderId="0" xfId="0" applyNumberFormat="1" applyFont="1" applyFill="1" applyBorder="1" applyAlignment="1" applyProtection="1">
      <alignment horizontal="right" vertical="center"/>
    </xf>
    <xf numFmtId="165" fontId="17" fillId="12" borderId="0" xfId="0" applyNumberFormat="1" applyFont="1" applyFill="1" applyBorder="1" applyProtection="1"/>
    <xf numFmtId="0" fontId="3" fillId="12" borderId="0" xfId="0" applyFont="1" applyFill="1" applyBorder="1" applyAlignment="1" applyProtection="1">
      <alignment vertical="center"/>
    </xf>
    <xf numFmtId="0" fontId="4" fillId="12" borderId="0" xfId="0" applyFont="1" applyFill="1" applyBorder="1" applyAlignment="1" applyProtection="1">
      <alignment vertical="center"/>
    </xf>
    <xf numFmtId="0" fontId="61" fillId="8" borderId="0" xfId="0" applyFont="1" applyFill="1" applyBorder="1" applyAlignment="1" applyProtection="1">
      <alignment horizontal="right" vertical="center"/>
    </xf>
    <xf numFmtId="165" fontId="3" fillId="0" borderId="0" xfId="4" applyNumberFormat="1"/>
    <xf numFmtId="166" fontId="3" fillId="0" borderId="0" xfId="4" applyNumberFormat="1"/>
    <xf numFmtId="164" fontId="3" fillId="0" borderId="0" xfId="4" applyNumberFormat="1"/>
    <xf numFmtId="10" fontId="3" fillId="0" borderId="0" xfId="4" applyNumberFormat="1"/>
    <xf numFmtId="0" fontId="4" fillId="4" borderId="49" xfId="4" applyFont="1" applyFill="1" applyBorder="1" applyAlignment="1"/>
    <xf numFmtId="0" fontId="7" fillId="4" borderId="35" xfId="4" applyFont="1" applyFill="1" applyBorder="1" applyAlignment="1"/>
    <xf numFmtId="165" fontId="3" fillId="4" borderId="52" xfId="4" applyNumberFormat="1" applyFill="1" applyBorder="1"/>
    <xf numFmtId="165" fontId="4" fillId="4" borderId="49" xfId="4" applyNumberFormat="1" applyFont="1" applyFill="1" applyBorder="1" applyAlignment="1"/>
    <xf numFmtId="165" fontId="7" fillId="4" borderId="50" xfId="4" applyNumberFormat="1" applyFont="1" applyFill="1" applyBorder="1" applyAlignment="1"/>
    <xf numFmtId="0" fontId="7" fillId="4" borderId="50" xfId="4" applyFont="1" applyFill="1" applyBorder="1" applyAlignment="1"/>
    <xf numFmtId="165" fontId="15" fillId="4" borderId="52" xfId="4" applyNumberFormat="1" applyFont="1" applyFill="1" applyBorder="1"/>
    <xf numFmtId="166" fontId="4" fillId="4" borderId="50" xfId="4" applyNumberFormat="1" applyFont="1" applyFill="1" applyBorder="1" applyAlignment="1">
      <alignment horizontal="left"/>
    </xf>
    <xf numFmtId="165" fontId="7" fillId="4" borderId="50" xfId="4" applyNumberFormat="1" applyFont="1" applyFill="1" applyBorder="1" applyAlignment="1">
      <alignment horizontal="center"/>
    </xf>
    <xf numFmtId="165" fontId="4" fillId="4" borderId="49" xfId="4" applyNumberFormat="1" applyFont="1" applyFill="1" applyBorder="1"/>
    <xf numFmtId="164" fontId="3" fillId="4" borderId="50" xfId="4" applyNumberFormat="1" applyFill="1" applyBorder="1"/>
    <xf numFmtId="164" fontId="3" fillId="4" borderId="52" xfId="4" applyNumberFormat="1" applyFill="1" applyBorder="1"/>
    <xf numFmtId="165" fontId="4" fillId="4" borderId="41" xfId="4" applyNumberFormat="1" applyFont="1" applyFill="1" applyBorder="1"/>
    <xf numFmtId="165" fontId="3" fillId="4" borderId="42" xfId="4" applyNumberFormat="1" applyFill="1" applyBorder="1"/>
    <xf numFmtId="165" fontId="4" fillId="4" borderId="41" xfId="4" applyNumberFormat="1" applyFont="1" applyFill="1" applyBorder="1" applyAlignment="1">
      <alignment horizontal="left"/>
    </xf>
    <xf numFmtId="165" fontId="4" fillId="4" borderId="42" xfId="4" applyNumberFormat="1" applyFont="1" applyFill="1" applyBorder="1" applyAlignment="1">
      <alignment horizontal="left"/>
    </xf>
    <xf numFmtId="165"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applyAlignment="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166" fontId="4" fillId="2" borderId="20"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7" xfId="4" applyNumberFormat="1" applyFont="1" applyFill="1" applyBorder="1" applyAlignment="1">
      <alignment horizontal="center" vertical="center" wrapText="1"/>
    </xf>
    <xf numFmtId="165" fontId="4" fillId="2" borderId="19" xfId="4" applyNumberFormat="1" applyFont="1" applyFill="1" applyBorder="1" applyAlignment="1">
      <alignment horizontal="center" vertical="center" wrapText="1"/>
    </xf>
    <xf numFmtId="165" fontId="4" fillId="2" borderId="21" xfId="4" applyNumberFormat="1" applyFont="1" applyFill="1" applyBorder="1" applyAlignment="1">
      <alignment horizontal="center" vertical="center" wrapText="1"/>
    </xf>
    <xf numFmtId="165" fontId="4" fillId="2" borderId="56" xfId="4" applyNumberFormat="1" applyFont="1" applyFill="1" applyBorder="1" applyAlignment="1">
      <alignment horizontal="center" vertical="center" wrapText="1"/>
    </xf>
    <xf numFmtId="165" fontId="4" fillId="2" borderId="57" xfId="4" applyNumberFormat="1" applyFont="1" applyFill="1" applyBorder="1" applyAlignment="1">
      <alignment horizontal="center" vertical="center" wrapText="1"/>
    </xf>
    <xf numFmtId="165"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Border="1" applyAlignment="1">
      <alignment horizontal="center" vertical="center" wrapText="1"/>
    </xf>
    <xf numFmtId="0" fontId="3" fillId="0" borderId="0" xfId="4" quotePrefix="1"/>
    <xf numFmtId="0" fontId="4" fillId="2" borderId="0" xfId="4" applyFont="1" applyFill="1" applyBorder="1" applyAlignment="1">
      <alignment horizontal="center" vertical="center" wrapText="1"/>
    </xf>
    <xf numFmtId="0" fontId="4" fillId="5" borderId="8" xfId="4" applyFont="1" applyFill="1" applyBorder="1" applyAlignment="1"/>
    <xf numFmtId="0" fontId="4" fillId="5" borderId="9" xfId="4" applyFont="1" applyFill="1" applyBorder="1" applyAlignment="1"/>
    <xf numFmtId="0" fontId="4" fillId="5" borderId="10" xfId="4" applyFont="1" applyFill="1" applyBorder="1" applyAlignment="1"/>
    <xf numFmtId="0" fontId="4" fillId="5" borderId="10" xfId="4" applyFont="1" applyFill="1" applyBorder="1"/>
    <xf numFmtId="0" fontId="4" fillId="5" borderId="11" xfId="4" applyFont="1" applyFill="1" applyBorder="1"/>
    <xf numFmtId="0" fontId="4" fillId="0" borderId="0" xfId="4" applyFont="1" applyFill="1" applyBorder="1"/>
    <xf numFmtId="168" fontId="3" fillId="0" borderId="0" xfId="4" applyNumberFormat="1"/>
    <xf numFmtId="11" fontId="3" fillId="0" borderId="0" xfId="4" applyNumberFormat="1"/>
    <xf numFmtId="2" fontId="3" fillId="0" borderId="11" xfId="4" applyNumberFormat="1" applyBorder="1"/>
    <xf numFmtId="1" fontId="3" fillId="0" borderId="0" xfId="4" applyNumberFormat="1" applyFont="1" applyProtection="1">
      <protection locked="0"/>
    </xf>
    <xf numFmtId="10" fontId="3" fillId="0" borderId="0" xfId="4" applyNumberFormat="1" applyFont="1" applyProtection="1">
      <protection locked="0"/>
    </xf>
    <xf numFmtId="10" fontId="3" fillId="0" borderId="0" xfId="4" applyNumberFormat="1" applyProtection="1">
      <protection locked="0"/>
    </xf>
    <xf numFmtId="0" fontId="4" fillId="6" borderId="12" xfId="4" applyFont="1" applyFill="1" applyBorder="1"/>
    <xf numFmtId="0" fontId="3" fillId="2" borderId="11" xfId="4" applyFont="1" applyFill="1" applyBorder="1" applyProtection="1">
      <protection locked="0"/>
    </xf>
    <xf numFmtId="0" fontId="3" fillId="0" borderId="11" xfId="4" applyFont="1" applyBorder="1"/>
    <xf numFmtId="0" fontId="4" fillId="6" borderId="11" xfId="4" applyFont="1" applyFill="1" applyBorder="1"/>
    <xf numFmtId="0" fontId="3" fillId="0" borderId="11" xfId="4" applyFont="1" applyFill="1" applyBorder="1"/>
    <xf numFmtId="0" fontId="53" fillId="0" borderId="11" xfId="4" applyFont="1" applyBorder="1"/>
    <xf numFmtId="0" fontId="3" fillId="4" borderId="11" xfId="4" applyFont="1" applyFill="1" applyBorder="1"/>
    <xf numFmtId="0" fontId="3" fillId="4" borderId="11" xfId="4" applyFont="1" applyFill="1" applyBorder="1" applyProtection="1">
      <protection locked="0"/>
    </xf>
    <xf numFmtId="0" fontId="14" fillId="3" borderId="0" xfId="4" applyFont="1" applyFill="1"/>
    <xf numFmtId="0" fontId="4" fillId="5" borderId="8" xfId="4" applyFont="1" applyFill="1" applyBorder="1"/>
    <xf numFmtId="0" fontId="4" fillId="5" borderId="9" xfId="4" applyFont="1" applyFill="1" applyBorder="1"/>
    <xf numFmtId="0" fontId="4" fillId="5" borderId="15" xfId="4" applyFont="1" applyFill="1" applyBorder="1"/>
    <xf numFmtId="0" fontId="3" fillId="4" borderId="11" xfId="4" applyFill="1" applyBorder="1"/>
    <xf numFmtId="166" fontId="15" fillId="22" borderId="11" xfId="4" applyNumberFormat="1" applyFont="1" applyFill="1" applyBorder="1"/>
    <xf numFmtId="0" fontId="3" fillId="0" borderId="15" xfId="4" applyFont="1"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2"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5" fontId="3" fillId="0" borderId="11" xfId="4" applyNumberFormat="1" applyBorder="1"/>
    <xf numFmtId="0" fontId="4" fillId="6" borderId="8" xfId="4" applyFont="1" applyFill="1" applyBorder="1"/>
    <xf numFmtId="0" fontId="4" fillId="0" borderId="0" xfId="4" applyFont="1" applyFill="1" applyBorder="1" applyAlignment="1">
      <alignment horizontal="right"/>
    </xf>
    <xf numFmtId="0" fontId="3" fillId="6" borderId="8" xfId="4" applyFill="1" applyBorder="1"/>
    <xf numFmtId="0" fontId="3" fillId="0" borderId="47" xfId="4" applyFont="1" applyFill="1" applyBorder="1"/>
    <xf numFmtId="0" fontId="53" fillId="0" borderId="15" xfId="4" applyFont="1" applyBorder="1"/>
    <xf numFmtId="0" fontId="3" fillId="6" borderId="8" xfId="4" applyFont="1" applyFill="1" applyBorder="1"/>
    <xf numFmtId="176" fontId="3" fillId="0" borderId="47" xfId="4" applyNumberFormat="1" applyFont="1" applyFill="1" applyBorder="1"/>
    <xf numFmtId="175" fontId="3" fillId="0" borderId="11" xfId="4" applyNumberFormat="1" applyFont="1" applyFill="1" applyBorder="1"/>
    <xf numFmtId="0" fontId="4" fillId="0" borderId="11" xfId="4" applyFont="1" applyFill="1" applyBorder="1"/>
    <xf numFmtId="0" fontId="4" fillId="6" borderId="48" xfId="4" applyFont="1" applyFill="1" applyBorder="1"/>
    <xf numFmtId="0" fontId="3" fillId="0" borderId="16" xfId="4" applyFont="1" applyBorder="1"/>
    <xf numFmtId="11" fontId="3" fillId="0" borderId="48" xfId="4" applyNumberFormat="1" applyBorder="1"/>
    <xf numFmtId="0" fontId="3" fillId="0" borderId="12" xfId="4" applyFont="1" applyFill="1" applyBorder="1"/>
    <xf numFmtId="0" fontId="4" fillId="5" borderId="0" xfId="4" applyFont="1" applyFill="1"/>
    <xf numFmtId="0" fontId="4" fillId="5" borderId="0" xfId="4" applyFont="1" applyFill="1" applyBorder="1"/>
    <xf numFmtId="0" fontId="4" fillId="5" borderId="14" xfId="4" applyFont="1" applyFill="1" applyBorder="1"/>
    <xf numFmtId="0" fontId="3" fillId="0" borderId="11" xfId="4" applyFont="1" applyFill="1" applyBorder="1" applyProtection="1">
      <protection locked="0"/>
    </xf>
    <xf numFmtId="0" fontId="3" fillId="6" borderId="9" xfId="4" applyFill="1" applyBorder="1"/>
    <xf numFmtId="0" fontId="3" fillId="0" borderId="47" xfId="4" applyFont="1" applyFill="1" applyBorder="1" applyProtection="1">
      <protection locked="0"/>
    </xf>
    <xf numFmtId="0" fontId="4" fillId="5" borderId="4" xfId="4" applyFont="1" applyFill="1" applyBorder="1" applyAlignment="1"/>
    <xf numFmtId="0" fontId="4" fillId="5" borderId="12" xfId="4" applyFont="1" applyFill="1" applyBorder="1"/>
    <xf numFmtId="0" fontId="3" fillId="6" borderId="11" xfId="4" applyFill="1" applyBorder="1"/>
    <xf numFmtId="0" fontId="3" fillId="0" borderId="51" xfId="4" applyFont="1" applyFill="1" applyBorder="1" applyProtection="1">
      <protection locked="0"/>
    </xf>
    <xf numFmtId="0" fontId="3" fillId="21" borderId="51" xfId="4" applyFont="1" applyFill="1" applyBorder="1" applyProtection="1">
      <protection locked="0"/>
    </xf>
    <xf numFmtId="0" fontId="3" fillId="0" borderId="0" xfId="4" applyFont="1" applyFill="1" applyBorder="1"/>
    <xf numFmtId="176" fontId="3" fillId="0" borderId="11" xfId="4" applyNumberFormat="1" applyBorder="1"/>
    <xf numFmtId="0" fontId="4" fillId="5" borderId="0" xfId="4" applyFont="1" applyFill="1" applyBorder="1" applyAlignment="1" applyProtection="1">
      <protection locked="0"/>
    </xf>
    <xf numFmtId="0" fontId="4" fillId="5" borderId="13" xfId="4" applyFont="1" applyFill="1" applyBorder="1"/>
    <xf numFmtId="0" fontId="3" fillId="6" borderId="11" xfId="4" applyFont="1" applyFill="1" applyBorder="1"/>
    <xf numFmtId="0" fontId="4" fillId="0" borderId="0" xfId="4" applyFont="1" applyAlignment="1">
      <alignment horizontal="right"/>
    </xf>
    <xf numFmtId="167" fontId="58" fillId="0" borderId="0" xfId="4" applyNumberFormat="1" applyFont="1"/>
    <xf numFmtId="0" fontId="58" fillId="0" borderId="0" xfId="4" applyFont="1"/>
    <xf numFmtId="0" fontId="48" fillId="0" borderId="0" xfId="4" applyNumberFormat="1" applyFont="1"/>
    <xf numFmtId="166" fontId="3" fillId="0" borderId="0" xfId="4" applyNumberFormat="1" applyFont="1"/>
    <xf numFmtId="165" fontId="3" fillId="0" borderId="0" xfId="4" applyNumberFormat="1" applyFont="1"/>
    <xf numFmtId="0" fontId="4" fillId="0" borderId="0" xfId="4" applyNumberFormat="1" applyFont="1"/>
    <xf numFmtId="2" fontId="4" fillId="0" borderId="0" xfId="4" applyNumberFormat="1" applyFont="1"/>
    <xf numFmtId="0" fontId="4" fillId="0" borderId="0" xfId="4" applyFont="1"/>
    <xf numFmtId="165" fontId="48" fillId="0" borderId="0" xfId="4" applyNumberFormat="1" applyFont="1"/>
    <xf numFmtId="1" fontId="4" fillId="0" borderId="0" xfId="4" applyNumberFormat="1" applyFont="1"/>
    <xf numFmtId="165" fontId="4" fillId="0" borderId="0" xfId="4" applyNumberFormat="1" applyFont="1"/>
    <xf numFmtId="1" fontId="4" fillId="0" borderId="0" xfId="4" applyNumberFormat="1" applyFont="1" applyBorder="1"/>
    <xf numFmtId="0" fontId="3" fillId="0" borderId="0" xfId="4" applyNumberFormat="1"/>
    <xf numFmtId="2" fontId="7" fillId="4" borderId="50" xfId="4" applyNumberFormat="1" applyFont="1" applyFill="1" applyBorder="1" applyAlignment="1"/>
    <xf numFmtId="2" fontId="4" fillId="2" borderId="53" xfId="4" applyNumberFormat="1" applyFont="1" applyFill="1" applyBorder="1" applyAlignment="1">
      <alignment horizontal="center" vertical="center" wrapText="1"/>
    </xf>
    <xf numFmtId="2" fontId="7" fillId="4" borderId="52" xfId="4" applyNumberFormat="1" applyFont="1" applyFill="1" applyBorder="1" applyAlignment="1"/>
    <xf numFmtId="2" fontId="4" fillId="2" borderId="18" xfId="4" applyNumberFormat="1" applyFont="1" applyFill="1" applyBorder="1" applyAlignment="1">
      <alignment horizontal="center" vertical="center" wrapText="1"/>
    </xf>
    <xf numFmtId="166" fontId="7" fillId="4" borderId="50" xfId="4" applyNumberFormat="1" applyFont="1" applyFill="1" applyBorder="1" applyAlignment="1"/>
    <xf numFmtId="166" fontId="4" fillId="2" borderId="42" xfId="4" applyNumberFormat="1" applyFont="1" applyFill="1" applyBorder="1" applyAlignment="1">
      <alignment horizontal="center" vertical="center" wrapText="1"/>
    </xf>
    <xf numFmtId="178" fontId="3" fillId="0" borderId="0" xfId="4" applyNumberFormat="1"/>
    <xf numFmtId="178" fontId="7" fillId="4" borderId="50" xfId="4" applyNumberFormat="1" applyFont="1" applyFill="1" applyBorder="1" applyAlignment="1"/>
    <xf numFmtId="178" fontId="4" fillId="2" borderId="6" xfId="4" applyNumberFormat="1" applyFont="1" applyFill="1" applyBorder="1" applyAlignment="1">
      <alignment horizontal="center" vertical="center" wrapText="1"/>
    </xf>
    <xf numFmtId="178" fontId="4" fillId="2" borderId="19" xfId="4" applyNumberFormat="1" applyFont="1" applyFill="1" applyBorder="1" applyAlignment="1">
      <alignment horizontal="center" vertical="center" wrapText="1"/>
    </xf>
    <xf numFmtId="178" fontId="4" fillId="2" borderId="41" xfId="4" applyNumberFormat="1" applyFont="1" applyFill="1" applyBorder="1" applyAlignment="1">
      <alignment horizontal="center" vertical="center" wrapText="1"/>
    </xf>
    <xf numFmtId="178" fontId="4" fillId="2" borderId="53" xfId="4" applyNumberFormat="1" applyFont="1" applyFill="1" applyBorder="1" applyAlignment="1">
      <alignment horizontal="center" vertical="center" wrapText="1"/>
    </xf>
    <xf numFmtId="178" fontId="4" fillId="2" borderId="42" xfId="4" applyNumberFormat="1" applyFont="1" applyFill="1" applyBorder="1" applyAlignment="1">
      <alignment horizontal="center" vertical="center" wrapText="1"/>
    </xf>
    <xf numFmtId="178" fontId="4" fillId="0" borderId="0" xfId="4" applyNumberFormat="1" applyFont="1"/>
    <xf numFmtId="0" fontId="0" fillId="0" borderId="0" xfId="0" applyNumberFormat="1" applyBorder="1" applyAlignment="1">
      <alignment horizontal="left"/>
    </xf>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Border="1" applyAlignment="1" applyProtection="1">
      <alignment vertical="top"/>
    </xf>
    <xf numFmtId="167" fontId="3" fillId="2" borderId="11" xfId="4" applyNumberFormat="1" applyFont="1" applyFill="1" applyBorder="1" applyProtection="1">
      <protection locked="0"/>
    </xf>
    <xf numFmtId="1" fontId="3" fillId="0" borderId="47" xfId="4" applyNumberFormat="1" applyFont="1" applyFill="1" applyBorder="1"/>
    <xf numFmtId="165" fontId="4" fillId="0" borderId="0" xfId="4" applyNumberFormat="1" applyFont="1" applyFill="1" applyBorder="1"/>
    <xf numFmtId="0" fontId="0" fillId="12" borderId="0" xfId="0" applyFill="1"/>
    <xf numFmtId="0" fontId="0" fillId="12" borderId="0" xfId="0" applyFill="1" applyBorder="1"/>
    <xf numFmtId="0" fontId="0" fillId="12" borderId="0" xfId="0" applyFill="1" applyAlignment="1"/>
    <xf numFmtId="0" fontId="0" fillId="0" borderId="0" xfId="0" applyAlignment="1"/>
    <xf numFmtId="0" fontId="64" fillId="0" borderId="0" xfId="0" applyFont="1" applyFill="1"/>
    <xf numFmtId="0" fontId="0" fillId="0" borderId="0" xfId="0" applyFill="1" applyAlignment="1"/>
    <xf numFmtId="0" fontId="15" fillId="0" borderId="0" xfId="0" applyFont="1" applyFill="1"/>
    <xf numFmtId="0" fontId="62" fillId="0" borderId="0" xfId="1" applyFont="1" applyFill="1"/>
    <xf numFmtId="0" fontId="0" fillId="0" borderId="0" xfId="0" applyAlignment="1">
      <alignment horizontal="left"/>
    </xf>
    <xf numFmtId="1" fontId="15" fillId="4" borderId="0" xfId="0" applyNumberFormat="1" applyFont="1" applyFill="1" applyBorder="1" applyAlignment="1">
      <alignment horizontal="right"/>
    </xf>
    <xf numFmtId="1" fontId="49" fillId="8" borderId="0" xfId="0" applyNumberFormat="1" applyFont="1" applyFill="1" applyBorder="1" applyAlignment="1" applyProtection="1">
      <alignment horizontal="right"/>
    </xf>
    <xf numFmtId="1" fontId="0" fillId="0" borderId="0" xfId="0" applyNumberFormat="1" applyFill="1" applyBorder="1"/>
    <xf numFmtId="2" fontId="0" fillId="0" borderId="0" xfId="0" applyNumberFormat="1" applyFill="1" applyBorder="1"/>
    <xf numFmtId="0" fontId="3" fillId="8" borderId="25" xfId="0" applyFont="1" applyFill="1" applyBorder="1" applyAlignment="1" applyProtection="1">
      <alignment horizontal="right"/>
    </xf>
    <xf numFmtId="0" fontId="48" fillId="0" borderId="0" xfId="0" applyFont="1" applyBorder="1" applyAlignment="1">
      <alignment horizontal="left"/>
    </xf>
    <xf numFmtId="0" fontId="48" fillId="0" borderId="0" xfId="0" applyFont="1" applyBorder="1" applyAlignment="1">
      <alignment horizontal="right"/>
    </xf>
    <xf numFmtId="0" fontId="0" fillId="0" borderId="22" xfId="0" applyBorder="1" applyAlignment="1">
      <alignment horizontal="right"/>
    </xf>
    <xf numFmtId="0" fontId="4" fillId="0" borderId="0" xfId="0" applyFont="1" applyBorder="1" applyAlignment="1">
      <alignment horizontal="right"/>
    </xf>
    <xf numFmtId="0" fontId="48" fillId="0" borderId="0" xfId="4" applyFont="1" applyBorder="1" applyAlignment="1">
      <alignment horizontal="left"/>
    </xf>
    <xf numFmtId="0" fontId="48" fillId="0" borderId="0" xfId="0" applyFont="1" applyBorder="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applyProtection="1"/>
    <xf numFmtId="0" fontId="3" fillId="0" borderId="0" xfId="0" applyFont="1" applyBorder="1" applyAlignment="1">
      <alignment horizontal="left"/>
    </xf>
    <xf numFmtId="0" fontId="3" fillId="12" borderId="0" xfId="0" applyFont="1" applyFill="1" applyBorder="1"/>
    <xf numFmtId="1" fontId="3" fillId="8" borderId="25" xfId="0" applyNumberFormat="1" applyFont="1" applyFill="1" applyBorder="1" applyAlignment="1" applyProtection="1">
      <alignment horizontal="right" vertical="center"/>
    </xf>
    <xf numFmtId="0" fontId="3" fillId="8" borderId="59" xfId="0" applyFont="1" applyFill="1" applyBorder="1" applyAlignment="1" applyProtection="1">
      <alignment vertical="center"/>
    </xf>
    <xf numFmtId="0" fontId="3" fillId="8" borderId="60" xfId="0" applyFont="1" applyFill="1" applyBorder="1" applyAlignment="1" applyProtection="1">
      <alignment vertical="center"/>
    </xf>
    <xf numFmtId="0" fontId="3" fillId="8" borderId="60" xfId="0" applyFont="1" applyFill="1" applyBorder="1" applyAlignment="1" applyProtection="1">
      <alignment horizontal="right" vertical="center"/>
    </xf>
    <xf numFmtId="0" fontId="4" fillId="8" borderId="60" xfId="0" applyFont="1" applyFill="1" applyBorder="1" applyAlignment="1" applyProtection="1">
      <alignment horizontal="right" vertical="center"/>
    </xf>
    <xf numFmtId="0" fontId="3" fillId="8" borderId="60" xfId="0" applyNumberFormat="1" applyFont="1" applyFill="1" applyBorder="1" applyAlignment="1" applyProtection="1">
      <alignment horizontal="right" vertical="center"/>
    </xf>
    <xf numFmtId="0" fontId="3" fillId="8" borderId="61" xfId="0" applyFont="1" applyFill="1" applyBorder="1" applyAlignment="1" applyProtection="1">
      <alignment vertical="center"/>
    </xf>
    <xf numFmtId="0" fontId="3" fillId="0" borderId="0" xfId="0" applyFont="1" applyAlignment="1">
      <alignment horizontal="right"/>
    </xf>
    <xf numFmtId="0" fontId="65" fillId="0" borderId="22" xfId="0" applyFont="1" applyBorder="1"/>
    <xf numFmtId="0" fontId="3" fillId="15" borderId="0" xfId="0" applyFont="1" applyFill="1" applyBorder="1"/>
    <xf numFmtId="0" fontId="24" fillId="24" borderId="22" xfId="0" applyFont="1" applyFill="1" applyBorder="1" applyAlignment="1" applyProtection="1">
      <alignment horizontal="left"/>
    </xf>
    <xf numFmtId="0" fontId="24" fillId="24" borderId="0" xfId="0" applyFont="1" applyFill="1" applyBorder="1" applyAlignment="1" applyProtection="1">
      <alignment horizontal="left"/>
    </xf>
    <xf numFmtId="0" fontId="23" fillId="24" borderId="22" xfId="0" applyFont="1" applyFill="1" applyBorder="1" applyAlignment="1" applyProtection="1">
      <alignment horizontal="left" vertical="center"/>
    </xf>
    <xf numFmtId="0" fontId="23" fillId="24" borderId="0" xfId="0" applyFont="1" applyFill="1" applyBorder="1" applyAlignment="1" applyProtection="1">
      <alignment horizontal="left" vertical="center"/>
    </xf>
    <xf numFmtId="0" fontId="52" fillId="24" borderId="0" xfId="0" applyFont="1" applyFill="1" applyBorder="1" applyAlignment="1" applyProtection="1">
      <alignment horizontal="left" vertical="center"/>
    </xf>
    <xf numFmtId="0" fontId="20" fillId="24" borderId="0" xfId="0" applyFont="1" applyFill="1" applyBorder="1" applyAlignment="1" applyProtection="1">
      <alignment vertical="center"/>
    </xf>
    <xf numFmtId="0" fontId="23" fillId="24" borderId="0" xfId="0" quotePrefix="1" applyFont="1" applyFill="1" applyBorder="1" applyAlignment="1" applyProtection="1">
      <alignment vertical="center"/>
    </xf>
    <xf numFmtId="0" fontId="26" fillId="24" borderId="0" xfId="0" applyFont="1" applyFill="1" applyBorder="1" applyAlignment="1" applyProtection="1">
      <alignment vertical="center"/>
    </xf>
    <xf numFmtId="0" fontId="26" fillId="24" borderId="0" xfId="0" applyFont="1" applyFill="1" applyBorder="1" applyProtection="1"/>
    <xf numFmtId="0" fontId="17" fillId="24" borderId="0" xfId="0" applyFont="1" applyFill="1" applyBorder="1" applyProtection="1"/>
    <xf numFmtId="0" fontId="28" fillId="24" borderId="24" xfId="0" applyFont="1" applyFill="1" applyBorder="1" applyProtection="1"/>
    <xf numFmtId="0" fontId="28" fillId="24" borderId="25" xfId="0" applyFont="1" applyFill="1" applyBorder="1" applyProtection="1"/>
    <xf numFmtId="0" fontId="20" fillId="24" borderId="25" xfId="0" applyFont="1" applyFill="1" applyBorder="1" applyProtection="1"/>
    <xf numFmtId="0" fontId="25" fillId="24" borderId="25" xfId="0" applyFont="1" applyFill="1" applyBorder="1" applyProtection="1"/>
    <xf numFmtId="0" fontId="66" fillId="24" borderId="0" xfId="3" applyFont="1" applyFill="1" applyAlignment="1" applyProtection="1"/>
    <xf numFmtId="0" fontId="66" fillId="24" borderId="0" xfId="3" applyFont="1" applyFill="1" applyBorder="1" applyAlignment="1" applyProtection="1">
      <alignment horizontal="left" vertical="center"/>
    </xf>
    <xf numFmtId="169" fontId="17" fillId="24" borderId="0" xfId="0" applyNumberFormat="1" applyFont="1" applyFill="1" applyBorder="1" applyAlignment="1" applyProtection="1">
      <alignment horizontal="center"/>
    </xf>
    <xf numFmtId="0" fontId="20" fillId="24" borderId="37" xfId="0" applyFont="1" applyFill="1" applyBorder="1" applyProtection="1"/>
    <xf numFmtId="0" fontId="20" fillId="24" borderId="35" xfId="0" applyFont="1" applyFill="1" applyBorder="1" applyProtection="1"/>
    <xf numFmtId="0" fontId="17" fillId="24" borderId="35" xfId="0" applyFont="1" applyFill="1" applyBorder="1" applyProtection="1"/>
    <xf numFmtId="0" fontId="4" fillId="5" borderId="48" xfId="4" applyFont="1" applyFill="1" applyBorder="1" applyAlignment="1"/>
    <xf numFmtId="166" fontId="0" fillId="10" borderId="2" xfId="0" applyNumberFormat="1" applyFill="1" applyBorder="1"/>
    <xf numFmtId="166" fontId="0" fillId="18" borderId="0" xfId="0" applyNumberFormat="1" applyFill="1" applyBorder="1"/>
    <xf numFmtId="166" fontId="27" fillId="10" borderId="0" xfId="0" applyNumberFormat="1" applyFont="1" applyFill="1" applyBorder="1"/>
    <xf numFmtId="0" fontId="3" fillId="8" borderId="62" xfId="0" applyFont="1" applyFill="1" applyBorder="1" applyProtection="1"/>
    <xf numFmtId="0" fontId="3" fillId="8" borderId="63" xfId="0" applyFont="1" applyFill="1" applyBorder="1" applyProtection="1"/>
    <xf numFmtId="0" fontId="3" fillId="8" borderId="63" xfId="0" applyFont="1" applyFill="1" applyBorder="1" applyAlignment="1" applyProtection="1">
      <alignment horizontal="right"/>
    </xf>
    <xf numFmtId="0" fontId="17" fillId="12" borderId="22" xfId="0" applyFont="1" applyFill="1" applyBorder="1" applyProtection="1"/>
    <xf numFmtId="166" fontId="27" fillId="0" borderId="0" xfId="0" applyNumberFormat="1" applyFont="1" applyFill="1" applyBorder="1"/>
    <xf numFmtId="0" fontId="4" fillId="12" borderId="23" xfId="0" applyNumberFormat="1" applyFont="1" applyFill="1" applyBorder="1" applyAlignment="1" applyProtection="1">
      <alignment vertical="center"/>
    </xf>
    <xf numFmtId="1" fontId="3" fillId="0" borderId="64" xfId="0" applyNumberFormat="1" applyFont="1" applyFill="1" applyBorder="1" applyAlignment="1" applyProtection="1">
      <alignment vertical="center"/>
    </xf>
    <xf numFmtId="0" fontId="4" fillId="12" borderId="23" xfId="0" applyFont="1" applyFill="1" applyBorder="1" applyProtection="1"/>
    <xf numFmtId="0" fontId="4" fillId="12" borderId="23" xfId="0" applyFont="1" applyFill="1" applyBorder="1" applyAlignment="1" applyProtection="1">
      <alignment vertical="center"/>
    </xf>
    <xf numFmtId="0" fontId="3" fillId="12" borderId="26" xfId="0" applyFont="1" applyFill="1" applyBorder="1" applyProtection="1"/>
    <xf numFmtId="1" fontId="3" fillId="8" borderId="0" xfId="0" applyNumberFormat="1" applyFont="1" applyFill="1" applyBorder="1" applyAlignment="1" applyProtection="1"/>
    <xf numFmtId="0" fontId="0" fillId="0" borderId="63" xfId="0" applyBorder="1"/>
    <xf numFmtId="0" fontId="4" fillId="0" borderId="0" xfId="4" applyFont="1" applyBorder="1" applyAlignment="1">
      <alignment horizontal="left"/>
    </xf>
    <xf numFmtId="0" fontId="48" fillId="0" borderId="0" xfId="4" applyFont="1" applyBorder="1" applyAlignment="1">
      <alignment horizontal="center"/>
    </xf>
    <xf numFmtId="0" fontId="48" fillId="0" borderId="0" xfId="0" applyFont="1" applyAlignment="1">
      <alignment horizontal="center"/>
    </xf>
    <xf numFmtId="0" fontId="69" fillId="0" borderId="0" xfId="4" applyFont="1" applyBorder="1" applyAlignment="1">
      <alignment horizontal="right"/>
    </xf>
    <xf numFmtId="0" fontId="69" fillId="0" borderId="22" xfId="4" applyFont="1" applyBorder="1" applyAlignment="1">
      <alignment horizontal="right"/>
    </xf>
    <xf numFmtId="0" fontId="69" fillId="0" borderId="0" xfId="0" applyFont="1" applyAlignment="1">
      <alignment horizontal="right"/>
    </xf>
    <xf numFmtId="0" fontId="69" fillId="0" borderId="0" xfId="0" applyFont="1" applyBorder="1" applyAlignment="1">
      <alignment horizontal="right"/>
    </xf>
    <xf numFmtId="0" fontId="65" fillId="0" borderId="0" xfId="0" applyFont="1"/>
    <xf numFmtId="165" fontId="7" fillId="4" borderId="63" xfId="4" applyNumberFormat="1" applyFont="1" applyFill="1" applyBorder="1" applyAlignment="1"/>
    <xf numFmtId="167" fontId="3" fillId="0" borderId="0" xfId="4" applyNumberFormat="1"/>
    <xf numFmtId="0" fontId="4" fillId="2" borderId="20" xfId="4" applyFont="1" applyFill="1" applyBorder="1" applyAlignment="1">
      <alignment horizontal="center" vertical="center" wrapText="1"/>
    </xf>
    <xf numFmtId="0" fontId="48" fillId="0" borderId="0" xfId="0" applyFont="1"/>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applyAlignment="1"/>
    <xf numFmtId="2" fontId="7" fillId="4" borderId="67" xfId="4" applyNumberFormat="1" applyFont="1" applyFill="1" applyBorder="1" applyAlignment="1"/>
    <xf numFmtId="2" fontId="7" fillId="4" borderId="18" xfId="4" applyNumberFormat="1" applyFont="1" applyFill="1" applyBorder="1" applyAlignment="1"/>
    <xf numFmtId="165" fontId="4" fillId="4" borderId="41" xfId="4" applyNumberFormat="1" applyFont="1" applyFill="1" applyBorder="1" applyAlignment="1"/>
    <xf numFmtId="165" fontId="3" fillId="4" borderId="67" xfId="4" applyNumberFormat="1" applyFill="1" applyBorder="1"/>
    <xf numFmtId="0" fontId="3" fillId="8" borderId="23" xfId="0" applyFont="1" applyFill="1" applyBorder="1" applyAlignment="1" applyProtection="1"/>
    <xf numFmtId="0" fontId="3" fillId="8" borderId="62" xfId="0" applyFont="1" applyFill="1" applyBorder="1" applyAlignment="1" applyProtection="1">
      <alignment vertical="center"/>
    </xf>
    <xf numFmtId="0" fontId="22" fillId="8" borderId="24" xfId="0" applyFont="1" applyFill="1" applyBorder="1" applyAlignment="1" applyProtection="1">
      <alignment vertical="center"/>
    </xf>
    <xf numFmtId="164" fontId="3" fillId="0" borderId="0" xfId="7" applyNumberFormat="1" applyFont="1"/>
    <xf numFmtId="0" fontId="3" fillId="0" borderId="0" xfId="0" quotePrefix="1" applyFont="1"/>
    <xf numFmtId="0" fontId="48" fillId="0" borderId="0" xfId="0" applyFont="1" applyAlignment="1">
      <alignment horizontal="left"/>
    </xf>
    <xf numFmtId="0" fontId="4" fillId="8" borderId="11" xfId="4" applyFont="1" applyFill="1" applyBorder="1" applyAlignment="1">
      <alignment horizontal="center" vertical="center"/>
    </xf>
    <xf numFmtId="167" fontId="0" fillId="0" borderId="0" xfId="0" applyNumberFormat="1"/>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7" fontId="3" fillId="8" borderId="0" xfId="4" applyNumberFormat="1" applyFill="1" applyAlignment="1">
      <alignment horizontal="left"/>
    </xf>
    <xf numFmtId="0" fontId="4" fillId="8" borderId="0" xfId="4" applyFont="1" applyFill="1" applyAlignment="1">
      <alignment vertical="center"/>
    </xf>
    <xf numFmtId="167" fontId="3" fillId="8" borderId="0" xfId="4" applyNumberFormat="1" applyFill="1" applyAlignment="1">
      <alignment horizontal="right" vertical="center"/>
    </xf>
    <xf numFmtId="0" fontId="3" fillId="0" borderId="0" xfId="0" applyFont="1" applyAlignment="1">
      <alignment horizontal="left"/>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4" fillId="8" borderId="0" xfId="4" applyFont="1" applyFill="1"/>
    <xf numFmtId="167" fontId="74" fillId="8" borderId="0" xfId="4" applyNumberFormat="1" applyFont="1" applyFill="1" applyAlignment="1">
      <alignment horizontal="right"/>
    </xf>
    <xf numFmtId="0" fontId="74" fillId="8" borderId="0" xfId="4" applyFont="1" applyFill="1" applyAlignment="1">
      <alignment horizontal="left" vertical="center"/>
    </xf>
    <xf numFmtId="165" fontId="74" fillId="8" borderId="0" xfId="4" applyNumberFormat="1" applyFont="1" applyFill="1"/>
    <xf numFmtId="167" fontId="3" fillId="17" borderId="11" xfId="4" applyNumberFormat="1" applyFill="1" applyBorder="1" applyAlignment="1">
      <alignment horizontal="center" vertical="center"/>
    </xf>
    <xf numFmtId="167"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8" fillId="8" borderId="11" xfId="4" applyFont="1" applyFill="1" applyBorder="1" applyAlignment="1">
      <alignment horizontal="center" vertical="center"/>
    </xf>
    <xf numFmtId="0" fontId="59" fillId="8" borderId="0" xfId="4" applyFont="1" applyFill="1" applyAlignment="1">
      <alignment horizontal="left" vertical="center"/>
    </xf>
    <xf numFmtId="0" fontId="54" fillId="3" borderId="69" xfId="4" applyFont="1" applyFill="1" applyBorder="1" applyAlignment="1">
      <alignment horizontal="center" vertical="center"/>
    </xf>
    <xf numFmtId="49" fontId="72" fillId="14" borderId="68" xfId="4" applyNumberFormat="1" applyFont="1" applyFill="1" applyBorder="1" applyAlignment="1">
      <alignment horizontal="center" vertical="center"/>
    </xf>
    <xf numFmtId="0" fontId="72" fillId="14" borderId="47" xfId="4" applyFont="1" applyFill="1" applyBorder="1" applyAlignment="1">
      <alignment horizontal="center" vertical="center"/>
    </xf>
    <xf numFmtId="167" fontId="75" fillId="0" borderId="0" xfId="4" applyNumberFormat="1" applyFont="1" applyFill="1" applyAlignment="1">
      <alignment horizontal="right" vertical="center"/>
    </xf>
    <xf numFmtId="165" fontId="75" fillId="8" borderId="0" xfId="4" applyNumberFormat="1" applyFont="1" applyFill="1" applyAlignment="1">
      <alignment vertical="center"/>
    </xf>
    <xf numFmtId="49" fontId="59" fillId="8" borderId="0" xfId="4" applyNumberFormat="1" applyFont="1" applyFill="1" applyAlignment="1" applyProtection="1">
      <alignment horizontal="left" vertical="center"/>
      <protection locked="0" hidden="1"/>
    </xf>
    <xf numFmtId="0" fontId="59" fillId="8" borderId="0" xfId="4" applyFont="1" applyFill="1" applyAlignment="1" applyProtection="1">
      <alignment horizontal="left" vertical="center"/>
      <protection locked="0" hidden="1"/>
    </xf>
    <xf numFmtId="0" fontId="3" fillId="8" borderId="0" xfId="4" applyFont="1" applyFill="1" applyAlignment="1" applyProtection="1">
      <alignment vertical="center"/>
      <protection locked="0" hidden="1"/>
    </xf>
    <xf numFmtId="0" fontId="55" fillId="12" borderId="0" xfId="0" applyFont="1" applyFill="1" applyAlignment="1"/>
    <xf numFmtId="0" fontId="59" fillId="8" borderId="0" xfId="4" applyFont="1" applyFill="1"/>
    <xf numFmtId="0" fontId="75" fillId="8" borderId="0" xfId="4" applyFont="1" applyFill="1" applyAlignment="1">
      <alignment horizontal="left"/>
    </xf>
    <xf numFmtId="0" fontId="48" fillId="0" borderId="22" xfId="0" applyFont="1" applyBorder="1"/>
    <xf numFmtId="0" fontId="17" fillId="24" borderId="0" xfId="0" applyFont="1" applyFill="1" applyProtection="1"/>
    <xf numFmtId="0" fontId="17" fillId="12" borderId="35" xfId="0" applyFont="1" applyFill="1" applyBorder="1" applyProtection="1"/>
    <xf numFmtId="169" fontId="17" fillId="12" borderId="39" xfId="0" applyNumberFormat="1" applyFont="1" applyFill="1" applyBorder="1" applyAlignment="1" applyProtection="1">
      <alignment horizontal="center"/>
    </xf>
    <xf numFmtId="0" fontId="17" fillId="12" borderId="39" xfId="0" applyFont="1" applyFill="1" applyBorder="1" applyProtection="1"/>
    <xf numFmtId="0" fontId="17" fillId="8" borderId="39" xfId="0" applyFont="1" applyFill="1" applyBorder="1" applyProtection="1"/>
    <xf numFmtId="0" fontId="17" fillId="12" borderId="36" xfId="0" applyFont="1" applyFill="1" applyBorder="1" applyProtection="1"/>
    <xf numFmtId="0" fontId="17" fillId="12" borderId="23" xfId="0" applyFont="1" applyFill="1" applyBorder="1" applyProtection="1"/>
    <xf numFmtId="0" fontId="3" fillId="8" borderId="39" xfId="0" applyFont="1" applyFill="1" applyBorder="1" applyAlignment="1" applyProtection="1">
      <alignment horizontal="right" vertical="center"/>
    </xf>
    <xf numFmtId="0" fontId="3" fillId="8" borderId="35" xfId="0" applyFont="1" applyFill="1" applyBorder="1" applyAlignment="1" applyProtection="1">
      <alignment vertical="center"/>
    </xf>
    <xf numFmtId="0" fontId="3" fillId="8" borderId="35" xfId="0" applyFont="1" applyFill="1" applyBorder="1" applyAlignment="1" applyProtection="1">
      <alignment horizontal="right"/>
    </xf>
    <xf numFmtId="0" fontId="50"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vertical="center"/>
      <protection locked="0"/>
    </xf>
    <xf numFmtId="1" fontId="49" fillId="8" borderId="25" xfId="0" applyNumberFormat="1" applyFont="1" applyFill="1" applyBorder="1" applyAlignment="1" applyProtection="1">
      <alignment horizontal="right"/>
    </xf>
    <xf numFmtId="0" fontId="3" fillId="8" borderId="36" xfId="0" applyFont="1" applyFill="1" applyBorder="1" applyAlignment="1" applyProtection="1">
      <alignment vertical="center"/>
    </xf>
    <xf numFmtId="0" fontId="60" fillId="13" borderId="35" xfId="0" applyFont="1" applyFill="1" applyBorder="1" applyAlignment="1" applyProtection="1">
      <alignment vertical="center"/>
    </xf>
    <xf numFmtId="0" fontId="17" fillId="13" borderId="35" xfId="0" applyFont="1" applyFill="1" applyBorder="1" applyProtection="1"/>
    <xf numFmtId="0" fontId="77" fillId="13" borderId="62" xfId="0" applyFont="1" applyFill="1" applyBorder="1" applyAlignment="1" applyProtection="1">
      <alignment vertical="center"/>
    </xf>
    <xf numFmtId="0" fontId="23" fillId="24" borderId="0" xfId="0" applyFont="1" applyFill="1" applyBorder="1" applyAlignment="1" applyProtection="1">
      <alignment horizontal="right" vertical="center"/>
    </xf>
    <xf numFmtId="166" fontId="0" fillId="0" borderId="0" xfId="0" applyNumberFormat="1" applyFill="1" applyBorder="1"/>
    <xf numFmtId="183" fontId="0" fillId="0" borderId="0" xfId="0" applyNumberFormat="1" applyBorder="1" applyAlignment="1">
      <alignment horizontal="right"/>
    </xf>
    <xf numFmtId="183" fontId="0" fillId="19" borderId="0" xfId="0" applyNumberFormat="1" applyFill="1" applyBorder="1" applyAlignment="1">
      <alignment horizontal="right"/>
    </xf>
    <xf numFmtId="0" fontId="0" fillId="0" borderId="22" xfId="0" applyBorder="1" applyAlignment="1">
      <alignment horizontal="left"/>
    </xf>
    <xf numFmtId="1" fontId="3" fillId="8" borderId="39" xfId="0" applyNumberFormat="1" applyFont="1" applyFill="1" applyBorder="1" applyAlignment="1" applyProtection="1">
      <alignment horizontal="right" vertical="center"/>
    </xf>
    <xf numFmtId="0" fontId="3" fillId="8" borderId="40" xfId="0" applyFont="1" applyFill="1" applyBorder="1" applyAlignment="1" applyProtection="1">
      <alignment vertical="center"/>
    </xf>
    <xf numFmtId="165" fontId="3" fillId="4" borderId="35" xfId="4" applyNumberFormat="1" applyFill="1" applyBorder="1"/>
    <xf numFmtId="165" fontId="3" fillId="27" borderId="0" xfId="4" applyNumberFormat="1" applyFill="1" applyAlignment="1">
      <alignment horizontal="center" vertical="center" wrapText="1"/>
    </xf>
    <xf numFmtId="9" fontId="3" fillId="0" borderId="47" xfId="4" applyNumberFormat="1" applyFont="1" applyFill="1" applyBorder="1" applyProtection="1">
      <protection locked="0"/>
    </xf>
    <xf numFmtId="165" fontId="4" fillId="26" borderId="0" xfId="4" applyNumberFormat="1" applyFont="1" applyFill="1" applyAlignment="1">
      <alignment horizontal="center" vertical="center" wrapText="1"/>
    </xf>
    <xf numFmtId="165" fontId="0" fillId="0" borderId="0" xfId="0" applyNumberFormat="1"/>
    <xf numFmtId="2" fontId="3" fillId="0" borderId="0" xfId="7" applyNumberFormat="1" applyFont="1"/>
    <xf numFmtId="2" fontId="4" fillId="0" borderId="0" xfId="0" applyNumberFormat="1" applyFont="1"/>
    <xf numFmtId="167" fontId="4" fillId="0" borderId="0" xfId="4" applyNumberFormat="1" applyFont="1"/>
    <xf numFmtId="166" fontId="4" fillId="0" borderId="0" xfId="4" applyNumberFormat="1" applyFont="1"/>
    <xf numFmtId="0" fontId="4" fillId="4" borderId="0" xfId="4" applyFont="1" applyFill="1" applyBorder="1" applyAlignment="1">
      <alignment horizontal="left"/>
    </xf>
    <xf numFmtId="2" fontId="3" fillId="0" borderId="0" xfId="0" applyNumberFormat="1" applyFont="1"/>
    <xf numFmtId="167" fontId="3" fillId="0" borderId="0" xfId="4" applyNumberFormat="1" applyFont="1"/>
    <xf numFmtId="2" fontId="3" fillId="0" borderId="0" xfId="4" applyNumberFormat="1" applyFont="1"/>
    <xf numFmtId="1" fontId="3" fillId="0" borderId="0" xfId="4" applyNumberFormat="1" applyFont="1"/>
    <xf numFmtId="166" fontId="3" fillId="0" borderId="0" xfId="0" applyNumberFormat="1" applyFont="1"/>
    <xf numFmtId="166" fontId="4" fillId="0" borderId="0" xfId="0" applyNumberFormat="1" applyFont="1"/>
    <xf numFmtId="0" fontId="4" fillId="4" borderId="35" xfId="4" applyFont="1" applyFill="1" applyBorder="1" applyAlignment="1"/>
    <xf numFmtId="167"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Fill="1" applyBorder="1" applyAlignment="1">
      <alignment horizontal="center" vertical="center" wrapText="1"/>
    </xf>
    <xf numFmtId="1" fontId="0" fillId="0" borderId="0" xfId="0" applyNumberFormat="1"/>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applyBorder="1"/>
    <xf numFmtId="167" fontId="15" fillId="18" borderId="0" xfId="0" applyNumberFormat="1" applyFont="1" applyFill="1" applyBorder="1" applyAlignment="1">
      <alignment horizontal="right"/>
    </xf>
    <xf numFmtId="176" fontId="27" fillId="0" borderId="0" xfId="0" applyNumberFormat="1" applyFont="1" applyFill="1" applyBorder="1"/>
    <xf numFmtId="0" fontId="3" fillId="0" borderId="33" xfId="0" applyFont="1" applyBorder="1"/>
    <xf numFmtId="167" fontId="27" fillId="4" borderId="0" xfId="0" applyNumberFormat="1" applyFont="1" applyFill="1" applyBorder="1"/>
    <xf numFmtId="165" fontId="27" fillId="0" borderId="0" xfId="0" applyNumberFormat="1" applyFont="1" applyFill="1" applyBorder="1"/>
    <xf numFmtId="166" fontId="3" fillId="5" borderId="0" xfId="0" applyNumberFormat="1" applyFont="1" applyFill="1" applyBorder="1"/>
    <xf numFmtId="2" fontId="0" fillId="0" borderId="0" xfId="0" applyNumberFormat="1" applyFill="1" applyBorder="1" applyAlignment="1">
      <alignment horizontal="right"/>
    </xf>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applyProtection="1"/>
    <xf numFmtId="0" fontId="17" fillId="12" borderId="40" xfId="0" applyFont="1" applyFill="1" applyBorder="1" applyProtection="1"/>
    <xf numFmtId="0" fontId="3" fillId="0" borderId="0" xfId="0" applyNumberFormat="1" applyFont="1"/>
    <xf numFmtId="1" fontId="3" fillId="0" borderId="0" xfId="0" applyNumberFormat="1" applyFont="1"/>
    <xf numFmtId="167" fontId="3" fillId="0" borderId="0" xfId="0" applyNumberFormat="1" applyFont="1"/>
    <xf numFmtId="1" fontId="50" fillId="15" borderId="0" xfId="0" applyNumberFormat="1" applyFont="1" applyFill="1" applyBorder="1" applyAlignment="1" applyProtection="1">
      <alignment horizontal="right" vertical="center"/>
      <protection locked="0"/>
    </xf>
    <xf numFmtId="0" fontId="17" fillId="12" borderId="62" xfId="0" applyFont="1" applyFill="1" applyBorder="1" applyProtection="1"/>
    <xf numFmtId="0" fontId="4" fillId="12" borderId="35" xfId="0" applyFont="1" applyFill="1" applyBorder="1" applyAlignment="1" applyProtection="1">
      <alignment horizontal="right"/>
    </xf>
    <xf numFmtId="0" fontId="4" fillId="12" borderId="64" xfId="0" applyFont="1" applyFill="1" applyBorder="1" applyProtection="1"/>
    <xf numFmtId="0" fontId="79" fillId="0" borderId="0" xfId="0" applyFont="1" applyAlignment="1">
      <alignment vertical="center" wrapText="1"/>
    </xf>
    <xf numFmtId="0" fontId="4" fillId="15" borderId="35" xfId="0" applyFont="1" applyFill="1" applyBorder="1" applyProtection="1">
      <protection locked="0"/>
    </xf>
    <xf numFmtId="0" fontId="0" fillId="18" borderId="0" xfId="0" applyNumberFormat="1" applyFill="1" applyBorder="1"/>
    <xf numFmtId="0" fontId="0" fillId="4" borderId="0" xfId="0" applyNumberFormat="1" applyFill="1" applyBorder="1"/>
    <xf numFmtId="0" fontId="0" fillId="23" borderId="0" xfId="0" applyNumberFormat="1" applyFill="1" applyBorder="1"/>
    <xf numFmtId="0" fontId="4" fillId="8" borderId="35" xfId="0" applyFont="1" applyFill="1" applyBorder="1" applyProtection="1"/>
    <xf numFmtId="0" fontId="3" fillId="8" borderId="35" xfId="0" applyFont="1" applyFill="1" applyBorder="1" applyProtection="1"/>
    <xf numFmtId="0" fontId="4" fillId="0" borderId="0" xfId="0" applyFont="1" applyAlignment="1">
      <alignment horizontal="left"/>
    </xf>
    <xf numFmtId="49" fontId="3" fillId="0" borderId="0" xfId="0" applyNumberFormat="1" applyFont="1" applyBorder="1" applyAlignment="1">
      <alignment horizontal="left"/>
    </xf>
    <xf numFmtId="167" fontId="49" fillId="12" borderId="35" xfId="0" applyNumberFormat="1" applyFont="1" applyFill="1" applyBorder="1" applyAlignment="1" applyProtection="1">
      <alignment vertical="center"/>
    </xf>
    <xf numFmtId="165" fontId="3" fillId="0" borderId="0" xfId="0" applyNumberFormat="1" applyFont="1"/>
    <xf numFmtId="1" fontId="4" fillId="12" borderId="0" xfId="0" applyNumberFormat="1" applyFont="1" applyFill="1" applyBorder="1" applyAlignment="1" applyProtection="1">
      <alignment vertical="center"/>
    </xf>
    <xf numFmtId="1" fontId="65" fillId="0" borderId="0" xfId="0" applyNumberFormat="1" applyFont="1" applyFill="1" applyBorder="1" applyAlignment="1" applyProtection="1">
      <alignment horizontal="right" vertical="center"/>
    </xf>
    <xf numFmtId="167" fontId="4" fillId="15" borderId="0" xfId="0" applyNumberFormat="1" applyFont="1" applyFill="1" applyBorder="1" applyAlignment="1" applyProtection="1">
      <alignment horizontal="right" vertical="center"/>
      <protection locked="0"/>
    </xf>
    <xf numFmtId="0" fontId="22" fillId="8" borderId="67" xfId="0" applyFont="1" applyFill="1" applyBorder="1" applyAlignment="1" applyProtection="1">
      <alignment vertical="center"/>
    </xf>
    <xf numFmtId="0" fontId="17" fillId="8" borderId="35" xfId="0" applyFont="1" applyFill="1" applyBorder="1" applyProtection="1"/>
    <xf numFmtId="0" fontId="45" fillId="8" borderId="75" xfId="0" applyFont="1" applyFill="1" applyBorder="1" applyProtection="1"/>
    <xf numFmtId="0" fontId="45" fillId="8" borderId="76" xfId="0" applyFont="1" applyFill="1" applyBorder="1" applyProtection="1"/>
    <xf numFmtId="0" fontId="45" fillId="8" borderId="77" xfId="0" applyFont="1" applyFill="1" applyBorder="1" applyProtection="1"/>
    <xf numFmtId="2" fontId="3" fillId="18" borderId="0" xfId="0" applyNumberFormat="1" applyFont="1" applyFill="1" applyBorder="1"/>
    <xf numFmtId="0" fontId="0" fillId="18" borderId="0" xfId="0" applyNumberFormat="1" applyFill="1"/>
    <xf numFmtId="2" fontId="4" fillId="0" borderId="0" xfId="0" applyNumberFormat="1" applyFont="1" applyBorder="1" applyAlignment="1">
      <alignment horizontal="right"/>
    </xf>
    <xf numFmtId="1" fontId="3" fillId="4" borderId="0" xfId="0" applyNumberFormat="1" applyFont="1" applyFill="1" applyBorder="1"/>
    <xf numFmtId="2" fontId="4" fillId="0" borderId="0" xfId="0" applyNumberFormat="1" applyFont="1" applyFill="1" applyBorder="1"/>
    <xf numFmtId="0" fontId="3" fillId="0" borderId="22" xfId="0" applyFont="1" applyFill="1" applyBorder="1"/>
    <xf numFmtId="2" fontId="7" fillId="0" borderId="2" xfId="0" applyNumberFormat="1" applyFont="1" applyFill="1" applyBorder="1"/>
    <xf numFmtId="166" fontId="4" fillId="0" borderId="2" xfId="0" applyNumberFormat="1" applyFont="1" applyFill="1" applyBorder="1"/>
    <xf numFmtId="0" fontId="48" fillId="0" borderId="0" xfId="0" applyFont="1" applyBorder="1"/>
    <xf numFmtId="0" fontId="27" fillId="18" borderId="0" xfId="0" applyNumberFormat="1" applyFont="1" applyFill="1" applyBorder="1" applyAlignment="1">
      <alignment horizontal="right"/>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0" fontId="3" fillId="8" borderId="0" xfId="0" applyFont="1" applyFill="1" applyBorder="1" applyAlignment="1" applyProtection="1">
      <alignment horizontal="right" vertical="top"/>
    </xf>
    <xf numFmtId="0" fontId="3" fillId="8" borderId="38" xfId="0" applyFont="1" applyFill="1" applyBorder="1" applyAlignment="1" applyProtection="1">
      <alignment horizontal="right"/>
    </xf>
    <xf numFmtId="0" fontId="4" fillId="2" borderId="19" xfId="4" applyFont="1" applyFill="1" applyBorder="1" applyAlignment="1">
      <alignment horizontal="center" vertical="center" wrapText="1"/>
    </xf>
    <xf numFmtId="165" fontId="4" fillId="26" borderId="19" xfId="4" applyNumberFormat="1" applyFont="1" applyFill="1" applyBorder="1" applyAlignment="1">
      <alignment horizontal="center" vertical="center" wrapText="1"/>
    </xf>
    <xf numFmtId="165" fontId="4" fillId="26" borderId="20" xfId="4" applyNumberFormat="1" applyFont="1" applyFill="1" applyBorder="1" applyAlignment="1">
      <alignment horizontal="center" vertical="center" wrapText="1"/>
    </xf>
    <xf numFmtId="165" fontId="4" fillId="26" borderId="73" xfId="4" applyNumberFormat="1" applyFont="1" applyFill="1" applyBorder="1" applyAlignment="1">
      <alignment horizontal="center" vertical="center" wrapText="1"/>
    </xf>
    <xf numFmtId="165"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7" fontId="3" fillId="8" borderId="35" xfId="0" applyNumberFormat="1" applyFont="1" applyFill="1" applyBorder="1" applyAlignment="1" applyProtection="1">
      <alignment horizontal="right" vertical="center"/>
    </xf>
    <xf numFmtId="166" fontId="0" fillId="0" borderId="0" xfId="0" applyNumberFormat="1" applyAlignment="1">
      <alignment horizontal="right"/>
    </xf>
    <xf numFmtId="0" fontId="3" fillId="23" borderId="0" xfId="0" applyNumberFormat="1" applyFont="1" applyFill="1" applyBorder="1"/>
    <xf numFmtId="9" fontId="0" fillId="19" borderId="0" xfId="0" applyNumberFormat="1" applyFill="1" applyBorder="1"/>
    <xf numFmtId="0" fontId="3" fillId="12" borderId="70" xfId="4" applyFill="1" applyBorder="1" applyAlignment="1">
      <alignment horizontal="center" vertical="center"/>
    </xf>
    <xf numFmtId="167" fontId="3" fillId="12" borderId="11" xfId="4" applyNumberFormat="1" applyFill="1" applyBorder="1" applyAlignment="1">
      <alignment horizontal="center" vertical="center"/>
    </xf>
    <xf numFmtId="0" fontId="59" fillId="12" borderId="0" xfId="4" applyFont="1" applyFill="1" applyAlignment="1">
      <alignment horizontal="left" vertical="center"/>
    </xf>
    <xf numFmtId="0" fontId="3" fillId="12" borderId="0" xfId="4" applyFill="1" applyAlignment="1">
      <alignment vertical="center"/>
    </xf>
    <xf numFmtId="0" fontId="59" fillId="12" borderId="0" xfId="4" applyFont="1" applyFill="1" applyAlignment="1" applyProtection="1">
      <alignment horizontal="left" vertical="center"/>
      <protection locked="0" hidden="1"/>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0" fontId="3" fillId="17" borderId="11" xfId="4" applyNumberFormat="1" applyFill="1" applyBorder="1" applyAlignment="1">
      <alignment horizontal="center" vertical="center"/>
    </xf>
    <xf numFmtId="167" fontId="3" fillId="8" borderId="63" xfId="0" applyNumberFormat="1" applyFont="1" applyFill="1" applyBorder="1" applyAlignment="1" applyProtection="1">
      <alignment horizontal="right" vertical="center"/>
    </xf>
    <xf numFmtId="0" fontId="3" fillId="8" borderId="0" xfId="0" applyNumberFormat="1" applyFont="1" applyFill="1" applyBorder="1" applyAlignment="1" applyProtection="1"/>
    <xf numFmtId="2" fontId="7" fillId="10" borderId="0" xfId="0" applyNumberFormat="1" applyFont="1" applyFill="1" applyBorder="1"/>
    <xf numFmtId="0" fontId="3" fillId="12" borderId="64" xfId="0" applyNumberFormat="1" applyFont="1" applyFill="1" applyBorder="1" applyAlignment="1" applyProtection="1">
      <alignment vertical="center"/>
    </xf>
    <xf numFmtId="164" fontId="0" fillId="0" borderId="0" xfId="0" applyNumberFormat="1"/>
    <xf numFmtId="0" fontId="3" fillId="12" borderId="23" xfId="0" applyNumberFormat="1" applyFont="1" applyFill="1" applyBorder="1" applyAlignment="1" applyProtection="1"/>
    <xf numFmtId="0" fontId="3" fillId="12" borderId="40" xfId="0" applyNumberFormat="1" applyFont="1" applyFill="1" applyBorder="1" applyAlignment="1" applyProtection="1"/>
    <xf numFmtId="2" fontId="3" fillId="8" borderId="39" xfId="0" applyNumberFormat="1" applyFont="1" applyFill="1" applyBorder="1" applyAlignment="1" applyProtection="1">
      <alignment horizontal="right"/>
    </xf>
    <xf numFmtId="168" fontId="7" fillId="0" borderId="0" xfId="0" applyNumberFormat="1" applyFont="1" applyFill="1" applyBorder="1"/>
    <xf numFmtId="11" fontId="7" fillId="0" borderId="0" xfId="0" applyNumberFormat="1" applyFont="1" applyFill="1" applyBorder="1"/>
    <xf numFmtId="0" fontId="3" fillId="0" borderId="11" xfId="0" applyFont="1" applyBorder="1"/>
    <xf numFmtId="0" fontId="0" fillId="0" borderId="11" xfId="0" applyFill="1" applyBorder="1"/>
    <xf numFmtId="0" fontId="3" fillId="0" borderId="0" xfId="4" applyFill="1"/>
    <xf numFmtId="0" fontId="80"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Font="1" applyBorder="1"/>
    <xf numFmtId="0" fontId="3" fillId="0" borderId="8" xfId="4" applyBorder="1" applyAlignment="1">
      <alignment horizontal="left"/>
    </xf>
    <xf numFmtId="0" fontId="3" fillId="0" borderId="17" xfId="4" applyBorder="1"/>
    <xf numFmtId="1" fontId="3" fillId="0" borderId="11" xfId="4" applyNumberFormat="1" applyBorder="1"/>
    <xf numFmtId="0" fontId="3" fillId="0" borderId="15" xfId="4" applyBorder="1"/>
    <xf numFmtId="0" fontId="3" fillId="0" borderId="79" xfId="4" applyFill="1" applyBorder="1"/>
    <xf numFmtId="0" fontId="3" fillId="0" borderId="17" xfId="4" applyFont="1" applyBorder="1" applyAlignment="1">
      <alignment horizontal="left"/>
    </xf>
    <xf numFmtId="167" fontId="3" fillId="0" borderId="8" xfId="4" applyNumberFormat="1" applyBorder="1"/>
    <xf numFmtId="0" fontId="3" fillId="0" borderId="17" xfId="4" applyFill="1" applyBorder="1"/>
    <xf numFmtId="11" fontId="3" fillId="0" borderId="11" xfId="4" applyNumberFormat="1" applyFill="1" applyBorder="1"/>
    <xf numFmtId="1" fontId="3" fillId="0" borderId="11" xfId="4" applyNumberFormat="1" applyFill="1" applyBorder="1"/>
    <xf numFmtId="166" fontId="3" fillId="0" borderId="11" xfId="4" applyNumberFormat="1" applyFill="1" applyBorder="1"/>
    <xf numFmtId="0" fontId="3" fillId="0" borderId="8" xfId="4" applyFill="1" applyBorder="1"/>
    <xf numFmtId="0" fontId="3" fillId="2" borderId="0" xfId="4" applyFill="1"/>
    <xf numFmtId="0" fontId="3" fillId="0" borderId="21" xfId="4" applyFill="1" applyBorder="1" applyAlignment="1">
      <alignment horizontal="left"/>
    </xf>
    <xf numFmtId="1" fontId="3" fillId="0" borderId="39" xfId="4" applyNumberFormat="1" applyBorder="1"/>
    <xf numFmtId="0" fontId="3" fillId="0" borderId="40" xfId="4" applyBorder="1"/>
    <xf numFmtId="0" fontId="3" fillId="0" borderId="39" xfId="4" applyBorder="1"/>
    <xf numFmtId="166" fontId="3" fillId="0" borderId="39" xfId="4" applyNumberFormat="1" applyBorder="1"/>
    <xf numFmtId="166" fontId="3" fillId="0" borderId="38" xfId="4" applyNumberFormat="1" applyBorder="1"/>
    <xf numFmtId="0" fontId="3" fillId="0" borderId="0" xfId="4" applyFill="1" applyBorder="1" applyAlignment="1">
      <alignment horizontal="left"/>
    </xf>
    <xf numFmtId="1" fontId="3" fillId="0" borderId="0" xfId="4" applyNumberFormat="1" applyBorder="1"/>
    <xf numFmtId="0" fontId="3" fillId="0" borderId="0" xfId="4" applyBorder="1"/>
    <xf numFmtId="166" fontId="3" fillId="0" borderId="0" xfId="4" applyNumberFormat="1" applyBorder="1"/>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0" fontId="7" fillId="0" borderId="5" xfId="4" applyFont="1" applyFill="1" applyBorder="1" applyAlignment="1">
      <alignment horizontal="center"/>
    </xf>
    <xf numFmtId="0" fontId="7" fillId="0" borderId="6" xfId="4" applyFont="1" applyFill="1" applyBorder="1" applyAlignment="1">
      <alignment horizontal="center"/>
    </xf>
    <xf numFmtId="2" fontId="7" fillId="0" borderId="7" xfId="4" applyNumberFormat="1" applyFont="1" applyFill="1" applyBorder="1" applyAlignment="1">
      <alignment horizontal="center"/>
    </xf>
    <xf numFmtId="0" fontId="7" fillId="0" borderId="0" xfId="4" applyFont="1" applyFill="1" applyBorder="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5" fontId="3" fillId="0" borderId="84" xfId="4" applyNumberFormat="1" applyBorder="1" applyAlignment="1">
      <alignment horizontal="center"/>
    </xf>
    <xf numFmtId="165" fontId="3" fillId="0" borderId="12" xfId="4" applyNumberFormat="1" applyBorder="1" applyAlignment="1">
      <alignment horizontal="center"/>
    </xf>
    <xf numFmtId="165" fontId="3" fillId="0" borderId="85" xfId="4" applyNumberFormat="1" applyBorder="1" applyAlignment="1">
      <alignment horizontal="center"/>
    </xf>
    <xf numFmtId="165" fontId="3" fillId="0" borderId="48" xfId="4" applyNumberFormat="1" applyBorder="1" applyAlignment="1">
      <alignment horizontal="center"/>
    </xf>
    <xf numFmtId="184" fontId="3" fillId="0" borderId="84" xfId="4" applyNumberFormat="1" applyBorder="1" applyAlignment="1">
      <alignment horizontal="center"/>
    </xf>
    <xf numFmtId="184"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5" fontId="3" fillId="0" borderId="11" xfId="4" applyNumberFormat="1" applyBorder="1" applyAlignment="1">
      <alignment horizontal="center"/>
    </xf>
    <xf numFmtId="165" fontId="3" fillId="0" borderId="79" xfId="4" applyNumberFormat="1" applyBorder="1" applyAlignment="1">
      <alignment horizontal="center"/>
    </xf>
    <xf numFmtId="0" fontId="3" fillId="0" borderId="0" xfId="4" applyAlignment="1">
      <alignment horizontal="center"/>
    </xf>
    <xf numFmtId="0" fontId="3" fillId="0" borderId="0" xfId="4" applyBorder="1" applyAlignment="1">
      <alignment horizontal="center"/>
    </xf>
    <xf numFmtId="165" fontId="3" fillId="0" borderId="0" xfId="4" applyNumberFormat="1" applyBorder="1" applyAlignment="1">
      <alignment horizontal="center"/>
    </xf>
    <xf numFmtId="184" fontId="3" fillId="0" borderId="0" xfId="4" applyNumberFormat="1" applyBorder="1" applyAlignment="1">
      <alignment horizontal="center"/>
    </xf>
    <xf numFmtId="2" fontId="3" fillId="0" borderId="87" xfId="4" applyNumberFormat="1" applyBorder="1" applyAlignment="1">
      <alignment horizontal="center"/>
    </xf>
    <xf numFmtId="2" fontId="3" fillId="0" borderId="0" xfId="4" applyNumberFormat="1" applyBorder="1" applyAlignment="1">
      <alignment horizontal="center"/>
    </xf>
    <xf numFmtId="2" fontId="3" fillId="0" borderId="0" xfId="4" applyNumberFormat="1" applyAlignment="1">
      <alignment horizontal="center"/>
    </xf>
    <xf numFmtId="0" fontId="3" fillId="0" borderId="0" xfId="4" applyFill="1" applyBorder="1" applyAlignment="1">
      <alignment horizontal="right"/>
    </xf>
    <xf numFmtId="165" fontId="3" fillId="0" borderId="17" xfId="4" applyNumberFormat="1" applyBorder="1" applyAlignment="1">
      <alignment horizontal="center"/>
    </xf>
    <xf numFmtId="165" fontId="3" fillId="0" borderId="8" xfId="4" applyNumberFormat="1" applyBorder="1" applyAlignment="1">
      <alignment horizontal="center"/>
    </xf>
    <xf numFmtId="184" fontId="3" fillId="0" borderId="79" xfId="4" applyNumberFormat="1" applyBorder="1" applyAlignment="1">
      <alignment horizontal="center"/>
    </xf>
    <xf numFmtId="1" fontId="3" fillId="0" borderId="0" xfId="4" applyNumberFormat="1" applyAlignment="1">
      <alignment horizontal="right"/>
    </xf>
    <xf numFmtId="0" fontId="3" fillId="0" borderId="0" xfId="4"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3" fillId="0" borderId="0" xfId="4" applyFont="1"/>
    <xf numFmtId="0" fontId="3" fillId="0" borderId="23" xfId="4" applyBorder="1"/>
    <xf numFmtId="11" fontId="3" fillId="0" borderId="0" xfId="4" applyNumberFormat="1" applyFont="1"/>
    <xf numFmtId="168" fontId="3" fillId="0" borderId="0" xfId="4" applyNumberFormat="1" applyFont="1"/>
    <xf numFmtId="2" fontId="3" fillId="29" borderId="0" xfId="4" applyNumberFormat="1" applyFill="1"/>
    <xf numFmtId="0" fontId="3" fillId="29" borderId="0" xfId="4" applyFill="1"/>
    <xf numFmtId="176" fontId="3" fillId="0" borderId="0" xfId="4" applyNumberFormat="1"/>
    <xf numFmtId="1" fontId="3" fillId="0" borderId="8" xfId="4" applyNumberFormat="1" applyBorder="1" applyAlignment="1">
      <alignment horizontal="left"/>
    </xf>
    <xf numFmtId="0" fontId="3" fillId="18" borderId="0" xfId="4" applyFill="1"/>
    <xf numFmtId="166" fontId="3" fillId="18" borderId="0" xfId="4" applyNumberFormat="1" applyFill="1"/>
    <xf numFmtId="0" fontId="3" fillId="0" borderId="0" xfId="4" quotePrefix="1" applyFill="1"/>
    <xf numFmtId="2" fontId="3" fillId="18" borderId="0" xfId="4" applyNumberFormat="1" applyFill="1"/>
    <xf numFmtId="167" fontId="3" fillId="18" borderId="0" xfId="4" applyNumberFormat="1" applyFill="1"/>
    <xf numFmtId="0" fontId="48" fillId="0" borderId="15" xfId="4" applyFont="1" applyFill="1" applyBorder="1"/>
    <xf numFmtId="2" fontId="4" fillId="0" borderId="11" xfId="4" applyNumberFormat="1" applyFont="1" applyFill="1" applyBorder="1"/>
    <xf numFmtId="0" fontId="4" fillId="0" borderId="79" xfId="4" applyFont="1" applyBorder="1"/>
    <xf numFmtId="167" fontId="4" fillId="0" borderId="11" xfId="4" applyNumberFormat="1" applyFont="1" applyFill="1" applyBorder="1"/>
    <xf numFmtId="0" fontId="82" fillId="0" borderId="79" xfId="4" applyFont="1" applyBorder="1"/>
    <xf numFmtId="0" fontId="48" fillId="0" borderId="0" xfId="4" applyFont="1"/>
    <xf numFmtId="0" fontId="3" fillId="0" borderId="80" xfId="4" applyFill="1" applyBorder="1"/>
    <xf numFmtId="0" fontId="3" fillId="0" borderId="15" xfId="4" applyFill="1" applyBorder="1"/>
    <xf numFmtId="165" fontId="7" fillId="0" borderId="0" xfId="0" applyNumberFormat="1" applyFont="1" applyBorder="1"/>
    <xf numFmtId="0" fontId="4" fillId="15" borderId="35" xfId="0" applyNumberFormat="1" applyFont="1" applyFill="1" applyBorder="1" applyAlignment="1" applyProtection="1">
      <alignment vertical="center"/>
      <protection locked="0"/>
    </xf>
    <xf numFmtId="0" fontId="4" fillId="12" borderId="64" xfId="0" applyNumberFormat="1" applyFont="1" applyFill="1" applyBorder="1" applyAlignment="1" applyProtection="1">
      <alignment vertical="center"/>
    </xf>
    <xf numFmtId="0" fontId="4" fillId="12" borderId="40" xfId="0" applyNumberFormat="1" applyFont="1" applyFill="1" applyBorder="1" applyAlignment="1" applyProtection="1">
      <alignment vertical="center"/>
    </xf>
    <xf numFmtId="0" fontId="4" fillId="11" borderId="0" xfId="0" applyFont="1" applyFill="1" applyBorder="1"/>
    <xf numFmtId="0" fontId="58" fillId="0" borderId="0" xfId="0" applyFont="1" applyBorder="1"/>
    <xf numFmtId="0" fontId="84" fillId="8" borderId="0" xfId="0" applyFont="1" applyFill="1" applyBorder="1" applyProtection="1"/>
    <xf numFmtId="0" fontId="81" fillId="12" borderId="0" xfId="0" applyNumberFormat="1" applyFont="1" applyFill="1" applyBorder="1" applyAlignment="1" applyProtection="1">
      <alignment vertical="center"/>
    </xf>
    <xf numFmtId="165" fontId="3" fillId="0" borderId="11" xfId="4" applyNumberFormat="1" applyBorder="1"/>
    <xf numFmtId="184" fontId="3" fillId="0" borderId="0" xfId="4" applyNumberFormat="1"/>
    <xf numFmtId="0" fontId="0" fillId="0" borderId="62" xfId="0" applyBorder="1"/>
    <xf numFmtId="0" fontId="0" fillId="0" borderId="64" xfId="0" applyBorder="1"/>
    <xf numFmtId="20" fontId="0" fillId="0" borderId="0" xfId="0" applyNumberFormat="1" applyBorder="1"/>
    <xf numFmtId="0" fontId="0" fillId="0" borderId="0" xfId="0" quotePrefix="1" applyBorder="1"/>
    <xf numFmtId="0" fontId="78" fillId="0" borderId="0" xfId="0" applyFont="1" applyBorder="1" applyAlignment="1">
      <alignment horizontal="right"/>
    </xf>
    <xf numFmtId="0" fontId="4" fillId="0" borderId="23" xfId="0" applyFont="1" applyBorder="1" applyAlignment="1">
      <alignment horizontal="right"/>
    </xf>
    <xf numFmtId="166" fontId="4" fillId="0" borderId="23" xfId="0" applyNumberFormat="1" applyFont="1" applyBorder="1" applyAlignment="1">
      <alignment horizontal="right"/>
    </xf>
    <xf numFmtId="166" fontId="48" fillId="0" borderId="0" xfId="0" applyNumberFormat="1" applyFont="1" applyBorder="1" applyAlignment="1">
      <alignment horizontal="left"/>
    </xf>
    <xf numFmtId="2" fontId="48" fillId="0" borderId="23" xfId="0" applyNumberFormat="1" applyFont="1" applyBorder="1" applyAlignment="1">
      <alignment horizontal="right"/>
    </xf>
    <xf numFmtId="2" fontId="48" fillId="0" borderId="0" xfId="0" applyNumberFormat="1" applyFont="1" applyBorder="1" applyAlignment="1">
      <alignment horizontal="left"/>
    </xf>
    <xf numFmtId="0" fontId="48" fillId="0" borderId="23" xfId="0" applyFont="1" applyBorder="1" applyAlignment="1">
      <alignment horizontal="right"/>
    </xf>
    <xf numFmtId="0" fontId="0" fillId="0" borderId="38" xfId="0" applyBorder="1"/>
    <xf numFmtId="0" fontId="0" fillId="0" borderId="39" xfId="0" applyBorder="1" applyAlignment="1">
      <alignment horizontal="left"/>
    </xf>
    <xf numFmtId="0" fontId="0" fillId="0" borderId="40" xfId="0" applyBorder="1"/>
    <xf numFmtId="0" fontId="4" fillId="0" borderId="62" xfId="0" applyFont="1" applyBorder="1"/>
    <xf numFmtId="0" fontId="4" fillId="8" borderId="23" xfId="0" applyFont="1" applyFill="1" applyBorder="1" applyAlignment="1" applyProtection="1"/>
    <xf numFmtId="0" fontId="22" fillId="8" borderId="38" xfId="0" applyFont="1" applyFill="1" applyBorder="1" applyAlignment="1" applyProtection="1">
      <alignment vertical="center"/>
    </xf>
    <xf numFmtId="0" fontId="47" fillId="8" borderId="39" xfId="0" applyFont="1" applyFill="1" applyBorder="1" applyAlignment="1" applyProtection="1"/>
    <xf numFmtId="0" fontId="4" fillId="8" borderId="39" xfId="0" applyFont="1" applyFill="1" applyBorder="1" applyAlignment="1" applyProtection="1"/>
    <xf numFmtId="0" fontId="4" fillId="8" borderId="40" xfId="0" applyFont="1" applyFill="1" applyBorder="1" applyAlignment="1" applyProtection="1"/>
    <xf numFmtId="0" fontId="4" fillId="12" borderId="0" xfId="0" applyNumberFormat="1" applyFont="1" applyFill="1" applyBorder="1" applyAlignment="1" applyProtection="1">
      <alignment vertical="center"/>
    </xf>
    <xf numFmtId="0" fontId="22" fillId="12" borderId="0" xfId="0" applyFont="1" applyFill="1" applyBorder="1" applyAlignment="1" applyProtection="1">
      <alignment vertical="center"/>
    </xf>
    <xf numFmtId="167" fontId="49" fillId="12" borderId="0" xfId="0" applyNumberFormat="1" applyFont="1" applyFill="1" applyBorder="1" applyAlignment="1" applyProtection="1">
      <alignment vertical="center"/>
    </xf>
    <xf numFmtId="0" fontId="10" fillId="0" borderId="0" xfId="3" applyAlignment="1" applyProtection="1"/>
    <xf numFmtId="0" fontId="50" fillId="0" borderId="0" xfId="4" applyFont="1"/>
    <xf numFmtId="0" fontId="58" fillId="0" borderId="86" xfId="4" applyFont="1" applyBorder="1" applyAlignment="1">
      <alignment horizontal="center"/>
    </xf>
    <xf numFmtId="0" fontId="58" fillId="0" borderId="74" xfId="4" applyFont="1" applyBorder="1" applyAlignment="1">
      <alignment horizontal="center"/>
    </xf>
    <xf numFmtId="165" fontId="58" fillId="0" borderId="84" xfId="4" applyNumberFormat="1" applyFont="1" applyBorder="1" applyAlignment="1">
      <alignment horizontal="center"/>
    </xf>
    <xf numFmtId="165" fontId="58" fillId="0" borderId="12" xfId="4" applyNumberFormat="1" applyFont="1" applyBorder="1" applyAlignment="1">
      <alignment horizontal="center"/>
    </xf>
    <xf numFmtId="165" fontId="58" fillId="0" borderId="85" xfId="4" applyNumberFormat="1" applyFont="1" applyBorder="1" applyAlignment="1">
      <alignment horizontal="center"/>
    </xf>
    <xf numFmtId="165" fontId="58" fillId="0" borderId="48" xfId="4" applyNumberFormat="1" applyFont="1" applyBorder="1" applyAlignment="1">
      <alignment horizontal="center"/>
    </xf>
    <xf numFmtId="165" fontId="58" fillId="0" borderId="11" xfId="4" applyNumberFormat="1" applyFont="1" applyBorder="1" applyAlignment="1">
      <alignment horizontal="center"/>
    </xf>
    <xf numFmtId="165" fontId="58" fillId="0" borderId="79" xfId="4" applyNumberFormat="1" applyFont="1" applyBorder="1" applyAlignment="1">
      <alignment horizontal="center"/>
    </xf>
    <xf numFmtId="184" fontId="58" fillId="0" borderId="84" xfId="4" applyNumberFormat="1" applyFont="1" applyBorder="1" applyAlignment="1">
      <alignment horizontal="center"/>
    </xf>
    <xf numFmtId="184" fontId="58" fillId="0" borderId="85" xfId="4" applyNumberFormat="1" applyFont="1" applyBorder="1" applyAlignment="1">
      <alignment horizontal="center"/>
    </xf>
    <xf numFmtId="2" fontId="58" fillId="0" borderId="84" xfId="4" applyNumberFormat="1" applyFont="1" applyBorder="1" applyAlignment="1">
      <alignment horizontal="center"/>
    </xf>
    <xf numFmtId="2" fontId="58" fillId="0" borderId="12" xfId="4" applyNumberFormat="1" applyFont="1" applyBorder="1" applyAlignment="1">
      <alignment horizontal="center"/>
    </xf>
    <xf numFmtId="2" fontId="58" fillId="0" borderId="79" xfId="4" applyNumberFormat="1" applyFont="1" applyBorder="1" applyAlignment="1">
      <alignment horizontal="center"/>
    </xf>
    <xf numFmtId="2" fontId="58" fillId="0" borderId="17" xfId="4" applyNumberFormat="1" applyFont="1" applyBorder="1" applyAlignment="1">
      <alignment horizontal="center"/>
    </xf>
    <xf numFmtId="1" fontId="49" fillId="12" borderId="0" xfId="0" applyNumberFormat="1" applyFont="1" applyFill="1" applyBorder="1" applyAlignment="1" applyProtection="1">
      <alignment vertical="center"/>
    </xf>
    <xf numFmtId="0" fontId="3" fillId="8" borderId="0" xfId="0" applyNumberFormat="1" applyFont="1" applyFill="1" applyBorder="1" applyAlignment="1" applyProtection="1">
      <alignment horizontal="right" vertical="center"/>
    </xf>
    <xf numFmtId="167" fontId="50" fillId="15" borderId="0" xfId="0" applyNumberFormat="1" applyFont="1" applyFill="1" applyBorder="1" applyAlignment="1" applyProtection="1">
      <alignment vertical="center"/>
      <protection locked="0"/>
    </xf>
    <xf numFmtId="0" fontId="86" fillId="0" borderId="0" xfId="0" applyFont="1"/>
    <xf numFmtId="167" fontId="3" fillId="12" borderId="0" xfId="0" applyNumberFormat="1" applyFont="1" applyFill="1" applyAlignment="1" applyProtection="1">
      <alignment horizontal="right"/>
    </xf>
    <xf numFmtId="0" fontId="0" fillId="0" borderId="0" xfId="0" quotePrefix="1" applyAlignment="1">
      <alignment wrapText="1"/>
    </xf>
    <xf numFmtId="0" fontId="0" fillId="0" borderId="0" xfId="0" applyAlignment="1">
      <alignment wrapText="1"/>
    </xf>
    <xf numFmtId="0" fontId="3" fillId="0" borderId="0" xfId="0" applyFont="1" applyAlignment="1">
      <alignment wrapText="1"/>
    </xf>
    <xf numFmtId="2" fontId="7" fillId="0" borderId="0" xfId="0" applyNumberFormat="1" applyFont="1" applyFill="1" applyBorder="1"/>
    <xf numFmtId="167" fontId="49" fillId="8" borderId="35" xfId="2" applyNumberFormat="1" applyFont="1" applyFill="1" applyBorder="1" applyAlignment="1" applyProtection="1">
      <alignment horizontal="right" vertical="center"/>
    </xf>
    <xf numFmtId="167" fontId="17" fillId="8" borderId="35" xfId="0" applyNumberFormat="1" applyFont="1" applyFill="1" applyBorder="1" applyAlignment="1" applyProtection="1">
      <alignment horizontal="right"/>
    </xf>
    <xf numFmtId="0" fontId="3" fillId="8" borderId="38" xfId="0" applyFont="1" applyFill="1" applyBorder="1" applyAlignment="1" applyProtection="1">
      <alignment vertical="center"/>
    </xf>
    <xf numFmtId="0" fontId="50" fillId="8" borderId="35" xfId="0" applyFont="1" applyFill="1" applyBorder="1" applyAlignment="1" applyProtection="1">
      <alignment horizontal="right" vertical="center"/>
    </xf>
    <xf numFmtId="0" fontId="50" fillId="12" borderId="64" xfId="0" applyNumberFormat="1" applyFont="1" applyFill="1" applyBorder="1" applyAlignment="1" applyProtection="1">
      <alignment vertical="center"/>
    </xf>
    <xf numFmtId="0" fontId="3" fillId="8" borderId="0" xfId="0" applyFont="1" applyFill="1" applyBorder="1" applyAlignment="1" applyProtection="1"/>
    <xf numFmtId="167" fontId="3" fillId="8" borderId="0" xfId="0" applyNumberFormat="1" applyFont="1" applyFill="1" applyBorder="1" applyAlignment="1" applyProtection="1"/>
    <xf numFmtId="0" fontId="87" fillId="8" borderId="39" xfId="0" applyFont="1" applyFill="1" applyBorder="1" applyAlignment="1" applyProtection="1"/>
    <xf numFmtId="0" fontId="3" fillId="8" borderId="39" xfId="0" applyFont="1" applyFill="1" applyBorder="1" applyAlignment="1" applyProtection="1"/>
    <xf numFmtId="0" fontId="49" fillId="8" borderId="39" xfId="0" applyFont="1" applyFill="1" applyBorder="1" applyAlignment="1" applyProtection="1">
      <alignment horizontal="right"/>
    </xf>
    <xf numFmtId="1" fontId="3" fillId="8" borderId="39" xfId="0" applyNumberFormat="1" applyFont="1" applyFill="1" applyBorder="1" applyAlignment="1" applyProtection="1"/>
    <xf numFmtId="0" fontId="3" fillId="8" borderId="40" xfId="0" applyFont="1" applyFill="1" applyBorder="1" applyAlignment="1" applyProtection="1"/>
    <xf numFmtId="167" fontId="79" fillId="8" borderId="0" xfId="0" applyNumberFormat="1" applyFont="1" applyFill="1" applyBorder="1" applyAlignment="1" applyProtection="1"/>
    <xf numFmtId="0" fontId="3" fillId="8" borderId="22" xfId="0" applyFont="1" applyFill="1" applyBorder="1" applyAlignment="1" applyProtection="1">
      <alignment horizontal="right"/>
    </xf>
    <xf numFmtId="0" fontId="22" fillId="12" borderId="62" xfId="0" applyFont="1" applyFill="1" applyBorder="1" applyAlignment="1" applyProtection="1">
      <alignment vertical="center"/>
    </xf>
    <xf numFmtId="0" fontId="47" fillId="8" borderId="35" xfId="0" applyFont="1" applyFill="1" applyBorder="1" applyAlignment="1" applyProtection="1"/>
    <xf numFmtId="0" fontId="3" fillId="8" borderId="35" xfId="0" applyFont="1" applyFill="1" applyBorder="1" applyAlignment="1" applyProtection="1"/>
    <xf numFmtId="0" fontId="3" fillId="8" borderId="35" xfId="0" quotePrefix="1" applyFont="1" applyFill="1" applyBorder="1" applyAlignment="1" applyProtection="1">
      <alignment horizontal="right"/>
    </xf>
    <xf numFmtId="167" fontId="3" fillId="8" borderId="35" xfId="0" applyNumberFormat="1" applyFont="1" applyFill="1" applyBorder="1" applyAlignment="1" applyProtection="1"/>
    <xf numFmtId="0" fontId="3" fillId="8" borderId="64" xfId="0" applyFont="1" applyFill="1" applyBorder="1" applyAlignment="1" applyProtection="1"/>
    <xf numFmtId="0" fontId="22" fillId="12" borderId="22" xfId="0" applyFont="1" applyFill="1" applyBorder="1" applyAlignment="1" applyProtection="1">
      <alignment vertical="center"/>
    </xf>
    <xf numFmtId="0" fontId="17" fillId="12" borderId="38" xfId="0" applyFont="1" applyFill="1" applyBorder="1" applyProtection="1"/>
    <xf numFmtId="167" fontId="3" fillId="8" borderId="0" xfId="0" applyNumberFormat="1" applyFont="1" applyFill="1" applyBorder="1" applyAlignment="1" applyProtection="1">
      <alignment horizontal="right"/>
    </xf>
    <xf numFmtId="167" fontId="3" fillId="8" borderId="39" xfId="0" applyNumberFormat="1" applyFont="1" applyFill="1" applyBorder="1" applyAlignment="1" applyProtection="1">
      <alignment horizontal="right"/>
    </xf>
    <xf numFmtId="0" fontId="3" fillId="8" borderId="64" xfId="0" applyFont="1" applyFill="1" applyBorder="1" applyAlignment="1" applyProtection="1">
      <alignment vertical="center"/>
    </xf>
    <xf numFmtId="0" fontId="50" fillId="15" borderId="39" xfId="0" applyNumberFormat="1" applyFont="1" applyFill="1" applyBorder="1" applyAlignment="1" applyProtection="1">
      <alignment horizontal="right" vertical="center"/>
      <protection locked="0"/>
    </xf>
    <xf numFmtId="0" fontId="4" fillId="8" borderId="40" xfId="0" applyFont="1" applyFill="1" applyBorder="1" applyAlignment="1" applyProtection="1">
      <alignment vertical="center"/>
    </xf>
    <xf numFmtId="0" fontId="84" fillId="8" borderId="11" xfId="0" applyFont="1" applyFill="1" applyBorder="1" applyAlignment="1" applyProtection="1">
      <alignment horizontal="right"/>
    </xf>
    <xf numFmtId="0" fontId="81" fillId="15" borderId="15" xfId="0" applyNumberFormat="1" applyFont="1" applyFill="1" applyBorder="1" applyAlignment="1" applyProtection="1">
      <alignment vertical="center"/>
      <protection locked="0"/>
    </xf>
    <xf numFmtId="0" fontId="4" fillId="0" borderId="0" xfId="0" applyFont="1" applyFill="1" applyBorder="1" applyProtection="1"/>
    <xf numFmtId="0" fontId="3" fillId="8" borderId="64" xfId="0" applyFont="1" applyFill="1" applyBorder="1" applyProtection="1"/>
    <xf numFmtId="0" fontId="3" fillId="12" borderId="40" xfId="0" applyFont="1" applyFill="1" applyBorder="1" applyProtection="1"/>
    <xf numFmtId="0" fontId="4" fillId="15" borderId="0" xfId="0" applyNumberFormat="1" applyFont="1" applyFill="1" applyBorder="1" applyAlignment="1" applyProtection="1">
      <alignment horizontal="right"/>
      <protection locked="0"/>
    </xf>
    <xf numFmtId="0" fontId="4" fillId="8" borderId="35" xfId="0" applyFont="1" applyFill="1" applyBorder="1" applyAlignment="1" applyProtection="1">
      <alignment horizontal="right" vertical="center"/>
    </xf>
    <xf numFmtId="1" fontId="3" fillId="8" borderId="35" xfId="0" applyNumberFormat="1" applyFont="1" applyFill="1" applyBorder="1" applyAlignment="1" applyProtection="1">
      <alignment horizontal="right" vertical="center"/>
    </xf>
    <xf numFmtId="0" fontId="3" fillId="8" borderId="88" xfId="0" applyFont="1" applyFill="1" applyBorder="1" applyAlignment="1" applyProtection="1">
      <alignment vertical="center"/>
    </xf>
    <xf numFmtId="0" fontId="3" fillId="8" borderId="10" xfId="0" applyFont="1" applyFill="1" applyBorder="1" applyAlignment="1" applyProtection="1">
      <alignment vertical="center"/>
    </xf>
    <xf numFmtId="0" fontId="4" fillId="8" borderId="10" xfId="0" applyFont="1" applyFill="1" applyBorder="1" applyAlignment="1" applyProtection="1">
      <alignment vertical="center"/>
    </xf>
    <xf numFmtId="0" fontId="3" fillId="8" borderId="10" xfId="0"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3" fillId="8" borderId="89" xfId="0" applyFont="1" applyFill="1" applyBorder="1" applyAlignment="1" applyProtection="1">
      <alignment vertical="center"/>
    </xf>
    <xf numFmtId="0" fontId="3" fillId="8" borderId="48" xfId="0" applyFont="1" applyFill="1" applyBorder="1" applyAlignment="1" applyProtection="1">
      <alignment vertical="center"/>
    </xf>
    <xf numFmtId="0" fontId="3" fillId="8" borderId="4" xfId="0" applyFont="1" applyFill="1" applyBorder="1" applyAlignment="1" applyProtection="1">
      <alignment vertical="center"/>
    </xf>
    <xf numFmtId="0" fontId="3" fillId="8" borderId="4" xfId="0" applyFont="1" applyFill="1" applyBorder="1" applyAlignment="1" applyProtection="1">
      <alignment horizontal="right" vertical="center"/>
    </xf>
    <xf numFmtId="0" fontId="3" fillId="8" borderId="4" xfId="0" applyNumberFormat="1" applyFont="1" applyFill="1" applyBorder="1" applyAlignment="1" applyProtection="1">
      <alignment horizontal="right" vertical="center"/>
    </xf>
    <xf numFmtId="0" fontId="3" fillId="8" borderId="16" xfId="0" applyFont="1" applyFill="1" applyBorder="1" applyAlignment="1" applyProtection="1">
      <alignment vertical="center"/>
    </xf>
    <xf numFmtId="0" fontId="22" fillId="8" borderId="0" xfId="0" applyFont="1" applyFill="1" applyBorder="1" applyAlignment="1" applyProtection="1">
      <alignment vertical="center"/>
    </xf>
    <xf numFmtId="0" fontId="45" fillId="8" borderId="62" xfId="0" applyFont="1" applyFill="1" applyBorder="1" applyProtection="1"/>
    <xf numFmtId="0" fontId="45" fillId="8" borderId="38" xfId="0" applyFont="1" applyFill="1" applyBorder="1" applyProtection="1"/>
    <xf numFmtId="0" fontId="3" fillId="8" borderId="62" xfId="0" applyFont="1" applyFill="1" applyBorder="1" applyAlignment="1" applyProtection="1">
      <alignment horizontal="right"/>
    </xf>
    <xf numFmtId="0" fontId="3" fillId="0" borderId="0" xfId="0" applyFont="1" applyFill="1" applyBorder="1" applyAlignment="1" applyProtection="1">
      <alignment horizontal="right"/>
    </xf>
    <xf numFmtId="0" fontId="49" fillId="12" borderId="0" xfId="0" applyFont="1" applyFill="1" applyBorder="1" applyAlignment="1" applyProtection="1">
      <alignment horizontal="right"/>
    </xf>
    <xf numFmtId="0" fontId="49" fillId="12" borderId="35" xfId="0" applyFont="1" applyFill="1" applyBorder="1" applyAlignment="1" applyProtection="1">
      <alignment horizontal="right"/>
    </xf>
    <xf numFmtId="0" fontId="17" fillId="12" borderId="90" xfId="0" applyFont="1" applyFill="1" applyBorder="1" applyProtection="1"/>
    <xf numFmtId="0" fontId="50" fillId="12" borderId="39" xfId="0" applyFont="1" applyFill="1" applyBorder="1" applyAlignment="1" applyProtection="1">
      <alignment horizontal="right"/>
    </xf>
    <xf numFmtId="0" fontId="3" fillId="0" borderId="0" xfId="0" applyNumberFormat="1" applyFont="1" applyFill="1" applyBorder="1" applyAlignment="1" applyProtection="1">
      <alignment vertical="center"/>
    </xf>
    <xf numFmtId="0" fontId="17" fillId="8" borderId="67" xfId="0" applyFont="1" applyFill="1" applyBorder="1" applyProtection="1"/>
    <xf numFmtId="0" fontId="3" fillId="12" borderId="0" xfId="0" applyFont="1" applyFill="1" applyBorder="1" applyAlignment="1" applyProtection="1">
      <alignment horizontal="right"/>
    </xf>
    <xf numFmtId="0" fontId="3" fillId="12" borderId="23" xfId="0" applyFont="1" applyFill="1" applyBorder="1" applyProtection="1"/>
    <xf numFmtId="0" fontId="3" fillId="0" borderId="0" xfId="0" applyFont="1" applyFill="1" applyBorder="1" applyProtection="1"/>
    <xf numFmtId="0" fontId="79" fillId="8" borderId="0" xfId="0" applyFont="1" applyFill="1" applyBorder="1" applyAlignment="1" applyProtection="1">
      <alignment horizontal="right" vertical="center"/>
    </xf>
    <xf numFmtId="0" fontId="65" fillId="8" borderId="0" xfId="0" applyFont="1" applyFill="1" applyBorder="1" applyAlignment="1" applyProtection="1">
      <alignment horizontal="right" vertical="center"/>
    </xf>
    <xf numFmtId="0" fontId="3" fillId="0" borderId="62" xfId="0" applyFont="1" applyBorder="1"/>
    <xf numFmtId="0" fontId="0" fillId="0" borderId="90" xfId="0" applyBorder="1"/>
    <xf numFmtId="0" fontId="3" fillId="0" borderId="38" xfId="0" applyFont="1" applyBorder="1"/>
    <xf numFmtId="0" fontId="4" fillId="8" borderId="35" xfId="0" applyFont="1" applyFill="1" applyBorder="1" applyAlignment="1" applyProtection="1">
      <alignment horizontal="right"/>
    </xf>
    <xf numFmtId="0" fontId="3" fillId="0" borderId="90" xfId="0" applyNumberFormat="1" applyFont="1" applyFill="1" applyBorder="1" applyAlignment="1" applyProtection="1">
      <alignment vertical="center"/>
    </xf>
    <xf numFmtId="0" fontId="4" fillId="12" borderId="90" xfId="0" applyNumberFormat="1" applyFont="1" applyFill="1" applyBorder="1" applyAlignment="1" applyProtection="1">
      <alignment vertical="center"/>
    </xf>
    <xf numFmtId="0" fontId="3" fillId="8" borderId="38" xfId="0" applyFont="1" applyFill="1" applyBorder="1" applyProtection="1"/>
    <xf numFmtId="0" fontId="4" fillId="0" borderId="39" xfId="0" applyFont="1" applyFill="1" applyBorder="1" applyProtection="1"/>
    <xf numFmtId="0" fontId="3" fillId="0" borderId="39" xfId="0" applyFont="1" applyFill="1" applyBorder="1" applyAlignment="1" applyProtection="1">
      <alignment horizontal="right"/>
    </xf>
    <xf numFmtId="0" fontId="3" fillId="0" borderId="40" xfId="0" applyNumberFormat="1" applyFont="1" applyFill="1" applyBorder="1" applyAlignment="1" applyProtection="1">
      <alignment vertical="center"/>
    </xf>
    <xf numFmtId="167" fontId="3" fillId="0" borderId="39" xfId="0" applyNumberFormat="1" applyFont="1" applyFill="1" applyBorder="1" applyAlignment="1" applyProtection="1">
      <alignment horizontal="right" vertical="center"/>
    </xf>
    <xf numFmtId="0" fontId="3" fillId="12" borderId="0" xfId="0" applyFont="1" applyFill="1" applyBorder="1" applyProtection="1"/>
    <xf numFmtId="1" fontId="3" fillId="12" borderId="35" xfId="0" applyNumberFormat="1" applyFont="1" applyFill="1" applyBorder="1" applyProtection="1"/>
    <xf numFmtId="0" fontId="3" fillId="12" borderId="64" xfId="0" applyFont="1" applyFill="1" applyBorder="1" applyProtection="1"/>
    <xf numFmtId="0" fontId="3" fillId="12" borderId="0" xfId="0" applyFont="1" applyFill="1" applyBorder="1" applyAlignment="1" applyProtection="1"/>
    <xf numFmtId="0" fontId="3" fillId="12" borderId="90" xfId="0" applyFont="1" applyFill="1" applyBorder="1" applyProtection="1"/>
    <xf numFmtId="0" fontId="4" fillId="15" borderId="39" xfId="0" applyFont="1" applyFill="1" applyBorder="1" applyAlignment="1" applyProtection="1">
      <protection locked="0"/>
    </xf>
    <xf numFmtId="0" fontId="4" fillId="12" borderId="40" xfId="0" applyFont="1" applyFill="1" applyBorder="1" applyProtection="1"/>
    <xf numFmtId="167" fontId="3" fillId="12" borderId="0" xfId="0" applyNumberFormat="1" applyFont="1" applyFill="1" applyBorder="1" applyProtection="1"/>
    <xf numFmtId="0" fontId="4" fillId="8" borderId="90" xfId="0" applyFont="1" applyFill="1" applyBorder="1" applyAlignment="1" applyProtection="1">
      <alignment vertical="center"/>
    </xf>
    <xf numFmtId="0" fontId="3" fillId="8" borderId="90" xfId="0" applyNumberFormat="1" applyFont="1" applyFill="1" applyBorder="1" applyAlignment="1" applyProtection="1">
      <alignment horizontal="left" vertical="center"/>
    </xf>
    <xf numFmtId="0" fontId="3" fillId="8" borderId="90" xfId="0" applyFont="1" applyFill="1" applyBorder="1" applyAlignment="1" applyProtection="1">
      <alignment vertical="center"/>
    </xf>
    <xf numFmtId="0" fontId="3" fillId="8" borderId="35" xfId="0" applyNumberFormat="1" applyFont="1" applyFill="1" applyBorder="1" applyAlignment="1" applyProtection="1">
      <alignment horizontal="right" vertical="center"/>
    </xf>
    <xf numFmtId="0" fontId="3" fillId="8" borderId="39" xfId="0" applyNumberFormat="1" applyFont="1" applyFill="1" applyBorder="1" applyAlignment="1" applyProtection="1">
      <alignment horizontal="right" vertical="center"/>
    </xf>
    <xf numFmtId="0" fontId="3" fillId="8" borderId="40" xfId="0" applyNumberFormat="1" applyFont="1" applyFill="1" applyBorder="1" applyAlignment="1" applyProtection="1">
      <alignment horizontal="left" vertical="center"/>
    </xf>
    <xf numFmtId="0" fontId="3" fillId="8" borderId="62" xfId="0" applyFont="1" applyFill="1" applyBorder="1" applyAlignment="1" applyProtection="1">
      <alignment horizontal="right" vertical="center"/>
    </xf>
    <xf numFmtId="0" fontId="3" fillId="12" borderId="35" xfId="0" applyNumberFormat="1" applyFont="1" applyFill="1" applyBorder="1" applyAlignment="1" applyProtection="1">
      <alignment horizontal="right" vertical="center"/>
    </xf>
    <xf numFmtId="0" fontId="3" fillId="12" borderId="35" xfId="0" applyFont="1" applyFill="1" applyBorder="1" applyAlignment="1" applyProtection="1">
      <alignment vertical="center"/>
    </xf>
    <xf numFmtId="0" fontId="3" fillId="12" borderId="35" xfId="0" applyFont="1" applyFill="1" applyBorder="1" applyProtection="1"/>
    <xf numFmtId="0" fontId="3" fillId="8" borderId="22" xfId="0" applyFont="1" applyFill="1" applyBorder="1" applyAlignment="1" applyProtection="1">
      <alignment horizontal="right" vertical="center"/>
    </xf>
    <xf numFmtId="0" fontId="3" fillId="8" borderId="90" xfId="0" applyFont="1" applyFill="1" applyBorder="1" applyProtection="1"/>
    <xf numFmtId="165" fontId="17" fillId="8" borderId="39" xfId="0" applyNumberFormat="1" applyFont="1" applyFill="1" applyBorder="1" applyProtection="1"/>
    <xf numFmtId="2" fontId="3" fillId="8" borderId="39" xfId="0" applyNumberFormat="1" applyFont="1" applyFill="1" applyBorder="1" applyProtection="1"/>
    <xf numFmtId="166" fontId="3" fillId="8" borderId="39" xfId="0" applyNumberFormat="1" applyFont="1" applyFill="1" applyBorder="1" applyAlignment="1" applyProtection="1">
      <alignment horizontal="right" vertical="center"/>
    </xf>
    <xf numFmtId="0" fontId="3" fillId="8" borderId="76" xfId="0" applyFont="1" applyFill="1" applyBorder="1" applyProtection="1"/>
    <xf numFmtId="0" fontId="3" fillId="8" borderId="77" xfId="0" applyFont="1" applyFill="1" applyBorder="1" applyProtection="1"/>
    <xf numFmtId="0" fontId="3" fillId="15" borderId="0" xfId="0" applyNumberFormat="1" applyFont="1" applyFill="1" applyBorder="1" applyAlignment="1" applyProtection="1">
      <alignment horizontal="right" vertical="center"/>
      <protection locked="0"/>
    </xf>
    <xf numFmtId="166" fontId="0" fillId="30" borderId="0" xfId="0" applyNumberFormat="1" applyFill="1"/>
    <xf numFmtId="176" fontId="0" fillId="0" borderId="0" xfId="0" applyNumberFormat="1"/>
    <xf numFmtId="0" fontId="3" fillId="15" borderId="35" xfId="0" applyNumberFormat="1" applyFont="1" applyFill="1" applyBorder="1" applyAlignment="1" applyProtection="1">
      <alignment horizontal="right" vertical="center"/>
      <protection locked="0"/>
    </xf>
    <xf numFmtId="0" fontId="4" fillId="8" borderId="64" xfId="0" applyNumberFormat="1" applyFont="1" applyFill="1" applyBorder="1" applyAlignment="1" applyProtection="1">
      <alignment horizontal="left" vertical="center"/>
    </xf>
    <xf numFmtId="0" fontId="4" fillId="8" borderId="90" xfId="0" applyNumberFormat="1" applyFont="1" applyFill="1" applyBorder="1" applyAlignment="1" applyProtection="1">
      <alignment horizontal="left" vertical="center"/>
    </xf>
    <xf numFmtId="0" fontId="65" fillId="8" borderId="0" xfId="0" applyNumberFormat="1" applyFont="1" applyFill="1" applyBorder="1" applyAlignment="1" applyProtection="1">
      <alignment horizontal="right" vertical="center"/>
    </xf>
    <xf numFmtId="0" fontId="18" fillId="8" borderId="64" xfId="0" applyFont="1" applyFill="1" applyBorder="1" applyProtection="1"/>
    <xf numFmtId="0" fontId="18" fillId="8" borderId="90" xfId="0" applyFont="1" applyFill="1" applyBorder="1" applyProtection="1"/>
    <xf numFmtId="0" fontId="17" fillId="8" borderId="90" xfId="0" applyFont="1" applyFill="1" applyBorder="1" applyProtection="1"/>
    <xf numFmtId="0" fontId="3" fillId="8" borderId="38" xfId="0" applyFont="1" applyFill="1" applyBorder="1" applyAlignment="1" applyProtection="1">
      <alignment horizontal="right" vertical="center"/>
    </xf>
    <xf numFmtId="0" fontId="3" fillId="12" borderId="39" xfId="0" applyNumberFormat="1" applyFont="1" applyFill="1" applyBorder="1" applyAlignment="1" applyProtection="1">
      <alignment horizontal="right" vertical="center"/>
    </xf>
    <xf numFmtId="0" fontId="3" fillId="12" borderId="39" xfId="0" applyFont="1" applyFill="1" applyBorder="1" applyAlignment="1" applyProtection="1">
      <alignment vertical="center"/>
    </xf>
    <xf numFmtId="0" fontId="3" fillId="8" borderId="75" xfId="0" applyFont="1" applyFill="1" applyBorder="1" applyProtection="1"/>
    <xf numFmtId="0" fontId="3" fillId="15" borderId="35" xfId="0" applyFont="1" applyFill="1" applyBorder="1" applyProtection="1">
      <protection locked="0"/>
    </xf>
    <xf numFmtId="0" fontId="3" fillId="15" borderId="0" xfId="0" applyFont="1" applyFill="1" applyBorder="1" applyProtection="1">
      <protection locked="0"/>
    </xf>
    <xf numFmtId="0" fontId="65" fillId="8" borderId="0" xfId="0" applyFont="1" applyFill="1" applyBorder="1" applyAlignment="1" applyProtection="1">
      <alignment horizontal="right"/>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48" fillId="8" borderId="0" xfId="0" applyFont="1" applyFill="1" applyBorder="1" applyProtection="1"/>
    <xf numFmtId="0" fontId="58" fillId="8" borderId="0" xfId="0" applyFont="1" applyFill="1" applyBorder="1" applyProtection="1"/>
    <xf numFmtId="174" fontId="3" fillId="12" borderId="8" xfId="4" applyNumberFormat="1" applyFill="1" applyBorder="1" applyAlignment="1">
      <alignment horizontal="left" vertical="center"/>
    </xf>
    <xf numFmtId="180" fontId="3" fillId="17" borderId="8" xfId="4" applyNumberFormat="1" applyFill="1" applyBorder="1" applyAlignment="1">
      <alignment horizontal="left" vertical="center"/>
    </xf>
    <xf numFmtId="180" fontId="3" fillId="17" borderId="9" xfId="4" applyNumberFormat="1" applyFill="1" applyBorder="1" applyAlignment="1">
      <alignment horizontal="left" vertical="center"/>
    </xf>
    <xf numFmtId="1" fontId="3" fillId="17" borderId="11" xfId="4" applyNumberFormat="1" applyFill="1" applyBorder="1" applyAlignment="1">
      <alignment horizontal="center" vertical="center"/>
    </xf>
    <xf numFmtId="181" fontId="3" fillId="12" borderId="11" xfId="4" applyNumberFormat="1" applyFill="1" applyBorder="1" applyAlignment="1">
      <alignment horizontal="center" vertical="center"/>
    </xf>
    <xf numFmtId="182" fontId="3" fillId="12" borderId="9" xfId="4" applyNumberFormat="1" applyFill="1" applyBorder="1" applyAlignment="1">
      <alignment horizontal="left" vertical="center"/>
    </xf>
    <xf numFmtId="172" fontId="3" fillId="17" borderId="11" xfId="4" applyNumberFormat="1" applyFill="1" applyBorder="1" applyAlignment="1">
      <alignment horizontal="center" vertical="center"/>
    </xf>
    <xf numFmtId="11" fontId="0" fillId="0" borderId="0" xfId="0" applyNumberFormat="1"/>
    <xf numFmtId="0" fontId="58" fillId="0" borderId="0" xfId="0" applyFont="1" applyFill="1" applyBorder="1"/>
    <xf numFmtId="0" fontId="58" fillId="0" borderId="0" xfId="0" applyFont="1"/>
    <xf numFmtId="0" fontId="3" fillId="12" borderId="23" xfId="0" applyFont="1" applyFill="1" applyBorder="1" applyAlignment="1" applyProtection="1">
      <alignment vertical="center"/>
    </xf>
    <xf numFmtId="167" fontId="49" fillId="12" borderId="0" xfId="0" applyNumberFormat="1" applyFont="1" applyFill="1" applyBorder="1" applyAlignment="1" applyProtection="1">
      <alignment horizontal="right" vertical="center"/>
    </xf>
    <xf numFmtId="167" fontId="3" fillId="8" borderId="0" xfId="0" applyNumberFormat="1" applyFont="1" applyFill="1" applyBorder="1" applyAlignment="1" applyProtection="1">
      <alignment horizontal="right" vertical="center"/>
    </xf>
    <xf numFmtId="0" fontId="81"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1" fillId="4" borderId="76" xfId="4" applyFont="1" applyFill="1" applyBorder="1" applyAlignment="1">
      <alignment horizontal="center" vertical="top"/>
    </xf>
    <xf numFmtId="0" fontId="81" fillId="4" borderId="82" xfId="4" applyFont="1" applyFill="1" applyBorder="1" applyAlignment="1">
      <alignment horizontal="center" vertical="top"/>
    </xf>
    <xf numFmtId="0" fontId="81" fillId="4" borderId="65" xfId="4" applyFont="1" applyFill="1" applyBorder="1" applyAlignment="1">
      <alignment horizontal="center"/>
    </xf>
    <xf numFmtId="0" fontId="81" fillId="4" borderId="78" xfId="4" applyFont="1" applyFill="1" applyBorder="1" applyAlignment="1">
      <alignment horizontal="center"/>
    </xf>
    <xf numFmtId="0" fontId="81" fillId="4" borderId="66" xfId="4" applyFont="1" applyFill="1" applyBorder="1" applyAlignment="1">
      <alignment horizontal="center"/>
    </xf>
    <xf numFmtId="0" fontId="81" fillId="4" borderId="43" xfId="4" applyFont="1" applyFill="1" applyBorder="1" applyAlignment="1">
      <alignment horizontal="center"/>
    </xf>
    <xf numFmtId="0" fontId="81" fillId="4" borderId="81" xfId="4" applyFont="1" applyFill="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Font="1" applyBorder="1" applyAlignment="1">
      <alignment horizontal="center"/>
    </xf>
    <xf numFmtId="0" fontId="3" fillId="0" borderId="66" xfId="4" applyFont="1" applyBorder="1" applyAlignment="1">
      <alignment horizontal="center"/>
    </xf>
    <xf numFmtId="0" fontId="4" fillId="0" borderId="66" xfId="4" applyFont="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applyAlignment="1"/>
    <xf numFmtId="0" fontId="4" fillId="4" borderId="81" xfId="4" applyFont="1" applyFill="1" applyBorder="1" applyAlignment="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0" borderId="0" xfId="0" applyFont="1" applyAlignment="1">
      <alignment horizontal="center"/>
    </xf>
    <xf numFmtId="0" fontId="5" fillId="3" borderId="0" xfId="0" applyFont="1" applyFill="1" applyAlignment="1">
      <alignment horizontal="left"/>
    </xf>
    <xf numFmtId="0" fontId="13" fillId="3" borderId="0" xfId="4" applyFont="1" applyFill="1" applyAlignment="1">
      <alignment horizontal="left" vertical="center"/>
    </xf>
    <xf numFmtId="0" fontId="23" fillId="21" borderId="0" xfId="4" applyFont="1" applyFill="1" applyBorder="1" applyAlignment="1" applyProtection="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66" xfId="4" applyFont="1" applyFill="1" applyBorder="1" applyAlignment="1">
      <alignment horizontal="left"/>
    </xf>
    <xf numFmtId="0" fontId="4" fillId="4" borderId="78" xfId="4" applyFont="1" applyFill="1" applyBorder="1" applyAlignment="1">
      <alignment horizontal="left"/>
    </xf>
    <xf numFmtId="182" fontId="3" fillId="12" borderId="8" xfId="4" applyNumberFormat="1" applyFill="1" applyBorder="1" applyAlignment="1">
      <alignment horizontal="left" vertical="center"/>
    </xf>
    <xf numFmtId="182" fontId="3" fillId="12" borderId="9" xfId="4" applyNumberFormat="1" applyFill="1" applyBorder="1" applyAlignment="1">
      <alignment horizontal="left" vertical="center"/>
    </xf>
    <xf numFmtId="0" fontId="75" fillId="8" borderId="0" xfId="4" applyFont="1" applyFill="1" applyAlignment="1">
      <alignment horizontal="right" wrapText="1"/>
    </xf>
    <xf numFmtId="177" fontId="3" fillId="16" borderId="8" xfId="4" applyNumberFormat="1" applyFill="1" applyBorder="1" applyAlignment="1">
      <alignment horizontal="left" vertical="center"/>
    </xf>
    <xf numFmtId="177" fontId="3" fillId="16" borderId="9" xfId="4" applyNumberFormat="1" applyFill="1" applyBorder="1" applyAlignment="1">
      <alignment horizontal="left" vertical="center"/>
    </xf>
    <xf numFmtId="173" fontId="3" fillId="17" borderId="8" xfId="4" applyNumberFormat="1" applyFill="1" applyBorder="1" applyAlignment="1">
      <alignment horizontal="left" vertical="center" wrapText="1"/>
    </xf>
    <xf numFmtId="173" fontId="3" fillId="17" borderId="9" xfId="4" applyNumberFormat="1" applyFill="1" applyBorder="1" applyAlignment="1">
      <alignment horizontal="left" vertical="center" wrapText="1"/>
    </xf>
    <xf numFmtId="173" fontId="3" fillId="17" borderId="15" xfId="4" applyNumberFormat="1" applyFill="1" applyBorder="1" applyAlignment="1">
      <alignment horizontal="left" vertical="center" wrapText="1"/>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182" fontId="3" fillId="12" borderId="8" xfId="4" quotePrefix="1" applyNumberFormat="1" applyFill="1" applyBorder="1" applyAlignment="1">
      <alignment horizontal="left" vertical="center"/>
    </xf>
    <xf numFmtId="0" fontId="54" fillId="3" borderId="69" xfId="4" applyFont="1" applyFill="1" applyBorder="1" applyAlignment="1">
      <alignment horizontal="center" vertical="center"/>
    </xf>
    <xf numFmtId="0" fontId="54" fillId="3" borderId="71" xfId="4" applyFont="1" applyFill="1" applyBorder="1" applyAlignment="1">
      <alignment horizontal="center" vertical="center"/>
    </xf>
    <xf numFmtId="0" fontId="54" fillId="3" borderId="72" xfId="4" applyFont="1" applyFill="1" applyBorder="1" applyAlignment="1">
      <alignment horizontal="center" vertical="center"/>
    </xf>
    <xf numFmtId="174" fontId="3" fillId="12" borderId="8" xfId="4" applyNumberFormat="1" applyFill="1" applyBorder="1" applyAlignment="1">
      <alignment horizontal="left" vertical="center"/>
    </xf>
    <xf numFmtId="174" fontId="3" fillId="12" borderId="9" xfId="4" applyNumberFormat="1" applyFill="1" applyBorder="1" applyAlignment="1">
      <alignment horizontal="left" vertical="center"/>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40" fillId="12" borderId="22" xfId="0" applyFont="1" applyFill="1" applyBorder="1" applyAlignment="1" applyProtection="1">
      <alignment horizontal="left" vertical="center"/>
    </xf>
    <xf numFmtId="0" fontId="40" fillId="12" borderId="0" xfId="0" applyFont="1" applyFill="1" applyBorder="1" applyAlignment="1" applyProtection="1">
      <alignment horizontal="left" vertical="center"/>
    </xf>
  </cellXfs>
  <cellStyles count="8">
    <cellStyle name="Comma" xfId="2" builtinId="3"/>
    <cellStyle name="Comma 2" xfId="6" xr:uid="{00000000-0005-0000-0000-000001000000}"/>
    <cellStyle name="Hyperlink" xfId="3" builtinId="8"/>
    <cellStyle name="Normal" xfId="0" builtinId="0"/>
    <cellStyle name="Normal 2" xfId="4" xr:uid="{00000000-0005-0000-0000-000004000000}"/>
    <cellStyle name="Normal 3" xfId="5" xr:uid="{00000000-0005-0000-0000-000005000000}"/>
    <cellStyle name="Percent" xfId="7" builtinId="5"/>
    <cellStyle name="RowLevel_1" xfId="1" builtinId="1" iLevel="0"/>
  </cellStyles>
  <dxfs count="79">
    <dxf>
      <border>
        <left style="thin">
          <color indexed="64"/>
        </left>
        <right style="thin">
          <color indexed="64"/>
        </right>
        <top style="thin">
          <color indexed="64"/>
        </top>
        <bottom style="thin">
          <color indexed="64"/>
        </bottom>
      </border>
    </dxf>
    <dxf>
      <font>
        <color rgb="FFFFFF99"/>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right/>
        <top/>
        <bottom/>
        <vertical/>
        <horizontal/>
      </border>
    </dxf>
    <dxf>
      <font>
        <color theme="0"/>
      </font>
      <fill>
        <patternFill>
          <bgColor theme="0"/>
        </patternFill>
      </fill>
      <border>
        <right/>
        <top/>
        <bottom/>
        <vertical/>
        <horizontal/>
      </border>
    </dxf>
    <dxf>
      <font>
        <color rgb="FFFF0000"/>
      </font>
    </dxf>
    <dxf>
      <font>
        <color theme="0"/>
      </font>
      <fill>
        <patternFill>
          <bgColor theme="0"/>
        </patternFill>
      </fill>
      <border>
        <right/>
        <top/>
        <bottom/>
        <vertical/>
        <horizontal/>
      </border>
    </dxf>
    <dxf>
      <font>
        <color rgb="FFFF0000"/>
      </font>
    </dxf>
    <dxf>
      <font>
        <strike val="0"/>
        <color theme="0"/>
      </font>
      <fill>
        <patternFill>
          <bgColor rgb="FFFF0000"/>
        </patternFill>
      </fill>
    </dxf>
    <dxf>
      <font>
        <color rgb="FFFF0000"/>
      </font>
    </dxf>
    <dxf>
      <font>
        <b/>
        <i val="0"/>
        <color theme="0"/>
      </font>
      <fill>
        <patternFill patternType="solid">
          <fgColor auto="1"/>
          <bgColor rgb="FFFF0000"/>
        </patternFill>
      </fill>
    </dxf>
    <dxf>
      <font>
        <color rgb="FFFF0000"/>
      </font>
    </dxf>
    <dxf>
      <font>
        <color rgb="FFFF0000"/>
      </font>
    </dxf>
    <dxf>
      <font>
        <color rgb="FFFF0000"/>
      </font>
    </dxf>
    <dxf>
      <font>
        <strike val="0"/>
        <color theme="0"/>
      </font>
      <fill>
        <patternFill>
          <bgColor rgb="FFFF0000"/>
        </patternFill>
      </fill>
    </dxf>
    <dxf>
      <font>
        <color theme="0"/>
      </font>
      <fill>
        <patternFill>
          <bgColor theme="0"/>
        </patternFill>
      </fill>
    </dxf>
    <dxf>
      <font>
        <b/>
        <i val="0"/>
        <color rgb="FFFF0000"/>
      </font>
    </dxf>
    <dxf>
      <font>
        <strike/>
        <color rgb="FFFF0000"/>
      </font>
    </dxf>
    <dxf>
      <border>
        <top/>
        <bottom/>
        <vertical/>
        <horizontal/>
      </border>
    </dxf>
    <dxf>
      <border>
        <left/>
        <right/>
        <top/>
        <bottom/>
        <vertical/>
        <horizontal/>
      </border>
    </dxf>
    <dxf>
      <font>
        <color theme="0"/>
      </font>
      <fill>
        <patternFill>
          <bgColor theme="0"/>
        </patternFill>
      </fill>
      <border>
        <right/>
        <top/>
        <bottom/>
      </border>
    </dxf>
    <dxf>
      <border>
        <bottom/>
        <vertical/>
        <horizontal/>
      </border>
    </dxf>
    <dxf>
      <border>
        <bottom/>
        <vertical/>
        <horizontal/>
      </border>
    </dxf>
    <dxf>
      <border>
        <right/>
        <vertical/>
        <horizontal/>
      </border>
    </dxf>
    <dxf>
      <border>
        <bottom/>
        <vertical/>
        <horizontal/>
      </border>
    </dxf>
    <dxf>
      <font>
        <strike val="0"/>
        <color theme="0"/>
      </font>
      <fill>
        <patternFill>
          <bgColor theme="0"/>
        </patternFill>
      </fill>
    </dxf>
    <dxf>
      <font>
        <strike/>
        <color rgb="FFFF0000"/>
      </font>
    </dxf>
    <dxf>
      <font>
        <strike/>
        <color rgb="FFFF0000"/>
      </font>
    </dxf>
    <dxf>
      <font>
        <strike/>
        <color rgb="FFFF0000"/>
      </font>
    </dxf>
    <dxf>
      <font>
        <strike/>
        <color rgb="FFFF0000"/>
      </font>
    </dxf>
    <dxf>
      <font>
        <strike/>
        <color rgb="FFFF5050"/>
      </font>
    </dxf>
    <dxf>
      <font>
        <strike/>
        <color rgb="FFFF0000"/>
      </font>
    </dxf>
    <dxf>
      <font>
        <strike/>
        <color rgb="FFFF0000"/>
      </font>
    </dxf>
    <dxf>
      <font>
        <strike/>
        <color rgb="FFFF0000"/>
      </font>
    </dxf>
    <dxf>
      <font>
        <color theme="0"/>
      </font>
      <border>
        <bottom style="thin">
          <color auto="1"/>
        </bottom>
        <vertical/>
        <horizontal/>
      </border>
    </dxf>
    <dxf>
      <font>
        <color theme="0"/>
      </font>
    </dxf>
    <dxf>
      <font>
        <color theme="0"/>
      </font>
      <fill>
        <patternFill>
          <bgColor theme="0"/>
        </patternFill>
      </fill>
    </dxf>
    <dxf>
      <font>
        <strike/>
        <color rgb="FFFF0000"/>
      </font>
    </dxf>
    <dxf>
      <font>
        <strike/>
        <color rgb="FFFF0000"/>
      </font>
    </dxf>
    <dxf>
      <font>
        <strike/>
        <color rgb="FFFF0000"/>
      </font>
    </dxf>
    <dxf>
      <font>
        <strike/>
        <color rgb="FFFF0000"/>
      </font>
    </dxf>
    <dxf>
      <font>
        <strike/>
        <color rgb="FFFF0000"/>
      </font>
    </dxf>
    <dxf>
      <font>
        <b/>
        <i val="0"/>
        <condense val="0"/>
        <extend val="0"/>
        <color indexed="10"/>
      </font>
    </dxf>
    <dxf>
      <font>
        <color rgb="FFFF0000"/>
      </font>
    </dxf>
    <dxf>
      <font>
        <color rgb="FFFF0000"/>
      </font>
    </dxf>
    <dxf>
      <font>
        <color rgb="FFFF0000"/>
      </font>
    </dxf>
    <dxf>
      <font>
        <color theme="0"/>
      </font>
      <fill>
        <patternFill>
          <bgColor theme="0"/>
        </patternFill>
      </fill>
    </dxf>
    <dxf>
      <font>
        <b/>
        <i val="0"/>
        <color rgb="FFC00000"/>
      </font>
    </dxf>
    <dxf>
      <font>
        <color rgb="FFFF0000"/>
      </font>
    </dxf>
    <dxf>
      <font>
        <strike/>
        <color rgb="FFFF0000"/>
      </font>
    </dxf>
    <dxf>
      <font>
        <b/>
        <i val="0"/>
        <color rgb="FFFF0000"/>
      </font>
    </dxf>
    <dxf>
      <font>
        <b/>
        <i val="0"/>
        <condense val="0"/>
        <extend val="0"/>
        <color indexed="12"/>
      </font>
    </dxf>
    <dxf>
      <font>
        <b/>
        <i val="0"/>
        <condense val="0"/>
        <extend val="0"/>
        <color indexed="10"/>
      </font>
    </dxf>
    <dxf>
      <font>
        <color rgb="FFFF0000"/>
      </font>
    </dxf>
    <dxf>
      <font>
        <color theme="0"/>
      </font>
      <fill>
        <patternFill>
          <bgColor theme="0"/>
        </patternFill>
      </fill>
      <border>
        <right style="thin">
          <color auto="1"/>
        </right>
        <vertical/>
        <horizontal/>
      </border>
    </dxf>
    <dxf>
      <font>
        <color rgb="FFFF0000"/>
      </font>
    </dxf>
    <dxf>
      <font>
        <color rgb="FFFF0000"/>
      </font>
    </dxf>
    <dxf>
      <font>
        <color rgb="FFFF0000"/>
      </font>
    </dxf>
    <dxf>
      <font>
        <b/>
        <i val="0"/>
        <color rgb="FFC00000"/>
      </font>
    </dxf>
    <dxf>
      <font>
        <color theme="0"/>
      </font>
    </dxf>
    <dxf>
      <font>
        <b/>
        <i val="0"/>
        <color rgb="FFC00000"/>
      </font>
    </dxf>
    <dxf>
      <font>
        <color theme="0"/>
      </font>
      <fill>
        <patternFill>
          <bgColor theme="0"/>
        </patternFill>
      </fill>
    </dxf>
    <dxf>
      <font>
        <color rgb="FFFF0000"/>
      </font>
    </dxf>
    <dxf>
      <font>
        <strike/>
        <color rgb="FFFF0000"/>
      </font>
    </dxf>
    <dxf>
      <font>
        <color rgb="FFFF0000"/>
      </font>
    </dxf>
    <dxf>
      <font>
        <color rgb="FFFF0000"/>
      </font>
    </dxf>
    <dxf>
      <font>
        <color rgb="FFFF0000"/>
      </font>
    </dxf>
    <dxf>
      <font>
        <color rgb="FFFF0000"/>
      </font>
    </dxf>
    <dxf>
      <font>
        <b/>
        <i val="0"/>
        <color rgb="FFFF0000"/>
      </font>
    </dxf>
  </dxfs>
  <tableStyles count="0" defaultTableStyle="TableStyleMedium9" defaultPivotStyle="PivotStyleLight16"/>
  <colors>
    <mruColors>
      <color rgb="FFFFFF66"/>
      <color rgb="FFFF5050"/>
      <color rgb="FF0000FF"/>
      <color rgb="FFFFFF99"/>
      <color rgb="FF33CC33"/>
      <color rgb="FFFF9900"/>
      <color rgb="FFCCFFFF"/>
      <color rgb="FF66FFFF"/>
      <color rgb="FF00FFFF"/>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400" b="1" i="0" u="none" strike="noStrike" baseline="0">
                <a:solidFill>
                  <a:srgbClr val="000000"/>
                </a:solidFill>
                <a:latin typeface="Arial"/>
                <a:ea typeface="Arial"/>
                <a:cs typeface="Arial"/>
              </a:defRPr>
            </a:pPr>
            <a:r>
              <a:rPr lang="en-US" sz="1400"/>
              <a:t>Bode Plot, V</a:t>
            </a:r>
            <a:r>
              <a:rPr lang="en-US" sz="1400" baseline="-25000"/>
              <a:t>IN</a:t>
            </a:r>
            <a:r>
              <a:rPr lang="en-US" sz="1400"/>
              <a:t> = V</a:t>
            </a:r>
            <a:r>
              <a:rPr lang="en-US" sz="1400" baseline="-25000"/>
              <a:t>IN(nom)</a:t>
            </a:r>
          </a:p>
        </c:rich>
      </c:tx>
      <c:layout>
        <c:manualLayout>
          <c:xMode val="edge"/>
          <c:yMode val="edge"/>
          <c:x val="4.6802568469568491E-2"/>
          <c:y val="1.6752897184919666E-2"/>
        </c:manualLayout>
      </c:layout>
      <c:overlay val="0"/>
      <c:spPr>
        <a:noFill/>
        <a:ln w="25400">
          <a:noFill/>
        </a:ln>
      </c:spPr>
    </c:title>
    <c:autoTitleDeleted val="0"/>
    <c:plotArea>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70.338939967968642</c:v>
                </c:pt>
                <c:pt idx="1">
                  <c:v>69.5388582698167</c:v>
                </c:pt>
                <c:pt idx="2">
                  <c:v>68.738849558155053</c:v>
                </c:pt>
                <c:pt idx="3">
                  <c:v>67.938884033400569</c:v>
                </c:pt>
                <c:pt idx="4">
                  <c:v>67.139459808703961</c:v>
                </c:pt>
                <c:pt idx="5">
                  <c:v>66.339226260442601</c:v>
                </c:pt>
                <c:pt idx="6">
                  <c:v>65.539302859958383</c:v>
                </c:pt>
                <c:pt idx="7">
                  <c:v>64.739148423249361</c:v>
                </c:pt>
                <c:pt idx="8">
                  <c:v>63.93933474574812</c:v>
                </c:pt>
                <c:pt idx="9">
                  <c:v>63.139246923366564</c:v>
                </c:pt>
                <c:pt idx="10">
                  <c:v>62.339337403590619</c:v>
                </c:pt>
                <c:pt idx="11">
                  <c:v>61.539486120517005</c:v>
                </c:pt>
                <c:pt idx="12">
                  <c:v>60.739264929105197</c:v>
                </c:pt>
                <c:pt idx="13">
                  <c:v>59.939438576587598</c:v>
                </c:pt>
                <c:pt idx="14">
                  <c:v>59.139365364202391</c:v>
                </c:pt>
                <c:pt idx="15">
                  <c:v>58.339350369108097</c:v>
                </c:pt>
                <c:pt idx="16">
                  <c:v>57.539326841479259</c:v>
                </c:pt>
                <c:pt idx="17">
                  <c:v>56.739406507954151</c:v>
                </c:pt>
                <c:pt idx="18">
                  <c:v>55.939355078989067</c:v>
                </c:pt>
                <c:pt idx="19">
                  <c:v>55.139385407847648</c:v>
                </c:pt>
                <c:pt idx="20">
                  <c:v>54.339335629034224</c:v>
                </c:pt>
                <c:pt idx="21">
                  <c:v>53.539366319139688</c:v>
                </c:pt>
                <c:pt idx="22">
                  <c:v>52.739303800682642</c:v>
                </c:pt>
                <c:pt idx="23">
                  <c:v>51.939343117727759</c:v>
                </c:pt>
                <c:pt idx="24">
                  <c:v>51.139277678927442</c:v>
                </c:pt>
                <c:pt idx="25">
                  <c:v>50.33922825693346</c:v>
                </c:pt>
                <c:pt idx="26">
                  <c:v>49.539005310942969</c:v>
                </c:pt>
                <c:pt idx="27">
                  <c:v>48.738860371497452</c:v>
                </c:pt>
                <c:pt idx="28">
                  <c:v>47.93875899755642</c:v>
                </c:pt>
                <c:pt idx="29">
                  <c:v>47.139194770487762</c:v>
                </c:pt>
                <c:pt idx="30">
                  <c:v>46.338812062250426</c:v>
                </c:pt>
                <c:pt idx="31">
                  <c:v>45.53872547329442</c:v>
                </c:pt>
                <c:pt idx="32">
                  <c:v>44.738388159102243</c:v>
                </c:pt>
                <c:pt idx="33">
                  <c:v>43.93836583495883</c:v>
                </c:pt>
                <c:pt idx="34">
                  <c:v>43.138036344944403</c:v>
                </c:pt>
                <c:pt idx="35">
                  <c:v>42.33784405693531</c:v>
                </c:pt>
                <c:pt idx="36">
                  <c:v>41.53765927710927</c:v>
                </c:pt>
                <c:pt idx="37">
                  <c:v>40.737042320530044</c:v>
                </c:pt>
                <c:pt idx="38">
                  <c:v>39.936744887656587</c:v>
                </c:pt>
                <c:pt idx="39">
                  <c:v>39.136108934987639</c:v>
                </c:pt>
                <c:pt idx="40">
                  <c:v>38.335420641446674</c:v>
                </c:pt>
                <c:pt idx="41">
                  <c:v>37.534590396304544</c:v>
                </c:pt>
                <c:pt idx="42">
                  <c:v>36.733702757921868</c:v>
                </c:pt>
                <c:pt idx="43">
                  <c:v>35.932490428852979</c:v>
                </c:pt>
                <c:pt idx="44">
                  <c:v>35.131127349322171</c:v>
                </c:pt>
                <c:pt idx="45">
                  <c:v>34.329404376624822</c:v>
                </c:pt>
                <c:pt idx="46">
                  <c:v>33.527426107647273</c:v>
                </c:pt>
                <c:pt idx="47">
                  <c:v>32.724950935002624</c:v>
                </c:pt>
                <c:pt idx="48">
                  <c:v>31.922093688488857</c:v>
                </c:pt>
                <c:pt idx="49">
                  <c:v>31.118550288765494</c:v>
                </c:pt>
                <c:pt idx="50">
                  <c:v>30.314326238096726</c:v>
                </c:pt>
                <c:pt idx="51">
                  <c:v>29.509092503615257</c:v>
                </c:pt>
                <c:pt idx="52">
                  <c:v>28.702936999691143</c:v>
                </c:pt>
                <c:pt idx="53">
                  <c:v>27.895628605603346</c:v>
                </c:pt>
                <c:pt idx="54">
                  <c:v>27.087433045592167</c:v>
                </c:pt>
                <c:pt idx="55">
                  <c:v>26.276701665343765</c:v>
                </c:pt>
                <c:pt idx="56">
                  <c:v>25.464233134486438</c:v>
                </c:pt>
                <c:pt idx="57">
                  <c:v>24.649084194608445</c:v>
                </c:pt>
                <c:pt idx="58">
                  <c:v>23.831375251770481</c:v>
                </c:pt>
                <c:pt idx="59">
                  <c:v>23.009936399918992</c:v>
                </c:pt>
                <c:pt idx="60">
                  <c:v>22.184601120581448</c:v>
                </c:pt>
                <c:pt idx="61">
                  <c:v>21.354518163203942</c:v>
                </c:pt>
                <c:pt idx="62">
                  <c:v>20.518402730612596</c:v>
                </c:pt>
                <c:pt idx="63">
                  <c:v>19.676102151831202</c:v>
                </c:pt>
                <c:pt idx="64">
                  <c:v>18.825872126766491</c:v>
                </c:pt>
                <c:pt idx="65">
                  <c:v>17.966848129733513</c:v>
                </c:pt>
                <c:pt idx="66">
                  <c:v>17.097667961365257</c:v>
                </c:pt>
                <c:pt idx="67">
                  <c:v>16.217079834917524</c:v>
                </c:pt>
                <c:pt idx="68">
                  <c:v>15.323401076015752</c:v>
                </c:pt>
                <c:pt idx="69">
                  <c:v>14.41544668952462</c:v>
                </c:pt>
                <c:pt idx="70">
                  <c:v>13.491683000485999</c:v>
                </c:pt>
                <c:pt idx="71">
                  <c:v>12.551104416725385</c:v>
                </c:pt>
                <c:pt idx="72">
                  <c:v>11.592575891561793</c:v>
                </c:pt>
                <c:pt idx="73">
                  <c:v>10.61577225364864</c:v>
                </c:pt>
                <c:pt idx="74">
                  <c:v>9.6203619719667337</c:v>
                </c:pt>
                <c:pt idx="75">
                  <c:v>8.60698700484261</c:v>
                </c:pt>
                <c:pt idx="76">
                  <c:v>7.5765347807455328</c:v>
                </c:pt>
                <c:pt idx="77">
                  <c:v>6.5311154874989361</c:v>
                </c:pt>
                <c:pt idx="78">
                  <c:v>5.4730955138836554</c:v>
                </c:pt>
                <c:pt idx="79">
                  <c:v>4.4060655514913085</c:v>
                </c:pt>
                <c:pt idx="80">
                  <c:v>3.3315031415165581</c:v>
                </c:pt>
                <c:pt idx="81">
                  <c:v>2.254351671654875</c:v>
                </c:pt>
                <c:pt idx="82">
                  <c:v>1.1772635397435045</c:v>
                </c:pt>
                <c:pt idx="83">
                  <c:v>0.10408761690432572</c:v>
                </c:pt>
                <c:pt idx="84">
                  <c:v>-0.96343189036444687</c:v>
                </c:pt>
                <c:pt idx="85">
                  <c:v>-2.0228023544728138</c:v>
                </c:pt>
                <c:pt idx="86">
                  <c:v>-3.0730960719478349</c:v>
                </c:pt>
                <c:pt idx="87">
                  <c:v>-4.1146336994801107</c:v>
                </c:pt>
                <c:pt idx="88">
                  <c:v>-5.1470382601407971</c:v>
                </c:pt>
                <c:pt idx="89">
                  <c:v>-6.1725650979174667</c:v>
                </c:pt>
                <c:pt idx="90">
                  <c:v>-7.1929684372735725</c:v>
                </c:pt>
                <c:pt idx="91">
                  <c:v>-8.2110992821762334</c:v>
                </c:pt>
                <c:pt idx="92">
                  <c:v>-9.2300806142915963</c:v>
                </c:pt>
                <c:pt idx="93">
                  <c:v>-10.253855303674996</c:v>
                </c:pt>
                <c:pt idx="94">
                  <c:v>-10.510870326078155</c:v>
                </c:pt>
                <c:pt idx="95">
                  <c:v>-10.640394430208781</c:v>
                </c:pt>
                <c:pt idx="96">
                  <c:v>-10.768591642091184</c:v>
                </c:pt>
                <c:pt idx="97">
                  <c:v>-10.898424729971289</c:v>
                </c:pt>
                <c:pt idx="98">
                  <c:v>-11.026943265715335</c:v>
                </c:pt>
                <c:pt idx="99">
                  <c:v>-11.157149863338871</c:v>
                </c:pt>
                <c:pt idx="100">
                  <c:v>-11.286053290053914</c:v>
                </c:pt>
                <c:pt idx="101">
                  <c:v>-11.416597000032789</c:v>
                </c:pt>
                <c:pt idx="102">
                  <c:v>-11.5458499403122</c:v>
                </c:pt>
                <c:pt idx="103">
                  <c:v>-11.676888291542248</c:v>
                </c:pt>
                <c:pt idx="104">
                  <c:v>-11.806645450803162</c:v>
                </c:pt>
                <c:pt idx="105">
                  <c:v>-11.938138370672554</c:v>
                </c:pt>
                <c:pt idx="106">
                  <c:v>-12.068360713248206</c:v>
                </c:pt>
                <c:pt idx="107">
                  <c:v>-12.200271966933025</c:v>
                </c:pt>
                <c:pt idx="108">
                  <c:v>-12.33092413397392</c:v>
                </c:pt>
                <c:pt idx="109">
                  <c:v>-12.463310656039408</c:v>
                </c:pt>
                <c:pt idx="110">
                  <c:v>-12.594448630613659</c:v>
                </c:pt>
                <c:pt idx="111">
                  <c:v>-12.727451819451744</c:v>
                </c:pt>
                <c:pt idx="112">
                  <c:v>-12.859214479146061</c:v>
                </c:pt>
                <c:pt idx="113">
                  <c:v>-12.992793087007916</c:v>
                </c:pt>
                <c:pt idx="114">
                  <c:v>-13.125140058699689</c:v>
                </c:pt>
                <c:pt idx="115">
                  <c:v>-13.259341045046042</c:v>
                </c:pt>
                <c:pt idx="116">
                  <c:v>-13.392318483158727</c:v>
                </c:pt>
                <c:pt idx="117">
                  <c:v>-13.527185749144518</c:v>
                </c:pt>
                <c:pt idx="118">
                  <c:v>-13.660836787565561</c:v>
                </c:pt>
                <c:pt idx="119">
                  <c:v>-13.796329512398922</c:v>
                </c:pt>
                <c:pt idx="120">
                  <c:v>-13.930614042565912</c:v>
                </c:pt>
                <c:pt idx="121">
                  <c:v>-14.06677472889826</c:v>
                </c:pt>
                <c:pt idx="122">
                  <c:v>-14.201734429271454</c:v>
                </c:pt>
                <c:pt idx="123">
                  <c:v>-14.338681587206029</c:v>
                </c:pt>
                <c:pt idx="124">
                  <c:v>-14.474432810545927</c:v>
                </c:pt>
                <c:pt idx="125">
                  <c:v>-14.612121494984535</c:v>
                </c:pt>
                <c:pt idx="126">
                  <c:v>-14.748619974436641</c:v>
                </c:pt>
                <c:pt idx="127">
                  <c:v>-14.887084302336834</c:v>
                </c:pt>
                <c:pt idx="128">
                  <c:v>-15.024363418085327</c:v>
                </c:pt>
                <c:pt idx="129">
                  <c:v>-15.163634866335187</c:v>
                </c:pt>
                <c:pt idx="130">
                  <c:v>-15.301725383912117</c:v>
                </c:pt>
                <c:pt idx="131">
                  <c:v>-15.441832875371439</c:v>
                </c:pt>
                <c:pt idx="132">
                  <c:v>-15.511443336472489</c:v>
                </c:pt>
                <c:pt idx="133">
                  <c:v>-15.58076303018138</c:v>
                </c:pt>
                <c:pt idx="134">
                  <c:v>-15.651432988151532</c:v>
                </c:pt>
                <c:pt idx="135">
                  <c:v>-15.721805485687243</c:v>
                </c:pt>
                <c:pt idx="136">
                  <c:v>-15.791884100212057</c:v>
                </c:pt>
                <c:pt idx="137">
                  <c:v>-15.861672335771345</c:v>
                </c:pt>
                <c:pt idx="138">
                  <c:v>-15.932748264769058</c:v>
                </c:pt>
                <c:pt idx="139">
                  <c:v>-16.003527666350085</c:v>
                </c:pt>
                <c:pt idx="140">
                  <c:v>-16.074014063222897</c:v>
                </c:pt>
                <c:pt idx="141">
                  <c:v>-16.144210906167359</c:v>
                </c:pt>
                <c:pt idx="142">
                  <c:v>-16.215775950837234</c:v>
                </c:pt>
                <c:pt idx="143">
                  <c:v>-16.287044642041273</c:v>
                </c:pt>
                <c:pt idx="144">
                  <c:v>-16.358020460204997</c:v>
                </c:pt>
                <c:pt idx="145">
                  <c:v>-16.428706815008599</c:v>
                </c:pt>
                <c:pt idx="146">
                  <c:v>-16.500734442401459</c:v>
                </c:pt>
                <c:pt idx="147">
                  <c:v>-16.572466043864178</c:v>
                </c:pt>
                <c:pt idx="148">
                  <c:v>-16.643905053966851</c:v>
                </c:pt>
                <c:pt idx="149">
                  <c:v>-16.715054837889369</c:v>
                </c:pt>
                <c:pt idx="150">
                  <c:v>-16.787553807912097</c:v>
                </c:pt>
                <c:pt idx="151">
                  <c:v>-16.859756934848495</c:v>
                </c:pt>
                <c:pt idx="152">
                  <c:v>-16.931667609412923</c:v>
                </c:pt>
                <c:pt idx="153">
                  <c:v>-17.003289154309382</c:v>
                </c:pt>
                <c:pt idx="154">
                  <c:v>-17.076300684805901</c:v>
                </c:pt>
                <c:pt idx="155">
                  <c:v>-17.149016146563813</c:v>
                </c:pt>
                <c:pt idx="156">
                  <c:v>-17.221438893185553</c:v>
                </c:pt>
                <c:pt idx="157">
                  <c:v>-17.293572211546532</c:v>
                </c:pt>
                <c:pt idx="158">
                  <c:v>-17.367101379353148</c:v>
                </c:pt>
                <c:pt idx="159">
                  <c:v>-17.440334140561433</c:v>
                </c:pt>
                <c:pt idx="160">
                  <c:v>-17.513273813583719</c:v>
                </c:pt>
                <c:pt idx="161">
                  <c:v>-17.585923651425507</c:v>
                </c:pt>
                <c:pt idx="162">
                  <c:v>-17.659942169822529</c:v>
                </c:pt>
                <c:pt idx="163">
                  <c:v>-17.73366409787662</c:v>
                </c:pt>
                <c:pt idx="164">
                  <c:v>-17.807092716686178</c:v>
                </c:pt>
                <c:pt idx="165">
                  <c:v>-17.880231243408605</c:v>
                </c:pt>
                <c:pt idx="166">
                  <c:v>-17.954807838626095</c:v>
                </c:pt>
                <c:pt idx="167">
                  <c:v>-18.02908703870219</c:v>
                </c:pt>
                <c:pt idx="168">
                  <c:v>-18.103072098510758</c:v>
                </c:pt>
                <c:pt idx="169">
                  <c:v>-18.176766210258066</c:v>
                </c:pt>
                <c:pt idx="170">
                  <c:v>-18.251744615984723</c:v>
                </c:pt>
                <c:pt idx="171">
                  <c:v>-18.326425993021651</c:v>
                </c:pt>
                <c:pt idx="172">
                  <c:v>-18.400813552235032</c:v>
                </c:pt>
                <c:pt idx="173">
                  <c:v>-18.474910443644202</c:v>
                </c:pt>
                <c:pt idx="174">
                  <c:v>-18.550576807436368</c:v>
                </c:pt>
                <c:pt idx="175">
                  <c:v>-18.625944179514498</c:v>
                </c:pt>
                <c:pt idx="176">
                  <c:v>-18.701015766109901</c:v>
                </c:pt>
                <c:pt idx="177">
                  <c:v>-18.775794713537344</c:v>
                </c:pt>
                <c:pt idx="178">
                  <c:v>-18.85211219465446</c:v>
                </c:pt>
                <c:pt idx="179">
                  <c:v>-18.928128969135706</c:v>
                </c:pt>
                <c:pt idx="180">
                  <c:v>-19.003848236412512</c:v>
                </c:pt>
                <c:pt idx="181">
                  <c:v>-19.079273137103584</c:v>
                </c:pt>
                <c:pt idx="182">
                  <c:v>-19.155906476845061</c:v>
                </c:pt>
                <c:pt idx="183">
                  <c:v>-19.232239978191735</c:v>
                </c:pt>
                <c:pt idx="184">
                  <c:v>-19.308276795529146</c:v>
                </c:pt>
                <c:pt idx="185">
                  <c:v>-19.38402002656678</c:v>
                </c:pt>
                <c:pt idx="186">
                  <c:v>-19.461539895486688</c:v>
                </c:pt>
                <c:pt idx="187">
                  <c:v>-19.538756291521334</c:v>
                </c:pt>
                <c:pt idx="188">
                  <c:v>-19.615672398177782</c:v>
                </c:pt>
                <c:pt idx="189">
                  <c:v>-19.692291342768218</c:v>
                </c:pt>
                <c:pt idx="190">
                  <c:v>-19.770069939336341</c:v>
                </c:pt>
                <c:pt idx="191">
                  <c:v>-19.847546309931221</c:v>
                </c:pt>
                <c:pt idx="192">
                  <c:v>-19.924723594470212</c:v>
                </c:pt>
                <c:pt idx="193">
                  <c:v>-20.001604878978611</c:v>
                </c:pt>
                <c:pt idx="194">
                  <c:v>-20.080197216726493</c:v>
                </c:pt>
                <c:pt idx="195">
                  <c:v>-20.158484247969572</c:v>
                </c:pt>
                <c:pt idx="196">
                  <c:v>-20.236469140962789</c:v>
                </c:pt>
                <c:pt idx="197">
                  <c:v>-20.314155010843706</c:v>
                </c:pt>
                <c:pt idx="198">
                  <c:v>-20.393236302173207</c:v>
                </c:pt>
                <c:pt idx="199">
                  <c:v>-20.472011745376943</c:v>
                </c:pt>
                <c:pt idx="200">
                  <c:v>-20.550484502720106</c:v>
                </c:pt>
                <c:pt idx="201">
                  <c:v>-20.62865768503012</c:v>
                </c:pt>
                <c:pt idx="202">
                  <c:v>-20.708199916234328</c:v>
                </c:pt>
                <c:pt idx="203">
                  <c:v>-20.787435998931237</c:v>
                </c:pt>
                <c:pt idx="204">
                  <c:v>-20.866369091633679</c:v>
                </c:pt>
                <c:pt idx="205">
                  <c:v>-20.945002303162102</c:v>
                </c:pt>
                <c:pt idx="206">
                  <c:v>-21.025252322628734</c:v>
                </c:pt>
                <c:pt idx="207">
                  <c:v>-21.105194053745713</c:v>
                </c:pt>
                <c:pt idx="208">
                  <c:v>-21.184830686408951</c:v>
                </c:pt>
                <c:pt idx="209">
                  <c:v>-21.264165361973451</c:v>
                </c:pt>
                <c:pt idx="210">
                  <c:v>-21.345354986658531</c:v>
                </c:pt>
                <c:pt idx="211">
                  <c:v>-21.426232509801409</c:v>
                </c:pt>
                <c:pt idx="212">
                  <c:v>-21.506801186514718</c:v>
                </c:pt>
                <c:pt idx="213">
                  <c:v>-21.587064224032467</c:v>
                </c:pt>
                <c:pt idx="214">
                  <c:v>-21.668615627908071</c:v>
                </c:pt>
                <c:pt idx="215">
                  <c:v>-21.749855679444089</c:v>
                </c:pt>
                <c:pt idx="216">
                  <c:v>-21.830787636724306</c:v>
                </c:pt>
                <c:pt idx="217">
                  <c:v>-21.911414712005687</c:v>
                </c:pt>
                <c:pt idx="218">
                  <c:v>-21.993568102478346</c:v>
                </c:pt>
                <c:pt idx="219">
                  <c:v>-22.075409205651312</c:v>
                </c:pt>
                <c:pt idx="220">
                  <c:v>-22.156941318684886</c:v>
                </c:pt>
                <c:pt idx="221">
                  <c:v>-22.238167694438566</c:v>
                </c:pt>
                <c:pt idx="222">
                  <c:v>-22.320892154786879</c:v>
                </c:pt>
                <c:pt idx="223">
                  <c:v>-22.403303833248277</c:v>
                </c:pt>
                <c:pt idx="224">
                  <c:v>-22.485406070252122</c:v>
                </c:pt>
                <c:pt idx="225">
                  <c:v>-22.567202163566648</c:v>
                </c:pt>
                <c:pt idx="226">
                  <c:v>-22.650722512410624</c:v>
                </c:pt>
                <c:pt idx="227">
                  <c:v>-22.733928150920949</c:v>
                </c:pt>
                <c:pt idx="228">
                  <c:v>-22.816822498732133</c:v>
                </c:pt>
                <c:pt idx="229">
                  <c:v>-22.89940893407822</c:v>
                </c:pt>
                <c:pt idx="230">
                  <c:v>-23.067650653863172</c:v>
                </c:pt>
                <c:pt idx="231">
                  <c:v>-23.151300986072517</c:v>
                </c:pt>
                <c:pt idx="232">
                  <c:v>-23.2346422654226</c:v>
                </c:pt>
                <c:pt idx="233">
                  <c:v>-23.319645404353857</c:v>
                </c:pt>
                <c:pt idx="234">
                  <c:v>-23.40433186797268</c:v>
                </c:pt>
                <c:pt idx="235">
                  <c:v>-23.488705251491044</c:v>
                </c:pt>
                <c:pt idx="236">
                  <c:v>-23.572769111837921</c:v>
                </c:pt>
                <c:pt idx="237">
                  <c:v>-23.658223260731141</c:v>
                </c:pt>
                <c:pt idx="238">
                  <c:v>-23.743362563088056</c:v>
                </c:pt>
                <c:pt idx="239">
                  <c:v>-23.828190681889186</c:v>
                </c:pt>
                <c:pt idx="240">
                  <c:v>-23.912711244118846</c:v>
                </c:pt>
                <c:pt idx="241">
                  <c:v>-23.999077153654444</c:v>
                </c:pt>
                <c:pt idx="242">
                  <c:v>-24.085127194799561</c:v>
                </c:pt>
                <c:pt idx="243">
                  <c:v>-24.170865170321434</c:v>
                </c:pt>
                <c:pt idx="244">
                  <c:v>-24.256294848703419</c:v>
                </c:pt>
                <c:pt idx="245">
                  <c:v>-24.343302973538108</c:v>
                </c:pt>
                <c:pt idx="246">
                  <c:v>-24.42999684364958</c:v>
                </c:pt>
                <c:pt idx="247">
                  <c:v>-24.516380380992686</c:v>
                </c:pt>
                <c:pt idx="248">
                  <c:v>-24.602457475647952</c:v>
                </c:pt>
                <c:pt idx="249">
                  <c:v>-24.690320300699888</c:v>
                </c:pt>
                <c:pt idx="250">
                  <c:v>-24.777869719333111</c:v>
                </c:pt>
                <c:pt idx="251">
                  <c:v>-24.8651098177534</c:v>
                </c:pt>
                <c:pt idx="252">
                  <c:v>-24.952044652720442</c:v>
                </c:pt>
                <c:pt idx="253">
                  <c:v>-25.040508542292244</c:v>
                </c:pt>
                <c:pt idx="254">
                  <c:v>-25.128662572468691</c:v>
                </c:pt>
                <c:pt idx="255">
                  <c:v>-25.216510976666221</c:v>
                </c:pt>
                <c:pt idx="256">
                  <c:v>-25.304057962019311</c:v>
                </c:pt>
                <c:pt idx="257">
                  <c:v>-25.393564154349001</c:v>
                </c:pt>
                <c:pt idx="258">
                  <c:v>-25.48276199961759</c:v>
                </c:pt>
                <c:pt idx="259">
                  <c:v>-25.571655963251018</c:v>
                </c:pt>
                <c:pt idx="260">
                  <c:v>-25.660250487559935</c:v>
                </c:pt>
                <c:pt idx="261">
                  <c:v>-25.750553405979137</c:v>
                </c:pt>
                <c:pt idx="262">
                  <c:v>-25.840552450397322</c:v>
                </c:pt>
                <c:pt idx="263">
                  <c:v>-25.930252307331507</c:v>
                </c:pt>
                <c:pt idx="264">
                  <c:v>-26.019657644283093</c:v>
                </c:pt>
                <c:pt idx="265">
                  <c:v>-26.110750198134443</c:v>
                </c:pt>
                <c:pt idx="266">
                  <c:v>-26.201544805417278</c:v>
                </c:pt>
                <c:pt idx="267">
                  <c:v>-26.292046400066695</c:v>
                </c:pt>
                <c:pt idx="268">
                  <c:v>-26.382259901881767</c:v>
                </c:pt>
                <c:pt idx="269">
                  <c:v>-26.474358986172639</c:v>
                </c:pt>
                <c:pt idx="270">
                  <c:v>-26.566166298919789</c:v>
                </c:pt>
                <c:pt idx="271">
                  <c:v>-26.657687089672471</c:v>
                </c:pt>
                <c:pt idx="272">
                  <c:v>-26.748926599590611</c:v>
                </c:pt>
                <c:pt idx="273">
                  <c:v>-26.84203213848307</c:v>
                </c:pt>
                <c:pt idx="274">
                  <c:v>-26.934854064966114</c:v>
                </c:pt>
                <c:pt idx="275">
                  <c:v>-27.027397984205823</c:v>
                </c:pt>
                <c:pt idx="276">
                  <c:v>-27.119669500012883</c:v>
                </c:pt>
                <c:pt idx="277">
                  <c:v>-27.213579364979282</c:v>
                </c:pt>
                <c:pt idx="278">
                  <c:v>-27.307217213989116</c:v>
                </c:pt>
                <c:pt idx="279">
                  <c:v>-27.400589015200026</c:v>
                </c:pt>
                <c:pt idx="280">
                  <c:v>-27.493700743941979</c:v>
                </c:pt>
                <c:pt idx="281">
                  <c:v>-27.589070237781375</c:v>
                </c:pt>
                <c:pt idx="282">
                  <c:v>-27.684178189029481</c:v>
                </c:pt>
                <c:pt idx="283">
                  <c:v>-27.779031110115582</c:v>
                </c:pt>
                <c:pt idx="284">
                  <c:v>-27.873635531383488</c:v>
                </c:pt>
                <c:pt idx="285">
                  <c:v>-27.969862118444112</c:v>
                </c:pt>
                <c:pt idx="286">
                  <c:v>-28.065844062271555</c:v>
                </c:pt>
                <c:pt idx="287">
                  <c:v>-28.161588362602462</c:v>
                </c:pt>
                <c:pt idx="288">
                  <c:v>-28.257102049821338</c:v>
                </c:pt>
                <c:pt idx="289">
                  <c:v>-28.354853686035824</c:v>
                </c:pt>
                <c:pt idx="290">
                  <c:v>-28.452377727114985</c:v>
                </c:pt>
                <c:pt idx="291">
                  <c:v>-28.549681883151635</c:v>
                </c:pt>
                <c:pt idx="292">
                  <c:v>-28.646773911494282</c:v>
                </c:pt>
                <c:pt idx="293">
                  <c:v>-28.745898269080257</c:v>
                </c:pt>
                <c:pt idx="294">
                  <c:v>-28.844817175677345</c:v>
                </c:pt>
                <c:pt idx="295">
                  <c:v>-28.943539115638345</c:v>
                </c:pt>
                <c:pt idx="296">
                  <c:v>-29.042072640914576</c:v>
                </c:pt>
                <c:pt idx="297">
                  <c:v>-29.142645908713632</c:v>
                </c:pt>
                <c:pt idx="298">
                  <c:v>-29.243040475798274</c:v>
                </c:pt>
                <c:pt idx="299">
                  <c:v>-29.343265733793082</c:v>
                </c:pt>
                <c:pt idx="300">
                  <c:v>-29.443331167253714</c:v>
                </c:pt>
                <c:pt idx="301">
                  <c:v>-29.545451698331927</c:v>
                </c:pt>
                <c:pt idx="302">
                  <c:v>-29.647425620415255</c:v>
                </c:pt>
                <c:pt idx="303">
                  <c:v>-29.749263395082707</c:v>
                </c:pt>
                <c:pt idx="304">
                  <c:v>-29.850975608448522</c:v>
                </c:pt>
                <c:pt idx="305">
                  <c:v>-29.955166393740868</c:v>
                </c:pt>
                <c:pt idx="306">
                  <c:v>-30.059248102945496</c:v>
                </c:pt>
                <c:pt idx="307">
                  <c:v>-30.163232604086531</c:v>
                </c:pt>
                <c:pt idx="308">
                  <c:v>-30.26713193184408</c:v>
                </c:pt>
                <c:pt idx="309">
                  <c:v>-30.373145511752586</c:v>
                </c:pt>
                <c:pt idx="310">
                  <c:v>-30.479096214424185</c:v>
                </c:pt>
                <c:pt idx="311">
                  <c:v>-30.584997441298416</c:v>
                </c:pt>
                <c:pt idx="312">
                  <c:v>-30.690862810899525</c:v>
                </c:pt>
                <c:pt idx="313">
                  <c:v>-30.799287557150699</c:v>
                </c:pt>
                <c:pt idx="314">
                  <c:v>-30.907704347014882</c:v>
                </c:pt>
                <c:pt idx="315">
                  <c:v>-31.01612859448684</c:v>
                </c:pt>
                <c:pt idx="316">
                  <c:v>-31.124575998373771</c:v>
                </c:pt>
                <c:pt idx="317">
                  <c:v>-31.23564617873717</c:v>
                </c:pt>
                <c:pt idx="318">
                  <c:v>-31.346774902977472</c:v>
                </c:pt>
                <c:pt idx="319">
                  <c:v>-31.457980030594189</c:v>
                </c:pt>
                <c:pt idx="320">
                  <c:v>-31.569279792893894</c:v>
                </c:pt>
                <c:pt idx="321">
                  <c:v>-31.683285309012508</c:v>
                </c:pt>
                <c:pt idx="322">
                  <c:v>-31.7974297977022</c:v>
                </c:pt>
                <c:pt idx="323">
                  <c:v>-31.911734110536582</c:v>
                </c:pt>
                <c:pt idx="324">
                  <c:v>-32.026219583125695</c:v>
                </c:pt>
                <c:pt idx="325">
                  <c:v>-32.143517146063381</c:v>
                </c:pt>
                <c:pt idx="326">
                  <c:v>-32.26105097891179</c:v>
                </c:pt>
                <c:pt idx="327">
                  <c:v>-32.378845619411535</c:v>
                </c:pt>
                <c:pt idx="328">
                  <c:v>-32.496926234891575</c:v>
                </c:pt>
                <c:pt idx="329">
                  <c:v>-32.618156010969884</c:v>
                </c:pt>
                <c:pt idx="330">
                  <c:v>-32.739741162411619</c:v>
                </c:pt>
                <c:pt idx="331">
                  <c:v>-32.861710948734029</c:v>
                </c:pt>
                <c:pt idx="332">
                  <c:v>-32.984095454636694</c:v>
                </c:pt>
                <c:pt idx="333">
                  <c:v>-33.109596568257501</c:v>
                </c:pt>
                <c:pt idx="334">
                  <c:v>-33.23559688614187</c:v>
                </c:pt>
                <c:pt idx="335">
                  <c:v>-33.362131416516462</c:v>
                </c:pt>
                <c:pt idx="336">
                  <c:v>-33.489236244529749</c:v>
                </c:pt>
                <c:pt idx="337">
                  <c:v>-33.620086737348892</c:v>
                </c:pt>
                <c:pt idx="338">
                  <c:v>-33.751616192412811</c:v>
                </c:pt>
                <c:pt idx="339">
                  <c:v>-33.883867275240725</c:v>
                </c:pt>
                <c:pt idx="340">
                  <c:v>-34.016884081081272</c:v>
                </c:pt>
                <c:pt idx="341">
                  <c:v>-34.153924157905749</c:v>
                </c:pt>
                <c:pt idx="342">
                  <c:v>-34.29186549868276</c:v>
                </c:pt>
                <c:pt idx="343">
                  <c:v>-34.430760576293068</c:v>
                </c:pt>
                <c:pt idx="344">
                  <c:v>-34.57066377294786</c:v>
                </c:pt>
                <c:pt idx="345">
                  <c:v>-34.714717835404521</c:v>
                </c:pt>
                <c:pt idx="346">
                  <c:v>-34.859945785485735</c:v>
                </c:pt>
                <c:pt idx="347">
                  <c:v>-35.006412484825432</c:v>
                </c:pt>
                <c:pt idx="348">
                  <c:v>-35.154185349450188</c:v>
                </c:pt>
                <c:pt idx="349">
                  <c:v>-35.306990074486549</c:v>
                </c:pt>
                <c:pt idx="350">
                  <c:v>-35.461317498558884</c:v>
                </c:pt>
                <c:pt idx="351">
                  <c:v>-35.617249386210233</c:v>
                </c:pt>
                <c:pt idx="352">
                  <c:v>-35.774870998415992</c:v>
                </c:pt>
                <c:pt idx="353">
                  <c:v>-35.938088975957228</c:v>
                </c:pt>
                <c:pt idx="354">
                  <c:v>-36.103271089310589</c:v>
                </c:pt>
                <c:pt idx="355">
                  <c:v>-36.270521633895918</c:v>
                </c:pt>
                <c:pt idx="356">
                  <c:v>-36.439949758918893</c:v>
                </c:pt>
                <c:pt idx="357">
                  <c:v>-36.615440087829903</c:v>
                </c:pt>
                <c:pt idx="358">
                  <c:v>-36.793451233083843</c:v>
                </c:pt>
                <c:pt idx="359">
                  <c:v>-36.97411746123003</c:v>
                </c:pt>
                <c:pt idx="360">
                  <c:v>-37.157579862272712</c:v>
                </c:pt>
                <c:pt idx="361">
                  <c:v>-37.348532283505762</c:v>
                </c:pt>
                <c:pt idx="362">
                  <c:v>-37.542741351171742</c:v>
                </c:pt>
                <c:pt idx="363">
                  <c:v>-37.740384222414299</c:v>
                </c:pt>
                <c:pt idx="364">
                  <c:v>-37.941647993535376</c:v>
                </c:pt>
                <c:pt idx="365">
                  <c:v>-38.151332814382322</c:v>
                </c:pt>
                <c:pt idx="366">
                  <c:v>-38.365231786871384</c:v>
                </c:pt>
                <c:pt idx="367">
                  <c:v>-38.58358238766899</c:v>
                </c:pt>
                <c:pt idx="368">
                  <c:v>-38.806636952875138</c:v>
                </c:pt>
                <c:pt idx="369">
                  <c:v>-39.040305410290294</c:v>
                </c:pt>
                <c:pt idx="370">
                  <c:v>-39.27950052117771</c:v>
                </c:pt>
                <c:pt idx="371">
                  <c:v>-39.524551494572677</c:v>
                </c:pt>
                <c:pt idx="372">
                  <c:v>-39.775810944141206</c:v>
                </c:pt>
                <c:pt idx="373">
                  <c:v>-40.039549826355085</c:v>
                </c:pt>
                <c:pt idx="374">
                  <c:v>-40.310611540647201</c:v>
                </c:pt>
                <c:pt idx="375">
                  <c:v>-40.589466223453947</c:v>
                </c:pt>
                <c:pt idx="376">
                  <c:v>-40.876622703789529</c:v>
                </c:pt>
                <c:pt idx="377">
                  <c:v>-41.180044628622667</c:v>
                </c:pt>
                <c:pt idx="378">
                  <c:v>-41.493409670527079</c:v>
                </c:pt>
                <c:pt idx="379">
                  <c:v>-41.817425894652267</c:v>
                </c:pt>
                <c:pt idx="380">
                  <c:v>-42.152870682127173</c:v>
                </c:pt>
                <c:pt idx="381">
                  <c:v>-42.508225390586638</c:v>
                </c:pt>
                <c:pt idx="382">
                  <c:v>-42.877411773484212</c:v>
                </c:pt>
                <c:pt idx="383">
                  <c:v>-43.261556815838745</c:v>
                </c:pt>
                <c:pt idx="384">
                  <c:v>-43.661922225388359</c:v>
                </c:pt>
                <c:pt idx="385">
                  <c:v>-44.090525029057304</c:v>
                </c:pt>
                <c:pt idx="386">
                  <c:v>-44.53938783679601</c:v>
                </c:pt>
                <c:pt idx="387">
                  <c:v>-45.010492619775206</c:v>
                </c:pt>
                <c:pt idx="388">
                  <c:v>-45.506122277933159</c:v>
                </c:pt>
                <c:pt idx="389">
                  <c:v>-46.041281941602712</c:v>
                </c:pt>
                <c:pt idx="390">
                  <c:v>-46.608214224574951</c:v>
                </c:pt>
                <c:pt idx="391">
                  <c:v>-47.210878375479012</c:v>
                </c:pt>
                <c:pt idx="392">
                  <c:v>-47.854034277130204</c:v>
                </c:pt>
                <c:pt idx="393">
                  <c:v>-48.559548085107679</c:v>
                </c:pt>
                <c:pt idx="394">
                  <c:v>-49.321145410891347</c:v>
                </c:pt>
                <c:pt idx="395">
                  <c:v>-50.148549575945921</c:v>
                </c:pt>
                <c:pt idx="396">
                  <c:v>-51.054323952813697</c:v>
                </c:pt>
                <c:pt idx="397">
                  <c:v>-52.080765044820097</c:v>
                </c:pt>
                <c:pt idx="398">
                  <c:v>-53.231455060603842</c:v>
                </c:pt>
                <c:pt idx="399">
                  <c:v>-54.541513145005027</c:v>
                </c:pt>
                <c:pt idx="400">
                  <c:v>-56.063785862692875</c:v>
                </c:pt>
                <c:pt idx="401">
                  <c:v>-57.92876219013629</c:v>
                </c:pt>
                <c:pt idx="402">
                  <c:v>-60.266936710775177</c:v>
                </c:pt>
                <c:pt idx="403">
                  <c:v>-63.415813195948886</c:v>
                </c:pt>
                <c:pt idx="404">
                  <c:v>-68.293643163503148</c:v>
                </c:pt>
                <c:pt idx="405">
                  <c:v>-80.585961424811416</c:v>
                </c:pt>
                <c:pt idx="406">
                  <c:v>-74.319148642593433</c:v>
                </c:pt>
                <c:pt idx="407">
                  <c:v>-66.515272071503574</c:v>
                </c:pt>
                <c:pt idx="408">
                  <c:v>-62.541835058574918</c:v>
                </c:pt>
                <c:pt idx="409">
                  <c:v>-59.825250099541393</c:v>
                </c:pt>
                <c:pt idx="410">
                  <c:v>-57.804084482621647</c:v>
                </c:pt>
                <c:pt idx="411">
                  <c:v>-56.204146350804571</c:v>
                </c:pt>
                <c:pt idx="412">
                  <c:v>-54.887488688959884</c:v>
                </c:pt>
                <c:pt idx="413">
                  <c:v>-53.751016951535405</c:v>
                </c:pt>
                <c:pt idx="414">
                  <c:v>-52.775066221816651</c:v>
                </c:pt>
                <c:pt idx="415">
                  <c:v>-51.924331960066951</c:v>
                </c:pt>
                <c:pt idx="416">
                  <c:v>-51.174154702178782</c:v>
                </c:pt>
                <c:pt idx="417">
                  <c:v>-50.491690210716051</c:v>
                </c:pt>
                <c:pt idx="418">
                  <c:v>-49.881466201849946</c:v>
                </c:pt>
                <c:pt idx="419">
                  <c:v>-49.33247412927112</c:v>
                </c:pt>
                <c:pt idx="420">
                  <c:v>-48.836089782570873</c:v>
                </c:pt>
                <c:pt idx="421">
                  <c:v>-48.375921297403039</c:v>
                </c:pt>
                <c:pt idx="422">
                  <c:v>-47.957555467424491</c:v>
                </c:pt>
                <c:pt idx="423">
                  <c:v>-47.576092558669359</c:v>
                </c:pt>
                <c:pt idx="424">
                  <c:v>-47.227454263653705</c:v>
                </c:pt>
                <c:pt idx="425">
                  <c:v>-46.900694509501193</c:v>
                </c:pt>
                <c:pt idx="426">
                  <c:v>-46.601650345449848</c:v>
                </c:pt>
                <c:pt idx="427">
                  <c:v>-46.327632805647276</c:v>
                </c:pt>
                <c:pt idx="428">
                  <c:v>-46.076318791449694</c:v>
                </c:pt>
                <c:pt idx="429">
                  <c:v>-45.840597437094146</c:v>
                </c:pt>
                <c:pt idx="430">
                  <c:v>-45.624624837638649</c:v>
                </c:pt>
                <c:pt idx="431">
                  <c:v>-45.426730804202947</c:v>
                </c:pt>
                <c:pt idx="432">
                  <c:v>-45.245436200977693</c:v>
                </c:pt>
                <c:pt idx="433">
                  <c:v>-45.075849532343035</c:v>
                </c:pt>
                <c:pt idx="434">
                  <c:v>-44.920983806824275</c:v>
                </c:pt>
                <c:pt idx="435">
                  <c:v>-44.779710602283693</c:v>
                </c:pt>
                <c:pt idx="436">
                  <c:v>-44.651013980670029</c:v>
                </c:pt>
                <c:pt idx="437">
                  <c:v>-44.5313170736828</c:v>
                </c:pt>
                <c:pt idx="438">
                  <c:v>-44.422949986199455</c:v>
                </c:pt>
                <c:pt idx="439">
                  <c:v>-44.325103000715899</c:v>
                </c:pt>
                <c:pt idx="440">
                  <c:v>-44.237039397204725</c:v>
                </c:pt>
                <c:pt idx="441">
                  <c:v>-44.156349829795573</c:v>
                </c:pt>
                <c:pt idx="442">
                  <c:v>-44.084544189017834</c:v>
                </c:pt>
                <c:pt idx="443">
                  <c:v>-44.021021357136945</c:v>
                </c:pt>
                <c:pt idx="444">
                  <c:v>-43.96523084353398</c:v>
                </c:pt>
                <c:pt idx="445">
                  <c:v>-43.915641595391548</c:v>
                </c:pt>
                <c:pt idx="446">
                  <c:v>-43.873117201811986</c:v>
                </c:pt>
                <c:pt idx="447">
                  <c:v>-43.837202502767283</c:v>
                </c:pt>
                <c:pt idx="448">
                  <c:v>-43.80747918612294</c:v>
                </c:pt>
                <c:pt idx="449">
                  <c:v>-43.783056928226031</c:v>
                </c:pt>
                <c:pt idx="450">
                  <c:v>-43.764343278214248</c:v>
                </c:pt>
                <c:pt idx="451">
                  <c:v>-43.750988768648973</c:v>
                </c:pt>
                <c:pt idx="452">
                  <c:v>-43.742671889475105</c:v>
                </c:pt>
                <c:pt idx="453">
                  <c:v>-43.739068574575917</c:v>
                </c:pt>
                <c:pt idx="454">
                  <c:v>-43.74013275353888</c:v>
                </c:pt>
                <c:pt idx="455">
                  <c:v>-43.745597012225545</c:v>
                </c:pt>
                <c:pt idx="456">
                  <c:v>-43.755215658316843</c:v>
                </c:pt>
                <c:pt idx="457">
                  <c:v>-43.76913052356273</c:v>
                </c:pt>
                <c:pt idx="458">
                  <c:v>-43.786940847783001</c:v>
                </c:pt>
                <c:pt idx="459">
                  <c:v>-43.80844340451371</c:v>
                </c:pt>
                <c:pt idx="460">
                  <c:v>-43.833452391148185</c:v>
                </c:pt>
                <c:pt idx="461">
                  <c:v>-43.862493595583246</c:v>
                </c:pt>
                <c:pt idx="462">
                  <c:v>-43.894862801837988</c:v>
                </c:pt>
                <c:pt idx="463">
                  <c:v>-43.93041003968456</c:v>
                </c:pt>
                <c:pt idx="464">
                  <c:v>-43.968999735383854</c:v>
                </c:pt>
                <c:pt idx="465">
                  <c:v>-44.011516823794778</c:v>
                </c:pt>
                <c:pt idx="466">
                  <c:v>-44.056975749870844</c:v>
                </c:pt>
                <c:pt idx="467">
                  <c:v>-44.105272553884028</c:v>
                </c:pt>
                <c:pt idx="468">
                  <c:v>-44.156315708286812</c:v>
                </c:pt>
                <c:pt idx="469">
                  <c:v>-44.21128616684706</c:v>
                </c:pt>
                <c:pt idx="470">
                  <c:v>-44.268973728812462</c:v>
                </c:pt>
                <c:pt idx="471">
                  <c:v>-44.329317109312498</c:v>
                </c:pt>
                <c:pt idx="472">
                  <c:v>-44.392266415594285</c:v>
                </c:pt>
                <c:pt idx="473">
                  <c:v>-44.459378486243224</c:v>
                </c:pt>
                <c:pt idx="474">
                  <c:v>-44.529151688660569</c:v>
                </c:pt>
                <c:pt idx="475">
                  <c:v>-44.601567535941165</c:v>
                </c:pt>
                <c:pt idx="476">
                  <c:v>-44.676618933756316</c:v>
                </c:pt>
                <c:pt idx="477">
                  <c:v>-44.756153731389851</c:v>
                </c:pt>
                <c:pt idx="478">
                  <c:v>-44.838469644742119</c:v>
                </c:pt>
                <c:pt idx="479">
                  <c:v>-44.923595851949038</c:v>
                </c:pt>
                <c:pt idx="480">
                  <c:v>-45.011574121381827</c:v>
                </c:pt>
                <c:pt idx="481">
                  <c:v>-45.104564888740704</c:v>
                </c:pt>
                <c:pt idx="482">
                  <c:v>-45.200669039785559</c:v>
                </c:pt>
                <c:pt idx="483">
                  <c:v>-45.299974115852322</c:v>
                </c:pt>
                <c:pt idx="484">
                  <c:v>-45.402583125588343</c:v>
                </c:pt>
                <c:pt idx="485">
                  <c:v>-45.511093207165544</c:v>
                </c:pt>
                <c:pt idx="486">
                  <c:v>-45.623331639914809</c:v>
                </c:pt>
                <c:pt idx="487">
                  <c:v>-45.739464176568731</c:v>
                </c:pt>
                <c:pt idx="488">
                  <c:v>-45.859677562195884</c:v>
                </c:pt>
                <c:pt idx="489">
                  <c:v>-45.987201566401311</c:v>
                </c:pt>
                <c:pt idx="490">
                  <c:v>-46.119473280171633</c:v>
                </c:pt>
                <c:pt idx="491">
                  <c:v>-46.256772029791236</c:v>
                </c:pt>
                <c:pt idx="492">
                  <c:v>-46.399408188183465</c:v>
                </c:pt>
                <c:pt idx="493">
                  <c:v>-46.551248108907274</c:v>
                </c:pt>
                <c:pt idx="494">
                  <c:v>-46.709446139037787</c:v>
                </c:pt>
                <c:pt idx="495">
                  <c:v>-46.8744556494878</c:v>
                </c:pt>
                <c:pt idx="496">
                  <c:v>-47.046779097029599</c:v>
                </c:pt>
                <c:pt idx="497">
                  <c:v>-47.231287382333072</c:v>
                </c:pt>
                <c:pt idx="498">
                  <c:v>-47.424701385456586</c:v>
                </c:pt>
                <c:pt idx="499">
                  <c:v>-47.627757233453082</c:v>
                </c:pt>
                <c:pt idx="500">
                  <c:v>-47.841273901156356</c:v>
                </c:pt>
                <c:pt idx="501">
                  <c:v>-48.071591500855874</c:v>
                </c:pt>
                <c:pt idx="502">
                  <c:v>-48.31491581056472</c:v>
                </c:pt>
                <c:pt idx="503">
                  <c:v>-48.572471239795632</c:v>
                </c:pt>
                <c:pt idx="504">
                  <c:v>-48.845633177669171</c:v>
                </c:pt>
                <c:pt idx="505">
                  <c:v>-49.142829432974509</c:v>
                </c:pt>
                <c:pt idx="506">
                  <c:v>-49.45985631240486</c:v>
                </c:pt>
                <c:pt idx="507">
                  <c:v>-49.798850389798815</c:v>
                </c:pt>
                <c:pt idx="508">
                  <c:v>-50.162254976617824</c:v>
                </c:pt>
                <c:pt idx="509">
                  <c:v>-50.562227450516119</c:v>
                </c:pt>
                <c:pt idx="510">
                  <c:v>-50.994181141714762</c:v>
                </c:pt>
                <c:pt idx="511">
                  <c:v>-51.462203657967265</c:v>
                </c:pt>
                <c:pt idx="512">
                  <c:v>-51.971129204431634</c:v>
                </c:pt>
                <c:pt idx="513">
                  <c:v>-52.540535808579421</c:v>
                </c:pt>
                <c:pt idx="514">
                  <c:v>-53.166416810867638</c:v>
                </c:pt>
                <c:pt idx="515">
                  <c:v>-53.85811679627917</c:v>
                </c:pt>
                <c:pt idx="516">
                  <c:v>-54.627446298984466</c:v>
                </c:pt>
                <c:pt idx="517">
                  <c:v>-55.510917382065557</c:v>
                </c:pt>
                <c:pt idx="518">
                  <c:v>-56.513599936359221</c:v>
                </c:pt>
                <c:pt idx="519">
                  <c:v>-57.666017539630602</c:v>
                </c:pt>
                <c:pt idx="520">
                  <c:v>-59.01271202139381</c:v>
                </c:pt>
                <c:pt idx="521">
                  <c:v>-60.664008306226897</c:v>
                </c:pt>
                <c:pt idx="522">
                  <c:v>-62.716756400887846</c:v>
                </c:pt>
                <c:pt idx="523">
                  <c:v>-65.413534611766934</c:v>
                </c:pt>
                <c:pt idx="524">
                  <c:v>-69.329986792483083</c:v>
                </c:pt>
                <c:pt idx="525">
                  <c:v>-76.833677419148202</c:v>
                </c:pt>
                <c:pt idx="526">
                  <c:v>-85.823846625003881</c:v>
                </c:pt>
                <c:pt idx="527">
                  <c:v>-72.292025178508041</c:v>
                </c:pt>
                <c:pt idx="528">
                  <c:v>-67.323643985121194</c:v>
                </c:pt>
                <c:pt idx="529">
                  <c:v>-64.196043245132572</c:v>
                </c:pt>
                <c:pt idx="530">
                  <c:v>-61.968027457258486</c:v>
                </c:pt>
                <c:pt idx="531">
                  <c:v>-60.257533316691209</c:v>
                </c:pt>
                <c:pt idx="532">
                  <c:v>-58.885808412772036</c:v>
                </c:pt>
                <c:pt idx="533">
                  <c:v>-57.729913468578459</c:v>
                </c:pt>
                <c:pt idx="534">
                  <c:v>-56.761710734057658</c:v>
                </c:pt>
                <c:pt idx="535">
                  <c:v>-55.939148773343128</c:v>
                </c:pt>
                <c:pt idx="536">
                  <c:v>-55.233105865113686</c:v>
                </c:pt>
                <c:pt idx="537">
                  <c:v>-54.609593312681625</c:v>
                </c:pt>
                <c:pt idx="538">
                  <c:v>-54.068988629415344</c:v>
                </c:pt>
                <c:pt idx="539">
                  <c:v>-53.598281246074805</c:v>
                </c:pt>
                <c:pt idx="540">
                  <c:v>-53.187211098987426</c:v>
                </c:pt>
                <c:pt idx="541">
                  <c:v>-52.819557729349611</c:v>
                </c:pt>
                <c:pt idx="542">
                  <c:v>-52.498522946653139</c:v>
                </c:pt>
                <c:pt idx="543">
                  <c:v>-52.218131432758277</c:v>
                </c:pt>
                <c:pt idx="544">
                  <c:v>-51.973389444966919</c:v>
                </c:pt>
                <c:pt idx="545">
                  <c:v>-51.755485338692452</c:v>
                </c:pt>
                <c:pt idx="546">
                  <c:v>-51.566661903239996</c:v>
                </c:pt>
                <c:pt idx="547">
                  <c:v>-51.403652007556609</c:v>
                </c:pt>
                <c:pt idx="548">
                  <c:v>-51.263654663444818</c:v>
                </c:pt>
                <c:pt idx="549">
                  <c:v>-51.141724147352427</c:v>
                </c:pt>
                <c:pt idx="550">
                  <c:v>-51.039131951089949</c:v>
                </c:pt>
                <c:pt idx="551">
                  <c:v>-50.953955368619901</c:v>
                </c:pt>
                <c:pt idx="552">
                  <c:v>-50.88453205469537</c:v>
                </c:pt>
                <c:pt idx="553">
                  <c:v>-50.828288265643799</c:v>
                </c:pt>
                <c:pt idx="554">
                  <c:v>-50.785709507277154</c:v>
                </c:pt>
                <c:pt idx="555">
                  <c:v>-50.755648144266374</c:v>
                </c:pt>
                <c:pt idx="556">
                  <c:v>-50.73711823002651</c:v>
                </c:pt>
                <c:pt idx="557">
                  <c:v>-50.73173952883068</c:v>
                </c:pt>
                <c:pt idx="558">
                  <c:v>-50.76561409513468</c:v>
                </c:pt>
                <c:pt idx="559">
                  <c:v>-50.836862404977396</c:v>
                </c:pt>
                <c:pt idx="560">
                  <c:v>-50.942661750194134</c:v>
                </c:pt>
                <c:pt idx="561">
                  <c:v>-51.085713699089595</c:v>
                </c:pt>
                <c:pt idx="562">
                  <c:v>-51.264353287616359</c:v>
                </c:pt>
                <c:pt idx="563">
                  <c:v>-51.485654929244816</c:v>
                </c:pt>
                <c:pt idx="564">
                  <c:v>-51.750161557196073</c:v>
                </c:pt>
                <c:pt idx="565">
                  <c:v>-52.072673371475979</c:v>
                </c:pt>
                <c:pt idx="566">
                  <c:v>-52.456741574628026</c:v>
                </c:pt>
                <c:pt idx="567">
                  <c:v>-52.928326290171874</c:v>
                </c:pt>
                <c:pt idx="568">
                  <c:v>-53.499246745685511</c:v>
                </c:pt>
                <c:pt idx="569">
                  <c:v>-54.213856751513198</c:v>
                </c:pt>
                <c:pt idx="570">
                  <c:v>-55.105764612362492</c:v>
                </c:pt>
                <c:pt idx="571">
                  <c:v>-56.275620850956798</c:v>
                </c:pt>
                <c:pt idx="572">
                  <c:v>-57.813256065123866</c:v>
                </c:pt>
                <c:pt idx="573">
                  <c:v>-59.960060616513651</c:v>
                </c:pt>
                <c:pt idx="574">
                  <c:v>-63.114984409416657</c:v>
                </c:pt>
                <c:pt idx="575">
                  <c:v>-68.69920321516787</c:v>
                </c:pt>
                <c:pt idx="576">
                  <c:v>-90.362711050889175</c:v>
                </c:pt>
                <c:pt idx="577">
                  <c:v>-58.682564704038079</c:v>
                </c:pt>
                <c:pt idx="578">
                  <c:v>-55.280501483775865</c:v>
                </c:pt>
                <c:pt idx="579">
                  <c:v>-55.323539634495205</c:v>
                </c:pt>
                <c:pt idx="580">
                  <c:v>-69.48703500831671</c:v>
                </c:pt>
                <c:pt idx="581">
                  <c:v>-57.80408690636505</c:v>
                </c:pt>
                <c:pt idx="582">
                  <c:v>-59.907292558121966</c:v>
                </c:pt>
                <c:pt idx="583">
                  <c:v>-61.8642124976272</c:v>
                </c:pt>
                <c:pt idx="584">
                  <c:v>-61.33895703453728</c:v>
                </c:pt>
                <c:pt idx="585">
                  <c:v>-62.802310759650119</c:v>
                </c:pt>
                <c:pt idx="586">
                  <c:v>-67.718077958485679</c:v>
                </c:pt>
                <c:pt idx="587">
                  <c:v>-63.342848776809561</c:v>
                </c:pt>
                <c:pt idx="588">
                  <c:v>-66.121613404589056</c:v>
                </c:pt>
                <c:pt idx="589">
                  <c:v>-78.731753911491694</c:v>
                </c:pt>
                <c:pt idx="590">
                  <c:v>-76.356721246048025</c:v>
                </c:pt>
                <c:pt idx="591">
                  <c:v>-74.030954636146362</c:v>
                </c:pt>
                <c:pt idx="592">
                  <c:v>-79.352939441261881</c:v>
                </c:pt>
                <c:pt idx="593">
                  <c:v>-79.148530710469046</c:v>
                </c:pt>
                <c:pt idx="594">
                  <c:v>-71.587824624095362</c:v>
                </c:pt>
                <c:pt idx="595">
                  <c:v>-73.500224574870259</c:v>
                </c:pt>
                <c:pt idx="596">
                  <c:v>-75.052639959884573</c:v>
                </c:pt>
                <c:pt idx="597">
                  <c:v>-82.594934126626242</c:v>
                </c:pt>
                <c:pt idx="598">
                  <c:v>-76.770031353006644</c:v>
                </c:pt>
                <c:pt idx="599">
                  <c:v>-77.802559460985975</c:v>
                </c:pt>
                <c:pt idx="600">
                  <c:v>-87.401418061308647</c:v>
                </c:pt>
              </c:numCache>
            </c:numRef>
          </c:yVal>
          <c:smooth val="1"/>
          <c:extLst>
            <c:ext xmlns:c16="http://schemas.microsoft.com/office/drawing/2014/chart" uri="{C3380CC4-5D6E-409C-BE32-E72D297353CC}">
              <c16:uniqueId val="{00000000-09BC-4E96-93F9-6DC345568360}"/>
            </c:ext>
          </c:extLst>
        </c:ser>
        <c:dLbls>
          <c:dLblPos val="r"/>
          <c:showLegendKey val="0"/>
          <c:showVal val="1"/>
          <c:showCatName val="1"/>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dLbls>
            <c:delete val="1"/>
          </c:dLbls>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90.609119007707136</c:v>
                </c:pt>
                <c:pt idx="1">
                  <c:v>90.549588447839568</c:v>
                </c:pt>
                <c:pt idx="2">
                  <c:v>90.494729820660567</c:v>
                </c:pt>
                <c:pt idx="3">
                  <c:v>90.444074223222245</c:v>
                </c:pt>
                <c:pt idx="4">
                  <c:v>90.397219008400711</c:v>
                </c:pt>
                <c:pt idx="5">
                  <c:v>90.353688805028781</c:v>
                </c:pt>
                <c:pt idx="6">
                  <c:v>90.313178239463923</c:v>
                </c:pt>
                <c:pt idx="7">
                  <c:v>90.275315347962533</c:v>
                </c:pt>
                <c:pt idx="8">
                  <c:v>90.23980533911255</c:v>
                </c:pt>
                <c:pt idx="9">
                  <c:v>90.206319053241572</c:v>
                </c:pt>
                <c:pt idx="10">
                  <c:v>90.174591593333162</c:v>
                </c:pt>
                <c:pt idx="11">
                  <c:v>90.144348147476606</c:v>
                </c:pt>
                <c:pt idx="12">
                  <c:v>90.115316521235343</c:v>
                </c:pt>
                <c:pt idx="13">
                  <c:v>90.087278075140802</c:v>
                </c:pt>
                <c:pt idx="14">
                  <c:v>90.059971956271355</c:v>
                </c:pt>
                <c:pt idx="15">
                  <c:v>90.033177059209521</c:v>
                </c:pt>
                <c:pt idx="16">
                  <c:v>90.006663636400887</c:v>
                </c:pt>
                <c:pt idx="17">
                  <c:v>89.980210332646863</c:v>
                </c:pt>
                <c:pt idx="18">
                  <c:v>89.953584842413008</c:v>
                </c:pt>
                <c:pt idx="19">
                  <c:v>89.926568281972052</c:v>
                </c:pt>
                <c:pt idx="20">
                  <c:v>89.898925872360607</c:v>
                </c:pt>
                <c:pt idx="21">
                  <c:v>89.870428611068576</c:v>
                </c:pt>
                <c:pt idx="22">
                  <c:v>89.840828447146947</c:v>
                </c:pt>
                <c:pt idx="23">
                  <c:v>89.809881514994927</c:v>
                </c:pt>
                <c:pt idx="24">
                  <c:v>89.777317252671338</c:v>
                </c:pt>
                <c:pt idx="25">
                  <c:v>89.74286410312807</c:v>
                </c:pt>
                <c:pt idx="26">
                  <c:v>89.706221057377761</c:v>
                </c:pt>
                <c:pt idx="27">
                  <c:v>89.667088531688179</c:v>
                </c:pt>
                <c:pt idx="28">
                  <c:v>89.625133707480614</c:v>
                </c:pt>
                <c:pt idx="29">
                  <c:v>89.580030510887951</c:v>
                </c:pt>
                <c:pt idx="30">
                  <c:v>89.531318551174849</c:v>
                </c:pt>
                <c:pt idx="31">
                  <c:v>89.47865003559005</c:v>
                </c:pt>
                <c:pt idx="32">
                  <c:v>89.421543579321749</c:v>
                </c:pt>
                <c:pt idx="33">
                  <c:v>89.35955764972887</c:v>
                </c:pt>
                <c:pt idx="34">
                  <c:v>89.29212054972308</c:v>
                </c:pt>
                <c:pt idx="35">
                  <c:v>89.218699388326428</c:v>
                </c:pt>
                <c:pt idx="36">
                  <c:v>89.13866568531607</c:v>
                </c:pt>
                <c:pt idx="37">
                  <c:v>89.051296899981935</c:v>
                </c:pt>
                <c:pt idx="38">
                  <c:v>88.955940737352975</c:v>
                </c:pt>
                <c:pt idx="39">
                  <c:v>88.851720018742995</c:v>
                </c:pt>
                <c:pt idx="40">
                  <c:v>88.737795649406138</c:v>
                </c:pt>
                <c:pt idx="41">
                  <c:v>88.613203675764666</c:v>
                </c:pt>
                <c:pt idx="42">
                  <c:v>88.476921502539781</c:v>
                </c:pt>
                <c:pt idx="43">
                  <c:v>88.327772057371533</c:v>
                </c:pt>
                <c:pt idx="44">
                  <c:v>88.164554869066336</c:v>
                </c:pt>
                <c:pt idx="45">
                  <c:v>87.985886791815958</c:v>
                </c:pt>
                <c:pt idx="46">
                  <c:v>87.790333952083557</c:v>
                </c:pt>
                <c:pt idx="47">
                  <c:v>87.576254781977028</c:v>
                </c:pt>
                <c:pt idx="48">
                  <c:v>87.341965697644966</c:v>
                </c:pt>
                <c:pt idx="49">
                  <c:v>87.085523382140778</c:v>
                </c:pt>
                <c:pt idx="50">
                  <c:v>86.804925731829883</c:v>
                </c:pt>
                <c:pt idx="51">
                  <c:v>86.497899758830414</c:v>
                </c:pt>
                <c:pt idx="52">
                  <c:v>86.162171346600658</c:v>
                </c:pt>
                <c:pt idx="53">
                  <c:v>85.795197923373351</c:v>
                </c:pt>
                <c:pt idx="54">
                  <c:v>85.394541042804661</c:v>
                </c:pt>
                <c:pt idx="55">
                  <c:v>84.956639903071235</c:v>
                </c:pt>
                <c:pt idx="56">
                  <c:v>84.479057170565241</c:v>
                </c:pt>
                <c:pt idx="57">
                  <c:v>83.95833212783495</c:v>
                </c:pt>
                <c:pt idx="58">
                  <c:v>83.391612566550734</c:v>
                </c:pt>
                <c:pt idx="59">
                  <c:v>82.775192432591012</c:v>
                </c:pt>
                <c:pt idx="60">
                  <c:v>82.106163578926825</c:v>
                </c:pt>
                <c:pt idx="61">
                  <c:v>81.381321763454054</c:v>
                </c:pt>
                <c:pt idx="62">
                  <c:v>80.597357281948248</c:v>
                </c:pt>
                <c:pt idx="63">
                  <c:v>79.752526775874358</c:v>
                </c:pt>
                <c:pt idx="64">
                  <c:v>78.844252170659786</c:v>
                </c:pt>
                <c:pt idx="65">
                  <c:v>77.871740740332186</c:v>
                </c:pt>
                <c:pt idx="66">
                  <c:v>76.834854653348671</c:v>
                </c:pt>
                <c:pt idx="67">
                  <c:v>75.735018025595508</c:v>
                </c:pt>
                <c:pt idx="68">
                  <c:v>74.574787680718657</c:v>
                </c:pt>
                <c:pt idx="69">
                  <c:v>73.359226372435046</c:v>
                </c:pt>
                <c:pt idx="70">
                  <c:v>72.094934181938214</c:v>
                </c:pt>
                <c:pt idx="71">
                  <c:v>70.791200054208304</c:v>
                </c:pt>
                <c:pt idx="72">
                  <c:v>69.458917292732949</c:v>
                </c:pt>
                <c:pt idx="73">
                  <c:v>68.111470721792955</c:v>
                </c:pt>
                <c:pt idx="74">
                  <c:v>66.76295627285154</c:v>
                </c:pt>
                <c:pt idx="75">
                  <c:v>65.428639313665514</c:v>
                </c:pt>
                <c:pt idx="76">
                  <c:v>64.122885593171489</c:v>
                </c:pt>
                <c:pt idx="77">
                  <c:v>62.859207125340717</c:v>
                </c:pt>
                <c:pt idx="78">
                  <c:v>61.647784282383327</c:v>
                </c:pt>
                <c:pt idx="79">
                  <c:v>60.495478326218446</c:v>
                </c:pt>
                <c:pt idx="80">
                  <c:v>59.40146218883504</c:v>
                </c:pt>
                <c:pt idx="81">
                  <c:v>58.362642380009248</c:v>
                </c:pt>
                <c:pt idx="82">
                  <c:v>57.367584481147972</c:v>
                </c:pt>
                <c:pt idx="83">
                  <c:v>56.400427709399963</c:v>
                </c:pt>
                <c:pt idx="84">
                  <c:v>55.438635652531403</c:v>
                </c:pt>
                <c:pt idx="85">
                  <c:v>54.456734462291621</c:v>
                </c:pt>
                <c:pt idx="86">
                  <c:v>53.425558389926181</c:v>
                </c:pt>
                <c:pt idx="87">
                  <c:v>52.313782281238758</c:v>
                </c:pt>
                <c:pt idx="88">
                  <c:v>51.091338377816783</c:v>
                </c:pt>
                <c:pt idx="89">
                  <c:v>49.726882701739754</c:v>
                </c:pt>
                <c:pt idx="90">
                  <c:v>48.192200489802588</c:v>
                </c:pt>
                <c:pt idx="91">
                  <c:v>46.46093595609824</c:v>
                </c:pt>
                <c:pt idx="92">
                  <c:v>44.510088821387342</c:v>
                </c:pt>
                <c:pt idx="93">
                  <c:v>42.319078478153017</c:v>
                </c:pt>
                <c:pt idx="94">
                  <c:v>41.73207313199535</c:v>
                </c:pt>
                <c:pt idx="95">
                  <c:v>41.430620697883853</c:v>
                </c:pt>
                <c:pt idx="96">
                  <c:v>41.128548257028882</c:v>
                </c:pt>
                <c:pt idx="97">
                  <c:v>40.818867802384545</c:v>
                </c:pt>
                <c:pt idx="98">
                  <c:v>40.508611145094108</c:v>
                </c:pt>
                <c:pt idx="99">
                  <c:v>40.190523671015626</c:v>
                </c:pt>
                <c:pt idx="100">
                  <c:v>39.871907966135495</c:v>
                </c:pt>
                <c:pt idx="101">
                  <c:v>39.545487698541365</c:v>
                </c:pt>
                <c:pt idx="102">
                  <c:v>39.218592020654512</c:v>
                </c:pt>
                <c:pt idx="103">
                  <c:v>38.883436728876632</c:v>
                </c:pt>
                <c:pt idx="104">
                  <c:v>38.547862165535662</c:v>
                </c:pt>
                <c:pt idx="105">
                  <c:v>38.204066928489965</c:v>
                </c:pt>
                <c:pt idx="106">
                  <c:v>37.859913168314876</c:v>
                </c:pt>
                <c:pt idx="107">
                  <c:v>37.507585298641231</c:v>
                </c:pt>
                <c:pt idx="108">
                  <c:v>37.154963860690884</c:v>
                </c:pt>
                <c:pt idx="109">
                  <c:v>36.793976313461769</c:v>
                </c:pt>
                <c:pt idx="110">
                  <c:v>36.432763656230463</c:v>
                </c:pt>
                <c:pt idx="111">
                  <c:v>36.062752945287286</c:v>
                </c:pt>
                <c:pt idx="112">
                  <c:v>35.692588829126805</c:v>
                </c:pt>
                <c:pt idx="113">
                  <c:v>35.313693111867451</c:v>
                </c:pt>
                <c:pt idx="114">
                  <c:v>34.934719350949564</c:v>
                </c:pt>
                <c:pt idx="115">
                  <c:v>34.546841172517361</c:v>
                </c:pt>
                <c:pt idx="116">
                  <c:v>34.158963514605801</c:v>
                </c:pt>
                <c:pt idx="117">
                  <c:v>33.762015330228792</c:v>
                </c:pt>
                <c:pt idx="118">
                  <c:v>33.365149290895403</c:v>
                </c:pt>
                <c:pt idx="119">
                  <c:v>32.959299516563078</c:v>
                </c:pt>
                <c:pt idx="120">
                  <c:v>32.553616180772053</c:v>
                </c:pt>
                <c:pt idx="121">
                  <c:v>32.138796182761354</c:v>
                </c:pt>
                <c:pt idx="122">
                  <c:v>31.724229380223846</c:v>
                </c:pt>
                <c:pt idx="123">
                  <c:v>31.300134116839274</c:v>
                </c:pt>
                <c:pt idx="124">
                  <c:v>30.876381483170604</c:v>
                </c:pt>
                <c:pt idx="125">
                  <c:v>30.443206632025522</c:v>
                </c:pt>
                <c:pt idx="126">
                  <c:v>30.010465591383706</c:v>
                </c:pt>
                <c:pt idx="127">
                  <c:v>29.568169310949912</c:v>
                </c:pt>
                <c:pt idx="128">
                  <c:v>29.126399791750828</c:v>
                </c:pt>
                <c:pt idx="129">
                  <c:v>28.674948475209675</c:v>
                </c:pt>
                <c:pt idx="130">
                  <c:v>28.224118361473018</c:v>
                </c:pt>
                <c:pt idx="131">
                  <c:v>27.763486219799631</c:v>
                </c:pt>
                <c:pt idx="132">
                  <c:v>27.533437001955463</c:v>
                </c:pt>
                <c:pt idx="133">
                  <c:v>27.303570909127586</c:v>
                </c:pt>
                <c:pt idx="134">
                  <c:v>27.068434124766412</c:v>
                </c:pt>
                <c:pt idx="135">
                  <c:v>26.833497131947325</c:v>
                </c:pt>
                <c:pt idx="136">
                  <c:v>26.598763713486989</c:v>
                </c:pt>
                <c:pt idx="137">
                  <c:v>26.364237526652971</c:v>
                </c:pt>
                <c:pt idx="138">
                  <c:v>26.124604724768261</c:v>
                </c:pt>
                <c:pt idx="139">
                  <c:v>25.885196017284557</c:v>
                </c:pt>
                <c:pt idx="140">
                  <c:v>25.646014925006625</c:v>
                </c:pt>
                <c:pt idx="141">
                  <c:v>25.407064842187424</c:v>
                </c:pt>
                <c:pt idx="142">
                  <c:v>25.162691140540318</c:v>
                </c:pt>
                <c:pt idx="143">
                  <c:v>24.918566337869606</c:v>
                </c:pt>
                <c:pt idx="144">
                  <c:v>24.67469368054401</c:v>
                </c:pt>
                <c:pt idx="145">
                  <c:v>24.43107628727401</c:v>
                </c:pt>
                <c:pt idx="146">
                  <c:v>24.182083035204045</c:v>
                </c:pt>
                <c:pt idx="147">
                  <c:v>23.933363217984606</c:v>
                </c:pt>
                <c:pt idx="148">
                  <c:v>23.684919778919436</c:v>
                </c:pt>
                <c:pt idx="149">
                  <c:v>23.436755533227426</c:v>
                </c:pt>
                <c:pt idx="150">
                  <c:v>23.183145141619804</c:v>
                </c:pt>
                <c:pt idx="151">
                  <c:v>22.929832566935289</c:v>
                </c:pt>
                <c:pt idx="152">
                  <c:v>22.676820426385603</c:v>
                </c:pt>
                <c:pt idx="153">
                  <c:v>22.424111209099777</c:v>
                </c:pt>
                <c:pt idx="154">
                  <c:v>22.165769263322545</c:v>
                </c:pt>
                <c:pt idx="155">
                  <c:v>21.907749549015477</c:v>
                </c:pt>
                <c:pt idx="156">
                  <c:v>21.650054337511108</c:v>
                </c:pt>
                <c:pt idx="157">
                  <c:v>21.392685772270255</c:v>
                </c:pt>
                <c:pt idx="158">
                  <c:v>21.129619918180794</c:v>
                </c:pt>
                <c:pt idx="159">
                  <c:v>20.866900361648504</c:v>
                </c:pt>
                <c:pt idx="160">
                  <c:v>20.604529004217881</c:v>
                </c:pt>
                <c:pt idx="161">
                  <c:v>20.342507620237939</c:v>
                </c:pt>
                <c:pt idx="162">
                  <c:v>20.074844170814544</c:v>
                </c:pt>
                <c:pt idx="163">
                  <c:v>19.807550284203302</c:v>
                </c:pt>
                <c:pt idx="164">
                  <c:v>19.540627466733127</c:v>
                </c:pt>
                <c:pt idx="165">
                  <c:v>19.274077098904485</c:v>
                </c:pt>
                <c:pt idx="166">
                  <c:v>19.001589723132753</c:v>
                </c:pt>
                <c:pt idx="167">
                  <c:v>18.729495217671627</c:v>
                </c:pt>
                <c:pt idx="168">
                  <c:v>18.457794674608749</c:v>
                </c:pt>
                <c:pt idx="169">
                  <c:v>18.186489061603794</c:v>
                </c:pt>
                <c:pt idx="170">
                  <c:v>17.90977005261314</c:v>
                </c:pt>
                <c:pt idx="171">
                  <c:v>17.633464763300225</c:v>
                </c:pt>
                <c:pt idx="172">
                  <c:v>17.35757384392673</c:v>
                </c:pt>
                <c:pt idx="173">
                  <c:v>17.082097823233852</c:v>
                </c:pt>
                <c:pt idx="174">
                  <c:v>16.800108177883573</c:v>
                </c:pt>
                <c:pt idx="175">
                  <c:v>16.518555362091377</c:v>
                </c:pt>
                <c:pt idx="176">
                  <c:v>16.237439569355161</c:v>
                </c:pt>
                <c:pt idx="177">
                  <c:v>15.956760873197737</c:v>
                </c:pt>
                <c:pt idx="178">
                  <c:v>15.669633547269569</c:v>
                </c:pt>
                <c:pt idx="179">
                  <c:v>15.382964863452031</c:v>
                </c:pt>
                <c:pt idx="180">
                  <c:v>15.096754530913103</c:v>
                </c:pt>
                <c:pt idx="181">
                  <c:v>14.811002141150567</c:v>
                </c:pt>
                <c:pt idx="182">
                  <c:v>14.520005933559162</c:v>
                </c:pt>
                <c:pt idx="183">
                  <c:v>14.229484951881744</c:v>
                </c:pt>
                <c:pt idx="184">
                  <c:v>13.939438406198832</c:v>
                </c:pt>
                <c:pt idx="185">
                  <c:v>13.649865393699258</c:v>
                </c:pt>
                <c:pt idx="186">
                  <c:v>13.352835463366631</c:v>
                </c:pt>
                <c:pt idx="187">
                  <c:v>13.05630313717046</c:v>
                </c:pt>
                <c:pt idx="188">
                  <c:v>12.760267085874631</c:v>
                </c:pt>
                <c:pt idx="189">
                  <c:v>12.464725869238151</c:v>
                </c:pt>
                <c:pt idx="190">
                  <c:v>12.16405203994168</c:v>
                </c:pt>
                <c:pt idx="191">
                  <c:v>11.863888755328531</c:v>
                </c:pt>
                <c:pt idx="192">
                  <c:v>11.564234157458202</c:v>
                </c:pt>
                <c:pt idx="193">
                  <c:v>11.265086283245864</c:v>
                </c:pt>
                <c:pt idx="194">
                  <c:v>10.958620239851911</c:v>
                </c:pt>
                <c:pt idx="195">
                  <c:v>10.652683324039515</c:v>
                </c:pt>
                <c:pt idx="196">
                  <c:v>10.347273091145638</c:v>
                </c:pt>
                <c:pt idx="197">
                  <c:v>10.042386994600889</c:v>
                </c:pt>
                <c:pt idx="198">
                  <c:v>9.7313632853173715</c:v>
                </c:pt>
                <c:pt idx="199">
                  <c:v>9.4208812309076393</c:v>
                </c:pt>
                <c:pt idx="200">
                  <c:v>9.1109378060911297</c:v>
                </c:pt>
                <c:pt idx="201">
                  <c:v>8.8015298889939118</c:v>
                </c:pt>
                <c:pt idx="202">
                  <c:v>8.4860413022976786</c:v>
                </c:pt>
                <c:pt idx="203">
                  <c:v>8.1711045418601316</c:v>
                </c:pt>
                <c:pt idx="204">
                  <c:v>7.8567159903441848</c:v>
                </c:pt>
                <c:pt idx="205">
                  <c:v>7.5428719395199266</c:v>
                </c:pt>
                <c:pt idx="206">
                  <c:v>7.2219070761853459</c:v>
                </c:pt>
                <c:pt idx="207">
                  <c:v>6.9015055361757902</c:v>
                </c:pt>
                <c:pt idx="208">
                  <c:v>6.5816630568867822</c:v>
                </c:pt>
                <c:pt idx="209">
                  <c:v>6.2623752896701319</c:v>
                </c:pt>
                <c:pt idx="210">
                  <c:v>5.9349427480079555</c:v>
                </c:pt>
                <c:pt idx="211">
                  <c:v>5.6080860544647635</c:v>
                </c:pt>
                <c:pt idx="212">
                  <c:v>5.281800232034243</c:v>
                </c:pt>
                <c:pt idx="213">
                  <c:v>4.9560802219129414</c:v>
                </c:pt>
                <c:pt idx="214">
                  <c:v>4.6244449692829335</c:v>
                </c:pt>
                <c:pt idx="215">
                  <c:v>4.293387435131649</c:v>
                </c:pt>
                <c:pt idx="216">
                  <c:v>3.9629020097051466</c:v>
                </c:pt>
                <c:pt idx="217">
                  <c:v>3.6329830082088961</c:v>
                </c:pt>
                <c:pt idx="218">
                  <c:v>3.2961213667954894</c:v>
                </c:pt>
                <c:pt idx="219">
                  <c:v>2.9598400175243285</c:v>
                </c:pt>
                <c:pt idx="220">
                  <c:v>2.6241326539963836</c:v>
                </c:pt>
                <c:pt idx="221">
                  <c:v>2.288992900660503</c:v>
                </c:pt>
                <c:pt idx="222">
                  <c:v>1.9469619021791686</c:v>
                </c:pt>
                <c:pt idx="223">
                  <c:v>1.605510420454749</c:v>
                </c:pt>
                <c:pt idx="224">
                  <c:v>1.2646314388011035</c:v>
                </c:pt>
                <c:pt idx="225">
                  <c:v>0.92431787738055959</c:v>
                </c:pt>
                <c:pt idx="226">
                  <c:v>0.57610224289390999</c:v>
                </c:pt>
                <c:pt idx="227">
                  <c:v>0.22846531182159424</c:v>
                </c:pt>
                <c:pt idx="228">
                  <c:v>-0.11860072668434896</c:v>
                </c:pt>
                <c:pt idx="229">
                  <c:v>-0.46510374131301546</c:v>
                </c:pt>
                <c:pt idx="230">
                  <c:v>-1.1732362423952338</c:v>
                </c:pt>
                <c:pt idx="231">
                  <c:v>-1.5264503454340286</c:v>
                </c:pt>
                <c:pt idx="232">
                  <c:v>-1.8791079070618082</c:v>
                </c:pt>
                <c:pt idx="233">
                  <c:v>-2.2395697618067629</c:v>
                </c:pt>
                <c:pt idx="234">
                  <c:v>-2.5994669076170567</c:v>
                </c:pt>
                <c:pt idx="235">
                  <c:v>-2.9588088131878578</c:v>
                </c:pt>
                <c:pt idx="236">
                  <c:v>-3.3176049944382839</c:v>
                </c:pt>
                <c:pt idx="237">
                  <c:v>-3.6831285731960861</c:v>
                </c:pt>
                <c:pt idx="238">
                  <c:v>-4.0481042109813359</c:v>
                </c:pt>
                <c:pt idx="239">
                  <c:v>-4.4125421522177533</c:v>
                </c:pt>
                <c:pt idx="240">
                  <c:v>-4.7764526831070384</c:v>
                </c:pt>
                <c:pt idx="241">
                  <c:v>-5.1491307514673963</c:v>
                </c:pt>
                <c:pt idx="242">
                  <c:v>-5.5212761353263886</c:v>
                </c:pt>
                <c:pt idx="243">
                  <c:v>-5.8929000539884271</c:v>
                </c:pt>
                <c:pt idx="244">
                  <c:v>-6.2640137644894764</c:v>
                </c:pt>
                <c:pt idx="245">
                  <c:v>-6.6428360657710073</c:v>
                </c:pt>
                <c:pt idx="246">
                  <c:v>-7.0211491916922455</c:v>
                </c:pt>
                <c:pt idx="247">
                  <c:v>-7.3989652750958328</c:v>
                </c:pt>
                <c:pt idx="248">
                  <c:v>-7.7762964826496557</c:v>
                </c:pt>
                <c:pt idx="249">
                  <c:v>-8.1623408828574213</c:v>
                </c:pt>
                <c:pt idx="250">
                  <c:v>-8.5479024146968925</c:v>
                </c:pt>
                <c:pt idx="251">
                  <c:v>-8.9329942576159738</c:v>
                </c:pt>
                <c:pt idx="252">
                  <c:v>-9.31762962211738</c:v>
                </c:pt>
                <c:pt idx="253">
                  <c:v>-9.7099481057183823</c:v>
                </c:pt>
                <c:pt idx="254">
                  <c:v>-10.101818521020874</c:v>
                </c:pt>
                <c:pt idx="255">
                  <c:v>-10.493255027656005</c:v>
                </c:pt>
                <c:pt idx="256">
                  <c:v>-10.884271814182028</c:v>
                </c:pt>
                <c:pt idx="257">
                  <c:v>-11.284997299491636</c:v>
                </c:pt>
                <c:pt idx="258">
                  <c:v>-11.685311378710935</c:v>
                </c:pt>
                <c:pt idx="259">
                  <c:v>-12.085229461166875</c:v>
                </c:pt>
                <c:pt idx="260">
                  <c:v>-12.484766984765884</c:v>
                </c:pt>
                <c:pt idx="261">
                  <c:v>-12.893007394380845</c:v>
                </c:pt>
                <c:pt idx="262">
                  <c:v>-13.300882501722043</c:v>
                </c:pt>
                <c:pt idx="263">
                  <c:v>-13.708408910751189</c:v>
                </c:pt>
                <c:pt idx="264">
                  <c:v>-14.115603254787089</c:v>
                </c:pt>
                <c:pt idx="265">
                  <c:v>-14.531520495944648</c:v>
                </c:pt>
                <c:pt idx="266">
                  <c:v>-14.947125990591189</c:v>
                </c:pt>
                <c:pt idx="267">
                  <c:v>-15.362437599984645</c:v>
                </c:pt>
                <c:pt idx="268">
                  <c:v>-15.777473217200054</c:v>
                </c:pt>
                <c:pt idx="269">
                  <c:v>-16.202266506504827</c:v>
                </c:pt>
                <c:pt idx="270">
                  <c:v>-16.626808402091456</c:v>
                </c:pt>
                <c:pt idx="271">
                  <c:v>-17.051118230773909</c:v>
                </c:pt>
                <c:pt idx="272">
                  <c:v>-17.475215355931368</c:v>
                </c:pt>
                <c:pt idx="273">
                  <c:v>-17.909114734728121</c:v>
                </c:pt>
                <c:pt idx="274">
                  <c:v>-18.342832432270342</c:v>
                </c:pt>
                <c:pt idx="275">
                  <c:v>-18.776389338265034</c:v>
                </c:pt>
                <c:pt idx="276">
                  <c:v>-19.209806386053714</c:v>
                </c:pt>
                <c:pt idx="277">
                  <c:v>-19.652088891217744</c:v>
                </c:pt>
                <c:pt idx="278">
                  <c:v>-20.094269894657344</c:v>
                </c:pt>
                <c:pt idx="279">
                  <c:v>-20.536371807558282</c:v>
                </c:pt>
                <c:pt idx="280">
                  <c:v>-20.978417093966243</c:v>
                </c:pt>
                <c:pt idx="281">
                  <c:v>-21.432401224745604</c:v>
                </c:pt>
                <c:pt idx="282">
                  <c:v>-21.886373835111812</c:v>
                </c:pt>
                <c:pt idx="283">
                  <c:v>-22.340359449722854</c:v>
                </c:pt>
                <c:pt idx="284">
                  <c:v>-22.79438265982381</c:v>
                </c:pt>
                <c:pt idx="285">
                  <c:v>-23.257450831426183</c:v>
                </c:pt>
                <c:pt idx="286">
                  <c:v>-23.720609974509671</c:v>
                </c:pt>
                <c:pt idx="287">
                  <c:v>-24.183886396926425</c:v>
                </c:pt>
                <c:pt idx="288">
                  <c:v>-24.647306488454348</c:v>
                </c:pt>
                <c:pt idx="289">
                  <c:v>-25.122888620874875</c:v>
                </c:pt>
                <c:pt idx="290">
                  <c:v>-25.598678489041674</c:v>
                </c:pt>
                <c:pt idx="291">
                  <c:v>-26.074704870359369</c:v>
                </c:pt>
                <c:pt idx="292">
                  <c:v>-26.550996645311756</c:v>
                </c:pt>
                <c:pt idx="293">
                  <c:v>-27.03860005813101</c:v>
                </c:pt>
                <c:pt idx="294">
                  <c:v>-27.526542776898339</c:v>
                </c:pt>
                <c:pt idx="295">
                  <c:v>-28.01485608748888</c:v>
                </c:pt>
                <c:pt idx="296">
                  <c:v>-28.503571403400855</c:v>
                </c:pt>
                <c:pt idx="297">
                  <c:v>-29.00377405992063</c:v>
                </c:pt>
                <c:pt idx="298">
                  <c:v>-29.504463951202894</c:v>
                </c:pt>
                <c:pt idx="299">
                  <c:v>-30.005675106741222</c:v>
                </c:pt>
                <c:pt idx="300">
                  <c:v>-30.507441712422377</c:v>
                </c:pt>
                <c:pt idx="301">
                  <c:v>-31.020901260512716</c:v>
                </c:pt>
                <c:pt idx="302">
                  <c:v>-31.535013800193099</c:v>
                </c:pt>
                <c:pt idx="303">
                  <c:v>-32.049816367360705</c:v>
                </c:pt>
                <c:pt idx="304">
                  <c:v>-32.565346187249389</c:v>
                </c:pt>
                <c:pt idx="305">
                  <c:v>-33.094837328934346</c:v>
                </c:pt>
                <c:pt idx="306">
                  <c:v>-33.625173279122492</c:v>
                </c:pt>
                <c:pt idx="307">
                  <c:v>-34.1563948395073</c:v>
                </c:pt>
                <c:pt idx="308">
                  <c:v>-34.688543041422264</c:v>
                </c:pt>
                <c:pt idx="309">
                  <c:v>-35.232904111779902</c:v>
                </c:pt>
                <c:pt idx="310">
                  <c:v>-35.778318500622333</c:v>
                </c:pt>
                <c:pt idx="311">
                  <c:v>-36.324830660480416</c:v>
                </c:pt>
                <c:pt idx="312">
                  <c:v>-36.872485313936295</c:v>
                </c:pt>
                <c:pt idx="313">
                  <c:v>-37.43472906799758</c:v>
                </c:pt>
                <c:pt idx="314">
                  <c:v>-37.998267621666628</c:v>
                </c:pt>
                <c:pt idx="315">
                  <c:v>-38.56314996185597</c:v>
                </c:pt>
                <c:pt idx="316">
                  <c:v>-39.129425392185055</c:v>
                </c:pt>
                <c:pt idx="317">
                  <c:v>-39.710678629927486</c:v>
                </c:pt>
                <c:pt idx="318">
                  <c:v>-40.293497708798384</c:v>
                </c:pt>
                <c:pt idx="319">
                  <c:v>-40.877936595789294</c:v>
                </c:pt>
                <c:pt idx="320">
                  <c:v>-41.464049621537839</c:v>
                </c:pt>
                <c:pt idx="321">
                  <c:v>-42.065583235428164</c:v>
                </c:pt>
                <c:pt idx="322">
                  <c:v>-42.668986034605467</c:v>
                </c:pt>
                <c:pt idx="323">
                  <c:v>-43.274317426867555</c:v>
                </c:pt>
                <c:pt idx="324">
                  <c:v>-43.881637226777372</c:v>
                </c:pt>
                <c:pt idx="325">
                  <c:v>-44.504879221574328</c:v>
                </c:pt>
                <c:pt idx="326">
                  <c:v>-45.130328885844278</c:v>
                </c:pt>
                <c:pt idx="327">
                  <c:v>-45.758051523215158</c:v>
                </c:pt>
                <c:pt idx="328">
                  <c:v>-46.388112876964215</c:v>
                </c:pt>
                <c:pt idx="329">
                  <c:v>-47.035745085182953</c:v>
                </c:pt>
                <c:pt idx="330">
                  <c:v>-47.685970185557409</c:v>
                </c:pt>
                <c:pt idx="331">
                  <c:v>-48.338860154853165</c:v>
                </c:pt>
                <c:pt idx="332">
                  <c:v>-48.99448742547014</c:v>
                </c:pt>
                <c:pt idx="333">
                  <c:v>-49.667246538809195</c:v>
                </c:pt>
                <c:pt idx="334">
                  <c:v>-50.343017323813513</c:v>
                </c:pt>
                <c:pt idx="335">
                  <c:v>-51.021878424330311</c:v>
                </c:pt>
                <c:pt idx="336">
                  <c:v>-51.703908918367858</c:v>
                </c:pt>
                <c:pt idx="337">
                  <c:v>-52.406025826157872</c:v>
                </c:pt>
                <c:pt idx="338">
                  <c:v>-53.111638731954059</c:v>
                </c:pt>
                <c:pt idx="339">
                  <c:v>-53.820833933904993</c:v>
                </c:pt>
                <c:pt idx="340">
                  <c:v>-54.533698092258078</c:v>
                </c:pt>
                <c:pt idx="341">
                  <c:v>-55.26750893568169</c:v>
                </c:pt>
                <c:pt idx="342">
                  <c:v>-56.005351264162613</c:v>
                </c:pt>
                <c:pt idx="343">
                  <c:v>-56.747319019209328</c:v>
                </c:pt>
                <c:pt idx="344">
                  <c:v>-57.493506343446938</c:v>
                </c:pt>
                <c:pt idx="345">
                  <c:v>-58.260422357549459</c:v>
                </c:pt>
                <c:pt idx="346">
                  <c:v>-59.031943078206126</c:v>
                </c:pt>
                <c:pt idx="347">
                  <c:v>-59.808169162314698</c:v>
                </c:pt>
                <c:pt idx="348">
                  <c:v>-60.589201173857191</c:v>
                </c:pt>
                <c:pt idx="349">
                  <c:v>-61.394370851859009</c:v>
                </c:pt>
                <c:pt idx="350">
                  <c:v>-62.204796662390862</c:v>
                </c:pt>
                <c:pt idx="351">
                  <c:v>-63.020585738546515</c:v>
                </c:pt>
                <c:pt idx="352">
                  <c:v>-63.841844630702724</c:v>
                </c:pt>
                <c:pt idx="353">
                  <c:v>-64.688434519931462</c:v>
                </c:pt>
                <c:pt idx="354">
                  <c:v>-65.540981313925727</c:v>
                </c:pt>
                <c:pt idx="355">
                  <c:v>-66.399596458728354</c:v>
                </c:pt>
                <c:pt idx="356">
                  <c:v>-67.264390045218391</c:v>
                </c:pt>
                <c:pt idx="357">
                  <c:v>-68.15453301338718</c:v>
                </c:pt>
                <c:pt idx="358">
                  <c:v>-69.051353912491635</c:v>
                </c:pt>
                <c:pt idx="359">
                  <c:v>-69.954964366013741</c:v>
                </c:pt>
                <c:pt idx="360">
                  <c:v>-70.865473496660854</c:v>
                </c:pt>
                <c:pt idx="361">
                  <c:v>-71.805262641216359</c:v>
                </c:pt>
                <c:pt idx="362">
                  <c:v>-72.752510499743465</c:v>
                </c:pt>
                <c:pt idx="363">
                  <c:v>-73.707324114897204</c:v>
                </c:pt>
                <c:pt idx="364">
                  <c:v>-74.669806343247302</c:v>
                </c:pt>
                <c:pt idx="365">
                  <c:v>-75.661705477614248</c:v>
                </c:pt>
                <c:pt idx="366">
                  <c:v>-76.661820026474174</c:v>
                </c:pt>
                <c:pt idx="367">
                  <c:v>-77.670243538427997</c:v>
                </c:pt>
                <c:pt idx="368">
                  <c:v>-78.687063064593929</c:v>
                </c:pt>
                <c:pt idx="369">
                  <c:v>-79.737540597057659</c:v>
                </c:pt>
                <c:pt idx="370">
                  <c:v>-80.796991558214529</c:v>
                </c:pt>
                <c:pt idx="371">
                  <c:v>-81.86548472106324</c:v>
                </c:pt>
                <c:pt idx="372">
                  <c:v>-82.943079202068304</c:v>
                </c:pt>
                <c:pt idx="373">
                  <c:v>-84.054431779134802</c:v>
                </c:pt>
                <c:pt idx="374">
                  <c:v>-85.175391918291439</c:v>
                </c:pt>
                <c:pt idx="375">
                  <c:v>-86.305987049340899</c:v>
                </c:pt>
                <c:pt idx="376">
                  <c:v>-87.44623100758912</c:v>
                </c:pt>
                <c:pt idx="377">
                  <c:v>-88.62458212869609</c:v>
                </c:pt>
                <c:pt idx="378">
                  <c:v>-89.813045776131787</c:v>
                </c:pt>
                <c:pt idx="379">
                  <c:v>-91.011587302304179</c:v>
                </c:pt>
                <c:pt idx="380">
                  <c:v>-92.220153656291188</c:v>
                </c:pt>
                <c:pt idx="381">
                  <c:v>-93.465002604398194</c:v>
                </c:pt>
                <c:pt idx="382">
                  <c:v>-94.720138392116155</c:v>
                </c:pt>
                <c:pt idx="383">
                  <c:v>-95.985439839969388</c:v>
                </c:pt>
                <c:pt idx="384">
                  <c:v>-97.260762426111626</c:v>
                </c:pt>
                <c:pt idx="385">
                  <c:v>-98.577911804679616</c:v>
                </c:pt>
                <c:pt idx="386">
                  <c:v>-99.905199863780012</c:v>
                </c:pt>
                <c:pt idx="387">
                  <c:v>-101.24239068133653</c:v>
                </c:pt>
                <c:pt idx="388">
                  <c:v>-102.58922019256619</c:v>
                </c:pt>
                <c:pt idx="389">
                  <c:v>-103.97666083778853</c:v>
                </c:pt>
                <c:pt idx="390">
                  <c:v>-105.37353785886819</c:v>
                </c:pt>
                <c:pt idx="391">
                  <c:v>-106.77947589658999</c:v>
                </c:pt>
                <c:pt idx="392">
                  <c:v>-108.1940685367511</c:v>
                </c:pt>
                <c:pt idx="393">
                  <c:v>-109.64892390034413</c:v>
                </c:pt>
                <c:pt idx="394">
                  <c:v>-111.11187043304699</c:v>
                </c:pt>
                <c:pt idx="395">
                  <c:v>-112.58237683009378</c:v>
                </c:pt>
                <c:pt idx="396">
                  <c:v>-114.05988125862046</c:v>
                </c:pt>
                <c:pt idx="397">
                  <c:v>-115.57989299240012</c:v>
                </c:pt>
                <c:pt idx="398">
                  <c:v>-117.10596209144751</c:v>
                </c:pt>
                <c:pt idx="399">
                  <c:v>-118.63739625512699</c:v>
                </c:pt>
                <c:pt idx="400">
                  <c:v>-120.17347799888722</c:v>
                </c:pt>
                <c:pt idx="401">
                  <c:v>-121.74826942790349</c:v>
                </c:pt>
                <c:pt idx="402">
                  <c:v>-123.32633493018415</c:v>
                </c:pt>
                <c:pt idx="403">
                  <c:v>-124.90684501489375</c:v>
                </c:pt>
                <c:pt idx="404">
                  <c:v>-126.48895650902244</c:v>
                </c:pt>
                <c:pt idx="405">
                  <c:v>-128.10850737090868</c:v>
                </c:pt>
                <c:pt idx="406">
                  <c:v>50.272077918744401</c:v>
                </c:pt>
                <c:pt idx="407">
                  <c:v>48.653719974383648</c:v>
                </c:pt>
                <c:pt idx="408">
                  <c:v>47.037336794885334</c:v>
                </c:pt>
                <c:pt idx="409">
                  <c:v>45.385588410473844</c:v>
                </c:pt>
                <c:pt idx="410">
                  <c:v>43.737825869109798</c:v>
                </c:pt>
                <c:pt idx="411">
                  <c:v>42.094993229480735</c:v>
                </c:pt>
                <c:pt idx="412">
                  <c:v>40.458011211005129</c:v>
                </c:pt>
                <c:pt idx="413">
                  <c:v>38.790067018153792</c:v>
                </c:pt>
                <c:pt idx="414">
                  <c:v>37.130104458535243</c:v>
                </c:pt>
                <c:pt idx="415">
                  <c:v>35.479006338933402</c:v>
                </c:pt>
                <c:pt idx="416">
                  <c:v>33.837612658559323</c:v>
                </c:pt>
                <c:pt idx="417">
                  <c:v>32.168219993473201</c:v>
                </c:pt>
                <c:pt idx="418">
                  <c:v>30.51062764311348</c:v>
                </c:pt>
                <c:pt idx="419">
                  <c:v>28.865578544586327</c:v>
                </c:pt>
                <c:pt idx="420">
                  <c:v>27.233757884045843</c:v>
                </c:pt>
                <c:pt idx="421">
                  <c:v>25.580142880168097</c:v>
                </c:pt>
                <c:pt idx="422">
                  <c:v>23.941606587820473</c:v>
                </c:pt>
                <c:pt idx="423">
                  <c:v>22.31868795259868</c:v>
                </c:pt>
                <c:pt idx="424">
                  <c:v>20.711861018633527</c:v>
                </c:pt>
                <c:pt idx="425">
                  <c:v>19.082614931809815</c:v>
                </c:pt>
                <c:pt idx="426">
                  <c:v>17.471065352831772</c:v>
                </c:pt>
                <c:pt idx="427">
                  <c:v>15.877518238282477</c:v>
                </c:pt>
                <c:pt idx="428">
                  <c:v>14.302214984998301</c:v>
                </c:pt>
                <c:pt idx="429">
                  <c:v>12.709660037735489</c:v>
                </c:pt>
                <c:pt idx="430">
                  <c:v>11.136516238590616</c:v>
                </c:pt>
                <c:pt idx="431">
                  <c:v>9.582851437170973</c:v>
                </c:pt>
                <c:pt idx="432">
                  <c:v>8.048676449370447</c:v>
                </c:pt>
                <c:pt idx="433">
                  <c:v>6.5000376617317954</c:v>
                </c:pt>
                <c:pt idx="434">
                  <c:v>4.9716340358639002</c:v>
                </c:pt>
                <c:pt idx="435">
                  <c:v>3.4633175947506913</c:v>
                </c:pt>
                <c:pt idx="436">
                  <c:v>1.9748951709427445</c:v>
                </c:pt>
                <c:pt idx="437">
                  <c:v>0.47130385556883425</c:v>
                </c:pt>
                <c:pt idx="438">
                  <c:v>-1.011969198180168</c:v>
                </c:pt>
                <c:pt idx="439">
                  <c:v>-2.4752516181847852</c:v>
                </c:pt>
                <c:pt idx="440">
                  <c:v>-3.918903097404467</c:v>
                </c:pt>
                <c:pt idx="441">
                  <c:v>-5.3763000618180001</c:v>
                </c:pt>
                <c:pt idx="442">
                  <c:v>-6.8139882239343876</c:v>
                </c:pt>
                <c:pt idx="443">
                  <c:v>-8.2324326963299086</c:v>
                </c:pt>
                <c:pt idx="444">
                  <c:v>-9.632118073884044</c:v>
                </c:pt>
                <c:pt idx="445">
                  <c:v>-11.044815066944039</c:v>
                </c:pt>
                <c:pt idx="446">
                  <c:v>-12.438962489928258</c:v>
                </c:pt>
                <c:pt idx="447">
                  <c:v>-13.815122122398151</c:v>
                </c:pt>
                <c:pt idx="448">
                  <c:v>-15.173864627377185</c:v>
                </c:pt>
                <c:pt idx="449">
                  <c:v>-16.547761567558098</c:v>
                </c:pt>
                <c:pt idx="450">
                  <c:v>-17.904625210777397</c:v>
                </c:pt>
                <c:pt idx="451">
                  <c:v>-19.245082720308403</c:v>
                </c:pt>
                <c:pt idx="452">
                  <c:v>-20.569762170309389</c:v>
                </c:pt>
                <c:pt idx="453">
                  <c:v>-21.908708516345996</c:v>
                </c:pt>
                <c:pt idx="454">
                  <c:v>-23.232480619769831</c:v>
                </c:pt>
                <c:pt idx="455">
                  <c:v>-24.541743841190339</c:v>
                </c:pt>
                <c:pt idx="456">
                  <c:v>-25.837159112089978</c:v>
                </c:pt>
                <c:pt idx="457">
                  <c:v>-27.149656384605692</c:v>
                </c:pt>
                <c:pt idx="458">
                  <c:v>-28.449024855112668</c:v>
                </c:pt>
                <c:pt idx="459">
                  <c:v>-29.735954581805856</c:v>
                </c:pt>
                <c:pt idx="460">
                  <c:v>-31.011128236927533</c:v>
                </c:pt>
                <c:pt idx="461">
                  <c:v>-32.30439832526659</c:v>
                </c:pt>
                <c:pt idx="462">
                  <c:v>-33.586782419029561</c:v>
                </c:pt>
                <c:pt idx="463">
                  <c:v>-34.858986844781981</c:v>
                </c:pt>
                <c:pt idx="464">
                  <c:v>-36.121709642478152</c:v>
                </c:pt>
                <c:pt idx="465">
                  <c:v>-37.404929907978783</c:v>
                </c:pt>
                <c:pt idx="466">
                  <c:v>-38.679672851830986</c:v>
                </c:pt>
                <c:pt idx="467">
                  <c:v>-39.946661739316284</c:v>
                </c:pt>
                <c:pt idx="468">
                  <c:v>-41.206612344447933</c:v>
                </c:pt>
                <c:pt idx="469">
                  <c:v>-42.488873849925312</c:v>
                </c:pt>
                <c:pt idx="470">
                  <c:v>-43.765264641488812</c:v>
                </c:pt>
                <c:pt idx="471">
                  <c:v>-45.036530581513716</c:v>
                </c:pt>
                <c:pt idx="472">
                  <c:v>-46.303412276067206</c:v>
                </c:pt>
                <c:pt idx="473">
                  <c:v>-47.59677415111824</c:v>
                </c:pt>
                <c:pt idx="474">
                  <c:v>-48.88709805231062</c:v>
                </c:pt>
                <c:pt idx="475">
                  <c:v>-50.175167522673917</c:v>
                </c:pt>
                <c:pt idx="476">
                  <c:v>-51.461764281798906</c:v>
                </c:pt>
                <c:pt idx="477">
                  <c:v>-52.777659253573916</c:v>
                </c:pt>
                <c:pt idx="478">
                  <c:v>-54.093666983617538</c:v>
                </c:pt>
                <c:pt idx="479">
                  <c:v>-55.410626116879683</c:v>
                </c:pt>
                <c:pt idx="480">
                  <c:v>-56.729377936353984</c:v>
                </c:pt>
                <c:pt idx="481">
                  <c:v>-58.080922068996045</c:v>
                </c:pt>
                <c:pt idx="482">
                  <c:v>-59.436135100604758</c:v>
                </c:pt>
                <c:pt idx="483">
                  <c:v>-60.79593314238241</c:v>
                </c:pt>
                <c:pt idx="484">
                  <c:v>-62.161240077820679</c:v>
                </c:pt>
                <c:pt idx="485">
                  <c:v>-63.564595313279654</c:v>
                </c:pt>
                <c:pt idx="486">
                  <c:v>-64.975701031602625</c:v>
                </c:pt>
                <c:pt idx="487">
                  <c:v>-66.395578464763503</c:v>
                </c:pt>
                <c:pt idx="488">
                  <c:v>-67.825261690244872</c:v>
                </c:pt>
                <c:pt idx="489">
                  <c:v>-69.300261334607114</c:v>
                </c:pt>
                <c:pt idx="490">
                  <c:v>-70.787777710148191</c:v>
                </c:pt>
                <c:pt idx="491">
                  <c:v>-72.288966702844107</c:v>
                </c:pt>
                <c:pt idx="492">
                  <c:v>-73.805000395529532</c:v>
                </c:pt>
                <c:pt idx="493">
                  <c:v>-75.372920547062336</c:v>
                </c:pt>
                <c:pt idx="494">
                  <c:v>-76.958918123164096</c:v>
                </c:pt>
                <c:pt idx="495">
                  <c:v>-78.564298545161535</c:v>
                </c:pt>
                <c:pt idx="496">
                  <c:v>-80.190381203925881</c:v>
                </c:pt>
                <c:pt idx="497">
                  <c:v>-81.877323942586713</c:v>
                </c:pt>
                <c:pt idx="498">
                  <c:v>-83.588778111563443</c:v>
                </c:pt>
                <c:pt idx="499">
                  <c:v>-85.326183515397872</c:v>
                </c:pt>
                <c:pt idx="500">
                  <c:v>-87.090978526308845</c:v>
                </c:pt>
                <c:pt idx="501">
                  <c:v>-88.927086626013988</c:v>
                </c:pt>
                <c:pt idx="502">
                  <c:v>-90.794898281587393</c:v>
                </c:pt>
                <c:pt idx="503">
                  <c:v>-92.695897478159623</c:v>
                </c:pt>
                <c:pt idx="504">
                  <c:v>-94.63152450243075</c:v>
                </c:pt>
                <c:pt idx="505">
                  <c:v>-96.648848272066857</c:v>
                </c:pt>
                <c:pt idx="506">
                  <c:v>-98.705247144966393</c:v>
                </c:pt>
                <c:pt idx="507">
                  <c:v>-100.80200866124761</c:v>
                </c:pt>
                <c:pt idx="508">
                  <c:v>-102.94028802485406</c:v>
                </c:pt>
                <c:pt idx="509">
                  <c:v>-105.17184290652881</c:v>
                </c:pt>
                <c:pt idx="510">
                  <c:v>-107.4487504002077</c:v>
                </c:pt>
                <c:pt idx="511">
                  <c:v>-109.77162418885712</c:v>
                </c:pt>
                <c:pt idx="512">
                  <c:v>-112.14079505479424</c:v>
                </c:pt>
                <c:pt idx="513">
                  <c:v>-114.61410468460008</c:v>
                </c:pt>
                <c:pt idx="514">
                  <c:v>-117.13555912733898</c:v>
                </c:pt>
                <c:pt idx="515">
                  <c:v>-119.70433962405326</c:v>
                </c:pt>
                <c:pt idx="516">
                  <c:v>-122.319152903175</c:v>
                </c:pt>
                <c:pt idx="517">
                  <c:v>-125.04029389003881</c:v>
                </c:pt>
                <c:pt idx="518">
                  <c:v>-127.80523815747529</c:v>
                </c:pt>
                <c:pt idx="519">
                  <c:v>-130.61089119162926</c:v>
                </c:pt>
                <c:pt idx="520">
                  <c:v>-133.45356569152443</c:v>
                </c:pt>
                <c:pt idx="521">
                  <c:v>-136.39606998246984</c:v>
                </c:pt>
                <c:pt idx="522">
                  <c:v>-139.36771987443723</c:v>
                </c:pt>
                <c:pt idx="523">
                  <c:v>-142.36283742321376</c:v>
                </c:pt>
                <c:pt idx="524">
                  <c:v>-145.3752985834218</c:v>
                </c:pt>
                <c:pt idx="525">
                  <c:v>-148.46894267817385</c:v>
                </c:pt>
                <c:pt idx="526">
                  <c:v>28.433204925975815</c:v>
                </c:pt>
                <c:pt idx="527">
                  <c:v>25.338428574047839</c:v>
                </c:pt>
                <c:pt idx="528">
                  <c:v>22.253974360769092</c:v>
                </c:pt>
                <c:pt idx="529">
                  <c:v>19.115876830641241</c:v>
                </c:pt>
                <c:pt idx="530">
                  <c:v>16.003195541777927</c:v>
                </c:pt>
                <c:pt idx="531">
                  <c:v>12.922658947284873</c:v>
                </c:pt>
                <c:pt idx="532">
                  <c:v>9.8803942321537477</c:v>
                </c:pt>
                <c:pt idx="533">
                  <c:v>6.8111313733336942</c:v>
                </c:pt>
                <c:pt idx="534">
                  <c:v>3.7927039798927922</c:v>
                </c:pt>
                <c:pt idx="535">
                  <c:v>0.82928250610558507</c:v>
                </c:pt>
                <c:pt idx="536">
                  <c:v>-2.0758214011836458</c:v>
                </c:pt>
                <c:pt idx="537">
                  <c:v>-4.9839897554582535</c:v>
                </c:pt>
                <c:pt idx="538">
                  <c:v>-7.8267898724780309</c:v>
                </c:pt>
                <c:pt idx="539">
                  <c:v>-10.603237594236106</c:v>
                </c:pt>
                <c:pt idx="540">
                  <c:v>-13.313074525207384</c:v>
                </c:pt>
                <c:pt idx="541">
                  <c:v>-16.018575235280906</c:v>
                </c:pt>
                <c:pt idx="542">
                  <c:v>-18.655683391537082</c:v>
                </c:pt>
                <c:pt idx="543">
                  <c:v>-21.225923638615626</c:v>
                </c:pt>
                <c:pt idx="544">
                  <c:v>-23.731243305863075</c:v>
                </c:pt>
                <c:pt idx="545">
                  <c:v>-26.229789523141221</c:v>
                </c:pt>
                <c:pt idx="546">
                  <c:v>-28.665503039617164</c:v>
                </c:pt>
                <c:pt idx="547">
                  <c:v>-31.041336196301756</c:v>
                </c:pt>
                <c:pt idx="548">
                  <c:v>-33.360395610194928</c:v>
                </c:pt>
                <c:pt idx="549">
                  <c:v>-35.677663434290707</c:v>
                </c:pt>
                <c:pt idx="550">
                  <c:v>-37.942359663483671</c:v>
                </c:pt>
                <c:pt idx="551">
                  <c:v>-40.158009129547111</c:v>
                </c:pt>
                <c:pt idx="552">
                  <c:v>-42.328132211587928</c:v>
                </c:pt>
                <c:pt idx="553">
                  <c:v>-44.505840210003214</c:v>
                </c:pt>
                <c:pt idx="554">
                  <c:v>-46.643211223742156</c:v>
                </c:pt>
                <c:pt idx="555">
                  <c:v>-48.743883905219064</c:v>
                </c:pt>
                <c:pt idx="556">
                  <c:v>-50.811429757988179</c:v>
                </c:pt>
                <c:pt idx="557">
                  <c:v>-54.954875646943321</c:v>
                </c:pt>
                <c:pt idx="558">
                  <c:v>-59.003251421139765</c:v>
                </c:pt>
                <c:pt idx="559">
                  <c:v>-63.075311360359393</c:v>
                </c:pt>
                <c:pt idx="560">
                  <c:v>-67.106419517046049</c:v>
                </c:pt>
                <c:pt idx="561">
                  <c:v>-71.220653572048036</c:v>
                </c:pt>
                <c:pt idx="562">
                  <c:v>-75.352605852484487</c:v>
                </c:pt>
                <c:pt idx="563">
                  <c:v>-79.623719179187106</c:v>
                </c:pt>
                <c:pt idx="564">
                  <c:v>-83.979481912233041</c:v>
                </c:pt>
                <c:pt idx="565">
                  <c:v>-88.569708589997219</c:v>
                </c:pt>
                <c:pt idx="566">
                  <c:v>-93.325344226126163</c:v>
                </c:pt>
                <c:pt idx="567">
                  <c:v>-98.412570901567108</c:v>
                </c:pt>
                <c:pt idx="568">
                  <c:v>-103.76227868396364</c:v>
                </c:pt>
                <c:pt idx="569">
                  <c:v>-109.53648518618274</c:v>
                </c:pt>
                <c:pt idx="570">
                  <c:v>-115.67606545864362</c:v>
                </c:pt>
                <c:pt idx="571">
                  <c:v>-122.40343819175041</c:v>
                </c:pt>
                <c:pt idx="572">
                  <c:v>-129.57850803837999</c:v>
                </c:pt>
                <c:pt idx="573">
                  <c:v>-137.3465874715863</c:v>
                </c:pt>
                <c:pt idx="574">
                  <c:v>-145.53048697339437</c:v>
                </c:pt>
                <c:pt idx="575">
                  <c:v>-154.26431141118678</c:v>
                </c:pt>
                <c:pt idx="576">
                  <c:v>-163.19035481018466</c:v>
                </c:pt>
                <c:pt idx="577">
                  <c:v>-19.137023908903473</c:v>
                </c:pt>
                <c:pt idx="578">
                  <c:v>-47.220111266540925</c:v>
                </c:pt>
                <c:pt idx="579">
                  <c:v>-93.073179943535024</c:v>
                </c:pt>
                <c:pt idx="580">
                  <c:v>-159.96946073146069</c:v>
                </c:pt>
                <c:pt idx="581">
                  <c:v>-62.292922738166681</c:v>
                </c:pt>
                <c:pt idx="582">
                  <c:v>-122.94950852778999</c:v>
                </c:pt>
                <c:pt idx="583">
                  <c:v>-46.829411261391044</c:v>
                </c:pt>
                <c:pt idx="584">
                  <c:v>-121.2007415331687</c:v>
                </c:pt>
                <c:pt idx="585">
                  <c:v>-60.660077575694658</c:v>
                </c:pt>
                <c:pt idx="586">
                  <c:v>-154.05598135171533</c:v>
                </c:pt>
                <c:pt idx="587">
                  <c:v>-101.71635239910324</c:v>
                </c:pt>
                <c:pt idx="588">
                  <c:v>-64.917991412016988</c:v>
                </c:pt>
                <c:pt idx="589">
                  <c:v>-23.830617277976955</c:v>
                </c:pt>
                <c:pt idx="590">
                  <c:v>-173.56337616866915</c:v>
                </c:pt>
                <c:pt idx="591">
                  <c:v>-164.74202683966513</c:v>
                </c:pt>
                <c:pt idx="592">
                  <c:v>-177.10855713781655</c:v>
                </c:pt>
                <c:pt idx="593">
                  <c:v>-35.106321669043155</c:v>
                </c:pt>
                <c:pt idx="594">
                  <c:v>-84.408437738466603</c:v>
                </c:pt>
                <c:pt idx="595">
                  <c:v>-137.28905215304638</c:v>
                </c:pt>
                <c:pt idx="596">
                  <c:v>-69.042745451899265</c:v>
                </c:pt>
                <c:pt idx="597">
                  <c:v>-172.82970471635758</c:v>
                </c:pt>
                <c:pt idx="598">
                  <c:v>-137.59025295612338</c:v>
                </c:pt>
                <c:pt idx="599">
                  <c:v>-137.18562023892429</c:v>
                </c:pt>
                <c:pt idx="600">
                  <c:v>-175.67481005610011</c:v>
                </c:pt>
              </c:numCache>
            </c:numRef>
          </c:yVal>
          <c:smooth val="0"/>
          <c:extLst>
            <c:ext xmlns:c16="http://schemas.microsoft.com/office/drawing/2014/chart" uri="{C3380CC4-5D6E-409C-BE32-E72D297353CC}">
              <c16:uniqueId val="{00000001-09BC-4E96-93F9-6DC345568360}"/>
            </c:ext>
          </c:extLst>
        </c:ser>
        <c:ser>
          <c:idx val="2"/>
          <c:order val="2"/>
          <c:tx>
            <c:v>PM (Deg) =</c:v>
          </c:tx>
          <c:marker>
            <c:symbol val="circle"/>
            <c:size val="5"/>
            <c:spPr>
              <a:solidFill>
                <a:schemeClr val="bg1"/>
              </a:solidFill>
              <a:ln>
                <a:solidFill>
                  <a:srgbClr val="FF0000"/>
                </a:solidFill>
              </a:ln>
            </c:spPr>
          </c:marker>
          <c:dLbls>
            <c:dLbl>
              <c:idx val="0"/>
              <c:layout>
                <c:manualLayout>
                  <c:x val="3.2895277882859918E-2"/>
                  <c:y val="-5.3973971795837287E-2"/>
                </c:manualLayout>
              </c:layout>
              <c:spPr>
                <a:noFill/>
                <a:ln>
                  <a:noFill/>
                </a:ln>
                <a:effectLst/>
              </c:spPr>
              <c:txPr>
                <a:bodyPr wrap="square" lIns="38100" tIns="19050" rIns="38100" bIns="19050" anchor="ctr" anchorCtr="0">
                  <a:noAutofit/>
                </a:bodyPr>
                <a:lstStyle/>
                <a:p>
                  <a:pPr algn="l">
                    <a:defRPr sz="1000" b="1">
                      <a:solidFill>
                        <a:srgbClr val="33CC33"/>
                      </a:solidFill>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23551374200233557"/>
                      <c:h val="7.5563560514172207E-2"/>
                    </c:manualLayout>
                  </c15:layout>
                </c:ext>
                <c:ext xmlns:c16="http://schemas.microsoft.com/office/drawing/2014/chart" uri="{C3380CC4-5D6E-409C-BE32-E72D297353CC}">
                  <c16:uniqueId val="{00000006-09BC-4E96-93F9-6DC345568360}"/>
                </c:ext>
              </c:extLst>
            </c:dLbl>
            <c:spPr>
              <a:noFill/>
              <a:ln>
                <a:noFill/>
              </a:ln>
              <a:effectLst/>
            </c:spPr>
            <c:txPr>
              <a:bodyPr wrap="square" lIns="38100" tIns="19050" rIns="38100" bIns="19050" anchor="ctr" anchorCtr="0">
                <a:spAutoFit/>
              </a:bodyPr>
              <a:lstStyle/>
              <a:p>
                <a:pPr algn="l">
                  <a:defRPr sz="1000" b="0">
                    <a:solidFill>
                      <a:srgbClr val="33CC33"/>
                    </a:solidFill>
                  </a:defRPr>
                </a:pPr>
                <a:endParaRPr lang="en-US"/>
              </a:p>
            </c:txPr>
            <c:dLblPos val="r"/>
            <c:showLegendKey val="0"/>
            <c:showVal val="1"/>
            <c:showCatName val="1"/>
            <c:showSerName val="0"/>
            <c:showPercent val="0"/>
            <c:showBubbleSize val="0"/>
            <c:separator>  (space) "deg"</c:separator>
            <c:showLeaderLines val="0"/>
            <c:extLst>
              <c:ext xmlns:c15="http://schemas.microsoft.com/office/drawing/2012/chart" uri="{CE6537A1-D6FC-4f65-9D91-7224C49458BB}">
                <c15:showLeaderLines val="1"/>
              </c:ext>
            </c:extLst>
          </c:dLbls>
          <c:xVal>
            <c:numRef>
              <c:f>'Stability Calculations'!$AL$7</c:f>
              <c:numCache>
                <c:formatCode>0</c:formatCode>
                <c:ptCount val="1"/>
                <c:pt idx="0">
                  <c:v>2089.3000000000002</c:v>
                </c:pt>
              </c:numCache>
            </c:numRef>
          </c:xVal>
          <c:yVal>
            <c:numRef>
              <c:f>'Stability Calculations'!$AL$9</c:f>
              <c:numCache>
                <c:formatCode>0.0</c:formatCode>
                <c:ptCount val="1"/>
                <c:pt idx="0">
                  <c:v>56.400427709399963</c:v>
                </c:pt>
              </c:numCache>
            </c:numRef>
          </c:yVal>
          <c:smooth val="0"/>
          <c:extLst>
            <c:ext xmlns:c16="http://schemas.microsoft.com/office/drawing/2014/chart" uri="{C3380CC4-5D6E-409C-BE32-E72D297353CC}">
              <c16:uniqueId val="{00000004-09BC-4E96-93F9-6DC345568360}"/>
            </c:ext>
          </c:extLst>
        </c:ser>
        <c:ser>
          <c:idx val="3"/>
          <c:order val="3"/>
          <c:tx>
            <c:v>Fco (Hz)=</c:v>
          </c:tx>
          <c:marker>
            <c:symbol val="none"/>
          </c:marker>
          <c:dPt>
            <c:idx val="0"/>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08-09BC-4E96-93F9-6DC345568360}"/>
              </c:ext>
            </c:extLst>
          </c:dPt>
          <c:dLbls>
            <c:dLbl>
              <c:idx val="0"/>
              <c:layout>
                <c:manualLayout>
                  <c:x val="3.6176644338231929E-2"/>
                  <c:y val="-5.1275211005060661E-2"/>
                </c:manualLayout>
              </c:layout>
              <c:dLblPos val="r"/>
              <c:showLegendKey val="0"/>
              <c:showVal val="0"/>
              <c:showCatName val="1"/>
              <c:showSerName val="1"/>
              <c:showPercent val="0"/>
              <c:showBubbleSize val="0"/>
              <c:separator> </c:separator>
              <c:extLst>
                <c:ext xmlns:c15="http://schemas.microsoft.com/office/drawing/2012/chart" uri="{CE6537A1-D6FC-4f65-9D91-7224C49458BB}">
                  <c15:layout>
                    <c:manualLayout>
                      <c:w val="0.24163848119031853"/>
                      <c:h val="7.3223374089614143E-2"/>
                    </c:manualLayout>
                  </c15:layout>
                </c:ext>
                <c:ext xmlns:c16="http://schemas.microsoft.com/office/drawing/2014/chart" uri="{C3380CC4-5D6E-409C-BE32-E72D297353CC}">
                  <c16:uniqueId val="{00000008-09BC-4E96-93F9-6DC345568360}"/>
                </c:ext>
              </c:extLst>
            </c:dLbl>
            <c:spPr>
              <a:noFill/>
              <a:ln>
                <a:noFill/>
              </a:ln>
              <a:effectLst/>
            </c:spPr>
            <c:txPr>
              <a:bodyPr wrap="square" lIns="38100" tIns="19050" rIns="38100" bIns="19050" anchor="ctr" anchorCtr="0">
                <a:spAutoFit/>
              </a:bodyPr>
              <a:lstStyle/>
              <a:p>
                <a:pPr algn="l">
                  <a:defRPr sz="1000" b="1">
                    <a:solidFill>
                      <a:srgbClr val="33CC33"/>
                    </a:solidFill>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'Stability Calculations'!$AL$7</c:f>
              <c:numCache>
                <c:formatCode>0</c:formatCode>
                <c:ptCount val="1"/>
                <c:pt idx="0">
                  <c:v>2089.3000000000002</c:v>
                </c:pt>
              </c:numCache>
            </c:numRef>
          </c:xVal>
          <c:yVal>
            <c:numRef>
              <c:f>'Stability Calculations'!$AL$8</c:f>
              <c:numCache>
                <c:formatCode>General</c:formatCode>
                <c:ptCount val="1"/>
                <c:pt idx="0">
                  <c:v>0</c:v>
                </c:pt>
              </c:numCache>
            </c:numRef>
          </c:yVal>
          <c:smooth val="0"/>
          <c:extLst>
            <c:ext xmlns:c16="http://schemas.microsoft.com/office/drawing/2014/chart" uri="{C3380CC4-5D6E-409C-BE32-E72D297353CC}">
              <c16:uniqueId val="{00000007-09BC-4E96-93F9-6DC345568360}"/>
            </c:ext>
          </c:extLst>
        </c:ser>
        <c:dLbls>
          <c:dLblPos val="r"/>
          <c:showLegendKey val="0"/>
          <c:showVal val="1"/>
          <c:showCatName val="1"/>
          <c:showSerName val="0"/>
          <c:showPercent val="0"/>
          <c:showBubbleSize val="0"/>
        </c:dLbls>
        <c:axId val="446584704"/>
        <c:axId val="446586240"/>
      </c:scatterChart>
      <c:valAx>
        <c:axId val="446572416"/>
        <c:scaling>
          <c:logBase val="10"/>
          <c:orientation val="minMax"/>
          <c:max val="1000000"/>
          <c:min val="100"/>
        </c:scaling>
        <c:delete val="0"/>
        <c:axPos val="b"/>
        <c:majorGridlines>
          <c:spPr>
            <a:ln w="3175">
              <a:solidFill>
                <a:srgbClr val="000000"/>
              </a:solidFill>
              <a:prstDash val="solid"/>
            </a:ln>
          </c:spPr>
        </c:majorGridlines>
        <c:title>
          <c:tx>
            <c:rich>
              <a:bodyPr/>
              <a:lstStyle/>
              <a:p>
                <a:pPr>
                  <a:defRPr sz="1000" b="1"/>
                </a:pPr>
                <a:r>
                  <a:rPr lang="en-US" sz="1000" b="1"/>
                  <a:t>Frequency (Hz)</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sz="1000" b="1">
                    <a:solidFill>
                      <a:srgbClr val="FF0000"/>
                    </a:solidFill>
                  </a:defRPr>
                </a:pPr>
                <a:r>
                  <a:rPr lang="en-US" sz="1000" b="1">
                    <a:solidFill>
                      <a:srgbClr val="FF0000"/>
                    </a:solidFill>
                  </a:rPr>
                  <a:t>Gain (dB)</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000" b="1" i="0" u="none" strike="noStrike" baseline="0">
                    <a:solidFill>
                      <a:srgbClr val="0000FF"/>
                    </a:solidFill>
                    <a:latin typeface="Arial"/>
                    <a:ea typeface="Arial"/>
                    <a:cs typeface="Arial"/>
                  </a:defRPr>
                </a:pPr>
                <a:r>
                  <a:rPr lang="en-US" sz="1000"/>
                  <a:t>Phase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70.338939967968642</c:v>
                </c:pt>
                <c:pt idx="1">
                  <c:v>69.5388582698167</c:v>
                </c:pt>
                <c:pt idx="2">
                  <c:v>68.738849558155053</c:v>
                </c:pt>
                <c:pt idx="3">
                  <c:v>67.938884033400569</c:v>
                </c:pt>
                <c:pt idx="4">
                  <c:v>67.139459808703961</c:v>
                </c:pt>
                <c:pt idx="5">
                  <c:v>66.339226260442601</c:v>
                </c:pt>
                <c:pt idx="6">
                  <c:v>65.539302859958383</c:v>
                </c:pt>
                <c:pt idx="7">
                  <c:v>64.739148423249361</c:v>
                </c:pt>
                <c:pt idx="8">
                  <c:v>63.93933474574812</c:v>
                </c:pt>
                <c:pt idx="9">
                  <c:v>63.139246923366564</c:v>
                </c:pt>
                <c:pt idx="10">
                  <c:v>62.339337403590619</c:v>
                </c:pt>
                <c:pt idx="11">
                  <c:v>61.539486120517005</c:v>
                </c:pt>
                <c:pt idx="12">
                  <c:v>60.739264929105197</c:v>
                </c:pt>
                <c:pt idx="13">
                  <c:v>59.939438576587598</c:v>
                </c:pt>
                <c:pt idx="14">
                  <c:v>59.139365364202391</c:v>
                </c:pt>
                <c:pt idx="15">
                  <c:v>58.339350369108097</c:v>
                </c:pt>
                <c:pt idx="16">
                  <c:v>57.539326841479259</c:v>
                </c:pt>
                <c:pt idx="17">
                  <c:v>56.739406507954151</c:v>
                </c:pt>
                <c:pt idx="18">
                  <c:v>55.939355078989067</c:v>
                </c:pt>
                <c:pt idx="19">
                  <c:v>55.139385407847648</c:v>
                </c:pt>
                <c:pt idx="20">
                  <c:v>54.339335629034224</c:v>
                </c:pt>
                <c:pt idx="21">
                  <c:v>53.539366319139688</c:v>
                </c:pt>
                <c:pt idx="22">
                  <c:v>52.739303800682642</c:v>
                </c:pt>
                <c:pt idx="23">
                  <c:v>51.939343117727759</c:v>
                </c:pt>
                <c:pt idx="24">
                  <c:v>51.139277678927442</c:v>
                </c:pt>
                <c:pt idx="25">
                  <c:v>50.33922825693346</c:v>
                </c:pt>
                <c:pt idx="26">
                  <c:v>49.539005310942969</c:v>
                </c:pt>
                <c:pt idx="27">
                  <c:v>48.738860371497452</c:v>
                </c:pt>
                <c:pt idx="28">
                  <c:v>47.93875899755642</c:v>
                </c:pt>
                <c:pt idx="29">
                  <c:v>47.139194770487762</c:v>
                </c:pt>
                <c:pt idx="30">
                  <c:v>46.338812062250426</c:v>
                </c:pt>
                <c:pt idx="31">
                  <c:v>45.53872547329442</c:v>
                </c:pt>
                <c:pt idx="32">
                  <c:v>44.738388159102243</c:v>
                </c:pt>
                <c:pt idx="33">
                  <c:v>43.93836583495883</c:v>
                </c:pt>
                <c:pt idx="34">
                  <c:v>43.138036344944403</c:v>
                </c:pt>
                <c:pt idx="35">
                  <c:v>42.33784405693531</c:v>
                </c:pt>
                <c:pt idx="36">
                  <c:v>41.53765927710927</c:v>
                </c:pt>
                <c:pt idx="37">
                  <c:v>40.737042320530044</c:v>
                </c:pt>
                <c:pt idx="38">
                  <c:v>39.936744887656587</c:v>
                </c:pt>
                <c:pt idx="39">
                  <c:v>39.136108934987639</c:v>
                </c:pt>
                <c:pt idx="40">
                  <c:v>38.335420641446674</c:v>
                </c:pt>
                <c:pt idx="41">
                  <c:v>37.534590396304544</c:v>
                </c:pt>
                <c:pt idx="42">
                  <c:v>36.733702757921868</c:v>
                </c:pt>
                <c:pt idx="43">
                  <c:v>35.932490428852979</c:v>
                </c:pt>
                <c:pt idx="44">
                  <c:v>35.131127349322171</c:v>
                </c:pt>
                <c:pt idx="45">
                  <c:v>34.329404376624822</c:v>
                </c:pt>
                <c:pt idx="46">
                  <c:v>33.527426107647273</c:v>
                </c:pt>
                <c:pt idx="47">
                  <c:v>32.724950935002624</c:v>
                </c:pt>
                <c:pt idx="48">
                  <c:v>31.922093688488857</c:v>
                </c:pt>
                <c:pt idx="49">
                  <c:v>31.118550288765494</c:v>
                </c:pt>
                <c:pt idx="50">
                  <c:v>30.314326238096726</c:v>
                </c:pt>
                <c:pt idx="51">
                  <c:v>29.509092503615257</c:v>
                </c:pt>
                <c:pt idx="52">
                  <c:v>28.702936999691143</c:v>
                </c:pt>
                <c:pt idx="53">
                  <c:v>27.895628605603346</c:v>
                </c:pt>
                <c:pt idx="54">
                  <c:v>27.087433045592167</c:v>
                </c:pt>
                <c:pt idx="55">
                  <c:v>26.276701665343765</c:v>
                </c:pt>
                <c:pt idx="56">
                  <c:v>25.464233134486438</c:v>
                </c:pt>
                <c:pt idx="57">
                  <c:v>24.649084194608445</c:v>
                </c:pt>
                <c:pt idx="58">
                  <c:v>23.831375251770481</c:v>
                </c:pt>
                <c:pt idx="59">
                  <c:v>23.009936399918992</c:v>
                </c:pt>
                <c:pt idx="60">
                  <c:v>22.184601120581448</c:v>
                </c:pt>
                <c:pt idx="61">
                  <c:v>21.354518163203942</c:v>
                </c:pt>
                <c:pt idx="62">
                  <c:v>20.518402730612596</c:v>
                </c:pt>
                <c:pt idx="63">
                  <c:v>19.676102151831202</c:v>
                </c:pt>
                <c:pt idx="64">
                  <c:v>18.825872126766491</c:v>
                </c:pt>
                <c:pt idx="65">
                  <c:v>17.966848129733513</c:v>
                </c:pt>
                <c:pt idx="66">
                  <c:v>17.097667961365257</c:v>
                </c:pt>
                <c:pt idx="67">
                  <c:v>16.217079834917524</c:v>
                </c:pt>
                <c:pt idx="68">
                  <c:v>15.323401076015752</c:v>
                </c:pt>
                <c:pt idx="69">
                  <c:v>14.41544668952462</c:v>
                </c:pt>
                <c:pt idx="70">
                  <c:v>13.491683000485999</c:v>
                </c:pt>
                <c:pt idx="71">
                  <c:v>12.551104416725385</c:v>
                </c:pt>
                <c:pt idx="72">
                  <c:v>11.592575891561793</c:v>
                </c:pt>
                <c:pt idx="73">
                  <c:v>10.61577225364864</c:v>
                </c:pt>
                <c:pt idx="74">
                  <c:v>9.6203619719667337</c:v>
                </c:pt>
                <c:pt idx="75">
                  <c:v>8.60698700484261</c:v>
                </c:pt>
                <c:pt idx="76">
                  <c:v>7.5765347807455328</c:v>
                </c:pt>
                <c:pt idx="77">
                  <c:v>6.5311154874989361</c:v>
                </c:pt>
                <c:pt idx="78">
                  <c:v>5.4730955138836554</c:v>
                </c:pt>
                <c:pt idx="79">
                  <c:v>4.4060655514913085</c:v>
                </c:pt>
                <c:pt idx="80">
                  <c:v>3.3315031415165581</c:v>
                </c:pt>
                <c:pt idx="81">
                  <c:v>2.254351671654875</c:v>
                </c:pt>
                <c:pt idx="82">
                  <c:v>1.1772635397435045</c:v>
                </c:pt>
                <c:pt idx="83">
                  <c:v>0.10408761690432572</c:v>
                </c:pt>
                <c:pt idx="84">
                  <c:v>-0.96343189036444687</c:v>
                </c:pt>
                <c:pt idx="85">
                  <c:v>-2.0228023544728138</c:v>
                </c:pt>
                <c:pt idx="86">
                  <c:v>-3.0730960719478349</c:v>
                </c:pt>
                <c:pt idx="87">
                  <c:v>-4.1146336994801107</c:v>
                </c:pt>
                <c:pt idx="88">
                  <c:v>-5.1470382601407971</c:v>
                </c:pt>
                <c:pt idx="89">
                  <c:v>-6.1725650979174667</c:v>
                </c:pt>
                <c:pt idx="90">
                  <c:v>-7.1929684372735725</c:v>
                </c:pt>
                <c:pt idx="91">
                  <c:v>-8.2110992821762334</c:v>
                </c:pt>
                <c:pt idx="92">
                  <c:v>-9.2300806142915963</c:v>
                </c:pt>
                <c:pt idx="93">
                  <c:v>-10.253855303674996</c:v>
                </c:pt>
                <c:pt idx="94">
                  <c:v>-10.510870326078155</c:v>
                </c:pt>
                <c:pt idx="95">
                  <c:v>-10.640394430208781</c:v>
                </c:pt>
                <c:pt idx="96">
                  <c:v>-10.768591642091184</c:v>
                </c:pt>
                <c:pt idx="97">
                  <c:v>-10.898424729971289</c:v>
                </c:pt>
                <c:pt idx="98">
                  <c:v>-11.026943265715335</c:v>
                </c:pt>
                <c:pt idx="99">
                  <c:v>-11.157149863338871</c:v>
                </c:pt>
                <c:pt idx="100">
                  <c:v>-11.286053290053914</c:v>
                </c:pt>
                <c:pt idx="101">
                  <c:v>-11.416597000032789</c:v>
                </c:pt>
                <c:pt idx="102">
                  <c:v>-11.5458499403122</c:v>
                </c:pt>
                <c:pt idx="103">
                  <c:v>-11.676888291542248</c:v>
                </c:pt>
                <c:pt idx="104">
                  <c:v>-11.806645450803162</c:v>
                </c:pt>
                <c:pt idx="105">
                  <c:v>-11.938138370672554</c:v>
                </c:pt>
                <c:pt idx="106">
                  <c:v>-12.068360713248206</c:v>
                </c:pt>
                <c:pt idx="107">
                  <c:v>-12.200271966933025</c:v>
                </c:pt>
                <c:pt idx="108">
                  <c:v>-12.33092413397392</c:v>
                </c:pt>
                <c:pt idx="109">
                  <c:v>-12.463310656039408</c:v>
                </c:pt>
                <c:pt idx="110">
                  <c:v>-12.594448630613659</c:v>
                </c:pt>
                <c:pt idx="111">
                  <c:v>-12.727451819451744</c:v>
                </c:pt>
                <c:pt idx="112">
                  <c:v>-12.859214479146061</c:v>
                </c:pt>
                <c:pt idx="113">
                  <c:v>-12.992793087007916</c:v>
                </c:pt>
                <c:pt idx="114">
                  <c:v>-13.125140058699689</c:v>
                </c:pt>
                <c:pt idx="115">
                  <c:v>-13.259341045046042</c:v>
                </c:pt>
                <c:pt idx="116">
                  <c:v>-13.392318483158727</c:v>
                </c:pt>
                <c:pt idx="117">
                  <c:v>-13.527185749144518</c:v>
                </c:pt>
                <c:pt idx="118">
                  <c:v>-13.660836787565561</c:v>
                </c:pt>
                <c:pt idx="119">
                  <c:v>-13.796329512398922</c:v>
                </c:pt>
                <c:pt idx="120">
                  <c:v>-13.930614042565912</c:v>
                </c:pt>
                <c:pt idx="121">
                  <c:v>-14.06677472889826</c:v>
                </c:pt>
                <c:pt idx="122">
                  <c:v>-14.201734429271454</c:v>
                </c:pt>
                <c:pt idx="123">
                  <c:v>-14.338681587206029</c:v>
                </c:pt>
                <c:pt idx="124">
                  <c:v>-14.474432810545927</c:v>
                </c:pt>
                <c:pt idx="125">
                  <c:v>-14.612121494984535</c:v>
                </c:pt>
                <c:pt idx="126">
                  <c:v>-14.748619974436641</c:v>
                </c:pt>
                <c:pt idx="127">
                  <c:v>-14.887084302336834</c:v>
                </c:pt>
                <c:pt idx="128">
                  <c:v>-15.024363418085327</c:v>
                </c:pt>
                <c:pt idx="129">
                  <c:v>-15.163634866335187</c:v>
                </c:pt>
                <c:pt idx="130">
                  <c:v>-15.301725383912117</c:v>
                </c:pt>
                <c:pt idx="131">
                  <c:v>-15.441832875371439</c:v>
                </c:pt>
                <c:pt idx="132">
                  <c:v>-15.511443336472489</c:v>
                </c:pt>
                <c:pt idx="133">
                  <c:v>-15.58076303018138</c:v>
                </c:pt>
                <c:pt idx="134">
                  <c:v>-15.651432988151532</c:v>
                </c:pt>
                <c:pt idx="135">
                  <c:v>-15.721805485687243</c:v>
                </c:pt>
                <c:pt idx="136">
                  <c:v>-15.791884100212057</c:v>
                </c:pt>
                <c:pt idx="137">
                  <c:v>-15.861672335771345</c:v>
                </c:pt>
                <c:pt idx="138">
                  <c:v>-15.932748264769058</c:v>
                </c:pt>
                <c:pt idx="139">
                  <c:v>-16.003527666350085</c:v>
                </c:pt>
                <c:pt idx="140">
                  <c:v>-16.074014063222897</c:v>
                </c:pt>
                <c:pt idx="141">
                  <c:v>-16.144210906167359</c:v>
                </c:pt>
                <c:pt idx="142">
                  <c:v>-16.215775950837234</c:v>
                </c:pt>
                <c:pt idx="143">
                  <c:v>-16.287044642041273</c:v>
                </c:pt>
                <c:pt idx="144">
                  <c:v>-16.358020460204997</c:v>
                </c:pt>
                <c:pt idx="145">
                  <c:v>-16.428706815008599</c:v>
                </c:pt>
                <c:pt idx="146">
                  <c:v>-16.500734442401459</c:v>
                </c:pt>
                <c:pt idx="147">
                  <c:v>-16.572466043864178</c:v>
                </c:pt>
                <c:pt idx="148">
                  <c:v>-16.643905053966851</c:v>
                </c:pt>
                <c:pt idx="149">
                  <c:v>-16.715054837889369</c:v>
                </c:pt>
                <c:pt idx="150">
                  <c:v>-16.787553807912097</c:v>
                </c:pt>
                <c:pt idx="151">
                  <c:v>-16.859756934848495</c:v>
                </c:pt>
                <c:pt idx="152">
                  <c:v>-16.931667609412923</c:v>
                </c:pt>
                <c:pt idx="153">
                  <c:v>-17.003289154309382</c:v>
                </c:pt>
                <c:pt idx="154">
                  <c:v>-17.076300684805901</c:v>
                </c:pt>
                <c:pt idx="155">
                  <c:v>-17.149016146563813</c:v>
                </c:pt>
                <c:pt idx="156">
                  <c:v>-17.221438893185553</c:v>
                </c:pt>
                <c:pt idx="157">
                  <c:v>-17.293572211546532</c:v>
                </c:pt>
                <c:pt idx="158">
                  <c:v>-17.367101379353148</c:v>
                </c:pt>
                <c:pt idx="159">
                  <c:v>-17.440334140561433</c:v>
                </c:pt>
                <c:pt idx="160">
                  <c:v>-17.513273813583719</c:v>
                </c:pt>
                <c:pt idx="161">
                  <c:v>-17.585923651425507</c:v>
                </c:pt>
                <c:pt idx="162">
                  <c:v>-17.659942169822529</c:v>
                </c:pt>
                <c:pt idx="163">
                  <c:v>-17.73366409787662</c:v>
                </c:pt>
                <c:pt idx="164">
                  <c:v>-17.807092716686178</c:v>
                </c:pt>
                <c:pt idx="165">
                  <c:v>-17.880231243408605</c:v>
                </c:pt>
                <c:pt idx="166">
                  <c:v>-17.954807838626095</c:v>
                </c:pt>
                <c:pt idx="167">
                  <c:v>-18.02908703870219</c:v>
                </c:pt>
                <c:pt idx="168">
                  <c:v>-18.103072098510758</c:v>
                </c:pt>
                <c:pt idx="169">
                  <c:v>-18.176766210258066</c:v>
                </c:pt>
                <c:pt idx="170">
                  <c:v>-18.251744615984723</c:v>
                </c:pt>
                <c:pt idx="171">
                  <c:v>-18.326425993021651</c:v>
                </c:pt>
                <c:pt idx="172">
                  <c:v>-18.400813552235032</c:v>
                </c:pt>
                <c:pt idx="173">
                  <c:v>-18.474910443644202</c:v>
                </c:pt>
                <c:pt idx="174">
                  <c:v>-18.550576807436368</c:v>
                </c:pt>
                <c:pt idx="175">
                  <c:v>-18.625944179514498</c:v>
                </c:pt>
                <c:pt idx="176">
                  <c:v>-18.701015766109901</c:v>
                </c:pt>
                <c:pt idx="177">
                  <c:v>-18.775794713537344</c:v>
                </c:pt>
                <c:pt idx="178">
                  <c:v>-18.85211219465446</c:v>
                </c:pt>
                <c:pt idx="179">
                  <c:v>-18.928128969135706</c:v>
                </c:pt>
                <c:pt idx="180">
                  <c:v>-19.003848236412512</c:v>
                </c:pt>
                <c:pt idx="181">
                  <c:v>-19.079273137103584</c:v>
                </c:pt>
                <c:pt idx="182">
                  <c:v>-19.155906476845061</c:v>
                </c:pt>
                <c:pt idx="183">
                  <c:v>-19.232239978191735</c:v>
                </c:pt>
                <c:pt idx="184">
                  <c:v>-19.308276795529146</c:v>
                </c:pt>
                <c:pt idx="185">
                  <c:v>-19.38402002656678</c:v>
                </c:pt>
                <c:pt idx="186">
                  <c:v>-19.461539895486688</c:v>
                </c:pt>
                <c:pt idx="187">
                  <c:v>-19.538756291521334</c:v>
                </c:pt>
                <c:pt idx="188">
                  <c:v>-19.615672398177782</c:v>
                </c:pt>
                <c:pt idx="189">
                  <c:v>-19.692291342768218</c:v>
                </c:pt>
                <c:pt idx="190">
                  <c:v>-19.770069939336341</c:v>
                </c:pt>
                <c:pt idx="191">
                  <c:v>-19.847546309931221</c:v>
                </c:pt>
                <c:pt idx="192">
                  <c:v>-19.924723594470212</c:v>
                </c:pt>
                <c:pt idx="193">
                  <c:v>-20.001604878978611</c:v>
                </c:pt>
                <c:pt idx="194">
                  <c:v>-20.080197216726493</c:v>
                </c:pt>
                <c:pt idx="195">
                  <c:v>-20.158484247969572</c:v>
                </c:pt>
                <c:pt idx="196">
                  <c:v>-20.236469140962789</c:v>
                </c:pt>
                <c:pt idx="197">
                  <c:v>-20.314155010843706</c:v>
                </c:pt>
                <c:pt idx="198">
                  <c:v>-20.393236302173207</c:v>
                </c:pt>
                <c:pt idx="199">
                  <c:v>-20.472011745376943</c:v>
                </c:pt>
                <c:pt idx="200">
                  <c:v>-20.550484502720106</c:v>
                </c:pt>
                <c:pt idx="201">
                  <c:v>-20.62865768503012</c:v>
                </c:pt>
                <c:pt idx="202">
                  <c:v>-20.708199916234328</c:v>
                </c:pt>
                <c:pt idx="203">
                  <c:v>-20.787435998931237</c:v>
                </c:pt>
                <c:pt idx="204">
                  <c:v>-20.866369091633679</c:v>
                </c:pt>
                <c:pt idx="205">
                  <c:v>-20.945002303162102</c:v>
                </c:pt>
                <c:pt idx="206">
                  <c:v>-21.025252322628734</c:v>
                </c:pt>
                <c:pt idx="207">
                  <c:v>-21.105194053745713</c:v>
                </c:pt>
                <c:pt idx="208">
                  <c:v>-21.184830686408951</c:v>
                </c:pt>
                <c:pt idx="209">
                  <c:v>-21.264165361973451</c:v>
                </c:pt>
                <c:pt idx="210">
                  <c:v>-21.345354986658531</c:v>
                </c:pt>
                <c:pt idx="211">
                  <c:v>-21.426232509801409</c:v>
                </c:pt>
                <c:pt idx="212">
                  <c:v>-21.506801186514718</c:v>
                </c:pt>
                <c:pt idx="213">
                  <c:v>-21.587064224032467</c:v>
                </c:pt>
                <c:pt idx="214">
                  <c:v>-21.668615627908071</c:v>
                </c:pt>
                <c:pt idx="215">
                  <c:v>-21.749855679444089</c:v>
                </c:pt>
                <c:pt idx="216">
                  <c:v>-21.830787636724306</c:v>
                </c:pt>
                <c:pt idx="217">
                  <c:v>-21.911414712005687</c:v>
                </c:pt>
                <c:pt idx="218">
                  <c:v>-21.993568102478346</c:v>
                </c:pt>
                <c:pt idx="219">
                  <c:v>-22.075409205651312</c:v>
                </c:pt>
                <c:pt idx="220">
                  <c:v>-22.156941318684886</c:v>
                </c:pt>
                <c:pt idx="221">
                  <c:v>-22.238167694438566</c:v>
                </c:pt>
                <c:pt idx="222">
                  <c:v>-22.320892154786879</c:v>
                </c:pt>
                <c:pt idx="223">
                  <c:v>-22.403303833248277</c:v>
                </c:pt>
                <c:pt idx="224">
                  <c:v>-22.485406070252122</c:v>
                </c:pt>
                <c:pt idx="225">
                  <c:v>-22.567202163566648</c:v>
                </c:pt>
                <c:pt idx="226">
                  <c:v>-22.650722512410624</c:v>
                </c:pt>
                <c:pt idx="227">
                  <c:v>-22.733928150920949</c:v>
                </c:pt>
                <c:pt idx="228">
                  <c:v>-22.816822498732133</c:v>
                </c:pt>
                <c:pt idx="229">
                  <c:v>-22.89940893407822</c:v>
                </c:pt>
                <c:pt idx="230">
                  <c:v>-23.067650653863172</c:v>
                </c:pt>
                <c:pt idx="231">
                  <c:v>-23.151300986072517</c:v>
                </c:pt>
                <c:pt idx="232">
                  <c:v>-23.2346422654226</c:v>
                </c:pt>
                <c:pt idx="233">
                  <c:v>-23.319645404353857</c:v>
                </c:pt>
                <c:pt idx="234">
                  <c:v>-23.40433186797268</c:v>
                </c:pt>
                <c:pt idx="235">
                  <c:v>-23.488705251491044</c:v>
                </c:pt>
                <c:pt idx="236">
                  <c:v>-23.572769111837921</c:v>
                </c:pt>
                <c:pt idx="237">
                  <c:v>-23.658223260731141</c:v>
                </c:pt>
                <c:pt idx="238">
                  <c:v>-23.743362563088056</c:v>
                </c:pt>
                <c:pt idx="239">
                  <c:v>-23.828190681889186</c:v>
                </c:pt>
                <c:pt idx="240">
                  <c:v>-23.912711244118846</c:v>
                </c:pt>
                <c:pt idx="241">
                  <c:v>-23.999077153654444</c:v>
                </c:pt>
                <c:pt idx="242">
                  <c:v>-24.085127194799561</c:v>
                </c:pt>
                <c:pt idx="243">
                  <c:v>-24.170865170321434</c:v>
                </c:pt>
                <c:pt idx="244">
                  <c:v>-24.256294848703419</c:v>
                </c:pt>
                <c:pt idx="245">
                  <c:v>-24.343302973538108</c:v>
                </c:pt>
                <c:pt idx="246">
                  <c:v>-24.42999684364958</c:v>
                </c:pt>
                <c:pt idx="247">
                  <c:v>-24.516380380992686</c:v>
                </c:pt>
                <c:pt idx="248">
                  <c:v>-24.602457475647952</c:v>
                </c:pt>
                <c:pt idx="249">
                  <c:v>-24.690320300699888</c:v>
                </c:pt>
                <c:pt idx="250">
                  <c:v>-24.777869719333111</c:v>
                </c:pt>
                <c:pt idx="251">
                  <c:v>-24.8651098177534</c:v>
                </c:pt>
                <c:pt idx="252">
                  <c:v>-24.952044652720442</c:v>
                </c:pt>
                <c:pt idx="253">
                  <c:v>-25.040508542292244</c:v>
                </c:pt>
                <c:pt idx="254">
                  <c:v>-25.128662572468691</c:v>
                </c:pt>
                <c:pt idx="255">
                  <c:v>-25.216510976666221</c:v>
                </c:pt>
                <c:pt idx="256">
                  <c:v>-25.304057962019311</c:v>
                </c:pt>
                <c:pt idx="257">
                  <c:v>-25.393564154349001</c:v>
                </c:pt>
                <c:pt idx="258">
                  <c:v>-25.48276199961759</c:v>
                </c:pt>
                <c:pt idx="259">
                  <c:v>-25.571655963251018</c:v>
                </c:pt>
                <c:pt idx="260">
                  <c:v>-25.660250487559935</c:v>
                </c:pt>
                <c:pt idx="261">
                  <c:v>-25.750553405979137</c:v>
                </c:pt>
                <c:pt idx="262">
                  <c:v>-25.840552450397322</c:v>
                </c:pt>
                <c:pt idx="263">
                  <c:v>-25.930252307331507</c:v>
                </c:pt>
                <c:pt idx="264">
                  <c:v>-26.019657644283093</c:v>
                </c:pt>
                <c:pt idx="265">
                  <c:v>-26.110750198134443</c:v>
                </c:pt>
                <c:pt idx="266">
                  <c:v>-26.201544805417278</c:v>
                </c:pt>
                <c:pt idx="267">
                  <c:v>-26.292046400066695</c:v>
                </c:pt>
                <c:pt idx="268">
                  <c:v>-26.382259901881767</c:v>
                </c:pt>
                <c:pt idx="269">
                  <c:v>-26.474358986172639</c:v>
                </c:pt>
                <c:pt idx="270">
                  <c:v>-26.566166298919789</c:v>
                </c:pt>
                <c:pt idx="271">
                  <c:v>-26.657687089672471</c:v>
                </c:pt>
                <c:pt idx="272">
                  <c:v>-26.748926599590611</c:v>
                </c:pt>
                <c:pt idx="273">
                  <c:v>-26.84203213848307</c:v>
                </c:pt>
                <c:pt idx="274">
                  <c:v>-26.934854064966114</c:v>
                </c:pt>
                <c:pt idx="275">
                  <c:v>-27.027397984205823</c:v>
                </c:pt>
                <c:pt idx="276">
                  <c:v>-27.119669500012883</c:v>
                </c:pt>
                <c:pt idx="277">
                  <c:v>-27.213579364979282</c:v>
                </c:pt>
                <c:pt idx="278">
                  <c:v>-27.307217213989116</c:v>
                </c:pt>
                <c:pt idx="279">
                  <c:v>-27.400589015200026</c:v>
                </c:pt>
                <c:pt idx="280">
                  <c:v>-27.493700743941979</c:v>
                </c:pt>
                <c:pt idx="281">
                  <c:v>-27.589070237781375</c:v>
                </c:pt>
                <c:pt idx="282">
                  <c:v>-27.684178189029481</c:v>
                </c:pt>
                <c:pt idx="283">
                  <c:v>-27.779031110115582</c:v>
                </c:pt>
                <c:pt idx="284">
                  <c:v>-27.873635531383488</c:v>
                </c:pt>
                <c:pt idx="285">
                  <c:v>-27.969862118444112</c:v>
                </c:pt>
                <c:pt idx="286">
                  <c:v>-28.065844062271555</c:v>
                </c:pt>
                <c:pt idx="287">
                  <c:v>-28.161588362602462</c:v>
                </c:pt>
                <c:pt idx="288">
                  <c:v>-28.257102049821338</c:v>
                </c:pt>
                <c:pt idx="289">
                  <c:v>-28.354853686035824</c:v>
                </c:pt>
                <c:pt idx="290">
                  <c:v>-28.452377727114985</c:v>
                </c:pt>
                <c:pt idx="291">
                  <c:v>-28.549681883151635</c:v>
                </c:pt>
                <c:pt idx="292">
                  <c:v>-28.646773911494282</c:v>
                </c:pt>
                <c:pt idx="293">
                  <c:v>-28.745898269080257</c:v>
                </c:pt>
                <c:pt idx="294">
                  <c:v>-28.844817175677345</c:v>
                </c:pt>
                <c:pt idx="295">
                  <c:v>-28.943539115638345</c:v>
                </c:pt>
                <c:pt idx="296">
                  <c:v>-29.042072640914576</c:v>
                </c:pt>
                <c:pt idx="297">
                  <c:v>-29.142645908713632</c:v>
                </c:pt>
                <c:pt idx="298">
                  <c:v>-29.243040475798274</c:v>
                </c:pt>
                <c:pt idx="299">
                  <c:v>-29.343265733793082</c:v>
                </c:pt>
                <c:pt idx="300">
                  <c:v>-29.443331167253714</c:v>
                </c:pt>
                <c:pt idx="301">
                  <c:v>-29.545451698331927</c:v>
                </c:pt>
                <c:pt idx="302">
                  <c:v>-29.647425620415255</c:v>
                </c:pt>
                <c:pt idx="303">
                  <c:v>-29.749263395082707</c:v>
                </c:pt>
                <c:pt idx="304">
                  <c:v>-29.850975608448522</c:v>
                </c:pt>
                <c:pt idx="305">
                  <c:v>-29.955166393740868</c:v>
                </c:pt>
                <c:pt idx="306">
                  <c:v>-30.059248102945496</c:v>
                </c:pt>
                <c:pt idx="307">
                  <c:v>-30.163232604086531</c:v>
                </c:pt>
                <c:pt idx="308">
                  <c:v>-30.26713193184408</c:v>
                </c:pt>
                <c:pt idx="309">
                  <c:v>-30.373145511752586</c:v>
                </c:pt>
                <c:pt idx="310">
                  <c:v>-30.479096214424185</c:v>
                </c:pt>
                <c:pt idx="311">
                  <c:v>-30.584997441298416</c:v>
                </c:pt>
                <c:pt idx="312">
                  <c:v>-30.690862810899525</c:v>
                </c:pt>
                <c:pt idx="313">
                  <c:v>-30.799287557150699</c:v>
                </c:pt>
                <c:pt idx="314">
                  <c:v>-30.907704347014882</c:v>
                </c:pt>
                <c:pt idx="315">
                  <c:v>-31.01612859448684</c:v>
                </c:pt>
                <c:pt idx="316">
                  <c:v>-31.124575998373771</c:v>
                </c:pt>
                <c:pt idx="317">
                  <c:v>-31.23564617873717</c:v>
                </c:pt>
                <c:pt idx="318">
                  <c:v>-31.346774902977472</c:v>
                </c:pt>
                <c:pt idx="319">
                  <c:v>-31.457980030594189</c:v>
                </c:pt>
                <c:pt idx="320">
                  <c:v>-31.569279792893894</c:v>
                </c:pt>
                <c:pt idx="321">
                  <c:v>-31.683285309012508</c:v>
                </c:pt>
                <c:pt idx="322">
                  <c:v>-31.7974297977022</c:v>
                </c:pt>
                <c:pt idx="323">
                  <c:v>-31.911734110536582</c:v>
                </c:pt>
                <c:pt idx="324">
                  <c:v>-32.026219583125695</c:v>
                </c:pt>
                <c:pt idx="325">
                  <c:v>-32.143517146063381</c:v>
                </c:pt>
                <c:pt idx="326">
                  <c:v>-32.26105097891179</c:v>
                </c:pt>
                <c:pt idx="327">
                  <c:v>-32.378845619411535</c:v>
                </c:pt>
                <c:pt idx="328">
                  <c:v>-32.496926234891575</c:v>
                </c:pt>
                <c:pt idx="329">
                  <c:v>-32.618156010969884</c:v>
                </c:pt>
                <c:pt idx="330">
                  <c:v>-32.739741162411619</c:v>
                </c:pt>
                <c:pt idx="331">
                  <c:v>-32.861710948734029</c:v>
                </c:pt>
                <c:pt idx="332">
                  <c:v>-32.984095454636694</c:v>
                </c:pt>
                <c:pt idx="333">
                  <c:v>-33.109596568257501</c:v>
                </c:pt>
                <c:pt idx="334">
                  <c:v>-33.23559688614187</c:v>
                </c:pt>
                <c:pt idx="335">
                  <c:v>-33.362131416516462</c:v>
                </c:pt>
                <c:pt idx="336">
                  <c:v>-33.489236244529749</c:v>
                </c:pt>
                <c:pt idx="337">
                  <c:v>-33.620086737348892</c:v>
                </c:pt>
                <c:pt idx="338">
                  <c:v>-33.751616192412811</c:v>
                </c:pt>
                <c:pt idx="339">
                  <c:v>-33.883867275240725</c:v>
                </c:pt>
                <c:pt idx="340">
                  <c:v>-34.016884081081272</c:v>
                </c:pt>
                <c:pt idx="341">
                  <c:v>-34.153924157905749</c:v>
                </c:pt>
                <c:pt idx="342">
                  <c:v>-34.29186549868276</c:v>
                </c:pt>
                <c:pt idx="343">
                  <c:v>-34.430760576293068</c:v>
                </c:pt>
                <c:pt idx="344">
                  <c:v>-34.57066377294786</c:v>
                </c:pt>
                <c:pt idx="345">
                  <c:v>-34.714717835404521</c:v>
                </c:pt>
                <c:pt idx="346">
                  <c:v>-34.859945785485735</c:v>
                </c:pt>
                <c:pt idx="347">
                  <c:v>-35.006412484825432</c:v>
                </c:pt>
                <c:pt idx="348">
                  <c:v>-35.154185349450188</c:v>
                </c:pt>
                <c:pt idx="349">
                  <c:v>-35.306990074486549</c:v>
                </c:pt>
                <c:pt idx="350">
                  <c:v>-35.461317498558884</c:v>
                </c:pt>
                <c:pt idx="351">
                  <c:v>-35.617249386210233</c:v>
                </c:pt>
                <c:pt idx="352">
                  <c:v>-35.774870998415992</c:v>
                </c:pt>
                <c:pt idx="353">
                  <c:v>-35.938088975957228</c:v>
                </c:pt>
                <c:pt idx="354">
                  <c:v>-36.103271089310589</c:v>
                </c:pt>
                <c:pt idx="355">
                  <c:v>-36.270521633895918</c:v>
                </c:pt>
                <c:pt idx="356">
                  <c:v>-36.439949758918893</c:v>
                </c:pt>
                <c:pt idx="357">
                  <c:v>-36.615440087829903</c:v>
                </c:pt>
                <c:pt idx="358">
                  <c:v>-36.793451233083843</c:v>
                </c:pt>
                <c:pt idx="359">
                  <c:v>-36.97411746123003</c:v>
                </c:pt>
                <c:pt idx="360">
                  <c:v>-37.157579862272712</c:v>
                </c:pt>
                <c:pt idx="361">
                  <c:v>-37.348532283505762</c:v>
                </c:pt>
                <c:pt idx="362">
                  <c:v>-37.542741351171742</c:v>
                </c:pt>
                <c:pt idx="363">
                  <c:v>-37.740384222414299</c:v>
                </c:pt>
                <c:pt idx="364">
                  <c:v>-37.941647993535376</c:v>
                </c:pt>
                <c:pt idx="365">
                  <c:v>-38.151332814382322</c:v>
                </c:pt>
                <c:pt idx="366">
                  <c:v>-38.365231786871384</c:v>
                </c:pt>
                <c:pt idx="367">
                  <c:v>-38.58358238766899</c:v>
                </c:pt>
                <c:pt idx="368">
                  <c:v>-38.806636952875138</c:v>
                </c:pt>
                <c:pt idx="369">
                  <c:v>-39.040305410290294</c:v>
                </c:pt>
                <c:pt idx="370">
                  <c:v>-39.27950052117771</c:v>
                </c:pt>
                <c:pt idx="371">
                  <c:v>-39.524551494572677</c:v>
                </c:pt>
                <c:pt idx="372">
                  <c:v>-39.775810944141206</c:v>
                </c:pt>
                <c:pt idx="373">
                  <c:v>-40.039549826355085</c:v>
                </c:pt>
                <c:pt idx="374">
                  <c:v>-40.310611540647201</c:v>
                </c:pt>
                <c:pt idx="375">
                  <c:v>-40.589466223453947</c:v>
                </c:pt>
                <c:pt idx="376">
                  <c:v>-40.876622703789529</c:v>
                </c:pt>
                <c:pt idx="377">
                  <c:v>-41.180044628622667</c:v>
                </c:pt>
                <c:pt idx="378">
                  <c:v>-41.493409670527079</c:v>
                </c:pt>
                <c:pt idx="379">
                  <c:v>-41.817425894652267</c:v>
                </c:pt>
                <c:pt idx="380">
                  <c:v>-42.152870682127173</c:v>
                </c:pt>
                <c:pt idx="381">
                  <c:v>-42.508225390586638</c:v>
                </c:pt>
                <c:pt idx="382">
                  <c:v>-42.877411773484212</c:v>
                </c:pt>
                <c:pt idx="383">
                  <c:v>-43.261556815838745</c:v>
                </c:pt>
                <c:pt idx="384">
                  <c:v>-43.661922225388359</c:v>
                </c:pt>
                <c:pt idx="385">
                  <c:v>-44.090525029057304</c:v>
                </c:pt>
                <c:pt idx="386">
                  <c:v>-44.53938783679601</c:v>
                </c:pt>
                <c:pt idx="387">
                  <c:v>-45.010492619775206</c:v>
                </c:pt>
                <c:pt idx="388">
                  <c:v>-45.506122277933159</c:v>
                </c:pt>
                <c:pt idx="389">
                  <c:v>-46.041281941602712</c:v>
                </c:pt>
                <c:pt idx="390">
                  <c:v>-46.608214224574951</c:v>
                </c:pt>
                <c:pt idx="391">
                  <c:v>-47.210878375479012</c:v>
                </c:pt>
                <c:pt idx="392">
                  <c:v>-47.854034277130204</c:v>
                </c:pt>
                <c:pt idx="393">
                  <c:v>-48.559548085107679</c:v>
                </c:pt>
                <c:pt idx="394">
                  <c:v>-49.321145410891347</c:v>
                </c:pt>
                <c:pt idx="395">
                  <c:v>-50.148549575945921</c:v>
                </c:pt>
                <c:pt idx="396">
                  <c:v>-51.054323952813697</c:v>
                </c:pt>
                <c:pt idx="397">
                  <c:v>-52.080765044820097</c:v>
                </c:pt>
                <c:pt idx="398">
                  <c:v>-53.231455060603842</c:v>
                </c:pt>
                <c:pt idx="399">
                  <c:v>-54.541513145005027</c:v>
                </c:pt>
                <c:pt idx="400">
                  <c:v>-56.063785862692875</c:v>
                </c:pt>
                <c:pt idx="401">
                  <c:v>-57.92876219013629</c:v>
                </c:pt>
                <c:pt idx="402">
                  <c:v>-60.266936710775177</c:v>
                </c:pt>
                <c:pt idx="403">
                  <c:v>-63.415813195948886</c:v>
                </c:pt>
                <c:pt idx="404">
                  <c:v>-68.293643163503148</c:v>
                </c:pt>
                <c:pt idx="405">
                  <c:v>-80.585961424811416</c:v>
                </c:pt>
                <c:pt idx="406">
                  <c:v>-74.319148642593433</c:v>
                </c:pt>
                <c:pt idx="407">
                  <c:v>-66.515272071503574</c:v>
                </c:pt>
                <c:pt idx="408">
                  <c:v>-62.541835058574918</c:v>
                </c:pt>
                <c:pt idx="409">
                  <c:v>-59.825250099541393</c:v>
                </c:pt>
                <c:pt idx="410">
                  <c:v>-57.804084482621647</c:v>
                </c:pt>
                <c:pt idx="411">
                  <c:v>-56.204146350804571</c:v>
                </c:pt>
                <c:pt idx="412">
                  <c:v>-54.887488688959884</c:v>
                </c:pt>
                <c:pt idx="413">
                  <c:v>-53.751016951535405</c:v>
                </c:pt>
                <c:pt idx="414">
                  <c:v>-52.775066221816651</c:v>
                </c:pt>
                <c:pt idx="415">
                  <c:v>-51.924331960066951</c:v>
                </c:pt>
                <c:pt idx="416">
                  <c:v>-51.174154702178782</c:v>
                </c:pt>
                <c:pt idx="417">
                  <c:v>-50.491690210716051</c:v>
                </c:pt>
                <c:pt idx="418">
                  <c:v>-49.881466201849946</c:v>
                </c:pt>
                <c:pt idx="419">
                  <c:v>-49.33247412927112</c:v>
                </c:pt>
                <c:pt idx="420">
                  <c:v>-48.836089782570873</c:v>
                </c:pt>
                <c:pt idx="421">
                  <c:v>-48.375921297403039</c:v>
                </c:pt>
                <c:pt idx="422">
                  <c:v>-47.957555467424491</c:v>
                </c:pt>
                <c:pt idx="423">
                  <c:v>-47.576092558669359</c:v>
                </c:pt>
                <c:pt idx="424">
                  <c:v>-47.227454263653705</c:v>
                </c:pt>
                <c:pt idx="425">
                  <c:v>-46.900694509501193</c:v>
                </c:pt>
                <c:pt idx="426">
                  <c:v>-46.601650345449848</c:v>
                </c:pt>
                <c:pt idx="427">
                  <c:v>-46.327632805647276</c:v>
                </c:pt>
                <c:pt idx="428">
                  <c:v>-46.076318791449694</c:v>
                </c:pt>
                <c:pt idx="429">
                  <c:v>-45.840597437094146</c:v>
                </c:pt>
                <c:pt idx="430">
                  <c:v>-45.624624837638649</c:v>
                </c:pt>
                <c:pt idx="431">
                  <c:v>-45.426730804202947</c:v>
                </c:pt>
                <c:pt idx="432">
                  <c:v>-45.245436200977693</c:v>
                </c:pt>
                <c:pt idx="433">
                  <c:v>-45.075849532343035</c:v>
                </c:pt>
                <c:pt idx="434">
                  <c:v>-44.920983806824275</c:v>
                </c:pt>
                <c:pt idx="435">
                  <c:v>-44.779710602283693</c:v>
                </c:pt>
                <c:pt idx="436">
                  <c:v>-44.651013980670029</c:v>
                </c:pt>
                <c:pt idx="437">
                  <c:v>-44.5313170736828</c:v>
                </c:pt>
                <c:pt idx="438">
                  <c:v>-44.422949986199455</c:v>
                </c:pt>
                <c:pt idx="439">
                  <c:v>-44.325103000715899</c:v>
                </c:pt>
                <c:pt idx="440">
                  <c:v>-44.237039397204725</c:v>
                </c:pt>
                <c:pt idx="441">
                  <c:v>-44.156349829795573</c:v>
                </c:pt>
                <c:pt idx="442">
                  <c:v>-44.084544189017834</c:v>
                </c:pt>
                <c:pt idx="443">
                  <c:v>-44.021021357136945</c:v>
                </c:pt>
                <c:pt idx="444">
                  <c:v>-43.96523084353398</c:v>
                </c:pt>
                <c:pt idx="445">
                  <c:v>-43.915641595391548</c:v>
                </c:pt>
                <c:pt idx="446">
                  <c:v>-43.873117201811986</c:v>
                </c:pt>
                <c:pt idx="447">
                  <c:v>-43.837202502767283</c:v>
                </c:pt>
                <c:pt idx="448">
                  <c:v>-43.80747918612294</c:v>
                </c:pt>
                <c:pt idx="449">
                  <c:v>-43.783056928226031</c:v>
                </c:pt>
                <c:pt idx="450">
                  <c:v>-43.764343278214248</c:v>
                </c:pt>
                <c:pt idx="451">
                  <c:v>-43.750988768648973</c:v>
                </c:pt>
                <c:pt idx="452">
                  <c:v>-43.742671889475105</c:v>
                </c:pt>
                <c:pt idx="453">
                  <c:v>-43.739068574575917</c:v>
                </c:pt>
                <c:pt idx="454">
                  <c:v>-43.74013275353888</c:v>
                </c:pt>
                <c:pt idx="455">
                  <c:v>-43.745597012225545</c:v>
                </c:pt>
                <c:pt idx="456">
                  <c:v>-43.755215658316843</c:v>
                </c:pt>
                <c:pt idx="457">
                  <c:v>-43.76913052356273</c:v>
                </c:pt>
                <c:pt idx="458">
                  <c:v>-43.786940847783001</c:v>
                </c:pt>
                <c:pt idx="459">
                  <c:v>-43.80844340451371</c:v>
                </c:pt>
                <c:pt idx="460">
                  <c:v>-43.833452391148185</c:v>
                </c:pt>
                <c:pt idx="461">
                  <c:v>-43.862493595583246</c:v>
                </c:pt>
                <c:pt idx="462">
                  <c:v>-43.894862801837988</c:v>
                </c:pt>
                <c:pt idx="463">
                  <c:v>-43.93041003968456</c:v>
                </c:pt>
                <c:pt idx="464">
                  <c:v>-43.968999735383854</c:v>
                </c:pt>
                <c:pt idx="465">
                  <c:v>-44.011516823794778</c:v>
                </c:pt>
                <c:pt idx="466">
                  <c:v>-44.056975749870844</c:v>
                </c:pt>
                <c:pt idx="467">
                  <c:v>-44.105272553884028</c:v>
                </c:pt>
                <c:pt idx="468">
                  <c:v>-44.156315708286812</c:v>
                </c:pt>
                <c:pt idx="469">
                  <c:v>-44.21128616684706</c:v>
                </c:pt>
                <c:pt idx="470">
                  <c:v>-44.268973728812462</c:v>
                </c:pt>
                <c:pt idx="471">
                  <c:v>-44.329317109312498</c:v>
                </c:pt>
                <c:pt idx="472">
                  <c:v>-44.392266415594285</c:v>
                </c:pt>
                <c:pt idx="473">
                  <c:v>-44.459378486243224</c:v>
                </c:pt>
                <c:pt idx="474">
                  <c:v>-44.529151688660569</c:v>
                </c:pt>
                <c:pt idx="475">
                  <c:v>-44.601567535941165</c:v>
                </c:pt>
                <c:pt idx="476">
                  <c:v>-44.676618933756316</c:v>
                </c:pt>
                <c:pt idx="477">
                  <c:v>-44.756153731389851</c:v>
                </c:pt>
                <c:pt idx="478">
                  <c:v>-44.838469644742119</c:v>
                </c:pt>
                <c:pt idx="479">
                  <c:v>-44.923595851949038</c:v>
                </c:pt>
                <c:pt idx="480">
                  <c:v>-45.011574121381827</c:v>
                </c:pt>
                <c:pt idx="481">
                  <c:v>-45.104564888740704</c:v>
                </c:pt>
                <c:pt idx="482">
                  <c:v>-45.200669039785559</c:v>
                </c:pt>
                <c:pt idx="483">
                  <c:v>-45.299974115852322</c:v>
                </c:pt>
                <c:pt idx="484">
                  <c:v>-45.402583125588343</c:v>
                </c:pt>
                <c:pt idx="485">
                  <c:v>-45.511093207165544</c:v>
                </c:pt>
                <c:pt idx="486">
                  <c:v>-45.623331639914809</c:v>
                </c:pt>
                <c:pt idx="487">
                  <c:v>-45.739464176568731</c:v>
                </c:pt>
                <c:pt idx="488">
                  <c:v>-45.859677562195884</c:v>
                </c:pt>
                <c:pt idx="489">
                  <c:v>-45.987201566401311</c:v>
                </c:pt>
                <c:pt idx="490">
                  <c:v>-46.119473280171633</c:v>
                </c:pt>
                <c:pt idx="491">
                  <c:v>-46.256772029791236</c:v>
                </c:pt>
                <c:pt idx="492">
                  <c:v>-46.399408188183465</c:v>
                </c:pt>
                <c:pt idx="493">
                  <c:v>-46.551248108907274</c:v>
                </c:pt>
                <c:pt idx="494">
                  <c:v>-46.709446139037787</c:v>
                </c:pt>
                <c:pt idx="495">
                  <c:v>-46.8744556494878</c:v>
                </c:pt>
                <c:pt idx="496">
                  <c:v>-47.046779097029599</c:v>
                </c:pt>
                <c:pt idx="497">
                  <c:v>-47.231287382333072</c:v>
                </c:pt>
                <c:pt idx="498">
                  <c:v>-47.424701385456586</c:v>
                </c:pt>
                <c:pt idx="499">
                  <c:v>-47.627757233453082</c:v>
                </c:pt>
                <c:pt idx="500">
                  <c:v>-47.841273901156356</c:v>
                </c:pt>
                <c:pt idx="501">
                  <c:v>-48.071591500855874</c:v>
                </c:pt>
                <c:pt idx="502">
                  <c:v>-48.31491581056472</c:v>
                </c:pt>
                <c:pt idx="503">
                  <c:v>-48.572471239795632</c:v>
                </c:pt>
                <c:pt idx="504">
                  <c:v>-48.845633177669171</c:v>
                </c:pt>
                <c:pt idx="505">
                  <c:v>-49.142829432974509</c:v>
                </c:pt>
                <c:pt idx="506">
                  <c:v>-49.45985631240486</c:v>
                </c:pt>
                <c:pt idx="507">
                  <c:v>-49.798850389798815</c:v>
                </c:pt>
                <c:pt idx="508">
                  <c:v>-50.162254976617824</c:v>
                </c:pt>
                <c:pt idx="509">
                  <c:v>-50.562227450516119</c:v>
                </c:pt>
                <c:pt idx="510">
                  <c:v>-50.994181141714762</c:v>
                </c:pt>
                <c:pt idx="511">
                  <c:v>-51.462203657967265</c:v>
                </c:pt>
                <c:pt idx="512">
                  <c:v>-51.971129204431634</c:v>
                </c:pt>
                <c:pt idx="513">
                  <c:v>-52.540535808579421</c:v>
                </c:pt>
                <c:pt idx="514">
                  <c:v>-53.166416810867638</c:v>
                </c:pt>
                <c:pt idx="515">
                  <c:v>-53.85811679627917</c:v>
                </c:pt>
                <c:pt idx="516">
                  <c:v>-54.627446298984466</c:v>
                </c:pt>
                <c:pt idx="517">
                  <c:v>-55.510917382065557</c:v>
                </c:pt>
                <c:pt idx="518">
                  <c:v>-56.513599936359221</c:v>
                </c:pt>
                <c:pt idx="519">
                  <c:v>-57.666017539630602</c:v>
                </c:pt>
                <c:pt idx="520">
                  <c:v>-59.01271202139381</c:v>
                </c:pt>
                <c:pt idx="521">
                  <c:v>-60.664008306226897</c:v>
                </c:pt>
                <c:pt idx="522">
                  <c:v>-62.716756400887846</c:v>
                </c:pt>
                <c:pt idx="523">
                  <c:v>-65.413534611766934</c:v>
                </c:pt>
                <c:pt idx="524">
                  <c:v>-69.329986792483083</c:v>
                </c:pt>
                <c:pt idx="525">
                  <c:v>-76.833677419148202</c:v>
                </c:pt>
                <c:pt idx="526">
                  <c:v>-85.823846625003881</c:v>
                </c:pt>
                <c:pt idx="527">
                  <c:v>-72.292025178508041</c:v>
                </c:pt>
                <c:pt idx="528">
                  <c:v>-67.323643985121194</c:v>
                </c:pt>
                <c:pt idx="529">
                  <c:v>-64.196043245132572</c:v>
                </c:pt>
                <c:pt idx="530">
                  <c:v>-61.968027457258486</c:v>
                </c:pt>
                <c:pt idx="531">
                  <c:v>-60.257533316691209</c:v>
                </c:pt>
                <c:pt idx="532">
                  <c:v>-58.885808412772036</c:v>
                </c:pt>
                <c:pt idx="533">
                  <c:v>-57.729913468578459</c:v>
                </c:pt>
                <c:pt idx="534">
                  <c:v>-56.761710734057658</c:v>
                </c:pt>
                <c:pt idx="535">
                  <c:v>-55.939148773343128</c:v>
                </c:pt>
                <c:pt idx="536">
                  <c:v>-55.233105865113686</c:v>
                </c:pt>
                <c:pt idx="537">
                  <c:v>-54.609593312681625</c:v>
                </c:pt>
                <c:pt idx="538">
                  <c:v>-54.068988629415344</c:v>
                </c:pt>
                <c:pt idx="539">
                  <c:v>-53.598281246074805</c:v>
                </c:pt>
                <c:pt idx="540">
                  <c:v>-53.187211098987426</c:v>
                </c:pt>
                <c:pt idx="541">
                  <c:v>-52.819557729349611</c:v>
                </c:pt>
                <c:pt idx="542">
                  <c:v>-52.498522946653139</c:v>
                </c:pt>
                <c:pt idx="543">
                  <c:v>-52.218131432758277</c:v>
                </c:pt>
                <c:pt idx="544">
                  <c:v>-51.973389444966919</c:v>
                </c:pt>
                <c:pt idx="545">
                  <c:v>-51.755485338692452</c:v>
                </c:pt>
                <c:pt idx="546">
                  <c:v>-51.566661903239996</c:v>
                </c:pt>
                <c:pt idx="547">
                  <c:v>-51.403652007556609</c:v>
                </c:pt>
                <c:pt idx="548">
                  <c:v>-51.263654663444818</c:v>
                </c:pt>
                <c:pt idx="549">
                  <c:v>-51.141724147352427</c:v>
                </c:pt>
                <c:pt idx="550">
                  <c:v>-51.039131951089949</c:v>
                </c:pt>
                <c:pt idx="551">
                  <c:v>-50.953955368619901</c:v>
                </c:pt>
                <c:pt idx="552">
                  <c:v>-50.88453205469537</c:v>
                </c:pt>
                <c:pt idx="553">
                  <c:v>-50.828288265643799</c:v>
                </c:pt>
                <c:pt idx="554">
                  <c:v>-50.785709507277154</c:v>
                </c:pt>
                <c:pt idx="555">
                  <c:v>-50.755648144266374</c:v>
                </c:pt>
                <c:pt idx="556">
                  <c:v>-50.73711823002651</c:v>
                </c:pt>
                <c:pt idx="557">
                  <c:v>-50.73173952883068</c:v>
                </c:pt>
                <c:pt idx="558">
                  <c:v>-50.76561409513468</c:v>
                </c:pt>
                <c:pt idx="559">
                  <c:v>-50.836862404977396</c:v>
                </c:pt>
                <c:pt idx="560">
                  <c:v>-50.942661750194134</c:v>
                </c:pt>
                <c:pt idx="561">
                  <c:v>-51.085713699089595</c:v>
                </c:pt>
                <c:pt idx="562">
                  <c:v>-51.264353287616359</c:v>
                </c:pt>
                <c:pt idx="563">
                  <c:v>-51.485654929244816</c:v>
                </c:pt>
                <c:pt idx="564">
                  <c:v>-51.750161557196073</c:v>
                </c:pt>
                <c:pt idx="565">
                  <c:v>-52.072673371475979</c:v>
                </c:pt>
                <c:pt idx="566">
                  <c:v>-52.456741574628026</c:v>
                </c:pt>
                <c:pt idx="567">
                  <c:v>-52.928326290171874</c:v>
                </c:pt>
                <c:pt idx="568">
                  <c:v>-53.499246745685511</c:v>
                </c:pt>
                <c:pt idx="569">
                  <c:v>-54.213856751513198</c:v>
                </c:pt>
                <c:pt idx="570">
                  <c:v>-55.105764612362492</c:v>
                </c:pt>
                <c:pt idx="571">
                  <c:v>-56.275620850956798</c:v>
                </c:pt>
                <c:pt idx="572">
                  <c:v>-57.813256065123866</c:v>
                </c:pt>
                <c:pt idx="573">
                  <c:v>-59.960060616513651</c:v>
                </c:pt>
                <c:pt idx="574">
                  <c:v>-63.114984409416657</c:v>
                </c:pt>
                <c:pt idx="575">
                  <c:v>-68.69920321516787</c:v>
                </c:pt>
                <c:pt idx="576">
                  <c:v>-90.362711050889175</c:v>
                </c:pt>
                <c:pt idx="577">
                  <c:v>-58.682564704038079</c:v>
                </c:pt>
                <c:pt idx="578">
                  <c:v>-55.280501483775865</c:v>
                </c:pt>
                <c:pt idx="579">
                  <c:v>-55.323539634495205</c:v>
                </c:pt>
                <c:pt idx="580">
                  <c:v>-69.48703500831671</c:v>
                </c:pt>
                <c:pt idx="581">
                  <c:v>-57.80408690636505</c:v>
                </c:pt>
                <c:pt idx="582">
                  <c:v>-59.907292558121966</c:v>
                </c:pt>
                <c:pt idx="583">
                  <c:v>-61.8642124976272</c:v>
                </c:pt>
                <c:pt idx="584">
                  <c:v>-61.33895703453728</c:v>
                </c:pt>
                <c:pt idx="585">
                  <c:v>-62.802310759650119</c:v>
                </c:pt>
                <c:pt idx="586">
                  <c:v>-67.718077958485679</c:v>
                </c:pt>
                <c:pt idx="587">
                  <c:v>-63.342848776809561</c:v>
                </c:pt>
                <c:pt idx="588">
                  <c:v>-66.121613404589056</c:v>
                </c:pt>
                <c:pt idx="589">
                  <c:v>-78.731753911491694</c:v>
                </c:pt>
                <c:pt idx="590">
                  <c:v>-76.356721246048025</c:v>
                </c:pt>
                <c:pt idx="591">
                  <c:v>-74.030954636146362</c:v>
                </c:pt>
                <c:pt idx="592">
                  <c:v>-79.352939441261881</c:v>
                </c:pt>
                <c:pt idx="593">
                  <c:v>-79.148530710469046</c:v>
                </c:pt>
                <c:pt idx="594">
                  <c:v>-71.587824624095362</c:v>
                </c:pt>
                <c:pt idx="595">
                  <c:v>-73.500224574870259</c:v>
                </c:pt>
                <c:pt idx="596">
                  <c:v>-75.052639959884573</c:v>
                </c:pt>
                <c:pt idx="597">
                  <c:v>-82.594934126626242</c:v>
                </c:pt>
                <c:pt idx="598">
                  <c:v>-76.770031353006644</c:v>
                </c:pt>
                <c:pt idx="599">
                  <c:v>-77.802559460985975</c:v>
                </c:pt>
                <c:pt idx="600">
                  <c:v>-87.401418061308647</c:v>
                </c:pt>
              </c:numCache>
            </c:numRef>
          </c:yVal>
          <c:smooth val="0"/>
          <c:extLst>
            <c:ext xmlns:c16="http://schemas.microsoft.com/office/drawing/2014/chart" uri="{C3380CC4-5D6E-409C-BE32-E72D297353CC}">
              <c16:uniqueId val="{00000000-52E8-40C0-BDC9-E7AD10D908CE}"/>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Calculations'!$Y$13:$Y$613</c:f>
              <c:numCache>
                <c:formatCode>0.00</c:formatCode>
                <c:ptCount val="601"/>
                <c:pt idx="0">
                  <c:v>90.609119007707136</c:v>
                </c:pt>
                <c:pt idx="1">
                  <c:v>90.549588447839568</c:v>
                </c:pt>
                <c:pt idx="2">
                  <c:v>90.494729820660567</c:v>
                </c:pt>
                <c:pt idx="3">
                  <c:v>90.444074223222245</c:v>
                </c:pt>
                <c:pt idx="4">
                  <c:v>90.397219008400711</c:v>
                </c:pt>
                <c:pt idx="5">
                  <c:v>90.353688805028781</c:v>
                </c:pt>
                <c:pt idx="6">
                  <c:v>90.313178239463923</c:v>
                </c:pt>
                <c:pt idx="7">
                  <c:v>90.275315347962533</c:v>
                </c:pt>
                <c:pt idx="8">
                  <c:v>90.23980533911255</c:v>
                </c:pt>
                <c:pt idx="9">
                  <c:v>90.206319053241572</c:v>
                </c:pt>
                <c:pt idx="10">
                  <c:v>90.174591593333162</c:v>
                </c:pt>
                <c:pt idx="11">
                  <c:v>90.144348147476606</c:v>
                </c:pt>
                <c:pt idx="12">
                  <c:v>90.115316521235343</c:v>
                </c:pt>
                <c:pt idx="13">
                  <c:v>90.087278075140802</c:v>
                </c:pt>
                <c:pt idx="14">
                  <c:v>90.059971956271355</c:v>
                </c:pt>
                <c:pt idx="15">
                  <c:v>90.033177059209521</c:v>
                </c:pt>
                <c:pt idx="16">
                  <c:v>90.006663636400887</c:v>
                </c:pt>
                <c:pt idx="17">
                  <c:v>89.980210332646863</c:v>
                </c:pt>
                <c:pt idx="18">
                  <c:v>89.953584842413008</c:v>
                </c:pt>
                <c:pt idx="19">
                  <c:v>89.926568281972052</c:v>
                </c:pt>
                <c:pt idx="20">
                  <c:v>89.898925872360607</c:v>
                </c:pt>
                <c:pt idx="21">
                  <c:v>89.870428611068576</c:v>
                </c:pt>
                <c:pt idx="22">
                  <c:v>89.840828447146947</c:v>
                </c:pt>
                <c:pt idx="23">
                  <c:v>89.809881514994927</c:v>
                </c:pt>
                <c:pt idx="24">
                  <c:v>89.777317252671338</c:v>
                </c:pt>
                <c:pt idx="25">
                  <c:v>89.74286410312807</c:v>
                </c:pt>
                <c:pt idx="26">
                  <c:v>89.706221057377761</c:v>
                </c:pt>
                <c:pt idx="27">
                  <c:v>89.667088531688179</c:v>
                </c:pt>
                <c:pt idx="28">
                  <c:v>89.625133707480614</c:v>
                </c:pt>
                <c:pt idx="29">
                  <c:v>89.580030510887951</c:v>
                </c:pt>
                <c:pt idx="30">
                  <c:v>89.531318551174849</c:v>
                </c:pt>
                <c:pt idx="31">
                  <c:v>89.47865003559005</c:v>
                </c:pt>
                <c:pt idx="32">
                  <c:v>89.421543579321749</c:v>
                </c:pt>
                <c:pt idx="33">
                  <c:v>89.35955764972887</c:v>
                </c:pt>
                <c:pt idx="34">
                  <c:v>89.29212054972308</c:v>
                </c:pt>
                <c:pt idx="35">
                  <c:v>89.218699388326428</c:v>
                </c:pt>
                <c:pt idx="36">
                  <c:v>89.13866568531607</c:v>
                </c:pt>
                <c:pt idx="37">
                  <c:v>89.051296899981935</c:v>
                </c:pt>
                <c:pt idx="38">
                  <c:v>88.955940737352975</c:v>
                </c:pt>
                <c:pt idx="39">
                  <c:v>88.851720018742995</c:v>
                </c:pt>
                <c:pt idx="40">
                  <c:v>88.737795649406138</c:v>
                </c:pt>
                <c:pt idx="41">
                  <c:v>88.613203675764666</c:v>
                </c:pt>
                <c:pt idx="42">
                  <c:v>88.476921502539781</c:v>
                </c:pt>
                <c:pt idx="43">
                  <c:v>88.327772057371533</c:v>
                </c:pt>
                <c:pt idx="44">
                  <c:v>88.164554869066336</c:v>
                </c:pt>
                <c:pt idx="45">
                  <c:v>87.985886791815958</c:v>
                </c:pt>
                <c:pt idx="46">
                  <c:v>87.790333952083557</c:v>
                </c:pt>
                <c:pt idx="47">
                  <c:v>87.576254781977028</c:v>
                </c:pt>
                <c:pt idx="48">
                  <c:v>87.341965697644966</c:v>
                </c:pt>
                <c:pt idx="49">
                  <c:v>87.085523382140778</c:v>
                </c:pt>
                <c:pt idx="50">
                  <c:v>86.804925731829883</c:v>
                </c:pt>
                <c:pt idx="51">
                  <c:v>86.497899758830414</c:v>
                </c:pt>
                <c:pt idx="52">
                  <c:v>86.162171346600658</c:v>
                </c:pt>
                <c:pt idx="53">
                  <c:v>85.795197923373351</c:v>
                </c:pt>
                <c:pt idx="54">
                  <c:v>85.394541042804661</c:v>
                </c:pt>
                <c:pt idx="55">
                  <c:v>84.956639903071235</c:v>
                </c:pt>
                <c:pt idx="56">
                  <c:v>84.479057170565241</c:v>
                </c:pt>
                <c:pt idx="57">
                  <c:v>83.95833212783495</c:v>
                </c:pt>
                <c:pt idx="58">
                  <c:v>83.391612566550734</c:v>
                </c:pt>
                <c:pt idx="59">
                  <c:v>82.775192432591012</c:v>
                </c:pt>
                <c:pt idx="60">
                  <c:v>82.106163578926825</c:v>
                </c:pt>
                <c:pt idx="61">
                  <c:v>81.381321763454054</c:v>
                </c:pt>
                <c:pt idx="62">
                  <c:v>80.597357281948248</c:v>
                </c:pt>
                <c:pt idx="63">
                  <c:v>79.752526775874358</c:v>
                </c:pt>
                <c:pt idx="64">
                  <c:v>78.844252170659786</c:v>
                </c:pt>
                <c:pt idx="65">
                  <c:v>77.871740740332186</c:v>
                </c:pt>
                <c:pt idx="66">
                  <c:v>76.834854653348671</c:v>
                </c:pt>
                <c:pt idx="67">
                  <c:v>75.735018025595508</c:v>
                </c:pt>
                <c:pt idx="68">
                  <c:v>74.574787680718657</c:v>
                </c:pt>
                <c:pt idx="69">
                  <c:v>73.359226372435046</c:v>
                </c:pt>
                <c:pt idx="70">
                  <c:v>72.094934181938214</c:v>
                </c:pt>
                <c:pt idx="71">
                  <c:v>70.791200054208304</c:v>
                </c:pt>
                <c:pt idx="72">
                  <c:v>69.458917292732949</c:v>
                </c:pt>
                <c:pt idx="73">
                  <c:v>68.111470721792955</c:v>
                </c:pt>
                <c:pt idx="74">
                  <c:v>66.76295627285154</c:v>
                </c:pt>
                <c:pt idx="75">
                  <c:v>65.428639313665514</c:v>
                </c:pt>
                <c:pt idx="76">
                  <c:v>64.122885593171489</c:v>
                </c:pt>
                <c:pt idx="77">
                  <c:v>62.859207125340717</c:v>
                </c:pt>
                <c:pt idx="78">
                  <c:v>61.647784282383327</c:v>
                </c:pt>
                <c:pt idx="79">
                  <c:v>60.495478326218446</c:v>
                </c:pt>
                <c:pt idx="80">
                  <c:v>59.40146218883504</c:v>
                </c:pt>
                <c:pt idx="81">
                  <c:v>58.362642380009248</c:v>
                </c:pt>
                <c:pt idx="82">
                  <c:v>57.367584481147972</c:v>
                </c:pt>
                <c:pt idx="83">
                  <c:v>56.400427709399963</c:v>
                </c:pt>
                <c:pt idx="84">
                  <c:v>55.438635652531403</c:v>
                </c:pt>
                <c:pt idx="85">
                  <c:v>54.456734462291621</c:v>
                </c:pt>
                <c:pt idx="86">
                  <c:v>53.425558389926181</c:v>
                </c:pt>
                <c:pt idx="87">
                  <c:v>52.313782281238758</c:v>
                </c:pt>
                <c:pt idx="88">
                  <c:v>51.091338377816783</c:v>
                </c:pt>
                <c:pt idx="89">
                  <c:v>49.726882701739754</c:v>
                </c:pt>
                <c:pt idx="90">
                  <c:v>48.192200489802588</c:v>
                </c:pt>
                <c:pt idx="91">
                  <c:v>46.46093595609824</c:v>
                </c:pt>
                <c:pt idx="92">
                  <c:v>44.510088821387342</c:v>
                </c:pt>
                <c:pt idx="93">
                  <c:v>42.319078478153017</c:v>
                </c:pt>
                <c:pt idx="94">
                  <c:v>41.73207313199535</c:v>
                </c:pt>
                <c:pt idx="95">
                  <c:v>41.430620697883853</c:v>
                </c:pt>
                <c:pt idx="96">
                  <c:v>41.128548257028882</c:v>
                </c:pt>
                <c:pt idx="97">
                  <c:v>40.818867802384545</c:v>
                </c:pt>
                <c:pt idx="98">
                  <c:v>40.508611145094108</c:v>
                </c:pt>
                <c:pt idx="99">
                  <c:v>40.190523671015626</c:v>
                </c:pt>
                <c:pt idx="100">
                  <c:v>39.871907966135495</c:v>
                </c:pt>
                <c:pt idx="101">
                  <c:v>39.545487698541365</c:v>
                </c:pt>
                <c:pt idx="102">
                  <c:v>39.218592020654512</c:v>
                </c:pt>
                <c:pt idx="103">
                  <c:v>38.883436728876632</c:v>
                </c:pt>
                <c:pt idx="104">
                  <c:v>38.547862165535662</c:v>
                </c:pt>
                <c:pt idx="105">
                  <c:v>38.204066928489965</c:v>
                </c:pt>
                <c:pt idx="106">
                  <c:v>37.859913168314876</c:v>
                </c:pt>
                <c:pt idx="107">
                  <c:v>37.507585298641231</c:v>
                </c:pt>
                <c:pt idx="108">
                  <c:v>37.154963860690884</c:v>
                </c:pt>
                <c:pt idx="109">
                  <c:v>36.793976313461769</c:v>
                </c:pt>
                <c:pt idx="110">
                  <c:v>36.432763656230463</c:v>
                </c:pt>
                <c:pt idx="111">
                  <c:v>36.062752945287286</c:v>
                </c:pt>
                <c:pt idx="112">
                  <c:v>35.692588829126805</c:v>
                </c:pt>
                <c:pt idx="113">
                  <c:v>35.313693111867451</c:v>
                </c:pt>
                <c:pt idx="114">
                  <c:v>34.934719350949564</c:v>
                </c:pt>
                <c:pt idx="115">
                  <c:v>34.546841172517361</c:v>
                </c:pt>
                <c:pt idx="116">
                  <c:v>34.158963514605801</c:v>
                </c:pt>
                <c:pt idx="117">
                  <c:v>33.762015330228792</c:v>
                </c:pt>
                <c:pt idx="118">
                  <c:v>33.365149290895403</c:v>
                </c:pt>
                <c:pt idx="119">
                  <c:v>32.959299516563078</c:v>
                </c:pt>
                <c:pt idx="120">
                  <c:v>32.553616180772053</c:v>
                </c:pt>
                <c:pt idx="121">
                  <c:v>32.138796182761354</c:v>
                </c:pt>
                <c:pt idx="122">
                  <c:v>31.724229380223846</c:v>
                </c:pt>
                <c:pt idx="123">
                  <c:v>31.300134116839274</c:v>
                </c:pt>
                <c:pt idx="124">
                  <c:v>30.876381483170604</c:v>
                </c:pt>
                <c:pt idx="125">
                  <c:v>30.443206632025522</c:v>
                </c:pt>
                <c:pt idx="126">
                  <c:v>30.010465591383706</c:v>
                </c:pt>
                <c:pt idx="127">
                  <c:v>29.568169310949912</c:v>
                </c:pt>
                <c:pt idx="128">
                  <c:v>29.126399791750828</c:v>
                </c:pt>
                <c:pt idx="129">
                  <c:v>28.674948475209675</c:v>
                </c:pt>
                <c:pt idx="130">
                  <c:v>28.224118361473018</c:v>
                </c:pt>
                <c:pt idx="131">
                  <c:v>27.763486219799631</c:v>
                </c:pt>
                <c:pt idx="132">
                  <c:v>27.533437001955463</c:v>
                </c:pt>
                <c:pt idx="133">
                  <c:v>27.303570909127586</c:v>
                </c:pt>
                <c:pt idx="134">
                  <c:v>27.068434124766412</c:v>
                </c:pt>
                <c:pt idx="135">
                  <c:v>26.833497131947325</c:v>
                </c:pt>
                <c:pt idx="136">
                  <c:v>26.598763713486989</c:v>
                </c:pt>
                <c:pt idx="137">
                  <c:v>26.364237526652971</c:v>
                </c:pt>
                <c:pt idx="138">
                  <c:v>26.124604724768261</c:v>
                </c:pt>
                <c:pt idx="139">
                  <c:v>25.885196017284557</c:v>
                </c:pt>
                <c:pt idx="140">
                  <c:v>25.646014925006625</c:v>
                </c:pt>
                <c:pt idx="141">
                  <c:v>25.407064842187424</c:v>
                </c:pt>
                <c:pt idx="142">
                  <c:v>25.162691140540318</c:v>
                </c:pt>
                <c:pt idx="143">
                  <c:v>24.918566337869606</c:v>
                </c:pt>
                <c:pt idx="144">
                  <c:v>24.67469368054401</c:v>
                </c:pt>
                <c:pt idx="145">
                  <c:v>24.43107628727401</c:v>
                </c:pt>
                <c:pt idx="146">
                  <c:v>24.182083035204045</c:v>
                </c:pt>
                <c:pt idx="147">
                  <c:v>23.933363217984606</c:v>
                </c:pt>
                <c:pt idx="148">
                  <c:v>23.684919778919436</c:v>
                </c:pt>
                <c:pt idx="149">
                  <c:v>23.436755533227426</c:v>
                </c:pt>
                <c:pt idx="150">
                  <c:v>23.183145141619804</c:v>
                </c:pt>
                <c:pt idx="151">
                  <c:v>22.929832566935289</c:v>
                </c:pt>
                <c:pt idx="152">
                  <c:v>22.676820426385603</c:v>
                </c:pt>
                <c:pt idx="153">
                  <c:v>22.424111209099777</c:v>
                </c:pt>
                <c:pt idx="154">
                  <c:v>22.165769263322545</c:v>
                </c:pt>
                <c:pt idx="155">
                  <c:v>21.907749549015477</c:v>
                </c:pt>
                <c:pt idx="156">
                  <c:v>21.650054337511108</c:v>
                </c:pt>
                <c:pt idx="157">
                  <c:v>21.392685772270255</c:v>
                </c:pt>
                <c:pt idx="158">
                  <c:v>21.129619918180794</c:v>
                </c:pt>
                <c:pt idx="159">
                  <c:v>20.866900361648504</c:v>
                </c:pt>
                <c:pt idx="160">
                  <c:v>20.604529004217881</c:v>
                </c:pt>
                <c:pt idx="161">
                  <c:v>20.342507620237939</c:v>
                </c:pt>
                <c:pt idx="162">
                  <c:v>20.074844170814544</c:v>
                </c:pt>
                <c:pt idx="163">
                  <c:v>19.807550284203302</c:v>
                </c:pt>
                <c:pt idx="164">
                  <c:v>19.540627466733127</c:v>
                </c:pt>
                <c:pt idx="165">
                  <c:v>19.274077098904485</c:v>
                </c:pt>
                <c:pt idx="166">
                  <c:v>19.001589723132753</c:v>
                </c:pt>
                <c:pt idx="167">
                  <c:v>18.729495217671627</c:v>
                </c:pt>
                <c:pt idx="168">
                  <c:v>18.457794674608749</c:v>
                </c:pt>
                <c:pt idx="169">
                  <c:v>18.186489061603794</c:v>
                </c:pt>
                <c:pt idx="170">
                  <c:v>17.90977005261314</c:v>
                </c:pt>
                <c:pt idx="171">
                  <c:v>17.633464763300225</c:v>
                </c:pt>
                <c:pt idx="172">
                  <c:v>17.35757384392673</c:v>
                </c:pt>
                <c:pt idx="173">
                  <c:v>17.082097823233852</c:v>
                </c:pt>
                <c:pt idx="174">
                  <c:v>16.800108177883573</c:v>
                </c:pt>
                <c:pt idx="175">
                  <c:v>16.518555362091377</c:v>
                </c:pt>
                <c:pt idx="176">
                  <c:v>16.237439569355161</c:v>
                </c:pt>
                <c:pt idx="177">
                  <c:v>15.956760873197737</c:v>
                </c:pt>
                <c:pt idx="178">
                  <c:v>15.669633547269569</c:v>
                </c:pt>
                <c:pt idx="179">
                  <c:v>15.382964863452031</c:v>
                </c:pt>
                <c:pt idx="180">
                  <c:v>15.096754530913103</c:v>
                </c:pt>
                <c:pt idx="181">
                  <c:v>14.811002141150567</c:v>
                </c:pt>
                <c:pt idx="182">
                  <c:v>14.520005933559162</c:v>
                </c:pt>
                <c:pt idx="183">
                  <c:v>14.229484951881744</c:v>
                </c:pt>
                <c:pt idx="184">
                  <c:v>13.939438406198832</c:v>
                </c:pt>
                <c:pt idx="185">
                  <c:v>13.649865393699258</c:v>
                </c:pt>
                <c:pt idx="186">
                  <c:v>13.352835463366631</c:v>
                </c:pt>
                <c:pt idx="187">
                  <c:v>13.05630313717046</c:v>
                </c:pt>
                <c:pt idx="188">
                  <c:v>12.760267085874631</c:v>
                </c:pt>
                <c:pt idx="189">
                  <c:v>12.464725869238151</c:v>
                </c:pt>
                <c:pt idx="190">
                  <c:v>12.16405203994168</c:v>
                </c:pt>
                <c:pt idx="191">
                  <c:v>11.863888755328531</c:v>
                </c:pt>
                <c:pt idx="192">
                  <c:v>11.564234157458202</c:v>
                </c:pt>
                <c:pt idx="193">
                  <c:v>11.265086283245864</c:v>
                </c:pt>
                <c:pt idx="194">
                  <c:v>10.958620239851911</c:v>
                </c:pt>
                <c:pt idx="195">
                  <c:v>10.652683324039515</c:v>
                </c:pt>
                <c:pt idx="196">
                  <c:v>10.347273091145638</c:v>
                </c:pt>
                <c:pt idx="197">
                  <c:v>10.042386994600889</c:v>
                </c:pt>
                <c:pt idx="198">
                  <c:v>9.7313632853173715</c:v>
                </c:pt>
                <c:pt idx="199">
                  <c:v>9.4208812309076393</c:v>
                </c:pt>
                <c:pt idx="200">
                  <c:v>9.1109378060911297</c:v>
                </c:pt>
                <c:pt idx="201">
                  <c:v>8.8015298889939118</c:v>
                </c:pt>
                <c:pt idx="202">
                  <c:v>8.4860413022976786</c:v>
                </c:pt>
                <c:pt idx="203">
                  <c:v>8.1711045418601316</c:v>
                </c:pt>
                <c:pt idx="204">
                  <c:v>7.8567159903441848</c:v>
                </c:pt>
                <c:pt idx="205">
                  <c:v>7.5428719395199266</c:v>
                </c:pt>
                <c:pt idx="206">
                  <c:v>7.2219070761853459</c:v>
                </c:pt>
                <c:pt idx="207">
                  <c:v>6.9015055361757902</c:v>
                </c:pt>
                <c:pt idx="208">
                  <c:v>6.5816630568867822</c:v>
                </c:pt>
                <c:pt idx="209">
                  <c:v>6.2623752896701319</c:v>
                </c:pt>
                <c:pt idx="210">
                  <c:v>5.9349427480079555</c:v>
                </c:pt>
                <c:pt idx="211">
                  <c:v>5.6080860544647635</c:v>
                </c:pt>
                <c:pt idx="212">
                  <c:v>5.281800232034243</c:v>
                </c:pt>
                <c:pt idx="213">
                  <c:v>4.9560802219129414</c:v>
                </c:pt>
                <c:pt idx="214">
                  <c:v>4.6244449692829335</c:v>
                </c:pt>
                <c:pt idx="215">
                  <c:v>4.293387435131649</c:v>
                </c:pt>
                <c:pt idx="216">
                  <c:v>3.9629020097051466</c:v>
                </c:pt>
                <c:pt idx="217">
                  <c:v>3.6329830082088961</c:v>
                </c:pt>
                <c:pt idx="218">
                  <c:v>3.2961213667954894</c:v>
                </c:pt>
                <c:pt idx="219">
                  <c:v>2.9598400175243285</c:v>
                </c:pt>
                <c:pt idx="220">
                  <c:v>2.6241326539963836</c:v>
                </c:pt>
                <c:pt idx="221">
                  <c:v>2.288992900660503</c:v>
                </c:pt>
                <c:pt idx="222">
                  <c:v>1.9469619021791686</c:v>
                </c:pt>
                <c:pt idx="223">
                  <c:v>1.605510420454749</c:v>
                </c:pt>
                <c:pt idx="224">
                  <c:v>1.2646314388011035</c:v>
                </c:pt>
                <c:pt idx="225">
                  <c:v>0.92431787738055959</c:v>
                </c:pt>
                <c:pt idx="226">
                  <c:v>0.57610224289390999</c:v>
                </c:pt>
                <c:pt idx="227">
                  <c:v>0.22846531182159424</c:v>
                </c:pt>
                <c:pt idx="228">
                  <c:v>-0.11860072668434896</c:v>
                </c:pt>
                <c:pt idx="229">
                  <c:v>-0.46510374131301546</c:v>
                </c:pt>
                <c:pt idx="230">
                  <c:v>-1.1732362423952338</c:v>
                </c:pt>
                <c:pt idx="231">
                  <c:v>-1.5264503454340286</c:v>
                </c:pt>
                <c:pt idx="232">
                  <c:v>-1.8791079070618082</c:v>
                </c:pt>
                <c:pt idx="233">
                  <c:v>-2.2395697618067629</c:v>
                </c:pt>
                <c:pt idx="234">
                  <c:v>-2.5994669076170567</c:v>
                </c:pt>
                <c:pt idx="235">
                  <c:v>-2.9588088131878578</c:v>
                </c:pt>
                <c:pt idx="236">
                  <c:v>-3.3176049944382839</c:v>
                </c:pt>
                <c:pt idx="237">
                  <c:v>-3.6831285731960861</c:v>
                </c:pt>
                <c:pt idx="238">
                  <c:v>-4.0481042109813359</c:v>
                </c:pt>
                <c:pt idx="239">
                  <c:v>-4.4125421522177533</c:v>
                </c:pt>
                <c:pt idx="240">
                  <c:v>-4.7764526831070384</c:v>
                </c:pt>
                <c:pt idx="241">
                  <c:v>-5.1491307514673963</c:v>
                </c:pt>
                <c:pt idx="242">
                  <c:v>-5.5212761353263886</c:v>
                </c:pt>
                <c:pt idx="243">
                  <c:v>-5.8929000539884271</c:v>
                </c:pt>
                <c:pt idx="244">
                  <c:v>-6.2640137644894764</c:v>
                </c:pt>
                <c:pt idx="245">
                  <c:v>-6.6428360657710073</c:v>
                </c:pt>
                <c:pt idx="246">
                  <c:v>-7.0211491916922455</c:v>
                </c:pt>
                <c:pt idx="247">
                  <c:v>-7.3989652750958328</c:v>
                </c:pt>
                <c:pt idx="248">
                  <c:v>-7.7762964826496557</c:v>
                </c:pt>
                <c:pt idx="249">
                  <c:v>-8.1623408828574213</c:v>
                </c:pt>
                <c:pt idx="250">
                  <c:v>-8.5479024146968925</c:v>
                </c:pt>
                <c:pt idx="251">
                  <c:v>-8.9329942576159738</c:v>
                </c:pt>
                <c:pt idx="252">
                  <c:v>-9.31762962211738</c:v>
                </c:pt>
                <c:pt idx="253">
                  <c:v>-9.7099481057183823</c:v>
                </c:pt>
                <c:pt idx="254">
                  <c:v>-10.101818521020874</c:v>
                </c:pt>
                <c:pt idx="255">
                  <c:v>-10.493255027656005</c:v>
                </c:pt>
                <c:pt idx="256">
                  <c:v>-10.884271814182028</c:v>
                </c:pt>
                <c:pt idx="257">
                  <c:v>-11.284997299491636</c:v>
                </c:pt>
                <c:pt idx="258">
                  <c:v>-11.685311378710935</c:v>
                </c:pt>
                <c:pt idx="259">
                  <c:v>-12.085229461166875</c:v>
                </c:pt>
                <c:pt idx="260">
                  <c:v>-12.484766984765884</c:v>
                </c:pt>
                <c:pt idx="261">
                  <c:v>-12.893007394380845</c:v>
                </c:pt>
                <c:pt idx="262">
                  <c:v>-13.300882501722043</c:v>
                </c:pt>
                <c:pt idx="263">
                  <c:v>-13.708408910751189</c:v>
                </c:pt>
                <c:pt idx="264">
                  <c:v>-14.115603254787089</c:v>
                </c:pt>
                <c:pt idx="265">
                  <c:v>-14.531520495944648</c:v>
                </c:pt>
                <c:pt idx="266">
                  <c:v>-14.947125990591189</c:v>
                </c:pt>
                <c:pt idx="267">
                  <c:v>-15.362437599984645</c:v>
                </c:pt>
                <c:pt idx="268">
                  <c:v>-15.777473217200054</c:v>
                </c:pt>
                <c:pt idx="269">
                  <c:v>-16.202266506504827</c:v>
                </c:pt>
                <c:pt idx="270">
                  <c:v>-16.626808402091456</c:v>
                </c:pt>
                <c:pt idx="271">
                  <c:v>-17.051118230773909</c:v>
                </c:pt>
                <c:pt idx="272">
                  <c:v>-17.475215355931368</c:v>
                </c:pt>
                <c:pt idx="273">
                  <c:v>-17.909114734728121</c:v>
                </c:pt>
                <c:pt idx="274">
                  <c:v>-18.342832432270342</c:v>
                </c:pt>
                <c:pt idx="275">
                  <c:v>-18.776389338265034</c:v>
                </c:pt>
                <c:pt idx="276">
                  <c:v>-19.209806386053714</c:v>
                </c:pt>
                <c:pt idx="277">
                  <c:v>-19.652088891217744</c:v>
                </c:pt>
                <c:pt idx="278">
                  <c:v>-20.094269894657344</c:v>
                </c:pt>
                <c:pt idx="279">
                  <c:v>-20.536371807558282</c:v>
                </c:pt>
                <c:pt idx="280">
                  <c:v>-20.978417093966243</c:v>
                </c:pt>
                <c:pt idx="281">
                  <c:v>-21.432401224745604</c:v>
                </c:pt>
                <c:pt idx="282">
                  <c:v>-21.886373835111812</c:v>
                </c:pt>
                <c:pt idx="283">
                  <c:v>-22.340359449722854</c:v>
                </c:pt>
                <c:pt idx="284">
                  <c:v>-22.79438265982381</c:v>
                </c:pt>
                <c:pt idx="285">
                  <c:v>-23.257450831426183</c:v>
                </c:pt>
                <c:pt idx="286">
                  <c:v>-23.720609974509671</c:v>
                </c:pt>
                <c:pt idx="287">
                  <c:v>-24.183886396926425</c:v>
                </c:pt>
                <c:pt idx="288">
                  <c:v>-24.647306488454348</c:v>
                </c:pt>
                <c:pt idx="289">
                  <c:v>-25.122888620874875</c:v>
                </c:pt>
                <c:pt idx="290">
                  <c:v>-25.598678489041674</c:v>
                </c:pt>
                <c:pt idx="291">
                  <c:v>-26.074704870359369</c:v>
                </c:pt>
                <c:pt idx="292">
                  <c:v>-26.550996645311756</c:v>
                </c:pt>
                <c:pt idx="293">
                  <c:v>-27.03860005813101</c:v>
                </c:pt>
                <c:pt idx="294">
                  <c:v>-27.526542776898339</c:v>
                </c:pt>
                <c:pt idx="295">
                  <c:v>-28.01485608748888</c:v>
                </c:pt>
                <c:pt idx="296">
                  <c:v>-28.503571403400855</c:v>
                </c:pt>
                <c:pt idx="297">
                  <c:v>-29.00377405992063</c:v>
                </c:pt>
                <c:pt idx="298">
                  <c:v>-29.504463951202894</c:v>
                </c:pt>
                <c:pt idx="299">
                  <c:v>-30.005675106741222</c:v>
                </c:pt>
                <c:pt idx="300">
                  <c:v>-30.507441712422377</c:v>
                </c:pt>
                <c:pt idx="301">
                  <c:v>-31.020901260512716</c:v>
                </c:pt>
                <c:pt idx="302">
                  <c:v>-31.535013800193099</c:v>
                </c:pt>
                <c:pt idx="303">
                  <c:v>-32.049816367360705</c:v>
                </c:pt>
                <c:pt idx="304">
                  <c:v>-32.565346187249389</c:v>
                </c:pt>
                <c:pt idx="305">
                  <c:v>-33.094837328934346</c:v>
                </c:pt>
                <c:pt idx="306">
                  <c:v>-33.625173279122492</c:v>
                </c:pt>
                <c:pt idx="307">
                  <c:v>-34.1563948395073</c:v>
                </c:pt>
                <c:pt idx="308">
                  <c:v>-34.688543041422264</c:v>
                </c:pt>
                <c:pt idx="309">
                  <c:v>-35.232904111779902</c:v>
                </c:pt>
                <c:pt idx="310">
                  <c:v>-35.778318500622333</c:v>
                </c:pt>
                <c:pt idx="311">
                  <c:v>-36.324830660480416</c:v>
                </c:pt>
                <c:pt idx="312">
                  <c:v>-36.872485313936295</c:v>
                </c:pt>
                <c:pt idx="313">
                  <c:v>-37.43472906799758</c:v>
                </c:pt>
                <c:pt idx="314">
                  <c:v>-37.998267621666628</c:v>
                </c:pt>
                <c:pt idx="315">
                  <c:v>-38.56314996185597</c:v>
                </c:pt>
                <c:pt idx="316">
                  <c:v>-39.129425392185055</c:v>
                </c:pt>
                <c:pt idx="317">
                  <c:v>-39.710678629927486</c:v>
                </c:pt>
                <c:pt idx="318">
                  <c:v>-40.293497708798384</c:v>
                </c:pt>
                <c:pt idx="319">
                  <c:v>-40.877936595789294</c:v>
                </c:pt>
                <c:pt idx="320">
                  <c:v>-41.464049621537839</c:v>
                </c:pt>
                <c:pt idx="321">
                  <c:v>-42.065583235428164</c:v>
                </c:pt>
                <c:pt idx="322">
                  <c:v>-42.668986034605467</c:v>
                </c:pt>
                <c:pt idx="323">
                  <c:v>-43.274317426867555</c:v>
                </c:pt>
                <c:pt idx="324">
                  <c:v>-43.881637226777372</c:v>
                </c:pt>
                <c:pt idx="325">
                  <c:v>-44.504879221574328</c:v>
                </c:pt>
                <c:pt idx="326">
                  <c:v>-45.130328885844278</c:v>
                </c:pt>
                <c:pt idx="327">
                  <c:v>-45.758051523215158</c:v>
                </c:pt>
                <c:pt idx="328">
                  <c:v>-46.388112876964215</c:v>
                </c:pt>
                <c:pt idx="329">
                  <c:v>-47.035745085182953</c:v>
                </c:pt>
                <c:pt idx="330">
                  <c:v>-47.685970185557409</c:v>
                </c:pt>
                <c:pt idx="331">
                  <c:v>-48.338860154853165</c:v>
                </c:pt>
                <c:pt idx="332">
                  <c:v>-48.99448742547014</c:v>
                </c:pt>
                <c:pt idx="333">
                  <c:v>-49.667246538809195</c:v>
                </c:pt>
                <c:pt idx="334">
                  <c:v>-50.343017323813513</c:v>
                </c:pt>
                <c:pt idx="335">
                  <c:v>-51.021878424330311</c:v>
                </c:pt>
                <c:pt idx="336">
                  <c:v>-51.703908918367858</c:v>
                </c:pt>
                <c:pt idx="337">
                  <c:v>-52.406025826157872</c:v>
                </c:pt>
                <c:pt idx="338">
                  <c:v>-53.111638731954059</c:v>
                </c:pt>
                <c:pt idx="339">
                  <c:v>-53.820833933904993</c:v>
                </c:pt>
                <c:pt idx="340">
                  <c:v>-54.533698092258078</c:v>
                </c:pt>
                <c:pt idx="341">
                  <c:v>-55.26750893568169</c:v>
                </c:pt>
                <c:pt idx="342">
                  <c:v>-56.005351264162613</c:v>
                </c:pt>
                <c:pt idx="343">
                  <c:v>-56.747319019209328</c:v>
                </c:pt>
                <c:pt idx="344">
                  <c:v>-57.493506343446938</c:v>
                </c:pt>
                <c:pt idx="345">
                  <c:v>-58.260422357549459</c:v>
                </c:pt>
                <c:pt idx="346">
                  <c:v>-59.031943078206126</c:v>
                </c:pt>
                <c:pt idx="347">
                  <c:v>-59.808169162314698</c:v>
                </c:pt>
                <c:pt idx="348">
                  <c:v>-60.589201173857191</c:v>
                </c:pt>
                <c:pt idx="349">
                  <c:v>-61.394370851859009</c:v>
                </c:pt>
                <c:pt idx="350">
                  <c:v>-62.204796662390862</c:v>
                </c:pt>
                <c:pt idx="351">
                  <c:v>-63.020585738546515</c:v>
                </c:pt>
                <c:pt idx="352">
                  <c:v>-63.841844630702724</c:v>
                </c:pt>
                <c:pt idx="353">
                  <c:v>-64.688434519931462</c:v>
                </c:pt>
                <c:pt idx="354">
                  <c:v>-65.540981313925727</c:v>
                </c:pt>
                <c:pt idx="355">
                  <c:v>-66.399596458728354</c:v>
                </c:pt>
                <c:pt idx="356">
                  <c:v>-67.264390045218391</c:v>
                </c:pt>
                <c:pt idx="357">
                  <c:v>-68.15453301338718</c:v>
                </c:pt>
                <c:pt idx="358">
                  <c:v>-69.051353912491635</c:v>
                </c:pt>
                <c:pt idx="359">
                  <c:v>-69.954964366013741</c:v>
                </c:pt>
                <c:pt idx="360">
                  <c:v>-70.865473496660854</c:v>
                </c:pt>
                <c:pt idx="361">
                  <c:v>-71.805262641216359</c:v>
                </c:pt>
                <c:pt idx="362">
                  <c:v>-72.752510499743465</c:v>
                </c:pt>
                <c:pt idx="363">
                  <c:v>-73.707324114897204</c:v>
                </c:pt>
                <c:pt idx="364">
                  <c:v>-74.669806343247302</c:v>
                </c:pt>
                <c:pt idx="365">
                  <c:v>-75.661705477614248</c:v>
                </c:pt>
                <c:pt idx="366">
                  <c:v>-76.661820026474174</c:v>
                </c:pt>
                <c:pt idx="367">
                  <c:v>-77.670243538427997</c:v>
                </c:pt>
                <c:pt idx="368">
                  <c:v>-78.687063064593929</c:v>
                </c:pt>
                <c:pt idx="369">
                  <c:v>-79.737540597057659</c:v>
                </c:pt>
                <c:pt idx="370">
                  <c:v>-80.796991558214529</c:v>
                </c:pt>
                <c:pt idx="371">
                  <c:v>-81.86548472106324</c:v>
                </c:pt>
                <c:pt idx="372">
                  <c:v>-82.943079202068304</c:v>
                </c:pt>
                <c:pt idx="373">
                  <c:v>-84.054431779134802</c:v>
                </c:pt>
                <c:pt idx="374">
                  <c:v>-85.175391918291439</c:v>
                </c:pt>
                <c:pt idx="375">
                  <c:v>-86.305987049340899</c:v>
                </c:pt>
                <c:pt idx="376">
                  <c:v>-87.44623100758912</c:v>
                </c:pt>
                <c:pt idx="377">
                  <c:v>-88.62458212869609</c:v>
                </c:pt>
                <c:pt idx="378">
                  <c:v>-89.813045776131787</c:v>
                </c:pt>
                <c:pt idx="379">
                  <c:v>-91.011587302304179</c:v>
                </c:pt>
                <c:pt idx="380">
                  <c:v>-92.220153656291188</c:v>
                </c:pt>
                <c:pt idx="381">
                  <c:v>-93.465002604398194</c:v>
                </c:pt>
                <c:pt idx="382">
                  <c:v>-94.720138392116155</c:v>
                </c:pt>
                <c:pt idx="383">
                  <c:v>-95.985439839969388</c:v>
                </c:pt>
                <c:pt idx="384">
                  <c:v>-97.260762426111626</c:v>
                </c:pt>
                <c:pt idx="385">
                  <c:v>-98.577911804679616</c:v>
                </c:pt>
                <c:pt idx="386">
                  <c:v>-99.905199863780012</c:v>
                </c:pt>
                <c:pt idx="387">
                  <c:v>-101.24239068133653</c:v>
                </c:pt>
                <c:pt idx="388">
                  <c:v>-102.58922019256619</c:v>
                </c:pt>
                <c:pt idx="389">
                  <c:v>-103.97666083778853</c:v>
                </c:pt>
                <c:pt idx="390">
                  <c:v>-105.37353785886819</c:v>
                </c:pt>
                <c:pt idx="391">
                  <c:v>-106.77947589658999</c:v>
                </c:pt>
                <c:pt idx="392">
                  <c:v>-108.1940685367511</c:v>
                </c:pt>
                <c:pt idx="393">
                  <c:v>-109.64892390034413</c:v>
                </c:pt>
                <c:pt idx="394">
                  <c:v>-111.11187043304699</c:v>
                </c:pt>
                <c:pt idx="395">
                  <c:v>-112.58237683009378</c:v>
                </c:pt>
                <c:pt idx="396">
                  <c:v>-114.05988125862046</c:v>
                </c:pt>
                <c:pt idx="397">
                  <c:v>-115.57989299240012</c:v>
                </c:pt>
                <c:pt idx="398">
                  <c:v>-117.10596209144751</c:v>
                </c:pt>
                <c:pt idx="399">
                  <c:v>-118.63739625512699</c:v>
                </c:pt>
                <c:pt idx="400">
                  <c:v>-120.17347799888722</c:v>
                </c:pt>
                <c:pt idx="401">
                  <c:v>-121.74826942790349</c:v>
                </c:pt>
                <c:pt idx="402">
                  <c:v>-123.32633493018415</c:v>
                </c:pt>
                <c:pt idx="403">
                  <c:v>-124.90684501489375</c:v>
                </c:pt>
                <c:pt idx="404">
                  <c:v>-126.48895650902244</c:v>
                </c:pt>
                <c:pt idx="405">
                  <c:v>-128.10850737090868</c:v>
                </c:pt>
                <c:pt idx="406">
                  <c:v>50.272077918744401</c:v>
                </c:pt>
                <c:pt idx="407">
                  <c:v>48.653719974383648</c:v>
                </c:pt>
                <c:pt idx="408">
                  <c:v>47.037336794885334</c:v>
                </c:pt>
                <c:pt idx="409">
                  <c:v>45.385588410473844</c:v>
                </c:pt>
                <c:pt idx="410">
                  <c:v>43.737825869109798</c:v>
                </c:pt>
                <c:pt idx="411">
                  <c:v>42.094993229480735</c:v>
                </c:pt>
                <c:pt idx="412">
                  <c:v>40.458011211005129</c:v>
                </c:pt>
                <c:pt idx="413">
                  <c:v>38.790067018153792</c:v>
                </c:pt>
                <c:pt idx="414">
                  <c:v>37.130104458535243</c:v>
                </c:pt>
                <c:pt idx="415">
                  <c:v>35.479006338933402</c:v>
                </c:pt>
                <c:pt idx="416">
                  <c:v>33.837612658559323</c:v>
                </c:pt>
                <c:pt idx="417">
                  <c:v>32.168219993473201</c:v>
                </c:pt>
                <c:pt idx="418">
                  <c:v>30.51062764311348</c:v>
                </c:pt>
                <c:pt idx="419">
                  <c:v>28.865578544586327</c:v>
                </c:pt>
                <c:pt idx="420">
                  <c:v>27.233757884045843</c:v>
                </c:pt>
                <c:pt idx="421">
                  <c:v>25.580142880168097</c:v>
                </c:pt>
                <c:pt idx="422">
                  <c:v>23.941606587820473</c:v>
                </c:pt>
                <c:pt idx="423">
                  <c:v>22.31868795259868</c:v>
                </c:pt>
                <c:pt idx="424">
                  <c:v>20.711861018633527</c:v>
                </c:pt>
                <c:pt idx="425">
                  <c:v>19.082614931809815</c:v>
                </c:pt>
                <c:pt idx="426">
                  <c:v>17.471065352831772</c:v>
                </c:pt>
                <c:pt idx="427">
                  <c:v>15.877518238282477</c:v>
                </c:pt>
                <c:pt idx="428">
                  <c:v>14.302214984998301</c:v>
                </c:pt>
                <c:pt idx="429">
                  <c:v>12.709660037735489</c:v>
                </c:pt>
                <c:pt idx="430">
                  <c:v>11.136516238590616</c:v>
                </c:pt>
                <c:pt idx="431">
                  <c:v>9.582851437170973</c:v>
                </c:pt>
                <c:pt idx="432">
                  <c:v>8.048676449370447</c:v>
                </c:pt>
                <c:pt idx="433">
                  <c:v>6.5000376617317954</c:v>
                </c:pt>
                <c:pt idx="434">
                  <c:v>4.9716340358639002</c:v>
                </c:pt>
                <c:pt idx="435">
                  <c:v>3.4633175947506913</c:v>
                </c:pt>
                <c:pt idx="436">
                  <c:v>1.9748951709427445</c:v>
                </c:pt>
                <c:pt idx="437">
                  <c:v>0.47130385556883425</c:v>
                </c:pt>
                <c:pt idx="438">
                  <c:v>-1.011969198180168</c:v>
                </c:pt>
                <c:pt idx="439">
                  <c:v>-2.4752516181847852</c:v>
                </c:pt>
                <c:pt idx="440">
                  <c:v>-3.918903097404467</c:v>
                </c:pt>
                <c:pt idx="441">
                  <c:v>-5.3763000618180001</c:v>
                </c:pt>
                <c:pt idx="442">
                  <c:v>-6.8139882239343876</c:v>
                </c:pt>
                <c:pt idx="443">
                  <c:v>-8.2324326963299086</c:v>
                </c:pt>
                <c:pt idx="444">
                  <c:v>-9.632118073884044</c:v>
                </c:pt>
                <c:pt idx="445">
                  <c:v>-11.044815066944039</c:v>
                </c:pt>
                <c:pt idx="446">
                  <c:v>-12.438962489928258</c:v>
                </c:pt>
                <c:pt idx="447">
                  <c:v>-13.815122122398151</c:v>
                </c:pt>
                <c:pt idx="448">
                  <c:v>-15.173864627377185</c:v>
                </c:pt>
                <c:pt idx="449">
                  <c:v>-16.547761567558098</c:v>
                </c:pt>
                <c:pt idx="450">
                  <c:v>-17.904625210777397</c:v>
                </c:pt>
                <c:pt idx="451">
                  <c:v>-19.245082720308403</c:v>
                </c:pt>
                <c:pt idx="452">
                  <c:v>-20.569762170309389</c:v>
                </c:pt>
                <c:pt idx="453">
                  <c:v>-21.908708516345996</c:v>
                </c:pt>
                <c:pt idx="454">
                  <c:v>-23.232480619769831</c:v>
                </c:pt>
                <c:pt idx="455">
                  <c:v>-24.541743841190339</c:v>
                </c:pt>
                <c:pt idx="456">
                  <c:v>-25.837159112089978</c:v>
                </c:pt>
                <c:pt idx="457">
                  <c:v>-27.149656384605692</c:v>
                </c:pt>
                <c:pt idx="458">
                  <c:v>-28.449024855112668</c:v>
                </c:pt>
                <c:pt idx="459">
                  <c:v>-29.735954581805856</c:v>
                </c:pt>
                <c:pt idx="460">
                  <c:v>-31.011128236927533</c:v>
                </c:pt>
                <c:pt idx="461">
                  <c:v>-32.30439832526659</c:v>
                </c:pt>
                <c:pt idx="462">
                  <c:v>-33.586782419029561</c:v>
                </c:pt>
                <c:pt idx="463">
                  <c:v>-34.858986844781981</c:v>
                </c:pt>
                <c:pt idx="464">
                  <c:v>-36.121709642478152</c:v>
                </c:pt>
                <c:pt idx="465">
                  <c:v>-37.404929907978783</c:v>
                </c:pt>
                <c:pt idx="466">
                  <c:v>-38.679672851830986</c:v>
                </c:pt>
                <c:pt idx="467">
                  <c:v>-39.946661739316284</c:v>
                </c:pt>
                <c:pt idx="468">
                  <c:v>-41.206612344447933</c:v>
                </c:pt>
                <c:pt idx="469">
                  <c:v>-42.488873849925312</c:v>
                </c:pt>
                <c:pt idx="470">
                  <c:v>-43.765264641488812</c:v>
                </c:pt>
                <c:pt idx="471">
                  <c:v>-45.036530581513716</c:v>
                </c:pt>
                <c:pt idx="472">
                  <c:v>-46.303412276067206</c:v>
                </c:pt>
                <c:pt idx="473">
                  <c:v>-47.59677415111824</c:v>
                </c:pt>
                <c:pt idx="474">
                  <c:v>-48.88709805231062</c:v>
                </c:pt>
                <c:pt idx="475">
                  <c:v>-50.175167522673917</c:v>
                </c:pt>
                <c:pt idx="476">
                  <c:v>-51.461764281798906</c:v>
                </c:pt>
                <c:pt idx="477">
                  <c:v>-52.777659253573916</c:v>
                </c:pt>
                <c:pt idx="478">
                  <c:v>-54.093666983617538</c:v>
                </c:pt>
                <c:pt idx="479">
                  <c:v>-55.410626116879683</c:v>
                </c:pt>
                <c:pt idx="480">
                  <c:v>-56.729377936353984</c:v>
                </c:pt>
                <c:pt idx="481">
                  <c:v>-58.080922068996045</c:v>
                </c:pt>
                <c:pt idx="482">
                  <c:v>-59.436135100604758</c:v>
                </c:pt>
                <c:pt idx="483">
                  <c:v>-60.79593314238241</c:v>
                </c:pt>
                <c:pt idx="484">
                  <c:v>-62.161240077820679</c:v>
                </c:pt>
                <c:pt idx="485">
                  <c:v>-63.564595313279654</c:v>
                </c:pt>
                <c:pt idx="486">
                  <c:v>-64.975701031602625</c:v>
                </c:pt>
                <c:pt idx="487">
                  <c:v>-66.395578464763503</c:v>
                </c:pt>
                <c:pt idx="488">
                  <c:v>-67.825261690244872</c:v>
                </c:pt>
                <c:pt idx="489">
                  <c:v>-69.300261334607114</c:v>
                </c:pt>
                <c:pt idx="490">
                  <c:v>-70.787777710148191</c:v>
                </c:pt>
                <c:pt idx="491">
                  <c:v>-72.288966702844107</c:v>
                </c:pt>
                <c:pt idx="492">
                  <c:v>-73.805000395529532</c:v>
                </c:pt>
                <c:pt idx="493">
                  <c:v>-75.372920547062336</c:v>
                </c:pt>
                <c:pt idx="494">
                  <c:v>-76.958918123164096</c:v>
                </c:pt>
                <c:pt idx="495">
                  <c:v>-78.564298545161535</c:v>
                </c:pt>
                <c:pt idx="496">
                  <c:v>-80.190381203925881</c:v>
                </c:pt>
                <c:pt idx="497">
                  <c:v>-81.877323942586713</c:v>
                </c:pt>
                <c:pt idx="498">
                  <c:v>-83.588778111563443</c:v>
                </c:pt>
                <c:pt idx="499">
                  <c:v>-85.326183515397872</c:v>
                </c:pt>
                <c:pt idx="500">
                  <c:v>-87.090978526308845</c:v>
                </c:pt>
                <c:pt idx="501">
                  <c:v>-88.927086626013988</c:v>
                </c:pt>
                <c:pt idx="502">
                  <c:v>-90.794898281587393</c:v>
                </c:pt>
                <c:pt idx="503">
                  <c:v>-92.695897478159623</c:v>
                </c:pt>
                <c:pt idx="504">
                  <c:v>-94.63152450243075</c:v>
                </c:pt>
                <c:pt idx="505">
                  <c:v>-96.648848272066857</c:v>
                </c:pt>
                <c:pt idx="506">
                  <c:v>-98.705247144966393</c:v>
                </c:pt>
                <c:pt idx="507">
                  <c:v>-100.80200866124761</c:v>
                </c:pt>
                <c:pt idx="508">
                  <c:v>-102.94028802485406</c:v>
                </c:pt>
                <c:pt idx="509">
                  <c:v>-105.17184290652881</c:v>
                </c:pt>
                <c:pt idx="510">
                  <c:v>-107.4487504002077</c:v>
                </c:pt>
                <c:pt idx="511">
                  <c:v>-109.77162418885712</c:v>
                </c:pt>
                <c:pt idx="512">
                  <c:v>-112.14079505479424</c:v>
                </c:pt>
                <c:pt idx="513">
                  <c:v>-114.61410468460008</c:v>
                </c:pt>
                <c:pt idx="514">
                  <c:v>-117.13555912733898</c:v>
                </c:pt>
                <c:pt idx="515">
                  <c:v>-119.70433962405326</c:v>
                </c:pt>
                <c:pt idx="516">
                  <c:v>-122.319152903175</c:v>
                </c:pt>
                <c:pt idx="517">
                  <c:v>-125.04029389003881</c:v>
                </c:pt>
                <c:pt idx="518">
                  <c:v>-127.80523815747529</c:v>
                </c:pt>
                <c:pt idx="519">
                  <c:v>-130.61089119162926</c:v>
                </c:pt>
                <c:pt idx="520">
                  <c:v>-133.45356569152443</c:v>
                </c:pt>
                <c:pt idx="521">
                  <c:v>-136.39606998246984</c:v>
                </c:pt>
                <c:pt idx="522">
                  <c:v>-139.36771987443723</c:v>
                </c:pt>
                <c:pt idx="523">
                  <c:v>-142.36283742321376</c:v>
                </c:pt>
                <c:pt idx="524">
                  <c:v>-145.3752985834218</c:v>
                </c:pt>
                <c:pt idx="525">
                  <c:v>-148.46894267817385</c:v>
                </c:pt>
                <c:pt idx="526">
                  <c:v>28.433204925975815</c:v>
                </c:pt>
                <c:pt idx="527">
                  <c:v>25.338428574047839</c:v>
                </c:pt>
                <c:pt idx="528">
                  <c:v>22.253974360769092</c:v>
                </c:pt>
                <c:pt idx="529">
                  <c:v>19.115876830641241</c:v>
                </c:pt>
                <c:pt idx="530">
                  <c:v>16.003195541777927</c:v>
                </c:pt>
                <c:pt idx="531">
                  <c:v>12.922658947284873</c:v>
                </c:pt>
                <c:pt idx="532">
                  <c:v>9.8803942321537477</c:v>
                </c:pt>
                <c:pt idx="533">
                  <c:v>6.8111313733336942</c:v>
                </c:pt>
                <c:pt idx="534">
                  <c:v>3.7927039798927922</c:v>
                </c:pt>
                <c:pt idx="535">
                  <c:v>0.82928250610558507</c:v>
                </c:pt>
                <c:pt idx="536">
                  <c:v>-2.0758214011836458</c:v>
                </c:pt>
                <c:pt idx="537">
                  <c:v>-4.9839897554582535</c:v>
                </c:pt>
                <c:pt idx="538">
                  <c:v>-7.8267898724780309</c:v>
                </c:pt>
                <c:pt idx="539">
                  <c:v>-10.603237594236106</c:v>
                </c:pt>
                <c:pt idx="540">
                  <c:v>-13.313074525207384</c:v>
                </c:pt>
                <c:pt idx="541">
                  <c:v>-16.018575235280906</c:v>
                </c:pt>
                <c:pt idx="542">
                  <c:v>-18.655683391537082</c:v>
                </c:pt>
                <c:pt idx="543">
                  <c:v>-21.225923638615626</c:v>
                </c:pt>
                <c:pt idx="544">
                  <c:v>-23.731243305863075</c:v>
                </c:pt>
                <c:pt idx="545">
                  <c:v>-26.229789523141221</c:v>
                </c:pt>
                <c:pt idx="546">
                  <c:v>-28.665503039617164</c:v>
                </c:pt>
                <c:pt idx="547">
                  <c:v>-31.041336196301756</c:v>
                </c:pt>
                <c:pt idx="548">
                  <c:v>-33.360395610194928</c:v>
                </c:pt>
                <c:pt idx="549">
                  <c:v>-35.677663434290707</c:v>
                </c:pt>
                <c:pt idx="550">
                  <c:v>-37.942359663483671</c:v>
                </c:pt>
                <c:pt idx="551">
                  <c:v>-40.158009129547111</c:v>
                </c:pt>
                <c:pt idx="552">
                  <c:v>-42.328132211587928</c:v>
                </c:pt>
                <c:pt idx="553">
                  <c:v>-44.505840210003214</c:v>
                </c:pt>
                <c:pt idx="554">
                  <c:v>-46.643211223742156</c:v>
                </c:pt>
                <c:pt idx="555">
                  <c:v>-48.743883905219064</c:v>
                </c:pt>
                <c:pt idx="556">
                  <c:v>-50.811429757988179</c:v>
                </c:pt>
                <c:pt idx="557">
                  <c:v>-54.954875646943321</c:v>
                </c:pt>
                <c:pt idx="558">
                  <c:v>-59.003251421139765</c:v>
                </c:pt>
                <c:pt idx="559">
                  <c:v>-63.075311360359393</c:v>
                </c:pt>
                <c:pt idx="560">
                  <c:v>-67.106419517046049</c:v>
                </c:pt>
                <c:pt idx="561">
                  <c:v>-71.220653572048036</c:v>
                </c:pt>
                <c:pt idx="562">
                  <c:v>-75.352605852484487</c:v>
                </c:pt>
                <c:pt idx="563">
                  <c:v>-79.623719179187106</c:v>
                </c:pt>
                <c:pt idx="564">
                  <c:v>-83.979481912233041</c:v>
                </c:pt>
                <c:pt idx="565">
                  <c:v>-88.569708589997219</c:v>
                </c:pt>
                <c:pt idx="566">
                  <c:v>-93.325344226126163</c:v>
                </c:pt>
                <c:pt idx="567">
                  <c:v>-98.412570901567108</c:v>
                </c:pt>
                <c:pt idx="568">
                  <c:v>-103.76227868396364</c:v>
                </c:pt>
                <c:pt idx="569">
                  <c:v>-109.53648518618274</c:v>
                </c:pt>
                <c:pt idx="570">
                  <c:v>-115.67606545864362</c:v>
                </c:pt>
                <c:pt idx="571">
                  <c:v>-122.40343819175041</c:v>
                </c:pt>
                <c:pt idx="572">
                  <c:v>-129.57850803837999</c:v>
                </c:pt>
                <c:pt idx="573">
                  <c:v>-137.3465874715863</c:v>
                </c:pt>
                <c:pt idx="574">
                  <c:v>-145.53048697339437</c:v>
                </c:pt>
                <c:pt idx="575">
                  <c:v>-154.26431141118678</c:v>
                </c:pt>
                <c:pt idx="576">
                  <c:v>-163.19035481018466</c:v>
                </c:pt>
                <c:pt idx="577">
                  <c:v>-19.137023908903473</c:v>
                </c:pt>
                <c:pt idx="578">
                  <c:v>-47.220111266540925</c:v>
                </c:pt>
                <c:pt idx="579">
                  <c:v>-93.073179943535024</c:v>
                </c:pt>
                <c:pt idx="580">
                  <c:v>-159.96946073146069</c:v>
                </c:pt>
                <c:pt idx="581">
                  <c:v>-62.292922738166681</c:v>
                </c:pt>
                <c:pt idx="582">
                  <c:v>-122.94950852778999</c:v>
                </c:pt>
                <c:pt idx="583">
                  <c:v>-46.829411261391044</c:v>
                </c:pt>
                <c:pt idx="584">
                  <c:v>-121.2007415331687</c:v>
                </c:pt>
                <c:pt idx="585">
                  <c:v>-60.660077575694658</c:v>
                </c:pt>
                <c:pt idx="586">
                  <c:v>-154.05598135171533</c:v>
                </c:pt>
                <c:pt idx="587">
                  <c:v>-101.71635239910324</c:v>
                </c:pt>
                <c:pt idx="588">
                  <c:v>-64.917991412016988</c:v>
                </c:pt>
                <c:pt idx="589">
                  <c:v>-23.830617277976955</c:v>
                </c:pt>
                <c:pt idx="590">
                  <c:v>-173.56337616866915</c:v>
                </c:pt>
                <c:pt idx="591">
                  <c:v>-164.74202683966513</c:v>
                </c:pt>
                <c:pt idx="592">
                  <c:v>-177.10855713781655</c:v>
                </c:pt>
                <c:pt idx="593">
                  <c:v>-35.106321669043155</c:v>
                </c:pt>
                <c:pt idx="594">
                  <c:v>-84.408437738466603</c:v>
                </c:pt>
                <c:pt idx="595">
                  <c:v>-137.28905215304638</c:v>
                </c:pt>
                <c:pt idx="596">
                  <c:v>-69.042745451899265</c:v>
                </c:pt>
                <c:pt idx="597">
                  <c:v>-172.82970471635758</c:v>
                </c:pt>
                <c:pt idx="598">
                  <c:v>-137.59025295612338</c:v>
                </c:pt>
                <c:pt idx="599">
                  <c:v>-137.18562023892429</c:v>
                </c:pt>
                <c:pt idx="600">
                  <c:v>-175.67481005610011</c:v>
                </c:pt>
              </c:numCache>
            </c:numRef>
          </c:yVal>
          <c:smooth val="0"/>
          <c:extLst>
            <c:ext xmlns:c16="http://schemas.microsoft.com/office/drawing/2014/chart" uri="{C3380CC4-5D6E-409C-BE32-E72D297353CC}">
              <c16:uniqueId val="{00000001-52E8-40C0-BDC9-E7AD10D908CE}"/>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1" i="0" u="none" strike="noStrike" baseline="0">
                <a:solidFill>
                  <a:srgbClr val="000000"/>
                </a:solidFill>
                <a:latin typeface="Arial"/>
                <a:ea typeface="Arial"/>
                <a:cs typeface="Arial"/>
              </a:defRPr>
            </a:pPr>
            <a:r>
              <a:rPr lang="en-US"/>
              <a:t>LM5185-Q1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Calculations'!$AD$13:$AD$613</c:f>
              <c:numCache>
                <c:formatCode>0.00</c:formatCode>
                <c:ptCount val="601"/>
                <c:pt idx="0">
                  <c:v>66.083317684542479</c:v>
                </c:pt>
                <c:pt idx="1">
                  <c:v>65.283236673197692</c:v>
                </c:pt>
                <c:pt idx="2">
                  <c:v>64.483228787192644</c:v>
                </c:pt>
                <c:pt idx="3">
                  <c:v>63.683264255038509</c:v>
                </c:pt>
                <c:pt idx="4">
                  <c:v>62.883841222815647</c:v>
                </c:pt>
                <c:pt idx="5">
                  <c:v>62.083609109620987</c:v>
                </c:pt>
                <c:pt idx="6">
                  <c:v>61.283687433825492</c:v>
                </c:pt>
                <c:pt idx="7">
                  <c:v>60.483535071265287</c:v>
                </c:pt>
                <c:pt idx="8">
                  <c:v>59.683723886362039</c:v>
                </c:pt>
                <c:pt idx="9">
                  <c:v>58.883639061733803</c:v>
                </c:pt>
                <c:pt idx="10">
                  <c:v>58.083733145236707</c:v>
                </c:pt>
                <c:pt idx="11">
                  <c:v>57.283886193811774</c:v>
                </c:pt>
                <c:pt idx="12">
                  <c:v>56.483670212631708</c:v>
                </c:pt>
                <c:pt idx="13">
                  <c:v>55.683850121104797</c:v>
                </c:pt>
                <c:pt idx="14">
                  <c:v>54.883784438299244</c:v>
                </c:pt>
                <c:pt idx="15">
                  <c:v>54.083778495139455</c:v>
                </c:pt>
                <c:pt idx="16">
                  <c:v>53.283765850432488</c:v>
                </c:pt>
                <c:pt idx="17">
                  <c:v>52.483858599191095</c:v>
                </c:pt>
                <c:pt idx="18">
                  <c:v>51.683822900995366</c:v>
                </c:pt>
                <c:pt idx="19">
                  <c:v>50.883872140319994</c:v>
                </c:pt>
                <c:pt idx="20">
                  <c:v>50.083845098952082</c:v>
                </c:pt>
                <c:pt idx="21">
                  <c:v>49.283903122393255</c:v>
                </c:pt>
                <c:pt idx="22">
                  <c:v>48.483873469231121</c:v>
                </c:pt>
                <c:pt idx="23">
                  <c:v>47.683952293300457</c:v>
                </c:pt>
                <c:pt idx="24">
                  <c:v>46.883934357595216</c:v>
                </c:pt>
                <c:pt idx="25">
                  <c:v>46.083942044792764</c:v>
                </c:pt>
                <c:pt idx="26">
                  <c:v>45.283787773783274</c:v>
                </c:pt>
                <c:pt idx="27">
                  <c:v>44.48372539170019</c:v>
                </c:pt>
                <c:pt idx="28">
                  <c:v>43.683723265804126</c:v>
                </c:pt>
                <c:pt idx="29">
                  <c:v>42.884278268799264</c:v>
                </c:pt>
                <c:pt idx="30">
                  <c:v>42.084039042184841</c:v>
                </c:pt>
                <c:pt idx="31">
                  <c:v>41.284124885907325</c:v>
                </c:pt>
                <c:pt idx="32">
                  <c:v>40.483994934268935</c:v>
                </c:pt>
                <c:pt idx="33">
                  <c:v>39.684221794324841</c:v>
                </c:pt>
                <c:pt idx="34">
                  <c:v>38.884191970338037</c:v>
                </c:pt>
                <c:pt idx="35">
                  <c:v>38.084359852271419</c:v>
                </c:pt>
                <c:pt idx="36">
                  <c:v>37.284608009064478</c:v>
                </c:pt>
                <c:pt idx="37">
                  <c:v>36.484511745616302</c:v>
                </c:pt>
                <c:pt idx="38">
                  <c:v>35.684839935047371</c:v>
                </c:pt>
                <c:pt idx="39">
                  <c:v>34.884956251122368</c:v>
                </c:pt>
                <c:pt idx="40">
                  <c:v>34.08517215504942</c:v>
                </c:pt>
                <c:pt idx="41">
                  <c:v>33.285428762771986</c:v>
                </c:pt>
                <c:pt idx="42">
                  <c:v>32.485847273190885</c:v>
                </c:pt>
                <c:pt idx="43">
                  <c:v>31.686205015701596</c:v>
                </c:pt>
                <c:pt idx="44">
                  <c:v>30.886728640909134</c:v>
                </c:pt>
                <c:pt idx="45">
                  <c:v>30.087273139266784</c:v>
                </c:pt>
                <c:pt idx="46">
                  <c:v>29.288019142116475</c:v>
                </c:pt>
                <c:pt idx="47">
                  <c:v>28.488817408389927</c:v>
                </c:pt>
                <c:pt idx="48">
                  <c:v>27.689891961063179</c:v>
                </c:pt>
                <c:pt idx="49">
                  <c:v>26.89107157148247</c:v>
                </c:pt>
                <c:pt idx="50">
                  <c:v>26.092519028515152</c:v>
                </c:pt>
                <c:pt idx="51">
                  <c:v>25.294095893078136</c:v>
                </c:pt>
                <c:pt idx="52">
                  <c:v>24.496114027715304</c:v>
                </c:pt>
                <c:pt idx="53">
                  <c:v>23.698612022291137</c:v>
                </c:pt>
                <c:pt idx="54">
                  <c:v>22.902168869850826</c:v>
                </c:pt>
                <c:pt idx="55">
                  <c:v>22.105539561716828</c:v>
                </c:pt>
                <c:pt idx="56">
                  <c:v>21.309959983796031</c:v>
                </c:pt>
                <c:pt idx="57">
                  <c:v>20.515037186836143</c:v>
                </c:pt>
                <c:pt idx="58">
                  <c:v>19.721513415549573</c:v>
                </c:pt>
                <c:pt idx="59">
                  <c:v>18.928987432347263</c:v>
                </c:pt>
                <c:pt idx="60">
                  <c:v>18.138157486861122</c:v>
                </c:pt>
                <c:pt idx="61">
                  <c:v>17.349202449273157</c:v>
                </c:pt>
                <c:pt idx="62">
                  <c:v>16.562056772306651</c:v>
                </c:pt>
                <c:pt idx="63">
                  <c:v>15.777895422324056</c:v>
                </c:pt>
                <c:pt idx="64">
                  <c:v>14.996590380650241</c:v>
                </c:pt>
                <c:pt idx="65">
                  <c:v>14.219034420487315</c:v>
                </c:pt>
                <c:pt idx="66">
                  <c:v>13.445862599519963</c:v>
                </c:pt>
                <c:pt idx="67">
                  <c:v>12.678004549503434</c:v>
                </c:pt>
                <c:pt idx="68">
                  <c:v>11.916197495718251</c:v>
                </c:pt>
                <c:pt idx="69">
                  <c:v>11.161763047490394</c:v>
                </c:pt>
                <c:pt idx="70">
                  <c:v>10.415840627221648</c:v>
                </c:pt>
                <c:pt idx="71">
                  <c:v>9.6800606418943431</c:v>
                </c:pt>
                <c:pt idx="72">
                  <c:v>8.9559450959415816</c:v>
                </c:pt>
                <c:pt idx="73">
                  <c:v>8.2455580521483771</c:v>
                </c:pt>
                <c:pt idx="74">
                  <c:v>7.550808108295751</c:v>
                </c:pt>
                <c:pt idx="75">
                  <c:v>6.8740843771203952</c:v>
                </c:pt>
                <c:pt idx="76">
                  <c:v>6.2176747158459653</c:v>
                </c:pt>
                <c:pt idx="77">
                  <c:v>5.5843449845972213</c:v>
                </c:pt>
                <c:pt idx="78">
                  <c:v>4.976664418612347</c:v>
                </c:pt>
                <c:pt idx="79">
                  <c:v>4.397538280077474</c:v>
                </c:pt>
                <c:pt idx="80">
                  <c:v>3.848418167085101</c:v>
                </c:pt>
                <c:pt idx="81">
                  <c:v>3.3322609625824189</c:v>
                </c:pt>
                <c:pt idx="82">
                  <c:v>2.8505034937272935</c:v>
                </c:pt>
                <c:pt idx="83">
                  <c:v>2.4047980276481873</c:v>
                </c:pt>
                <c:pt idx="84">
                  <c:v>1.9955560002504102</c:v>
                </c:pt>
                <c:pt idx="85">
                  <c:v>1.6231673272597273</c:v>
                </c:pt>
                <c:pt idx="86">
                  <c:v>1.2870951348653323</c:v>
                </c:pt>
                <c:pt idx="87">
                  <c:v>0.9861291482814033</c:v>
                </c:pt>
                <c:pt idx="88">
                  <c:v>0.71898510059077303</c:v>
                </c:pt>
                <c:pt idx="89">
                  <c:v>0.48344394038489624</c:v>
                </c:pt>
                <c:pt idx="90">
                  <c:v>0.2772976746283331</c:v>
                </c:pt>
                <c:pt idx="91">
                  <c:v>9.8018598585443359E-2</c:v>
                </c:pt>
                <c:pt idx="92">
                  <c:v>-5.6969958296334139E-2</c:v>
                </c:pt>
                <c:pt idx="93">
                  <c:v>-0.19030457770080739</c:v>
                </c:pt>
                <c:pt idx="94">
                  <c:v>-0.22053543109349699</c:v>
                </c:pt>
                <c:pt idx="95">
                  <c:v>-0.2353040848959165</c:v>
                </c:pt>
                <c:pt idx="96">
                  <c:v>-0.24962018156698984</c:v>
                </c:pt>
                <c:pt idx="97">
                  <c:v>-0.26381843982196329</c:v>
                </c:pt>
                <c:pt idx="98">
                  <c:v>-0.27757998298239056</c:v>
                </c:pt>
                <c:pt idx="99">
                  <c:v>-0.29123002428061245</c:v>
                </c:pt>
                <c:pt idx="100">
                  <c:v>-0.3044586009007294</c:v>
                </c:pt>
                <c:pt idx="101">
                  <c:v>-0.31757165536106902</c:v>
                </c:pt>
                <c:pt idx="102">
                  <c:v>-0.33027854759637815</c:v>
                </c:pt>
                <c:pt idx="103">
                  <c:v>-0.34288511102442903</c:v>
                </c:pt>
                <c:pt idx="104">
                  <c:v>-0.35509966381923835</c:v>
                </c:pt>
                <c:pt idx="105">
                  <c:v>-0.3672097949564026</c:v>
                </c:pt>
                <c:pt idx="106">
                  <c:v>-0.3789421367769259</c:v>
                </c:pt>
                <c:pt idx="107">
                  <c:v>-0.39056705655728019</c:v>
                </c:pt>
                <c:pt idx="108">
                  <c:v>-0.40182839594991021</c:v>
                </c:pt>
                <c:pt idx="109">
                  <c:v>-0.41298775595599019</c:v>
                </c:pt>
                <c:pt idx="110">
                  <c:v>-0.42379719311463276</c:v>
                </c:pt>
                <c:pt idx="111">
                  <c:v>-0.43451658202739818</c:v>
                </c:pt>
                <c:pt idx="112">
                  <c:v>-0.44489875445704075</c:v>
                </c:pt>
                <c:pt idx="113">
                  <c:v>-0.45518789796682313</c:v>
                </c:pt>
                <c:pt idx="114">
                  <c:v>-0.46515253633590986</c:v>
                </c:pt>
                <c:pt idx="115">
                  <c:v>-0.47502823976752317</c:v>
                </c:pt>
                <c:pt idx="116">
                  <c:v>-0.48459169804214386</c:v>
                </c:pt>
                <c:pt idx="117">
                  <c:v>-0.49406996682772175</c:v>
                </c:pt>
                <c:pt idx="118">
                  <c:v>-0.50324782565979898</c:v>
                </c:pt>
                <c:pt idx="119">
                  <c:v>-0.51233851434428712</c:v>
                </c:pt>
                <c:pt idx="120">
                  <c:v>-0.52114056954526633</c:v>
                </c:pt>
                <c:pt idx="121">
                  <c:v>-0.52985930882423882</c:v>
                </c:pt>
                <c:pt idx="122">
                  <c:v>-0.53830075427269852</c:v>
                </c:pt>
                <c:pt idx="123">
                  <c:v>-0.54666721136111718</c:v>
                </c:pt>
                <c:pt idx="124">
                  <c:v>-0.55476699927785245</c:v>
                </c:pt>
                <c:pt idx="125">
                  <c:v>-0.56279004494597107</c:v>
                </c:pt>
                <c:pt idx="126">
                  <c:v>-0.57055698776541652</c:v>
                </c:pt>
                <c:pt idx="127">
                  <c:v>-0.57825029410683937</c:v>
                </c:pt>
                <c:pt idx="128">
                  <c:v>-0.58569768877173978</c:v>
                </c:pt>
                <c:pt idx="129">
                  <c:v>-0.59307435609934356</c:v>
                </c:pt>
                <c:pt idx="130">
                  <c:v>-0.60021494486754845</c:v>
                </c:pt>
                <c:pt idx="131">
                  <c:v>-0.60728754378215777</c:v>
                </c:pt>
                <c:pt idx="132">
                  <c:v>-0.61073826002167608</c:v>
                </c:pt>
                <c:pt idx="133">
                  <c:v>-0.61413355451942908</c:v>
                </c:pt>
                <c:pt idx="134">
                  <c:v>-0.61755338473066845</c:v>
                </c:pt>
                <c:pt idx="135">
                  <c:v>-0.62091760657808703</c:v>
                </c:pt>
                <c:pt idx="136">
                  <c:v>-0.62422742481595539</c:v>
                </c:pt>
                <c:pt idx="137">
                  <c:v>-0.62748401220002004</c:v>
                </c:pt>
                <c:pt idx="138">
                  <c:v>-0.63076066886114313</c:v>
                </c:pt>
                <c:pt idx="139">
                  <c:v>-0.63398403305059847</c:v>
                </c:pt>
                <c:pt idx="140">
                  <c:v>-0.63715526179663295</c:v>
                </c:pt>
                <c:pt idx="141">
                  <c:v>-0.64027548132672207</c:v>
                </c:pt>
                <c:pt idx="142">
                  <c:v>-0.64341799847278769</c:v>
                </c:pt>
                <c:pt idx="143">
                  <c:v>-0.64650935230035678</c:v>
                </c:pt>
                <c:pt idx="144">
                  <c:v>-0.64955065697997483</c:v>
                </c:pt>
                <c:pt idx="145">
                  <c:v>-0.65254299692928908</c:v>
                </c:pt>
                <c:pt idx="146">
                  <c:v>-0.65555507342838382</c:v>
                </c:pt>
                <c:pt idx="147">
                  <c:v>-0.65851809587806298</c:v>
                </c:pt>
                <c:pt idx="148">
                  <c:v>-0.66143313511330804</c:v>
                </c:pt>
                <c:pt idx="149">
                  <c:v>-0.66430123330222379</c:v>
                </c:pt>
                <c:pt idx="150">
                  <c:v>-0.66718812208321865</c:v>
                </c:pt>
                <c:pt idx="151">
                  <c:v>-0.67002799308521432</c:v>
                </c:pt>
                <c:pt idx="152">
                  <c:v>-0.67282187508895819</c:v>
                </c:pt>
                <c:pt idx="153">
                  <c:v>-0.6755707692695434</c:v>
                </c:pt>
                <c:pt idx="154">
                  <c:v>-0.67833880180622252</c:v>
                </c:pt>
                <c:pt idx="155">
                  <c:v>-0.6810617410967319</c:v>
                </c:pt>
                <c:pt idx="156">
                  <c:v>-0.68374057646632536</c:v>
                </c:pt>
                <c:pt idx="157">
                  <c:v>-0.68637627062310247</c:v>
                </c:pt>
                <c:pt idx="158">
                  <c:v>-0.68903010212767679</c:v>
                </c:pt>
                <c:pt idx="159">
                  <c:v>-0.69164070326429727</c:v>
                </c:pt>
                <c:pt idx="160">
                  <c:v>-0.69420902491833691</c:v>
                </c:pt>
                <c:pt idx="161">
                  <c:v>-0.69673599232919625</c:v>
                </c:pt>
                <c:pt idx="162">
                  <c:v>-0.69927903287112358</c:v>
                </c:pt>
                <c:pt idx="163">
                  <c:v>-0.70178068146123507</c:v>
                </c:pt>
                <c:pt idx="164">
                  <c:v>-0.70424185037346199</c:v>
                </c:pt>
                <c:pt idx="165">
                  <c:v>-0.70666342723162012</c:v>
                </c:pt>
                <c:pt idx="166">
                  <c:v>-0.70910234747084144</c:v>
                </c:pt>
                <c:pt idx="167">
                  <c:v>-0.71150158144165798</c:v>
                </c:pt>
                <c:pt idx="168">
                  <c:v>-0.7138620062357538</c:v>
                </c:pt>
                <c:pt idx="169">
                  <c:v>-0.71618447518527761</c:v>
                </c:pt>
                <c:pt idx="170">
                  <c:v>-0.71851845944643322</c:v>
                </c:pt>
                <c:pt idx="171">
                  <c:v>-0.72081456861998894</c:v>
                </c:pt>
                <c:pt idx="172">
                  <c:v>-0.72307364022716092</c:v>
                </c:pt>
                <c:pt idx="173">
                  <c:v>-0.72529648909540279</c:v>
                </c:pt>
                <c:pt idx="174">
                  <c:v>-0.7275386020254011</c:v>
                </c:pt>
                <c:pt idx="175">
                  <c:v>-0.7297443072449461</c:v>
                </c:pt>
                <c:pt idx="176">
                  <c:v>-0.7319144131876808</c:v>
                </c:pt>
                <c:pt idx="177">
                  <c:v>-0.73404970629823441</c:v>
                </c:pt>
                <c:pt idx="178">
                  <c:v>-0.7362021991700568</c:v>
                </c:pt>
                <c:pt idx="179">
                  <c:v>-0.7383197498133518</c:v>
                </c:pt>
                <c:pt idx="180">
                  <c:v>-0.74040313686231229</c:v>
                </c:pt>
                <c:pt idx="181">
                  <c:v>-0.74245311770712785</c:v>
                </c:pt>
                <c:pt idx="182">
                  <c:v>-0.74451044713979064</c:v>
                </c:pt>
                <c:pt idx="183">
                  <c:v>-0.74653454790550366</c:v>
                </c:pt>
                <c:pt idx="184">
                  <c:v>-0.74852615978794323</c:v>
                </c:pt>
                <c:pt idx="185">
                  <c:v>-0.75048600241491159</c:v>
                </c:pt>
                <c:pt idx="186">
                  <c:v>-0.75246729102328036</c:v>
                </c:pt>
                <c:pt idx="187">
                  <c:v>-0.75441651986877234</c:v>
                </c:pt>
                <c:pt idx="188">
                  <c:v>-0.75633440723514811</c:v>
                </c:pt>
                <c:pt idx="189">
                  <c:v>-0.7582216517242556</c:v>
                </c:pt>
                <c:pt idx="190">
                  <c:v>-0.76011409018295661</c:v>
                </c:pt>
                <c:pt idx="191">
                  <c:v>-0.76197611024328815</c:v>
                </c:pt>
                <c:pt idx="192">
                  <c:v>-0.76380839221390995</c:v>
                </c:pt>
                <c:pt idx="193">
                  <c:v>-0.76561159780752164</c:v>
                </c:pt>
                <c:pt idx="194">
                  <c:v>-0.76743252361554015</c:v>
                </c:pt>
                <c:pt idx="195">
                  <c:v>-0.76922418292320449</c:v>
                </c:pt>
                <c:pt idx="196">
                  <c:v>-0.77098723368667255</c:v>
                </c:pt>
                <c:pt idx="197">
                  <c:v>-0.77272231579810224</c:v>
                </c:pt>
                <c:pt idx="198">
                  <c:v>-0.77446714597909649</c:v>
                </c:pt>
                <c:pt idx="199">
                  <c:v>-0.77618406507331306</c:v>
                </c:pt>
                <c:pt idx="200">
                  <c:v>-0.77787370122048605</c:v>
                </c:pt>
                <c:pt idx="201">
                  <c:v>-0.77953666531244625</c:v>
                </c:pt>
                <c:pt idx="202">
                  <c:v>-0.78120834658755467</c:v>
                </c:pt>
                <c:pt idx="203">
                  <c:v>-0.78285343620247394</c:v>
                </c:pt>
                <c:pt idx="204">
                  <c:v>-0.78447253300857089</c:v>
                </c:pt>
                <c:pt idx="205">
                  <c:v>-0.78606621941910504</c:v>
                </c:pt>
                <c:pt idx="206">
                  <c:v>-0.7876731534075696</c:v>
                </c:pt>
                <c:pt idx="207">
                  <c:v>-0.7892546048217064</c:v>
                </c:pt>
                <c:pt idx="208">
                  <c:v>-0.79081114966577015</c:v>
                </c:pt>
                <c:pt idx="209">
                  <c:v>-0.79234334809276041</c:v>
                </c:pt>
                <c:pt idx="210">
                  <c:v>-0.79389260106675086</c:v>
                </c:pt>
                <c:pt idx="211">
                  <c:v>-0.79541730926191667</c:v>
                </c:pt>
                <c:pt idx="212">
                  <c:v>-0.79691803108485681</c:v>
                </c:pt>
                <c:pt idx="213">
                  <c:v>-0.79839530949582493</c:v>
                </c:pt>
                <c:pt idx="214">
                  <c:v>-0.79987843373487322</c:v>
                </c:pt>
                <c:pt idx="215">
                  <c:v>-0.80133826460844637</c:v>
                </c:pt>
                <c:pt idx="216">
                  <c:v>-0.80277533174831772</c:v>
                </c:pt>
                <c:pt idx="217">
                  <c:v>-0.8041901501653006</c:v>
                </c:pt>
                <c:pt idx="218">
                  <c:v>-0.80561473481587997</c:v>
                </c:pt>
                <c:pt idx="219">
                  <c:v>-0.80701708961173291</c:v>
                </c:pt>
                <c:pt idx="220">
                  <c:v>-0.80839772119761122</c:v>
                </c:pt>
                <c:pt idx="221">
                  <c:v>-0.80975712222147078</c:v>
                </c:pt>
                <c:pt idx="222">
                  <c:v>-0.81112538144157087</c:v>
                </c:pt>
                <c:pt idx="223">
                  <c:v>-0.8124724513530881</c:v>
                </c:pt>
                <c:pt idx="224">
                  <c:v>-0.81379881585917513</c:v>
                </c:pt>
                <c:pt idx="225">
                  <c:v>-0.81510494549153045</c:v>
                </c:pt>
                <c:pt idx="226">
                  <c:v>-0.81642310775015803</c:v>
                </c:pt>
                <c:pt idx="227">
                  <c:v>-0.81772097365323881</c:v>
                </c:pt>
                <c:pt idx="228">
                  <c:v>-0.81899900889694222</c:v>
                </c:pt>
                <c:pt idx="229">
                  <c:v>-0.82025766627433816</c:v>
                </c:pt>
                <c:pt idx="230">
                  <c:v>-0.82277752213620337</c:v>
                </c:pt>
                <c:pt idx="231">
                  <c:v>-0.82400878280646894</c:v>
                </c:pt>
                <c:pt idx="232">
                  <c:v>-0.82522151589215964</c:v>
                </c:pt>
                <c:pt idx="233">
                  <c:v>-0.82644428675167414</c:v>
                </c:pt>
                <c:pt idx="234">
                  <c:v>-0.82764852409200562</c:v>
                </c:pt>
                <c:pt idx="235">
                  <c:v>-0.82883465664301004</c:v>
                </c:pt>
                <c:pt idx="236">
                  <c:v>-0.83000310121444509</c:v>
                </c:pt>
                <c:pt idx="237">
                  <c:v>-0.83117744387449677</c:v>
                </c:pt>
                <c:pt idx="238">
                  <c:v>-0.83233421385894757</c:v>
                </c:pt>
                <c:pt idx="239">
                  <c:v>-0.83347381799257225</c:v>
                </c:pt>
                <c:pt idx="240">
                  <c:v>-0.8345966518107556</c:v>
                </c:pt>
                <c:pt idx="241">
                  <c:v>-0.83573117830025678</c:v>
                </c:pt>
                <c:pt idx="242">
                  <c:v>-0.83684887377938433</c:v>
                </c:pt>
                <c:pt idx="243">
                  <c:v>-0.8379501303096869</c:v>
                </c:pt>
                <c:pt idx="244">
                  <c:v>-0.8390353290388155</c:v>
                </c:pt>
                <c:pt idx="245">
                  <c:v>-0.8401283667467967</c:v>
                </c:pt>
                <c:pt idx="246">
                  <c:v>-0.84120539899472113</c:v>
                </c:pt>
                <c:pt idx="247">
                  <c:v>-0.84226679978268937</c:v>
                </c:pt>
                <c:pt idx="248">
                  <c:v>-0.84331293270168817</c:v>
                </c:pt>
                <c:pt idx="249">
                  <c:v>-0.84436911955017946</c:v>
                </c:pt>
                <c:pt idx="250">
                  <c:v>-0.84541002505710261</c:v>
                </c:pt>
                <c:pt idx="251">
                  <c:v>-0.84643600830792753</c:v>
                </c:pt>
                <c:pt idx="252">
                  <c:v>-0.84744741837490756</c:v>
                </c:pt>
                <c:pt idx="253">
                  <c:v>-0.84846554751812231</c:v>
                </c:pt>
                <c:pt idx="254">
                  <c:v>-0.84946918529820792</c:v>
                </c:pt>
                <c:pt idx="255">
                  <c:v>-0.85045867320481094</c:v>
                </c:pt>
                <c:pt idx="256">
                  <c:v>-0.85143434321656364</c:v>
                </c:pt>
                <c:pt idx="257">
                  <c:v>-0.85242126842719612</c:v>
                </c:pt>
                <c:pt idx="258">
                  <c:v>-0.85339432900166823</c:v>
                </c:pt>
                <c:pt idx="259">
                  <c:v>-0.85435385422303012</c:v>
                </c:pt>
                <c:pt idx="260">
                  <c:v>-0.85530016417279553</c:v>
                </c:pt>
                <c:pt idx="261">
                  <c:v>-0.85625463622369835</c:v>
                </c:pt>
                <c:pt idx="262">
                  <c:v>-0.85719593452637999</c:v>
                </c:pt>
                <c:pt idx="263">
                  <c:v>-0.85812437357329618</c:v>
                </c:pt>
                <c:pt idx="264">
                  <c:v>-0.85904025906685455</c:v>
                </c:pt>
                <c:pt idx="265">
                  <c:v>-0.85996383187909009</c:v>
                </c:pt>
                <c:pt idx="266">
                  <c:v>-0.86087490612234729</c:v>
                </c:pt>
                <c:pt idx="267">
                  <c:v>-0.8617737817173633</c:v>
                </c:pt>
                <c:pt idx="268">
                  <c:v>-0.86266075020453314</c:v>
                </c:pt>
                <c:pt idx="269">
                  <c:v>-0.86355709715952611</c:v>
                </c:pt>
                <c:pt idx="270">
                  <c:v>-0.86444154806451723</c:v>
                </c:pt>
                <c:pt idx="271">
                  <c:v>-0.86531439055536064</c:v>
                </c:pt>
                <c:pt idx="272">
                  <c:v>-0.86617590421834589</c:v>
                </c:pt>
                <c:pt idx="273">
                  <c:v>-0.86704628749965895</c:v>
                </c:pt>
                <c:pt idx="274">
                  <c:v>-0.8679053693511164</c:v>
                </c:pt>
                <c:pt idx="275">
                  <c:v>-0.86875342512464515</c:v>
                </c:pt>
                <c:pt idx="276">
                  <c:v>-0.86959072245891189</c:v>
                </c:pt>
                <c:pt idx="277">
                  <c:v>-0.87043455784499357</c:v>
                </c:pt>
                <c:pt idx="278">
                  <c:v>-0.87126772398532049</c:v>
                </c:pt>
                <c:pt idx="279">
                  <c:v>-0.8720904822807698</c:v>
                </c:pt>
                <c:pt idx="280">
                  <c:v>-0.87290308682275186</c:v>
                </c:pt>
                <c:pt idx="281">
                  <c:v>-0.87372739260533594</c:v>
                </c:pt>
                <c:pt idx="282">
                  <c:v>-0.87454150779836271</c:v>
                </c:pt>
                <c:pt idx="283">
                  <c:v>-0.87534568520391653</c:v>
                </c:pt>
                <c:pt idx="284">
                  <c:v>-0.87614017052452753</c:v>
                </c:pt>
                <c:pt idx="285">
                  <c:v>-0.87694063695207802</c:v>
                </c:pt>
                <c:pt idx="286">
                  <c:v>-0.87773151863130305</c:v>
                </c:pt>
                <c:pt idx="287">
                  <c:v>-0.87851305482154762</c:v>
                </c:pt>
                <c:pt idx="288">
                  <c:v>-0.87928547808139912</c:v>
                </c:pt>
                <c:pt idx="289">
                  <c:v>-0.88006864521772088</c:v>
                </c:pt>
                <c:pt idx="290">
                  <c:v>-0.88084269710118823</c:v>
                </c:pt>
                <c:pt idx="291">
                  <c:v>-0.88160786426376681</c:v>
                </c:pt>
                <c:pt idx="292">
                  <c:v>-0.88236437076097185</c:v>
                </c:pt>
                <c:pt idx="293">
                  <c:v>-0.88312962346408419</c:v>
                </c:pt>
                <c:pt idx="294">
                  <c:v>-0.88388626524026692</c:v>
                </c:pt>
                <c:pt idx="295">
                  <c:v>-0.8846345163758198</c:v>
                </c:pt>
                <c:pt idx="296">
                  <c:v>-0.88537459096581039</c:v>
                </c:pt>
                <c:pt idx="297">
                  <c:v>-0.88612314296062289</c:v>
                </c:pt>
                <c:pt idx="298">
                  <c:v>-0.88686357874222144</c:v>
                </c:pt>
                <c:pt idx="299">
                  <c:v>-0.88759610847886861</c:v>
                </c:pt>
                <c:pt idx="300">
                  <c:v>-0.88832093643241616</c:v>
                </c:pt>
                <c:pt idx="301">
                  <c:v>-0.88905402245917475</c:v>
                </c:pt>
                <c:pt idx="302">
                  <c:v>-0.88977947615255448</c:v>
                </c:pt>
                <c:pt idx="303">
                  <c:v>-0.89049749774000431</c:v>
                </c:pt>
                <c:pt idx="304">
                  <c:v>-0.89120828182494694</c:v>
                </c:pt>
                <c:pt idx="305">
                  <c:v>-0.89192990050963805</c:v>
                </c:pt>
                <c:pt idx="306">
                  <c:v>-0.89264430450136667</c:v>
                </c:pt>
                <c:pt idx="307">
                  <c:v>-0.89335168648032881</c:v>
                </c:pt>
                <c:pt idx="308">
                  <c:v>-0.8940522336996839</c:v>
                </c:pt>
                <c:pt idx="309">
                  <c:v>-0.89476068018266464</c:v>
                </c:pt>
                <c:pt idx="310">
                  <c:v>-0.89546237886250279</c:v>
                </c:pt>
                <c:pt idx="311">
                  <c:v>-0.8961575127197654</c:v>
                </c:pt>
                <c:pt idx="312">
                  <c:v>-0.89684625958903919</c:v>
                </c:pt>
                <c:pt idx="313">
                  <c:v>-0.89754536326711543</c:v>
                </c:pt>
                <c:pt idx="314">
                  <c:v>-0.89823812656272772</c:v>
                </c:pt>
                <c:pt idx="315">
                  <c:v>-0.89892472495067255</c:v>
                </c:pt>
                <c:pt idx="316">
                  <c:v>-0.89960532896250556</c:v>
                </c:pt>
                <c:pt idx="317">
                  <c:v>-0.9002961007263699</c:v>
                </c:pt>
                <c:pt idx="318">
                  <c:v>-0.90098093585536643</c:v>
                </c:pt>
                <c:pt idx="319">
                  <c:v>-0.90166000231164956</c:v>
                </c:pt>
                <c:pt idx="320">
                  <c:v>-0.90233346332044539</c:v>
                </c:pt>
                <c:pt idx="321">
                  <c:v>-0.90301694918130315</c:v>
                </c:pt>
                <c:pt idx="322">
                  <c:v>-0.90369489711859852</c:v>
                </c:pt>
                <c:pt idx="323">
                  <c:v>-0.90436746762550024</c:v>
                </c:pt>
                <c:pt idx="324">
                  <c:v>-0.90503481666615793</c:v>
                </c:pt>
                <c:pt idx="325">
                  <c:v>-0.90571208986773966</c:v>
                </c:pt>
                <c:pt idx="326">
                  <c:v>-0.90638421768874466</c:v>
                </c:pt>
                <c:pt idx="327">
                  <c:v>-0.90705135324045894</c:v>
                </c:pt>
                <c:pt idx="328">
                  <c:v>-0.90771364531291243</c:v>
                </c:pt>
                <c:pt idx="329">
                  <c:v>-0.90838691939178695</c:v>
                </c:pt>
                <c:pt idx="330">
                  <c:v>-0.90905541785664279</c:v>
                </c:pt>
                <c:pt idx="331">
                  <c:v>-0.90971928728324047</c:v>
                </c:pt>
                <c:pt idx="332">
                  <c:v>-0.91037867010508877</c:v>
                </c:pt>
                <c:pt idx="333">
                  <c:v>-0.91104787366781181</c:v>
                </c:pt>
                <c:pt idx="334">
                  <c:v>-0.9117126817279475</c:v>
                </c:pt>
                <c:pt idx="335">
                  <c:v>-0.912373233681954</c:v>
                </c:pt>
                <c:pt idx="336">
                  <c:v>-0.91302966499003557</c:v>
                </c:pt>
                <c:pt idx="337">
                  <c:v>-0.91369804955032452</c:v>
                </c:pt>
                <c:pt idx="338">
                  <c:v>-0.9143623847439698</c:v>
                </c:pt>
                <c:pt idx="339">
                  <c:v>-0.91502280423144466</c:v>
                </c:pt>
                <c:pt idx="340">
                  <c:v>-0.91567943789147166</c:v>
                </c:pt>
                <c:pt idx="341">
                  <c:v>-0.91634798953529761</c:v>
                </c:pt>
                <c:pt idx="342">
                  <c:v>-0.91701283603094097</c:v>
                </c:pt>
                <c:pt idx="343">
                  <c:v>-0.91767410529262516</c:v>
                </c:pt>
                <c:pt idx="344">
                  <c:v>-0.91833192161019472</c:v>
                </c:pt>
                <c:pt idx="345">
                  <c:v>-0.91900064177457463</c:v>
                </c:pt>
                <c:pt idx="346">
                  <c:v>-0.91966600806976184</c:v>
                </c:pt>
                <c:pt idx="347">
                  <c:v>-0.92032814214331082</c:v>
                </c:pt>
                <c:pt idx="348">
                  <c:v>-0.92098716219773624</c:v>
                </c:pt>
                <c:pt idx="349">
                  <c:v>-0.92165914709687546</c:v>
                </c:pt>
                <c:pt idx="350">
                  <c:v>-0.92232810473713744</c:v>
                </c:pt>
                <c:pt idx="351">
                  <c:v>-0.92299415167998056</c:v>
                </c:pt>
                <c:pt idx="352">
                  <c:v>-0.92365740117911543</c:v>
                </c:pt>
                <c:pt idx="353">
                  <c:v>-0.92433365909217458</c:v>
                </c:pt>
                <c:pt idx="354">
                  <c:v>-0.92500721486455884</c:v>
                </c:pt>
                <c:pt idx="355">
                  <c:v>-0.92567817997016755</c:v>
                </c:pt>
                <c:pt idx="356">
                  <c:v>-0.92634666271457333</c:v>
                </c:pt>
                <c:pt idx="357">
                  <c:v>-0.92702726528816126</c:v>
                </c:pt>
                <c:pt idx="358">
                  <c:v>-0.92770549503788036</c:v>
                </c:pt>
                <c:pt idx="359">
                  <c:v>-0.92838145793545668</c:v>
                </c:pt>
                <c:pt idx="360">
                  <c:v>-0.92905525694141833</c:v>
                </c:pt>
                <c:pt idx="361">
                  <c:v>-0.92974321131826554</c:v>
                </c:pt>
                <c:pt idx="362">
                  <c:v>-0.930429105247633</c:v>
                </c:pt>
                <c:pt idx="363">
                  <c:v>-0.93111304016826602</c:v>
                </c:pt>
                <c:pt idx="364">
                  <c:v>-0.93179511463022813</c:v>
                </c:pt>
                <c:pt idx="365">
                  <c:v>-0.93249052306066726</c:v>
                </c:pt>
                <c:pt idx="366">
                  <c:v>-0.9331841868500802</c:v>
                </c:pt>
                <c:pt idx="367">
                  <c:v>-0.9338762025246008</c:v>
                </c:pt>
                <c:pt idx="368">
                  <c:v>-0.93456666386040277</c:v>
                </c:pt>
                <c:pt idx="369">
                  <c:v>-0.9352724948969604</c:v>
                </c:pt>
                <c:pt idx="370">
                  <c:v>-0.9359768854306123</c:v>
                </c:pt>
                <c:pt idx="371">
                  <c:v>-0.93667992790219023</c:v>
                </c:pt>
                <c:pt idx="372">
                  <c:v>-0.937381712111645</c:v>
                </c:pt>
                <c:pt idx="373">
                  <c:v>-0.93809810879035349</c:v>
                </c:pt>
                <c:pt idx="374">
                  <c:v>-0.9388133716626812</c:v>
                </c:pt>
                <c:pt idx="375">
                  <c:v>-0.93952758874070619</c:v>
                </c:pt>
                <c:pt idx="376">
                  <c:v>-0.94024084551937503</c:v>
                </c:pt>
                <c:pt idx="377">
                  <c:v>-0.94097077007545382</c:v>
                </c:pt>
                <c:pt idx="378">
                  <c:v>-0.94169986041173326</c:v>
                </c:pt>
                <c:pt idx="379">
                  <c:v>-0.94242820082087309</c:v>
                </c:pt>
                <c:pt idx="380">
                  <c:v>-0.94315587317667648</c:v>
                </c:pt>
                <c:pt idx="381">
                  <c:v>-0.94389859723132696</c:v>
                </c:pt>
                <c:pt idx="382">
                  <c:v>-0.94464078950822405</c:v>
                </c:pt>
                <c:pt idx="383">
                  <c:v>-0.94538252997973138</c:v>
                </c:pt>
                <c:pt idx="384">
                  <c:v>-0.94612389632191585</c:v>
                </c:pt>
                <c:pt idx="385">
                  <c:v>-0.94688332682098875</c:v>
                </c:pt>
                <c:pt idx="386">
                  <c:v>-0.94764252252179981</c:v>
                </c:pt>
                <c:pt idx="387">
                  <c:v>-0.94840156001016918</c:v>
                </c:pt>
                <c:pt idx="388">
                  <c:v>-0.94916051366392529</c:v>
                </c:pt>
                <c:pt idx="389">
                  <c:v>-0.94993689254663338</c:v>
                </c:pt>
                <c:pt idx="390">
                  <c:v>-0.95071333439811734</c:v>
                </c:pt>
                <c:pt idx="391">
                  <c:v>-0.95148991214293788</c:v>
                </c:pt>
                <c:pt idx="392">
                  <c:v>-0.95226669659763252</c:v>
                </c:pt>
                <c:pt idx="393">
                  <c:v>-0.9530612119262144</c:v>
                </c:pt>
                <c:pt idx="394">
                  <c:v>-0.95385608664005239</c:v>
                </c:pt>
                <c:pt idx="395">
                  <c:v>-0.95465139005083122</c:v>
                </c:pt>
                <c:pt idx="396">
                  <c:v>-0.95544718946146401</c:v>
                </c:pt>
                <c:pt idx="397">
                  <c:v>-0.9562628913636928</c:v>
                </c:pt>
                <c:pt idx="398">
                  <c:v>-0.95707925040538422</c:v>
                </c:pt>
                <c:pt idx="399">
                  <c:v>-0.95789633278960129</c:v>
                </c:pt>
                <c:pt idx="400">
                  <c:v>-0.95871420279149988</c:v>
                </c:pt>
                <c:pt idx="401">
                  <c:v>-0.95955141437350688</c:v>
                </c:pt>
                <c:pt idx="402">
                  <c:v>-0.96038957957537974</c:v>
                </c:pt>
                <c:pt idx="403">
                  <c:v>-0.96122876128296619</c:v>
                </c:pt>
                <c:pt idx="404">
                  <c:v>-0.96206902054408605</c:v>
                </c:pt>
                <c:pt idx="405">
                  <c:v>-0.96292993313251574</c:v>
                </c:pt>
                <c:pt idx="406">
                  <c:v>-0.96379209747952665</c:v>
                </c:pt>
                <c:pt idx="407">
                  <c:v>-0.96465557339640062</c:v>
                </c:pt>
                <c:pt idx="408">
                  <c:v>-0.96552041893767626</c:v>
                </c:pt>
                <c:pt idx="409">
                  <c:v>-0.96640726699747315</c:v>
                </c:pt>
                <c:pt idx="410">
                  <c:v>-0.96729566820286661</c:v>
                </c:pt>
                <c:pt idx="411">
                  <c:v>-0.96818567949643664</c:v>
                </c:pt>
                <c:pt idx="412">
                  <c:v>-0.9690773561380005</c:v>
                </c:pt>
                <c:pt idx="413">
                  <c:v>-0.96999148353013143</c:v>
                </c:pt>
                <c:pt idx="414">
                  <c:v>-0.97090746626876756</c:v>
                </c:pt>
                <c:pt idx="415">
                  <c:v>-0.9718253584370522</c:v>
                </c:pt>
                <c:pt idx="416">
                  <c:v>-0.97274521250954527</c:v>
                </c:pt>
                <c:pt idx="417">
                  <c:v>-0.97368894040481235</c:v>
                </c:pt>
                <c:pt idx="418">
                  <c:v>-0.97463483059652778</c:v>
                </c:pt>
                <c:pt idx="419">
                  <c:v>-0.97558293448424482</c:v>
                </c:pt>
                <c:pt idx="420">
                  <c:v>-0.97653330192675991</c:v>
                </c:pt>
                <c:pt idx="421">
                  <c:v>-0.97750709326389251</c:v>
                </c:pt>
                <c:pt idx="422">
                  <c:v>-0.97848335009020238</c:v>
                </c:pt>
                <c:pt idx="423">
                  <c:v>-0.97946212098664232</c:v>
                </c:pt>
                <c:pt idx="424">
                  <c:v>-0.98044345306698677</c:v>
                </c:pt>
                <c:pt idx="425">
                  <c:v>-0.9814516363652569</c:v>
                </c:pt>
                <c:pt idx="426">
                  <c:v>-0.98246260406712804</c:v>
                </c:pt>
                <c:pt idx="427">
                  <c:v>-0.98347640237298539</c:v>
                </c:pt>
                <c:pt idx="428">
                  <c:v>-0.98449307607239667</c:v>
                </c:pt>
                <c:pt idx="429">
                  <c:v>-0.98553620980647083</c:v>
                </c:pt>
                <c:pt idx="430">
                  <c:v>-0.98658244356326863</c:v>
                </c:pt>
                <c:pt idx="431">
                  <c:v>-0.98763182101922353</c:v>
                </c:pt>
                <c:pt idx="432">
                  <c:v>-0.98868438450222518</c:v>
                </c:pt>
                <c:pt idx="433">
                  <c:v>-0.98976400499112405</c:v>
                </c:pt>
                <c:pt idx="434">
                  <c:v>-0.99084704210848462</c:v>
                </c:pt>
                <c:pt idx="435">
                  <c:v>-0.99193353702163534</c:v>
                </c:pt>
                <c:pt idx="436">
                  <c:v>-0.99302352961115881</c:v>
                </c:pt>
                <c:pt idx="437">
                  <c:v>-0.99414321017569174</c:v>
                </c:pt>
                <c:pt idx="438">
                  <c:v>-0.99526663808858773</c:v>
                </c:pt>
                <c:pt idx="439">
                  <c:v>-0.99639385223745369</c:v>
                </c:pt>
                <c:pt idx="440">
                  <c:v>-0.99752489027538882</c:v>
                </c:pt>
                <c:pt idx="441">
                  <c:v>-0.99868629900473316</c:v>
                </c:pt>
                <c:pt idx="442">
                  <c:v>-0.99985178803101327</c:v>
                </c:pt>
                <c:pt idx="443">
                  <c:v>-1.0010213939510155</c:v>
                </c:pt>
                <c:pt idx="444">
                  <c:v>-1.0021951521795254</c:v>
                </c:pt>
                <c:pt idx="445">
                  <c:v>-1.0033999879004842</c:v>
                </c:pt>
                <c:pt idx="446">
                  <c:v>-1.0046092386442353</c:v>
                </c:pt>
                <c:pt idx="447">
                  <c:v>-1.005822938715442</c:v>
                </c:pt>
                <c:pt idx="448">
                  <c:v>-1.0070411212890054</c:v>
                </c:pt>
                <c:pt idx="449">
                  <c:v>-1.0082932105157336</c:v>
                </c:pt>
                <c:pt idx="450">
                  <c:v>-1.0095500668603417</c:v>
                </c:pt>
                <c:pt idx="451">
                  <c:v>-1.0108117225005804</c:v>
                </c:pt>
                <c:pt idx="452">
                  <c:v>-1.012078208528989</c:v>
                </c:pt>
                <c:pt idx="453">
                  <c:v>-1.0133783363487872</c:v>
                </c:pt>
                <c:pt idx="454">
                  <c:v>-1.0146835777406413</c:v>
                </c:pt>
                <c:pt idx="455">
                  <c:v>-1.0159939626608063</c:v>
                </c:pt>
                <c:pt idx="456">
                  <c:v>-1.0173095200284306</c:v>
                </c:pt>
                <c:pt idx="457">
                  <c:v>-1.0186616848310546</c:v>
                </c:pt>
                <c:pt idx="458">
                  <c:v>-1.0200193286464225</c:v>
                </c:pt>
                <c:pt idx="459">
                  <c:v>-1.0213824793430883</c:v>
                </c:pt>
                <c:pt idx="460">
                  <c:v>-1.0227511637936844</c:v>
                </c:pt>
                <c:pt idx="461">
                  <c:v>-1.0241573310214456</c:v>
                </c:pt>
                <c:pt idx="462">
                  <c:v>-1.0255693454027939</c:v>
                </c:pt>
                <c:pt idx="463">
                  <c:v>-1.0269872326946567</c:v>
                </c:pt>
                <c:pt idx="464">
                  <c:v>-1.0284110176992629</c:v>
                </c:pt>
                <c:pt idx="465">
                  <c:v>-1.0298743042514884</c:v>
                </c:pt>
                <c:pt idx="466">
                  <c:v>-1.0313438178479102</c:v>
                </c:pt>
                <c:pt idx="467">
                  <c:v>-1.0328195821697579</c:v>
                </c:pt>
                <c:pt idx="468">
                  <c:v>-1.0343016199817372</c:v>
                </c:pt>
                <c:pt idx="469">
                  <c:v>-1.035824111030673</c:v>
                </c:pt>
                <c:pt idx="470">
                  <c:v>-1.0373532115709179</c:v>
                </c:pt>
                <c:pt idx="471">
                  <c:v>-1.038888943181753</c:v>
                </c:pt>
                <c:pt idx="472">
                  <c:v>-1.0404313265639296</c:v>
                </c:pt>
                <c:pt idx="473">
                  <c:v>-1.042017455648611</c:v>
                </c:pt>
                <c:pt idx="474">
                  <c:v>-1.0436105992154034</c:v>
                </c:pt>
                <c:pt idx="475">
                  <c:v>-1.0452107768041083</c:v>
                </c:pt>
                <c:pt idx="476">
                  <c:v>-1.0468180071087572</c:v>
                </c:pt>
                <c:pt idx="477">
                  <c:v>-1.0484700438558989</c:v>
                </c:pt>
                <c:pt idx="478">
                  <c:v>-1.0501295031586075</c:v>
                </c:pt>
                <c:pt idx="479">
                  <c:v>-1.0517964024740567</c:v>
                </c:pt>
                <c:pt idx="480">
                  <c:v>-1.0534707584464442</c:v>
                </c:pt>
                <c:pt idx="481">
                  <c:v>-1.055191006424204</c:v>
                </c:pt>
                <c:pt idx="482">
                  <c:v>-1.0569190875651819</c:v>
                </c:pt>
                <c:pt idx="483">
                  <c:v>-1.0586550172057028</c:v>
                </c:pt>
                <c:pt idx="484">
                  <c:v>-1.0603988099016914</c:v>
                </c:pt>
                <c:pt idx="485">
                  <c:v>-1.0621908263902005</c:v>
                </c:pt>
                <c:pt idx="486">
                  <c:v>-1.0639910999021072</c:v>
                </c:pt>
                <c:pt idx="487">
                  <c:v>-1.065799643644662</c:v>
                </c:pt>
                <c:pt idx="488">
                  <c:v>-1.0676164700748767</c:v>
                </c:pt>
                <c:pt idx="489">
                  <c:v>-1.0694851770198448</c:v>
                </c:pt>
                <c:pt idx="490">
                  <c:v>-1.071362590155416</c:v>
                </c:pt>
                <c:pt idx="491">
                  <c:v>-1.0732487205591519</c:v>
                </c:pt>
                <c:pt idx="492">
                  <c:v>-1.0751435785843728</c:v>
                </c:pt>
                <c:pt idx="493">
                  <c:v>-1.0770915770787466</c:v>
                </c:pt>
                <c:pt idx="494">
                  <c:v>-1.0790487338361143</c:v>
                </c:pt>
                <c:pt idx="495">
                  <c:v>-1.0810150577410387</c:v>
                </c:pt>
                <c:pt idx="496">
                  <c:v>-1.082990556979869</c:v>
                </c:pt>
                <c:pt idx="497">
                  <c:v>-1.0850217743451605</c:v>
                </c:pt>
                <c:pt idx="498">
                  <c:v>-1.0870626165223982</c:v>
                </c:pt>
                <c:pt idx="499">
                  <c:v>-1.0891130901549353</c:v>
                </c:pt>
                <c:pt idx="500">
                  <c:v>-1.0911732012120625</c:v>
                </c:pt>
                <c:pt idx="501">
                  <c:v>-1.0932916937615875</c:v>
                </c:pt>
                <c:pt idx="502">
                  <c:v>-1.0954202924401888</c:v>
                </c:pt>
                <c:pt idx="503">
                  <c:v>-1.097559001588758</c:v>
                </c:pt>
                <c:pt idx="504">
                  <c:v>-1.0997078248965111</c:v>
                </c:pt>
                <c:pt idx="505">
                  <c:v>-1.1019164380619892</c:v>
                </c:pt>
                <c:pt idx="506">
                  <c:v>-1.1041356408205105</c:v>
                </c:pt>
                <c:pt idx="507">
                  <c:v>-1.1063654351331937</c:v>
                </c:pt>
                <c:pt idx="508">
                  <c:v>-1.1086058223317987</c:v>
                </c:pt>
                <c:pt idx="509">
                  <c:v>-1.1109088002217258</c:v>
                </c:pt>
                <c:pt idx="510">
                  <c:v>-1.1132228657186212</c:v>
                </c:pt>
                <c:pt idx="511">
                  <c:v>-1.1155480183267867</c:v>
                </c:pt>
                <c:pt idx="512">
                  <c:v>-1.1178842569417708</c:v>
                </c:pt>
                <c:pt idx="513">
                  <c:v>-1.1202873711137931</c:v>
                </c:pt>
                <c:pt idx="514">
                  <c:v>-1.1227020990219114</c:v>
                </c:pt>
                <c:pt idx="515">
                  <c:v>-1.1251284376171837</c:v>
                </c:pt>
                <c:pt idx="516">
                  <c:v>-1.1275663832596234</c:v>
                </c:pt>
                <c:pt idx="517">
                  <c:v>-1.1300728045249453</c:v>
                </c:pt>
                <c:pt idx="518">
                  <c:v>-1.1325913672103809</c:v>
                </c:pt>
                <c:pt idx="519">
                  <c:v>-1.1351220656096412</c:v>
                </c:pt>
                <c:pt idx="520">
                  <c:v>-1.1376648934431419</c:v>
                </c:pt>
                <c:pt idx="521">
                  <c:v>-1.1402792706689291</c:v>
                </c:pt>
                <c:pt idx="522">
                  <c:v>-1.1429063316754253</c:v>
                </c:pt>
                <c:pt idx="523">
                  <c:v>-1.1455460679811436</c:v>
                </c:pt>
                <c:pt idx="524">
                  <c:v>-1.1481984705477026</c:v>
                </c:pt>
                <c:pt idx="525">
                  <c:v>-1.1509255897013837</c:v>
                </c:pt>
                <c:pt idx="526">
                  <c:v>-1.1536659495661319</c:v>
                </c:pt>
                <c:pt idx="527">
                  <c:v>-1.1564195387533769</c:v>
                </c:pt>
                <c:pt idx="528">
                  <c:v>-1.159186345332869</c:v>
                </c:pt>
                <c:pt idx="529">
                  <c:v>-1.1620311302590884</c:v>
                </c:pt>
                <c:pt idx="530">
                  <c:v>-1.164889727206033</c:v>
                </c:pt>
                <c:pt idx="531">
                  <c:v>-1.1677621217319707</c:v>
                </c:pt>
                <c:pt idx="532">
                  <c:v>-1.1706482988675888</c:v>
                </c:pt>
                <c:pt idx="533">
                  <c:v>-1.1736173473939469</c:v>
                </c:pt>
                <c:pt idx="534">
                  <c:v>-1.1766008082121919</c:v>
                </c:pt>
                <c:pt idx="535">
                  <c:v>-1.1795986636390867</c:v>
                </c:pt>
                <c:pt idx="536">
                  <c:v>-1.1826108954758761</c:v>
                </c:pt>
                <c:pt idx="537">
                  <c:v>-1.1857063667009617</c:v>
                </c:pt>
                <c:pt idx="538">
                  <c:v>-1.1888168344564516</c:v>
                </c:pt>
                <c:pt idx="539">
                  <c:v>-1.1919422776967874</c:v>
                </c:pt>
                <c:pt idx="540">
                  <c:v>-1.1950826748741763</c:v>
                </c:pt>
                <c:pt idx="541">
                  <c:v>-1.1983130086571094</c:v>
                </c:pt>
                <c:pt idx="542">
                  <c:v>-1.201558966753153</c:v>
                </c:pt>
                <c:pt idx="543">
                  <c:v>-1.2048205245005712</c:v>
                </c:pt>
                <c:pt idx="544">
                  <c:v>-1.2080976567458697</c:v>
                </c:pt>
                <c:pt idx="545">
                  <c:v>-1.2114667939706698</c:v>
                </c:pt>
                <c:pt idx="546">
                  <c:v>-1.2148521807972934</c:v>
                </c:pt>
                <c:pt idx="547">
                  <c:v>-1.2182537887734441</c:v>
                </c:pt>
                <c:pt idx="548">
                  <c:v>-1.2216715889659042</c:v>
                </c:pt>
                <c:pt idx="549">
                  <c:v>-1.2251851408989693</c:v>
                </c:pt>
                <c:pt idx="550">
                  <c:v>-1.2287155797198988</c:v>
                </c:pt>
                <c:pt idx="551">
                  <c:v>-1.232262872964667</c:v>
                </c:pt>
                <c:pt idx="552">
                  <c:v>-1.2358269876986376</c:v>
                </c:pt>
                <c:pt idx="553">
                  <c:v>-1.2394923887131273</c:v>
                </c:pt>
                <c:pt idx="554">
                  <c:v>-1.2431753412370541</c:v>
                </c:pt>
                <c:pt idx="555">
                  <c:v>-1.2468758085067257</c:v>
                </c:pt>
                <c:pt idx="556">
                  <c:v>-1.2505937532969291</c:v>
                </c:pt>
                <c:pt idx="557">
                  <c:v>-1.2582584247376916</c:v>
                </c:pt>
                <c:pt idx="558">
                  <c:v>-1.2659958377218237</c:v>
                </c:pt>
                <c:pt idx="559">
                  <c:v>-1.2739855139887757</c:v>
                </c:pt>
                <c:pt idx="560">
                  <c:v>-1.2820505860856466</c:v>
                </c:pt>
                <c:pt idx="561">
                  <c:v>-1.290384718406838</c:v>
                </c:pt>
                <c:pt idx="562">
                  <c:v>-1.2987970659043269</c:v>
                </c:pt>
                <c:pt idx="563">
                  <c:v>-1.3074702545339481</c:v>
                </c:pt>
                <c:pt idx="564">
                  <c:v>-1.3162241675503583</c:v>
                </c:pt>
                <c:pt idx="565">
                  <c:v>-1.3252820918636843</c:v>
                </c:pt>
                <c:pt idx="566">
                  <c:v>-1.3344238827034316</c:v>
                </c:pt>
                <c:pt idx="567">
                  <c:v>-1.343876928019917</c:v>
                </c:pt>
                <c:pt idx="568">
                  <c:v>-1.3534169332195933</c:v>
                </c:pt>
                <c:pt idx="569">
                  <c:v>-1.36323674647543</c:v>
                </c:pt>
                <c:pt idx="570">
                  <c:v>-1.3731458547006832</c:v>
                </c:pt>
                <c:pt idx="571">
                  <c:v>-1.3834193478233401</c:v>
                </c:pt>
                <c:pt idx="572">
                  <c:v>-1.3937858056142862</c:v>
                </c:pt>
                <c:pt idx="573">
                  <c:v>-1.4044450475540762</c:v>
                </c:pt>
                <c:pt idx="574">
                  <c:v>-1.4151994290399448</c:v>
                </c:pt>
                <c:pt idx="575">
                  <c:v>-1.4263339200359149</c:v>
                </c:pt>
                <c:pt idx="576">
                  <c:v>-1.4375670640073024</c:v>
                </c:pt>
                <c:pt idx="577">
                  <c:v>-1.4861981019709389</c:v>
                </c:pt>
                <c:pt idx="578">
                  <c:v>-1.5365222613534422</c:v>
                </c:pt>
                <c:pt idx="579">
                  <c:v>-1.6524178941830014</c:v>
                </c:pt>
                <c:pt idx="580">
                  <c:v>-1.7878469151254628</c:v>
                </c:pt>
                <c:pt idx="581">
                  <c:v>-1.9451594872621634</c:v>
                </c:pt>
                <c:pt idx="582">
                  <c:v>-2.1270561748026013</c:v>
                </c:pt>
                <c:pt idx="583">
                  <c:v>-2.3359937734221154</c:v>
                </c:pt>
                <c:pt idx="584">
                  <c:v>-2.574621998961268</c:v>
                </c:pt>
                <c:pt idx="585">
                  <c:v>-2.8450929468404542</c:v>
                </c:pt>
                <c:pt idx="586">
                  <c:v>-3.1493891511019401</c:v>
                </c:pt>
                <c:pt idx="587">
                  <c:v>-3.4892154204515129</c:v>
                </c:pt>
                <c:pt idx="588">
                  <c:v>-3.8652391420019843</c:v>
                </c:pt>
                <c:pt idx="589">
                  <c:v>-4.278154613744193</c:v>
                </c:pt>
                <c:pt idx="590">
                  <c:v>-4.7276021844827323</c:v>
                </c:pt>
                <c:pt idx="591">
                  <c:v>-5.2127971970430256</c:v>
                </c:pt>
                <c:pt idx="592">
                  <c:v>-5.7322968476095948</c:v>
                </c:pt>
                <c:pt idx="593">
                  <c:v>-6.2844208460830711</c:v>
                </c:pt>
                <c:pt idx="594">
                  <c:v>-6.8668319925750065</c:v>
                </c:pt>
                <c:pt idx="595">
                  <c:v>-7.4772100016366565</c:v>
                </c:pt>
                <c:pt idx="596">
                  <c:v>-8.1128628211863951</c:v>
                </c:pt>
                <c:pt idx="597">
                  <c:v>-8.7713285699273538</c:v>
                </c:pt>
                <c:pt idx="598">
                  <c:v>-9.4499000530660862</c:v>
                </c:pt>
                <c:pt idx="599">
                  <c:v>-10.146324387251846</c:v>
                </c:pt>
                <c:pt idx="600">
                  <c:v>-10.858234864696119</c:v>
                </c:pt>
              </c:numCache>
            </c:numRef>
          </c:yVal>
          <c:smooth val="0"/>
          <c:extLst>
            <c:ext xmlns:c16="http://schemas.microsoft.com/office/drawing/2014/chart" uri="{C3380CC4-5D6E-409C-BE32-E72D297353CC}">
              <c16:uniqueId val="{00000000-C943-44AE-BE69-B37F145E1EAF}"/>
            </c:ext>
          </c:extLst>
        </c:ser>
        <c:dLbls>
          <c:showLegendKey val="0"/>
          <c:showVal val="0"/>
          <c:showCatName val="0"/>
          <c:showSerName val="0"/>
          <c:showPercent val="0"/>
          <c:showBubbleSize val="0"/>
        </c:dLbls>
        <c:axId val="446572416"/>
        <c:axId val="446582784"/>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Calculations'!$AE$13:$AE$613</c:f>
              <c:numCache>
                <c:formatCode>0.00</c:formatCode>
                <c:ptCount val="601"/>
                <c:pt idx="0">
                  <c:v>-89.333328203938549</c:v>
                </c:pt>
                <c:pt idx="1">
                  <c:v>-89.38730492265806</c:v>
                </c:pt>
                <c:pt idx="2">
                  <c:v>-89.436074468769789</c:v>
                </c:pt>
                <c:pt idx="3">
                  <c:v>-89.48005394845417</c:v>
                </c:pt>
                <c:pt idx="4">
                  <c:v>-89.519594211896219</c:v>
                </c:pt>
                <c:pt idx="5">
                  <c:v>-89.555095811955056</c:v>
                </c:pt>
                <c:pt idx="6">
                  <c:v>-89.586806570753836</c:v>
                </c:pt>
                <c:pt idx="7">
                  <c:v>-89.615017879071587</c:v>
                </c:pt>
                <c:pt idx="8">
                  <c:v>-89.63994971182855</c:v>
                </c:pt>
                <c:pt idx="9">
                  <c:v>-89.661833390624551</c:v>
                </c:pt>
                <c:pt idx="10">
                  <c:v>-89.680841731292034</c:v>
                </c:pt>
                <c:pt idx="11">
                  <c:v>-89.697140199036724</c:v>
                </c:pt>
                <c:pt idx="12">
                  <c:v>-89.710874377199062</c:v>
                </c:pt>
                <c:pt idx="13">
                  <c:v>-89.722147806412195</c:v>
                </c:pt>
                <c:pt idx="14">
                  <c:v>-89.73106595568764</c:v>
                </c:pt>
                <c:pt idx="15">
                  <c:v>-89.737700304741438</c:v>
                </c:pt>
                <c:pt idx="16">
                  <c:v>-89.742107958003672</c:v>
                </c:pt>
                <c:pt idx="17">
                  <c:v>-89.744326121616908</c:v>
                </c:pt>
                <c:pt idx="18">
                  <c:v>-89.744374182483753</c:v>
                </c:pt>
                <c:pt idx="19">
                  <c:v>-89.742252358428814</c:v>
                </c:pt>
                <c:pt idx="20">
                  <c:v>-89.737942242199068</c:v>
                </c:pt>
                <c:pt idx="21">
                  <c:v>-89.731408153922146</c:v>
                </c:pt>
                <c:pt idx="22">
                  <c:v>-89.72259319484823</c:v>
                </c:pt>
                <c:pt idx="23">
                  <c:v>-89.711424795262104</c:v>
                </c:pt>
                <c:pt idx="24">
                  <c:v>-89.697805318499547</c:v>
                </c:pt>
                <c:pt idx="25">
                  <c:v>-89.681620900776053</c:v>
                </c:pt>
                <c:pt idx="26">
                  <c:v>-89.662729636989411</c:v>
                </c:pt>
                <c:pt idx="27">
                  <c:v>-89.640976760897942</c:v>
                </c:pt>
                <c:pt idx="28">
                  <c:v>-89.616177535398535</c:v>
                </c:pt>
                <c:pt idx="29">
                  <c:v>-89.588140605135123</c:v>
                </c:pt>
                <c:pt idx="30">
                  <c:v>-89.556578920519371</c:v>
                </c:pt>
                <c:pt idx="31">
                  <c:v>-89.521265692404057</c:v>
                </c:pt>
                <c:pt idx="32">
                  <c:v>-89.481877844023657</c:v>
                </c:pt>
                <c:pt idx="33">
                  <c:v>-89.438110374003799</c:v>
                </c:pt>
                <c:pt idx="34">
                  <c:v>-89.389558803651653</c:v>
                </c:pt>
                <c:pt idx="35">
                  <c:v>-89.335838059157979</c:v>
                </c:pt>
                <c:pt idx="36">
                  <c:v>-89.276486940594893</c:v>
                </c:pt>
                <c:pt idx="37">
                  <c:v>-89.210966910685926</c:v>
                </c:pt>
                <c:pt idx="38">
                  <c:v>-89.138785761975214</c:v>
                </c:pt>
                <c:pt idx="39">
                  <c:v>-89.059275580373765</c:v>
                </c:pt>
                <c:pt idx="40">
                  <c:v>-88.971790571244696</c:v>
                </c:pt>
                <c:pt idx="41">
                  <c:v>-88.875583305673317</c:v>
                </c:pt>
                <c:pt idx="42">
                  <c:v>-88.769854647235505</c:v>
                </c:pt>
                <c:pt idx="43">
                  <c:v>-88.653678676864047</c:v>
                </c:pt>
                <c:pt idx="44">
                  <c:v>-88.526103458281639</c:v>
                </c:pt>
                <c:pt idx="45">
                  <c:v>-88.386025645903715</c:v>
                </c:pt>
                <c:pt idx="46">
                  <c:v>-88.232291696105975</c:v>
                </c:pt>
                <c:pt idx="47">
                  <c:v>-88.063572312957447</c:v>
                </c:pt>
                <c:pt idx="48">
                  <c:v>-87.878489526920916</c:v>
                </c:pt>
                <c:pt idx="49">
                  <c:v>-87.675440792748958</c:v>
                </c:pt>
                <c:pt idx="50">
                  <c:v>-87.452752078856307</c:v>
                </c:pt>
                <c:pt idx="51">
                  <c:v>-87.208502575942248</c:v>
                </c:pt>
                <c:pt idx="52">
                  <c:v>-86.940729531530636</c:v>
                </c:pt>
                <c:pt idx="53">
                  <c:v>-86.647203547627669</c:v>
                </c:pt>
                <c:pt idx="54">
                  <c:v>-86.325710877953199</c:v>
                </c:pt>
                <c:pt idx="55">
                  <c:v>-85.973047173782177</c:v>
                </c:pt>
                <c:pt idx="56">
                  <c:v>-85.58679484223309</c:v>
                </c:pt>
                <c:pt idx="57">
                  <c:v>-85.163562264010508</c:v>
                </c:pt>
                <c:pt idx="58">
                  <c:v>-84.700258953515785</c:v>
                </c:pt>
                <c:pt idx="59">
                  <c:v>-84.192849825694921</c:v>
                </c:pt>
                <c:pt idx="60">
                  <c:v>-83.637636031444401</c:v>
                </c:pt>
                <c:pt idx="61">
                  <c:v>-83.030273704713565</c:v>
                </c:pt>
                <c:pt idx="62">
                  <c:v>-82.365812078597003</c:v>
                </c:pt>
                <c:pt idx="63">
                  <c:v>-81.639987117427935</c:v>
                </c:pt>
                <c:pt idx="64">
                  <c:v>-80.847031193997751</c:v>
                </c:pt>
                <c:pt idx="65">
                  <c:v>-79.981743457395353</c:v>
                </c:pt>
                <c:pt idx="66">
                  <c:v>-79.038338767616935</c:v>
                </c:pt>
                <c:pt idx="67">
                  <c:v>-78.011062412794175</c:v>
                </c:pt>
                <c:pt idx="68">
                  <c:v>-76.893608520896748</c:v>
                </c:pt>
                <c:pt idx="69">
                  <c:v>-75.680280972421556</c:v>
                </c:pt>
                <c:pt idx="70">
                  <c:v>-74.365014624376158</c:v>
                </c:pt>
                <c:pt idx="71">
                  <c:v>-72.942614281404801</c:v>
                </c:pt>
                <c:pt idx="72">
                  <c:v>-71.407909504889133</c:v>
                </c:pt>
                <c:pt idx="73">
                  <c:v>-69.757309213840131</c:v>
                </c:pt>
                <c:pt idx="74">
                  <c:v>-67.987647336500473</c:v>
                </c:pt>
                <c:pt idx="75">
                  <c:v>-66.098036156539521</c:v>
                </c:pt>
                <c:pt idx="76">
                  <c:v>-64.088859114760893</c:v>
                </c:pt>
                <c:pt idx="77">
                  <c:v>-61.96398691101443</c:v>
                </c:pt>
                <c:pt idx="78">
                  <c:v>-59.729357370697187</c:v>
                </c:pt>
                <c:pt idx="79">
                  <c:v>-57.395462437045978</c:v>
                </c:pt>
                <c:pt idx="80">
                  <c:v>-54.97042233599332</c:v>
                </c:pt>
                <c:pt idx="81">
                  <c:v>-52.472719574563946</c:v>
                </c:pt>
                <c:pt idx="82">
                  <c:v>-49.918640230114981</c:v>
                </c:pt>
                <c:pt idx="83">
                  <c:v>-47.330252528632172</c:v>
                </c:pt>
                <c:pt idx="84">
                  <c:v>-44.727382795074888</c:v>
                </c:pt>
                <c:pt idx="85">
                  <c:v>-42.134023930168219</c:v>
                </c:pt>
                <c:pt idx="86">
                  <c:v>-39.57209523576433</c:v>
                </c:pt>
                <c:pt idx="87">
                  <c:v>-37.061465175727953</c:v>
                </c:pt>
                <c:pt idx="88">
                  <c:v>-34.623846476203482</c:v>
                </c:pt>
                <c:pt idx="89">
                  <c:v>-32.274082490115596</c:v>
                </c:pt>
                <c:pt idx="90">
                  <c:v>-30.02702671085067</c:v>
                </c:pt>
                <c:pt idx="91">
                  <c:v>-27.893352609390316</c:v>
                </c:pt>
                <c:pt idx="92">
                  <c:v>-25.881188705254022</c:v>
                </c:pt>
                <c:pt idx="93">
                  <c:v>-23.994987866436986</c:v>
                </c:pt>
                <c:pt idx="94">
                  <c:v>-23.543701690147639</c:v>
                </c:pt>
                <c:pt idx="95">
                  <c:v>-23.319713307853501</c:v>
                </c:pt>
                <c:pt idx="96">
                  <c:v>-23.100299007956686</c:v>
                </c:pt>
                <c:pt idx="97">
                  <c:v>-22.880402117959548</c:v>
                </c:pt>
                <c:pt idx="98">
                  <c:v>-22.66503317304689</c:v>
                </c:pt>
                <c:pt idx="99">
                  <c:v>-22.449174382261123</c:v>
                </c:pt>
                <c:pt idx="100">
                  <c:v>-22.237797820438395</c:v>
                </c:pt>
                <c:pt idx="101">
                  <c:v>-22.026087739937619</c:v>
                </c:pt>
                <c:pt idx="102">
                  <c:v>-21.818807829082935</c:v>
                </c:pt>
                <c:pt idx="103">
                  <c:v>-21.611038128950565</c:v>
                </c:pt>
                <c:pt idx="104">
                  <c:v>-21.407653423330604</c:v>
                </c:pt>
                <c:pt idx="105">
                  <c:v>-21.203935057822978</c:v>
                </c:pt>
                <c:pt idx="106">
                  <c:v>-21.004550182398816</c:v>
                </c:pt>
                <c:pt idx="107">
                  <c:v>-20.804974763271719</c:v>
                </c:pt>
                <c:pt idx="108">
                  <c:v>-20.609675643865145</c:v>
                </c:pt>
                <c:pt idx="109">
                  <c:v>-20.414185149191916</c:v>
                </c:pt>
                <c:pt idx="110">
                  <c:v>-20.222914361589339</c:v>
                </c:pt>
                <c:pt idx="111">
                  <c:v>-20.031330632582602</c:v>
                </c:pt>
                <c:pt idx="112">
                  <c:v>-19.843915897086184</c:v>
                </c:pt>
                <c:pt idx="113">
                  <c:v>-19.656328691569726</c:v>
                </c:pt>
                <c:pt idx="114">
                  <c:v>-19.472854212496479</c:v>
                </c:pt>
                <c:pt idx="115">
                  <c:v>-19.289220233606482</c:v>
                </c:pt>
                <c:pt idx="116">
                  <c:v>-19.109642858624344</c:v>
                </c:pt>
                <c:pt idx="117">
                  <c:v>-18.929922572738292</c:v>
                </c:pt>
                <c:pt idx="118">
                  <c:v>-18.75420279896553</c:v>
                </c:pt>
                <c:pt idx="119">
                  <c:v>-18.578465215226455</c:v>
                </c:pt>
                <c:pt idx="120">
                  <c:v>-18.406667280515542</c:v>
                </c:pt>
                <c:pt idx="121">
                  <c:v>-18.234864637984362</c:v>
                </c:pt>
                <c:pt idx="122">
                  <c:v>-18.066941133207141</c:v>
                </c:pt>
                <c:pt idx="123">
                  <c:v>-17.89893272368251</c:v>
                </c:pt>
                <c:pt idx="124">
                  <c:v>-17.734747560873931</c:v>
                </c:pt>
                <c:pt idx="125">
                  <c:v>-17.570596407095753</c:v>
                </c:pt>
                <c:pt idx="126">
                  <c:v>-17.410208139883917</c:v>
                </c:pt>
                <c:pt idx="127">
                  <c:v>-17.249874233307153</c:v>
                </c:pt>
                <c:pt idx="128">
                  <c:v>-17.093242995558057</c:v>
                </c:pt>
                <c:pt idx="129">
                  <c:v>-16.936688252786361</c:v>
                </c:pt>
                <c:pt idx="130">
                  <c:v>-16.783776057555347</c:v>
                </c:pt>
                <c:pt idx="131">
                  <c:v>-16.630963969297955</c:v>
                </c:pt>
                <c:pt idx="132">
                  <c:v>-16.555908344158127</c:v>
                </c:pt>
                <c:pt idx="133">
                  <c:v>-16.481734370224245</c:v>
                </c:pt>
                <c:pt idx="134">
                  <c:v>-16.40669626550531</c:v>
                </c:pt>
                <c:pt idx="135">
                  <c:v>-16.332553631730043</c:v>
                </c:pt>
                <c:pt idx="136">
                  <c:v>-16.259292440026357</c:v>
                </c:pt>
                <c:pt idx="137">
                  <c:v>-16.18689894577637</c:v>
                </c:pt>
                <c:pt idx="138">
                  <c:v>-16.113745280684817</c:v>
                </c:pt>
                <c:pt idx="139">
                  <c:v>-16.041470962664427</c:v>
                </c:pt>
                <c:pt idx="140">
                  <c:v>-15.970062167261567</c:v>
                </c:pt>
                <c:pt idx="141">
                  <c:v>-15.899505351451115</c:v>
                </c:pt>
                <c:pt idx="142">
                  <c:v>-15.82814406513365</c:v>
                </c:pt>
                <c:pt idx="143">
                  <c:v>-15.757647795580578</c:v>
                </c:pt>
                <c:pt idx="144">
                  <c:v>-15.688002885031356</c:v>
                </c:pt>
                <c:pt idx="145">
                  <c:v>-15.619195955273945</c:v>
                </c:pt>
                <c:pt idx="146">
                  <c:v>-15.549648828150554</c:v>
                </c:pt>
                <c:pt idx="147">
                  <c:v>-15.480951485307003</c:v>
                </c:pt>
                <c:pt idx="148">
                  <c:v>-15.413090461154889</c:v>
                </c:pt>
                <c:pt idx="149">
                  <c:v>-15.346052567009904</c:v>
                </c:pt>
                <c:pt idx="150">
                  <c:v>-15.278303089993276</c:v>
                </c:pt>
                <c:pt idx="151">
                  <c:v>-15.211388174380746</c:v>
                </c:pt>
                <c:pt idx="152">
                  <c:v>-15.145294550804927</c:v>
                </c:pt>
                <c:pt idx="153">
                  <c:v>-15.080009223973482</c:v>
                </c:pt>
                <c:pt idx="154">
                  <c:v>-15.014010827949214</c:v>
                </c:pt>
                <c:pt idx="155">
                  <c:v>-14.948832532907195</c:v>
                </c:pt>
                <c:pt idx="156">
                  <c:v>-14.884461251715873</c:v>
                </c:pt>
                <c:pt idx="157">
                  <c:v>-14.820884168802989</c:v>
                </c:pt>
                <c:pt idx="158">
                  <c:v>-14.756624894703156</c:v>
                </c:pt>
                <c:pt idx="159">
                  <c:v>-14.693171197405496</c:v>
                </c:pt>
                <c:pt idx="160">
                  <c:v>-14.630510177510889</c:v>
                </c:pt>
                <c:pt idx="161">
                  <c:v>-14.568629204444916</c:v>
                </c:pt>
                <c:pt idx="162">
                  <c:v>-14.506124014044023</c:v>
                </c:pt>
                <c:pt idx="163">
                  <c:v>-14.444409136346467</c:v>
                </c:pt>
                <c:pt idx="164">
                  <c:v>-14.383471881405148</c:v>
                </c:pt>
                <c:pt idx="165">
                  <c:v>-14.323299824691741</c:v>
                </c:pt>
                <c:pt idx="166">
                  <c:v>-14.262480081376331</c:v>
                </c:pt>
                <c:pt idx="167">
                  <c:v>-14.202436749039473</c:v>
                </c:pt>
                <c:pt idx="168">
                  <c:v>-14.143157318418197</c:v>
                </c:pt>
                <c:pt idx="169">
                  <c:v>-14.084629542994911</c:v>
                </c:pt>
                <c:pt idx="170">
                  <c:v>-14.025609363516299</c:v>
                </c:pt>
                <c:pt idx="171">
                  <c:v>-13.967348425079662</c:v>
                </c:pt>
                <c:pt idx="172">
                  <c:v>-13.909834481751602</c:v>
                </c:pt>
                <c:pt idx="173">
                  <c:v>-13.853055545293241</c:v>
                </c:pt>
                <c:pt idx="174">
                  <c:v>-13.79559595637207</c:v>
                </c:pt>
                <c:pt idx="175">
                  <c:v>-13.73888418471285</c:v>
                </c:pt>
                <c:pt idx="176">
                  <c:v>-13.682908112930191</c:v>
                </c:pt>
                <c:pt idx="177">
                  <c:v>-13.627655879990073</c:v>
                </c:pt>
                <c:pt idx="178">
                  <c:v>-13.571783601987088</c:v>
                </c:pt>
                <c:pt idx="179">
                  <c:v>-13.516646786498463</c:v>
                </c:pt>
                <c:pt idx="180">
                  <c:v>-13.462233470272302</c:v>
                </c:pt>
                <c:pt idx="181">
                  <c:v>-13.408531944298895</c:v>
                </c:pt>
                <c:pt idx="182">
                  <c:v>-13.354477789147447</c:v>
                </c:pt>
                <c:pt idx="183">
                  <c:v>-13.301140352553617</c:v>
                </c:pt>
                <c:pt idx="184">
                  <c:v>-13.248507984308104</c:v>
                </c:pt>
                <c:pt idx="185">
                  <c:v>-13.196569281783166</c:v>
                </c:pt>
                <c:pt idx="186">
                  <c:v>-13.143915570775937</c:v>
                </c:pt>
                <c:pt idx="187">
                  <c:v>-13.091970502300034</c:v>
                </c:pt>
                <c:pt idx="188">
                  <c:v>-13.040722483207489</c:v>
                </c:pt>
                <c:pt idx="189">
                  <c:v>-12.990160168453935</c:v>
                </c:pt>
                <c:pt idx="190">
                  <c:v>-12.939326887355643</c:v>
                </c:pt>
                <c:pt idx="191">
                  <c:v>-12.889182701713112</c:v>
                </c:pt>
                <c:pt idx="192">
                  <c:v>-12.839716358541102</c:v>
                </c:pt>
                <c:pt idx="193">
                  <c:v>-12.790916845387375</c:v>
                </c:pt>
                <c:pt idx="194">
                  <c:v>-12.741519924941915</c:v>
                </c:pt>
                <c:pt idx="195">
                  <c:v>-12.692802509299705</c:v>
                </c:pt>
                <c:pt idx="196">
                  <c:v>-12.644753446006337</c:v>
                </c:pt>
                <c:pt idx="197">
                  <c:v>-12.597361822324112</c:v>
                </c:pt>
                <c:pt idx="198">
                  <c:v>-12.549600505910146</c:v>
                </c:pt>
                <c:pt idx="199">
                  <c:v>-12.502503434750036</c:v>
                </c:pt>
                <c:pt idx="200">
                  <c:v>-12.456059698773821</c:v>
                </c:pt>
                <c:pt idx="201">
                  <c:v>-12.410258622714476</c:v>
                </c:pt>
                <c:pt idx="202">
                  <c:v>-12.364128698771713</c:v>
                </c:pt>
                <c:pt idx="203">
                  <c:v>-12.318647480997885</c:v>
                </c:pt>
                <c:pt idx="204">
                  <c:v>-12.273804312126364</c:v>
                </c:pt>
                <c:pt idx="205">
                  <c:v>-12.229588764418205</c:v>
                </c:pt>
                <c:pt idx="206">
                  <c:v>-12.184931202265277</c:v>
                </c:pt>
                <c:pt idx="207">
                  <c:v>-12.140910915673066</c:v>
                </c:pt>
                <c:pt idx="208">
                  <c:v>-12.097517402540646</c:v>
                </c:pt>
                <c:pt idx="209">
                  <c:v>-12.054740387759361</c:v>
                </c:pt>
                <c:pt idx="210">
                  <c:v>-12.01142681369778</c:v>
                </c:pt>
                <c:pt idx="211">
                  <c:v>-11.968742589317131</c:v>
                </c:pt>
                <c:pt idx="212">
                  <c:v>-11.926677283653515</c:v>
                </c:pt>
                <c:pt idx="213">
                  <c:v>-11.885220692583026</c:v>
                </c:pt>
                <c:pt idx="214">
                  <c:v>-11.843554409520124</c:v>
                </c:pt>
                <c:pt idx="215">
                  <c:v>-11.802500603897196</c:v>
                </c:pt>
                <c:pt idx="216">
                  <c:v>-11.762049139839698</c:v>
                </c:pt>
                <c:pt idx="217">
                  <c:v>-11.722190101652304</c:v>
                </c:pt>
                <c:pt idx="218">
                  <c:v>-11.682024956689816</c:v>
                </c:pt>
                <c:pt idx="219">
                  <c:v>-11.642459259135789</c:v>
                </c:pt>
                <c:pt idx="220">
                  <c:v>-11.603483076475575</c:v>
                </c:pt>
                <c:pt idx="221">
                  <c:v>-11.565086692303934</c:v>
                </c:pt>
                <c:pt idx="222">
                  <c:v>-11.526423770358258</c:v>
                </c:pt>
                <c:pt idx="223">
                  <c:v>-11.488346917043048</c:v>
                </c:pt>
                <c:pt idx="224">
                  <c:v>-11.450846414832712</c:v>
                </c:pt>
                <c:pt idx="225">
                  <c:v>-11.413912757853142</c:v>
                </c:pt>
                <c:pt idx="226">
                  <c:v>-11.376637118337602</c:v>
                </c:pt>
                <c:pt idx="227">
                  <c:v>-11.339937367507593</c:v>
                </c:pt>
                <c:pt idx="228">
                  <c:v>-11.303803926308829</c:v>
                </c:pt>
                <c:pt idx="229">
                  <c:v>-11.26822742505019</c:v>
                </c:pt>
                <c:pt idx="230">
                  <c:v>-11.19704504060415</c:v>
                </c:pt>
                <c:pt idx="231">
                  <c:v>-11.162292079419073</c:v>
                </c:pt>
                <c:pt idx="232">
                  <c:v>-11.128085581309168</c:v>
                </c:pt>
                <c:pt idx="233">
                  <c:v>-11.093623723291497</c:v>
                </c:pt>
                <c:pt idx="234">
                  <c:v>-11.059715672357015</c:v>
                </c:pt>
                <c:pt idx="235">
                  <c:v>-11.026352176566036</c:v>
                </c:pt>
                <c:pt idx="236">
                  <c:v>-10.993524187187406</c:v>
                </c:pt>
                <c:pt idx="237">
                  <c:v>-10.960572854414103</c:v>
                </c:pt>
                <c:pt idx="238">
                  <c:v>-10.928160571584046</c:v>
                </c:pt>
                <c:pt idx="239">
                  <c:v>-10.896278347000928</c:v>
                </c:pt>
                <c:pt idx="240">
                  <c:v>-10.864917386211562</c:v>
                </c:pt>
                <c:pt idx="241">
                  <c:v>-10.83328699831644</c:v>
                </c:pt>
                <c:pt idx="242">
                  <c:v>-10.802186747794527</c:v>
                </c:pt>
                <c:pt idx="243">
                  <c:v>-10.771607760054748</c:v>
                </c:pt>
                <c:pt idx="244">
                  <c:v>-10.741541355915496</c:v>
                </c:pt>
                <c:pt idx="245">
                  <c:v>-10.711329571435069</c:v>
                </c:pt>
                <c:pt idx="246">
                  <c:v>-10.681635605486306</c:v>
                </c:pt>
                <c:pt idx="247">
                  <c:v>-10.652450788018278</c:v>
                </c:pt>
                <c:pt idx="248">
                  <c:v>-10.623766639960911</c:v>
                </c:pt>
                <c:pt idx="249">
                  <c:v>-10.594893346121246</c:v>
                </c:pt>
                <c:pt idx="250">
                  <c:v>-10.566528022018941</c:v>
                </c:pt>
                <c:pt idx="251">
                  <c:v>-10.538662142790068</c:v>
                </c:pt>
                <c:pt idx="252">
                  <c:v>-10.51128737181932</c:v>
                </c:pt>
                <c:pt idx="253">
                  <c:v>-10.483831577055092</c:v>
                </c:pt>
                <c:pt idx="254">
                  <c:v>-10.456870905985488</c:v>
                </c:pt>
                <c:pt idx="255">
                  <c:v>-10.430397056405207</c:v>
                </c:pt>
                <c:pt idx="256">
                  <c:v>-10.404401909312773</c:v>
                </c:pt>
                <c:pt idx="257">
                  <c:v>-10.378222456255179</c:v>
                </c:pt>
                <c:pt idx="258">
                  <c:v>-10.352530088916565</c:v>
                </c:pt>
                <c:pt idx="259">
                  <c:v>-10.327316609504056</c:v>
                </c:pt>
                <c:pt idx="260">
                  <c:v>-10.302574001816044</c:v>
                </c:pt>
                <c:pt idx="261">
                  <c:v>-10.277747938638935</c:v>
                </c:pt>
                <c:pt idx="262">
                  <c:v>-10.253397993853355</c:v>
                </c:pt>
                <c:pt idx="263">
                  <c:v>-10.229516149694918</c:v>
                </c:pt>
                <c:pt idx="264">
                  <c:v>-10.206094566120221</c:v>
                </c:pt>
                <c:pt idx="265">
                  <c:v>-10.182620236774</c:v>
                </c:pt>
                <c:pt idx="266">
                  <c:v>-10.159610831990852</c:v>
                </c:pt>
                <c:pt idx="267">
                  <c:v>-10.137058522020157</c:v>
                </c:pt>
                <c:pt idx="268">
                  <c:v>-10.114955650687591</c:v>
                </c:pt>
                <c:pt idx="269">
                  <c:v>-10.092776925063101</c:v>
                </c:pt>
                <c:pt idx="270">
                  <c:v>-10.071053894915723</c:v>
                </c:pt>
                <c:pt idx="271">
                  <c:v>-10.049778871226087</c:v>
                </c:pt>
                <c:pt idx="272">
                  <c:v>-10.028944335762704</c:v>
                </c:pt>
                <c:pt idx="273">
                  <c:v>-10.008066940649321</c:v>
                </c:pt>
                <c:pt idx="274">
                  <c:v>-9.9876356447151728</c:v>
                </c:pt>
                <c:pt idx="275">
                  <c:v>-9.9676429109063225</c:v>
                </c:pt>
                <c:pt idx="276">
                  <c:v>-9.9480813698034734</c:v>
                </c:pt>
                <c:pt idx="277">
                  <c:v>-9.9285513900917106</c:v>
                </c:pt>
                <c:pt idx="278">
                  <c:v>-9.909455670517767</c:v>
                </c:pt>
                <c:pt idx="279">
                  <c:v>-9.8907868846600877</c:v>
                </c:pt>
                <c:pt idx="280">
                  <c:v>-9.8725378688096814</c:v>
                </c:pt>
                <c:pt idx="281">
                  <c:v>-9.8542241456540314</c:v>
                </c:pt>
                <c:pt idx="282">
                  <c:v>-9.8363384312403443</c:v>
                </c:pt>
                <c:pt idx="283">
                  <c:v>-9.818873470692763</c:v>
                </c:pt>
                <c:pt idx="284">
                  <c:v>-9.801822171003435</c:v>
                </c:pt>
                <c:pt idx="285">
                  <c:v>-9.7848524190374988</c:v>
                </c:pt>
                <c:pt idx="286">
                  <c:v>-9.76829845073439</c:v>
                </c:pt>
                <c:pt idx="287">
                  <c:v>-9.7521532355493967</c:v>
                </c:pt>
                <c:pt idx="288">
                  <c:v>-9.7364098994086081</c:v>
                </c:pt>
                <c:pt idx="289">
                  <c:v>-9.7206699674642785</c:v>
                </c:pt>
                <c:pt idx="290">
                  <c:v>-9.7053388015128359</c:v>
                </c:pt>
                <c:pt idx="291">
                  <c:v>-9.6904094655928308</c:v>
                </c:pt>
                <c:pt idx="292">
                  <c:v>-9.6758751786249118</c:v>
                </c:pt>
                <c:pt idx="293">
                  <c:v>-9.6614069495752162</c:v>
                </c:pt>
                <c:pt idx="294">
                  <c:v>-9.6473383568757747</c:v>
                </c:pt>
                <c:pt idx="295">
                  <c:v>-9.6336626142413646</c:v>
                </c:pt>
                <c:pt idx="296">
                  <c:v>-9.6203730870189101</c:v>
                </c:pt>
                <c:pt idx="297">
                  <c:v>-9.6071760266001398</c:v>
                </c:pt>
                <c:pt idx="298">
                  <c:v>-9.5943692609032372</c:v>
                </c:pt>
                <c:pt idx="299">
                  <c:v>-9.5819461604923521</c:v>
                </c:pt>
                <c:pt idx="300">
                  <c:v>-9.5699002440694443</c:v>
                </c:pt>
                <c:pt idx="301">
                  <c:v>-9.5579714300613752</c:v>
                </c:pt>
                <c:pt idx="302">
                  <c:v>-9.5464234116560878</c:v>
                </c:pt>
                <c:pt idx="303">
                  <c:v>-9.5352497220444032</c:v>
                </c:pt>
                <c:pt idx="304">
                  <c:v>-9.5244440388581193</c:v>
                </c:pt>
                <c:pt idx="305">
                  <c:v>-9.5137381259601419</c:v>
                </c:pt>
                <c:pt idx="306">
                  <c:v>-9.5034062377349713</c:v>
                </c:pt>
                <c:pt idx="307">
                  <c:v>-9.4934420023500881</c:v>
                </c:pt>
                <c:pt idx="308">
                  <c:v>-9.4838391906976494</c:v>
                </c:pt>
                <c:pt idx="309">
                  <c:v>-9.4744006216276908</c:v>
                </c:pt>
                <c:pt idx="310">
                  <c:v>-9.4653261815349747</c:v>
                </c:pt>
                <c:pt idx="311">
                  <c:v>-9.456609674536546</c:v>
                </c:pt>
                <c:pt idx="312">
                  <c:v>-9.4482450433228014</c:v>
                </c:pt>
                <c:pt idx="313">
                  <c:v>-9.4400350605552763</c:v>
                </c:pt>
                <c:pt idx="314">
                  <c:v>-9.4321818890305575</c:v>
                </c:pt>
                <c:pt idx="315">
                  <c:v>-9.4246794448680493</c:v>
                </c:pt>
                <c:pt idx="316">
                  <c:v>-9.4175217804817635</c:v>
                </c:pt>
                <c:pt idx="317">
                  <c:v>-9.4105448151639415</c:v>
                </c:pt>
                <c:pt idx="318">
                  <c:v>-9.4039170478728362</c:v>
                </c:pt>
                <c:pt idx="319">
                  <c:v>-9.3976325156395983</c:v>
                </c:pt>
                <c:pt idx="320">
                  <c:v>-9.3916853892207115</c:v>
                </c:pt>
                <c:pt idx="321">
                  <c:v>-9.3859432800064386</c:v>
                </c:pt>
                <c:pt idx="322">
                  <c:v>-9.3805425162762237</c:v>
                </c:pt>
                <c:pt idx="323">
                  <c:v>-9.3754772634883317</c:v>
                </c:pt>
                <c:pt idx="324">
                  <c:v>-9.370741818006918</c:v>
                </c:pt>
                <c:pt idx="325">
                  <c:v>-9.3662340737997862</c:v>
                </c:pt>
                <c:pt idx="326">
                  <c:v>-9.3620596347989142</c:v>
                </c:pt>
                <c:pt idx="327">
                  <c:v>-9.358212801100283</c:v>
                </c:pt>
                <c:pt idx="328">
                  <c:v>-9.3546880006747308</c:v>
                </c:pt>
                <c:pt idx="329">
                  <c:v>-9.3514068426042751</c:v>
                </c:pt>
                <c:pt idx="330">
                  <c:v>-9.3484518877250373</c:v>
                </c:pt>
                <c:pt idx="331">
                  <c:v>-9.3458175481459769</c:v>
                </c:pt>
                <c:pt idx="332">
                  <c:v>-9.3434983614687006</c:v>
                </c:pt>
                <c:pt idx="333">
                  <c:v>-9.3414487738049043</c:v>
                </c:pt>
                <c:pt idx="334">
                  <c:v>-9.3397170247562435</c:v>
                </c:pt>
                <c:pt idx="335">
                  <c:v>-9.3382976720461066</c:v>
                </c:pt>
                <c:pt idx="336">
                  <c:v>-9.3371853954811836</c:v>
                </c:pt>
                <c:pt idx="337">
                  <c:v>-9.3363588775451944</c:v>
                </c:pt>
                <c:pt idx="338">
                  <c:v>-9.3358437459998918</c:v>
                </c:pt>
                <c:pt idx="339">
                  <c:v>-9.3356346565199253</c:v>
                </c:pt>
                <c:pt idx="340">
                  <c:v>-9.335726384850263</c:v>
                </c:pt>
                <c:pt idx="341">
                  <c:v>-9.3361266726557073</c:v>
                </c:pt>
                <c:pt idx="342">
                  <c:v>-9.336831629562937</c:v>
                </c:pt>
                <c:pt idx="343">
                  <c:v>-9.3378360170666337</c:v>
                </c:pt>
                <c:pt idx="344">
                  <c:v>-9.3391347144616432</c:v>
                </c:pt>
                <c:pt idx="345">
                  <c:v>-9.3407605310926201</c:v>
                </c:pt>
                <c:pt idx="346">
                  <c:v>-9.3426831861509605</c:v>
                </c:pt>
                <c:pt idx="347">
                  <c:v>-9.3448975766921354</c:v>
                </c:pt>
                <c:pt idx="348">
                  <c:v>-9.3473987143897972</c:v>
                </c:pt>
                <c:pt idx="349">
                  <c:v>-9.350253081441295</c:v>
                </c:pt>
                <c:pt idx="350">
                  <c:v>-9.3533981119482199</c:v>
                </c:pt>
                <c:pt idx="351">
                  <c:v>-9.3568287971129038</c:v>
                </c:pt>
                <c:pt idx="352">
                  <c:v>-9.3605402407870599</c:v>
                </c:pt>
                <c:pt idx="353">
                  <c:v>-9.364625919696616</c:v>
                </c:pt>
                <c:pt idx="354">
                  <c:v>-9.3689958476779758</c:v>
                </c:pt>
                <c:pt idx="355">
                  <c:v>-9.3736451171789756</c:v>
                </c:pt>
                <c:pt idx="356">
                  <c:v>-9.3785689310944864</c:v>
                </c:pt>
                <c:pt idx="357">
                  <c:v>-9.3838788049829649</c:v>
                </c:pt>
                <c:pt idx="358">
                  <c:v>-9.3894655384175749</c:v>
                </c:pt>
                <c:pt idx="359">
                  <c:v>-9.3953243512397595</c:v>
                </c:pt>
                <c:pt idx="360">
                  <c:v>-9.4014505707316456</c:v>
                </c:pt>
                <c:pt idx="361">
                  <c:v>-9.4079973466131079</c:v>
                </c:pt>
                <c:pt idx="362">
                  <c:v>-9.4148150295558164</c:v>
                </c:pt>
                <c:pt idx="363">
                  <c:v>-9.4218989306914533</c:v>
                </c:pt>
                <c:pt idx="364">
                  <c:v>-9.4292444666428104</c:v>
                </c:pt>
                <c:pt idx="365">
                  <c:v>-9.4370189922686105</c:v>
                </c:pt>
                <c:pt idx="366">
                  <c:v>-9.4450575496859219</c:v>
                </c:pt>
                <c:pt idx="367">
                  <c:v>-9.4533555660257953</c:v>
                </c:pt>
                <c:pt idx="368">
                  <c:v>-9.4619085712010982</c:v>
                </c:pt>
                <c:pt idx="369">
                  <c:v>-9.4709306043071901</c:v>
                </c:pt>
                <c:pt idx="370">
                  <c:v>-9.4802110718464743</c:v>
                </c:pt>
                <c:pt idx="371">
                  <c:v>-9.4897454847033167</c:v>
                </c:pt>
                <c:pt idx="372">
                  <c:v>-9.4995294547770133</c:v>
                </c:pt>
                <c:pt idx="373">
                  <c:v>-9.5097876100520811</c:v>
                </c:pt>
                <c:pt idx="374">
                  <c:v>-9.5202977339720061</c:v>
                </c:pt>
                <c:pt idx="375">
                  <c:v>-9.5310554444168112</c:v>
                </c:pt>
                <c:pt idx="376">
                  <c:v>-9.5420564577996458</c:v>
                </c:pt>
                <c:pt idx="377">
                  <c:v>-9.5535765642150263</c:v>
                </c:pt>
                <c:pt idx="378">
                  <c:v>-9.5653433127955498</c:v>
                </c:pt>
                <c:pt idx="379">
                  <c:v>-9.5773523994941492</c:v>
                </c:pt>
                <c:pt idx="380">
                  <c:v>-9.5895996171594202</c:v>
                </c:pt>
                <c:pt idx="381">
                  <c:v>-9.6023519785186959</c:v>
                </c:pt>
                <c:pt idx="382">
                  <c:v>-9.6153442525926369</c:v>
                </c:pt>
                <c:pt idx="383">
                  <c:v>-9.6285722505907092</c:v>
                </c:pt>
                <c:pt idx="384">
                  <c:v>-9.6420318778492202</c:v>
                </c:pt>
                <c:pt idx="385">
                  <c:v>-9.6560612012295373</c:v>
                </c:pt>
                <c:pt idx="386">
                  <c:v>-9.670325362095026</c:v>
                </c:pt>
                <c:pt idx="387">
                  <c:v>-9.6848202443663975</c:v>
                </c:pt>
                <c:pt idx="388">
                  <c:v>-9.6995418245735188</c:v>
                </c:pt>
                <c:pt idx="389">
                  <c:v>-9.7148320968121347</c:v>
                </c:pt>
                <c:pt idx="390">
                  <c:v>-9.730351371175459</c:v>
                </c:pt>
                <c:pt idx="391">
                  <c:v>-9.7460956246199721</c:v>
                </c:pt>
                <c:pt idx="392">
                  <c:v>-9.7620609245675478</c:v>
                </c:pt>
                <c:pt idx="393">
                  <c:v>-9.778609327714932</c:v>
                </c:pt>
                <c:pt idx="394">
                  <c:v>-9.7953807815179079</c:v>
                </c:pt>
                <c:pt idx="395">
                  <c:v>-9.8123713595365274</c:v>
                </c:pt>
                <c:pt idx="396">
                  <c:v>-9.8295772235264529</c:v>
                </c:pt>
                <c:pt idx="397">
                  <c:v>-9.8474200702089991</c:v>
                </c:pt>
                <c:pt idx="398">
                  <c:v>-9.8654809044425278</c:v>
                </c:pt>
                <c:pt idx="399">
                  <c:v>-9.8837558734199717</c:v>
                </c:pt>
                <c:pt idx="400">
                  <c:v>-9.9022412109269666</c:v>
                </c:pt>
                <c:pt idx="401">
                  <c:v>-9.9213575340551916</c:v>
                </c:pt>
                <c:pt idx="402">
                  <c:v>-9.9406861318752036</c:v>
                </c:pt>
                <c:pt idx="403">
                  <c:v>-9.9602232426492243</c:v>
                </c:pt>
                <c:pt idx="404">
                  <c:v>-9.9799651890903363</c:v>
                </c:pt>
                <c:pt idx="405">
                  <c:v>-10.000372993338793</c:v>
                </c:pt>
                <c:pt idx="406">
                  <c:v>-10.020987710896742</c:v>
                </c:pt>
                <c:pt idx="407">
                  <c:v>-10.041805662102529</c:v>
                </c:pt>
                <c:pt idx="408">
                  <c:v>-10.062823249853203</c:v>
                </c:pt>
                <c:pt idx="409">
                  <c:v>-10.084542765065862</c:v>
                </c:pt>
                <c:pt idx="410">
                  <c:v>-10.106464130958932</c:v>
                </c:pt>
                <c:pt idx="411">
                  <c:v>-10.1285837421689</c:v>
                </c:pt>
                <c:pt idx="412">
                  <c:v>-10.150898074212488</c:v>
                </c:pt>
                <c:pt idx="413">
                  <c:v>-10.173927654279238</c:v>
                </c:pt>
                <c:pt idx="414">
                  <c:v>-10.197153872438593</c:v>
                </c:pt>
                <c:pt idx="415">
                  <c:v>-10.220573201696622</c:v>
                </c:pt>
                <c:pt idx="416">
                  <c:v>-10.244182194121827</c:v>
                </c:pt>
                <c:pt idx="417">
                  <c:v>-10.268543347137603</c:v>
                </c:pt>
                <c:pt idx="418">
                  <c:v>-10.293096187119193</c:v>
                </c:pt>
                <c:pt idx="419">
                  <c:v>-10.317837258440454</c:v>
                </c:pt>
                <c:pt idx="420">
                  <c:v>-10.34276318291071</c:v>
                </c:pt>
                <c:pt idx="421">
                  <c:v>-10.368428385046254</c:v>
                </c:pt>
                <c:pt idx="422">
                  <c:v>-10.39427981486844</c:v>
                </c:pt>
                <c:pt idx="423">
                  <c:v>-10.420314101778283</c:v>
                </c:pt>
                <c:pt idx="424">
                  <c:v>-10.446527950561045</c:v>
                </c:pt>
                <c:pt idx="425">
                  <c:v>-10.473569700118359</c:v>
                </c:pt>
                <c:pt idx="426">
                  <c:v>-10.500793186655313</c:v>
                </c:pt>
                <c:pt idx="427">
                  <c:v>-10.528195098260023</c:v>
                </c:pt>
                <c:pt idx="428">
                  <c:v>-10.555772197119202</c:v>
                </c:pt>
                <c:pt idx="429">
                  <c:v>-10.584163070523415</c:v>
                </c:pt>
                <c:pt idx="430">
                  <c:v>-10.612730674868935</c:v>
                </c:pt>
                <c:pt idx="431">
                  <c:v>-10.641471770597651</c:v>
                </c:pt>
                <c:pt idx="432">
                  <c:v>-10.670383190541134</c:v>
                </c:pt>
                <c:pt idx="433">
                  <c:v>-10.700119034408029</c:v>
                </c:pt>
                <c:pt idx="434">
                  <c:v>-10.730026490860121</c:v>
                </c:pt>
                <c:pt idx="435">
                  <c:v>-10.760102395512559</c:v>
                </c:pt>
                <c:pt idx="436">
                  <c:v>-10.790343654560417</c:v>
                </c:pt>
                <c:pt idx="437">
                  <c:v>-10.821475091505407</c:v>
                </c:pt>
                <c:pt idx="438">
                  <c:v>-10.852773526996398</c:v>
                </c:pt>
                <c:pt idx="439">
                  <c:v>-10.884235857516945</c:v>
                </c:pt>
                <c:pt idx="440">
                  <c:v>-10.915859048727791</c:v>
                </c:pt>
                <c:pt idx="441">
                  <c:v>-10.948383077474654</c:v>
                </c:pt>
                <c:pt idx="442">
                  <c:v>-10.981069340844408</c:v>
                </c:pt>
                <c:pt idx="443">
                  <c:v>-11.013914799730845</c:v>
                </c:pt>
                <c:pt idx="444">
                  <c:v>-11.046916482680151</c:v>
                </c:pt>
                <c:pt idx="445">
                  <c:v>-11.080828752152032</c:v>
                </c:pt>
                <c:pt idx="446">
                  <c:v>-11.114898367421766</c:v>
                </c:pt>
                <c:pt idx="447">
                  <c:v>-11.149122356670174</c:v>
                </c:pt>
                <c:pt idx="448">
                  <c:v>-11.183497814104179</c:v>
                </c:pt>
                <c:pt idx="449">
                  <c:v>-11.21885204207825</c:v>
                </c:pt>
                <c:pt idx="450">
                  <c:v>-11.254359131120912</c:v>
                </c:pt>
                <c:pt idx="451">
                  <c:v>-11.290016164505765</c:v>
                </c:pt>
                <c:pt idx="452">
                  <c:v>-11.325820290249421</c:v>
                </c:pt>
                <c:pt idx="453">
                  <c:v>-11.362582588886385</c:v>
                </c:pt>
                <c:pt idx="454">
                  <c:v>-11.399492869251805</c:v>
                </c:pt>
                <c:pt idx="455">
                  <c:v>-11.436548280026201</c:v>
                </c:pt>
                <c:pt idx="456">
                  <c:v>-11.473746033029578</c:v>
                </c:pt>
                <c:pt idx="457">
                  <c:v>-11.511971150463753</c:v>
                </c:pt>
                <c:pt idx="458">
                  <c:v>-11.550339727922459</c:v>
                </c:pt>
                <c:pt idx="459">
                  <c:v>-11.588848968198647</c:v>
                </c:pt>
                <c:pt idx="460">
                  <c:v>-11.627496135937253</c:v>
                </c:pt>
                <c:pt idx="461">
                  <c:v>-11.667179171783726</c:v>
                </c:pt>
                <c:pt idx="462">
                  <c:v>-11.707001001115609</c:v>
                </c:pt>
                <c:pt idx="463">
                  <c:v>-11.746958883811327</c:v>
                </c:pt>
                <c:pt idx="464">
                  <c:v>-11.787050140210178</c:v>
                </c:pt>
                <c:pt idx="465">
                  <c:v>-11.828216400074886</c:v>
                </c:pt>
                <c:pt idx="466">
                  <c:v>-11.869516866234109</c:v>
                </c:pt>
                <c:pt idx="467">
                  <c:v>-11.910948851963216</c:v>
                </c:pt>
                <c:pt idx="468">
                  <c:v>-11.952509729699434</c:v>
                </c:pt>
                <c:pt idx="469">
                  <c:v>-11.995153057670185</c:v>
                </c:pt>
                <c:pt idx="470">
                  <c:v>-12.037925869574691</c:v>
                </c:pt>
                <c:pt idx="471">
                  <c:v>-12.080825534642987</c:v>
                </c:pt>
                <c:pt idx="472">
                  <c:v>-12.123849479877295</c:v>
                </c:pt>
                <c:pt idx="473">
                  <c:v>-12.16802700190247</c:v>
                </c:pt>
                <c:pt idx="474">
                  <c:v>-12.212329530242169</c:v>
                </c:pt>
                <c:pt idx="475">
                  <c:v>-12.256754480942147</c:v>
                </c:pt>
                <c:pt idx="476">
                  <c:v>-12.301299326681738</c:v>
                </c:pt>
                <c:pt idx="477">
                  <c:v>-12.347004662474408</c:v>
                </c:pt>
                <c:pt idx="478">
                  <c:v>-12.392830371227509</c:v>
                </c:pt>
                <c:pt idx="479">
                  <c:v>-12.43877391860385</c:v>
                </c:pt>
                <c:pt idx="480">
                  <c:v>-12.484832825663968</c:v>
                </c:pt>
                <c:pt idx="481">
                  <c:v>-12.532058314568426</c:v>
                </c:pt>
                <c:pt idx="482">
                  <c:v>-12.579399406847708</c:v>
                </c:pt>
                <c:pt idx="483">
                  <c:v>-12.626853620048834</c:v>
                </c:pt>
                <c:pt idx="484">
                  <c:v>-12.674418525799929</c:v>
                </c:pt>
                <c:pt idx="485">
                  <c:v>-12.723188557513275</c:v>
                </c:pt>
                <c:pt idx="486">
                  <c:v>-12.772069453645218</c:v>
                </c:pt>
                <c:pt idx="487">
                  <c:v>-12.821058780489992</c:v>
                </c:pt>
                <c:pt idx="488">
                  <c:v>-12.870154157182586</c:v>
                </c:pt>
                <c:pt idx="489">
                  <c:v>-12.920526704899199</c:v>
                </c:pt>
                <c:pt idx="490">
                  <c:v>-12.97100552866752</c:v>
                </c:pt>
                <c:pt idx="491">
                  <c:v>-13.02158823598713</c:v>
                </c:pt>
                <c:pt idx="492">
                  <c:v>-13.072272486161044</c:v>
                </c:pt>
                <c:pt idx="493">
                  <c:v>-13.124238949430859</c:v>
                </c:pt>
                <c:pt idx="494">
                  <c:v>-13.176306937675122</c:v>
                </c:pt>
                <c:pt idx="495">
                  <c:v>-13.228474102090292</c:v>
                </c:pt>
                <c:pt idx="496">
                  <c:v>-13.280738144552894</c:v>
                </c:pt>
                <c:pt idx="497">
                  <c:v>-13.334322695252609</c:v>
                </c:pt>
                <c:pt idx="498">
                  <c:v>-13.388003995728569</c:v>
                </c:pt>
                <c:pt idx="499">
                  <c:v>-13.441779738543845</c:v>
                </c:pt>
                <c:pt idx="500">
                  <c:v>-13.495647665871392</c:v>
                </c:pt>
                <c:pt idx="501">
                  <c:v>-13.550874214619288</c:v>
                </c:pt>
                <c:pt idx="502">
                  <c:v>-13.606192697339502</c:v>
                </c:pt>
                <c:pt idx="503">
                  <c:v>-13.661600845845797</c:v>
                </c:pt>
                <c:pt idx="504">
                  <c:v>-13.717096440538494</c:v>
                </c:pt>
                <c:pt idx="505">
                  <c:v>-13.773954032765188</c:v>
                </c:pt>
                <c:pt idx="506">
                  <c:v>-13.830898582758733</c:v>
                </c:pt>
                <c:pt idx="507">
                  <c:v>-13.887927863666384</c:v>
                </c:pt>
                <c:pt idx="508">
                  <c:v>-13.945039696126846</c:v>
                </c:pt>
                <c:pt idx="509">
                  <c:v>-14.003550831831424</c:v>
                </c:pt>
                <c:pt idx="510">
                  <c:v>-14.062143899655926</c:v>
                </c:pt>
                <c:pt idx="511">
                  <c:v>-14.120816711894349</c:v>
                </c:pt>
                <c:pt idx="512">
                  <c:v>-14.17956712728769</c:v>
                </c:pt>
                <c:pt idx="513">
                  <c:v>-14.239788754743641</c:v>
                </c:pt>
                <c:pt idx="514">
                  <c:v>-14.300087311414602</c:v>
                </c:pt>
                <c:pt idx="515">
                  <c:v>-14.360460643039909</c:v>
                </c:pt>
                <c:pt idx="516">
                  <c:v>-14.420906640910966</c:v>
                </c:pt>
                <c:pt idx="517">
                  <c:v>-14.482825719291263</c:v>
                </c:pt>
                <c:pt idx="518">
                  <c:v>-14.544816543467698</c:v>
                </c:pt>
                <c:pt idx="519">
                  <c:v>-14.606876994734529</c:v>
                </c:pt>
                <c:pt idx="520">
                  <c:v>-14.669004998973309</c:v>
                </c:pt>
                <c:pt idx="521">
                  <c:v>-14.732642374132388</c:v>
                </c:pt>
                <c:pt idx="522">
                  <c:v>-14.796346217823476</c:v>
                </c:pt>
                <c:pt idx="523">
                  <c:v>-14.860114445191817</c:v>
                </c:pt>
                <c:pt idx="524">
                  <c:v>-14.923945015043607</c:v>
                </c:pt>
                <c:pt idx="525">
                  <c:v>-14.989320821622783</c:v>
                </c:pt>
                <c:pt idx="526">
                  <c:v>-15.054757711692838</c:v>
                </c:pt>
                <c:pt idx="527">
                  <c:v>-15.120253632680486</c:v>
                </c:pt>
                <c:pt idx="528">
                  <c:v>-15.185806574782895</c:v>
                </c:pt>
                <c:pt idx="529">
                  <c:v>-15.25294015151008</c:v>
                </c:pt>
                <c:pt idx="530">
                  <c:v>-15.320129305417346</c:v>
                </c:pt>
                <c:pt idx="531">
                  <c:v>-15.387372014765987</c:v>
                </c:pt>
                <c:pt idx="532">
                  <c:v>-15.45466629973002</c:v>
                </c:pt>
                <c:pt idx="533">
                  <c:v>-15.523611695186769</c:v>
                </c:pt>
                <c:pt idx="534">
                  <c:v>-15.592607077673472</c:v>
                </c:pt>
                <c:pt idx="535">
                  <c:v>-15.66165045189604</c:v>
                </c:pt>
                <c:pt idx="536">
                  <c:v>-15.730739863730658</c:v>
                </c:pt>
                <c:pt idx="537">
                  <c:v>-15.801443491831119</c:v>
                </c:pt>
                <c:pt idx="538">
                  <c:v>-15.872191264589997</c:v>
                </c:pt>
                <c:pt idx="539">
                  <c:v>-15.942981218119922</c:v>
                </c:pt>
                <c:pt idx="540">
                  <c:v>-16.013811428821306</c:v>
                </c:pt>
                <c:pt idx="541">
                  <c:v>-16.08636099939293</c:v>
                </c:pt>
                <c:pt idx="542">
                  <c:v>-16.158948804055623</c:v>
                </c:pt>
                <c:pt idx="543">
                  <c:v>-16.231572903219021</c:v>
                </c:pt>
                <c:pt idx="544">
                  <c:v>-16.304231396889879</c:v>
                </c:pt>
                <c:pt idx="545">
                  <c:v>-16.378606618156432</c:v>
                </c:pt>
                <c:pt idx="546">
                  <c:v>-16.453013944004507</c:v>
                </c:pt>
                <c:pt idx="547">
                  <c:v>-16.527451461117625</c:v>
                </c:pt>
                <c:pt idx="548">
                  <c:v>-16.601917295031566</c:v>
                </c:pt>
                <c:pt idx="549">
                  <c:v>-16.678132273502921</c:v>
                </c:pt>
                <c:pt idx="550">
                  <c:v>-16.754373043732109</c:v>
                </c:pt>
                <c:pt idx="551">
                  <c:v>-16.830637717720577</c:v>
                </c:pt>
                <c:pt idx="552">
                  <c:v>-16.90692444560473</c:v>
                </c:pt>
                <c:pt idx="553">
                  <c:v>-16.9850279473848</c:v>
                </c:pt>
                <c:pt idx="554">
                  <c:v>-17.063150749994296</c:v>
                </c:pt>
                <c:pt idx="555">
                  <c:v>-17.141290987340692</c:v>
                </c:pt>
                <c:pt idx="556">
                  <c:v>-17.219446830844834</c:v>
                </c:pt>
                <c:pt idx="557">
                  <c:v>-17.379466610057825</c:v>
                </c:pt>
                <c:pt idx="558">
                  <c:v>-17.539529396598972</c:v>
                </c:pt>
                <c:pt idx="559">
                  <c:v>-17.703290608719929</c:v>
                </c:pt>
                <c:pt idx="560">
                  <c:v>-17.867067117558712</c:v>
                </c:pt>
                <c:pt idx="561">
                  <c:v>-18.034730444742078</c:v>
                </c:pt>
                <c:pt idx="562">
                  <c:v>-18.20238040926764</c:v>
                </c:pt>
                <c:pt idx="563">
                  <c:v>-18.373599659706123</c:v>
                </c:pt>
                <c:pt idx="564">
                  <c:v>-18.544776020888897</c:v>
                </c:pt>
                <c:pt idx="565">
                  <c:v>-18.720208807220502</c:v>
                </c:pt>
                <c:pt idx="566">
                  <c:v>-18.895567767724309</c:v>
                </c:pt>
                <c:pt idx="567">
                  <c:v>-19.075147929372726</c:v>
                </c:pt>
                <c:pt idx="568">
                  <c:v>-19.254622027815227</c:v>
                </c:pt>
                <c:pt idx="569">
                  <c:v>-19.437562221098322</c:v>
                </c:pt>
                <c:pt idx="570">
                  <c:v>-19.620364009015685</c:v>
                </c:pt>
                <c:pt idx="571">
                  <c:v>-19.808025699586921</c:v>
                </c:pt>
                <c:pt idx="572">
                  <c:v>-19.995513272717371</c:v>
                </c:pt>
                <c:pt idx="573">
                  <c:v>-20.186385873870673</c:v>
                </c:pt>
                <c:pt idx="574">
                  <c:v>-20.377050154058448</c:v>
                </c:pt>
                <c:pt idx="575">
                  <c:v>-20.572482827274531</c:v>
                </c:pt>
                <c:pt idx="576">
                  <c:v>-20.767668761274177</c:v>
                </c:pt>
                <c:pt idx="577">
                  <c:v>-21.590978637870126</c:v>
                </c:pt>
                <c:pt idx="578">
                  <c:v>-22.408747522862193</c:v>
                </c:pt>
                <c:pt idx="579">
                  <c:v>-24.177843763312822</c:v>
                </c:pt>
                <c:pt idx="580">
                  <c:v>-26.077401969454471</c:v>
                </c:pt>
                <c:pt idx="581">
                  <c:v>-28.102115253864746</c:v>
                </c:pt>
                <c:pt idx="582">
                  <c:v>-30.248025808661044</c:v>
                </c:pt>
                <c:pt idx="583">
                  <c:v>-32.505428237885759</c:v>
                </c:pt>
                <c:pt idx="584">
                  <c:v>-34.864864119812054</c:v>
                </c:pt>
                <c:pt idx="585">
                  <c:v>-37.310791638147577</c:v>
                </c:pt>
                <c:pt idx="586">
                  <c:v>-39.826454914784968</c:v>
                </c:pt>
                <c:pt idx="587">
                  <c:v>-42.393693020014609</c:v>
                </c:pt>
                <c:pt idx="588">
                  <c:v>-44.988690357377145</c:v>
                </c:pt>
                <c:pt idx="589">
                  <c:v>-47.591134787451615</c:v>
                </c:pt>
                <c:pt idx="590">
                  <c:v>-50.177538337758861</c:v>
                </c:pt>
                <c:pt idx="591">
                  <c:v>-52.726427260703154</c:v>
                </c:pt>
                <c:pt idx="592">
                  <c:v>-55.217418225840206</c:v>
                </c:pt>
                <c:pt idx="593">
                  <c:v>-57.633539761990512</c:v>
                </c:pt>
                <c:pt idx="594">
                  <c:v>-59.959266658163024</c:v>
                </c:pt>
                <c:pt idx="595">
                  <c:v>-62.183269165734842</c:v>
                </c:pt>
                <c:pt idx="596">
                  <c:v>-64.296420176958719</c:v>
                </c:pt>
                <c:pt idx="597">
                  <c:v>-66.293473851880279</c:v>
                </c:pt>
                <c:pt idx="598">
                  <c:v>-68.170952345530395</c:v>
                </c:pt>
                <c:pt idx="599">
                  <c:v>-69.928699940174681</c:v>
                </c:pt>
                <c:pt idx="600">
                  <c:v>-71.567751395235717</c:v>
                </c:pt>
              </c:numCache>
            </c:numRef>
          </c:yVal>
          <c:smooth val="0"/>
          <c:extLst>
            <c:ext xmlns:c16="http://schemas.microsoft.com/office/drawing/2014/chart" uri="{C3380CC4-5D6E-409C-BE32-E72D297353CC}">
              <c16:uniqueId val="{00000001-C943-44AE-BE69-B37F145E1EAF}"/>
            </c:ext>
          </c:extLst>
        </c:ser>
        <c:ser>
          <c:idx val="2"/>
          <c:order val="2"/>
          <c:tx>
            <c:v>pwr plant</c:v>
          </c:tx>
          <c:marker>
            <c:symbol val="none"/>
          </c:marker>
          <c:xVal>
            <c:numRef>
              <c:f>'Stability Calculations'!$G$13:$G$613</c:f>
              <c:numCache>
                <c:formatCode>General</c:formatCode>
                <c:ptCount val="601"/>
                <c:pt idx="0">
                  <c:v>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Calculations'!$AG$13:$AG$613</c:f>
              <c:numCache>
                <c:formatCode>0.00</c:formatCode>
                <c:ptCount val="601"/>
                <c:pt idx="0">
                  <c:v>61.99238695758757</c:v>
                </c:pt>
                <c:pt idx="1">
                  <c:v>61.99238628471727</c:v>
                </c:pt>
                <c:pt idx="2">
                  <c:v>61.992385475815254</c:v>
                </c:pt>
                <c:pt idx="3">
                  <c:v>61.992384503357137</c:v>
                </c:pt>
                <c:pt idx="4">
                  <c:v>61.992383335081477</c:v>
                </c:pt>
                <c:pt idx="5">
                  <c:v>61.992381929135654</c:v>
                </c:pt>
                <c:pt idx="6">
                  <c:v>61.992380239445012</c:v>
                </c:pt>
                <c:pt idx="7">
                  <c:v>61.992378207385627</c:v>
                </c:pt>
                <c:pt idx="8">
                  <c:v>61.992375765368443</c:v>
                </c:pt>
                <c:pt idx="9">
                  <c:v>61.992372828446761</c:v>
                </c:pt>
                <c:pt idx="10">
                  <c:v>61.992369298287151</c:v>
                </c:pt>
                <c:pt idx="11">
                  <c:v>61.99236505453819</c:v>
                </c:pt>
                <c:pt idx="12">
                  <c:v>61.992359950034881</c:v>
                </c:pt>
                <c:pt idx="13">
                  <c:v>61.992353816095317</c:v>
                </c:pt>
                <c:pt idx="14">
                  <c:v>61.992346439309841</c:v>
                </c:pt>
                <c:pt idx="15">
                  <c:v>61.992337571062279</c:v>
                </c:pt>
                <c:pt idx="16">
                  <c:v>61.992326908983244</c:v>
                </c:pt>
                <c:pt idx="17">
                  <c:v>61.992314092173842</c:v>
                </c:pt>
                <c:pt idx="18">
                  <c:v>61.992298680624671</c:v>
                </c:pt>
                <c:pt idx="19">
                  <c:v>61.992280153905021</c:v>
                </c:pt>
                <c:pt idx="20">
                  <c:v>61.992257877868191</c:v>
                </c:pt>
                <c:pt idx="21">
                  <c:v>61.992231099208219</c:v>
                </c:pt>
                <c:pt idx="22">
                  <c:v>61.992198900853552</c:v>
                </c:pt>
                <c:pt idx="23">
                  <c:v>61.992160195557851</c:v>
                </c:pt>
                <c:pt idx="24">
                  <c:v>61.992113656467325</c:v>
                </c:pt>
                <c:pt idx="25">
                  <c:v>61.9920577062353</c:v>
                </c:pt>
                <c:pt idx="26">
                  <c:v>61.991990424946593</c:v>
                </c:pt>
                <c:pt idx="27">
                  <c:v>61.991909543034424</c:v>
                </c:pt>
                <c:pt idx="28">
                  <c:v>61.991812309207646</c:v>
                </c:pt>
                <c:pt idx="29">
                  <c:v>61.991695498951877</c:v>
                </c:pt>
                <c:pt idx="30">
                  <c:v>61.991554929414995</c:v>
                </c:pt>
                <c:pt idx="31">
                  <c:v>61.991385996533232</c:v>
                </c:pt>
                <c:pt idx="32">
                  <c:v>61.991182842912622</c:v>
                </c:pt>
                <c:pt idx="33">
                  <c:v>61.990938716777897</c:v>
                </c:pt>
                <c:pt idx="34">
                  <c:v>61.990645133893352</c:v>
                </c:pt>
                <c:pt idx="35">
                  <c:v>61.990292275847295</c:v>
                </c:pt>
                <c:pt idx="36">
                  <c:v>61.989868129157912</c:v>
                </c:pt>
                <c:pt idx="37">
                  <c:v>61.989358008807898</c:v>
                </c:pt>
                <c:pt idx="38">
                  <c:v>61.988745091521267</c:v>
                </c:pt>
                <c:pt idx="39">
                  <c:v>61.988008102060746</c:v>
                </c:pt>
                <c:pt idx="40">
                  <c:v>61.987122273092965</c:v>
                </c:pt>
                <c:pt idx="41">
                  <c:v>61.986057504234111</c:v>
                </c:pt>
                <c:pt idx="42">
                  <c:v>61.984777902463854</c:v>
                </c:pt>
                <c:pt idx="43">
                  <c:v>61.983239752320927</c:v>
                </c:pt>
                <c:pt idx="44">
                  <c:v>61.981391421380003</c:v>
                </c:pt>
                <c:pt idx="45">
                  <c:v>61.979170089977103</c:v>
                </c:pt>
                <c:pt idx="46">
                  <c:v>61.976501283964673</c:v>
                </c:pt>
                <c:pt idx="47">
                  <c:v>61.973294536538965</c:v>
                </c:pt>
                <c:pt idx="48">
                  <c:v>61.96944290652258</c:v>
                </c:pt>
                <c:pt idx="49">
                  <c:v>61.964816291529836</c:v>
                </c:pt>
                <c:pt idx="50">
                  <c:v>61.95926067211267</c:v>
                </c:pt>
                <c:pt idx="51">
                  <c:v>61.952589431215443</c:v>
                </c:pt>
                <c:pt idx="52">
                  <c:v>61.944583321647819</c:v>
                </c:pt>
                <c:pt idx="53">
                  <c:v>61.934978331634845</c:v>
                </c:pt>
                <c:pt idx="54">
                  <c:v>61.923467871422197</c:v>
                </c:pt>
                <c:pt idx="55">
                  <c:v>61.90965695950419</c:v>
                </c:pt>
                <c:pt idx="56">
                  <c:v>61.893117916313017</c:v>
                </c:pt>
                <c:pt idx="57">
                  <c:v>61.87331256560023</c:v>
                </c:pt>
                <c:pt idx="58">
                  <c:v>61.849633054425546</c:v>
                </c:pt>
                <c:pt idx="59">
                  <c:v>61.821328288880707</c:v>
                </c:pt>
                <c:pt idx="60">
                  <c:v>61.787553839479948</c:v>
                </c:pt>
                <c:pt idx="61">
                  <c:v>61.747304471618193</c:v>
                </c:pt>
                <c:pt idx="62">
                  <c:v>61.69939135636114</c:v>
                </c:pt>
                <c:pt idx="63">
                  <c:v>61.642521708112966</c:v>
                </c:pt>
                <c:pt idx="64">
                  <c:v>61.575123321301206</c:v>
                </c:pt>
                <c:pt idx="65">
                  <c:v>61.495490209937351</c:v>
                </c:pt>
                <c:pt idx="66">
                  <c:v>61.401687481944094</c:v>
                </c:pt>
                <c:pt idx="67">
                  <c:v>61.291608090322342</c:v>
                </c:pt>
                <c:pt idx="68">
                  <c:v>61.162922721666462</c:v>
                </c:pt>
                <c:pt idx="69">
                  <c:v>61.013231773412258</c:v>
                </c:pt>
                <c:pt idx="70">
                  <c:v>60.83999234763386</c:v>
                </c:pt>
                <c:pt idx="71">
                  <c:v>60.640722820721258</c:v>
                </c:pt>
                <c:pt idx="72">
                  <c:v>60.412953695858995</c:v>
                </c:pt>
                <c:pt idx="73">
                  <c:v>60.154517492011166</c:v>
                </c:pt>
                <c:pt idx="74">
                  <c:v>59.863443918343542</c:v>
                </c:pt>
                <c:pt idx="75">
                  <c:v>59.538305355403203</c:v>
                </c:pt>
                <c:pt idx="76">
                  <c:v>59.178088659799414</c:v>
                </c:pt>
                <c:pt idx="77">
                  <c:v>58.782593356871338</c:v>
                </c:pt>
                <c:pt idx="78">
                  <c:v>58.352164993728131</c:v>
                </c:pt>
                <c:pt idx="79">
                  <c:v>57.888126247016174</c:v>
                </c:pt>
                <c:pt idx="80">
                  <c:v>57.391324430274445</c:v>
                </c:pt>
                <c:pt idx="81">
                  <c:v>56.864636462007965</c:v>
                </c:pt>
                <c:pt idx="82">
                  <c:v>56.310399267772624</c:v>
                </c:pt>
                <c:pt idx="83">
                  <c:v>55.732077885803577</c:v>
                </c:pt>
                <c:pt idx="84">
                  <c:v>55.132574401635949</c:v>
                </c:pt>
                <c:pt idx="85">
                  <c:v>54.515759761138803</c:v>
                </c:pt>
                <c:pt idx="86">
                  <c:v>53.885208041041906</c:v>
                </c:pt>
                <c:pt idx="87">
                  <c:v>53.244310297354367</c:v>
                </c:pt>
                <c:pt idx="88">
                  <c:v>52.597459876099578</c:v>
                </c:pt>
                <c:pt idx="89">
                  <c:v>51.947954506414192</c:v>
                </c:pt>
                <c:pt idx="90">
                  <c:v>51.29988922125419</c:v>
                </c:pt>
                <c:pt idx="91">
                  <c:v>50.657098810302053</c:v>
                </c:pt>
                <c:pt idx="92">
                  <c:v>50.023608969728087</c:v>
                </c:pt>
                <c:pt idx="93">
                  <c:v>49.40322513973836</c:v>
                </c:pt>
                <c:pt idx="94">
                  <c:v>49.250727767998015</c:v>
                </c:pt>
                <c:pt idx="95">
                  <c:v>49.174434201126687</c:v>
                </c:pt>
                <c:pt idx="96">
                  <c:v>49.099305614143333</c:v>
                </c:pt>
                <c:pt idx="97">
                  <c:v>49.023618327986824</c:v>
                </c:pt>
                <c:pt idx="98">
                  <c:v>48.949104735240709</c:v>
                </c:pt>
                <c:pt idx="99">
                  <c:v>48.874036704719586</c:v>
                </c:pt>
                <c:pt idx="100">
                  <c:v>48.800151314873517</c:v>
                </c:pt>
                <c:pt idx="101">
                  <c:v>48.725773792103801</c:v>
                </c:pt>
                <c:pt idx="102">
                  <c:v>48.652586256140829</c:v>
                </c:pt>
                <c:pt idx="103">
                  <c:v>48.578859836785675</c:v>
                </c:pt>
                <c:pt idx="104">
                  <c:v>48.506332656398271</c:v>
                </c:pt>
                <c:pt idx="105">
                  <c:v>48.43333093110391</c:v>
                </c:pt>
                <c:pt idx="106">
                  <c:v>48.361536005228714</c:v>
                </c:pt>
                <c:pt idx="107">
                  <c:v>48.289328275540903</c:v>
                </c:pt>
                <c:pt idx="108">
                  <c:v>48.218333263466803</c:v>
                </c:pt>
                <c:pt idx="109">
                  <c:v>48.146936425577849</c:v>
                </c:pt>
                <c:pt idx="110">
                  <c:v>48.076758275607581</c:v>
                </c:pt>
                <c:pt idx="111">
                  <c:v>48.006145119065394</c:v>
                </c:pt>
                <c:pt idx="112">
                  <c:v>47.9367582165954</c:v>
                </c:pt>
                <c:pt idx="113">
                  <c:v>47.86700005641385</c:v>
                </c:pt>
                <c:pt idx="114">
                  <c:v>47.798473955396481</c:v>
                </c:pt>
                <c:pt idx="115">
                  <c:v>47.729594241170609</c:v>
                </c:pt>
                <c:pt idx="116">
                  <c:v>47.661952241797792</c:v>
                </c:pt>
                <c:pt idx="117">
                  <c:v>47.593976206558672</c:v>
                </c:pt>
                <c:pt idx="118">
                  <c:v>47.527243329948881</c:v>
                </c:pt>
                <c:pt idx="119">
                  <c:v>47.460238034775593</c:v>
                </c:pt>
                <c:pt idx="120">
                  <c:v>47.394479573749564</c:v>
                </c:pt>
                <c:pt idx="121">
                  <c:v>47.328468703843043</c:v>
                </c:pt>
                <c:pt idx="122">
                  <c:v>47.263708106050203</c:v>
                </c:pt>
                <c:pt idx="123">
                  <c:v>47.198679410250371</c:v>
                </c:pt>
                <c:pt idx="124">
                  <c:v>47.134905569394398</c:v>
                </c:pt>
                <c:pt idx="125">
                  <c:v>47.070925410049604</c:v>
                </c:pt>
                <c:pt idx="126">
                  <c:v>47.008202847235026</c:v>
                </c:pt>
                <c:pt idx="127">
                  <c:v>46.945298307524098</c:v>
                </c:pt>
                <c:pt idx="128">
                  <c:v>46.883653716100923</c:v>
                </c:pt>
                <c:pt idx="129">
                  <c:v>46.821852677834357</c:v>
                </c:pt>
                <c:pt idx="130">
                  <c:v>46.761313506598029</c:v>
                </c:pt>
                <c:pt idx="131">
                  <c:v>46.700644481717077</c:v>
                </c:pt>
                <c:pt idx="132">
                  <c:v>46.670785482348769</c:v>
                </c:pt>
                <c:pt idx="133">
                  <c:v>46.641238770804598</c:v>
                </c:pt>
                <c:pt idx="134">
                  <c:v>46.611309563345067</c:v>
                </c:pt>
                <c:pt idx="135">
                  <c:v>46.581700349431202</c:v>
                </c:pt>
                <c:pt idx="136">
                  <c:v>46.552407508622416</c:v>
                </c:pt>
                <c:pt idx="137">
                  <c:v>46.523427474012465</c:v>
                </c:pt>
                <c:pt idx="138">
                  <c:v>46.494109359481044</c:v>
                </c:pt>
                <c:pt idx="139">
                  <c:v>46.465111037269224</c:v>
                </c:pt>
                <c:pt idx="140">
                  <c:v>46.43642885941</c:v>
                </c:pt>
                <c:pt idx="141">
                  <c:v>46.408059232329933</c:v>
                </c:pt>
                <c:pt idx="142">
                  <c:v>46.379336924721159</c:v>
                </c:pt>
                <c:pt idx="143">
                  <c:v>46.350934715964065</c:v>
                </c:pt>
                <c:pt idx="144">
                  <c:v>46.322848921442073</c:v>
                </c:pt>
                <c:pt idx="145">
                  <c:v>46.295075912019342</c:v>
                </c:pt>
                <c:pt idx="146">
                  <c:v>46.266979574291305</c:v>
                </c:pt>
                <c:pt idx="147">
                  <c:v>46.239203167350908</c:v>
                </c:pt>
                <c:pt idx="148">
                  <c:v>46.21174297776836</c:v>
                </c:pt>
                <c:pt idx="149">
                  <c:v>46.184595348576288</c:v>
                </c:pt>
                <c:pt idx="150">
                  <c:v>46.157139756909814</c:v>
                </c:pt>
                <c:pt idx="151">
                  <c:v>46.130003778367559</c:v>
                </c:pt>
                <c:pt idx="152">
                  <c:v>46.10318367324151</c:v>
                </c:pt>
                <c:pt idx="153">
                  <c:v>46.076675759270451</c:v>
                </c:pt>
                <c:pt idx="154">
                  <c:v>46.049863353353516</c:v>
                </c:pt>
                <c:pt idx="155">
                  <c:v>46.023370383551345</c:v>
                </c:pt>
                <c:pt idx="156">
                  <c:v>45.997193081550414</c:v>
                </c:pt>
                <c:pt idx="157">
                  <c:v>45.971327737574867</c:v>
                </c:pt>
                <c:pt idx="158">
                  <c:v>45.945174827065415</c:v>
                </c:pt>
                <c:pt idx="159">
                  <c:v>45.919341003040458</c:v>
                </c:pt>
                <c:pt idx="160">
                  <c:v>45.893822471989395</c:v>
                </c:pt>
                <c:pt idx="161">
                  <c:v>45.868615500023509</c:v>
                </c:pt>
                <c:pt idx="162">
                  <c:v>45.843149271829247</c:v>
                </c:pt>
                <c:pt idx="163">
                  <c:v>45.818001331821357</c:v>
                </c:pt>
                <c:pt idx="164">
                  <c:v>45.793167869988309</c:v>
                </c:pt>
                <c:pt idx="165">
                  <c:v>45.768645136909463</c:v>
                </c:pt>
                <c:pt idx="166">
                  <c:v>45.743858604004899</c:v>
                </c:pt>
                <c:pt idx="167">
                  <c:v>45.719389956994299</c:v>
                </c:pt>
                <c:pt idx="168">
                  <c:v>45.695235363306288</c:v>
                </c:pt>
                <c:pt idx="169">
                  <c:v>45.671391052129366</c:v>
                </c:pt>
                <c:pt idx="170">
                  <c:v>45.647351544502413</c:v>
                </c:pt>
                <c:pt idx="171">
                  <c:v>45.623628018081575</c:v>
                </c:pt>
                <c:pt idx="172">
                  <c:v>45.600216646313044</c:v>
                </c:pt>
                <c:pt idx="173">
                  <c:v>45.577113665031163</c:v>
                </c:pt>
                <c:pt idx="174">
                  <c:v>45.55374452991969</c:v>
                </c:pt>
                <c:pt idx="175">
                  <c:v>45.530691714140509</c:v>
                </c:pt>
                <c:pt idx="176">
                  <c:v>45.507951358317371</c:v>
                </c:pt>
                <c:pt idx="177">
                  <c:v>45.485519667015126</c:v>
                </c:pt>
                <c:pt idx="178">
                  <c:v>45.46285261692806</c:v>
                </c:pt>
                <c:pt idx="179">
                  <c:v>45.440501732161408</c:v>
                </c:pt>
                <c:pt idx="180">
                  <c:v>45.418463131496338</c:v>
                </c:pt>
                <c:pt idx="181">
                  <c:v>45.396732999067979</c:v>
                </c:pt>
                <c:pt idx="182">
                  <c:v>45.374882157496614</c:v>
                </c:pt>
                <c:pt idx="183">
                  <c:v>45.353344429286686</c:v>
                </c:pt>
                <c:pt idx="184">
                  <c:v>45.332115967376929</c:v>
                </c:pt>
                <c:pt idx="185">
                  <c:v>45.311192990305578</c:v>
                </c:pt>
                <c:pt idx="186">
                  <c:v>45.290009929216225</c:v>
                </c:pt>
                <c:pt idx="187">
                  <c:v>45.26914146900473</c:v>
                </c:pt>
                <c:pt idx="188">
                  <c:v>45.248583716523108</c:v>
                </c:pt>
                <c:pt idx="189">
                  <c:v>45.228332846397301</c:v>
                </c:pt>
                <c:pt idx="190">
                  <c:v>45.20800734088909</c:v>
                </c:pt>
                <c:pt idx="191">
                  <c:v>45.187992730586132</c:v>
                </c:pt>
                <c:pt idx="192">
                  <c:v>45.168285176050432</c:v>
                </c:pt>
                <c:pt idx="193">
                  <c:v>45.148880905597892</c:v>
                </c:pt>
                <c:pt idx="194">
                  <c:v>45.129279338770942</c:v>
                </c:pt>
                <c:pt idx="195">
                  <c:v>45.109989332391038</c:v>
                </c:pt>
                <c:pt idx="196">
                  <c:v>45.091007024532026</c:v>
                </c:pt>
                <c:pt idx="197">
                  <c:v>45.072328622905871</c:v>
                </c:pt>
                <c:pt idx="198">
                  <c:v>45.05355129173131</c:v>
                </c:pt>
                <c:pt idx="199">
                  <c:v>45.035083532015214</c:v>
                </c:pt>
                <c:pt idx="200">
                  <c:v>45.01692151379693</c:v>
                </c:pt>
                <c:pt idx="201">
                  <c:v>44.999061477477042</c:v>
                </c:pt>
                <c:pt idx="202">
                  <c:v>44.981126647012175</c:v>
                </c:pt>
                <c:pt idx="203">
                  <c:v>44.963499169032687</c:v>
                </c:pt>
                <c:pt idx="204">
                  <c:v>44.946175255880775</c:v>
                </c:pt>
                <c:pt idx="205">
                  <c:v>44.929151190857453</c:v>
                </c:pt>
                <c:pt idx="206">
                  <c:v>44.91201758678217</c:v>
                </c:pt>
                <c:pt idx="207">
                  <c:v>44.895191013706381</c:v>
                </c:pt>
                <c:pt idx="208">
                  <c:v>44.878667698307019</c:v>
                </c:pt>
                <c:pt idx="209">
                  <c:v>44.862443939675181</c:v>
                </c:pt>
                <c:pt idx="210">
                  <c:v>44.846085334708398</c:v>
                </c:pt>
                <c:pt idx="211">
                  <c:v>44.830035178638788</c:v>
                </c:pt>
                <c:pt idx="212">
                  <c:v>44.81428968882981</c:v>
                </c:pt>
                <c:pt idx="213">
                  <c:v>44.798845157346783</c:v>
                </c:pt>
                <c:pt idx="214">
                  <c:v>44.783399009767734</c:v>
                </c:pt>
                <c:pt idx="215">
                  <c:v>44.768258378362958</c:v>
                </c:pt>
                <c:pt idx="216">
                  <c:v>44.753419560128165</c:v>
                </c:pt>
                <c:pt idx="217">
                  <c:v>44.738878926935648</c:v>
                </c:pt>
                <c:pt idx="218">
                  <c:v>44.724311504744492</c:v>
                </c:pt>
                <c:pt idx="219">
                  <c:v>44.710048576902437</c:v>
                </c:pt>
                <c:pt idx="220">
                  <c:v>44.696086495387192</c:v>
                </c:pt>
                <c:pt idx="221">
                  <c:v>44.682421688100185</c:v>
                </c:pt>
                <c:pt idx="222">
                  <c:v>44.668755898278249</c:v>
                </c:pt>
                <c:pt idx="223">
                  <c:v>44.655393471880124</c:v>
                </c:pt>
                <c:pt idx="224">
                  <c:v>44.642330829429909</c:v>
                </c:pt>
                <c:pt idx="225">
                  <c:v>44.629564468314015</c:v>
                </c:pt>
                <c:pt idx="226">
                  <c:v>44.616783806290158</c:v>
                </c:pt>
                <c:pt idx="227">
                  <c:v>44.604307168544665</c:v>
                </c:pt>
                <c:pt idx="228">
                  <c:v>44.59213102604604</c:v>
                </c:pt>
                <c:pt idx="229">
                  <c:v>44.580251928417852</c:v>
                </c:pt>
                <c:pt idx="230">
                  <c:v>44.556829495140484</c:v>
                </c:pt>
                <c:pt idx="231">
                  <c:v>44.54557169455029</c:v>
                </c:pt>
                <c:pt idx="232">
                  <c:v>44.534611637011885</c:v>
                </c:pt>
                <c:pt idx="233">
                  <c:v>44.523696382287241</c:v>
                </c:pt>
                <c:pt idx="234">
                  <c:v>44.513086256035919</c:v>
                </c:pt>
                <c:pt idx="235">
                  <c:v>44.502777883289269</c:v>
                </c:pt>
                <c:pt idx="236">
                  <c:v>44.492767971060196</c:v>
                </c:pt>
                <c:pt idx="237">
                  <c:v>44.482859231805264</c:v>
                </c:pt>
                <c:pt idx="238">
                  <c:v>44.47325451628803</c:v>
                </c:pt>
                <c:pt idx="239">
                  <c:v>44.463950581445772</c:v>
                </c:pt>
                <c:pt idx="240">
                  <c:v>44.454944266860281</c:v>
                </c:pt>
                <c:pt idx="241">
                  <c:v>44.446013584088099</c:v>
                </c:pt>
                <c:pt idx="242">
                  <c:v>44.437389462651552</c:v>
                </c:pt>
                <c:pt idx="243">
                  <c:v>44.429068754894132</c:v>
                </c:pt>
                <c:pt idx="244">
                  <c:v>44.421048398365095</c:v>
                </c:pt>
                <c:pt idx="245">
                  <c:v>44.413157613643925</c:v>
                </c:pt>
                <c:pt idx="246">
                  <c:v>44.405574435490173</c:v>
                </c:pt>
                <c:pt idx="247">
                  <c:v>44.398295859995606</c:v>
                </c:pt>
                <c:pt idx="248">
                  <c:v>44.391318970130691</c:v>
                </c:pt>
                <c:pt idx="249">
                  <c:v>44.38448176551411</c:v>
                </c:pt>
                <c:pt idx="250">
                  <c:v>44.377955218932499</c:v>
                </c:pt>
                <c:pt idx="251">
                  <c:v>44.371736469047953</c:v>
                </c:pt>
                <c:pt idx="252">
                  <c:v>44.365822744137205</c:v>
                </c:pt>
                <c:pt idx="253">
                  <c:v>44.360095849285585</c:v>
                </c:pt>
                <c:pt idx="254">
                  <c:v>44.354681465093407</c:v>
                </c:pt>
                <c:pt idx="255">
                  <c:v>44.349576920487721</c:v>
                </c:pt>
                <c:pt idx="256">
                  <c:v>44.344779635997973</c:v>
                </c:pt>
                <c:pt idx="257">
                  <c:v>44.340174764403244</c:v>
                </c:pt>
                <c:pt idx="258">
                  <c:v>44.335888069474606</c:v>
                </c:pt>
                <c:pt idx="259">
                  <c:v>44.331917057918623</c:v>
                </c:pt>
                <c:pt idx="260">
                  <c:v>44.328259332233515</c:v>
                </c:pt>
                <c:pt idx="261">
                  <c:v>44.32484012379723</c:v>
                </c:pt>
                <c:pt idx="262">
                  <c:v>44.321743832073821</c:v>
                </c:pt>
                <c:pt idx="263">
                  <c:v>44.318968195023075</c:v>
                </c:pt>
                <c:pt idx="264">
                  <c:v>44.316511050043239</c:v>
                </c:pt>
                <c:pt idx="265">
                  <c:v>44.314326340023193</c:v>
                </c:pt>
                <c:pt idx="266">
                  <c:v>44.312470177572536</c:v>
                </c:pt>
                <c:pt idx="267">
                  <c:v>44.310940567260893</c:v>
                </c:pt>
                <c:pt idx="268">
                  <c:v>44.309735617307595</c:v>
                </c:pt>
                <c:pt idx="269">
                  <c:v>44.308836211553889</c:v>
                </c:pt>
                <c:pt idx="270">
                  <c:v>44.308273651754263</c:v>
                </c:pt>
                <c:pt idx="271">
                  <c:v>44.30804623690625</c:v>
                </c:pt>
                <c:pt idx="272">
                  <c:v>44.308152375635359</c:v>
                </c:pt>
                <c:pt idx="273">
                  <c:v>44.308604917268433</c:v>
                </c:pt>
                <c:pt idx="274">
                  <c:v>44.30940390557241</c:v>
                </c:pt>
                <c:pt idx="275">
                  <c:v>44.310547984898385</c:v>
                </c:pt>
                <c:pt idx="276">
                  <c:v>44.312035916229519</c:v>
                </c:pt>
                <c:pt idx="277">
                  <c:v>44.313908159382706</c:v>
                </c:pt>
                <c:pt idx="278">
                  <c:v>44.316136423112795</c:v>
                </c:pt>
                <c:pt idx="279">
                  <c:v>44.318719761171394</c:v>
                </c:pt>
                <c:pt idx="280">
                  <c:v>44.321657351152489</c:v>
                </c:pt>
                <c:pt idx="281">
                  <c:v>44.325042557141501</c:v>
                </c:pt>
                <c:pt idx="282">
                  <c:v>44.328800107717669</c:v>
                </c:pt>
                <c:pt idx="283">
                  <c:v>44.332929516927791</c:v>
                </c:pt>
                <c:pt idx="284">
                  <c:v>44.337430434999483</c:v>
                </c:pt>
                <c:pt idx="285">
                  <c:v>44.342402765644891</c:v>
                </c:pt>
                <c:pt idx="286">
                  <c:v>44.347761144605016</c:v>
                </c:pt>
                <c:pt idx="287">
                  <c:v>44.353505637791102</c:v>
                </c:pt>
                <c:pt idx="288">
                  <c:v>44.359636458277905</c:v>
                </c:pt>
                <c:pt idx="289">
                  <c:v>44.366327656613478</c:v>
                </c:pt>
                <c:pt idx="290">
                  <c:v>44.373426353899852</c:v>
                </c:pt>
                <c:pt idx="291">
                  <c:v>44.380933265071185</c:v>
                </c:pt>
                <c:pt idx="292">
                  <c:v>44.38884926988483</c:v>
                </c:pt>
                <c:pt idx="293">
                  <c:v>44.397372682442715</c:v>
                </c:pt>
                <c:pt idx="294">
                  <c:v>44.406326709650365</c:v>
                </c:pt>
                <c:pt idx="295">
                  <c:v>44.415712835067922</c:v>
                </c:pt>
                <c:pt idx="296">
                  <c:v>44.425532727211284</c:v>
                </c:pt>
                <c:pt idx="297">
                  <c:v>44.436024931505351</c:v>
                </c:pt>
                <c:pt idx="298">
                  <c:v>44.446974846389978</c:v>
                </c:pt>
                <c:pt idx="299">
                  <c:v>44.458384866434372</c:v>
                </c:pt>
                <c:pt idx="300">
                  <c:v>44.470257596062012</c:v>
                </c:pt>
                <c:pt idx="301">
                  <c:v>44.482873661267391</c:v>
                </c:pt>
                <c:pt idx="302">
                  <c:v>44.495979285471776</c:v>
                </c:pt>
                <c:pt idx="303">
                  <c:v>44.509577945561929</c:v>
                </c:pt>
                <c:pt idx="304">
                  <c:v>44.523673359244029</c:v>
                </c:pt>
                <c:pt idx="305">
                  <c:v>44.538648871947771</c:v>
                </c:pt>
                <c:pt idx="306">
                  <c:v>44.554155549457271</c:v>
                </c:pt>
                <c:pt idx="307">
                  <c:v>44.570198215379186</c:v>
                </c:pt>
                <c:pt idx="308">
                  <c:v>44.586781977200658</c:v>
                </c:pt>
                <c:pt idx="309">
                  <c:v>44.604279133917927</c:v>
                </c:pt>
                <c:pt idx="310">
                  <c:v>44.622352120804436</c:v>
                </c:pt>
                <c:pt idx="311">
                  <c:v>44.641007326080484</c:v>
                </c:pt>
                <c:pt idx="312">
                  <c:v>44.660251471189945</c:v>
                </c:pt>
                <c:pt idx="313">
                  <c:v>44.680583031271716</c:v>
                </c:pt>
                <c:pt idx="314">
                  <c:v>44.701547992106299</c:v>
                </c:pt>
                <c:pt idx="315">
                  <c:v>44.723154715508279</c:v>
                </c:pt>
                <c:pt idx="316">
                  <c:v>44.745411964689467</c:v>
                </c:pt>
                <c:pt idx="317">
                  <c:v>44.768882674417597</c:v>
                </c:pt>
                <c:pt idx="318">
                  <c:v>44.793055178114273</c:v>
                </c:pt>
                <c:pt idx="319">
                  <c:v>44.817940255044675</c:v>
                </c:pt>
                <c:pt idx="320">
                  <c:v>44.843549173054107</c:v>
                </c:pt>
                <c:pt idx="321">
                  <c:v>44.870515215739871</c:v>
                </c:pt>
                <c:pt idx="322">
                  <c:v>44.898264654372767</c:v>
                </c:pt>
                <c:pt idx="323">
                  <c:v>44.926811242422488</c:v>
                </c:pt>
                <c:pt idx="324">
                  <c:v>44.956169334117064</c:v>
                </c:pt>
                <c:pt idx="325">
                  <c:v>44.987049642288994</c:v>
                </c:pt>
                <c:pt idx="326">
                  <c:v>45.018811133605361</c:v>
                </c:pt>
                <c:pt idx="327">
                  <c:v>45.051471239302444</c:v>
                </c:pt>
                <c:pt idx="328">
                  <c:v>45.085048136654891</c:v>
                </c:pt>
                <c:pt idx="329">
                  <c:v>45.120398344224071</c:v>
                </c:pt>
                <c:pt idx="330">
                  <c:v>45.156750828193999</c:v>
                </c:pt>
                <c:pt idx="331">
                  <c:v>45.194127706531006</c:v>
                </c:pt>
                <c:pt idx="332">
                  <c:v>45.232552039128564</c:v>
                </c:pt>
                <c:pt idx="333">
                  <c:v>45.272917098990497</c:v>
                </c:pt>
                <c:pt idx="334">
                  <c:v>45.314427396316212</c:v>
                </c:pt>
                <c:pt idx="335">
                  <c:v>45.357110807799842</c:v>
                </c:pt>
                <c:pt idx="336">
                  <c:v>45.400996403106653</c:v>
                </c:pt>
                <c:pt idx="337">
                  <c:v>45.447236067586978</c:v>
                </c:pt>
                <c:pt idx="338">
                  <c:v>45.49480338940797</c:v>
                </c:pt>
                <c:pt idx="339">
                  <c:v>45.543733852016608</c:v>
                </c:pt>
                <c:pt idx="340">
                  <c:v>45.594064485243422</c:v>
                </c:pt>
                <c:pt idx="341">
                  <c:v>45.647090388196432</c:v>
                </c:pt>
                <c:pt idx="342">
                  <c:v>45.701668093381841</c:v>
                </c:pt>
                <c:pt idx="343">
                  <c:v>45.757842852125414</c:v>
                </c:pt>
                <c:pt idx="344">
                  <c:v>45.815661942090962</c:v>
                </c:pt>
                <c:pt idx="345">
                  <c:v>45.876491803552611</c:v>
                </c:pt>
                <c:pt idx="346">
                  <c:v>45.939145180025122</c:v>
                </c:pt>
                <c:pt idx="347">
                  <c:v>46.003679715290737</c:v>
                </c:pt>
                <c:pt idx="348">
                  <c:v>46.070155723948638</c:v>
                </c:pt>
                <c:pt idx="349">
                  <c:v>46.140332179394221</c:v>
                </c:pt>
                <c:pt idx="350">
                  <c:v>46.212683287966627</c:v>
                </c:pt>
                <c:pt idx="351">
                  <c:v>46.28728354352117</c:v>
                </c:pt>
                <c:pt idx="352">
                  <c:v>46.364211053394477</c:v>
                </c:pt>
                <c:pt idx="353">
                  <c:v>46.445466770054232</c:v>
                </c:pt>
                <c:pt idx="354">
                  <c:v>46.529340061704893</c:v>
                </c:pt>
                <c:pt idx="355">
                  <c:v>46.615927911277659</c:v>
                </c:pt>
                <c:pt idx="356">
                  <c:v>46.705332272920828</c:v>
                </c:pt>
                <c:pt idx="357">
                  <c:v>46.799706747095264</c:v>
                </c:pt>
                <c:pt idx="358">
                  <c:v>46.89725430894255</c:v>
                </c:pt>
                <c:pt idx="359">
                  <c:v>46.99810191213647</c:v>
                </c:pt>
                <c:pt idx="360">
                  <c:v>47.102383450735879</c:v>
                </c:pt>
                <c:pt idx="361">
                  <c:v>47.212893935420972</c:v>
                </c:pt>
                <c:pt idx="362">
                  <c:v>47.327315132700335</c:v>
                </c:pt>
                <c:pt idx="363">
                  <c:v>47.445816833601306</c:v>
                </c:pt>
                <c:pt idx="364">
                  <c:v>47.568578885865556</c:v>
                </c:pt>
                <c:pt idx="365">
                  <c:v>47.698671002511446</c:v>
                </c:pt>
                <c:pt idx="366">
                  <c:v>47.833630505920688</c:v>
                </c:pt>
                <c:pt idx="367">
                  <c:v>47.973687494289187</c:v>
                </c:pt>
                <c:pt idx="368">
                  <c:v>48.119087042566221</c:v>
                </c:pt>
                <c:pt idx="369">
                  <c:v>48.273856054238266</c:v>
                </c:pt>
                <c:pt idx="370">
                  <c:v>48.434806871124401</c:v>
                </c:pt>
                <c:pt idx="371">
                  <c:v>48.60226126149206</c:v>
                </c:pt>
                <c:pt idx="372">
                  <c:v>48.776564516387701</c:v>
                </c:pt>
                <c:pt idx="373">
                  <c:v>48.962266818137152</c:v>
                </c:pt>
                <c:pt idx="374">
                  <c:v>49.155946424034262</c:v>
                </c:pt>
                <c:pt idx="375">
                  <c:v>49.358066007850553</c:v>
                </c:pt>
                <c:pt idx="376">
                  <c:v>49.569127054071117</c:v>
                </c:pt>
                <c:pt idx="377">
                  <c:v>49.795234245670443</c:v>
                </c:pt>
                <c:pt idx="378">
                  <c:v>50.03194089178529</c:v>
                </c:pt>
                <c:pt idx="379">
                  <c:v>50.279947525731821</c:v>
                </c:pt>
                <c:pt idx="380">
                  <c:v>50.540024115939929</c:v>
                </c:pt>
                <c:pt idx="381">
                  <c:v>50.819043437686545</c:v>
                </c:pt>
                <c:pt idx="382">
                  <c:v>51.112548460299998</c:v>
                </c:pt>
                <c:pt idx="383">
                  <c:v>51.421658635577458</c:v>
                </c:pt>
                <c:pt idx="384">
                  <c:v>51.747628256764472</c:v>
                </c:pt>
                <c:pt idx="385">
                  <c:v>52.100646909112697</c:v>
                </c:pt>
                <c:pt idx="386">
                  <c:v>52.474581318694362</c:v>
                </c:pt>
                <c:pt idx="387">
                  <c:v>52.871405848493119</c:v>
                </c:pt>
                <c:pt idx="388">
                  <c:v>53.293395910152775</c:v>
                </c:pt>
                <c:pt idx="389">
                  <c:v>53.753879355863027</c:v>
                </c:pt>
                <c:pt idx="390">
                  <c:v>54.246790373703647</c:v>
                </c:pt>
                <c:pt idx="391">
                  <c:v>54.776080568668533</c:v>
                </c:pt>
                <c:pt idx="392">
                  <c:v>55.346502300194835</c:v>
                </c:pt>
                <c:pt idx="393">
                  <c:v>55.97830221483504</c:v>
                </c:pt>
                <c:pt idx="394">
                  <c:v>56.666838960028429</c:v>
                </c:pt>
                <c:pt idx="395">
                  <c:v>57.421828188784396</c:v>
                </c:pt>
                <c:pt idx="396">
                  <c:v>58.255825725624611</c:v>
                </c:pt>
                <c:pt idx="397">
                  <c:v>59.209401175288434</c:v>
                </c:pt>
                <c:pt idx="398">
                  <c:v>60.287879349814176</c:v>
                </c:pt>
                <c:pt idx="399">
                  <c:v>61.526371659080425</c:v>
                </c:pt>
                <c:pt idx="400">
                  <c:v>62.977717054317964</c:v>
                </c:pt>
                <c:pt idx="401">
                  <c:v>64.770817416652093</c:v>
                </c:pt>
                <c:pt idx="402">
                  <c:v>67.037767850267016</c:v>
                </c:pt>
                <c:pt idx="403">
                  <c:v>70.116064363273679</c:v>
                </c:pt>
                <c:pt idx="404">
                  <c:v>74.92395083214673</c:v>
                </c:pt>
                <c:pt idx="405">
                  <c:v>87.145355316254438</c:v>
                </c:pt>
                <c:pt idx="406">
                  <c:v>80.808279272377035</c:v>
                </c:pt>
                <c:pt idx="407">
                  <c:v>72.934782149463871</c:v>
                </c:pt>
                <c:pt idx="408">
                  <c:v>68.892359611381565</c:v>
                </c:pt>
                <c:pt idx="409">
                  <c:v>66.105801846054973</c:v>
                </c:pt>
                <c:pt idx="410">
                  <c:v>64.015313035566962</c:v>
                </c:pt>
                <c:pt idx="411">
                  <c:v>62.346693461987783</c:v>
                </c:pt>
                <c:pt idx="412">
                  <c:v>60.961988372809017</c:v>
                </c:pt>
                <c:pt idx="413">
                  <c:v>59.756540000492642</c:v>
                </c:pt>
                <c:pt idx="414">
                  <c:v>58.712260383437346</c:v>
                </c:pt>
                <c:pt idx="415">
                  <c:v>57.793837078678735</c:v>
                </c:pt>
                <c:pt idx="416">
                  <c:v>56.976602843214849</c:v>
                </c:pt>
                <c:pt idx="417">
                  <c:v>56.226139707879419</c:v>
                </c:pt>
                <c:pt idx="418">
                  <c:v>55.548563309921491</c:v>
                </c:pt>
                <c:pt idx="419">
                  <c:v>54.932857146215198</c:v>
                </c:pt>
                <c:pt idx="420">
                  <c:v>54.370389174962916</c:v>
                </c:pt>
                <c:pt idx="421">
                  <c:v>53.843317977324773</c:v>
                </c:pt>
                <c:pt idx="422">
                  <c:v>53.3586919631434</c:v>
                </c:pt>
                <c:pt idx="423">
                  <c:v>52.91160342494446</c:v>
                </c:pt>
                <c:pt idx="424">
                  <c:v>52.497966207553795</c:v>
                </c:pt>
                <c:pt idx="425">
                  <c:v>52.105250099436489</c:v>
                </c:pt>
                <c:pt idx="426">
                  <c:v>51.740891223560297</c:v>
                </c:pt>
                <c:pt idx="427">
                  <c:v>51.402192566782361</c:v>
                </c:pt>
                <c:pt idx="428">
                  <c:v>51.086823110651203</c:v>
                </c:pt>
                <c:pt idx="429">
                  <c:v>50.786208882482384</c:v>
                </c:pt>
                <c:pt idx="430">
                  <c:v>50.505981894137989</c:v>
                </c:pt>
                <c:pt idx="431">
                  <c:v>50.244463873672785</c:v>
                </c:pt>
                <c:pt idx="432">
                  <c:v>50.000167730640285</c:v>
                </c:pt>
                <c:pt idx="433">
                  <c:v>49.766795259363363</c:v>
                </c:pt>
                <c:pt idx="434">
                  <c:v>49.548778126318169</c:v>
                </c:pt>
                <c:pt idx="435">
                  <c:v>49.344979804283248</c:v>
                </c:pt>
                <c:pt idx="436">
                  <c:v>49.15437637928764</c:v>
                </c:pt>
                <c:pt idx="437">
                  <c:v>48.971927074000313</c:v>
                </c:pt>
                <c:pt idx="438">
                  <c:v>48.801439260676716</c:v>
                </c:pt>
                <c:pt idx="439">
                  <c:v>48.642095064610487</c:v>
                </c:pt>
                <c:pt idx="440">
                  <c:v>48.493149739196951</c:v>
                </c:pt>
                <c:pt idx="441">
                  <c:v>48.350787730891767</c:v>
                </c:pt>
                <c:pt idx="442">
                  <c:v>48.217937577895583</c:v>
                </c:pt>
                <c:pt idx="443">
                  <c:v>48.093989968779894</c:v>
                </c:pt>
                <c:pt idx="444">
                  <c:v>47.978386351076942</c:v>
                </c:pt>
                <c:pt idx="445">
                  <c:v>47.868245507687021</c:v>
                </c:pt>
                <c:pt idx="446">
                  <c:v>47.765792737656064</c:v>
                </c:pt>
                <c:pt idx="447">
                  <c:v>47.67056466602196</c:v>
                </c:pt>
                <c:pt idx="448">
                  <c:v>47.582134898546791</c:v>
                </c:pt>
                <c:pt idx="449">
                  <c:v>47.498218271277949</c:v>
                </c:pt>
                <c:pt idx="450">
                  <c:v>47.420629909660583</c:v>
                </c:pt>
                <c:pt idx="451">
                  <c:v>47.349012083841593</c:v>
                </c:pt>
                <c:pt idx="452">
                  <c:v>47.283035155827982</c:v>
                </c:pt>
                <c:pt idx="453">
                  <c:v>47.221084548848403</c:v>
                </c:pt>
                <c:pt idx="454">
                  <c:v>47.16441549964258</c:v>
                </c:pt>
                <c:pt idx="455">
                  <c:v>47.112752321326113</c:v>
                </c:pt>
                <c:pt idx="456">
                  <c:v>47.065841184249919</c:v>
                </c:pt>
                <c:pt idx="457">
                  <c:v>47.022495465222974</c:v>
                </c:pt>
                <c:pt idx="458">
                  <c:v>46.983654726486037</c:v>
                </c:pt>
                <c:pt idx="459">
                  <c:v>46.949107434306477</c:v>
                </c:pt>
                <c:pt idx="460">
                  <c:v>46.918659615787945</c:v>
                </c:pt>
                <c:pt idx="461">
                  <c:v>46.891563889014009</c:v>
                </c:pt>
                <c:pt idx="462">
                  <c:v>46.86840014371672</c:v>
                </c:pt>
                <c:pt idx="463">
                  <c:v>46.84901008524109</c:v>
                </c:pt>
                <c:pt idx="464">
                  <c:v>46.833249953682255</c:v>
                </c:pt>
                <c:pt idx="465">
                  <c:v>46.820743274116836</c:v>
                </c:pt>
                <c:pt idx="466">
                  <c:v>46.811776843382418</c:v>
                </c:pt>
                <c:pt idx="467">
                  <c:v>46.806238358104011</c:v>
                </c:pt>
                <c:pt idx="468">
                  <c:v>46.804028086775233</c:v>
                </c:pt>
                <c:pt idx="469">
                  <c:v>46.805119170068174</c:v>
                </c:pt>
                <c:pt idx="470">
                  <c:v>46.809519246410254</c:v>
                </c:pt>
                <c:pt idx="471">
                  <c:v>46.817158685672631</c:v>
                </c:pt>
                <c:pt idx="472">
                  <c:v>46.827979390663437</c:v>
                </c:pt>
                <c:pt idx="473">
                  <c:v>46.84230568767169</c:v>
                </c:pt>
                <c:pt idx="474">
                  <c:v>46.859879296108637</c:v>
                </c:pt>
                <c:pt idx="475">
                  <c:v>46.880673363004192</c:v>
                </c:pt>
                <c:pt idx="476">
                  <c:v>46.904672570443473</c:v>
                </c:pt>
                <c:pt idx="477">
                  <c:v>46.932545695070203</c:v>
                </c:pt>
                <c:pt idx="478">
                  <c:v>46.96377942535355</c:v>
                </c:pt>
                <c:pt idx="479">
                  <c:v>46.998394571494153</c:v>
                </c:pt>
                <c:pt idx="480">
                  <c:v>47.036424677735049</c:v>
                </c:pt>
                <c:pt idx="481">
                  <c:v>47.078902726255492</c:v>
                </c:pt>
                <c:pt idx="482">
                  <c:v>47.125066053144877</c:v>
                </c:pt>
                <c:pt idx="483">
                  <c:v>47.174993848219565</c:v>
                </c:pt>
                <c:pt idx="484">
                  <c:v>47.228780913413914</c:v>
                </c:pt>
                <c:pt idx="485">
                  <c:v>47.287913315530631</c:v>
                </c:pt>
                <c:pt idx="486">
                  <c:v>47.351338299739787</c:v>
                </c:pt>
                <c:pt idx="487">
                  <c:v>47.419213284367274</c:v>
                </c:pt>
                <c:pt idx="488">
                  <c:v>47.49171682594838</c:v>
                </c:pt>
                <c:pt idx="489">
                  <c:v>47.570953301087243</c:v>
                </c:pt>
                <c:pt idx="490">
                  <c:v>47.655494688076168</c:v>
                </c:pt>
                <c:pt idx="491">
                  <c:v>47.745611981057799</c:v>
                </c:pt>
                <c:pt idx="492">
                  <c:v>47.841607368185407</c:v>
                </c:pt>
                <c:pt idx="493">
                  <c:v>47.946272445781659</c:v>
                </c:pt>
                <c:pt idx="494">
                  <c:v>48.057844895566603</c:v>
                </c:pt>
                <c:pt idx="495">
                  <c:v>48.176769778308817</c:v>
                </c:pt>
                <c:pt idx="496">
                  <c:v>48.303541389125897</c:v>
                </c:pt>
                <c:pt idx="497">
                  <c:v>48.441975565253763</c:v>
                </c:pt>
                <c:pt idx="498">
                  <c:v>48.58985663476129</c:v>
                </c:pt>
                <c:pt idx="499">
                  <c:v>48.74791243978926</c:v>
                </c:pt>
                <c:pt idx="500">
                  <c:v>48.916953819865547</c:v>
                </c:pt>
                <c:pt idx="501">
                  <c:v>49.102286370714722</c:v>
                </c:pt>
                <c:pt idx="502">
                  <c:v>49.301158553968314</c:v>
                </c:pt>
                <c:pt idx="503">
                  <c:v>49.514786523411601</c:v>
                </c:pt>
                <c:pt idx="504">
                  <c:v>49.74453756313801</c:v>
                </c:pt>
                <c:pt idx="505">
                  <c:v>49.997852703145213</c:v>
                </c:pt>
                <c:pt idx="506">
                  <c:v>50.271522325916905</c:v>
                </c:pt>
                <c:pt idx="507">
                  <c:v>50.567674798152339</c:v>
                </c:pt>
                <c:pt idx="508">
                  <c:v>50.888745375560433</c:v>
                </c:pt>
                <c:pt idx="509">
                  <c:v>51.245925315000392</c:v>
                </c:pt>
                <c:pt idx="510">
                  <c:v>51.63560114576471</c:v>
                </c:pt>
                <c:pt idx="511">
                  <c:v>52.061852321032291</c:v>
                </c:pt>
                <c:pt idx="512">
                  <c:v>52.529505043416584</c:v>
                </c:pt>
                <c:pt idx="513">
                  <c:v>53.057168403351433</c:v>
                </c:pt>
                <c:pt idx="514">
                  <c:v>53.641812101143898</c:v>
                </c:pt>
                <c:pt idx="515">
                  <c:v>54.292772610327617</c:v>
                </c:pt>
                <c:pt idx="516">
                  <c:v>55.021852506584345</c:v>
                </c:pt>
                <c:pt idx="517">
                  <c:v>55.864640616508623</c:v>
                </c:pt>
                <c:pt idx="518">
                  <c:v>56.827136642805101</c:v>
                </c:pt>
                <c:pt idx="519">
                  <c:v>57.939856114606336</c:v>
                </c:pt>
                <c:pt idx="520">
                  <c:v>59.247332966239242</c:v>
                </c:pt>
                <c:pt idx="521">
                  <c:v>60.858990924182692</c:v>
                </c:pt>
                <c:pt idx="522">
                  <c:v>62.872587504399874</c:v>
                </c:pt>
                <c:pt idx="523">
                  <c:v>65.530693032805175</c:v>
                </c:pt>
                <c:pt idx="524">
                  <c:v>69.408943536373997</c:v>
                </c:pt>
                <c:pt idx="525">
                  <c:v>76.8740245958098</c:v>
                </c:pt>
                <c:pt idx="526">
                  <c:v>85.826061276230178</c:v>
                </c:pt>
                <c:pt idx="527">
                  <c:v>72.256576439429011</c:v>
                </c:pt>
                <c:pt idx="528">
                  <c:v>67.250993238308553</c:v>
                </c:pt>
                <c:pt idx="529">
                  <c:v>64.085795459456904</c:v>
                </c:pt>
                <c:pt idx="530">
                  <c:v>61.820649769048188</c:v>
                </c:pt>
                <c:pt idx="531">
                  <c:v>60.073485035321561</c:v>
                </c:pt>
                <c:pt idx="532">
                  <c:v>58.665541174916321</c:v>
                </c:pt>
                <c:pt idx="533">
                  <c:v>57.473026300283834</c:v>
                </c:pt>
                <c:pt idx="534">
                  <c:v>56.468661205226866</c:v>
                </c:pt>
                <c:pt idx="535">
                  <c:v>55.610386700834539</c:v>
                </c:pt>
                <c:pt idx="536">
                  <c:v>54.869073467312234</c:v>
                </c:pt>
                <c:pt idx="537">
                  <c:v>54.209939450563489</c:v>
                </c:pt>
                <c:pt idx="538">
                  <c:v>53.634160233924419</c:v>
                </c:pt>
                <c:pt idx="539">
                  <c:v>53.128717599262899</c:v>
                </c:pt>
                <c:pt idx="540">
                  <c:v>52.683343988115432</c:v>
                </c:pt>
                <c:pt idx="541">
                  <c:v>52.281013302576575</c:v>
                </c:pt>
                <c:pt idx="542">
                  <c:v>51.925738296733293</c:v>
                </c:pt>
                <c:pt idx="543">
                  <c:v>51.61153609066691</c:v>
                </c:pt>
                <c:pt idx="544">
                  <c:v>51.33340553399276</c:v>
                </c:pt>
                <c:pt idx="545">
                  <c:v>51.081768777331078</c:v>
                </c:pt>
                <c:pt idx="546">
                  <c:v>50.859639386808233</c:v>
                </c:pt>
                <c:pt idx="547">
                  <c:v>50.663742774662097</c:v>
                </c:pt>
                <c:pt idx="548">
                  <c:v>50.49127064958558</c:v>
                </c:pt>
                <c:pt idx="549">
                  <c:v>50.336533363641713</c:v>
                </c:pt>
                <c:pt idx="550">
                  <c:v>50.201550612948935</c:v>
                </c:pt>
                <c:pt idx="551">
                  <c:v>50.08439234592295</c:v>
                </c:pt>
                <c:pt idx="552">
                  <c:v>49.983389024701317</c:v>
                </c:pt>
                <c:pt idx="553">
                  <c:v>49.895230441284085</c:v>
                </c:pt>
                <c:pt idx="554">
                  <c:v>49.82114292711303</c:v>
                </c:pt>
                <c:pt idx="555">
                  <c:v>49.759971608549918</c:v>
                </c:pt>
                <c:pt idx="556">
                  <c:v>49.710723453060638</c:v>
                </c:pt>
                <c:pt idx="557">
                  <c:v>49.643659524769753</c:v>
                </c:pt>
                <c:pt idx="558">
                  <c:v>49.617403569685585</c:v>
                </c:pt>
                <c:pt idx="559">
                  <c:v>49.628694121774004</c:v>
                </c:pt>
                <c:pt idx="560">
                  <c:v>49.676048175740632</c:v>
                </c:pt>
                <c:pt idx="561">
                  <c:v>49.760778341810635</c:v>
                </c:pt>
                <c:pt idx="562">
                  <c:v>49.882568830288214</c:v>
                </c:pt>
                <c:pt idx="563">
                  <c:v>50.047266506788745</c:v>
                </c:pt>
                <c:pt idx="564">
                  <c:v>50.256595888760948</c:v>
                </c:pt>
                <c:pt idx="565">
                  <c:v>50.523966193428329</c:v>
                </c:pt>
                <c:pt idx="566">
                  <c:v>50.854284326622647</c:v>
                </c:pt>
                <c:pt idx="567">
                  <c:v>51.272186923266325</c:v>
                </c:pt>
                <c:pt idx="568">
                  <c:v>51.790779620684752</c:v>
                </c:pt>
                <c:pt idx="569">
                  <c:v>52.453358429948253</c:v>
                </c:pt>
                <c:pt idx="570">
                  <c:v>53.294540857135679</c:v>
                </c:pt>
                <c:pt idx="571">
                  <c:v>54.413588027827942</c:v>
                </c:pt>
                <c:pt idx="572">
                  <c:v>55.901690720710121</c:v>
                </c:pt>
                <c:pt idx="573">
                  <c:v>57.99928091837036</c:v>
                </c:pt>
                <c:pt idx="574">
                  <c:v>61.106217376905256</c:v>
                </c:pt>
                <c:pt idx="575">
                  <c:v>66.642417730829436</c:v>
                </c:pt>
                <c:pt idx="576">
                  <c:v>88.259102471926639</c:v>
                </c:pt>
                <c:pt idx="577">
                  <c:v>56.392955377764636</c:v>
                </c:pt>
                <c:pt idx="578">
                  <c:v>52.822463429531233</c:v>
                </c:pt>
                <c:pt idx="579">
                  <c:v>52.546056487389137</c:v>
                </c:pt>
                <c:pt idx="580">
                  <c:v>66.418923476134239</c:v>
                </c:pt>
                <c:pt idx="581">
                  <c:v>54.46939941825611</c:v>
                </c:pt>
                <c:pt idx="582">
                  <c:v>56.325307399884224</c:v>
                </c:pt>
                <c:pt idx="583">
                  <c:v>58.050553696503272</c:v>
                </c:pt>
                <c:pt idx="584">
                  <c:v>57.306138556429993</c:v>
                </c:pt>
                <c:pt idx="585">
                  <c:v>58.561065665589574</c:v>
                </c:pt>
                <c:pt idx="586">
                  <c:v>63.278321416145438</c:v>
                </c:pt>
                <c:pt idx="587">
                  <c:v>58.714809422652472</c:v>
                </c:pt>
                <c:pt idx="588">
                  <c:v>61.317332084998625</c:v>
                </c:pt>
                <c:pt idx="589">
                  <c:v>73.76594090133591</c:v>
                </c:pt>
                <c:pt idx="590">
                  <c:v>71.248036271688463</c:v>
                </c:pt>
                <c:pt idx="591">
                  <c:v>68.802804290993848</c:v>
                </c:pt>
                <c:pt idx="592">
                  <c:v>74.034114460520286</c:v>
                </c:pt>
                <c:pt idx="593">
                  <c:v>73.773457217872391</c:v>
                </c:pt>
                <c:pt idx="594">
                  <c:v>66.196535241589459</c:v>
                </c:pt>
                <c:pt idx="595">
                  <c:v>68.137903890644267</c:v>
                </c:pt>
                <c:pt idx="596">
                  <c:v>69.768857229981307</c:v>
                </c:pt>
                <c:pt idx="597">
                  <c:v>77.442637545671772</c:v>
                </c:pt>
                <c:pt idx="598">
                  <c:v>71.804288786895697</c:v>
                </c:pt>
                <c:pt idx="599">
                  <c:v>73.079357296395173</c:v>
                </c:pt>
                <c:pt idx="600">
                  <c:v>82.976328919741007</c:v>
                </c:pt>
              </c:numCache>
            </c:numRef>
          </c:yVal>
          <c:smooth val="0"/>
          <c:extLst>
            <c:ext xmlns:c16="http://schemas.microsoft.com/office/drawing/2014/chart" uri="{C3380CC4-5D6E-409C-BE32-E72D297353CC}">
              <c16:uniqueId val="{00000002-C943-44AE-BE69-B37F145E1EAF}"/>
            </c:ext>
          </c:extLst>
        </c:ser>
        <c:dLbls>
          <c:showLegendKey val="0"/>
          <c:showVal val="0"/>
          <c:showCatName val="0"/>
          <c:showSerName val="0"/>
          <c:showPercent val="0"/>
          <c:showBubbleSize val="0"/>
        </c:dLbls>
        <c:axId val="446584704"/>
        <c:axId val="446586240"/>
      </c:scatterChart>
      <c:valAx>
        <c:axId val="446572416"/>
        <c:scaling>
          <c:logBase val="10"/>
          <c:orientation val="minMax"/>
          <c:max val="1000000"/>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lang="ja-JP"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Arial"/>
                <a:ea typeface="Arial"/>
                <a:cs typeface="Arial"/>
              </a:defRPr>
            </a:pPr>
            <a:endParaRPr lang="en-US"/>
          </a:p>
        </c:txPr>
        <c:crossAx val="446582784"/>
        <c:crossesAt val="-80"/>
        <c:crossBetween val="midCat"/>
        <c:majorUnit val="10"/>
        <c:minorUnit val="10"/>
      </c:valAx>
      <c:valAx>
        <c:axId val="446582784"/>
        <c:scaling>
          <c:orientation val="minMax"/>
          <c:max val="80"/>
          <c:min val="-40"/>
        </c:scaling>
        <c:delete val="0"/>
        <c:axPos val="l"/>
        <c:majorGridlines>
          <c:spPr>
            <a:ln w="3175">
              <a:solidFill>
                <a:srgbClr val="000000"/>
              </a:solidFill>
              <a:prstDash val="solid"/>
            </a:ln>
          </c:spPr>
        </c:majorGridlines>
        <c:title>
          <c:tx>
            <c:rich>
              <a:bodyPr/>
              <a:lstStyle/>
              <a:p>
                <a:pPr>
                  <a:defRPr lang="ja-JP"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FF0000"/>
                </a:solidFill>
                <a:latin typeface="Arial"/>
                <a:ea typeface="Arial"/>
                <a:cs typeface="Arial"/>
              </a:defRPr>
            </a:pPr>
            <a:endParaRPr lang="en-US"/>
          </a:p>
        </c:txPr>
        <c:crossAx val="446572416"/>
        <c:crossesAt val="0.1"/>
        <c:crossBetween val="midCat"/>
        <c:majorUnit val="20"/>
        <c:minorUnit val="4"/>
      </c:valAx>
      <c:valAx>
        <c:axId val="446584704"/>
        <c:scaling>
          <c:logBase val="10"/>
          <c:orientation val="minMax"/>
        </c:scaling>
        <c:delete val="1"/>
        <c:axPos val="t"/>
        <c:numFmt formatCode="General" sourceLinked="1"/>
        <c:majorTickMark val="out"/>
        <c:minorTickMark val="none"/>
        <c:tickLblPos val="none"/>
        <c:crossAx val="446586240"/>
        <c:crossesAt val="0"/>
        <c:crossBetween val="midCat"/>
      </c:valAx>
      <c:valAx>
        <c:axId val="446586240"/>
        <c:scaling>
          <c:orientation val="minMax"/>
          <c:max val="120"/>
          <c:min val="-60"/>
        </c:scaling>
        <c:delete val="0"/>
        <c:axPos val="r"/>
        <c:title>
          <c:tx>
            <c:rich>
              <a:bodyPr/>
              <a:lstStyle/>
              <a:p>
                <a:pPr>
                  <a:defRPr lang="ja-JP"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800" b="0" i="0" u="none" strike="noStrike" baseline="0">
                <a:solidFill>
                  <a:srgbClr val="0000FF"/>
                </a:solidFill>
                <a:latin typeface="Arial"/>
                <a:ea typeface="Arial"/>
                <a:cs typeface="Arial"/>
              </a:defRPr>
            </a:pPr>
            <a:endParaRPr lang="en-US"/>
          </a:p>
        </c:txPr>
        <c:crossAx val="446584704"/>
        <c:crosses val="max"/>
        <c:crossBetween val="midCat"/>
        <c:majorUnit val="30"/>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BE97-48FA-B330-74E933417AF3}"/>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BE97-48FA-B330-74E933417AF3}"/>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BE97-48FA-B330-74E933417AF3}"/>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BE97-48FA-B330-74E933417AF3}"/>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BE97-48FA-B330-74E933417AF3}"/>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BE97-48FA-B330-74E933417AF3}"/>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BE97-48FA-B330-74E933417AF3}"/>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BE97-48FA-B330-74E933417AF3}"/>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BE97-48FA-B330-74E933417AF3}"/>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BE97-48FA-B330-74E933417AF3}"/>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BE97-48FA-B330-74E933417AF3}"/>
            </c:ext>
          </c:extLst>
        </c:ser>
        <c:dLbls>
          <c:showLegendKey val="0"/>
          <c:showVal val="0"/>
          <c:showCatName val="0"/>
          <c:showSerName val="0"/>
          <c:showPercent val="0"/>
          <c:showBubbleSize val="0"/>
        </c:dLbls>
        <c:axId val="447280256"/>
        <c:axId val="447282176"/>
      </c:areaChart>
      <c:catAx>
        <c:axId val="44728025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282176"/>
        <c:crosses val="autoZero"/>
        <c:auto val="1"/>
        <c:lblAlgn val="ctr"/>
        <c:lblOffset val="100"/>
        <c:tickMarkSkip val="1"/>
        <c:noMultiLvlLbl val="0"/>
      </c:catAx>
      <c:valAx>
        <c:axId val="447282176"/>
        <c:scaling>
          <c:orientation val="minMax"/>
          <c:max val="0.2"/>
          <c:min val="0"/>
        </c:scaling>
        <c:delete val="0"/>
        <c:axPos val="l"/>
        <c:majorGridlines>
          <c:spPr>
            <a:ln w="3175">
              <a:solidFill>
                <a:srgbClr val="000000"/>
              </a:solidFill>
              <a:prstDash val="solid"/>
            </a:ln>
          </c:spPr>
        </c:majorGridlines>
        <c:min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280256"/>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6E96-4528-9036-34F1ACDA388E}"/>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96-4528-9036-34F1ACDA388E}"/>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6E96-4528-9036-34F1ACDA388E}"/>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96-4528-9036-34F1ACDA388E}"/>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6E96-4528-9036-34F1ACDA388E}"/>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96-4528-9036-34F1ACDA388E}"/>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6E96-4528-9036-34F1ACDA388E}"/>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96-4528-9036-34F1ACDA388E}"/>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6E96-4528-9036-34F1ACDA388E}"/>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E96-4528-9036-34F1ACDA388E}"/>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6E96-4528-9036-34F1ACDA388E}"/>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6E96-4528-9036-34F1ACDA388E}"/>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E96-4528-9036-34F1ACDA388E}"/>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6E96-4528-9036-34F1ACDA388E}"/>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E96-4528-9036-34F1ACDA388E}"/>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6E96-4528-9036-34F1ACDA388E}"/>
            </c:ext>
          </c:extLst>
        </c:ser>
        <c:dLbls>
          <c:showLegendKey val="0"/>
          <c:showVal val="0"/>
          <c:showCatName val="0"/>
          <c:showSerName val="0"/>
          <c:showPercent val="0"/>
          <c:showBubbleSize val="0"/>
        </c:dLbls>
        <c:gapWidth val="101"/>
        <c:overlap val="-70"/>
        <c:axId val="447021056"/>
        <c:axId val="447022592"/>
      </c:barChart>
      <c:catAx>
        <c:axId val="447021056"/>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022592"/>
        <c:crossesAt val="0"/>
        <c:auto val="1"/>
        <c:lblAlgn val="ctr"/>
        <c:lblOffset val="100"/>
        <c:noMultiLvlLbl val="0"/>
      </c:catAx>
      <c:valAx>
        <c:axId val="447022592"/>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021056"/>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7A9A-4B30-813C-2F4CDFF889B0}"/>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7A9A-4B30-813C-2F4CDFF889B0}"/>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7A9A-4B30-813C-2F4CDFF889B0}"/>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7A9A-4B30-813C-2F4CDFF889B0}"/>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7A9A-4B30-813C-2F4CDFF889B0}"/>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7A9A-4B30-813C-2F4CDFF889B0}"/>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7A9A-4B30-813C-2F4CDFF889B0}"/>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7A9A-4B30-813C-2F4CDFF889B0}"/>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7A9A-4B30-813C-2F4CDFF889B0}"/>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7A9A-4B30-813C-2F4CDFF889B0}"/>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7A9A-4B30-813C-2F4CDFF889B0}"/>
            </c:ext>
          </c:extLst>
        </c:ser>
        <c:dLbls>
          <c:showLegendKey val="0"/>
          <c:showVal val="0"/>
          <c:showCatName val="0"/>
          <c:showSerName val="0"/>
          <c:showPercent val="0"/>
          <c:showBubbleSize val="0"/>
        </c:dLbls>
        <c:axId val="447100416"/>
        <c:axId val="447102336"/>
      </c:areaChart>
      <c:catAx>
        <c:axId val="447100416"/>
        <c:scaling>
          <c:orientation val="minMax"/>
        </c:scaling>
        <c:delete val="0"/>
        <c:axPos val="b"/>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lang="ja-JP" sz="1725" b="0" i="0" u="none" strike="noStrike" baseline="0">
                <a:solidFill>
                  <a:srgbClr val="000000"/>
                </a:solidFill>
                <a:latin typeface="Arial"/>
                <a:ea typeface="Arial"/>
                <a:cs typeface="Arial"/>
              </a:defRPr>
            </a:pPr>
            <a:endParaRPr lang="en-US"/>
          </a:p>
        </c:txPr>
        <c:crossAx val="447102336"/>
        <c:crosses val="autoZero"/>
        <c:auto val="1"/>
        <c:lblAlgn val="ctr"/>
        <c:lblOffset val="100"/>
        <c:tickMarkSkip val="1"/>
        <c:noMultiLvlLbl val="0"/>
      </c:catAx>
      <c:valAx>
        <c:axId val="447102336"/>
        <c:scaling>
          <c:orientation val="minMax"/>
          <c:max val="0.2"/>
          <c:min val="0"/>
        </c:scaling>
        <c:delete val="0"/>
        <c:axPos val="l"/>
        <c:majorGridlines>
          <c:spPr>
            <a:ln w="3175">
              <a:solidFill>
                <a:srgbClr val="000000"/>
              </a:solidFill>
              <a:prstDash val="solid"/>
            </a:ln>
          </c:spPr>
        </c:majorGridlines>
        <c:title>
          <c:tx>
            <c:rich>
              <a:bodyPr/>
              <a:lstStyle/>
              <a:p>
                <a:pPr>
                  <a:defRPr lang="ja-JP"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100416"/>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lang="ja-JP"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10</c:v>
                </c:pt>
                <c:pt idx="1">
                  <c:v>100</c:v>
                </c:pt>
                <c:pt idx="2">
                  <c:v>200</c:v>
                </c:pt>
                <c:pt idx="3">
                  <c:v>300</c:v>
                </c:pt>
                <c:pt idx="100">
                  <c:v>10000</c:v>
                </c:pt>
              </c:numCache>
            </c:numRef>
          </c:cat>
          <c:val>
            <c:numRef>
              <c:f>Parameters!$BZ$6:$BZ$106</c:f>
              <c:numCache>
                <c:formatCode>0.00</c:formatCode>
                <c:ptCount val="101"/>
                <c:pt idx="0">
                  <c:v>100</c:v>
                </c:pt>
                <c:pt idx="1">
                  <c:v>100</c:v>
                </c:pt>
                <c:pt idx="2">
                  <c:v>100</c:v>
                </c:pt>
                <c:pt idx="3">
                  <c:v>100</c:v>
                </c:pt>
                <c:pt idx="100">
                  <c:v>100</c:v>
                </c:pt>
              </c:numCache>
            </c:numRef>
          </c:val>
          <c:smooth val="1"/>
          <c:extLst>
            <c:ext xmlns:c16="http://schemas.microsoft.com/office/drawing/2014/chart" uri="{C3380CC4-5D6E-409C-BE32-E72D297353CC}">
              <c16:uniqueId val="{00000000-D674-43A0-9F82-F4A92FBE8268}"/>
            </c:ext>
          </c:extLst>
        </c:ser>
        <c:dLbls>
          <c:showLegendKey val="0"/>
          <c:showVal val="0"/>
          <c:showCatName val="0"/>
          <c:showSerName val="0"/>
          <c:showPercent val="0"/>
          <c:showBubbleSize val="0"/>
        </c:dLbls>
        <c:marker val="1"/>
        <c:smooth val="0"/>
        <c:axId val="447149952"/>
        <c:axId val="447291392"/>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10</c:v>
                </c:pt>
                <c:pt idx="1">
                  <c:v>100</c:v>
                </c:pt>
                <c:pt idx="2">
                  <c:v>200</c:v>
                </c:pt>
                <c:pt idx="3">
                  <c:v>300</c:v>
                </c:pt>
                <c:pt idx="100">
                  <c:v>10000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D674-43A0-9F82-F4A92FBE8268}"/>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10</c:v>
                </c:pt>
                <c:pt idx="1">
                  <c:v>100</c:v>
                </c:pt>
                <c:pt idx="2">
                  <c:v>200</c:v>
                </c:pt>
                <c:pt idx="3">
                  <c:v>300</c:v>
                </c:pt>
                <c:pt idx="100">
                  <c:v>10000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D674-43A0-9F82-F4A92FBE8268}"/>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10</c:v>
                </c:pt>
                <c:pt idx="1">
                  <c:v>100</c:v>
                </c:pt>
                <c:pt idx="2">
                  <c:v>200</c:v>
                </c:pt>
                <c:pt idx="3">
                  <c:v>300</c:v>
                </c:pt>
                <c:pt idx="100">
                  <c:v>10000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D674-43A0-9F82-F4A92FBE8268}"/>
            </c:ext>
          </c:extLst>
        </c:ser>
        <c:dLbls>
          <c:showLegendKey val="0"/>
          <c:showVal val="0"/>
          <c:showCatName val="0"/>
          <c:showSerName val="0"/>
          <c:showPercent val="0"/>
          <c:showBubbleSize val="0"/>
        </c:dLbls>
        <c:marker val="1"/>
        <c:smooth val="0"/>
        <c:axId val="447303680"/>
        <c:axId val="447293312"/>
      </c:lineChart>
      <c:catAx>
        <c:axId val="447149952"/>
        <c:scaling>
          <c:orientation val="minMax"/>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291392"/>
        <c:crosses val="autoZero"/>
        <c:auto val="1"/>
        <c:lblAlgn val="ctr"/>
        <c:lblOffset val="100"/>
        <c:tickLblSkip val="20"/>
        <c:tickMarkSkip val="20"/>
        <c:noMultiLvlLbl val="0"/>
      </c:catAx>
      <c:valAx>
        <c:axId val="447291392"/>
        <c:scaling>
          <c:orientation val="minMax"/>
          <c:max val="95"/>
          <c:min val="65"/>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149952"/>
        <c:crossesAt val="0"/>
        <c:crossBetween val="between"/>
        <c:majorUnit val="5"/>
        <c:minorUnit val="2.5"/>
      </c:valAx>
      <c:valAx>
        <c:axId val="447293312"/>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303680"/>
        <c:crosses val="max"/>
        <c:crossBetween val="between"/>
      </c:valAx>
      <c:catAx>
        <c:axId val="447303680"/>
        <c:scaling>
          <c:orientation val="minMax"/>
        </c:scaling>
        <c:delete val="1"/>
        <c:axPos val="b"/>
        <c:numFmt formatCode="0.000" sourceLinked="1"/>
        <c:majorTickMark val="out"/>
        <c:minorTickMark val="none"/>
        <c:tickLblPos val="nextTo"/>
        <c:crossAx val="4472933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10</c:v>
                </c:pt>
                <c:pt idx="1">
                  <c:v>100</c:v>
                </c:pt>
                <c:pt idx="2">
                  <c:v>200</c:v>
                </c:pt>
                <c:pt idx="3">
                  <c:v>300</c:v>
                </c:pt>
                <c:pt idx="100">
                  <c:v>10000</c:v>
                </c:pt>
              </c:numCache>
            </c:numRef>
          </c:xVal>
          <c:yVal>
            <c:numRef>
              <c:f>Parameters!$BZ$6:$BZ$106</c:f>
              <c:numCache>
                <c:formatCode>0.00</c:formatCode>
                <c:ptCount val="101"/>
                <c:pt idx="0">
                  <c:v>100</c:v>
                </c:pt>
                <c:pt idx="1">
                  <c:v>100</c:v>
                </c:pt>
                <c:pt idx="2">
                  <c:v>100</c:v>
                </c:pt>
                <c:pt idx="3">
                  <c:v>100</c:v>
                </c:pt>
                <c:pt idx="100">
                  <c:v>100</c:v>
                </c:pt>
              </c:numCache>
            </c:numRef>
          </c:yVal>
          <c:smooth val="1"/>
          <c:extLst>
            <c:ext xmlns:c16="http://schemas.microsoft.com/office/drawing/2014/chart" uri="{C3380CC4-5D6E-409C-BE32-E72D297353CC}">
              <c16:uniqueId val="{00000000-5AFA-4F10-B325-54957BB039CB}"/>
            </c:ext>
          </c:extLst>
        </c:ser>
        <c:dLbls>
          <c:showLegendKey val="0"/>
          <c:showVal val="0"/>
          <c:showCatName val="0"/>
          <c:showSerName val="0"/>
          <c:showPercent val="0"/>
          <c:showBubbleSize val="0"/>
        </c:dLbls>
        <c:axId val="447422464"/>
        <c:axId val="44742438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10</c:v>
                </c:pt>
                <c:pt idx="1">
                  <c:v>100</c:v>
                </c:pt>
                <c:pt idx="2">
                  <c:v>200</c:v>
                </c:pt>
                <c:pt idx="3">
                  <c:v>300</c:v>
                </c:pt>
                <c:pt idx="100">
                  <c:v>10000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5AFA-4F10-B325-54957BB039CB}"/>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10</c:v>
                </c:pt>
                <c:pt idx="1">
                  <c:v>100</c:v>
                </c:pt>
                <c:pt idx="2">
                  <c:v>200</c:v>
                </c:pt>
                <c:pt idx="3">
                  <c:v>300</c:v>
                </c:pt>
                <c:pt idx="100">
                  <c:v>10000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5AFA-4F10-B325-54957BB039CB}"/>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10</c:v>
                </c:pt>
                <c:pt idx="1">
                  <c:v>100</c:v>
                </c:pt>
                <c:pt idx="2">
                  <c:v>200</c:v>
                </c:pt>
                <c:pt idx="3">
                  <c:v>300</c:v>
                </c:pt>
                <c:pt idx="100">
                  <c:v>10000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5AFA-4F10-B325-54957BB039CB}"/>
            </c:ext>
          </c:extLst>
        </c:ser>
        <c:dLbls>
          <c:showLegendKey val="0"/>
          <c:showVal val="0"/>
          <c:showCatName val="0"/>
          <c:showSerName val="0"/>
          <c:showPercent val="0"/>
          <c:showBubbleSize val="0"/>
        </c:dLbls>
        <c:axId val="447432576"/>
        <c:axId val="447430656"/>
      </c:scatterChart>
      <c:valAx>
        <c:axId val="447422464"/>
        <c:scaling>
          <c:logBase val="10"/>
          <c:orientation val="minMax"/>
          <c:min val="0.1"/>
        </c:scaling>
        <c:delete val="0"/>
        <c:axPos val="b"/>
        <c:majorGridlines>
          <c:spPr>
            <a:ln w="15875">
              <a:solidFill>
                <a:srgbClr val="969696"/>
              </a:solidFill>
              <a:prstDash val="sysDash"/>
            </a:ln>
          </c:spPr>
        </c:majorGridlines>
        <c:title>
          <c:tx>
            <c:rich>
              <a:bodyPr/>
              <a:lstStyle/>
              <a:p>
                <a:pPr>
                  <a:defRPr lang="ja-JP"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1100" b="1" i="0" u="none" strike="noStrike" baseline="0">
                <a:solidFill>
                  <a:srgbClr val="000000"/>
                </a:solidFill>
                <a:latin typeface="Arial" pitchFamily="34" charset="0"/>
                <a:ea typeface="Calibri"/>
                <a:cs typeface="Arial" pitchFamily="34" charset="0"/>
              </a:defRPr>
            </a:pPr>
            <a:endParaRPr lang="en-US"/>
          </a:p>
        </c:txPr>
        <c:crossAx val="447424384"/>
        <c:crosses val="autoZero"/>
        <c:crossBetween val="midCat"/>
      </c:valAx>
      <c:valAx>
        <c:axId val="447424384"/>
        <c:scaling>
          <c:orientation val="minMax"/>
          <c:max val="95"/>
          <c:min val="60"/>
        </c:scaling>
        <c:delete val="0"/>
        <c:axPos val="l"/>
        <c:majorGridlines>
          <c:spPr>
            <a:ln w="15875">
              <a:solidFill>
                <a:srgbClr val="808080"/>
              </a:solidFill>
              <a:prstDash val="solid"/>
            </a:ln>
          </c:spPr>
        </c:majorGridlines>
        <c:min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7422464"/>
        <c:crossesAt val="0"/>
        <c:crossBetween val="midCat"/>
        <c:majorUnit val="5"/>
        <c:minorUnit val="2.5"/>
      </c:valAx>
      <c:valAx>
        <c:axId val="447430656"/>
        <c:scaling>
          <c:orientation val="minMax"/>
        </c:scaling>
        <c:delete val="0"/>
        <c:axPos val="r"/>
        <c:title>
          <c:tx>
            <c:rich>
              <a:bodyPr rot="-5400000" vert="horz"/>
              <a:lstStyle/>
              <a:p>
                <a:pPr>
                  <a:defRPr lang="ja-JP"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lang="ja-JP" sz="1100" b="1">
                <a:solidFill>
                  <a:srgbClr val="0000FF"/>
                </a:solidFill>
              </a:defRPr>
            </a:pPr>
            <a:endParaRPr lang="en-US"/>
          </a:p>
        </c:txPr>
        <c:crossAx val="447432576"/>
        <c:crosses val="max"/>
        <c:crossBetween val="midCat"/>
      </c:valAx>
      <c:valAx>
        <c:axId val="447432576"/>
        <c:scaling>
          <c:logBase val="10"/>
          <c:orientation val="minMax"/>
        </c:scaling>
        <c:delete val="1"/>
        <c:axPos val="b"/>
        <c:numFmt formatCode="0.000" sourceLinked="1"/>
        <c:majorTickMark val="out"/>
        <c:minorTickMark val="none"/>
        <c:tickLblPos val="nextTo"/>
        <c:crossAx val="447430656"/>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lang="ja-JP"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EB60-43FD-9662-DE13960A76D7}"/>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60-43FD-9662-DE13960A76D7}"/>
                </c:ext>
              </c:extLst>
            </c:dLbl>
            <c:spPr>
              <a:noFill/>
              <a:ln>
                <a:noFill/>
              </a:ln>
              <a:effectLst/>
            </c:spPr>
            <c:txPr>
              <a:bodyPr/>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EB60-43FD-9662-DE13960A76D7}"/>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60-43FD-9662-DE13960A76D7}"/>
                </c:ext>
              </c:extLst>
            </c:dLbl>
            <c:spPr>
              <a:noFill/>
              <a:ln>
                <a:noFill/>
              </a:ln>
              <a:effectLst/>
            </c:spPr>
            <c:txPr>
              <a:bodyPr/>
              <a:lstStyle/>
              <a:p>
                <a:pPr>
                  <a:defRPr lang="ja-JP"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EB60-43FD-9662-DE13960A76D7}"/>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60-43FD-9662-DE13960A76D7}"/>
                </c:ext>
              </c:extLst>
            </c:dLbl>
            <c:spPr>
              <a:noFill/>
              <a:ln>
                <a:noFill/>
              </a:ln>
              <a:effectLst/>
            </c:spPr>
            <c:txPr>
              <a:bodyPr/>
              <a:lstStyle/>
              <a:p>
                <a:pPr>
                  <a:defRPr lang="ja-JP"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EB60-43FD-9662-DE13960A76D7}"/>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B60-43FD-9662-DE13960A76D7}"/>
                </c:ext>
              </c:extLst>
            </c:dLbl>
            <c:spPr>
              <a:noFill/>
              <a:ln>
                <a:noFill/>
              </a:ln>
              <a:effectLst/>
            </c:spPr>
            <c:txPr>
              <a:bodyPr rot="0" vert="horz"/>
              <a:lstStyle/>
              <a:p>
                <a:pPr>
                  <a:defRPr lang="ja-JP"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EB60-43FD-9662-DE13960A76D7}"/>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B60-43FD-9662-DE13960A76D7}"/>
                </c:ext>
              </c:extLst>
            </c:dLbl>
            <c:spPr>
              <a:noFill/>
              <a:ln>
                <a:noFill/>
              </a:ln>
              <a:effectLst/>
            </c:spPr>
            <c:txPr>
              <a:bodyPr/>
              <a:lstStyle/>
              <a:p>
                <a:pPr>
                  <a:defRPr lang="ja-JP"/>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EB60-43FD-9662-DE13960A76D7}"/>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EB60-43FD-9662-DE13960A76D7}"/>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B60-43FD-9662-DE13960A76D7}"/>
                </c:ext>
              </c:extLst>
            </c:dLbl>
            <c:spPr>
              <a:noFill/>
              <a:ln>
                <a:noFill/>
              </a:ln>
              <a:effectLst/>
            </c:spPr>
            <c:txPr>
              <a:bodyPr/>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EB60-43FD-9662-DE13960A76D7}"/>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EB60-43FD-9662-DE13960A76D7}"/>
                </c:ext>
              </c:extLst>
            </c:dLbl>
            <c:numFmt formatCode="0.0E+00" sourceLinked="0"/>
            <c:spPr>
              <a:noFill/>
            </c:spPr>
            <c:txPr>
              <a:bodyPr rot="0" vert="horz" anchor="ctr" anchorCtr="0"/>
              <a:lstStyle/>
              <a:p>
                <a:pPr>
                  <a:defRPr lang="ja-JP"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EB60-43FD-9662-DE13960A76D7}"/>
            </c:ext>
          </c:extLst>
        </c:ser>
        <c:dLbls>
          <c:showLegendKey val="0"/>
          <c:showVal val="0"/>
          <c:showCatName val="0"/>
          <c:showSerName val="0"/>
          <c:showPercent val="0"/>
          <c:showBubbleSize val="0"/>
        </c:dLbls>
        <c:gapWidth val="101"/>
        <c:overlap val="-70"/>
        <c:axId val="447632128"/>
        <c:axId val="447633664"/>
      </c:barChart>
      <c:catAx>
        <c:axId val="44763212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lang="ja-JP" sz="1725" b="0" i="0" u="none" strike="noStrike" baseline="0">
                <a:solidFill>
                  <a:srgbClr val="000000"/>
                </a:solidFill>
                <a:latin typeface="Arial"/>
                <a:ea typeface="Arial"/>
                <a:cs typeface="Arial"/>
              </a:defRPr>
            </a:pPr>
            <a:endParaRPr lang="en-US"/>
          </a:p>
        </c:txPr>
        <c:crossAx val="447633664"/>
        <c:crossesAt val="0"/>
        <c:auto val="1"/>
        <c:lblAlgn val="ctr"/>
        <c:lblOffset val="100"/>
        <c:noMultiLvlLbl val="0"/>
      </c:catAx>
      <c:valAx>
        <c:axId val="447633664"/>
        <c:scaling>
          <c:orientation val="minMax"/>
          <c:min val="0"/>
        </c:scaling>
        <c:delete val="0"/>
        <c:axPos val="l"/>
        <c:majorGridlines>
          <c:spPr>
            <a:ln>
              <a:prstDash val="lgDash"/>
            </a:ln>
          </c:spPr>
        </c:majorGridlines>
        <c:title>
          <c:tx>
            <c:rich>
              <a:bodyPr/>
              <a:lstStyle/>
              <a:p>
                <a:pPr>
                  <a:defRPr lang="ja-JP"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txPr>
          <a:bodyPr/>
          <a:lstStyle/>
          <a:p>
            <a:pPr>
              <a:defRPr lang="ja-JP"/>
            </a:pPr>
            <a:endParaRPr lang="en-US"/>
          </a:p>
        </c:txPr>
        <c:crossAx val="44763212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Single'!$AN$110:$AN$210</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68.182658383719087</c:v>
                </c:pt>
                <c:pt idx="29">
                  <c:v>65.843807230608533</c:v>
                </c:pt>
                <c:pt idx="30">
                  <c:v>63.651425668563853</c:v>
                </c:pt>
                <c:pt idx="31">
                  <c:v>61.598699088271317</c:v>
                </c:pt>
                <c:pt idx="32">
                  <c:v>59.672693114960516</c:v>
                </c:pt>
                <c:pt idx="33">
                  <c:v>57.862022792819545</c:v>
                </c:pt>
                <c:pt idx="34">
                  <c:v>56.156627323413943</c:v>
                </c:pt>
                <c:pt idx="35">
                  <c:v>54.54758299315084</c:v>
                </c:pt>
                <c:pt idx="36">
                  <c:v>53.02694694403624</c:v>
                </c:pt>
                <c:pt idx="37">
                  <c:v>51.587626013611278</c:v>
                </c:pt>
                <c:pt idx="38">
                  <c:v>50.223266073159564</c:v>
                </c:pt>
                <c:pt idx="39">
                  <c:v>48.92815822157948</c:v>
                </c:pt>
                <c:pt idx="40">
                  <c:v>47.697158913774167</c:v>
                </c:pt>
                <c:pt idx="41">
                  <c:v>46.525621667000685</c:v>
                </c:pt>
                <c:pt idx="42">
                  <c:v>45.40933843334134</c:v>
                </c:pt>
                <c:pt idx="43">
                  <c:v>44.344489078942019</c:v>
                </c:pt>
                <c:pt idx="44">
                  <c:v>43.327597691679969</c:v>
                </c:pt>
                <c:pt idx="45">
                  <c:v>42.355494664223784</c:v>
                </c:pt>
                <c:pt idx="46">
                  <c:v>41.425283681038948</c:v>
                </c:pt>
                <c:pt idx="47">
                  <c:v>40.534312884998791</c:v>
                </c:pt>
                <c:pt idx="48">
                  <c:v>39.680149619006457</c:v>
                </c:pt>
                <c:pt idx="49">
                  <c:v>38.860558235961221</c:v>
                </c:pt>
                <c:pt idx="50">
                  <c:v>38.073480550838347</c:v>
                </c:pt>
                <c:pt idx="51">
                  <c:v>37.31701857500255</c:v>
                </c:pt>
                <c:pt idx="52">
                  <c:v>36.589419227827328</c:v>
                </c:pt>
                <c:pt idx="53">
                  <c:v>35.889060766381952</c:v>
                </c:pt>
                <c:pt idx="54">
                  <c:v>35.214440712076403</c:v>
                </c:pt>
                <c:pt idx="55">
                  <c:v>34.564165085089662</c:v>
                </c:pt>
                <c:pt idx="56">
                  <c:v>33.93693878424299</c:v>
                </c:pt>
                <c:pt idx="57">
                  <c:v>33.331556972609583</c:v>
                </c:pt>
                <c:pt idx="58">
                  <c:v>32.746897348292322</c:v>
                </c:pt>
                <c:pt idx="59">
                  <c:v>32.181913196042245</c:v>
                </c:pt>
                <c:pt idx="60">
                  <c:v>31.635627129210064</c:v>
                </c:pt>
                <c:pt idx="61">
                  <c:v>31.107125443317582</c:v>
                </c:pt>
                <c:pt idx="62">
                  <c:v>30.595553012628518</c:v>
                </c:pt>
                <c:pt idx="63">
                  <c:v>30.100108669758011</c:v>
                </c:pt>
                <c:pt idx="64">
                  <c:v>29.620041015809864</c:v>
                </c:pt>
                <c:pt idx="65">
                  <c:v>29.15464461495451</c:v>
                </c:pt>
                <c:pt idx="66">
                  <c:v>28.703256532914082</c:v>
                </c:pt>
                <c:pt idx="67">
                  <c:v>28.265253183633082</c:v>
                </c:pt>
                <c:pt idx="68">
                  <c:v>27.840047452590834</c:v>
                </c:pt>
                <c:pt idx="69">
                  <c:v>27.427086068849363</c:v>
                </c:pt>
                <c:pt idx="70">
                  <c:v>27.025847201101161</c:v>
                </c:pt>
                <c:pt idx="71">
                  <c:v>26.635838255753988</c:v>
                </c:pt>
                <c:pt idx="72">
                  <c:v>26.25659385751576</c:v>
                </c:pt>
                <c:pt idx="73">
                  <c:v>25.887673995073481</c:v>
                </c:pt>
                <c:pt idx="74">
                  <c:v>25.528662316331165</c:v>
                </c:pt>
                <c:pt idx="75">
                  <c:v>25.179164559320334</c:v>
                </c:pt>
                <c:pt idx="76">
                  <c:v>24.838807106351123</c:v>
                </c:pt>
                <c:pt idx="77">
                  <c:v>24.507235650256966</c:v>
                </c:pt>
                <c:pt idx="78">
                  <c:v>24.184113962723345</c:v>
                </c:pt>
                <c:pt idx="79">
                  <c:v>23.869122755699852</c:v>
                </c:pt>
                <c:pt idx="80">
                  <c:v>23.56195862779045</c:v>
                </c:pt>
                <c:pt idx="81">
                  <c:v>23.26233308831344</c:v>
                </c:pt>
                <c:pt idx="82">
                  <c:v>22.969971652432317</c:v>
                </c:pt>
                <c:pt idx="83">
                  <c:v>22.684613001391657</c:v>
                </c:pt>
                <c:pt idx="84">
                  <c:v>22.406008202458001</c:v>
                </c:pt>
                <c:pt idx="85">
                  <c:v>22.133919983671106</c:v>
                </c:pt>
                <c:pt idx="86">
                  <c:v>21.868122058964683</c:v>
                </c:pt>
                <c:pt idx="87">
                  <c:v>21.608398499622009</c:v>
                </c:pt>
                <c:pt idx="88">
                  <c:v>21.354543148396957</c:v>
                </c:pt>
                <c:pt idx="89">
                  <c:v>21.106359072959535</c:v>
                </c:pt>
                <c:pt idx="90">
                  <c:v>20.863658055620515</c:v>
                </c:pt>
                <c:pt idx="91">
                  <c:v>20.626260116556463</c:v>
                </c:pt>
                <c:pt idx="92">
                  <c:v>20.393993067996995</c:v>
                </c:pt>
                <c:pt idx="93">
                  <c:v>20.166692097053609</c:v>
                </c:pt>
                <c:pt idx="94">
                  <c:v>19.944199375065946</c:v>
                </c:pt>
                <c:pt idx="95">
                  <c:v>19.726363691519676</c:v>
                </c:pt>
                <c:pt idx="96">
                  <c:v>19.513040110751607</c:v>
                </c:pt>
                <c:pt idx="97">
                  <c:v>19.304089649804073</c:v>
                </c:pt>
                <c:pt idx="98">
                  <c:v>19.099378975924118</c:v>
                </c:pt>
                <c:pt idx="99">
                  <c:v>18.89878012232381</c:v>
                </c:pt>
                <c:pt idx="100">
                  <c:v>18.702170220928377</c:v>
                </c:pt>
              </c:numCache>
            </c:numRef>
          </c:val>
          <c:smooth val="0"/>
          <c:extLst>
            <c:ext xmlns:c16="http://schemas.microsoft.com/office/drawing/2014/chart" uri="{C3380CC4-5D6E-409C-BE32-E72D297353CC}">
              <c16:uniqueId val="{00000000-3709-4335-91FB-31DC56900586}"/>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Single'!$AN$5:$AN$105</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101.06523436294729</c:v>
                </c:pt>
                <c:pt idx="40">
                  <c:v>98.571359299016862</c:v>
                </c:pt>
                <c:pt idx="41">
                  <c:v>96.220951318839539</c:v>
                </c:pt>
                <c:pt idx="42">
                  <c:v>93.981691531061927</c:v>
                </c:pt>
                <c:pt idx="43">
                  <c:v>91.844671431000151</c:v>
                </c:pt>
                <c:pt idx="44">
                  <c:v>89.803044805759484</c:v>
                </c:pt>
                <c:pt idx="45">
                  <c:v>87.850563348346213</c:v>
                </c:pt>
                <c:pt idx="46">
                  <c:v>85.981512780569872</c:v>
                </c:pt>
                <c:pt idx="47">
                  <c:v>84.190656993778006</c:v>
                </c:pt>
                <c:pt idx="48">
                  <c:v>82.47318905735338</c:v>
                </c:pt>
                <c:pt idx="49">
                  <c:v>80.824688129651847</c:v>
                </c:pt>
                <c:pt idx="50">
                  <c:v>79.241081458071648</c:v>
                </c:pt>
                <c:pt idx="51">
                  <c:v>77.718610780550605</c:v>
                </c:pt>
                <c:pt idx="52">
                  <c:v>76.253802544983373</c:v>
                </c:pt>
                <c:pt idx="53">
                  <c:v>74.843441449814449</c:v>
                </c:pt>
                <c:pt idx="54">
                  <c:v>73.484546881579377</c:v>
                </c:pt>
                <c:pt idx="55">
                  <c:v>72.174351885985629</c:v>
                </c:pt>
                <c:pt idx="56">
                  <c:v>70.910284360308594</c:v>
                </c:pt>
                <c:pt idx="57">
                  <c:v>69.689950198090912</c:v>
                </c:pt>
                <c:pt idx="58">
                  <c:v>68.511118153733293</c:v>
                </c:pt>
                <c:pt idx="59">
                  <c:v>67.371706225655785</c:v>
                </c:pt>
                <c:pt idx="60">
                  <c:v>66.269769383197982</c:v>
                </c:pt>
                <c:pt idx="61">
                  <c:v>65.203488485057747</c:v>
                </c:pt>
                <c:pt idx="62">
                  <c:v>64.171160256456318</c:v>
                </c:pt>
                <c:pt idx="63">
                  <c:v>63.171188208871129</c:v>
                </c:pt>
                <c:pt idx="64">
                  <c:v>62.202074400517283</c:v>
                </c:pt>
                <c:pt idx="65">
                  <c:v>61.262411948138663</c:v>
                </c:pt>
                <c:pt idx="66">
                  <c:v>60.350878211379623</c:v>
                </c:pt>
                <c:pt idx="67">
                  <c:v>59.466228580298534</c:v>
                </c:pt>
                <c:pt idx="68">
                  <c:v>58.607290804657495</c:v>
                </c:pt>
                <c:pt idx="69">
                  <c:v>57.772959810657397</c:v>
                </c:pt>
                <c:pt idx="70">
                  <c:v>56.962192956924156</c:v>
                </c:pt>
                <c:pt idx="71">
                  <c:v>56.174005686924005</c:v>
                </c:pt>
                <c:pt idx="72">
                  <c:v>55.407467539689904</c:v>
                </c:pt>
                <c:pt idx="73">
                  <c:v>54.661698484873426</c:v>
                </c:pt>
                <c:pt idx="74">
                  <c:v>53.935865551771492</c:v>
                </c:pt>
                <c:pt idx="75">
                  <c:v>53.229179725180266</c:v>
                </c:pt>
                <c:pt idx="76">
                  <c:v>52.540893083756465</c:v>
                </c:pt>
                <c:pt idx="77">
                  <c:v>51.870296159067045</c:v>
                </c:pt>
                <c:pt idx="78">
                  <c:v>51.216715495723044</c:v>
                </c:pt>
                <c:pt idx="79">
                  <c:v>50.579511394959255</c:v>
                </c:pt>
                <c:pt idx="80">
                  <c:v>49.958075825767118</c:v>
                </c:pt>
                <c:pt idx="81">
                  <c:v>49.351830489243014</c:v>
                </c:pt>
                <c:pt idx="82">
                  <c:v>48.760225023198778</c:v>
                </c:pt>
                <c:pt idx="83">
                  <c:v>48.182735335318618</c:v>
                </c:pt>
                <c:pt idx="84">
                  <c:v>47.618862054251302</c:v>
                </c:pt>
                <c:pt idx="85">
                  <c:v>47.06812908901572</c:v>
                </c:pt>
                <c:pt idx="86">
                  <c:v>46.530082287985557</c:v>
                </c:pt>
                <c:pt idx="87">
                  <c:v>46.004288189513581</c:v>
                </c:pt>
                <c:pt idx="88">
                  <c:v>45.490332856972074</c:v>
                </c:pt>
                <c:pt idx="89">
                  <c:v>44.987820791628948</c:v>
                </c:pt>
                <c:pt idx="90">
                  <c:v>44.496373917359598</c:v>
                </c:pt>
                <c:pt idx="91">
                  <c:v>44.0156306317161</c:v>
                </c:pt>
                <c:pt idx="92">
                  <c:v>43.545244918349169</c:v>
                </c:pt>
                <c:pt idx="93">
                  <c:v>43.084885516203826</c:v>
                </c:pt>
                <c:pt idx="94">
                  <c:v>42.634235141297182</c:v>
                </c:pt>
                <c:pt idx="95">
                  <c:v>42.192989757235736</c:v>
                </c:pt>
                <c:pt idx="96">
                  <c:v>41.760857890948117</c:v>
                </c:pt>
                <c:pt idx="97">
                  <c:v>41.337559990396819</c:v>
                </c:pt>
                <c:pt idx="98">
                  <c:v>40.922827821294746</c:v>
                </c:pt>
                <c:pt idx="99">
                  <c:v>40.516403900090928</c:v>
                </c:pt>
                <c:pt idx="100">
                  <c:v>40.11804096070663</c:v>
                </c:pt>
              </c:numCache>
            </c:numRef>
          </c:val>
          <c:smooth val="0"/>
          <c:extLst>
            <c:ext xmlns:c16="http://schemas.microsoft.com/office/drawing/2014/chart" uri="{C3380CC4-5D6E-409C-BE32-E72D297353CC}">
              <c16:uniqueId val="{00000001-3709-4335-91FB-31DC56900586}"/>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Single'!$AN$216:$AN$316</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101.06225435387866</c:v>
                </c:pt>
                <c:pt idx="40">
                  <c:v>103.6535942091063</c:v>
                </c:pt>
                <c:pt idx="41">
                  <c:v>106.24493406433395</c:v>
                </c:pt>
                <c:pt idx="42">
                  <c:v>108.84698149662354</c:v>
                </c:pt>
                <c:pt idx="43">
                  <c:v>105.3287679132666</c:v>
                </c:pt>
                <c:pt idx="44">
                  <c:v>102.99674807345986</c:v>
                </c:pt>
                <c:pt idx="45">
                  <c:v>100.76742683353842</c:v>
                </c:pt>
                <c:pt idx="46">
                  <c:v>98.633128429591324</c:v>
                </c:pt>
                <c:pt idx="47">
                  <c:v>96.587903988455736</c:v>
                </c:pt>
                <c:pt idx="48">
                  <c:v>94.626291055916937</c:v>
                </c:pt>
                <c:pt idx="49">
                  <c:v>92.743264876616507</c:v>
                </c:pt>
                <c:pt idx="50">
                  <c:v>90.934195414769022</c:v>
                </c:pt>
                <c:pt idx="51">
                  <c:v>89.194809341692746</c:v>
                </c:pt>
                <c:pt idx="52">
                  <c:v>87.521156333163916</c:v>
                </c:pt>
                <c:pt idx="53">
                  <c:v>85.909579117083567</c:v>
                </c:pt>
                <c:pt idx="54">
                  <c:v>84.356686793445732</c:v>
                </c:pt>
                <c:pt idx="55">
                  <c:v>82.859331016983319</c:v>
                </c:pt>
                <c:pt idx="56">
                  <c:v>81.414584690438218</c:v>
                </c:pt>
                <c:pt idx="57">
                  <c:v>80.01972286503046</c:v>
                </c:pt>
                <c:pt idx="58">
                  <c:v>78.672205585897331</c:v>
                </c:pt>
                <c:pt idx="59">
                  <c:v>77.369662455286829</c:v>
                </c:pt>
                <c:pt idx="60">
                  <c:v>76.109878716125237</c:v>
                </c:pt>
                <c:pt idx="61">
                  <c:v>74.890782684082026</c:v>
                </c:pt>
                <c:pt idx="62">
                  <c:v>73.710434378107266</c:v>
                </c:pt>
                <c:pt idx="63">
                  <c:v>72.56701521819474</c:v>
                </c:pt>
                <c:pt idx="64">
                  <c:v>71.458818675296058</c:v>
                </c:pt>
                <c:pt idx="65">
                  <c:v>70.384241772277548</c:v>
                </c:pt>
                <c:pt idx="66">
                  <c:v>69.341777346898169</c:v>
                </c:pt>
                <c:pt idx="67">
                  <c:v>68.330006998272381</c:v>
                </c:pt>
                <c:pt idx="68">
                  <c:v>67.347594647398424</c:v>
                </c:pt>
                <c:pt idx="69">
                  <c:v>66.393280650274818</c:v>
                </c:pt>
                <c:pt idx="70">
                  <c:v>65.465876409062673</c:v>
                </c:pt>
                <c:pt idx="71">
                  <c:v>64.564259432819341</c:v>
                </c:pt>
                <c:pt idx="72">
                  <c:v>63.687368804645402</c:v>
                </c:pt>
                <c:pt idx="73">
                  <c:v>62.83420101675982</c:v>
                </c:pt>
                <c:pt idx="74">
                  <c:v>62.003806139125608</c:v>
                </c:pt>
                <c:pt idx="75">
                  <c:v>61.195284290872365</c:v>
                </c:pt>
                <c:pt idx="76">
                  <c:v>60.407782386959603</c:v>
                </c:pt>
                <c:pt idx="77">
                  <c:v>59.640491135354623</c:v>
                </c:pt>
                <c:pt idx="78">
                  <c:v>58.892642262504701</c:v>
                </c:pt>
                <c:pt idx="79">
                  <c:v>58.163505947107701</c:v>
                </c:pt>
                <c:pt idx="80">
                  <c:v>57.452388444162565</c:v>
                </c:pt>
                <c:pt idx="81">
                  <c:v>56.758629883039681</c:v>
                </c:pt>
                <c:pt idx="82">
                  <c:v>56.08160222488123</c:v>
                </c:pt>
                <c:pt idx="83">
                  <c:v>55.420707366041</c:v>
                </c:pt>
                <c:pt idx="84">
                  <c:v>54.775375375525329</c:v>
                </c:pt>
                <c:pt idx="85">
                  <c:v>54.145062855518553</c:v>
                </c:pt>
                <c:pt idx="86">
                  <c:v>53.529251415079564</c:v>
                </c:pt>
                <c:pt idx="87">
                  <c:v>52.927446247999896</c:v>
                </c:pt>
                <c:pt idx="88">
                  <c:v>52.339174806622928</c:v>
                </c:pt>
                <c:pt idx="89">
                  <c:v>51.76398556415397</c:v>
                </c:pt>
                <c:pt idx="90">
                  <c:v>51.201446858648445</c:v>
                </c:pt>
                <c:pt idx="91">
                  <c:v>50.651145812457855</c:v>
                </c:pt>
                <c:pt idx="92">
                  <c:v>50.112687321449215</c:v>
                </c:pt>
                <c:pt idx="93">
                  <c:v>49.585693108797514</c:v>
                </c:pt>
                <c:pt idx="94">
                  <c:v>49.069800838589011</c:v>
                </c:pt>
                <c:pt idx="95">
                  <c:v>48.564663284870946</c:v>
                </c:pt>
                <c:pt idx="96">
                  <c:v>48.069947552142594</c:v>
                </c:pt>
                <c:pt idx="97">
                  <c:v>47.58533434361054</c:v>
                </c:pt>
                <c:pt idx="98">
                  <c:v>47.11051727382808</c:v>
                </c:pt>
                <c:pt idx="99">
                  <c:v>46.645202222609456</c:v>
                </c:pt>
                <c:pt idx="100">
                  <c:v>46.189106727355785</c:v>
                </c:pt>
              </c:numCache>
            </c:numRef>
          </c:val>
          <c:smooth val="0"/>
          <c:extLst>
            <c:ext xmlns:c16="http://schemas.microsoft.com/office/drawing/2014/chart" uri="{C3380CC4-5D6E-409C-BE32-E72D297353CC}">
              <c16:uniqueId val="{00000002-3709-4335-91FB-31DC56900586}"/>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709-4335-91FB-31DC56900586}"/>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709-4335-91FB-31DC56900586}"/>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709-4335-91FB-31DC56900586}"/>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2.4827591091462532E-2</c:v>
                </c:pt>
                <c:pt idx="1">
                  <c:v>2.4876528145177896E-2</c:v>
                </c:pt>
                <c:pt idx="2">
                  <c:v>2.4896857121411015E-2</c:v>
                </c:pt>
                <c:pt idx="3">
                  <c:v>2.4912478636477973E-2</c:v>
                </c:pt>
                <c:pt idx="4">
                  <c:v>2.4925663420374434E-2</c:v>
                </c:pt>
                <c:pt idx="5">
                  <c:v>2.6921487976352142E-2</c:v>
                </c:pt>
                <c:pt idx="6">
                  <c:v>3.2305785571622572E-2</c:v>
                </c:pt>
                <c:pt idx="7">
                  <c:v>3.7690083166893013E-2</c:v>
                </c:pt>
                <c:pt idx="8">
                  <c:v>4.3074380762163439E-2</c:v>
                </c:pt>
                <c:pt idx="9">
                  <c:v>4.8458678357433858E-2</c:v>
                </c:pt>
                <c:pt idx="10">
                  <c:v>5.3842975952704285E-2</c:v>
                </c:pt>
                <c:pt idx="11">
                  <c:v>5.9227273547974739E-2</c:v>
                </c:pt>
                <c:pt idx="12">
                  <c:v>6.4611571143245144E-2</c:v>
                </c:pt>
                <c:pt idx="13">
                  <c:v>6.9995868738515599E-2</c:v>
                </c:pt>
                <c:pt idx="14">
                  <c:v>7.5380166333786025E-2</c:v>
                </c:pt>
                <c:pt idx="15">
                  <c:v>8.0764463929056438E-2</c:v>
                </c:pt>
                <c:pt idx="16">
                  <c:v>8.6148761524326878E-2</c:v>
                </c:pt>
                <c:pt idx="17">
                  <c:v>9.1533059119597318E-2</c:v>
                </c:pt>
                <c:pt idx="18">
                  <c:v>9.6917356714867717E-2</c:v>
                </c:pt>
                <c:pt idx="19">
                  <c:v>0.10230165431013817</c:v>
                </c:pt>
                <c:pt idx="20">
                  <c:v>0.10768595190540857</c:v>
                </c:pt>
                <c:pt idx="21">
                  <c:v>0.11307024950067902</c:v>
                </c:pt>
                <c:pt idx="22">
                  <c:v>0.11845454709594948</c:v>
                </c:pt>
                <c:pt idx="23">
                  <c:v>0.12383884469121988</c:v>
                </c:pt>
                <c:pt idx="24">
                  <c:v>0.12922314228649029</c:v>
                </c:pt>
                <c:pt idx="25">
                  <c:v>0.13460743988176074</c:v>
                </c:pt>
                <c:pt idx="26">
                  <c:v>0.1399917374770312</c:v>
                </c:pt>
                <c:pt idx="27">
                  <c:v>0.1453760350723016</c:v>
                </c:pt>
                <c:pt idx="28">
                  <c:v>0.15076033266757205</c:v>
                </c:pt>
                <c:pt idx="29">
                  <c:v>0.15614463026284245</c:v>
                </c:pt>
                <c:pt idx="30">
                  <c:v>0.16152892785811288</c:v>
                </c:pt>
                <c:pt idx="31">
                  <c:v>0.16691322545338333</c:v>
                </c:pt>
                <c:pt idx="32">
                  <c:v>0.17229752304865376</c:v>
                </c:pt>
                <c:pt idx="33">
                  <c:v>0.17768182064392418</c:v>
                </c:pt>
                <c:pt idx="34">
                  <c:v>0.18306611823919464</c:v>
                </c:pt>
                <c:pt idx="35">
                  <c:v>0.18845041583446503</c:v>
                </c:pt>
                <c:pt idx="36">
                  <c:v>0.19383471342973543</c:v>
                </c:pt>
                <c:pt idx="37">
                  <c:v>0.19921901102500589</c:v>
                </c:pt>
                <c:pt idx="38">
                  <c:v>0.20460330862027634</c:v>
                </c:pt>
                <c:pt idx="39">
                  <c:v>0.20999657645248698</c:v>
                </c:pt>
                <c:pt idx="40">
                  <c:v>0.20801208158303164</c:v>
                </c:pt>
                <c:pt idx="41">
                  <c:v>0.20816099844267813</c:v>
                </c:pt>
                <c:pt idx="42">
                  <c:v>0.20831406839628402</c:v>
                </c:pt>
                <c:pt idx="43">
                  <c:v>0.20846285302622122</c:v>
                </c:pt>
                <c:pt idx="44">
                  <c:v>0.20860763956201811</c:v>
                </c:pt>
                <c:pt idx="45">
                  <c:v>0.2087486901483929</c:v>
                </c:pt>
                <c:pt idx="46">
                  <c:v>0.20888624452518165</c:v>
                </c:pt>
                <c:pt idx="47">
                  <c:v>0.20902052237088212</c:v>
                </c:pt>
                <c:pt idx="48">
                  <c:v>0.20915172535806509</c:v>
                </c:pt>
                <c:pt idx="49">
                  <c:v>0.2092800389611516</c:v>
                </c:pt>
                <c:pt idx="50">
                  <c:v>0.20940563405067936</c:v>
                </c:pt>
                <c:pt idx="51">
                  <c:v>0.20952866830290842</c:v>
                </c:pt>
                <c:pt idx="52">
                  <c:v>0.20964928744924977</c:v>
                </c:pt>
                <c:pt idx="53">
                  <c:v>0.20976762638635427</c:v>
                </c:pt>
                <c:pt idx="54">
                  <c:v>0.20988381016466326</c:v>
                </c:pt>
                <c:pt idx="55">
                  <c:v>0.20999795487066467</c:v>
                </c:pt>
                <c:pt idx="56">
                  <c:v>0.21011016841595587</c:v>
                </c:pt>
                <c:pt idx="57">
                  <c:v>0.21022055124439828</c:v>
                </c:pt>
                <c:pt idx="58">
                  <c:v>0.21032919696711552</c:v>
                </c:pt>
                <c:pt idx="59">
                  <c:v>0.21043619293377974</c:v>
                </c:pt>
                <c:pt idx="60">
                  <c:v>0.21054162074752328</c:v>
                </c:pt>
                <c:pt idx="61">
                  <c:v>0.21064555672985924</c:v>
                </c:pt>
                <c:pt idx="62">
                  <c:v>0.21074807234118395</c:v>
                </c:pt>
                <c:pt idx="63">
                  <c:v>0.21084923456173479</c:v>
                </c:pt>
                <c:pt idx="64">
                  <c:v>0.21094910623727442</c:v>
                </c:pt>
                <c:pt idx="65">
                  <c:v>0.21104774639325466</c:v>
                </c:pt>
                <c:pt idx="66">
                  <c:v>0.21114521052076218</c:v>
                </c:pt>
                <c:pt idx="67">
                  <c:v>0.21124155083716042</c:v>
                </c:pt>
                <c:pt idx="68">
                  <c:v>0.21133681652400052</c:v>
                </c:pt>
                <c:pt idx="69">
                  <c:v>0.21143105394448292</c:v>
                </c:pt>
                <c:pt idx="70">
                  <c:v>0.21152430684248952</c:v>
                </c:pt>
                <c:pt idx="71">
                  <c:v>0.2116166165249844</c:v>
                </c:pt>
                <c:pt idx="72">
                  <c:v>0.21170802202938144</c:v>
                </c:pt>
                <c:pt idx="73">
                  <c:v>0.21179856027730554</c:v>
                </c:pt>
                <c:pt idx="74">
                  <c:v>0.21188826621601944</c:v>
                </c:pt>
                <c:pt idx="75">
                  <c:v>0.21197717294865687</c:v>
                </c:pt>
                <c:pt idx="76">
                  <c:v>0.21206531185428099</c:v>
                </c:pt>
                <c:pt idx="77">
                  <c:v>0.21215271269868408</c:v>
                </c:pt>
                <c:pt idx="78">
                  <c:v>0.2122394037367506</c:v>
                </c:pt>
                <c:pt idx="79">
                  <c:v>0.212325411807124</c:v>
                </c:pt>
                <c:pt idx="80">
                  <c:v>0.21241076241984438</c:v>
                </c:pt>
                <c:pt idx="81">
                  <c:v>0.21249547983755745</c:v>
                </c:pt>
                <c:pt idx="82">
                  <c:v>0.21257958715083919</c:v>
                </c:pt>
                <c:pt idx="83">
                  <c:v>0.21266310634812724</c:v>
                </c:pt>
                <c:pt idx="84">
                  <c:v>0.21274605838070465</c:v>
                </c:pt>
                <c:pt idx="85">
                  <c:v>0.21282846322313917</c:v>
                </c:pt>
                <c:pt idx="86">
                  <c:v>0.21291033992954447</c:v>
                </c:pt>
                <c:pt idx="87">
                  <c:v>0.21299170668599809</c:v>
                </c:pt>
                <c:pt idx="88">
                  <c:v>0.21307258085941522</c:v>
                </c:pt>
                <c:pt idx="89">
                  <c:v>0.21315297904315947</c:v>
                </c:pt>
                <c:pt idx="90">
                  <c:v>0.2132329170996384</c:v>
                </c:pt>
                <c:pt idx="91">
                  <c:v>0.21331241020011521</c:v>
                </c:pt>
                <c:pt idx="92">
                  <c:v>0.21339147286194704</c:v>
                </c:pt>
                <c:pt idx="93">
                  <c:v>0.21347011898344045</c:v>
                </c:pt>
                <c:pt idx="94">
                  <c:v>0.21354836187650153</c:v>
                </c:pt>
                <c:pt idx="95">
                  <c:v>0.21362621429724096</c:v>
                </c:pt>
                <c:pt idx="96">
                  <c:v>0.21370368847468224</c:v>
                </c:pt>
                <c:pt idx="97">
                  <c:v>0.21378079613770806</c:v>
                </c:pt>
                <c:pt idx="98">
                  <c:v>0.21385754854037117</c:v>
                </c:pt>
                <c:pt idx="99">
                  <c:v>0.21393395648568295</c:v>
                </c:pt>
                <c:pt idx="100">
                  <c:v>0.21401003034798652</c:v>
                </c:pt>
              </c:numCache>
            </c:numRef>
          </c:val>
          <c:smooth val="0"/>
          <c:extLst>
            <c:ext xmlns:c16="http://schemas.microsoft.com/office/drawing/2014/chart" uri="{C3380CC4-5D6E-409C-BE32-E72D297353CC}">
              <c16:uniqueId val="{00000006-3709-4335-91FB-31DC56900586}"/>
            </c:ext>
          </c:extLst>
        </c:ser>
        <c:ser>
          <c:idx val="7"/>
          <c:order val="7"/>
          <c:spPr>
            <a:ln w="31750">
              <a:solidFill>
                <a:srgbClr val="00B050"/>
              </a:solidFill>
            </a:ln>
          </c:spPr>
          <c:marker>
            <c:symbol val="none"/>
          </c:marker>
          <c:val>
            <c:numRef>
              <c:f>'Calculations - Single'!$AW$110:$AW$210</c:f>
              <c:numCache>
                <c:formatCode>0.000</c:formatCode>
                <c:ptCount val="101"/>
                <c:pt idx="0">
                  <c:v>7.578951920134791E-2</c:v>
                </c:pt>
                <c:pt idx="1">
                  <c:v>7.6247394935936602E-2</c:v>
                </c:pt>
                <c:pt idx="2">
                  <c:v>7.6438696930300101E-2</c:v>
                </c:pt>
                <c:pt idx="3">
                  <c:v>7.6586140264596245E-2</c:v>
                </c:pt>
                <c:pt idx="4">
                  <c:v>7.6710883360142507E-2</c:v>
                </c:pt>
                <c:pt idx="5">
                  <c:v>8.2908424475813633E-2</c:v>
                </c:pt>
                <c:pt idx="6">
                  <c:v>9.9490109370976368E-2</c:v>
                </c:pt>
                <c:pt idx="7">
                  <c:v>0.11607179426613913</c:v>
                </c:pt>
                <c:pt idx="8">
                  <c:v>0.13265347916130185</c:v>
                </c:pt>
                <c:pt idx="9">
                  <c:v>0.14923516405646456</c:v>
                </c:pt>
                <c:pt idx="10">
                  <c:v>0.16581684895162727</c:v>
                </c:pt>
                <c:pt idx="11">
                  <c:v>0.18239853384679008</c:v>
                </c:pt>
                <c:pt idx="12">
                  <c:v>0.19898021874195274</c:v>
                </c:pt>
                <c:pt idx="13">
                  <c:v>0.21556190363711553</c:v>
                </c:pt>
                <c:pt idx="14">
                  <c:v>0.23214358853227826</c:v>
                </c:pt>
                <c:pt idx="15">
                  <c:v>0.24872527342744094</c:v>
                </c:pt>
                <c:pt idx="16">
                  <c:v>0.2653069583226037</c:v>
                </c:pt>
                <c:pt idx="17">
                  <c:v>0.28188864321776647</c:v>
                </c:pt>
                <c:pt idx="18">
                  <c:v>0.29847032811292912</c:v>
                </c:pt>
                <c:pt idx="19">
                  <c:v>0.31505201300809188</c:v>
                </c:pt>
                <c:pt idx="20">
                  <c:v>0.33163369790325453</c:v>
                </c:pt>
                <c:pt idx="21">
                  <c:v>0.34821538279841735</c:v>
                </c:pt>
                <c:pt idx="22">
                  <c:v>0.36479706769358017</c:v>
                </c:pt>
                <c:pt idx="23">
                  <c:v>0.38137875258874276</c:v>
                </c:pt>
                <c:pt idx="24">
                  <c:v>0.39796043748390547</c:v>
                </c:pt>
                <c:pt idx="25">
                  <c:v>0.41454212237906829</c:v>
                </c:pt>
                <c:pt idx="26">
                  <c:v>0.43112380727423105</c:v>
                </c:pt>
                <c:pt idx="27">
                  <c:v>0.4477054921693937</c:v>
                </c:pt>
                <c:pt idx="28">
                  <c:v>0.44734544797251452</c:v>
                </c:pt>
                <c:pt idx="29">
                  <c:v>0.44770157153277773</c:v>
                </c:pt>
                <c:pt idx="30">
                  <c:v>0.44810416906712885</c:v>
                </c:pt>
                <c:pt idx="31">
                  <c:v>0.44849430791514933</c:v>
                </c:pt>
                <c:pt idx="32">
                  <c:v>0.44887314601126638</c:v>
                </c:pt>
                <c:pt idx="33">
                  <c:v>0.44924170258171969</c:v>
                </c:pt>
                <c:pt idx="34">
                  <c:v>0.44960087831058504</c:v>
                </c:pt>
                <c:pt idx="35">
                  <c:v>0.44995147208701236</c:v>
                </c:pt>
                <c:pt idx="36">
                  <c:v>0.45029419499129125</c:v>
                </c:pt>
                <c:pt idx="37">
                  <c:v>0.45062968203665366</c:v>
                </c:pt>
                <c:pt idx="38">
                  <c:v>0.45095850207601818</c:v>
                </c:pt>
                <c:pt idx="39">
                  <c:v>0.45128116619976905</c:v>
                </c:pt>
                <c:pt idx="40">
                  <c:v>0.45159813488607942</c:v>
                </c:pt>
                <c:pt idx="41">
                  <c:v>0.45190982411474567</c:v>
                </c:pt>
                <c:pt idx="42">
                  <c:v>0.45221661061568236</c:v>
                </c:pt>
                <c:pt idx="43">
                  <c:v>0.45251883639167867</c:v>
                </c:pt>
                <c:pt idx="44">
                  <c:v>0.45281681262985551</c:v>
                </c:pt>
                <c:pt idx="45">
                  <c:v>0.45311082309609346</c:v>
                </c:pt>
                <c:pt idx="46">
                  <c:v>0.45340112709044594</c:v>
                </c:pt>
                <c:pt idx="47">
                  <c:v>0.45368796202838341</c:v>
                </c:pt>
                <c:pt idx="48">
                  <c:v>0.453971545701992</c:v>
                </c:pt>
                <c:pt idx="49">
                  <c:v>0.45425207826648684</c:v>
                </c:pt>
                <c:pt idx="50">
                  <c:v>0.45452974399019436</c:v>
                </c:pt>
                <c:pt idx="51">
                  <c:v>0.454804712800225</c:v>
                </c:pt>
                <c:pt idx="52">
                  <c:v>0.45507714165113028</c:v>
                </c:pt>
                <c:pt idx="53">
                  <c:v>0.45534717573975497</c:v>
                </c:pt>
                <c:pt idx="54">
                  <c:v>0.45561494958607623</c:v>
                </c:pt>
                <c:pt idx="55">
                  <c:v>0.45588058799696812</c:v>
                </c:pt>
                <c:pt idx="56">
                  <c:v>0.45614420692742119</c:v>
                </c:pt>
                <c:pt idx="57">
                  <c:v>0.45640591425172644</c:v>
                </c:pt>
                <c:pt idx="58">
                  <c:v>0.4566658104554171</c:v>
                </c:pt>
                <c:pt idx="59">
                  <c:v>0.45692398925730576</c:v>
                </c:pt>
                <c:pt idx="60">
                  <c:v>0.45718053816972365</c:v>
                </c:pt>
                <c:pt idx="61">
                  <c:v>0.45743553900400324</c:v>
                </c:pt>
                <c:pt idx="62">
                  <c:v>0.45768906832735184</c:v>
                </c:pt>
                <c:pt idx="63">
                  <c:v>0.45794119787648135</c:v>
                </c:pt>
                <c:pt idx="64">
                  <c:v>0.45819199493269686</c:v>
                </c:pt>
                <c:pt idx="65">
                  <c:v>0.45844152266256827</c:v>
                </c:pt>
                <c:pt idx="66">
                  <c:v>0.45868984042781463</c:v>
                </c:pt>
                <c:pt idx="67">
                  <c:v>0.45893700406759846</c:v>
                </c:pt>
                <c:pt idx="68">
                  <c:v>0.45918306615605592</c:v>
                </c:pt>
                <c:pt idx="69">
                  <c:v>0.45942807623755744</c:v>
                </c:pt>
                <c:pt idx="70">
                  <c:v>0.45967208104191631</c:v>
                </c:pt>
                <c:pt idx="71">
                  <c:v>0.45991512468151025</c:v>
                </c:pt>
                <c:pt idx="72">
                  <c:v>0.46015724883206521</c:v>
                </c:pt>
                <c:pt idx="73">
                  <c:v>0.4603984928986592</c:v>
                </c:pt>
                <c:pt idx="74">
                  <c:v>0.46063889416833731</c:v>
                </c:pt>
                <c:pt idx="75">
                  <c:v>0.46087848795058112</c:v>
                </c:pt>
                <c:pt idx="76">
                  <c:v>0.46111730770674453</c:v>
                </c:pt>
                <c:pt idx="77">
                  <c:v>0.46135538516945646</c:v>
                </c:pt>
                <c:pt idx="78">
                  <c:v>0.46159275045288173</c:v>
                </c:pt>
                <c:pt idx="79">
                  <c:v>0.46182943215465216</c:v>
                </c:pt>
                <c:pt idx="80">
                  <c:v>0.46206545745018807</c:v>
                </c:pt>
                <c:pt idx="81">
                  <c:v>0.46230085218006672</c:v>
                </c:pt>
                <c:pt idx="82">
                  <c:v>0.46253564093102939</c:v>
                </c:pt>
                <c:pt idx="83">
                  <c:v>0.46276984711115898</c:v>
                </c:pt>
                <c:pt idx="84">
                  <c:v>0.46300349301971316</c:v>
                </c:pt>
                <c:pt idx="85">
                  <c:v>0.46323659991205102</c:v>
                </c:pt>
                <c:pt idx="86">
                  <c:v>0.46346918806004916</c:v>
                </c:pt>
                <c:pt idx="87">
                  <c:v>0.46370127680837203</c:v>
                </c:pt>
                <c:pt idx="88">
                  <c:v>0.46393288462692051</c:v>
                </c:pt>
                <c:pt idx="89">
                  <c:v>0.46416402915976129</c:v>
                </c:pt>
                <c:pt idx="90">
                  <c:v>0.46439472727080799</c:v>
                </c:pt>
                <c:pt idx="91">
                  <c:v>0.46462499508650379</c:v>
                </c:pt>
                <c:pt idx="92">
                  <c:v>0.4648548480357314</c:v>
                </c:pt>
                <c:pt idx="93">
                  <c:v>0.46508430088715957</c:v>
                </c:pt>
                <c:pt idx="94">
                  <c:v>0.46531336778421539</c:v>
                </c:pt>
                <c:pt idx="95">
                  <c:v>0.46554206227785705</c:v>
                </c:pt>
                <c:pt idx="96">
                  <c:v>0.46577039735730696</c:v>
                </c:pt>
                <c:pt idx="97">
                  <c:v>0.46599838547889028</c:v>
                </c:pt>
                <c:pt idx="98">
                  <c:v>0.46622603859311601</c:v>
                </c:pt>
                <c:pt idx="99">
                  <c:v>0.46645336817012373</c:v>
                </c:pt>
                <c:pt idx="100">
                  <c:v>0.46668038522360705</c:v>
                </c:pt>
              </c:numCache>
            </c:numRef>
          </c:val>
          <c:smooth val="0"/>
          <c:extLst>
            <c:ext xmlns:c16="http://schemas.microsoft.com/office/drawing/2014/chart" uri="{C3380CC4-5D6E-409C-BE32-E72D297353CC}">
              <c16:uniqueId val="{00000007-3709-4335-91FB-31DC56900586}"/>
            </c:ext>
          </c:extLst>
        </c:ser>
        <c:ser>
          <c:idx val="8"/>
          <c:order val="8"/>
          <c:spPr>
            <a:ln w="31750">
              <a:solidFill>
                <a:srgbClr val="0000FF"/>
              </a:solidFill>
            </a:ln>
          </c:spPr>
          <c:marker>
            <c:symbol val="none"/>
          </c:marker>
          <c:val>
            <c:numRef>
              <c:f>'Calculations - Single'!$AW$216:$AW$316</c:f>
              <c:numCache>
                <c:formatCode>0.000</c:formatCode>
                <c:ptCount val="101"/>
                <c:pt idx="0">
                  <c:v>1.6941178744869057E-2</c:v>
                </c:pt>
                <c:pt idx="1">
                  <c:v>1.6963949848029788E-2</c:v>
                </c:pt>
                <c:pt idx="2">
                  <c:v>1.6973400832722373E-2</c:v>
                </c:pt>
                <c:pt idx="3">
                  <c:v>1.6980659971826344E-2</c:v>
                </c:pt>
                <c:pt idx="4">
                  <c:v>1.6986784534652494E-2</c:v>
                </c:pt>
                <c:pt idx="5">
                  <c:v>1.8345061467577882E-2</c:v>
                </c:pt>
                <c:pt idx="6">
                  <c:v>2.2014073761093461E-2</c:v>
                </c:pt>
                <c:pt idx="7">
                  <c:v>2.5683086054609044E-2</c:v>
                </c:pt>
                <c:pt idx="8">
                  <c:v>2.9352098348124619E-2</c:v>
                </c:pt>
                <c:pt idx="9">
                  <c:v>3.3021110641640192E-2</c:v>
                </c:pt>
                <c:pt idx="10">
                  <c:v>3.6690122935155764E-2</c:v>
                </c:pt>
                <c:pt idx="11">
                  <c:v>4.0359135228671357E-2</c:v>
                </c:pt>
                <c:pt idx="12">
                  <c:v>4.4028147522186922E-2</c:v>
                </c:pt>
                <c:pt idx="13">
                  <c:v>4.7697159815702508E-2</c:v>
                </c:pt>
                <c:pt idx="14">
                  <c:v>5.1366172109218088E-2</c:v>
                </c:pt>
                <c:pt idx="15">
                  <c:v>5.5035184402733653E-2</c:v>
                </c:pt>
                <c:pt idx="16">
                  <c:v>5.8704196696249239E-2</c:v>
                </c:pt>
                <c:pt idx="17">
                  <c:v>6.2373208989764818E-2</c:v>
                </c:pt>
                <c:pt idx="18">
                  <c:v>6.6042221283280383E-2</c:v>
                </c:pt>
                <c:pt idx="19">
                  <c:v>6.971123357679597E-2</c:v>
                </c:pt>
                <c:pt idx="20">
                  <c:v>7.3380245870311528E-2</c:v>
                </c:pt>
                <c:pt idx="21">
                  <c:v>7.7049258163827128E-2</c:v>
                </c:pt>
                <c:pt idx="22">
                  <c:v>8.0718270457342714E-2</c:v>
                </c:pt>
                <c:pt idx="23">
                  <c:v>8.4387282750858258E-2</c:v>
                </c:pt>
                <c:pt idx="24">
                  <c:v>8.8056295044373845E-2</c:v>
                </c:pt>
                <c:pt idx="25">
                  <c:v>9.1725307337889431E-2</c:v>
                </c:pt>
                <c:pt idx="26">
                  <c:v>9.5394319631405017E-2</c:v>
                </c:pt>
                <c:pt idx="27">
                  <c:v>9.9063331924920575E-2</c:v>
                </c:pt>
                <c:pt idx="28">
                  <c:v>0.10273234421843618</c:v>
                </c:pt>
                <c:pt idx="29">
                  <c:v>0.10640135651195172</c:v>
                </c:pt>
                <c:pt idx="30">
                  <c:v>0.11007036880546731</c:v>
                </c:pt>
                <c:pt idx="31">
                  <c:v>0.11373938109898289</c:v>
                </c:pt>
                <c:pt idx="32">
                  <c:v>0.11740839339249848</c:v>
                </c:pt>
                <c:pt idx="33">
                  <c:v>0.12107740568601405</c:v>
                </c:pt>
                <c:pt idx="34">
                  <c:v>0.12474641797952964</c:v>
                </c:pt>
                <c:pt idx="35">
                  <c:v>0.12841543027304519</c:v>
                </c:pt>
                <c:pt idx="36">
                  <c:v>0.13208444256656077</c:v>
                </c:pt>
                <c:pt idx="37">
                  <c:v>0.13575345486007634</c:v>
                </c:pt>
                <c:pt idx="38">
                  <c:v>0.13942246715359194</c:v>
                </c:pt>
                <c:pt idx="39">
                  <c:v>0.14309147944710751</c:v>
                </c:pt>
                <c:pt idx="40">
                  <c:v>0.14676049174062306</c:v>
                </c:pt>
                <c:pt idx="41">
                  <c:v>0.1504295040341386</c:v>
                </c:pt>
                <c:pt idx="42">
                  <c:v>0.1541183128744219</c:v>
                </c:pt>
                <c:pt idx="43">
                  <c:v>0.15180844603850494</c:v>
                </c:pt>
                <c:pt idx="44">
                  <c:v>0.15191572623728197</c:v>
                </c:pt>
                <c:pt idx="45">
                  <c:v>0.15202308275924711</c:v>
                </c:pt>
                <c:pt idx="46">
                  <c:v>0.15212752661342219</c:v>
                </c:pt>
                <c:pt idx="47">
                  <c:v>0.15222924026157195</c:v>
                </c:pt>
                <c:pt idx="48">
                  <c:v>0.15232839124620112</c:v>
                </c:pt>
                <c:pt idx="49">
                  <c:v>0.15242513368487912</c:v>
                </c:pt>
                <c:pt idx="50">
                  <c:v>0.15251960958848382</c:v>
                </c:pt>
                <c:pt idx="51">
                  <c:v>0.15261195002710617</c:v>
                </c:pt>
                <c:pt idx="52">
                  <c:v>0.15270227616376475</c:v>
                </c:pt>
                <c:pt idx="53">
                  <c:v>0.15279070017309243</c:v>
                </c:pt>
                <c:pt idx="54">
                  <c:v>0.15287732605965651</c:v>
                </c:pt>
                <c:pt idx="55">
                  <c:v>0.15296225038847527</c:v>
                </c:pt>
                <c:pt idx="56">
                  <c:v>0.15304556293853044</c:v>
                </c:pt>
                <c:pt idx="57">
                  <c:v>0.15312734728858057</c:v>
                </c:pt>
                <c:pt idx="58">
                  <c:v>0.15320768134331922</c:v>
                </c:pt>
                <c:pt idx="59">
                  <c:v>0.1532866378068472</c:v>
                </c:pt>
                <c:pt idx="60">
                  <c:v>0.15336428460951185</c:v>
                </c:pt>
                <c:pt idx="61">
                  <c:v>0.15344068529338653</c:v>
                </c:pt>
                <c:pt idx="62">
                  <c:v>0.15351589936099003</c:v>
                </c:pt>
                <c:pt idx="63">
                  <c:v>0.15358998259127313</c:v>
                </c:pt>
                <c:pt idx="64">
                  <c:v>0.15366298732640099</c:v>
                </c:pt>
                <c:pt idx="65">
                  <c:v>0.15373496273243281</c:v>
                </c:pt>
                <c:pt idx="66">
                  <c:v>0.15380595503662858</c:v>
                </c:pt>
                <c:pt idx="67">
                  <c:v>0.15387600774379265</c:v>
                </c:pt>
                <c:pt idx="68">
                  <c:v>0.15394516183378279</c:v>
                </c:pt>
                <c:pt idx="69">
                  <c:v>0.15401345594207072</c:v>
                </c:pt>
                <c:pt idx="70">
                  <c:v>0.15408092652502633</c:v>
                </c:pt>
                <c:pt idx="71">
                  <c:v>0.154147608011413</c:v>
                </c:pt>
                <c:pt idx="72">
                  <c:v>0.15421353294141774</c:v>
                </c:pt>
                <c:pt idx="73">
                  <c:v>0.15427873209439613</c:v>
                </c:pt>
                <c:pt idx="74">
                  <c:v>0.15434323460638683</c:v>
                </c:pt>
                <c:pt idx="75">
                  <c:v>0.1544070680783389</c:v>
                </c:pt>
                <c:pt idx="76">
                  <c:v>0.1544702586758967</c:v>
                </c:pt>
                <c:pt idx="77">
                  <c:v>0.15453283122150166</c:v>
                </c:pt>
                <c:pt idx="78">
                  <c:v>0.15459480927949132</c:v>
                </c:pt>
                <c:pt idx="79">
                  <c:v>0.1546562152348098</c:v>
                </c:pt>
                <c:pt idx="80">
                  <c:v>0.15471707036588228</c:v>
                </c:pt>
                <c:pt idx="81">
                  <c:v>0.15477739491215159</c:v>
                </c:pt>
                <c:pt idx="82">
                  <c:v>0.15483720813672799</c:v>
                </c:pt>
                <c:pt idx="83">
                  <c:v>0.15489652838455986</c:v>
                </c:pt>
                <c:pt idx="84">
                  <c:v>0.15495537313649438</c:v>
                </c:pt>
                <c:pt idx="85">
                  <c:v>0.1550137590595628</c:v>
                </c:pt>
                <c:pt idx="86">
                  <c:v>0.15507170205379453</c:v>
                </c:pt>
                <c:pt idx="87">
                  <c:v>0.15512921729583667</c:v>
                </c:pt>
                <c:pt idx="88">
                  <c:v>0.15518631927963025</c:v>
                </c:pt>
                <c:pt idx="89">
                  <c:v>0.15524302185437208</c:v>
                </c:pt>
                <c:pt idx="90">
                  <c:v>0.15529933825997147</c:v>
                </c:pt>
                <c:pt idx="91">
                  <c:v>0.15535528116019276</c:v>
                </c:pt>
                <c:pt idx="92">
                  <c:v>0.15541086267365728</c:v>
                </c:pt>
                <c:pt idx="93">
                  <c:v>0.15546609440286546</c:v>
                </c:pt>
                <c:pt idx="94">
                  <c:v>0.15552098746138404</c:v>
                </c:pt>
                <c:pt idx="95">
                  <c:v>0.15557555249933219</c:v>
                </c:pt>
                <c:pt idx="96">
                  <c:v>0.15562979972729105</c:v>
                </c:pt>
                <c:pt idx="97">
                  <c:v>0.1556837389387469</c:v>
                </c:pt>
                <c:pt idx="98">
                  <c:v>0.15573737953117403</c:v>
                </c:pt>
                <c:pt idx="99">
                  <c:v>0.15579073052585107</c:v>
                </c:pt>
                <c:pt idx="100">
                  <c:v>0.15584380058649938</c:v>
                </c:pt>
              </c:numCache>
            </c:numRef>
          </c:val>
          <c:smooth val="0"/>
          <c:extLst>
            <c:ext xmlns:c16="http://schemas.microsoft.com/office/drawing/2014/chart" uri="{C3380CC4-5D6E-409C-BE32-E72D297353CC}">
              <c16:uniqueId val="{00000008-3709-4335-91FB-31DC56900586}"/>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10.247286162226052</c:v>
                </c:pt>
                <c:pt idx="29">
                  <c:v>10.616101413961234</c:v>
                </c:pt>
                <c:pt idx="30">
                  <c:v>10.986322458763867</c:v>
                </c:pt>
                <c:pt idx="31">
                  <c:v>11.356824228392131</c:v>
                </c:pt>
                <c:pt idx="32">
                  <c:v>11.727607130348694</c:v>
                </c:pt>
                <c:pt idx="33">
                  <c:v>12.098671572925729</c:v>
                </c:pt>
                <c:pt idx="34">
                  <c:v>12.47001796520677</c:v>
                </c:pt>
                <c:pt idx="35">
                  <c:v>12.841646717068587</c:v>
                </c:pt>
                <c:pt idx="36">
                  <c:v>13.213558239183055</c:v>
                </c:pt>
                <c:pt idx="37">
                  <c:v>13.58575294301906</c:v>
                </c:pt>
                <c:pt idx="38">
                  <c:v>13.958231240844384</c:v>
                </c:pt>
                <c:pt idx="39">
                  <c:v>14.330993545727644</c:v>
                </c:pt>
                <c:pt idx="40">
                  <c:v>14.704040271540199</c:v>
                </c:pt>
                <c:pt idx="41">
                  <c:v>15.077371832958086</c:v>
                </c:pt>
                <c:pt idx="42">
                  <c:v>15.450988645463967</c:v>
                </c:pt>
                <c:pt idx="43">
                  <c:v>15.82489112534906</c:v>
                </c:pt>
                <c:pt idx="44">
                  <c:v>16.199079689715123</c:v>
                </c:pt>
                <c:pt idx="45">
                  <c:v>16.573554756476394</c:v>
                </c:pt>
                <c:pt idx="46">
                  <c:v>16.948316744361573</c:v>
                </c:pt>
                <c:pt idx="47">
                  <c:v>17.323366072915782</c:v>
                </c:pt>
                <c:pt idx="48">
                  <c:v>17.698703162502586</c:v>
                </c:pt>
                <c:pt idx="49">
                  <c:v>18.074328434305951</c:v>
                </c:pt>
                <c:pt idx="50">
                  <c:v>18.450242310332232</c:v>
                </c:pt>
                <c:pt idx="51">
                  <c:v>18.826445213412217</c:v>
                </c:pt>
                <c:pt idx="52">
                  <c:v>19.202937567203126</c:v>
                </c:pt>
                <c:pt idx="53">
                  <c:v>19.579719796190581</c:v>
                </c:pt>
                <c:pt idx="54">
                  <c:v>19.956792325690696</c:v>
                </c:pt>
                <c:pt idx="55">
                  <c:v>20.334155581852055</c:v>
                </c:pt>
                <c:pt idx="56">
                  <c:v>20.711809991657777</c:v>
                </c:pt>
                <c:pt idx="57">
                  <c:v>21.089755982927542</c:v>
                </c:pt>
                <c:pt idx="58">
                  <c:v>21.467993984319662</c:v>
                </c:pt>
                <c:pt idx="59">
                  <c:v>21.846524425333087</c:v>
                </c:pt>
                <c:pt idx="60">
                  <c:v>22.225347736309505</c:v>
                </c:pt>
                <c:pt idx="61">
                  <c:v>22.604464348435414</c:v>
                </c:pt>
                <c:pt idx="62">
                  <c:v>22.983874693744163</c:v>
                </c:pt>
                <c:pt idx="63">
                  <c:v>23.363579205118057</c:v>
                </c:pt>
                <c:pt idx="64">
                  <c:v>23.743578316290431</c:v>
                </c:pt>
                <c:pt idx="65">
                  <c:v>24.123872461847725</c:v>
                </c:pt>
                <c:pt idx="66">
                  <c:v>24.504462077231633</c:v>
                </c:pt>
                <c:pt idx="67">
                  <c:v>24.885347598741141</c:v>
                </c:pt>
                <c:pt idx="68">
                  <c:v>25.266529463534685</c:v>
                </c:pt>
                <c:pt idx="69">
                  <c:v>25.648008109632233</c:v>
                </c:pt>
                <c:pt idx="70">
                  <c:v>26.029783975917482</c:v>
                </c:pt>
                <c:pt idx="71">
                  <c:v>26.411857502139856</c:v>
                </c:pt>
                <c:pt idx="72">
                  <c:v>26.794229128916772</c:v>
                </c:pt>
                <c:pt idx="73">
                  <c:v>27.176899297735719</c:v>
                </c:pt>
                <c:pt idx="74">
                  <c:v>27.559868450956383</c:v>
                </c:pt>
                <c:pt idx="75">
                  <c:v>27.943137031812864</c:v>
                </c:pt>
                <c:pt idx="76">
                  <c:v>28.326705484415797</c:v>
                </c:pt>
                <c:pt idx="77">
                  <c:v>28.710574253754544</c:v>
                </c:pt>
                <c:pt idx="78">
                  <c:v>29.094743785699315</c:v>
                </c:pt>
                <c:pt idx="79">
                  <c:v>29.479214527003425</c:v>
                </c:pt>
                <c:pt idx="80">
                  <c:v>29.863986925305429</c:v>
                </c:pt>
                <c:pt idx="81">
                  <c:v>30.249061429131327</c:v>
                </c:pt>
                <c:pt idx="82">
                  <c:v>30.634438487896738</c:v>
                </c:pt>
                <c:pt idx="83">
                  <c:v>31.020118551909206</c:v>
                </c:pt>
                <c:pt idx="84">
                  <c:v>31.406102072370285</c:v>
                </c:pt>
                <c:pt idx="85">
                  <c:v>31.792389501377812</c:v>
                </c:pt>
                <c:pt idx="86">
                  <c:v>32.178981291928174</c:v>
                </c:pt>
                <c:pt idx="87">
                  <c:v>32.565877897918476</c:v>
                </c:pt>
                <c:pt idx="88">
                  <c:v>32.953079774148819</c:v>
                </c:pt>
                <c:pt idx="89">
                  <c:v>33.340587376324542</c:v>
                </c:pt>
                <c:pt idx="90">
                  <c:v>33.72840116105845</c:v>
                </c:pt>
                <c:pt idx="91">
                  <c:v>34.116521585873102</c:v>
                </c:pt>
                <c:pt idx="92">
                  <c:v>34.504949109203096</c:v>
                </c:pt>
                <c:pt idx="93">
                  <c:v>34.893684190397281</c:v>
                </c:pt>
                <c:pt idx="94">
                  <c:v>35.282727289721073</c:v>
                </c:pt>
                <c:pt idx="95">
                  <c:v>35.672078868358781</c:v>
                </c:pt>
                <c:pt idx="96">
                  <c:v>36.061739388415809</c:v>
                </c:pt>
                <c:pt idx="97">
                  <c:v>36.451709312921047</c:v>
                </c:pt>
                <c:pt idx="98">
                  <c:v>36.841989105829114</c:v>
                </c:pt>
                <c:pt idx="99">
                  <c:v>37.232579232022715</c:v>
                </c:pt>
                <c:pt idx="100">
                  <c:v>37.623480157314958</c:v>
                </c:pt>
              </c:numCache>
            </c:numRef>
          </c:val>
          <c:smooth val="0"/>
          <c:extLst>
            <c:ext xmlns:c16="http://schemas.microsoft.com/office/drawing/2014/chart" uri="{C3380CC4-5D6E-409C-BE32-E72D297353CC}">
              <c16:uniqueId val="{00000000-447A-452D-BA63-8F5F5DADC23C}"/>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Single'!$AJ$5:$AJ$105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10.154662973101839</c:v>
                </c:pt>
                <c:pt idx="41">
                  <c:v>10.409193027338077</c:v>
                </c:pt>
                <c:pt idx="42">
                  <c:v>10.663876203341809</c:v>
                </c:pt>
                <c:pt idx="43">
                  <c:v>10.918597674665776</c:v>
                </c:pt>
                <c:pt idx="44">
                  <c:v>11.173357453904231</c:v>
                </c:pt>
                <c:pt idx="45">
                  <c:v>11.428155553656969</c:v>
                </c:pt>
                <c:pt idx="46">
                  <c:v>11.682991986529341</c:v>
                </c:pt>
                <c:pt idx="47">
                  <c:v>11.937866765132206</c:v>
                </c:pt>
                <c:pt idx="48">
                  <c:v>12.192779902082005</c:v>
                </c:pt>
                <c:pt idx="49">
                  <c:v>12.447731410000706</c:v>
                </c:pt>
                <c:pt idx="50">
                  <c:v>12.702721301515826</c:v>
                </c:pt>
                <c:pt idx="51">
                  <c:v>12.957749589260434</c:v>
                </c:pt>
                <c:pt idx="52">
                  <c:v>13.21281628587316</c:v>
                </c:pt>
                <c:pt idx="53">
                  <c:v>13.467921403998176</c:v>
                </c:pt>
                <c:pt idx="54">
                  <c:v>13.723064956285217</c:v>
                </c:pt>
                <c:pt idx="55">
                  <c:v>13.978246955389578</c:v>
                </c:pt>
                <c:pt idx="56">
                  <c:v>14.233467413972116</c:v>
                </c:pt>
                <c:pt idx="57">
                  <c:v>14.488726344699256</c:v>
                </c:pt>
                <c:pt idx="58">
                  <c:v>14.744023760242987</c:v>
                </c:pt>
                <c:pt idx="59">
                  <c:v>14.999359673280864</c:v>
                </c:pt>
                <c:pt idx="60">
                  <c:v>15.254734096496021</c:v>
                </c:pt>
                <c:pt idx="61">
                  <c:v>15.510147042577165</c:v>
                </c:pt>
                <c:pt idx="62">
                  <c:v>15.765598524218584</c:v>
                </c:pt>
                <c:pt idx="63">
                  <c:v>16.021088554120141</c:v>
                </c:pt>
                <c:pt idx="64">
                  <c:v>16.276617144987288</c:v>
                </c:pt>
                <c:pt idx="65">
                  <c:v>16.532184309531061</c:v>
                </c:pt>
                <c:pt idx="66">
                  <c:v>16.787790060468097</c:v>
                </c:pt>
                <c:pt idx="67">
                  <c:v>17.043434410520597</c:v>
                </c:pt>
                <c:pt idx="68">
                  <c:v>17.299117372416401</c:v>
                </c:pt>
                <c:pt idx="69">
                  <c:v>17.554838958888897</c:v>
                </c:pt>
                <c:pt idx="70">
                  <c:v>17.810599182677112</c:v>
                </c:pt>
                <c:pt idx="71">
                  <c:v>18.066398056525671</c:v>
                </c:pt>
                <c:pt idx="72">
                  <c:v>18.322235593184789</c:v>
                </c:pt>
                <c:pt idx="73">
                  <c:v>18.578111805410309</c:v>
                </c:pt>
                <c:pt idx="74">
                  <c:v>18.834026705963684</c:v>
                </c:pt>
                <c:pt idx="75">
                  <c:v>19.089980307611967</c:v>
                </c:pt>
                <c:pt idx="76">
                  <c:v>19.345972623127857</c:v>
                </c:pt>
                <c:pt idx="77">
                  <c:v>19.602003665289658</c:v>
                </c:pt>
                <c:pt idx="78">
                  <c:v>19.858073446881303</c:v>
                </c:pt>
                <c:pt idx="79">
                  <c:v>20.114181980692344</c:v>
                </c:pt>
                <c:pt idx="80">
                  <c:v>20.370329279517986</c:v>
                </c:pt>
                <c:pt idx="81">
                  <c:v>20.62651535615905</c:v>
                </c:pt>
                <c:pt idx="82">
                  <c:v>20.882740223421997</c:v>
                </c:pt>
                <c:pt idx="83">
                  <c:v>21.139003894118947</c:v>
                </c:pt>
                <c:pt idx="84">
                  <c:v>21.395306381067627</c:v>
                </c:pt>
                <c:pt idx="85">
                  <c:v>21.651647697091448</c:v>
                </c:pt>
                <c:pt idx="86">
                  <c:v>21.908027855019451</c:v>
                </c:pt>
                <c:pt idx="87">
                  <c:v>22.16444686768633</c:v>
                </c:pt>
                <c:pt idx="88">
                  <c:v>22.420904747932436</c:v>
                </c:pt>
                <c:pt idx="89">
                  <c:v>22.67740150860379</c:v>
                </c:pt>
                <c:pt idx="90">
                  <c:v>22.933937162552066</c:v>
                </c:pt>
                <c:pt idx="91">
                  <c:v>23.190511722634593</c:v>
                </c:pt>
                <c:pt idx="92">
                  <c:v>23.447125201714389</c:v>
                </c:pt>
                <c:pt idx="93">
                  <c:v>23.703777612660126</c:v>
                </c:pt>
                <c:pt idx="94">
                  <c:v>23.960468968346159</c:v>
                </c:pt>
                <c:pt idx="95">
                  <c:v>24.217199281652526</c:v>
                </c:pt>
                <c:pt idx="96">
                  <c:v>24.473968565464936</c:v>
                </c:pt>
                <c:pt idx="97">
                  <c:v>24.730776832674781</c:v>
                </c:pt>
                <c:pt idx="98">
                  <c:v>24.987624096179143</c:v>
                </c:pt>
                <c:pt idx="99">
                  <c:v>25.244510368880793</c:v>
                </c:pt>
                <c:pt idx="100">
                  <c:v>25.501435663688198</c:v>
                </c:pt>
              </c:numCache>
            </c:numRef>
          </c:val>
          <c:smooth val="0"/>
          <c:extLst>
            <c:ext xmlns:c16="http://schemas.microsoft.com/office/drawing/2014/chart" uri="{C3380CC4-5D6E-409C-BE32-E72D297353CC}">
              <c16:uniqueId val="{00000001-447A-452D-BA63-8F5F5DADC23C}"/>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10.178319553476159</c:v>
                </c:pt>
                <c:pt idx="44">
                  <c:v>10.415464999688375</c:v>
                </c:pt>
                <c:pt idx="45">
                  <c:v>10.652671647494241</c:v>
                </c:pt>
                <c:pt idx="46">
                  <c:v>10.889900211513332</c:v>
                </c:pt>
                <c:pt idx="47">
                  <c:v>11.127150696328899</c:v>
                </c:pt>
                <c:pt idx="48">
                  <c:v>11.364423106525493</c:v>
                </c:pt>
                <c:pt idx="49">
                  <c:v>11.60171744668893</c:v>
                </c:pt>
                <c:pt idx="50">
                  <c:v>11.839033721406324</c:v>
                </c:pt>
                <c:pt idx="51">
                  <c:v>12.076371935266069</c:v>
                </c:pt>
                <c:pt idx="52">
                  <c:v>12.313732092857846</c:v>
                </c:pt>
                <c:pt idx="53">
                  <c:v>12.551114198772613</c:v>
                </c:pt>
                <c:pt idx="54">
                  <c:v>12.788518257602622</c:v>
                </c:pt>
                <c:pt idx="55">
                  <c:v>13.025944273941395</c:v>
                </c:pt>
                <c:pt idx="56">
                  <c:v>13.263392252383763</c:v>
                </c:pt>
                <c:pt idx="57">
                  <c:v>13.500862197525814</c:v>
                </c:pt>
                <c:pt idx="58">
                  <c:v>13.738354113964942</c:v>
                </c:pt>
                <c:pt idx="59">
                  <c:v>13.975868006299814</c:v>
                </c:pt>
                <c:pt idx="60">
                  <c:v>14.213403879130389</c:v>
                </c:pt>
                <c:pt idx="61">
                  <c:v>14.450961737057908</c:v>
                </c:pt>
                <c:pt idx="62">
                  <c:v>14.688541584684906</c:v>
                </c:pt>
                <c:pt idx="63">
                  <c:v>14.926143426615187</c:v>
                </c:pt>
                <c:pt idx="64">
                  <c:v>15.163767267453858</c:v>
                </c:pt>
                <c:pt idx="65">
                  <c:v>15.40141311180731</c:v>
                </c:pt>
                <c:pt idx="66">
                  <c:v>15.639080964283215</c:v>
                </c:pt>
                <c:pt idx="67">
                  <c:v>15.876770829490537</c:v>
                </c:pt>
                <c:pt idx="68">
                  <c:v>16.114482712039536</c:v>
                </c:pt>
                <c:pt idx="69">
                  <c:v>16.352216616541739</c:v>
                </c:pt>
                <c:pt idx="70">
                  <c:v>16.589972547609992</c:v>
                </c:pt>
                <c:pt idx="71">
                  <c:v>16.827750509858397</c:v>
                </c:pt>
                <c:pt idx="72">
                  <c:v>17.065550507902373</c:v>
                </c:pt>
                <c:pt idx="73">
                  <c:v>17.303372546358617</c:v>
                </c:pt>
                <c:pt idx="74">
                  <c:v>17.541216629845117</c:v>
                </c:pt>
                <c:pt idx="75">
                  <c:v>17.779082762981155</c:v>
                </c:pt>
                <c:pt idx="76">
                  <c:v>18.016970950387293</c:v>
                </c:pt>
                <c:pt idx="77">
                  <c:v>18.254881196685403</c:v>
                </c:pt>
                <c:pt idx="78">
                  <c:v>18.492813506498631</c:v>
                </c:pt>
                <c:pt idx="79">
                  <c:v>18.730767884451438</c:v>
                </c:pt>
                <c:pt idx="80">
                  <c:v>18.968744335169553</c:v>
                </c:pt>
                <c:pt idx="81">
                  <c:v>19.206742863280009</c:v>
                </c:pt>
                <c:pt idx="82">
                  <c:v>19.44476347341114</c:v>
                </c:pt>
                <c:pt idx="83">
                  <c:v>19.682806170192553</c:v>
                </c:pt>
                <c:pt idx="84">
                  <c:v>19.92087095825519</c:v>
                </c:pt>
                <c:pt idx="85">
                  <c:v>20.158957842231235</c:v>
                </c:pt>
                <c:pt idx="86">
                  <c:v>20.397066826754212</c:v>
                </c:pt>
                <c:pt idx="87">
                  <c:v>20.635197916458921</c:v>
                </c:pt>
                <c:pt idx="88">
                  <c:v>20.873351115981457</c:v>
                </c:pt>
                <c:pt idx="89">
                  <c:v>21.111526429959213</c:v>
                </c:pt>
                <c:pt idx="90">
                  <c:v>21.349723863030881</c:v>
                </c:pt>
                <c:pt idx="91">
                  <c:v>21.587943419836463</c:v>
                </c:pt>
                <c:pt idx="92">
                  <c:v>21.826185105017245</c:v>
                </c:pt>
                <c:pt idx="93">
                  <c:v>22.064448923215796</c:v>
                </c:pt>
                <c:pt idx="94">
                  <c:v>22.302734879076027</c:v>
                </c:pt>
                <c:pt idx="95">
                  <c:v>22.541042977243105</c:v>
                </c:pt>
                <c:pt idx="96">
                  <c:v>22.779373222363528</c:v>
                </c:pt>
                <c:pt idx="97">
                  <c:v>23.01772561908507</c:v>
                </c:pt>
                <c:pt idx="98">
                  <c:v>23.256100172056836</c:v>
                </c:pt>
                <c:pt idx="99">
                  <c:v>23.494496885929198</c:v>
                </c:pt>
                <c:pt idx="100">
                  <c:v>23.732915765353852</c:v>
                </c:pt>
              </c:numCache>
            </c:numRef>
          </c:val>
          <c:smooth val="0"/>
          <c:extLst>
            <c:ext xmlns:c16="http://schemas.microsoft.com/office/drawing/2014/chart" uri="{C3380CC4-5D6E-409C-BE32-E72D297353CC}">
              <c16:uniqueId val="{00000002-447A-452D-BA63-8F5F5DADC23C}"/>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1.3831749349822609</c:v>
                </c:pt>
                <c:pt idx="29">
                  <c:v>1.656371417749062</c:v>
                </c:pt>
                <c:pt idx="30">
                  <c:v>1.9306092287139758</c:v>
                </c:pt>
                <c:pt idx="31">
                  <c:v>2.2050549839941715</c:v>
                </c:pt>
                <c:pt idx="32">
                  <c:v>2.4797089854434775</c:v>
                </c:pt>
                <c:pt idx="33">
                  <c:v>2.7545715355005402</c:v>
                </c:pt>
                <c:pt idx="34">
                  <c:v>3.0296429371902001</c:v>
                </c:pt>
                <c:pt idx="35">
                  <c:v>3.3049234941248784</c:v>
                </c:pt>
                <c:pt idx="36">
                  <c:v>3.5804135105059665</c:v>
                </c:pt>
                <c:pt idx="37">
                  <c:v>3.8561132911252294</c:v>
                </c:pt>
                <c:pt idx="38">
                  <c:v>4.1320231413662105</c:v>
                </c:pt>
                <c:pt idx="39">
                  <c:v>4.4081433672056622</c:v>
                </c:pt>
                <c:pt idx="40">
                  <c:v>4.6844742752149626</c:v>
                </c:pt>
                <c:pt idx="41">
                  <c:v>4.9610161725615454</c:v>
                </c:pt>
                <c:pt idx="42">
                  <c:v>5.2377693670103467</c:v>
                </c:pt>
                <c:pt idx="43">
                  <c:v>5.5147341669252299</c:v>
                </c:pt>
                <c:pt idx="44">
                  <c:v>5.7919108812704616</c:v>
                </c:pt>
                <c:pt idx="45">
                  <c:v>6.0692998196121444</c:v>
                </c:pt>
                <c:pt idx="46">
                  <c:v>6.3469012921196839</c:v>
                </c:pt>
                <c:pt idx="47">
                  <c:v>6.6247156095672457</c:v>
                </c:pt>
                <c:pt idx="48">
                  <c:v>6.902743083335249</c:v>
                </c:pt>
                <c:pt idx="49">
                  <c:v>7.1809840254118154</c:v>
                </c:pt>
                <c:pt idx="50">
                  <c:v>7.4594387483942457</c:v>
                </c:pt>
                <c:pt idx="51">
                  <c:v>7.7381075654905311</c:v>
                </c:pt>
                <c:pt idx="52">
                  <c:v>8.0169907905208326</c:v>
                </c:pt>
                <c:pt idx="53">
                  <c:v>8.2960887379189483</c:v>
                </c:pt>
                <c:pt idx="54">
                  <c:v>8.5754017227338473</c:v>
                </c:pt>
                <c:pt idx="55">
                  <c:v>8.8549300606311512</c:v>
                </c:pt>
                <c:pt idx="56">
                  <c:v>9.1346740678946485</c:v>
                </c:pt>
                <c:pt idx="57">
                  <c:v>9.4146340614278081</c:v>
                </c:pt>
                <c:pt idx="58">
                  <c:v>9.6948103587553049</c:v>
                </c:pt>
                <c:pt idx="59">
                  <c:v>9.975203278024507</c:v>
                </c:pt>
                <c:pt idx="60">
                  <c:v>10.25581313800704</c:v>
                </c:pt>
                <c:pt idx="61">
                  <c:v>10.536640258100306</c:v>
                </c:pt>
                <c:pt idx="62">
                  <c:v>10.817684958329009</c:v>
                </c:pt>
                <c:pt idx="63">
                  <c:v>11.098947559346708</c:v>
                </c:pt>
                <c:pt idx="64">
                  <c:v>11.380428382437355</c:v>
                </c:pt>
                <c:pt idx="65">
                  <c:v>11.662127749516833</c:v>
                </c:pt>
                <c:pt idx="66">
                  <c:v>11.944045983134542</c:v>
                </c:pt>
                <c:pt idx="67">
                  <c:v>12.22618340647492</c:v>
                </c:pt>
                <c:pt idx="68">
                  <c:v>12.508540343359025</c:v>
                </c:pt>
                <c:pt idx="69">
                  <c:v>12.791117118246097</c:v>
                </c:pt>
                <c:pt idx="70">
                  <c:v>13.073914056235171</c:v>
                </c:pt>
                <c:pt idx="71">
                  <c:v>13.356931483066559</c:v>
                </c:pt>
                <c:pt idx="72">
                  <c:v>13.640169725123533</c:v>
                </c:pt>
                <c:pt idx="73">
                  <c:v>13.923629109433865</c:v>
                </c:pt>
                <c:pt idx="74">
                  <c:v>14.207309963671396</c:v>
                </c:pt>
                <c:pt idx="75">
                  <c:v>14.491212616157677</c:v>
                </c:pt>
                <c:pt idx="76">
                  <c:v>14.775337395863554</c:v>
                </c:pt>
                <c:pt idx="77">
                  <c:v>15.059684632410773</c:v>
                </c:pt>
                <c:pt idx="78">
                  <c:v>15.344254656073565</c:v>
                </c:pt>
                <c:pt idx="79">
                  <c:v>15.629047797780313</c:v>
                </c:pt>
                <c:pt idx="80">
                  <c:v>15.914064389115131</c:v>
                </c:pt>
                <c:pt idx="81">
                  <c:v>16.1993047623195</c:v>
                </c:pt>
                <c:pt idx="82">
                  <c:v>16.48476925029388</c:v>
                </c:pt>
                <c:pt idx="83">
                  <c:v>16.770458186599409</c:v>
                </c:pt>
                <c:pt idx="84">
                  <c:v>17.056371905459468</c:v>
                </c:pt>
                <c:pt idx="85">
                  <c:v>17.342510741761341</c:v>
                </c:pt>
                <c:pt idx="86">
                  <c:v>17.628875031057905</c:v>
                </c:pt>
                <c:pt idx="87">
                  <c:v>17.91546510956924</c:v>
                </c:pt>
                <c:pt idx="88">
                  <c:v>18.202281314184312</c:v>
                </c:pt>
                <c:pt idx="89">
                  <c:v>18.489323982462622</c:v>
                </c:pt>
                <c:pt idx="90">
                  <c:v>18.776593452635886</c:v>
                </c:pt>
                <c:pt idx="91">
                  <c:v>19.064090063609704</c:v>
                </c:pt>
                <c:pt idx="92">
                  <c:v>19.351814154965254</c:v>
                </c:pt>
                <c:pt idx="93">
                  <c:v>19.639766066960949</c:v>
                </c:pt>
                <c:pt idx="94">
                  <c:v>19.927946140534125</c:v>
                </c:pt>
                <c:pt idx="95">
                  <c:v>20.216354717302799</c:v>
                </c:pt>
                <c:pt idx="96">
                  <c:v>20.504992139567264</c:v>
                </c:pt>
                <c:pt idx="97">
                  <c:v>20.793858750311884</c:v>
                </c:pt>
                <c:pt idx="98">
                  <c:v>21.08295489320675</c:v>
                </c:pt>
                <c:pt idx="99">
                  <c:v>21.372280912609419</c:v>
                </c:pt>
                <c:pt idx="100">
                  <c:v>21.661837153566633</c:v>
                </c:pt>
              </c:numCache>
            </c:numRef>
          </c:val>
          <c:smooth val="0"/>
          <c:extLst>
            <c:ext xmlns:c16="http://schemas.microsoft.com/office/drawing/2014/chart" uri="{C3380CC4-5D6E-409C-BE32-E72D297353CC}">
              <c16:uniqueId val="{00000000-745B-46F7-8EAC-D410ADA60268}"/>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Single'!$AK$5:$AK$105</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1.0414614376836426</c:v>
                </c:pt>
                <c:pt idx="29">
                  <c:v>1.0429422033152012</c:v>
                </c:pt>
                <c:pt idx="30">
                  <c:v>1.0444229689467599</c:v>
                </c:pt>
                <c:pt idx="31">
                  <c:v>1.0459037345783184</c:v>
                </c:pt>
                <c:pt idx="32">
                  <c:v>1.0473845002098772</c:v>
                </c:pt>
                <c:pt idx="33">
                  <c:v>1.0488652658414359</c:v>
                </c:pt>
                <c:pt idx="34">
                  <c:v>1.0503460314729944</c:v>
                </c:pt>
                <c:pt idx="35">
                  <c:v>1.0518267971045532</c:v>
                </c:pt>
                <c:pt idx="36">
                  <c:v>1.0533075627361117</c:v>
                </c:pt>
                <c:pt idx="37">
                  <c:v>1.0547883283676704</c:v>
                </c:pt>
                <c:pt idx="38">
                  <c:v>1.0562690939992292</c:v>
                </c:pt>
                <c:pt idx="39">
                  <c:v>1.0577515624931126</c:v>
                </c:pt>
                <c:pt idx="40">
                  <c:v>1.3145651652606216</c:v>
                </c:pt>
                <c:pt idx="41">
                  <c:v>1.5031059461763532</c:v>
                </c:pt>
                <c:pt idx="42">
                  <c:v>1.6917601506235624</c:v>
                </c:pt>
                <c:pt idx="43">
                  <c:v>1.8804427219746487</c:v>
                </c:pt>
                <c:pt idx="44">
                  <c:v>2.0691536695586894</c:v>
                </c:pt>
                <c:pt idx="45">
                  <c:v>2.2578930027088662</c:v>
                </c:pt>
                <c:pt idx="46">
                  <c:v>2.446660730762475</c:v>
                </c:pt>
                <c:pt idx="47">
                  <c:v>2.6354568630608934</c:v>
                </c:pt>
                <c:pt idx="48">
                  <c:v>2.8242814089496333</c:v>
                </c:pt>
                <c:pt idx="49">
                  <c:v>3.0131343777783011</c:v>
                </c:pt>
                <c:pt idx="50">
                  <c:v>3.2020157789006118</c:v>
                </c:pt>
                <c:pt idx="51">
                  <c:v>3.3909256216743957</c:v>
                </c:pt>
                <c:pt idx="52">
                  <c:v>3.5798639154615994</c:v>
                </c:pt>
                <c:pt idx="53">
                  <c:v>3.7688306696282785</c:v>
                </c:pt>
                <c:pt idx="54">
                  <c:v>3.9578258935446051</c:v>
                </c:pt>
                <c:pt idx="55">
                  <c:v>4.1468495965848726</c:v>
                </c:pt>
                <c:pt idx="56">
                  <c:v>4.3359017881274937</c:v>
                </c:pt>
                <c:pt idx="57">
                  <c:v>4.524982477555004</c:v>
                </c:pt>
                <c:pt idx="58">
                  <c:v>4.7140916742540639</c:v>
                </c:pt>
                <c:pt idx="59">
                  <c:v>4.9032293876154549</c:v>
                </c:pt>
                <c:pt idx="60">
                  <c:v>5.0923956270340893</c:v>
                </c:pt>
                <c:pt idx="61">
                  <c:v>5.2815904019090105</c:v>
                </c:pt>
                <c:pt idx="62">
                  <c:v>5.4708137216433954</c:v>
                </c:pt>
                <c:pt idx="63">
                  <c:v>5.6600655956445491</c:v>
                </c:pt>
                <c:pt idx="64">
                  <c:v>5.8493460333239167</c:v>
                </c:pt>
                <c:pt idx="65">
                  <c:v>6.0386550440970828</c:v>
                </c:pt>
                <c:pt idx="66">
                  <c:v>6.2279926373837755</c:v>
                </c:pt>
                <c:pt idx="67">
                  <c:v>6.4173588226078495</c:v>
                </c:pt>
                <c:pt idx="68">
                  <c:v>6.6067536091973347</c:v>
                </c:pt>
                <c:pt idx="69">
                  <c:v>6.7961770065843687</c:v>
                </c:pt>
                <c:pt idx="70">
                  <c:v>6.9856290242052683</c:v>
                </c:pt>
                <c:pt idx="71">
                  <c:v>7.1751096715004969</c:v>
                </c:pt>
                <c:pt idx="72">
                  <c:v>7.3646189579146588</c:v>
                </c:pt>
                <c:pt idx="73">
                  <c:v>7.5541568928965255</c:v>
                </c:pt>
                <c:pt idx="74">
                  <c:v>7.743723485899026</c:v>
                </c:pt>
                <c:pt idx="75">
                  <c:v>7.9333187463792347</c:v>
                </c:pt>
                <c:pt idx="76">
                  <c:v>8.1229426837984118</c:v>
                </c:pt>
                <c:pt idx="77">
                  <c:v>8.3125953076219687</c:v>
                </c:pt>
                <c:pt idx="78">
                  <c:v>8.5022766273194836</c:v>
                </c:pt>
                <c:pt idx="79">
                  <c:v>8.6919866523646991</c:v>
                </c:pt>
                <c:pt idx="80">
                  <c:v>8.8817253922355448</c:v>
                </c:pt>
                <c:pt idx="81">
                  <c:v>9.0714928564141104</c:v>
                </c:pt>
                <c:pt idx="82">
                  <c:v>9.2612890543866637</c:v>
                </c:pt>
                <c:pt idx="83">
                  <c:v>9.4511139956436629</c:v>
                </c:pt>
                <c:pt idx="84">
                  <c:v>9.640967689679723</c:v>
                </c:pt>
                <c:pt idx="85">
                  <c:v>9.830850145993665</c:v>
                </c:pt>
                <c:pt idx="86">
                  <c:v>10.020761374088481</c:v>
                </c:pt>
                <c:pt idx="87">
                  <c:v>10.210701383471354</c:v>
                </c:pt>
                <c:pt idx="88">
                  <c:v>10.400670183653656</c:v>
                </c:pt>
                <c:pt idx="89">
                  <c:v>10.590667784150954</c:v>
                </c:pt>
                <c:pt idx="90">
                  <c:v>10.780694194483011</c:v>
                </c:pt>
                <c:pt idx="91">
                  <c:v>10.970749424173771</c:v>
                </c:pt>
                <c:pt idx="92">
                  <c:v>11.160833482751398</c:v>
                </c:pt>
                <c:pt idx="93">
                  <c:v>11.35094637974824</c:v>
                </c:pt>
                <c:pt idx="94">
                  <c:v>11.541088124700858</c:v>
                </c:pt>
                <c:pt idx="95">
                  <c:v>11.731258727150019</c:v>
                </c:pt>
                <c:pt idx="96">
                  <c:v>11.921458196640693</c:v>
                </c:pt>
                <c:pt idx="97">
                  <c:v>12.111686542722058</c:v>
                </c:pt>
                <c:pt idx="98">
                  <c:v>12.301943774947514</c:v>
                </c:pt>
                <c:pt idx="99">
                  <c:v>12.49222990287466</c:v>
                </c:pt>
                <c:pt idx="100">
                  <c:v>12.68254493606533</c:v>
                </c:pt>
              </c:numCache>
            </c:numRef>
          </c:val>
          <c:smooth val="0"/>
          <c:extLst>
            <c:ext xmlns:c16="http://schemas.microsoft.com/office/drawing/2014/chart" uri="{C3380CC4-5D6E-409C-BE32-E72D297353CC}">
              <c16:uniqueId val="{00000001-745B-46F7-8EAC-D410ADA60268}"/>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1.0414614376836426</c:v>
                </c:pt>
                <c:pt idx="29">
                  <c:v>1.0429422033152012</c:v>
                </c:pt>
                <c:pt idx="30">
                  <c:v>1.0444229689467599</c:v>
                </c:pt>
                <c:pt idx="31">
                  <c:v>1.0459037345783184</c:v>
                </c:pt>
                <c:pt idx="32">
                  <c:v>1.0473845002098772</c:v>
                </c:pt>
                <c:pt idx="33">
                  <c:v>1.0488652658414359</c:v>
                </c:pt>
                <c:pt idx="34">
                  <c:v>1.0503460314729944</c:v>
                </c:pt>
                <c:pt idx="35">
                  <c:v>1.0518267971045532</c:v>
                </c:pt>
                <c:pt idx="36">
                  <c:v>1.0533075627361117</c:v>
                </c:pt>
                <c:pt idx="37">
                  <c:v>1.0547883283676704</c:v>
                </c:pt>
                <c:pt idx="38">
                  <c:v>1.0562690939992292</c:v>
                </c:pt>
                <c:pt idx="39">
                  <c:v>1.0577498596307877</c:v>
                </c:pt>
                <c:pt idx="40">
                  <c:v>1.0592306252623465</c:v>
                </c:pt>
                <c:pt idx="41">
                  <c:v>1.0607113908939052</c:v>
                </c:pt>
                <c:pt idx="42">
                  <c:v>1.0621982751409278</c:v>
                </c:pt>
                <c:pt idx="43">
                  <c:v>1.3320885581304882</c:v>
                </c:pt>
                <c:pt idx="44">
                  <c:v>1.5077518516210184</c:v>
                </c:pt>
                <c:pt idx="45">
                  <c:v>1.6834604796253638</c:v>
                </c:pt>
                <c:pt idx="46">
                  <c:v>1.8591853418617275</c:v>
                </c:pt>
                <c:pt idx="47">
                  <c:v>2.0349264417251103</c:v>
                </c:pt>
                <c:pt idx="48">
                  <c:v>2.210683782611476</c:v>
                </c:pt>
                <c:pt idx="49">
                  <c:v>2.3864573679177261</c:v>
                </c:pt>
                <c:pt idx="50">
                  <c:v>2.5622472010417212</c:v>
                </c:pt>
                <c:pt idx="51">
                  <c:v>2.7380532853822732</c:v>
                </c:pt>
                <c:pt idx="52">
                  <c:v>2.9138756243391448</c:v>
                </c:pt>
                <c:pt idx="53">
                  <c:v>3.0897142213130468</c:v>
                </c:pt>
                <c:pt idx="54">
                  <c:v>3.2655690797056458</c:v>
                </c:pt>
                <c:pt idx="55">
                  <c:v>3.4414402029195514</c:v>
                </c:pt>
                <c:pt idx="56">
                  <c:v>3.6173275943583434</c:v>
                </c:pt>
                <c:pt idx="57">
                  <c:v>3.7932312574265294</c:v>
                </c:pt>
                <c:pt idx="58">
                  <c:v>3.9691511955295864</c:v>
                </c:pt>
                <c:pt idx="59">
                  <c:v>4.1450874120739369</c:v>
                </c:pt>
                <c:pt idx="60">
                  <c:v>4.321039910466955</c:v>
                </c:pt>
                <c:pt idx="61">
                  <c:v>4.4970086941169685</c:v>
                </c:pt>
                <c:pt idx="62">
                  <c:v>4.6729937664332635</c:v>
                </c:pt>
                <c:pt idx="63">
                  <c:v>4.8489951308260641</c:v>
                </c:pt>
                <c:pt idx="64">
                  <c:v>5.0250127907065609</c:v>
                </c:pt>
                <c:pt idx="65">
                  <c:v>5.2010467494868964</c:v>
                </c:pt>
                <c:pt idx="66">
                  <c:v>5.377097010580159</c:v>
                </c:pt>
                <c:pt idx="67">
                  <c:v>5.5531635774003973</c:v>
                </c:pt>
                <c:pt idx="68">
                  <c:v>5.7292464533626193</c:v>
                </c:pt>
                <c:pt idx="69">
                  <c:v>5.9053456418827697</c:v>
                </c:pt>
                <c:pt idx="70">
                  <c:v>6.0814611463777721</c:v>
                </c:pt>
                <c:pt idx="71">
                  <c:v>6.2575929702654793</c:v>
                </c:pt>
                <c:pt idx="72">
                  <c:v>6.433741116964721</c:v>
                </c:pt>
                <c:pt idx="73">
                  <c:v>6.6099055898952717</c:v>
                </c:pt>
                <c:pt idx="74">
                  <c:v>6.7860863924778645</c:v>
                </c:pt>
                <c:pt idx="75">
                  <c:v>6.962283528134189</c:v>
                </c:pt>
                <c:pt idx="76">
                  <c:v>7.1384970002868835</c:v>
                </c:pt>
                <c:pt idx="77">
                  <c:v>7.3147268123595577</c:v>
                </c:pt>
                <c:pt idx="78">
                  <c:v>7.4909729677767638</c:v>
                </c:pt>
                <c:pt idx="79">
                  <c:v>7.6672354699640284</c:v>
                </c:pt>
                <c:pt idx="80">
                  <c:v>7.8435143223478168</c:v>
                </c:pt>
                <c:pt idx="81">
                  <c:v>8.0198095283555624</c:v>
                </c:pt>
                <c:pt idx="82">
                  <c:v>8.1961210914156588</c:v>
                </c:pt>
                <c:pt idx="83">
                  <c:v>8.3724490149574464</c:v>
                </c:pt>
                <c:pt idx="84">
                  <c:v>8.5487933024112515</c:v>
                </c:pt>
                <c:pt idx="85">
                  <c:v>8.7251539572083221</c:v>
                </c:pt>
                <c:pt idx="86">
                  <c:v>8.9015309827808977</c:v>
                </c:pt>
                <c:pt idx="87">
                  <c:v>9.0779243825621627</c:v>
                </c:pt>
                <c:pt idx="88">
                  <c:v>9.2543341599862643</c:v>
                </c:pt>
                <c:pt idx="89">
                  <c:v>9.4307603184883053</c:v>
                </c:pt>
                <c:pt idx="90">
                  <c:v>9.6072028615043568</c:v>
                </c:pt>
                <c:pt idx="91">
                  <c:v>9.7836617924714542</c:v>
                </c:pt>
                <c:pt idx="92">
                  <c:v>9.9601371148275888</c:v>
                </c:pt>
                <c:pt idx="93">
                  <c:v>10.1366288320117</c:v>
                </c:pt>
                <c:pt idx="94">
                  <c:v>10.313136947463724</c:v>
                </c:pt>
                <c:pt idx="95">
                  <c:v>10.48966146462452</c:v>
                </c:pt>
                <c:pt idx="96">
                  <c:v>10.666202386935945</c:v>
                </c:pt>
                <c:pt idx="97">
                  <c:v>10.842759717840792</c:v>
                </c:pt>
                <c:pt idx="98">
                  <c:v>11.019333460782841</c:v>
                </c:pt>
                <c:pt idx="99">
                  <c:v>11.195923619206813</c:v>
                </c:pt>
                <c:pt idx="100">
                  <c:v>11.372530196558408</c:v>
                </c:pt>
              </c:numCache>
            </c:numRef>
          </c:val>
          <c:smooth val="0"/>
          <c:extLst>
            <c:ext xmlns:c16="http://schemas.microsoft.com/office/drawing/2014/chart" uri="{C3380CC4-5D6E-409C-BE32-E72D297353CC}">
              <c16:uniqueId val="{00000002-745B-46F7-8EAC-D410ADA60268}"/>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Single'!$CB$5:$CB$105</c:f>
              <c:numCache>
                <c:formatCode>0.00</c:formatCode>
                <c:ptCount val="101"/>
                <c:pt idx="0">
                  <c:v>9.4582178659988531E-7</c:v>
                </c:pt>
                <c:pt idx="1">
                  <c:v>47.279412824672313</c:v>
                </c:pt>
                <c:pt idx="2">
                  <c:v>63.03499249987</c:v>
                </c:pt>
                <c:pt idx="3">
                  <c:v>70.912124224584062</c:v>
                </c:pt>
                <c:pt idx="4">
                  <c:v>75.638223231460515</c:v>
                </c:pt>
                <c:pt idx="5">
                  <c:v>78.648529722608387</c:v>
                </c:pt>
                <c:pt idx="6">
                  <c:v>80.581846459739097</c:v>
                </c:pt>
                <c:pt idx="7">
                  <c:v>82.0215572364514</c:v>
                </c:pt>
                <c:pt idx="8">
                  <c:v>83.1351425836761</c:v>
                </c:pt>
                <c:pt idx="9">
                  <c:v>84.022013068892477</c:v>
                </c:pt>
                <c:pt idx="10">
                  <c:v>84.744902042666297</c:v>
                </c:pt>
                <c:pt idx="11">
                  <c:v>85.345352143101522</c:v>
                </c:pt>
                <c:pt idx="12">
                  <c:v>85.851966057402834</c:v>
                </c:pt>
                <c:pt idx="13">
                  <c:v>86.285080795395984</c:v>
                </c:pt>
                <c:pt idx="14">
                  <c:v>86.65955230777395</c:v>
                </c:pt>
                <c:pt idx="15">
                  <c:v>86.986485435936956</c:v>
                </c:pt>
                <c:pt idx="16">
                  <c:v>87.274347551296216</c:v>
                </c:pt>
                <c:pt idx="17">
                  <c:v>87.529707687280876</c:v>
                </c:pt>
                <c:pt idx="18">
                  <c:v>87.757740299857119</c:v>
                </c:pt>
                <c:pt idx="19">
                  <c:v>87.962576693943149</c:v>
                </c:pt>
                <c:pt idx="20">
                  <c:v>88.147555279503891</c:v>
                </c:pt>
                <c:pt idx="21">
                  <c:v>88.315403081229704</c:v>
                </c:pt>
                <c:pt idx="22">
                  <c:v>88.468369569650378</c:v>
                </c:pt>
                <c:pt idx="23">
                  <c:v>88.608326812281973</c:v>
                </c:pt>
                <c:pt idx="24">
                  <c:v>88.736845435301873</c:v>
                </c:pt>
                <c:pt idx="25">
                  <c:v>88.855252948204622</c:v>
                </c:pt>
                <c:pt idx="26">
                  <c:v>88.964679030970345</c:v>
                </c:pt>
                <c:pt idx="27">
                  <c:v>89.066091061653225</c:v>
                </c:pt>
                <c:pt idx="28">
                  <c:v>89.160322253082953</c:v>
                </c:pt>
                <c:pt idx="29">
                  <c:v>89.248094132369033</c:v>
                </c:pt>
                <c:pt idx="30">
                  <c:v>89.33003464719765</c:v>
                </c:pt>
                <c:pt idx="31">
                  <c:v>89.406692860316923</c:v>
                </c:pt>
                <c:pt idx="32">
                  <c:v>89.478550959417035</c:v>
                </c:pt>
                <c:pt idx="33">
                  <c:v>89.546034137704254</c:v>
                </c:pt>
                <c:pt idx="34">
                  <c:v>89.609518772965032</c:v>
                </c:pt>
                <c:pt idx="35">
                  <c:v>89.669339237430961</c:v>
                </c:pt>
                <c:pt idx="36">
                  <c:v>89.725793598595473</c:v>
                </c:pt>
                <c:pt idx="37">
                  <c:v>89.779148416135428</c:v>
                </c:pt>
                <c:pt idx="38">
                  <c:v>89.829642797836556</c:v>
                </c:pt>
                <c:pt idx="39">
                  <c:v>89.877399986884981</c:v>
                </c:pt>
                <c:pt idx="40">
                  <c:v>89.94128933332199</c:v>
                </c:pt>
                <c:pt idx="41">
                  <c:v>89.927894399876081</c:v>
                </c:pt>
                <c:pt idx="42">
                  <c:v>89.910362907293234</c:v>
                </c:pt>
                <c:pt idx="43">
                  <c:v>89.889022301447596</c:v>
                </c:pt>
                <c:pt idx="44">
                  <c:v>89.864041208632941</c:v>
                </c:pt>
                <c:pt idx="45">
                  <c:v>89.835568122068864</c:v>
                </c:pt>
                <c:pt idx="46">
                  <c:v>89.803733467797485</c:v>
                </c:pt>
                <c:pt idx="47">
                  <c:v>89.768651385790051</c:v>
                </c:pt>
                <c:pt idx="48">
                  <c:v>89.730421268049426</c:v>
                </c:pt>
                <c:pt idx="49">
                  <c:v>89.689129088442556</c:v>
                </c:pt>
                <c:pt idx="50">
                  <c:v>89.644848553233658</c:v>
                </c:pt>
                <c:pt idx="51">
                  <c:v>89.597642096553543</c:v>
                </c:pt>
                <c:pt idx="52">
                  <c:v>89.547561741134928</c:v>
                </c:pt>
                <c:pt idx="53">
                  <c:v>89.494649841404367</c:v>
                </c:pt>
                <c:pt idx="54">
                  <c:v>89.438939723324964</c:v>
                </c:pt>
                <c:pt idx="55">
                  <c:v>89.380456233126736</c:v>
                </c:pt>
                <c:pt idx="56">
                  <c:v>89.319216205164167</c:v>
                </c:pt>
                <c:pt idx="57">
                  <c:v>89.255228857535556</c:v>
                </c:pt>
                <c:pt idx="58">
                  <c:v>89.188496122735998</c:v>
                </c:pt>
                <c:pt idx="59">
                  <c:v>89.119012919449474</c:v>
                </c:pt>
                <c:pt idx="60">
                  <c:v>89.046767370582003</c:v>
                </c:pt>
                <c:pt idx="61">
                  <c:v>88.971740971767389</c:v>
                </c:pt>
                <c:pt idx="62">
                  <c:v>88.893908713816444</c:v>
                </c:pt>
                <c:pt idx="63">
                  <c:v>88.813239161907703</c:v>
                </c:pt>
                <c:pt idx="64">
                  <c:v>88.729694493718796</c:v>
                </c:pt>
                <c:pt idx="65">
                  <c:v>88.643230498155233</c:v>
                </c:pt>
                <c:pt idx="66">
                  <c:v>88.553796535837463</c:v>
                </c:pt>
                <c:pt idx="67">
                  <c:v>88.46133546204527</c:v>
                </c:pt>
                <c:pt idx="68">
                  <c:v>88.365783512382563</c:v>
                </c:pt>
                <c:pt idx="69">
                  <c:v>88.267070151006166</c:v>
                </c:pt>
                <c:pt idx="70">
                  <c:v>88.165117880851255</c:v>
                </c:pt>
                <c:pt idx="71">
                  <c:v>88.059842014876693</c:v>
                </c:pt>
                <c:pt idx="72">
                  <c:v>87.951150406937671</c:v>
                </c:pt>
                <c:pt idx="73">
                  <c:v>87.838943140464437</c:v>
                </c:pt>
                <c:pt idx="74">
                  <c:v>87.723112172676153</c:v>
                </c:pt>
                <c:pt idx="75">
                  <c:v>87.603540931580568</c:v>
                </c:pt>
                <c:pt idx="76">
                  <c:v>87.480103862496023</c:v>
                </c:pt>
                <c:pt idx="77">
                  <c:v>87.352665920270937</c:v>
                </c:pt>
                <c:pt idx="78">
                  <c:v>87.221082002760042</c:v>
                </c:pt>
                <c:pt idx="79">
                  <c:v>87.085196320433155</c:v>
                </c:pt>
                <c:pt idx="80">
                  <c:v>86.94484169622811</c:v>
                </c:pt>
                <c:pt idx="81">
                  <c:v>86.799838788902434</c:v>
                </c:pt>
                <c:pt idx="82">
                  <c:v>86.64999523216764</c:v>
                </c:pt>
                <c:pt idx="83">
                  <c:v>86.495104680788771</c:v>
                </c:pt>
                <c:pt idx="84">
                  <c:v>86.334945753575667</c:v>
                </c:pt>
                <c:pt idx="85">
                  <c:v>86.169280861752853</c:v>
                </c:pt>
                <c:pt idx="86">
                  <c:v>85.9978549095419</c:v>
                </c:pt>
                <c:pt idx="87">
                  <c:v>85.82039385188142</c:v>
                </c:pt>
                <c:pt idx="88">
                  <c:v>85.636603092003796</c:v>
                </c:pt>
                <c:pt idx="89">
                  <c:v>85.446165699024107</c:v>
                </c:pt>
                <c:pt idx="90">
                  <c:v>85.248740422713638</c:v>
                </c:pt>
                <c:pt idx="91">
                  <c:v>85.04395947914486</c:v>
                </c:pt>
                <c:pt idx="92">
                  <c:v>84.831426076810658</c:v>
                </c:pt>
                <c:pt idx="93">
                  <c:v>84.610711648020782</c:v>
                </c:pt>
                <c:pt idx="94">
                  <c:v>84.381352744718825</c:v>
                </c:pt>
                <c:pt idx="95">
                  <c:v>84.142847551166554</c:v>
                </c:pt>
                <c:pt idx="96">
                  <c:v>83.894651957996814</c:v>
                </c:pt>
                <c:pt idx="97">
                  <c:v>83.636175132669166</c:v>
                </c:pt>
                <c:pt idx="98">
                  <c:v>83.366774510050433</c:v>
                </c:pt>
                <c:pt idx="99">
                  <c:v>83.085750113268801</c:v>
                </c:pt>
                <c:pt idx="100">
                  <c:v>82.792338098645743</c:v>
                </c:pt>
              </c:numCache>
            </c:numRef>
          </c:val>
          <c:smooth val="0"/>
          <c:extLst>
            <c:ext xmlns:c16="http://schemas.microsoft.com/office/drawing/2014/chart" uri="{C3380CC4-5D6E-409C-BE32-E72D297353CC}">
              <c16:uniqueId val="{00000000-8093-4275-A0A4-629DC5917466}"/>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6.2124999999999988E-7</c:v>
                </c:pt>
                <c:pt idx="1">
                  <c:v>62.124999999999993</c:v>
                </c:pt>
                <c:pt idx="2">
                  <c:v>124.24999999999999</c:v>
                </c:pt>
                <c:pt idx="3">
                  <c:v>186.37499999999997</c:v>
                </c:pt>
                <c:pt idx="4">
                  <c:v>248.49999999999997</c:v>
                </c:pt>
                <c:pt idx="5">
                  <c:v>310.625</c:v>
                </c:pt>
                <c:pt idx="6">
                  <c:v>372.74999999999994</c:v>
                </c:pt>
                <c:pt idx="7">
                  <c:v>434.87499999999994</c:v>
                </c:pt>
                <c:pt idx="8">
                  <c:v>496.99999999999994</c:v>
                </c:pt>
                <c:pt idx="9">
                  <c:v>559.12499999999989</c:v>
                </c:pt>
                <c:pt idx="10">
                  <c:v>621.25</c:v>
                </c:pt>
                <c:pt idx="11">
                  <c:v>683.375</c:v>
                </c:pt>
                <c:pt idx="12">
                  <c:v>745.49999999999989</c:v>
                </c:pt>
                <c:pt idx="13">
                  <c:v>807.62499999999989</c:v>
                </c:pt>
                <c:pt idx="14">
                  <c:v>869.74999999999989</c:v>
                </c:pt>
                <c:pt idx="15">
                  <c:v>931.87499999999977</c:v>
                </c:pt>
                <c:pt idx="16">
                  <c:v>993.99999999999989</c:v>
                </c:pt>
                <c:pt idx="17">
                  <c:v>1056.125</c:v>
                </c:pt>
                <c:pt idx="18">
                  <c:v>1118.2499999999998</c:v>
                </c:pt>
                <c:pt idx="19">
                  <c:v>1180.3749999999998</c:v>
                </c:pt>
                <c:pt idx="20">
                  <c:v>1242.5</c:v>
                </c:pt>
                <c:pt idx="21">
                  <c:v>1304.625</c:v>
                </c:pt>
                <c:pt idx="22">
                  <c:v>1366.75</c:v>
                </c:pt>
                <c:pt idx="23">
                  <c:v>1428.8750000000002</c:v>
                </c:pt>
                <c:pt idx="24">
                  <c:v>1490.9999999999998</c:v>
                </c:pt>
                <c:pt idx="25">
                  <c:v>1553.1249999999998</c:v>
                </c:pt>
                <c:pt idx="26">
                  <c:v>1615.2499999999998</c:v>
                </c:pt>
                <c:pt idx="27">
                  <c:v>1677.3749999999998</c:v>
                </c:pt>
                <c:pt idx="28">
                  <c:v>1739.4999999999998</c:v>
                </c:pt>
                <c:pt idx="29">
                  <c:v>1801.6249999999998</c:v>
                </c:pt>
                <c:pt idx="30">
                  <c:v>1863.7499999999995</c:v>
                </c:pt>
                <c:pt idx="31">
                  <c:v>1925.8749999999998</c:v>
                </c:pt>
                <c:pt idx="32">
                  <c:v>1987.9999999999998</c:v>
                </c:pt>
                <c:pt idx="33">
                  <c:v>2050.125</c:v>
                </c:pt>
                <c:pt idx="34">
                  <c:v>2112.25</c:v>
                </c:pt>
                <c:pt idx="35">
                  <c:v>2174.3749999999995</c:v>
                </c:pt>
                <c:pt idx="36">
                  <c:v>2236.4999999999995</c:v>
                </c:pt>
                <c:pt idx="37">
                  <c:v>2298.625</c:v>
                </c:pt>
                <c:pt idx="38">
                  <c:v>2360.7499999999995</c:v>
                </c:pt>
                <c:pt idx="39">
                  <c:v>2422.875</c:v>
                </c:pt>
                <c:pt idx="40">
                  <c:v>2485</c:v>
                </c:pt>
                <c:pt idx="41">
                  <c:v>2547.1249999999995</c:v>
                </c:pt>
                <c:pt idx="42">
                  <c:v>2609.25</c:v>
                </c:pt>
                <c:pt idx="43">
                  <c:v>2671.375</c:v>
                </c:pt>
                <c:pt idx="44">
                  <c:v>2733.5</c:v>
                </c:pt>
                <c:pt idx="45">
                  <c:v>2795.625</c:v>
                </c:pt>
                <c:pt idx="46">
                  <c:v>2857.7500000000005</c:v>
                </c:pt>
                <c:pt idx="47">
                  <c:v>2919.8749999999991</c:v>
                </c:pt>
                <c:pt idx="48">
                  <c:v>2981.9999999999995</c:v>
                </c:pt>
                <c:pt idx="49">
                  <c:v>3044.125</c:v>
                </c:pt>
                <c:pt idx="50">
                  <c:v>3106.2499999999995</c:v>
                </c:pt>
                <c:pt idx="51">
                  <c:v>3168.3749999999991</c:v>
                </c:pt>
                <c:pt idx="52">
                  <c:v>3230.4999999999995</c:v>
                </c:pt>
                <c:pt idx="53">
                  <c:v>3292.625</c:v>
                </c:pt>
                <c:pt idx="54">
                  <c:v>3354.7499999999995</c:v>
                </c:pt>
                <c:pt idx="55">
                  <c:v>3416.8749999999995</c:v>
                </c:pt>
                <c:pt idx="56">
                  <c:v>3478.9999999999995</c:v>
                </c:pt>
                <c:pt idx="57">
                  <c:v>3541.1249999999991</c:v>
                </c:pt>
                <c:pt idx="58">
                  <c:v>3603.2499999999995</c:v>
                </c:pt>
                <c:pt idx="59">
                  <c:v>3665.3749999999986</c:v>
                </c:pt>
                <c:pt idx="60">
                  <c:v>3727.4999999999991</c:v>
                </c:pt>
                <c:pt idx="61">
                  <c:v>3789.6249999999995</c:v>
                </c:pt>
                <c:pt idx="62">
                  <c:v>3851.7499999999995</c:v>
                </c:pt>
                <c:pt idx="63">
                  <c:v>3913.8749999999991</c:v>
                </c:pt>
                <c:pt idx="64">
                  <c:v>3975.9999999999995</c:v>
                </c:pt>
                <c:pt idx="65">
                  <c:v>4038.125</c:v>
                </c:pt>
                <c:pt idx="66">
                  <c:v>4100.25</c:v>
                </c:pt>
                <c:pt idx="67">
                  <c:v>4162.3749999999991</c:v>
                </c:pt>
                <c:pt idx="68">
                  <c:v>4224.5</c:v>
                </c:pt>
                <c:pt idx="69">
                  <c:v>4286.6249999999991</c:v>
                </c:pt>
                <c:pt idx="70">
                  <c:v>4348.7499999999991</c:v>
                </c:pt>
                <c:pt idx="71">
                  <c:v>4410.875</c:v>
                </c:pt>
                <c:pt idx="72">
                  <c:v>4472.9999999999991</c:v>
                </c:pt>
                <c:pt idx="73">
                  <c:v>4535.1249999999991</c:v>
                </c:pt>
                <c:pt idx="74">
                  <c:v>4597.25</c:v>
                </c:pt>
                <c:pt idx="75">
                  <c:v>4659.375</c:v>
                </c:pt>
                <c:pt idx="76">
                  <c:v>4721.4999999999991</c:v>
                </c:pt>
                <c:pt idx="77">
                  <c:v>4783.625</c:v>
                </c:pt>
                <c:pt idx="78">
                  <c:v>4845.75</c:v>
                </c:pt>
                <c:pt idx="79">
                  <c:v>4907.875</c:v>
                </c:pt>
                <c:pt idx="80">
                  <c:v>4970</c:v>
                </c:pt>
                <c:pt idx="81">
                  <c:v>5032.1250000000009</c:v>
                </c:pt>
                <c:pt idx="82">
                  <c:v>5094.2499999999991</c:v>
                </c:pt>
                <c:pt idx="83">
                  <c:v>5156.3749999999991</c:v>
                </c:pt>
                <c:pt idx="84">
                  <c:v>5218.5</c:v>
                </c:pt>
                <c:pt idx="85">
                  <c:v>5280.6249999999991</c:v>
                </c:pt>
                <c:pt idx="86">
                  <c:v>5342.75</c:v>
                </c:pt>
                <c:pt idx="87">
                  <c:v>5404.8749999999991</c:v>
                </c:pt>
                <c:pt idx="88">
                  <c:v>5467</c:v>
                </c:pt>
                <c:pt idx="89">
                  <c:v>5529.125</c:v>
                </c:pt>
                <c:pt idx="90">
                  <c:v>5591.25</c:v>
                </c:pt>
                <c:pt idx="91">
                  <c:v>5653.3749999999991</c:v>
                </c:pt>
                <c:pt idx="92">
                  <c:v>5715.5000000000009</c:v>
                </c:pt>
                <c:pt idx="93">
                  <c:v>5777.625</c:v>
                </c:pt>
                <c:pt idx="94">
                  <c:v>5839.7499999999982</c:v>
                </c:pt>
                <c:pt idx="95">
                  <c:v>5901.8749999999991</c:v>
                </c:pt>
                <c:pt idx="96">
                  <c:v>5963.9999999999991</c:v>
                </c:pt>
                <c:pt idx="97">
                  <c:v>6026.1249999999982</c:v>
                </c:pt>
                <c:pt idx="98">
                  <c:v>6088.25</c:v>
                </c:pt>
                <c:pt idx="99">
                  <c:v>6150.3749999999991</c:v>
                </c:pt>
                <c:pt idx="100">
                  <c:v>6212.4999999999991</c:v>
                </c:pt>
              </c:numCache>
            </c:numRef>
          </c:val>
          <c:smooth val="0"/>
          <c:extLst>
            <c:ext xmlns:c16="http://schemas.microsoft.com/office/drawing/2014/chart" uri="{C3380CC4-5D6E-409C-BE32-E72D297353CC}">
              <c16:uniqueId val="{00000001-8093-4275-A0A4-629DC5917466}"/>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193.3963503776657</c:v>
                </c:pt>
                <c:pt idx="1">
                  <c:v>193.60620664733287</c:v>
                </c:pt>
                <c:pt idx="2">
                  <c:v>193.69319473562626</c:v>
                </c:pt>
                <c:pt idx="3">
                  <c:v>193.75996459535924</c:v>
                </c:pt>
                <c:pt idx="4">
                  <c:v>193.81626875695272</c:v>
                </c:pt>
                <c:pt idx="5">
                  <c:v>209.37126452035417</c:v>
                </c:pt>
                <c:pt idx="6">
                  <c:v>251.46090004082706</c:v>
                </c:pt>
                <c:pt idx="7">
                  <c:v>293.62276096028444</c:v>
                </c:pt>
                <c:pt idx="8">
                  <c:v>335.85703334547787</c:v>
                </c:pt>
                <c:pt idx="9">
                  <c:v>378.16390390283408</c:v>
                </c:pt>
                <c:pt idx="10">
                  <c:v>420.54355998120633</c:v>
                </c:pt>
                <c:pt idx="11">
                  <c:v>462.99618957463963</c:v>
                </c:pt>
                <c:pt idx="12">
                  <c:v>505.52198132515014</c:v>
                </c:pt>
                <c:pt idx="13">
                  <c:v>548.12112452552117</c:v>
                </c:pt>
                <c:pt idx="14">
                  <c:v>590.79380912210877</c:v>
                </c:pt>
                <c:pt idx="15">
                  <c:v>633.54022571766745</c:v>
                </c:pt>
                <c:pt idx="16">
                  <c:v>676.36056557418794</c:v>
                </c:pt>
                <c:pt idx="17">
                  <c:v>719.25502061574753</c:v>
                </c:pt>
                <c:pt idx="18">
                  <c:v>762.22378343137939</c:v>
                </c:pt>
                <c:pt idx="19">
                  <c:v>805.26704727795584</c:v>
                </c:pt>
                <c:pt idx="20">
                  <c:v>848.38500608308254</c:v>
                </c:pt>
                <c:pt idx="21">
                  <c:v>891.57785444801357</c:v>
                </c:pt>
                <c:pt idx="22">
                  <c:v>934.8457876505779</c:v>
                </c:pt>
                <c:pt idx="23">
                  <c:v>978.18900164812226</c:v>
                </c:pt>
                <c:pt idx="24">
                  <c:v>1021.6076930804701</c:v>
                </c:pt>
                <c:pt idx="25">
                  <c:v>1065.1020592728955</c:v>
                </c:pt>
                <c:pt idx="26">
                  <c:v>1108.6722982391102</c:v>
                </c:pt>
                <c:pt idx="27">
                  <c:v>1152.3186086842716</c:v>
                </c:pt>
                <c:pt idx="28">
                  <c:v>1196.0411900080012</c:v>
                </c:pt>
                <c:pt idx="29">
                  <c:v>1239.8402423074226</c:v>
                </c:pt>
                <c:pt idx="30">
                  <c:v>1283.7159663802133</c:v>
                </c:pt>
                <c:pt idx="31">
                  <c:v>1327.6685637276739</c:v>
                </c:pt>
                <c:pt idx="32">
                  <c:v>1371.6982365578108</c:v>
                </c:pt>
                <c:pt idx="33">
                  <c:v>1415.8051877884398</c:v>
                </c:pt>
                <c:pt idx="34">
                  <c:v>1459.989621050302</c:v>
                </c:pt>
                <c:pt idx="35">
                  <c:v>1504.251740690197</c:v>
                </c:pt>
                <c:pt idx="36">
                  <c:v>1548.591751774135</c:v>
                </c:pt>
                <c:pt idx="37">
                  <c:v>1593.0098600905023</c:v>
                </c:pt>
                <c:pt idx="38">
                  <c:v>1637.506272153244</c:v>
                </c:pt>
                <c:pt idx="39">
                  <c:v>1682.1453918413515</c:v>
                </c:pt>
                <c:pt idx="40">
                  <c:v>1672.199292600096</c:v>
                </c:pt>
                <c:pt idx="41">
                  <c:v>1684.5761937859031</c:v>
                </c:pt>
                <c:pt idx="42">
                  <c:v>1697.4212860615173</c:v>
                </c:pt>
                <c:pt idx="43">
                  <c:v>1710.6718574426739</c:v>
                </c:pt>
                <c:pt idx="44">
                  <c:v>1724.3306703419737</c:v>
                </c:pt>
                <c:pt idx="45">
                  <c:v>1738.4007895173684</c:v>
                </c:pt>
                <c:pt idx="46">
                  <c:v>1752.8855693817045</c:v>
                </c:pt>
                <c:pt idx="47">
                  <c:v>1767.7886435536907</c:v>
                </c:pt>
                <c:pt idx="48">
                  <c:v>1783.1139163583673</c:v>
                </c:pt>
                <c:pt idx="49">
                  <c:v>1798.8655560333866</c:v>
                </c:pt>
                <c:pt idx="50">
                  <c:v>1815.0479894373166</c:v>
                </c:pt>
                <c:pt idx="51">
                  <c:v>1831.6658980891191</c:v>
                </c:pt>
                <c:pt idx="52">
                  <c:v>1848.7242153954585</c:v>
                </c:pt>
                <c:pt idx="53">
                  <c:v>1866.2281249454195</c:v>
                </c:pt>
                <c:pt idx="54">
                  <c:v>1884.1830597715236</c:v>
                </c:pt>
                <c:pt idx="55">
                  <c:v>1902.594702492175</c:v>
                </c:pt>
                <c:pt idx="56">
                  <c:v>1921.4689862644975</c:v>
                </c:pt>
                <c:pt idx="57">
                  <c:v>1940.8120964882637</c:v>
                </c:pt>
                <c:pt idx="58">
                  <c:v>1960.6304732116987</c:v>
                </c:pt>
                <c:pt idx="59">
                  <c:v>1980.9308141986044</c:v>
                </c:pt>
                <c:pt idx="60">
                  <c:v>2001.7200786238188</c:v>
                </c:pt>
                <c:pt idx="61">
                  <c:v>2023.0054913705028</c:v>
                </c:pt>
                <c:pt idx="62">
                  <c:v>2044.794547908594</c:v>
                </c:pt>
                <c:pt idx="63">
                  <c:v>2067.0950197387906</c:v>
                </c:pt>
                <c:pt idx="64">
                  <c:v>2089.9149603910023</c:v>
                </c:pt>
                <c:pt idx="65">
                  <c:v>2113.2627119702806</c:v>
                </c:pt>
                <c:pt idx="66">
                  <c:v>2137.1469122469607</c:v>
                </c:pt>
                <c:pt idx="67">
                  <c:v>2161.5765022910828</c:v>
                </c:pt>
                <c:pt idx="68">
                  <c:v>2186.5607346543984</c:v>
                </c:pt>
                <c:pt idx="69">
                  <c:v>2212.1091821061104</c:v>
                </c:pt>
                <c:pt idx="70">
                  <c:v>2238.2317469313439</c:v>
                </c:pt>
                <c:pt idx="71">
                  <c:v>2264.9386708039488</c:v>
                </c:pt>
                <c:pt idx="72">
                  <c:v>2292.2405452478529</c:v>
                </c:pt>
                <c:pt idx="73">
                  <c:v>2320.1483227036629</c:v>
                </c:pt>
                <c:pt idx="74">
                  <c:v>2348.6733282196878</c:v>
                </c:pt>
                <c:pt idx="75">
                  <c:v>2377.8272717890281</c:v>
                </c:pt>
                <c:pt idx="76">
                  <c:v>2407.6222613569016</c:v>
                </c:pt>
                <c:pt idx="77">
                  <c:v>2438.0708165247984</c:v>
                </c:pt>
                <c:pt idx="78">
                  <c:v>2469.1858829807238</c:v>
                </c:pt>
                <c:pt idx="79">
                  <c:v>2500.9808476873964</c:v>
                </c:pt>
                <c:pt idx="80">
                  <c:v>2533.4695548630175</c:v>
                </c:pt>
                <c:pt idx="81">
                  <c:v>2566.6663227920412</c:v>
                </c:pt>
                <c:pt idx="82">
                  <c:v>2600.5859615064514</c:v>
                </c:pt>
                <c:pt idx="83">
                  <c:v>2635.2437913810872</c:v>
                </c:pt>
                <c:pt idx="84">
                  <c:v>2670.6556626899296</c:v>
                </c:pt>
                <c:pt idx="85">
                  <c:v>2706.837976173746</c:v>
                </c:pt>
                <c:pt idx="86">
                  <c:v>2743.8077046731696</c:v>
                </c:pt>
                <c:pt idx="87">
                  <c:v>2781.5824158852884</c:v>
                </c:pt>
                <c:pt idx="88">
                  <c:v>2820.180296305974</c:v>
                </c:pt>
                <c:pt idx="89">
                  <c:v>2859.6201764247139</c:v>
                </c:pt>
                <c:pt idx="90">
                  <c:v>2899.9215572434869</c:v>
                </c:pt>
                <c:pt idx="91">
                  <c:v>2941.1046381963729</c:v>
                </c:pt>
                <c:pt idx="92">
                  <c:v>2983.19034655217</c:v>
                </c:pt>
                <c:pt idx="93">
                  <c:v>3026.2003683881194</c:v>
                </c:pt>
                <c:pt idx="94">
                  <c:v>3070.157181229351</c:v>
                </c:pt>
                <c:pt idx="95">
                  <c:v>3115.0840884554609</c:v>
                </c:pt>
                <c:pt idx="96">
                  <c:v>3161.0052555830821</c:v>
                </c:pt>
                <c:pt idx="97">
                  <c:v>3207.9457485413209</c:v>
                </c:pt>
                <c:pt idx="98">
                  <c:v>3255.9315740655802</c:v>
                </c:pt>
                <c:pt idx="99">
                  <c:v>3304.9897223446424</c:v>
                </c:pt>
                <c:pt idx="100">
                  <c:v>3355.1482120660271</c:v>
                </c:pt>
              </c:numCache>
            </c:numRef>
          </c:val>
          <c:smooth val="0"/>
          <c:extLst>
            <c:ext xmlns:c16="http://schemas.microsoft.com/office/drawing/2014/chart" uri="{C3380CC4-5D6E-409C-BE32-E72D297353CC}">
              <c16:uniqueId val="{00000002-8093-4275-A0A4-629DC5917466}"/>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1349.026087201087</c:v>
                </c:pt>
                <c:pt idx="1">
                  <c:v>1373.4826086956523</c:v>
                </c:pt>
                <c:pt idx="2">
                  <c:v>1397.9391304347832</c:v>
                </c:pt>
                <c:pt idx="3">
                  <c:v>1422.3956521739135</c:v>
                </c:pt>
                <c:pt idx="4">
                  <c:v>1446.8521739130442</c:v>
                </c:pt>
                <c:pt idx="5">
                  <c:v>1471.4043655797877</c:v>
                </c:pt>
                <c:pt idx="6">
                  <c:v>1496.1200213044403</c:v>
                </c:pt>
                <c:pt idx="7">
                  <c:v>1520.8356770290939</c:v>
                </c:pt>
                <c:pt idx="8">
                  <c:v>1545.5513327537469</c:v>
                </c:pt>
                <c:pt idx="9">
                  <c:v>1570.2669884783998</c:v>
                </c:pt>
                <c:pt idx="10">
                  <c:v>1594.9826442030537</c:v>
                </c:pt>
                <c:pt idx="11">
                  <c:v>1619.6982999277068</c:v>
                </c:pt>
                <c:pt idx="12">
                  <c:v>1644.4139556523598</c:v>
                </c:pt>
                <c:pt idx="13">
                  <c:v>1669.1296113770131</c:v>
                </c:pt>
                <c:pt idx="14">
                  <c:v>1693.8452671016662</c:v>
                </c:pt>
                <c:pt idx="15">
                  <c:v>1718.5609228263193</c:v>
                </c:pt>
                <c:pt idx="16">
                  <c:v>1743.276578550973</c:v>
                </c:pt>
                <c:pt idx="17">
                  <c:v>1767.9922342756265</c:v>
                </c:pt>
                <c:pt idx="18">
                  <c:v>1792.7078900002791</c:v>
                </c:pt>
                <c:pt idx="19">
                  <c:v>1817.4235457249331</c:v>
                </c:pt>
                <c:pt idx="20">
                  <c:v>1842.1392014495862</c:v>
                </c:pt>
                <c:pt idx="21">
                  <c:v>1866.854857174239</c:v>
                </c:pt>
                <c:pt idx="22">
                  <c:v>1891.5705128988927</c:v>
                </c:pt>
                <c:pt idx="23">
                  <c:v>1916.2861686235458</c:v>
                </c:pt>
                <c:pt idx="24">
                  <c:v>1941.0018243481991</c:v>
                </c:pt>
                <c:pt idx="25">
                  <c:v>1965.7174800728512</c:v>
                </c:pt>
                <c:pt idx="26">
                  <c:v>1990.4331357975047</c:v>
                </c:pt>
                <c:pt idx="27">
                  <c:v>2015.1487915221576</c:v>
                </c:pt>
                <c:pt idx="28">
                  <c:v>2039.8644472468113</c:v>
                </c:pt>
                <c:pt idx="29">
                  <c:v>2064.5801029714639</c:v>
                </c:pt>
                <c:pt idx="30">
                  <c:v>2089.2957586961179</c:v>
                </c:pt>
                <c:pt idx="31">
                  <c:v>2114.0114144207705</c:v>
                </c:pt>
                <c:pt idx="32">
                  <c:v>2138.727070145424</c:v>
                </c:pt>
                <c:pt idx="33">
                  <c:v>2163.4427258700766</c:v>
                </c:pt>
                <c:pt idx="34">
                  <c:v>2188.1583815947301</c:v>
                </c:pt>
                <c:pt idx="35">
                  <c:v>2212.8740373193828</c:v>
                </c:pt>
                <c:pt idx="36">
                  <c:v>2237.5896930440367</c:v>
                </c:pt>
                <c:pt idx="37">
                  <c:v>2262.3053487686898</c:v>
                </c:pt>
                <c:pt idx="38">
                  <c:v>2287.0210044933433</c:v>
                </c:pt>
                <c:pt idx="39">
                  <c:v>2311.736958218904</c:v>
                </c:pt>
                <c:pt idx="40">
                  <c:v>2384.7019246249611</c:v>
                </c:pt>
                <c:pt idx="41">
                  <c:v>2491.5480459787582</c:v>
                </c:pt>
                <c:pt idx="42">
                  <c:v>2601.4911477706519</c:v>
                </c:pt>
                <c:pt idx="43">
                  <c:v>2714.5770004193819</c:v>
                </c:pt>
                <c:pt idx="44">
                  <c:v>2830.8919020803055</c:v>
                </c:pt>
                <c:pt idx="45">
                  <c:v>2950.5261516859787</c:v>
                </c:pt>
                <c:pt idx="46">
                  <c:v>3073.5742577517767</c:v>
                </c:pt>
                <c:pt idx="47">
                  <c:v>3200.1351611732548</c:v>
                </c:pt>
                <c:pt idx="48">
                  <c:v>3330.3124730909026</c:v>
                </c:pt>
                <c:pt idx="49">
                  <c:v>3464.2147289945938</c:v>
                </c:pt>
                <c:pt idx="50">
                  <c:v>3601.9556603469546</c:v>
                </c:pt>
                <c:pt idx="51">
                  <c:v>3743.6544851224317</c:v>
                </c:pt>
                <c:pt idx="52">
                  <c:v>3889.4362187888128</c:v>
                </c:pt>
                <c:pt idx="53">
                  <c:v>4039.4320074016346</c:v>
                </c:pt>
                <c:pt idx="54">
                  <c:v>4193.7794846409197</c:v>
                </c:pt>
                <c:pt idx="55">
                  <c:v>4352.6231547957732</c:v>
                </c:pt>
                <c:pt idx="56">
                  <c:v>4516.1148038978745</c:v>
                </c:pt>
                <c:pt idx="57">
                  <c:v>4684.4139414218789</c:v>
                </c:pt>
                <c:pt idx="58">
                  <c:v>4857.688275212241</c:v>
                </c:pt>
                <c:pt idx="59">
                  <c:v>5036.1142225645926</c:v>
                </c:pt>
                <c:pt idx="60">
                  <c:v>5219.8774606897514</c:v>
                </c:pt>
                <c:pt idx="61">
                  <c:v>5409.1735201227584</c:v>
                </c:pt>
                <c:pt idx="62">
                  <c:v>5604.2084250137077</c:v>
                </c:pt>
                <c:pt idx="63">
                  <c:v>5805.1993846557398</c:v>
                </c:pt>
                <c:pt idx="64">
                  <c:v>6012.3755410753765</c:v>
                </c:pt>
                <c:pt idx="65">
                  <c:v>6225.9787780374272</c:v>
                </c:pt>
                <c:pt idx="66">
                  <c:v>6446.2645974099405</c:v>
                </c:pt>
                <c:pt idx="67">
                  <c:v>6673.503069502297</c:v>
                </c:pt>
                <c:pt idx="68">
                  <c:v>6907.9798647431926</c:v>
                </c:pt>
                <c:pt idx="69">
                  <c:v>7149.9973749164728</c:v>
                </c:pt>
                <c:pt idx="70">
                  <c:v>7399.8759331366227</c:v>
                </c:pt>
                <c:pt idx="71">
                  <c:v>7657.9551428380419</c:v>
                </c:pt>
                <c:pt idx="72">
                  <c:v>7924.5953272937086</c:v>
                </c:pt>
                <c:pt idx="73">
                  <c:v>8200.1791125907894</c:v>
                </c:pt>
                <c:pt idx="74">
                  <c:v>8485.1131586010179</c:v>
                </c:pt>
                <c:pt idx="75">
                  <c:v>8779.8300543230107</c:v>
                </c:pt>
                <c:pt idx="76">
                  <c:v>9084.7903960788153</c:v>
                </c:pt>
                <c:pt idx="77">
                  <c:v>9400.4850694616925</c:v>
                </c:pt>
                <c:pt idx="78">
                  <c:v>9727.4377587075141</c:v>
                </c:pt>
                <c:pt idx="79">
                  <c:v>10066.207710359173</c:v>
                </c:pt>
                <c:pt idx="80">
                  <c:v>10417.392781784543</c:v>
                </c:pt>
                <c:pt idx="81">
                  <c:v>10781.632809379889</c:v>
                </c:pt>
                <c:pt idx="82">
                  <c:v>11159.613336245851</c:v>
                </c:pt>
                <c:pt idx="83">
                  <c:v>11552.069744885159</c:v>
                </c:pt>
                <c:pt idx="84">
                  <c:v>11959.791847189965</c:v>
                </c:pt>
                <c:pt idx="85">
                  <c:v>12383.628991840988</c:v>
                </c:pt>
                <c:pt idx="86">
                  <c:v>12824.495758447662</c:v>
                </c:pt>
                <c:pt idx="87">
                  <c:v>13283.3783185837</c:v>
                </c:pt>
                <c:pt idx="88">
                  <c:v>13761.341556635974</c:v>
                </c:pt>
                <c:pt idx="89">
                  <c:v>14259.537058481594</c:v>
                </c:pt>
                <c:pt idx="90">
                  <c:v>14779.212093921496</c:v>
                </c:pt>
                <c:pt idx="91">
                  <c:v>15321.719740125522</c:v>
                </c:pt>
                <c:pt idx="92">
                  <c:v>15888.530318821089</c:v>
                </c:pt>
                <c:pt idx="93">
                  <c:v>16481.244350503686</c:v>
                </c:pt>
                <c:pt idx="94">
                  <c:v>17101.607265707909</c:v>
                </c:pt>
                <c:pt idx="95">
                  <c:v>17751.526157789449</c:v>
                </c:pt>
                <c:pt idx="96">
                  <c:v>18433.088915543467</c:v>
                </c:pt>
                <c:pt idx="97">
                  <c:v>19148.586139617546</c:v>
                </c:pt>
                <c:pt idx="98">
                  <c:v>19900.536326989582</c:v>
                </c:pt>
                <c:pt idx="99">
                  <c:v>20691.714906514491</c:v>
                </c:pt>
                <c:pt idx="100">
                  <c:v>21525.187830514864</c:v>
                </c:pt>
              </c:numCache>
            </c:numRef>
          </c:val>
          <c:smooth val="0"/>
          <c:extLst>
            <c:ext xmlns:c16="http://schemas.microsoft.com/office/drawing/2014/chart" uri="{C3380CC4-5D6E-409C-BE32-E72D297353CC}">
              <c16:uniqueId val="{00000003-8093-4275-A0A4-629DC5917466}"/>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Single'!$AN$110:$AN$210</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68.182658383719087</c:v>
                </c:pt>
                <c:pt idx="29">
                  <c:v>65.843807230608533</c:v>
                </c:pt>
                <c:pt idx="30">
                  <c:v>63.651425668563853</c:v>
                </c:pt>
                <c:pt idx="31">
                  <c:v>61.598699088271317</c:v>
                </c:pt>
                <c:pt idx="32">
                  <c:v>59.672693114960516</c:v>
                </c:pt>
                <c:pt idx="33">
                  <c:v>57.862022792819545</c:v>
                </c:pt>
                <c:pt idx="34">
                  <c:v>56.156627323413943</c:v>
                </c:pt>
                <c:pt idx="35">
                  <c:v>54.54758299315084</c:v>
                </c:pt>
                <c:pt idx="36">
                  <c:v>53.02694694403624</c:v>
                </c:pt>
                <c:pt idx="37">
                  <c:v>51.587626013611278</c:v>
                </c:pt>
                <c:pt idx="38">
                  <c:v>50.223266073159564</c:v>
                </c:pt>
                <c:pt idx="39">
                  <c:v>48.92815822157948</c:v>
                </c:pt>
                <c:pt idx="40">
                  <c:v>47.697158913774167</c:v>
                </c:pt>
                <c:pt idx="41">
                  <c:v>46.525621667000685</c:v>
                </c:pt>
                <c:pt idx="42">
                  <c:v>45.40933843334134</c:v>
                </c:pt>
                <c:pt idx="43">
                  <c:v>44.344489078942019</c:v>
                </c:pt>
                <c:pt idx="44">
                  <c:v>43.327597691679969</c:v>
                </c:pt>
                <c:pt idx="45">
                  <c:v>42.355494664223784</c:v>
                </c:pt>
                <c:pt idx="46">
                  <c:v>41.425283681038948</c:v>
                </c:pt>
                <c:pt idx="47">
                  <c:v>40.534312884998791</c:v>
                </c:pt>
                <c:pt idx="48">
                  <c:v>39.680149619006457</c:v>
                </c:pt>
                <c:pt idx="49">
                  <c:v>38.860558235961221</c:v>
                </c:pt>
                <c:pt idx="50">
                  <c:v>38.073480550838347</c:v>
                </c:pt>
                <c:pt idx="51">
                  <c:v>37.31701857500255</c:v>
                </c:pt>
                <c:pt idx="52">
                  <c:v>36.589419227827328</c:v>
                </c:pt>
                <c:pt idx="53">
                  <c:v>35.889060766381952</c:v>
                </c:pt>
                <c:pt idx="54">
                  <c:v>35.214440712076403</c:v>
                </c:pt>
                <c:pt idx="55">
                  <c:v>34.564165085089662</c:v>
                </c:pt>
                <c:pt idx="56">
                  <c:v>33.93693878424299</c:v>
                </c:pt>
                <c:pt idx="57">
                  <c:v>33.331556972609583</c:v>
                </c:pt>
                <c:pt idx="58">
                  <c:v>32.746897348292322</c:v>
                </c:pt>
                <c:pt idx="59">
                  <c:v>32.181913196042245</c:v>
                </c:pt>
                <c:pt idx="60">
                  <c:v>31.635627129210064</c:v>
                </c:pt>
                <c:pt idx="61">
                  <c:v>31.107125443317582</c:v>
                </c:pt>
                <c:pt idx="62">
                  <c:v>30.595553012628518</c:v>
                </c:pt>
                <c:pt idx="63">
                  <c:v>30.100108669758011</c:v>
                </c:pt>
                <c:pt idx="64">
                  <c:v>29.620041015809864</c:v>
                </c:pt>
                <c:pt idx="65">
                  <c:v>29.15464461495451</c:v>
                </c:pt>
                <c:pt idx="66">
                  <c:v>28.703256532914082</c:v>
                </c:pt>
                <c:pt idx="67">
                  <c:v>28.265253183633082</c:v>
                </c:pt>
                <c:pt idx="68">
                  <c:v>27.840047452590834</c:v>
                </c:pt>
                <c:pt idx="69">
                  <c:v>27.427086068849363</c:v>
                </c:pt>
                <c:pt idx="70">
                  <c:v>27.025847201101161</c:v>
                </c:pt>
                <c:pt idx="71">
                  <c:v>26.635838255753988</c:v>
                </c:pt>
                <c:pt idx="72">
                  <c:v>26.25659385751576</c:v>
                </c:pt>
                <c:pt idx="73">
                  <c:v>25.887673995073481</c:v>
                </c:pt>
                <c:pt idx="74">
                  <c:v>25.528662316331165</c:v>
                </c:pt>
                <c:pt idx="75">
                  <c:v>25.179164559320334</c:v>
                </c:pt>
                <c:pt idx="76">
                  <c:v>24.838807106351123</c:v>
                </c:pt>
                <c:pt idx="77">
                  <c:v>24.507235650256966</c:v>
                </c:pt>
                <c:pt idx="78">
                  <c:v>24.184113962723345</c:v>
                </c:pt>
                <c:pt idx="79">
                  <c:v>23.869122755699852</c:v>
                </c:pt>
                <c:pt idx="80">
                  <c:v>23.56195862779045</c:v>
                </c:pt>
                <c:pt idx="81">
                  <c:v>23.26233308831344</c:v>
                </c:pt>
                <c:pt idx="82">
                  <c:v>22.969971652432317</c:v>
                </c:pt>
                <c:pt idx="83">
                  <c:v>22.684613001391657</c:v>
                </c:pt>
                <c:pt idx="84">
                  <c:v>22.406008202458001</c:v>
                </c:pt>
                <c:pt idx="85">
                  <c:v>22.133919983671106</c:v>
                </c:pt>
                <c:pt idx="86">
                  <c:v>21.868122058964683</c:v>
                </c:pt>
                <c:pt idx="87">
                  <c:v>21.608398499622009</c:v>
                </c:pt>
                <c:pt idx="88">
                  <c:v>21.354543148396957</c:v>
                </c:pt>
                <c:pt idx="89">
                  <c:v>21.106359072959535</c:v>
                </c:pt>
                <c:pt idx="90">
                  <c:v>20.863658055620515</c:v>
                </c:pt>
                <c:pt idx="91">
                  <c:v>20.626260116556463</c:v>
                </c:pt>
                <c:pt idx="92">
                  <c:v>20.393993067996995</c:v>
                </c:pt>
                <c:pt idx="93">
                  <c:v>20.166692097053609</c:v>
                </c:pt>
                <c:pt idx="94">
                  <c:v>19.944199375065946</c:v>
                </c:pt>
                <c:pt idx="95">
                  <c:v>19.726363691519676</c:v>
                </c:pt>
                <c:pt idx="96">
                  <c:v>19.513040110751607</c:v>
                </c:pt>
                <c:pt idx="97">
                  <c:v>19.304089649804073</c:v>
                </c:pt>
                <c:pt idx="98">
                  <c:v>19.099378975924118</c:v>
                </c:pt>
                <c:pt idx="99">
                  <c:v>18.89878012232381</c:v>
                </c:pt>
                <c:pt idx="100">
                  <c:v>18.702170220928377</c:v>
                </c:pt>
              </c:numCache>
            </c:numRef>
          </c:val>
          <c:smooth val="0"/>
          <c:extLst>
            <c:ext xmlns:c16="http://schemas.microsoft.com/office/drawing/2014/chart" uri="{C3380CC4-5D6E-409C-BE32-E72D297353CC}">
              <c16:uniqueId val="{00000000-7DBB-40A7-A5BB-CF5E7DC777D9}"/>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Single'!$AN$5:$AN$105</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101.06523436294729</c:v>
                </c:pt>
                <c:pt idx="40">
                  <c:v>98.571359299016862</c:v>
                </c:pt>
                <c:pt idx="41">
                  <c:v>96.220951318839539</c:v>
                </c:pt>
                <c:pt idx="42">
                  <c:v>93.981691531061927</c:v>
                </c:pt>
                <c:pt idx="43">
                  <c:v>91.844671431000151</c:v>
                </c:pt>
                <c:pt idx="44">
                  <c:v>89.803044805759484</c:v>
                </c:pt>
                <c:pt idx="45">
                  <c:v>87.850563348346213</c:v>
                </c:pt>
                <c:pt idx="46">
                  <c:v>85.981512780569872</c:v>
                </c:pt>
                <c:pt idx="47">
                  <c:v>84.190656993778006</c:v>
                </c:pt>
                <c:pt idx="48">
                  <c:v>82.47318905735338</c:v>
                </c:pt>
                <c:pt idx="49">
                  <c:v>80.824688129651847</c:v>
                </c:pt>
                <c:pt idx="50">
                  <c:v>79.241081458071648</c:v>
                </c:pt>
                <c:pt idx="51">
                  <c:v>77.718610780550605</c:v>
                </c:pt>
                <c:pt idx="52">
                  <c:v>76.253802544983373</c:v>
                </c:pt>
                <c:pt idx="53">
                  <c:v>74.843441449814449</c:v>
                </c:pt>
                <c:pt idx="54">
                  <c:v>73.484546881579377</c:v>
                </c:pt>
                <c:pt idx="55">
                  <c:v>72.174351885985629</c:v>
                </c:pt>
                <c:pt idx="56">
                  <c:v>70.910284360308594</c:v>
                </c:pt>
                <c:pt idx="57">
                  <c:v>69.689950198090912</c:v>
                </c:pt>
                <c:pt idx="58">
                  <c:v>68.511118153733293</c:v>
                </c:pt>
                <c:pt idx="59">
                  <c:v>67.371706225655785</c:v>
                </c:pt>
                <c:pt idx="60">
                  <c:v>66.269769383197982</c:v>
                </c:pt>
                <c:pt idx="61">
                  <c:v>65.203488485057747</c:v>
                </c:pt>
                <c:pt idx="62">
                  <c:v>64.171160256456318</c:v>
                </c:pt>
                <c:pt idx="63">
                  <c:v>63.171188208871129</c:v>
                </c:pt>
                <c:pt idx="64">
                  <c:v>62.202074400517283</c:v>
                </c:pt>
                <c:pt idx="65">
                  <c:v>61.262411948138663</c:v>
                </c:pt>
                <c:pt idx="66">
                  <c:v>60.350878211379623</c:v>
                </c:pt>
                <c:pt idx="67">
                  <c:v>59.466228580298534</c:v>
                </c:pt>
                <c:pt idx="68">
                  <c:v>58.607290804657495</c:v>
                </c:pt>
                <c:pt idx="69">
                  <c:v>57.772959810657397</c:v>
                </c:pt>
                <c:pt idx="70">
                  <c:v>56.962192956924156</c:v>
                </c:pt>
                <c:pt idx="71">
                  <c:v>56.174005686924005</c:v>
                </c:pt>
                <c:pt idx="72">
                  <c:v>55.407467539689904</c:v>
                </c:pt>
                <c:pt idx="73">
                  <c:v>54.661698484873426</c:v>
                </c:pt>
                <c:pt idx="74">
                  <c:v>53.935865551771492</c:v>
                </c:pt>
                <c:pt idx="75">
                  <c:v>53.229179725180266</c:v>
                </c:pt>
                <c:pt idx="76">
                  <c:v>52.540893083756465</c:v>
                </c:pt>
                <c:pt idx="77">
                  <c:v>51.870296159067045</c:v>
                </c:pt>
                <c:pt idx="78">
                  <c:v>51.216715495723044</c:v>
                </c:pt>
                <c:pt idx="79">
                  <c:v>50.579511394959255</c:v>
                </c:pt>
                <c:pt idx="80">
                  <c:v>49.958075825767118</c:v>
                </c:pt>
                <c:pt idx="81">
                  <c:v>49.351830489243014</c:v>
                </c:pt>
                <c:pt idx="82">
                  <c:v>48.760225023198778</c:v>
                </c:pt>
                <c:pt idx="83">
                  <c:v>48.182735335318618</c:v>
                </c:pt>
                <c:pt idx="84">
                  <c:v>47.618862054251302</c:v>
                </c:pt>
                <c:pt idx="85">
                  <c:v>47.06812908901572</c:v>
                </c:pt>
                <c:pt idx="86">
                  <c:v>46.530082287985557</c:v>
                </c:pt>
                <c:pt idx="87">
                  <c:v>46.004288189513581</c:v>
                </c:pt>
                <c:pt idx="88">
                  <c:v>45.490332856972074</c:v>
                </c:pt>
                <c:pt idx="89">
                  <c:v>44.987820791628948</c:v>
                </c:pt>
                <c:pt idx="90">
                  <c:v>44.496373917359598</c:v>
                </c:pt>
                <c:pt idx="91">
                  <c:v>44.0156306317161</c:v>
                </c:pt>
                <c:pt idx="92">
                  <c:v>43.545244918349169</c:v>
                </c:pt>
                <c:pt idx="93">
                  <c:v>43.084885516203826</c:v>
                </c:pt>
                <c:pt idx="94">
                  <c:v>42.634235141297182</c:v>
                </c:pt>
                <c:pt idx="95">
                  <c:v>42.192989757235736</c:v>
                </c:pt>
                <c:pt idx="96">
                  <c:v>41.760857890948117</c:v>
                </c:pt>
                <c:pt idx="97">
                  <c:v>41.337559990396819</c:v>
                </c:pt>
                <c:pt idx="98">
                  <c:v>40.922827821294746</c:v>
                </c:pt>
                <c:pt idx="99">
                  <c:v>40.516403900090928</c:v>
                </c:pt>
                <c:pt idx="100">
                  <c:v>40.11804096070663</c:v>
                </c:pt>
              </c:numCache>
            </c:numRef>
          </c:val>
          <c:smooth val="0"/>
          <c:extLst>
            <c:ext xmlns:c16="http://schemas.microsoft.com/office/drawing/2014/chart" uri="{C3380CC4-5D6E-409C-BE32-E72D297353CC}">
              <c16:uniqueId val="{00000001-7DBB-40A7-A5BB-CF5E7DC777D9}"/>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Single'!$AN$216:$AN$316</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101.06225435387866</c:v>
                </c:pt>
                <c:pt idx="40">
                  <c:v>103.6535942091063</c:v>
                </c:pt>
                <c:pt idx="41">
                  <c:v>106.24493406433395</c:v>
                </c:pt>
                <c:pt idx="42">
                  <c:v>108.84698149662354</c:v>
                </c:pt>
                <c:pt idx="43">
                  <c:v>105.3287679132666</c:v>
                </c:pt>
                <c:pt idx="44">
                  <c:v>102.99674807345986</c:v>
                </c:pt>
                <c:pt idx="45">
                  <c:v>100.76742683353842</c:v>
                </c:pt>
                <c:pt idx="46">
                  <c:v>98.633128429591324</c:v>
                </c:pt>
                <c:pt idx="47">
                  <c:v>96.587903988455736</c:v>
                </c:pt>
                <c:pt idx="48">
                  <c:v>94.626291055916937</c:v>
                </c:pt>
                <c:pt idx="49">
                  <c:v>92.743264876616507</c:v>
                </c:pt>
                <c:pt idx="50">
                  <c:v>90.934195414769022</c:v>
                </c:pt>
                <c:pt idx="51">
                  <c:v>89.194809341692746</c:v>
                </c:pt>
                <c:pt idx="52">
                  <c:v>87.521156333163916</c:v>
                </c:pt>
                <c:pt idx="53">
                  <c:v>85.909579117083567</c:v>
                </c:pt>
                <c:pt idx="54">
                  <c:v>84.356686793445732</c:v>
                </c:pt>
                <c:pt idx="55">
                  <c:v>82.859331016983319</c:v>
                </c:pt>
                <c:pt idx="56">
                  <c:v>81.414584690438218</c:v>
                </c:pt>
                <c:pt idx="57">
                  <c:v>80.01972286503046</c:v>
                </c:pt>
                <c:pt idx="58">
                  <c:v>78.672205585897331</c:v>
                </c:pt>
                <c:pt idx="59">
                  <c:v>77.369662455286829</c:v>
                </c:pt>
                <c:pt idx="60">
                  <c:v>76.109878716125237</c:v>
                </c:pt>
                <c:pt idx="61">
                  <c:v>74.890782684082026</c:v>
                </c:pt>
                <c:pt idx="62">
                  <c:v>73.710434378107266</c:v>
                </c:pt>
                <c:pt idx="63">
                  <c:v>72.56701521819474</c:v>
                </c:pt>
                <c:pt idx="64">
                  <c:v>71.458818675296058</c:v>
                </c:pt>
                <c:pt idx="65">
                  <c:v>70.384241772277548</c:v>
                </c:pt>
                <c:pt idx="66">
                  <c:v>69.341777346898169</c:v>
                </c:pt>
                <c:pt idx="67">
                  <c:v>68.330006998272381</c:v>
                </c:pt>
                <c:pt idx="68">
                  <c:v>67.347594647398424</c:v>
                </c:pt>
                <c:pt idx="69">
                  <c:v>66.393280650274818</c:v>
                </c:pt>
                <c:pt idx="70">
                  <c:v>65.465876409062673</c:v>
                </c:pt>
                <c:pt idx="71">
                  <c:v>64.564259432819341</c:v>
                </c:pt>
                <c:pt idx="72">
                  <c:v>63.687368804645402</c:v>
                </c:pt>
                <c:pt idx="73">
                  <c:v>62.83420101675982</c:v>
                </c:pt>
                <c:pt idx="74">
                  <c:v>62.003806139125608</c:v>
                </c:pt>
                <c:pt idx="75">
                  <c:v>61.195284290872365</c:v>
                </c:pt>
                <c:pt idx="76">
                  <c:v>60.407782386959603</c:v>
                </c:pt>
                <c:pt idx="77">
                  <c:v>59.640491135354623</c:v>
                </c:pt>
                <c:pt idx="78">
                  <c:v>58.892642262504701</c:v>
                </c:pt>
                <c:pt idx="79">
                  <c:v>58.163505947107701</c:v>
                </c:pt>
                <c:pt idx="80">
                  <c:v>57.452388444162565</c:v>
                </c:pt>
                <c:pt idx="81">
                  <c:v>56.758629883039681</c:v>
                </c:pt>
                <c:pt idx="82">
                  <c:v>56.08160222488123</c:v>
                </c:pt>
                <c:pt idx="83">
                  <c:v>55.420707366041</c:v>
                </c:pt>
                <c:pt idx="84">
                  <c:v>54.775375375525329</c:v>
                </c:pt>
                <c:pt idx="85">
                  <c:v>54.145062855518553</c:v>
                </c:pt>
                <c:pt idx="86">
                  <c:v>53.529251415079564</c:v>
                </c:pt>
                <c:pt idx="87">
                  <c:v>52.927446247999896</c:v>
                </c:pt>
                <c:pt idx="88">
                  <c:v>52.339174806622928</c:v>
                </c:pt>
                <c:pt idx="89">
                  <c:v>51.76398556415397</c:v>
                </c:pt>
                <c:pt idx="90">
                  <c:v>51.201446858648445</c:v>
                </c:pt>
                <c:pt idx="91">
                  <c:v>50.651145812457855</c:v>
                </c:pt>
                <c:pt idx="92">
                  <c:v>50.112687321449215</c:v>
                </c:pt>
                <c:pt idx="93">
                  <c:v>49.585693108797514</c:v>
                </c:pt>
                <c:pt idx="94">
                  <c:v>49.069800838589011</c:v>
                </c:pt>
                <c:pt idx="95">
                  <c:v>48.564663284870946</c:v>
                </c:pt>
                <c:pt idx="96">
                  <c:v>48.069947552142594</c:v>
                </c:pt>
                <c:pt idx="97">
                  <c:v>47.58533434361054</c:v>
                </c:pt>
                <c:pt idx="98">
                  <c:v>47.11051727382808</c:v>
                </c:pt>
                <c:pt idx="99">
                  <c:v>46.645202222609456</c:v>
                </c:pt>
                <c:pt idx="100">
                  <c:v>46.189106727355785</c:v>
                </c:pt>
              </c:numCache>
            </c:numRef>
          </c:val>
          <c:smooth val="0"/>
          <c:extLst>
            <c:ext xmlns:c16="http://schemas.microsoft.com/office/drawing/2014/chart" uri="{C3380CC4-5D6E-409C-BE32-E72D297353CC}">
              <c16:uniqueId val="{00000002-7DBB-40A7-A5BB-CF5E7DC777D9}"/>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7DBB-40A7-A5BB-CF5E7DC777D9}"/>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7DBB-40A7-A5BB-CF5E7DC777D9}"/>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7DBB-40A7-A5BB-CF5E7DC777D9}"/>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10.247286162226052</c:v>
                </c:pt>
                <c:pt idx="29">
                  <c:v>10.616101413961234</c:v>
                </c:pt>
                <c:pt idx="30">
                  <c:v>10.986322458763867</c:v>
                </c:pt>
                <c:pt idx="31">
                  <c:v>11.356824228392131</c:v>
                </c:pt>
                <c:pt idx="32">
                  <c:v>11.727607130348694</c:v>
                </c:pt>
                <c:pt idx="33">
                  <c:v>12.098671572925729</c:v>
                </c:pt>
                <c:pt idx="34">
                  <c:v>12.47001796520677</c:v>
                </c:pt>
                <c:pt idx="35">
                  <c:v>12.841646717068587</c:v>
                </c:pt>
                <c:pt idx="36">
                  <c:v>13.213558239183055</c:v>
                </c:pt>
                <c:pt idx="37">
                  <c:v>13.58575294301906</c:v>
                </c:pt>
                <c:pt idx="38">
                  <c:v>13.958231240844384</c:v>
                </c:pt>
                <c:pt idx="39">
                  <c:v>14.330993545727644</c:v>
                </c:pt>
                <c:pt idx="40">
                  <c:v>14.704040271540199</c:v>
                </c:pt>
                <c:pt idx="41">
                  <c:v>15.077371832958086</c:v>
                </c:pt>
                <c:pt idx="42">
                  <c:v>15.450988645463967</c:v>
                </c:pt>
                <c:pt idx="43">
                  <c:v>15.82489112534906</c:v>
                </c:pt>
                <c:pt idx="44">
                  <c:v>16.199079689715123</c:v>
                </c:pt>
                <c:pt idx="45">
                  <c:v>16.573554756476394</c:v>
                </c:pt>
                <c:pt idx="46">
                  <c:v>16.948316744361573</c:v>
                </c:pt>
                <c:pt idx="47">
                  <c:v>17.323366072915782</c:v>
                </c:pt>
                <c:pt idx="48">
                  <c:v>17.698703162502586</c:v>
                </c:pt>
                <c:pt idx="49">
                  <c:v>18.074328434305951</c:v>
                </c:pt>
                <c:pt idx="50">
                  <c:v>18.450242310332232</c:v>
                </c:pt>
                <c:pt idx="51">
                  <c:v>18.826445213412217</c:v>
                </c:pt>
                <c:pt idx="52">
                  <c:v>19.202937567203126</c:v>
                </c:pt>
                <c:pt idx="53">
                  <c:v>19.579719796190581</c:v>
                </c:pt>
                <c:pt idx="54">
                  <c:v>19.956792325690696</c:v>
                </c:pt>
                <c:pt idx="55">
                  <c:v>20.334155581852055</c:v>
                </c:pt>
                <c:pt idx="56">
                  <c:v>20.711809991657777</c:v>
                </c:pt>
                <c:pt idx="57">
                  <c:v>21.089755982927542</c:v>
                </c:pt>
                <c:pt idx="58">
                  <c:v>21.467993984319662</c:v>
                </c:pt>
                <c:pt idx="59">
                  <c:v>21.846524425333087</c:v>
                </c:pt>
                <c:pt idx="60">
                  <c:v>22.225347736309505</c:v>
                </c:pt>
                <c:pt idx="61">
                  <c:v>22.604464348435414</c:v>
                </c:pt>
                <c:pt idx="62">
                  <c:v>22.983874693744163</c:v>
                </c:pt>
                <c:pt idx="63">
                  <c:v>23.363579205118057</c:v>
                </c:pt>
                <c:pt idx="64">
                  <c:v>23.743578316290431</c:v>
                </c:pt>
                <c:pt idx="65">
                  <c:v>24.123872461847725</c:v>
                </c:pt>
                <c:pt idx="66">
                  <c:v>24.504462077231633</c:v>
                </c:pt>
                <c:pt idx="67">
                  <c:v>24.885347598741141</c:v>
                </c:pt>
                <c:pt idx="68">
                  <c:v>25.266529463534685</c:v>
                </c:pt>
                <c:pt idx="69">
                  <c:v>25.648008109632233</c:v>
                </c:pt>
                <c:pt idx="70">
                  <c:v>26.029783975917482</c:v>
                </c:pt>
                <c:pt idx="71">
                  <c:v>26.411857502139856</c:v>
                </c:pt>
                <c:pt idx="72">
                  <c:v>26.794229128916772</c:v>
                </c:pt>
                <c:pt idx="73">
                  <c:v>27.176899297735719</c:v>
                </c:pt>
                <c:pt idx="74">
                  <c:v>27.559868450956383</c:v>
                </c:pt>
                <c:pt idx="75">
                  <c:v>27.943137031812864</c:v>
                </c:pt>
                <c:pt idx="76">
                  <c:v>28.326705484415797</c:v>
                </c:pt>
                <c:pt idx="77">
                  <c:v>28.710574253754544</c:v>
                </c:pt>
                <c:pt idx="78">
                  <c:v>29.094743785699315</c:v>
                </c:pt>
                <c:pt idx="79">
                  <c:v>29.479214527003425</c:v>
                </c:pt>
                <c:pt idx="80">
                  <c:v>29.863986925305429</c:v>
                </c:pt>
                <c:pt idx="81">
                  <c:v>30.249061429131327</c:v>
                </c:pt>
                <c:pt idx="82">
                  <c:v>30.634438487896738</c:v>
                </c:pt>
                <c:pt idx="83">
                  <c:v>31.020118551909206</c:v>
                </c:pt>
                <c:pt idx="84">
                  <c:v>31.406102072370285</c:v>
                </c:pt>
                <c:pt idx="85">
                  <c:v>31.792389501377812</c:v>
                </c:pt>
                <c:pt idx="86">
                  <c:v>32.178981291928174</c:v>
                </c:pt>
                <c:pt idx="87">
                  <c:v>32.565877897918476</c:v>
                </c:pt>
                <c:pt idx="88">
                  <c:v>32.953079774148819</c:v>
                </c:pt>
                <c:pt idx="89">
                  <c:v>33.340587376324542</c:v>
                </c:pt>
                <c:pt idx="90">
                  <c:v>33.72840116105845</c:v>
                </c:pt>
                <c:pt idx="91">
                  <c:v>34.116521585873102</c:v>
                </c:pt>
                <c:pt idx="92">
                  <c:v>34.504949109203096</c:v>
                </c:pt>
                <c:pt idx="93">
                  <c:v>34.893684190397281</c:v>
                </c:pt>
                <c:pt idx="94">
                  <c:v>35.282727289721073</c:v>
                </c:pt>
                <c:pt idx="95">
                  <c:v>35.672078868358781</c:v>
                </c:pt>
                <c:pt idx="96">
                  <c:v>36.061739388415809</c:v>
                </c:pt>
                <c:pt idx="97">
                  <c:v>36.451709312921047</c:v>
                </c:pt>
                <c:pt idx="98">
                  <c:v>36.841989105829114</c:v>
                </c:pt>
                <c:pt idx="99">
                  <c:v>37.232579232022715</c:v>
                </c:pt>
                <c:pt idx="100">
                  <c:v>37.623480157314958</c:v>
                </c:pt>
              </c:numCache>
            </c:numRef>
          </c:val>
          <c:smooth val="0"/>
          <c:extLst>
            <c:ext xmlns:c16="http://schemas.microsoft.com/office/drawing/2014/chart" uri="{C3380CC4-5D6E-409C-BE32-E72D297353CC}">
              <c16:uniqueId val="{00000000-DE5E-470B-BC83-CF3F840E873B}"/>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Single'!$AJ$5:$AJ$105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10.154662973101839</c:v>
                </c:pt>
                <c:pt idx="41">
                  <c:v>10.409193027338077</c:v>
                </c:pt>
                <c:pt idx="42">
                  <c:v>10.663876203341809</c:v>
                </c:pt>
                <c:pt idx="43">
                  <c:v>10.918597674665776</c:v>
                </c:pt>
                <c:pt idx="44">
                  <c:v>11.173357453904231</c:v>
                </c:pt>
                <c:pt idx="45">
                  <c:v>11.428155553656969</c:v>
                </c:pt>
                <c:pt idx="46">
                  <c:v>11.682991986529341</c:v>
                </c:pt>
                <c:pt idx="47">
                  <c:v>11.937866765132206</c:v>
                </c:pt>
                <c:pt idx="48">
                  <c:v>12.192779902082005</c:v>
                </c:pt>
                <c:pt idx="49">
                  <c:v>12.447731410000706</c:v>
                </c:pt>
                <c:pt idx="50">
                  <c:v>12.702721301515826</c:v>
                </c:pt>
                <c:pt idx="51">
                  <c:v>12.957749589260434</c:v>
                </c:pt>
                <c:pt idx="52">
                  <c:v>13.21281628587316</c:v>
                </c:pt>
                <c:pt idx="53">
                  <c:v>13.467921403998176</c:v>
                </c:pt>
                <c:pt idx="54">
                  <c:v>13.723064956285217</c:v>
                </c:pt>
                <c:pt idx="55">
                  <c:v>13.978246955389578</c:v>
                </c:pt>
                <c:pt idx="56">
                  <c:v>14.233467413972116</c:v>
                </c:pt>
                <c:pt idx="57">
                  <c:v>14.488726344699256</c:v>
                </c:pt>
                <c:pt idx="58">
                  <c:v>14.744023760242987</c:v>
                </c:pt>
                <c:pt idx="59">
                  <c:v>14.999359673280864</c:v>
                </c:pt>
                <c:pt idx="60">
                  <c:v>15.254734096496021</c:v>
                </c:pt>
                <c:pt idx="61">
                  <c:v>15.510147042577165</c:v>
                </c:pt>
                <c:pt idx="62">
                  <c:v>15.765598524218584</c:v>
                </c:pt>
                <c:pt idx="63">
                  <c:v>16.021088554120141</c:v>
                </c:pt>
                <c:pt idx="64">
                  <c:v>16.276617144987288</c:v>
                </c:pt>
                <c:pt idx="65">
                  <c:v>16.532184309531061</c:v>
                </c:pt>
                <c:pt idx="66">
                  <c:v>16.787790060468097</c:v>
                </c:pt>
                <c:pt idx="67">
                  <c:v>17.043434410520597</c:v>
                </c:pt>
                <c:pt idx="68">
                  <c:v>17.299117372416401</c:v>
                </c:pt>
                <c:pt idx="69">
                  <c:v>17.554838958888897</c:v>
                </c:pt>
                <c:pt idx="70">
                  <c:v>17.810599182677112</c:v>
                </c:pt>
                <c:pt idx="71">
                  <c:v>18.066398056525671</c:v>
                </c:pt>
                <c:pt idx="72">
                  <c:v>18.322235593184789</c:v>
                </c:pt>
                <c:pt idx="73">
                  <c:v>18.578111805410309</c:v>
                </c:pt>
                <c:pt idx="74">
                  <c:v>18.834026705963684</c:v>
                </c:pt>
                <c:pt idx="75">
                  <c:v>19.089980307611967</c:v>
                </c:pt>
                <c:pt idx="76">
                  <c:v>19.345972623127857</c:v>
                </c:pt>
                <c:pt idx="77">
                  <c:v>19.602003665289658</c:v>
                </c:pt>
                <c:pt idx="78">
                  <c:v>19.858073446881303</c:v>
                </c:pt>
                <c:pt idx="79">
                  <c:v>20.114181980692344</c:v>
                </c:pt>
                <c:pt idx="80">
                  <c:v>20.370329279517986</c:v>
                </c:pt>
                <c:pt idx="81">
                  <c:v>20.62651535615905</c:v>
                </c:pt>
                <c:pt idx="82">
                  <c:v>20.882740223421997</c:v>
                </c:pt>
                <c:pt idx="83">
                  <c:v>21.139003894118947</c:v>
                </c:pt>
                <c:pt idx="84">
                  <c:v>21.395306381067627</c:v>
                </c:pt>
                <c:pt idx="85">
                  <c:v>21.651647697091448</c:v>
                </c:pt>
                <c:pt idx="86">
                  <c:v>21.908027855019451</c:v>
                </c:pt>
                <c:pt idx="87">
                  <c:v>22.16444686768633</c:v>
                </c:pt>
                <c:pt idx="88">
                  <c:v>22.420904747932436</c:v>
                </c:pt>
                <c:pt idx="89">
                  <c:v>22.67740150860379</c:v>
                </c:pt>
                <c:pt idx="90">
                  <c:v>22.933937162552066</c:v>
                </c:pt>
                <c:pt idx="91">
                  <c:v>23.190511722634593</c:v>
                </c:pt>
                <c:pt idx="92">
                  <c:v>23.447125201714389</c:v>
                </c:pt>
                <c:pt idx="93">
                  <c:v>23.703777612660126</c:v>
                </c:pt>
                <c:pt idx="94">
                  <c:v>23.960468968346159</c:v>
                </c:pt>
                <c:pt idx="95">
                  <c:v>24.217199281652526</c:v>
                </c:pt>
                <c:pt idx="96">
                  <c:v>24.473968565464936</c:v>
                </c:pt>
                <c:pt idx="97">
                  <c:v>24.730776832674781</c:v>
                </c:pt>
                <c:pt idx="98">
                  <c:v>24.987624096179143</c:v>
                </c:pt>
                <c:pt idx="99">
                  <c:v>25.244510368880793</c:v>
                </c:pt>
                <c:pt idx="100">
                  <c:v>25.501435663688198</c:v>
                </c:pt>
              </c:numCache>
            </c:numRef>
          </c:val>
          <c:smooth val="1"/>
          <c:extLst>
            <c:ext xmlns:c16="http://schemas.microsoft.com/office/drawing/2014/chart" uri="{C3380CC4-5D6E-409C-BE32-E72D297353CC}">
              <c16:uniqueId val="{00000001-DE5E-470B-BC83-CF3F840E873B}"/>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10.178319553476159</c:v>
                </c:pt>
                <c:pt idx="44">
                  <c:v>10.415464999688375</c:v>
                </c:pt>
                <c:pt idx="45">
                  <c:v>10.652671647494241</c:v>
                </c:pt>
                <c:pt idx="46">
                  <c:v>10.889900211513332</c:v>
                </c:pt>
                <c:pt idx="47">
                  <c:v>11.127150696328899</c:v>
                </c:pt>
                <c:pt idx="48">
                  <c:v>11.364423106525493</c:v>
                </c:pt>
                <c:pt idx="49">
                  <c:v>11.60171744668893</c:v>
                </c:pt>
                <c:pt idx="50">
                  <c:v>11.839033721406324</c:v>
                </c:pt>
                <c:pt idx="51">
                  <c:v>12.076371935266069</c:v>
                </c:pt>
                <c:pt idx="52">
                  <c:v>12.313732092857846</c:v>
                </c:pt>
                <c:pt idx="53">
                  <c:v>12.551114198772613</c:v>
                </c:pt>
                <c:pt idx="54">
                  <c:v>12.788518257602622</c:v>
                </c:pt>
                <c:pt idx="55">
                  <c:v>13.025944273941395</c:v>
                </c:pt>
                <c:pt idx="56">
                  <c:v>13.263392252383763</c:v>
                </c:pt>
                <c:pt idx="57">
                  <c:v>13.500862197525814</c:v>
                </c:pt>
                <c:pt idx="58">
                  <c:v>13.738354113964942</c:v>
                </c:pt>
                <c:pt idx="59">
                  <c:v>13.975868006299814</c:v>
                </c:pt>
                <c:pt idx="60">
                  <c:v>14.213403879130389</c:v>
                </c:pt>
                <c:pt idx="61">
                  <c:v>14.450961737057908</c:v>
                </c:pt>
                <c:pt idx="62">
                  <c:v>14.688541584684906</c:v>
                </c:pt>
                <c:pt idx="63">
                  <c:v>14.926143426615187</c:v>
                </c:pt>
                <c:pt idx="64">
                  <c:v>15.163767267453858</c:v>
                </c:pt>
                <c:pt idx="65">
                  <c:v>15.40141311180731</c:v>
                </c:pt>
                <c:pt idx="66">
                  <c:v>15.639080964283215</c:v>
                </c:pt>
                <c:pt idx="67">
                  <c:v>15.876770829490537</c:v>
                </c:pt>
                <c:pt idx="68">
                  <c:v>16.114482712039536</c:v>
                </c:pt>
                <c:pt idx="69">
                  <c:v>16.352216616541739</c:v>
                </c:pt>
                <c:pt idx="70">
                  <c:v>16.589972547609992</c:v>
                </c:pt>
                <c:pt idx="71">
                  <c:v>16.827750509858397</c:v>
                </c:pt>
                <c:pt idx="72">
                  <c:v>17.065550507902373</c:v>
                </c:pt>
                <c:pt idx="73">
                  <c:v>17.303372546358617</c:v>
                </c:pt>
                <c:pt idx="74">
                  <c:v>17.541216629845117</c:v>
                </c:pt>
                <c:pt idx="75">
                  <c:v>17.779082762981155</c:v>
                </c:pt>
                <c:pt idx="76">
                  <c:v>18.016970950387293</c:v>
                </c:pt>
                <c:pt idx="77">
                  <c:v>18.254881196685403</c:v>
                </c:pt>
                <c:pt idx="78">
                  <c:v>18.492813506498631</c:v>
                </c:pt>
                <c:pt idx="79">
                  <c:v>18.730767884451438</c:v>
                </c:pt>
                <c:pt idx="80">
                  <c:v>18.968744335169553</c:v>
                </c:pt>
                <c:pt idx="81">
                  <c:v>19.206742863280009</c:v>
                </c:pt>
                <c:pt idx="82">
                  <c:v>19.44476347341114</c:v>
                </c:pt>
                <c:pt idx="83">
                  <c:v>19.682806170192553</c:v>
                </c:pt>
                <c:pt idx="84">
                  <c:v>19.92087095825519</c:v>
                </c:pt>
                <c:pt idx="85">
                  <c:v>20.158957842231235</c:v>
                </c:pt>
                <c:pt idx="86">
                  <c:v>20.397066826754212</c:v>
                </c:pt>
                <c:pt idx="87">
                  <c:v>20.635197916458921</c:v>
                </c:pt>
                <c:pt idx="88">
                  <c:v>20.873351115981457</c:v>
                </c:pt>
                <c:pt idx="89">
                  <c:v>21.111526429959213</c:v>
                </c:pt>
                <c:pt idx="90">
                  <c:v>21.349723863030881</c:v>
                </c:pt>
                <c:pt idx="91">
                  <c:v>21.587943419836463</c:v>
                </c:pt>
                <c:pt idx="92">
                  <c:v>21.826185105017245</c:v>
                </c:pt>
                <c:pt idx="93">
                  <c:v>22.064448923215796</c:v>
                </c:pt>
                <c:pt idx="94">
                  <c:v>22.302734879076027</c:v>
                </c:pt>
                <c:pt idx="95">
                  <c:v>22.541042977243105</c:v>
                </c:pt>
                <c:pt idx="96">
                  <c:v>22.779373222363528</c:v>
                </c:pt>
                <c:pt idx="97">
                  <c:v>23.01772561908507</c:v>
                </c:pt>
                <c:pt idx="98">
                  <c:v>23.256100172056836</c:v>
                </c:pt>
                <c:pt idx="99">
                  <c:v>23.494496885929198</c:v>
                </c:pt>
                <c:pt idx="100">
                  <c:v>23.732915765353852</c:v>
                </c:pt>
              </c:numCache>
            </c:numRef>
          </c:val>
          <c:smooth val="1"/>
          <c:extLst>
            <c:ext xmlns:c16="http://schemas.microsoft.com/office/drawing/2014/chart" uri="{C3380CC4-5D6E-409C-BE32-E72D297353CC}">
              <c16:uniqueId val="{00000002-DE5E-470B-BC83-CF3F840E873B}"/>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Single'!$AN$110:$AN$210</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68.182658383719087</c:v>
                </c:pt>
                <c:pt idx="29">
                  <c:v>65.843807230608533</c:v>
                </c:pt>
                <c:pt idx="30">
                  <c:v>63.651425668563853</c:v>
                </c:pt>
                <c:pt idx="31">
                  <c:v>61.598699088271317</c:v>
                </c:pt>
                <c:pt idx="32">
                  <c:v>59.672693114960516</c:v>
                </c:pt>
                <c:pt idx="33">
                  <c:v>57.862022792819545</c:v>
                </c:pt>
                <c:pt idx="34">
                  <c:v>56.156627323413943</c:v>
                </c:pt>
                <c:pt idx="35">
                  <c:v>54.54758299315084</c:v>
                </c:pt>
                <c:pt idx="36">
                  <c:v>53.02694694403624</c:v>
                </c:pt>
                <c:pt idx="37">
                  <c:v>51.587626013611278</c:v>
                </c:pt>
                <c:pt idx="38">
                  <c:v>50.223266073159564</c:v>
                </c:pt>
                <c:pt idx="39">
                  <c:v>48.92815822157948</c:v>
                </c:pt>
                <c:pt idx="40">
                  <c:v>47.697158913774167</c:v>
                </c:pt>
                <c:pt idx="41">
                  <c:v>46.525621667000685</c:v>
                </c:pt>
                <c:pt idx="42">
                  <c:v>45.40933843334134</c:v>
                </c:pt>
                <c:pt idx="43">
                  <c:v>44.344489078942019</c:v>
                </c:pt>
                <c:pt idx="44">
                  <c:v>43.327597691679969</c:v>
                </c:pt>
                <c:pt idx="45">
                  <c:v>42.355494664223784</c:v>
                </c:pt>
                <c:pt idx="46">
                  <c:v>41.425283681038948</c:v>
                </c:pt>
                <c:pt idx="47">
                  <c:v>40.534312884998791</c:v>
                </c:pt>
                <c:pt idx="48">
                  <c:v>39.680149619006457</c:v>
                </c:pt>
                <c:pt idx="49">
                  <c:v>38.860558235961221</c:v>
                </c:pt>
                <c:pt idx="50">
                  <c:v>38.073480550838347</c:v>
                </c:pt>
                <c:pt idx="51">
                  <c:v>37.31701857500255</c:v>
                </c:pt>
                <c:pt idx="52">
                  <c:v>36.589419227827328</c:v>
                </c:pt>
                <c:pt idx="53">
                  <c:v>35.889060766381952</c:v>
                </c:pt>
                <c:pt idx="54">
                  <c:v>35.214440712076403</c:v>
                </c:pt>
                <c:pt idx="55">
                  <c:v>34.564165085089662</c:v>
                </c:pt>
                <c:pt idx="56">
                  <c:v>33.93693878424299</c:v>
                </c:pt>
                <c:pt idx="57">
                  <c:v>33.331556972609583</c:v>
                </c:pt>
                <c:pt idx="58">
                  <c:v>32.746897348292322</c:v>
                </c:pt>
                <c:pt idx="59">
                  <c:v>32.181913196042245</c:v>
                </c:pt>
                <c:pt idx="60">
                  <c:v>31.635627129210064</c:v>
                </c:pt>
                <c:pt idx="61">
                  <c:v>31.107125443317582</c:v>
                </c:pt>
                <c:pt idx="62">
                  <c:v>30.595553012628518</c:v>
                </c:pt>
                <c:pt idx="63">
                  <c:v>30.100108669758011</c:v>
                </c:pt>
                <c:pt idx="64">
                  <c:v>29.620041015809864</c:v>
                </c:pt>
                <c:pt idx="65">
                  <c:v>29.15464461495451</c:v>
                </c:pt>
                <c:pt idx="66">
                  <c:v>28.703256532914082</c:v>
                </c:pt>
                <c:pt idx="67">
                  <c:v>28.265253183633082</c:v>
                </c:pt>
                <c:pt idx="68">
                  <c:v>27.840047452590834</c:v>
                </c:pt>
                <c:pt idx="69">
                  <c:v>27.427086068849363</c:v>
                </c:pt>
                <c:pt idx="70">
                  <c:v>27.025847201101161</c:v>
                </c:pt>
                <c:pt idx="71">
                  <c:v>26.635838255753988</c:v>
                </c:pt>
                <c:pt idx="72">
                  <c:v>26.25659385751576</c:v>
                </c:pt>
                <c:pt idx="73">
                  <c:v>25.887673995073481</c:v>
                </c:pt>
                <c:pt idx="74">
                  <c:v>25.528662316331165</c:v>
                </c:pt>
                <c:pt idx="75">
                  <c:v>25.179164559320334</c:v>
                </c:pt>
                <c:pt idx="76">
                  <c:v>24.838807106351123</c:v>
                </c:pt>
                <c:pt idx="77">
                  <c:v>24.507235650256966</c:v>
                </c:pt>
                <c:pt idx="78">
                  <c:v>24.184113962723345</c:v>
                </c:pt>
                <c:pt idx="79">
                  <c:v>23.869122755699852</c:v>
                </c:pt>
                <c:pt idx="80">
                  <c:v>23.56195862779045</c:v>
                </c:pt>
                <c:pt idx="81">
                  <c:v>23.26233308831344</c:v>
                </c:pt>
                <c:pt idx="82">
                  <c:v>22.969971652432317</c:v>
                </c:pt>
                <c:pt idx="83">
                  <c:v>22.684613001391657</c:v>
                </c:pt>
                <c:pt idx="84">
                  <c:v>22.406008202458001</c:v>
                </c:pt>
                <c:pt idx="85">
                  <c:v>22.133919983671106</c:v>
                </c:pt>
                <c:pt idx="86">
                  <c:v>21.868122058964683</c:v>
                </c:pt>
                <c:pt idx="87">
                  <c:v>21.608398499622009</c:v>
                </c:pt>
                <c:pt idx="88">
                  <c:v>21.354543148396957</c:v>
                </c:pt>
                <c:pt idx="89">
                  <c:v>21.106359072959535</c:v>
                </c:pt>
                <c:pt idx="90">
                  <c:v>20.863658055620515</c:v>
                </c:pt>
                <c:pt idx="91">
                  <c:v>20.626260116556463</c:v>
                </c:pt>
                <c:pt idx="92">
                  <c:v>20.393993067996995</c:v>
                </c:pt>
                <c:pt idx="93">
                  <c:v>20.166692097053609</c:v>
                </c:pt>
                <c:pt idx="94">
                  <c:v>19.944199375065946</c:v>
                </c:pt>
                <c:pt idx="95">
                  <c:v>19.726363691519676</c:v>
                </c:pt>
                <c:pt idx="96">
                  <c:v>19.513040110751607</c:v>
                </c:pt>
                <c:pt idx="97">
                  <c:v>19.304089649804073</c:v>
                </c:pt>
                <c:pt idx="98">
                  <c:v>19.099378975924118</c:v>
                </c:pt>
                <c:pt idx="99">
                  <c:v>18.89878012232381</c:v>
                </c:pt>
                <c:pt idx="100">
                  <c:v>18.702170220928377</c:v>
                </c:pt>
              </c:numCache>
            </c:numRef>
          </c:val>
          <c:smooth val="0"/>
          <c:extLst>
            <c:ext xmlns:c16="http://schemas.microsoft.com/office/drawing/2014/chart" uri="{C3380CC4-5D6E-409C-BE32-E72D297353CC}">
              <c16:uniqueId val="{00000000-33CF-4CE8-9C2E-6191AB4D2064}"/>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Single'!$AN$5:$AN$105</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101.06523436294729</c:v>
                </c:pt>
                <c:pt idx="40">
                  <c:v>98.571359299016862</c:v>
                </c:pt>
                <c:pt idx="41">
                  <c:v>96.220951318839539</c:v>
                </c:pt>
                <c:pt idx="42">
                  <c:v>93.981691531061927</c:v>
                </c:pt>
                <c:pt idx="43">
                  <c:v>91.844671431000151</c:v>
                </c:pt>
                <c:pt idx="44">
                  <c:v>89.803044805759484</c:v>
                </c:pt>
                <c:pt idx="45">
                  <c:v>87.850563348346213</c:v>
                </c:pt>
                <c:pt idx="46">
                  <c:v>85.981512780569872</c:v>
                </c:pt>
                <c:pt idx="47">
                  <c:v>84.190656993778006</c:v>
                </c:pt>
                <c:pt idx="48">
                  <c:v>82.47318905735338</c:v>
                </c:pt>
                <c:pt idx="49">
                  <c:v>80.824688129651847</c:v>
                </c:pt>
                <c:pt idx="50">
                  <c:v>79.241081458071648</c:v>
                </c:pt>
                <c:pt idx="51">
                  <c:v>77.718610780550605</c:v>
                </c:pt>
                <c:pt idx="52">
                  <c:v>76.253802544983373</c:v>
                </c:pt>
                <c:pt idx="53">
                  <c:v>74.843441449814449</c:v>
                </c:pt>
                <c:pt idx="54">
                  <c:v>73.484546881579377</c:v>
                </c:pt>
                <c:pt idx="55">
                  <c:v>72.174351885985629</c:v>
                </c:pt>
                <c:pt idx="56">
                  <c:v>70.910284360308594</c:v>
                </c:pt>
                <c:pt idx="57">
                  <c:v>69.689950198090912</c:v>
                </c:pt>
                <c:pt idx="58">
                  <c:v>68.511118153733293</c:v>
                </c:pt>
                <c:pt idx="59">
                  <c:v>67.371706225655785</c:v>
                </c:pt>
                <c:pt idx="60">
                  <c:v>66.269769383197982</c:v>
                </c:pt>
                <c:pt idx="61">
                  <c:v>65.203488485057747</c:v>
                </c:pt>
                <c:pt idx="62">
                  <c:v>64.171160256456318</c:v>
                </c:pt>
                <c:pt idx="63">
                  <c:v>63.171188208871129</c:v>
                </c:pt>
                <c:pt idx="64">
                  <c:v>62.202074400517283</c:v>
                </c:pt>
                <c:pt idx="65">
                  <c:v>61.262411948138663</c:v>
                </c:pt>
                <c:pt idx="66">
                  <c:v>60.350878211379623</c:v>
                </c:pt>
                <c:pt idx="67">
                  <c:v>59.466228580298534</c:v>
                </c:pt>
                <c:pt idx="68">
                  <c:v>58.607290804657495</c:v>
                </c:pt>
                <c:pt idx="69">
                  <c:v>57.772959810657397</c:v>
                </c:pt>
                <c:pt idx="70">
                  <c:v>56.962192956924156</c:v>
                </c:pt>
                <c:pt idx="71">
                  <c:v>56.174005686924005</c:v>
                </c:pt>
                <c:pt idx="72">
                  <c:v>55.407467539689904</c:v>
                </c:pt>
                <c:pt idx="73">
                  <c:v>54.661698484873426</c:v>
                </c:pt>
                <c:pt idx="74">
                  <c:v>53.935865551771492</c:v>
                </c:pt>
                <c:pt idx="75">
                  <c:v>53.229179725180266</c:v>
                </c:pt>
                <c:pt idx="76">
                  <c:v>52.540893083756465</c:v>
                </c:pt>
                <c:pt idx="77">
                  <c:v>51.870296159067045</c:v>
                </c:pt>
                <c:pt idx="78">
                  <c:v>51.216715495723044</c:v>
                </c:pt>
                <c:pt idx="79">
                  <c:v>50.579511394959255</c:v>
                </c:pt>
                <c:pt idx="80">
                  <c:v>49.958075825767118</c:v>
                </c:pt>
                <c:pt idx="81">
                  <c:v>49.351830489243014</c:v>
                </c:pt>
                <c:pt idx="82">
                  <c:v>48.760225023198778</c:v>
                </c:pt>
                <c:pt idx="83">
                  <c:v>48.182735335318618</c:v>
                </c:pt>
                <c:pt idx="84">
                  <c:v>47.618862054251302</c:v>
                </c:pt>
                <c:pt idx="85">
                  <c:v>47.06812908901572</c:v>
                </c:pt>
                <c:pt idx="86">
                  <c:v>46.530082287985557</c:v>
                </c:pt>
                <c:pt idx="87">
                  <c:v>46.004288189513581</c:v>
                </c:pt>
                <c:pt idx="88">
                  <c:v>45.490332856972074</c:v>
                </c:pt>
                <c:pt idx="89">
                  <c:v>44.987820791628948</c:v>
                </c:pt>
                <c:pt idx="90">
                  <c:v>44.496373917359598</c:v>
                </c:pt>
                <c:pt idx="91">
                  <c:v>44.0156306317161</c:v>
                </c:pt>
                <c:pt idx="92">
                  <c:v>43.545244918349169</c:v>
                </c:pt>
                <c:pt idx="93">
                  <c:v>43.084885516203826</c:v>
                </c:pt>
                <c:pt idx="94">
                  <c:v>42.634235141297182</c:v>
                </c:pt>
                <c:pt idx="95">
                  <c:v>42.192989757235736</c:v>
                </c:pt>
                <c:pt idx="96">
                  <c:v>41.760857890948117</c:v>
                </c:pt>
                <c:pt idx="97">
                  <c:v>41.337559990396819</c:v>
                </c:pt>
                <c:pt idx="98">
                  <c:v>40.922827821294746</c:v>
                </c:pt>
                <c:pt idx="99">
                  <c:v>40.516403900090928</c:v>
                </c:pt>
                <c:pt idx="100">
                  <c:v>40.11804096070663</c:v>
                </c:pt>
              </c:numCache>
            </c:numRef>
          </c:val>
          <c:smooth val="0"/>
          <c:extLst>
            <c:ext xmlns:c16="http://schemas.microsoft.com/office/drawing/2014/chart" uri="{C3380CC4-5D6E-409C-BE32-E72D297353CC}">
              <c16:uniqueId val="{00000001-33CF-4CE8-9C2E-6191AB4D2064}"/>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Single'!$AN$216:$AN$316</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101.06225435387866</c:v>
                </c:pt>
                <c:pt idx="40">
                  <c:v>103.6535942091063</c:v>
                </c:pt>
                <c:pt idx="41">
                  <c:v>106.24493406433395</c:v>
                </c:pt>
                <c:pt idx="42">
                  <c:v>108.84698149662354</c:v>
                </c:pt>
                <c:pt idx="43">
                  <c:v>105.3287679132666</c:v>
                </c:pt>
                <c:pt idx="44">
                  <c:v>102.99674807345986</c:v>
                </c:pt>
                <c:pt idx="45">
                  <c:v>100.76742683353842</c:v>
                </c:pt>
                <c:pt idx="46">
                  <c:v>98.633128429591324</c:v>
                </c:pt>
                <c:pt idx="47">
                  <c:v>96.587903988455736</c:v>
                </c:pt>
                <c:pt idx="48">
                  <c:v>94.626291055916937</c:v>
                </c:pt>
                <c:pt idx="49">
                  <c:v>92.743264876616507</c:v>
                </c:pt>
                <c:pt idx="50">
                  <c:v>90.934195414769022</c:v>
                </c:pt>
                <c:pt idx="51">
                  <c:v>89.194809341692746</c:v>
                </c:pt>
                <c:pt idx="52">
                  <c:v>87.521156333163916</c:v>
                </c:pt>
                <c:pt idx="53">
                  <c:v>85.909579117083567</c:v>
                </c:pt>
                <c:pt idx="54">
                  <c:v>84.356686793445732</c:v>
                </c:pt>
                <c:pt idx="55">
                  <c:v>82.859331016983319</c:v>
                </c:pt>
                <c:pt idx="56">
                  <c:v>81.414584690438218</c:v>
                </c:pt>
                <c:pt idx="57">
                  <c:v>80.01972286503046</c:v>
                </c:pt>
                <c:pt idx="58">
                  <c:v>78.672205585897331</c:v>
                </c:pt>
                <c:pt idx="59">
                  <c:v>77.369662455286829</c:v>
                </c:pt>
                <c:pt idx="60">
                  <c:v>76.109878716125237</c:v>
                </c:pt>
                <c:pt idx="61">
                  <c:v>74.890782684082026</c:v>
                </c:pt>
                <c:pt idx="62">
                  <c:v>73.710434378107266</c:v>
                </c:pt>
                <c:pt idx="63">
                  <c:v>72.56701521819474</c:v>
                </c:pt>
                <c:pt idx="64">
                  <c:v>71.458818675296058</c:v>
                </c:pt>
                <c:pt idx="65">
                  <c:v>70.384241772277548</c:v>
                </c:pt>
                <c:pt idx="66">
                  <c:v>69.341777346898169</c:v>
                </c:pt>
                <c:pt idx="67">
                  <c:v>68.330006998272381</c:v>
                </c:pt>
                <c:pt idx="68">
                  <c:v>67.347594647398424</c:v>
                </c:pt>
                <c:pt idx="69">
                  <c:v>66.393280650274818</c:v>
                </c:pt>
                <c:pt idx="70">
                  <c:v>65.465876409062673</c:v>
                </c:pt>
                <c:pt idx="71">
                  <c:v>64.564259432819341</c:v>
                </c:pt>
                <c:pt idx="72">
                  <c:v>63.687368804645402</c:v>
                </c:pt>
                <c:pt idx="73">
                  <c:v>62.83420101675982</c:v>
                </c:pt>
                <c:pt idx="74">
                  <c:v>62.003806139125608</c:v>
                </c:pt>
                <c:pt idx="75">
                  <c:v>61.195284290872365</c:v>
                </c:pt>
                <c:pt idx="76">
                  <c:v>60.407782386959603</c:v>
                </c:pt>
                <c:pt idx="77">
                  <c:v>59.640491135354623</c:v>
                </c:pt>
                <c:pt idx="78">
                  <c:v>58.892642262504701</c:v>
                </c:pt>
                <c:pt idx="79">
                  <c:v>58.163505947107701</c:v>
                </c:pt>
                <c:pt idx="80">
                  <c:v>57.452388444162565</c:v>
                </c:pt>
                <c:pt idx="81">
                  <c:v>56.758629883039681</c:v>
                </c:pt>
                <c:pt idx="82">
                  <c:v>56.08160222488123</c:v>
                </c:pt>
                <c:pt idx="83">
                  <c:v>55.420707366041</c:v>
                </c:pt>
                <c:pt idx="84">
                  <c:v>54.775375375525329</c:v>
                </c:pt>
                <c:pt idx="85">
                  <c:v>54.145062855518553</c:v>
                </c:pt>
                <c:pt idx="86">
                  <c:v>53.529251415079564</c:v>
                </c:pt>
                <c:pt idx="87">
                  <c:v>52.927446247999896</c:v>
                </c:pt>
                <c:pt idx="88">
                  <c:v>52.339174806622928</c:v>
                </c:pt>
                <c:pt idx="89">
                  <c:v>51.76398556415397</c:v>
                </c:pt>
                <c:pt idx="90">
                  <c:v>51.201446858648445</c:v>
                </c:pt>
                <c:pt idx="91">
                  <c:v>50.651145812457855</c:v>
                </c:pt>
                <c:pt idx="92">
                  <c:v>50.112687321449215</c:v>
                </c:pt>
                <c:pt idx="93">
                  <c:v>49.585693108797514</c:v>
                </c:pt>
                <c:pt idx="94">
                  <c:v>49.069800838589011</c:v>
                </c:pt>
                <c:pt idx="95">
                  <c:v>48.564663284870946</c:v>
                </c:pt>
                <c:pt idx="96">
                  <c:v>48.069947552142594</c:v>
                </c:pt>
                <c:pt idx="97">
                  <c:v>47.58533434361054</c:v>
                </c:pt>
                <c:pt idx="98">
                  <c:v>47.11051727382808</c:v>
                </c:pt>
                <c:pt idx="99">
                  <c:v>46.645202222609456</c:v>
                </c:pt>
                <c:pt idx="100">
                  <c:v>46.189106727355785</c:v>
                </c:pt>
              </c:numCache>
            </c:numRef>
          </c:val>
          <c:smooth val="0"/>
          <c:extLst>
            <c:ext xmlns:c16="http://schemas.microsoft.com/office/drawing/2014/chart" uri="{C3380CC4-5D6E-409C-BE32-E72D297353CC}">
              <c16:uniqueId val="{00000002-33CF-4CE8-9C2E-6191AB4D206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3CF-4CE8-9C2E-6191AB4D2064}"/>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3CF-4CE8-9C2E-6191AB4D2064}"/>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3CF-4CE8-9C2E-6191AB4D2064}"/>
            </c:ext>
          </c:extLst>
        </c:ser>
        <c:dLbls>
          <c:showLegendKey val="0"/>
          <c:showVal val="0"/>
          <c:showCatName val="0"/>
          <c:showSerName val="0"/>
          <c:showPercent val="0"/>
          <c:showBubbleSize val="0"/>
        </c:dLbls>
        <c:marker val="1"/>
        <c:smooth val="0"/>
        <c:axId val="449006208"/>
        <c:axId val="44902067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2.4827591091462532E-2</c:v>
                </c:pt>
                <c:pt idx="1">
                  <c:v>2.4876528145177896E-2</c:v>
                </c:pt>
                <c:pt idx="2">
                  <c:v>2.4896857121411015E-2</c:v>
                </c:pt>
                <c:pt idx="3">
                  <c:v>2.4912478636477973E-2</c:v>
                </c:pt>
                <c:pt idx="4">
                  <c:v>2.4925663420374434E-2</c:v>
                </c:pt>
                <c:pt idx="5">
                  <c:v>2.6921487976352142E-2</c:v>
                </c:pt>
                <c:pt idx="6">
                  <c:v>3.2305785571622572E-2</c:v>
                </c:pt>
                <c:pt idx="7">
                  <c:v>3.7690083166893013E-2</c:v>
                </c:pt>
                <c:pt idx="8">
                  <c:v>4.3074380762163439E-2</c:v>
                </c:pt>
                <c:pt idx="9">
                  <c:v>4.8458678357433858E-2</c:v>
                </c:pt>
                <c:pt idx="10">
                  <c:v>5.3842975952704285E-2</c:v>
                </c:pt>
                <c:pt idx="11">
                  <c:v>5.9227273547974739E-2</c:v>
                </c:pt>
                <c:pt idx="12">
                  <c:v>6.4611571143245144E-2</c:v>
                </c:pt>
                <c:pt idx="13">
                  <c:v>6.9995868738515599E-2</c:v>
                </c:pt>
                <c:pt idx="14">
                  <c:v>7.5380166333786025E-2</c:v>
                </c:pt>
                <c:pt idx="15">
                  <c:v>8.0764463929056438E-2</c:v>
                </c:pt>
                <c:pt idx="16">
                  <c:v>8.6148761524326878E-2</c:v>
                </c:pt>
                <c:pt idx="17">
                  <c:v>9.1533059119597318E-2</c:v>
                </c:pt>
                <c:pt idx="18">
                  <c:v>9.6917356714867717E-2</c:v>
                </c:pt>
                <c:pt idx="19">
                  <c:v>0.10230165431013817</c:v>
                </c:pt>
                <c:pt idx="20">
                  <c:v>0.10768595190540857</c:v>
                </c:pt>
                <c:pt idx="21">
                  <c:v>0.11307024950067902</c:v>
                </c:pt>
                <c:pt idx="22">
                  <c:v>0.11845454709594948</c:v>
                </c:pt>
                <c:pt idx="23">
                  <c:v>0.12383884469121988</c:v>
                </c:pt>
                <c:pt idx="24">
                  <c:v>0.12922314228649029</c:v>
                </c:pt>
                <c:pt idx="25">
                  <c:v>0.13460743988176074</c:v>
                </c:pt>
                <c:pt idx="26">
                  <c:v>0.1399917374770312</c:v>
                </c:pt>
                <c:pt idx="27">
                  <c:v>0.1453760350723016</c:v>
                </c:pt>
                <c:pt idx="28">
                  <c:v>0.15076033266757205</c:v>
                </c:pt>
                <c:pt idx="29">
                  <c:v>0.15614463026284245</c:v>
                </c:pt>
                <c:pt idx="30">
                  <c:v>0.16152892785811288</c:v>
                </c:pt>
                <c:pt idx="31">
                  <c:v>0.16691322545338333</c:v>
                </c:pt>
                <c:pt idx="32">
                  <c:v>0.17229752304865376</c:v>
                </c:pt>
                <c:pt idx="33">
                  <c:v>0.17768182064392418</c:v>
                </c:pt>
                <c:pt idx="34">
                  <c:v>0.18306611823919464</c:v>
                </c:pt>
                <c:pt idx="35">
                  <c:v>0.18845041583446503</c:v>
                </c:pt>
                <c:pt idx="36">
                  <c:v>0.19383471342973543</c:v>
                </c:pt>
                <c:pt idx="37">
                  <c:v>0.19921901102500589</c:v>
                </c:pt>
                <c:pt idx="38">
                  <c:v>0.20460330862027634</c:v>
                </c:pt>
                <c:pt idx="39">
                  <c:v>0.20999657645248698</c:v>
                </c:pt>
                <c:pt idx="40">
                  <c:v>0.20801208158303164</c:v>
                </c:pt>
                <c:pt idx="41">
                  <c:v>0.20816099844267813</c:v>
                </c:pt>
                <c:pt idx="42">
                  <c:v>0.20831406839628402</c:v>
                </c:pt>
                <c:pt idx="43">
                  <c:v>0.20846285302622122</c:v>
                </c:pt>
                <c:pt idx="44">
                  <c:v>0.20860763956201811</c:v>
                </c:pt>
                <c:pt idx="45">
                  <c:v>0.2087486901483929</c:v>
                </c:pt>
                <c:pt idx="46">
                  <c:v>0.20888624452518165</c:v>
                </c:pt>
                <c:pt idx="47">
                  <c:v>0.20902052237088212</c:v>
                </c:pt>
                <c:pt idx="48">
                  <c:v>0.20915172535806509</c:v>
                </c:pt>
                <c:pt idx="49">
                  <c:v>0.2092800389611516</c:v>
                </c:pt>
                <c:pt idx="50">
                  <c:v>0.20940563405067936</c:v>
                </c:pt>
                <c:pt idx="51">
                  <c:v>0.20952866830290842</c:v>
                </c:pt>
                <c:pt idx="52">
                  <c:v>0.20964928744924977</c:v>
                </c:pt>
                <c:pt idx="53">
                  <c:v>0.20976762638635427</c:v>
                </c:pt>
                <c:pt idx="54">
                  <c:v>0.20988381016466326</c:v>
                </c:pt>
                <c:pt idx="55">
                  <c:v>0.20999795487066467</c:v>
                </c:pt>
                <c:pt idx="56">
                  <c:v>0.21011016841595587</c:v>
                </c:pt>
                <c:pt idx="57">
                  <c:v>0.21022055124439828</c:v>
                </c:pt>
                <c:pt idx="58">
                  <c:v>0.21032919696711552</c:v>
                </c:pt>
                <c:pt idx="59">
                  <c:v>0.21043619293377974</c:v>
                </c:pt>
                <c:pt idx="60">
                  <c:v>0.21054162074752328</c:v>
                </c:pt>
                <c:pt idx="61">
                  <c:v>0.21064555672985924</c:v>
                </c:pt>
                <c:pt idx="62">
                  <c:v>0.21074807234118395</c:v>
                </c:pt>
                <c:pt idx="63">
                  <c:v>0.21084923456173479</c:v>
                </c:pt>
                <c:pt idx="64">
                  <c:v>0.21094910623727442</c:v>
                </c:pt>
                <c:pt idx="65">
                  <c:v>0.21104774639325466</c:v>
                </c:pt>
                <c:pt idx="66">
                  <c:v>0.21114521052076218</c:v>
                </c:pt>
                <c:pt idx="67">
                  <c:v>0.21124155083716042</c:v>
                </c:pt>
                <c:pt idx="68">
                  <c:v>0.21133681652400052</c:v>
                </c:pt>
                <c:pt idx="69">
                  <c:v>0.21143105394448292</c:v>
                </c:pt>
                <c:pt idx="70">
                  <c:v>0.21152430684248952</c:v>
                </c:pt>
                <c:pt idx="71">
                  <c:v>0.2116166165249844</c:v>
                </c:pt>
                <c:pt idx="72">
                  <c:v>0.21170802202938144</c:v>
                </c:pt>
                <c:pt idx="73">
                  <c:v>0.21179856027730554</c:v>
                </c:pt>
                <c:pt idx="74">
                  <c:v>0.21188826621601944</c:v>
                </c:pt>
                <c:pt idx="75">
                  <c:v>0.21197717294865687</c:v>
                </c:pt>
                <c:pt idx="76">
                  <c:v>0.21206531185428099</c:v>
                </c:pt>
                <c:pt idx="77">
                  <c:v>0.21215271269868408</c:v>
                </c:pt>
                <c:pt idx="78">
                  <c:v>0.2122394037367506</c:v>
                </c:pt>
                <c:pt idx="79">
                  <c:v>0.212325411807124</c:v>
                </c:pt>
                <c:pt idx="80">
                  <c:v>0.21241076241984438</c:v>
                </c:pt>
                <c:pt idx="81">
                  <c:v>0.21249547983755745</c:v>
                </c:pt>
                <c:pt idx="82">
                  <c:v>0.21257958715083919</c:v>
                </c:pt>
                <c:pt idx="83">
                  <c:v>0.21266310634812724</c:v>
                </c:pt>
                <c:pt idx="84">
                  <c:v>0.21274605838070465</c:v>
                </c:pt>
                <c:pt idx="85">
                  <c:v>0.21282846322313917</c:v>
                </c:pt>
                <c:pt idx="86">
                  <c:v>0.21291033992954447</c:v>
                </c:pt>
                <c:pt idx="87">
                  <c:v>0.21299170668599809</c:v>
                </c:pt>
                <c:pt idx="88">
                  <c:v>0.21307258085941522</c:v>
                </c:pt>
                <c:pt idx="89">
                  <c:v>0.21315297904315947</c:v>
                </c:pt>
                <c:pt idx="90">
                  <c:v>0.2132329170996384</c:v>
                </c:pt>
                <c:pt idx="91">
                  <c:v>0.21331241020011521</c:v>
                </c:pt>
                <c:pt idx="92">
                  <c:v>0.21339147286194704</c:v>
                </c:pt>
                <c:pt idx="93">
                  <c:v>0.21347011898344045</c:v>
                </c:pt>
                <c:pt idx="94">
                  <c:v>0.21354836187650153</c:v>
                </c:pt>
                <c:pt idx="95">
                  <c:v>0.21362621429724096</c:v>
                </c:pt>
                <c:pt idx="96">
                  <c:v>0.21370368847468224</c:v>
                </c:pt>
                <c:pt idx="97">
                  <c:v>0.21378079613770806</c:v>
                </c:pt>
                <c:pt idx="98">
                  <c:v>0.21385754854037117</c:v>
                </c:pt>
                <c:pt idx="99">
                  <c:v>0.21393395648568295</c:v>
                </c:pt>
                <c:pt idx="100">
                  <c:v>0.21401003034798652</c:v>
                </c:pt>
              </c:numCache>
            </c:numRef>
          </c:val>
          <c:smooth val="0"/>
          <c:extLst>
            <c:ext xmlns:c16="http://schemas.microsoft.com/office/drawing/2014/chart" uri="{C3380CC4-5D6E-409C-BE32-E72D297353CC}">
              <c16:uniqueId val="{00000006-33CF-4CE8-9C2E-6191AB4D2064}"/>
            </c:ext>
          </c:extLst>
        </c:ser>
        <c:ser>
          <c:idx val="7"/>
          <c:order val="7"/>
          <c:spPr>
            <a:ln w="31750">
              <a:solidFill>
                <a:srgbClr val="00B050"/>
              </a:solidFill>
            </a:ln>
          </c:spPr>
          <c:marker>
            <c:symbol val="none"/>
          </c:marker>
          <c:val>
            <c:numRef>
              <c:f>'Calculations - Single'!$AW$110:$AW$210</c:f>
              <c:numCache>
                <c:formatCode>0.000</c:formatCode>
                <c:ptCount val="101"/>
                <c:pt idx="0">
                  <c:v>7.578951920134791E-2</c:v>
                </c:pt>
                <c:pt idx="1">
                  <c:v>7.6247394935936602E-2</c:v>
                </c:pt>
                <c:pt idx="2">
                  <c:v>7.6438696930300101E-2</c:v>
                </c:pt>
                <c:pt idx="3">
                  <c:v>7.6586140264596245E-2</c:v>
                </c:pt>
                <c:pt idx="4">
                  <c:v>7.6710883360142507E-2</c:v>
                </c:pt>
                <c:pt idx="5">
                  <c:v>8.2908424475813633E-2</c:v>
                </c:pt>
                <c:pt idx="6">
                  <c:v>9.9490109370976368E-2</c:v>
                </c:pt>
                <c:pt idx="7">
                  <c:v>0.11607179426613913</c:v>
                </c:pt>
                <c:pt idx="8">
                  <c:v>0.13265347916130185</c:v>
                </c:pt>
                <c:pt idx="9">
                  <c:v>0.14923516405646456</c:v>
                </c:pt>
                <c:pt idx="10">
                  <c:v>0.16581684895162727</c:v>
                </c:pt>
                <c:pt idx="11">
                  <c:v>0.18239853384679008</c:v>
                </c:pt>
                <c:pt idx="12">
                  <c:v>0.19898021874195274</c:v>
                </c:pt>
                <c:pt idx="13">
                  <c:v>0.21556190363711553</c:v>
                </c:pt>
                <c:pt idx="14">
                  <c:v>0.23214358853227826</c:v>
                </c:pt>
                <c:pt idx="15">
                  <c:v>0.24872527342744094</c:v>
                </c:pt>
                <c:pt idx="16">
                  <c:v>0.2653069583226037</c:v>
                </c:pt>
                <c:pt idx="17">
                  <c:v>0.28188864321776647</c:v>
                </c:pt>
                <c:pt idx="18">
                  <c:v>0.29847032811292912</c:v>
                </c:pt>
                <c:pt idx="19">
                  <c:v>0.31505201300809188</c:v>
                </c:pt>
                <c:pt idx="20">
                  <c:v>0.33163369790325453</c:v>
                </c:pt>
                <c:pt idx="21">
                  <c:v>0.34821538279841735</c:v>
                </c:pt>
                <c:pt idx="22">
                  <c:v>0.36479706769358017</c:v>
                </c:pt>
                <c:pt idx="23">
                  <c:v>0.38137875258874276</c:v>
                </c:pt>
                <c:pt idx="24">
                  <c:v>0.39796043748390547</c:v>
                </c:pt>
                <c:pt idx="25">
                  <c:v>0.41454212237906829</c:v>
                </c:pt>
                <c:pt idx="26">
                  <c:v>0.43112380727423105</c:v>
                </c:pt>
                <c:pt idx="27">
                  <c:v>0.4477054921693937</c:v>
                </c:pt>
                <c:pt idx="28">
                  <c:v>0.44734544797251452</c:v>
                </c:pt>
                <c:pt idx="29">
                  <c:v>0.44770157153277773</c:v>
                </c:pt>
                <c:pt idx="30">
                  <c:v>0.44810416906712885</c:v>
                </c:pt>
                <c:pt idx="31">
                  <c:v>0.44849430791514933</c:v>
                </c:pt>
                <c:pt idx="32">
                  <c:v>0.44887314601126638</c:v>
                </c:pt>
                <c:pt idx="33">
                  <c:v>0.44924170258171969</c:v>
                </c:pt>
                <c:pt idx="34">
                  <c:v>0.44960087831058504</c:v>
                </c:pt>
                <c:pt idx="35">
                  <c:v>0.44995147208701236</c:v>
                </c:pt>
                <c:pt idx="36">
                  <c:v>0.45029419499129125</c:v>
                </c:pt>
                <c:pt idx="37">
                  <c:v>0.45062968203665366</c:v>
                </c:pt>
                <c:pt idx="38">
                  <c:v>0.45095850207601818</c:v>
                </c:pt>
                <c:pt idx="39">
                  <c:v>0.45128116619976905</c:v>
                </c:pt>
                <c:pt idx="40">
                  <c:v>0.45159813488607942</c:v>
                </c:pt>
                <c:pt idx="41">
                  <c:v>0.45190982411474567</c:v>
                </c:pt>
                <c:pt idx="42">
                  <c:v>0.45221661061568236</c:v>
                </c:pt>
                <c:pt idx="43">
                  <c:v>0.45251883639167867</c:v>
                </c:pt>
                <c:pt idx="44">
                  <c:v>0.45281681262985551</c:v>
                </c:pt>
                <c:pt idx="45">
                  <c:v>0.45311082309609346</c:v>
                </c:pt>
                <c:pt idx="46">
                  <c:v>0.45340112709044594</c:v>
                </c:pt>
                <c:pt idx="47">
                  <c:v>0.45368796202838341</c:v>
                </c:pt>
                <c:pt idx="48">
                  <c:v>0.453971545701992</c:v>
                </c:pt>
                <c:pt idx="49">
                  <c:v>0.45425207826648684</c:v>
                </c:pt>
                <c:pt idx="50">
                  <c:v>0.45452974399019436</c:v>
                </c:pt>
                <c:pt idx="51">
                  <c:v>0.454804712800225</c:v>
                </c:pt>
                <c:pt idx="52">
                  <c:v>0.45507714165113028</c:v>
                </c:pt>
                <c:pt idx="53">
                  <c:v>0.45534717573975497</c:v>
                </c:pt>
                <c:pt idx="54">
                  <c:v>0.45561494958607623</c:v>
                </c:pt>
                <c:pt idx="55">
                  <c:v>0.45588058799696812</c:v>
                </c:pt>
                <c:pt idx="56">
                  <c:v>0.45614420692742119</c:v>
                </c:pt>
                <c:pt idx="57">
                  <c:v>0.45640591425172644</c:v>
                </c:pt>
                <c:pt idx="58">
                  <c:v>0.4566658104554171</c:v>
                </c:pt>
                <c:pt idx="59">
                  <c:v>0.45692398925730576</c:v>
                </c:pt>
                <c:pt idx="60">
                  <c:v>0.45718053816972365</c:v>
                </c:pt>
                <c:pt idx="61">
                  <c:v>0.45743553900400324</c:v>
                </c:pt>
                <c:pt idx="62">
                  <c:v>0.45768906832735184</c:v>
                </c:pt>
                <c:pt idx="63">
                  <c:v>0.45794119787648135</c:v>
                </c:pt>
                <c:pt idx="64">
                  <c:v>0.45819199493269686</c:v>
                </c:pt>
                <c:pt idx="65">
                  <c:v>0.45844152266256827</c:v>
                </c:pt>
                <c:pt idx="66">
                  <c:v>0.45868984042781463</c:v>
                </c:pt>
                <c:pt idx="67">
                  <c:v>0.45893700406759846</c:v>
                </c:pt>
                <c:pt idx="68">
                  <c:v>0.45918306615605592</c:v>
                </c:pt>
                <c:pt idx="69">
                  <c:v>0.45942807623755744</c:v>
                </c:pt>
                <c:pt idx="70">
                  <c:v>0.45967208104191631</c:v>
                </c:pt>
                <c:pt idx="71">
                  <c:v>0.45991512468151025</c:v>
                </c:pt>
                <c:pt idx="72">
                  <c:v>0.46015724883206521</c:v>
                </c:pt>
                <c:pt idx="73">
                  <c:v>0.4603984928986592</c:v>
                </c:pt>
                <c:pt idx="74">
                  <c:v>0.46063889416833731</c:v>
                </c:pt>
                <c:pt idx="75">
                  <c:v>0.46087848795058112</c:v>
                </c:pt>
                <c:pt idx="76">
                  <c:v>0.46111730770674453</c:v>
                </c:pt>
                <c:pt idx="77">
                  <c:v>0.46135538516945646</c:v>
                </c:pt>
                <c:pt idx="78">
                  <c:v>0.46159275045288173</c:v>
                </c:pt>
                <c:pt idx="79">
                  <c:v>0.46182943215465216</c:v>
                </c:pt>
                <c:pt idx="80">
                  <c:v>0.46206545745018807</c:v>
                </c:pt>
                <c:pt idx="81">
                  <c:v>0.46230085218006672</c:v>
                </c:pt>
                <c:pt idx="82">
                  <c:v>0.46253564093102939</c:v>
                </c:pt>
                <c:pt idx="83">
                  <c:v>0.46276984711115898</c:v>
                </c:pt>
                <c:pt idx="84">
                  <c:v>0.46300349301971316</c:v>
                </c:pt>
                <c:pt idx="85">
                  <c:v>0.46323659991205102</c:v>
                </c:pt>
                <c:pt idx="86">
                  <c:v>0.46346918806004916</c:v>
                </c:pt>
                <c:pt idx="87">
                  <c:v>0.46370127680837203</c:v>
                </c:pt>
                <c:pt idx="88">
                  <c:v>0.46393288462692051</c:v>
                </c:pt>
                <c:pt idx="89">
                  <c:v>0.46416402915976129</c:v>
                </c:pt>
                <c:pt idx="90">
                  <c:v>0.46439472727080799</c:v>
                </c:pt>
                <c:pt idx="91">
                  <c:v>0.46462499508650379</c:v>
                </c:pt>
                <c:pt idx="92">
                  <c:v>0.4648548480357314</c:v>
                </c:pt>
                <c:pt idx="93">
                  <c:v>0.46508430088715957</c:v>
                </c:pt>
                <c:pt idx="94">
                  <c:v>0.46531336778421539</c:v>
                </c:pt>
                <c:pt idx="95">
                  <c:v>0.46554206227785705</c:v>
                </c:pt>
                <c:pt idx="96">
                  <c:v>0.46577039735730696</c:v>
                </c:pt>
                <c:pt idx="97">
                  <c:v>0.46599838547889028</c:v>
                </c:pt>
                <c:pt idx="98">
                  <c:v>0.46622603859311601</c:v>
                </c:pt>
                <c:pt idx="99">
                  <c:v>0.46645336817012373</c:v>
                </c:pt>
                <c:pt idx="100">
                  <c:v>0.46668038522360705</c:v>
                </c:pt>
              </c:numCache>
            </c:numRef>
          </c:val>
          <c:smooth val="0"/>
          <c:extLst>
            <c:ext xmlns:c16="http://schemas.microsoft.com/office/drawing/2014/chart" uri="{C3380CC4-5D6E-409C-BE32-E72D297353CC}">
              <c16:uniqueId val="{00000007-33CF-4CE8-9C2E-6191AB4D2064}"/>
            </c:ext>
          </c:extLst>
        </c:ser>
        <c:ser>
          <c:idx val="8"/>
          <c:order val="8"/>
          <c:spPr>
            <a:ln w="31750">
              <a:solidFill>
                <a:srgbClr val="0000FF"/>
              </a:solidFill>
            </a:ln>
          </c:spPr>
          <c:marker>
            <c:symbol val="none"/>
          </c:marker>
          <c:val>
            <c:numRef>
              <c:f>'Calculations - Single'!$AW$216:$AW$316</c:f>
              <c:numCache>
                <c:formatCode>0.000</c:formatCode>
                <c:ptCount val="101"/>
                <c:pt idx="0">
                  <c:v>1.6941178744869057E-2</c:v>
                </c:pt>
                <c:pt idx="1">
                  <c:v>1.6963949848029788E-2</c:v>
                </c:pt>
                <c:pt idx="2">
                  <c:v>1.6973400832722373E-2</c:v>
                </c:pt>
                <c:pt idx="3">
                  <c:v>1.6980659971826344E-2</c:v>
                </c:pt>
                <c:pt idx="4">
                  <c:v>1.6986784534652494E-2</c:v>
                </c:pt>
                <c:pt idx="5">
                  <c:v>1.8345061467577882E-2</c:v>
                </c:pt>
                <c:pt idx="6">
                  <c:v>2.2014073761093461E-2</c:v>
                </c:pt>
                <c:pt idx="7">
                  <c:v>2.5683086054609044E-2</c:v>
                </c:pt>
                <c:pt idx="8">
                  <c:v>2.9352098348124619E-2</c:v>
                </c:pt>
                <c:pt idx="9">
                  <c:v>3.3021110641640192E-2</c:v>
                </c:pt>
                <c:pt idx="10">
                  <c:v>3.6690122935155764E-2</c:v>
                </c:pt>
                <c:pt idx="11">
                  <c:v>4.0359135228671357E-2</c:v>
                </c:pt>
                <c:pt idx="12">
                  <c:v>4.4028147522186922E-2</c:v>
                </c:pt>
                <c:pt idx="13">
                  <c:v>4.7697159815702508E-2</c:v>
                </c:pt>
                <c:pt idx="14">
                  <c:v>5.1366172109218088E-2</c:v>
                </c:pt>
                <c:pt idx="15">
                  <c:v>5.5035184402733653E-2</c:v>
                </c:pt>
                <c:pt idx="16">
                  <c:v>5.8704196696249239E-2</c:v>
                </c:pt>
                <c:pt idx="17">
                  <c:v>6.2373208989764818E-2</c:v>
                </c:pt>
                <c:pt idx="18">
                  <c:v>6.6042221283280383E-2</c:v>
                </c:pt>
                <c:pt idx="19">
                  <c:v>6.971123357679597E-2</c:v>
                </c:pt>
                <c:pt idx="20">
                  <c:v>7.3380245870311528E-2</c:v>
                </c:pt>
                <c:pt idx="21">
                  <c:v>7.7049258163827128E-2</c:v>
                </c:pt>
                <c:pt idx="22">
                  <c:v>8.0718270457342714E-2</c:v>
                </c:pt>
                <c:pt idx="23">
                  <c:v>8.4387282750858258E-2</c:v>
                </c:pt>
                <c:pt idx="24">
                  <c:v>8.8056295044373845E-2</c:v>
                </c:pt>
                <c:pt idx="25">
                  <c:v>9.1725307337889431E-2</c:v>
                </c:pt>
                <c:pt idx="26">
                  <c:v>9.5394319631405017E-2</c:v>
                </c:pt>
                <c:pt idx="27">
                  <c:v>9.9063331924920575E-2</c:v>
                </c:pt>
                <c:pt idx="28">
                  <c:v>0.10273234421843618</c:v>
                </c:pt>
                <c:pt idx="29">
                  <c:v>0.10640135651195172</c:v>
                </c:pt>
                <c:pt idx="30">
                  <c:v>0.11007036880546731</c:v>
                </c:pt>
                <c:pt idx="31">
                  <c:v>0.11373938109898289</c:v>
                </c:pt>
                <c:pt idx="32">
                  <c:v>0.11740839339249848</c:v>
                </c:pt>
                <c:pt idx="33">
                  <c:v>0.12107740568601405</c:v>
                </c:pt>
                <c:pt idx="34">
                  <c:v>0.12474641797952964</c:v>
                </c:pt>
                <c:pt idx="35">
                  <c:v>0.12841543027304519</c:v>
                </c:pt>
                <c:pt idx="36">
                  <c:v>0.13208444256656077</c:v>
                </c:pt>
                <c:pt idx="37">
                  <c:v>0.13575345486007634</c:v>
                </c:pt>
                <c:pt idx="38">
                  <c:v>0.13942246715359194</c:v>
                </c:pt>
                <c:pt idx="39">
                  <c:v>0.14309147944710751</c:v>
                </c:pt>
                <c:pt idx="40">
                  <c:v>0.14676049174062306</c:v>
                </c:pt>
                <c:pt idx="41">
                  <c:v>0.1504295040341386</c:v>
                </c:pt>
                <c:pt idx="42">
                  <c:v>0.1541183128744219</c:v>
                </c:pt>
                <c:pt idx="43">
                  <c:v>0.15180844603850494</c:v>
                </c:pt>
                <c:pt idx="44">
                  <c:v>0.15191572623728197</c:v>
                </c:pt>
                <c:pt idx="45">
                  <c:v>0.15202308275924711</c:v>
                </c:pt>
                <c:pt idx="46">
                  <c:v>0.15212752661342219</c:v>
                </c:pt>
                <c:pt idx="47">
                  <c:v>0.15222924026157195</c:v>
                </c:pt>
                <c:pt idx="48">
                  <c:v>0.15232839124620112</c:v>
                </c:pt>
                <c:pt idx="49">
                  <c:v>0.15242513368487912</c:v>
                </c:pt>
                <c:pt idx="50">
                  <c:v>0.15251960958848382</c:v>
                </c:pt>
                <c:pt idx="51">
                  <c:v>0.15261195002710617</c:v>
                </c:pt>
                <c:pt idx="52">
                  <c:v>0.15270227616376475</c:v>
                </c:pt>
                <c:pt idx="53">
                  <c:v>0.15279070017309243</c:v>
                </c:pt>
                <c:pt idx="54">
                  <c:v>0.15287732605965651</c:v>
                </c:pt>
                <c:pt idx="55">
                  <c:v>0.15296225038847527</c:v>
                </c:pt>
                <c:pt idx="56">
                  <c:v>0.15304556293853044</c:v>
                </c:pt>
                <c:pt idx="57">
                  <c:v>0.15312734728858057</c:v>
                </c:pt>
                <c:pt idx="58">
                  <c:v>0.15320768134331922</c:v>
                </c:pt>
                <c:pt idx="59">
                  <c:v>0.1532866378068472</c:v>
                </c:pt>
                <c:pt idx="60">
                  <c:v>0.15336428460951185</c:v>
                </c:pt>
                <c:pt idx="61">
                  <c:v>0.15344068529338653</c:v>
                </c:pt>
                <c:pt idx="62">
                  <c:v>0.15351589936099003</c:v>
                </c:pt>
                <c:pt idx="63">
                  <c:v>0.15358998259127313</c:v>
                </c:pt>
                <c:pt idx="64">
                  <c:v>0.15366298732640099</c:v>
                </c:pt>
                <c:pt idx="65">
                  <c:v>0.15373496273243281</c:v>
                </c:pt>
                <c:pt idx="66">
                  <c:v>0.15380595503662858</c:v>
                </c:pt>
                <c:pt idx="67">
                  <c:v>0.15387600774379265</c:v>
                </c:pt>
                <c:pt idx="68">
                  <c:v>0.15394516183378279</c:v>
                </c:pt>
                <c:pt idx="69">
                  <c:v>0.15401345594207072</c:v>
                </c:pt>
                <c:pt idx="70">
                  <c:v>0.15408092652502633</c:v>
                </c:pt>
                <c:pt idx="71">
                  <c:v>0.154147608011413</c:v>
                </c:pt>
                <c:pt idx="72">
                  <c:v>0.15421353294141774</c:v>
                </c:pt>
                <c:pt idx="73">
                  <c:v>0.15427873209439613</c:v>
                </c:pt>
                <c:pt idx="74">
                  <c:v>0.15434323460638683</c:v>
                </c:pt>
                <c:pt idx="75">
                  <c:v>0.1544070680783389</c:v>
                </c:pt>
                <c:pt idx="76">
                  <c:v>0.1544702586758967</c:v>
                </c:pt>
                <c:pt idx="77">
                  <c:v>0.15453283122150166</c:v>
                </c:pt>
                <c:pt idx="78">
                  <c:v>0.15459480927949132</c:v>
                </c:pt>
                <c:pt idx="79">
                  <c:v>0.1546562152348098</c:v>
                </c:pt>
                <c:pt idx="80">
                  <c:v>0.15471707036588228</c:v>
                </c:pt>
                <c:pt idx="81">
                  <c:v>0.15477739491215159</c:v>
                </c:pt>
                <c:pt idx="82">
                  <c:v>0.15483720813672799</c:v>
                </c:pt>
                <c:pt idx="83">
                  <c:v>0.15489652838455986</c:v>
                </c:pt>
                <c:pt idx="84">
                  <c:v>0.15495537313649438</c:v>
                </c:pt>
                <c:pt idx="85">
                  <c:v>0.1550137590595628</c:v>
                </c:pt>
                <c:pt idx="86">
                  <c:v>0.15507170205379453</c:v>
                </c:pt>
                <c:pt idx="87">
                  <c:v>0.15512921729583667</c:v>
                </c:pt>
                <c:pt idx="88">
                  <c:v>0.15518631927963025</c:v>
                </c:pt>
                <c:pt idx="89">
                  <c:v>0.15524302185437208</c:v>
                </c:pt>
                <c:pt idx="90">
                  <c:v>0.15529933825997147</c:v>
                </c:pt>
                <c:pt idx="91">
                  <c:v>0.15535528116019276</c:v>
                </c:pt>
                <c:pt idx="92">
                  <c:v>0.15541086267365728</c:v>
                </c:pt>
                <c:pt idx="93">
                  <c:v>0.15546609440286546</c:v>
                </c:pt>
                <c:pt idx="94">
                  <c:v>0.15552098746138404</c:v>
                </c:pt>
                <c:pt idx="95">
                  <c:v>0.15557555249933219</c:v>
                </c:pt>
                <c:pt idx="96">
                  <c:v>0.15562979972729105</c:v>
                </c:pt>
                <c:pt idx="97">
                  <c:v>0.1556837389387469</c:v>
                </c:pt>
                <c:pt idx="98">
                  <c:v>0.15573737953117403</c:v>
                </c:pt>
                <c:pt idx="99">
                  <c:v>0.15579073052585107</c:v>
                </c:pt>
                <c:pt idx="100">
                  <c:v>0.15584380058649938</c:v>
                </c:pt>
              </c:numCache>
            </c:numRef>
          </c:val>
          <c:smooth val="0"/>
          <c:extLst>
            <c:ext xmlns:c16="http://schemas.microsoft.com/office/drawing/2014/chart" uri="{C3380CC4-5D6E-409C-BE32-E72D297353CC}">
              <c16:uniqueId val="{00000008-33CF-4CE8-9C2E-6191AB4D2064}"/>
            </c:ext>
          </c:extLst>
        </c:ser>
        <c:dLbls>
          <c:showLegendKey val="0"/>
          <c:showVal val="0"/>
          <c:showCatName val="0"/>
          <c:showSerName val="0"/>
          <c:showPercent val="0"/>
          <c:showBubbleSize val="0"/>
        </c:dLbls>
        <c:marker val="1"/>
        <c:smooth val="0"/>
        <c:axId val="449032960"/>
        <c:axId val="449022592"/>
      </c:lineChart>
      <c:catAx>
        <c:axId val="449006208"/>
        <c:scaling>
          <c:orientation val="minMax"/>
        </c:scaling>
        <c:delete val="0"/>
        <c:axPos val="b"/>
        <c:majorGridlines>
          <c:spPr>
            <a:ln w="15875">
              <a:solidFill>
                <a:srgbClr val="969696"/>
              </a:solidFill>
              <a:prstDash val="sysDash"/>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20672"/>
        <c:crosses val="autoZero"/>
        <c:auto val="1"/>
        <c:lblAlgn val="ctr"/>
        <c:lblOffset val="100"/>
        <c:tickLblSkip val="20"/>
        <c:tickMarkSkip val="10"/>
        <c:noMultiLvlLbl val="0"/>
      </c:catAx>
      <c:valAx>
        <c:axId val="449020672"/>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006208"/>
        <c:crossesAt val="0"/>
        <c:crossBetween val="between"/>
        <c:majorUnit val="50"/>
        <c:minorUnit val="25"/>
      </c:valAx>
      <c:valAx>
        <c:axId val="449022592"/>
        <c:scaling>
          <c:orientation val="minMax"/>
          <c:min val="0"/>
        </c:scaling>
        <c:delete val="0"/>
        <c:axPos val="r"/>
        <c:title>
          <c:tx>
            <c:rich>
              <a:bodyPr rot="-5400000" vert="horz"/>
              <a:lstStyle/>
              <a:p>
                <a:pPr>
                  <a:defRPr lang="ja-JP"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lang="ja-JP" sz="1200" b="1"/>
            </a:pPr>
            <a:endParaRPr lang="en-US"/>
          </a:p>
        </c:txPr>
        <c:crossAx val="449032960"/>
        <c:crosses val="max"/>
        <c:crossBetween val="between"/>
        <c:majorUnit val="0.1"/>
        <c:minorUnit val="2.0000000000000004E-2"/>
      </c:valAx>
      <c:catAx>
        <c:axId val="449032960"/>
        <c:scaling>
          <c:orientation val="minMax"/>
        </c:scaling>
        <c:delete val="1"/>
        <c:axPos val="b"/>
        <c:majorTickMark val="out"/>
        <c:minorTickMark val="none"/>
        <c:tickLblPos val="nextTo"/>
        <c:crossAx val="449022592"/>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10.247286162226052</c:v>
                </c:pt>
                <c:pt idx="29">
                  <c:v>10.616101413961234</c:v>
                </c:pt>
                <c:pt idx="30">
                  <c:v>10.986322458763867</c:v>
                </c:pt>
                <c:pt idx="31">
                  <c:v>11.356824228392131</c:v>
                </c:pt>
                <c:pt idx="32">
                  <c:v>11.727607130348694</c:v>
                </c:pt>
                <c:pt idx="33">
                  <c:v>12.098671572925729</c:v>
                </c:pt>
                <c:pt idx="34">
                  <c:v>12.47001796520677</c:v>
                </c:pt>
                <c:pt idx="35">
                  <c:v>12.841646717068587</c:v>
                </c:pt>
                <c:pt idx="36">
                  <c:v>13.213558239183055</c:v>
                </c:pt>
                <c:pt idx="37">
                  <c:v>13.58575294301906</c:v>
                </c:pt>
                <c:pt idx="38">
                  <c:v>13.958231240844384</c:v>
                </c:pt>
                <c:pt idx="39">
                  <c:v>14.330993545727644</c:v>
                </c:pt>
                <c:pt idx="40">
                  <c:v>14.704040271540199</c:v>
                </c:pt>
                <c:pt idx="41">
                  <c:v>15.077371832958086</c:v>
                </c:pt>
                <c:pt idx="42">
                  <c:v>15.450988645463967</c:v>
                </c:pt>
                <c:pt idx="43">
                  <c:v>15.82489112534906</c:v>
                </c:pt>
                <c:pt idx="44">
                  <c:v>16.199079689715123</c:v>
                </c:pt>
                <c:pt idx="45">
                  <c:v>16.573554756476394</c:v>
                </c:pt>
                <c:pt idx="46">
                  <c:v>16.948316744361573</c:v>
                </c:pt>
                <c:pt idx="47">
                  <c:v>17.323366072915782</c:v>
                </c:pt>
                <c:pt idx="48">
                  <c:v>17.698703162502586</c:v>
                </c:pt>
                <c:pt idx="49">
                  <c:v>18.074328434305951</c:v>
                </c:pt>
                <c:pt idx="50">
                  <c:v>18.450242310332232</c:v>
                </c:pt>
                <c:pt idx="51">
                  <c:v>18.826445213412217</c:v>
                </c:pt>
                <c:pt idx="52">
                  <c:v>19.202937567203126</c:v>
                </c:pt>
                <c:pt idx="53">
                  <c:v>19.579719796190581</c:v>
                </c:pt>
                <c:pt idx="54">
                  <c:v>19.956792325690696</c:v>
                </c:pt>
                <c:pt idx="55">
                  <c:v>20.334155581852055</c:v>
                </c:pt>
                <c:pt idx="56">
                  <c:v>20.711809991657777</c:v>
                </c:pt>
                <c:pt idx="57">
                  <c:v>21.089755982927542</c:v>
                </c:pt>
                <c:pt idx="58">
                  <c:v>21.467993984319662</c:v>
                </c:pt>
                <c:pt idx="59">
                  <c:v>21.846524425333087</c:v>
                </c:pt>
                <c:pt idx="60">
                  <c:v>22.225347736309505</c:v>
                </c:pt>
                <c:pt idx="61">
                  <c:v>22.604464348435414</c:v>
                </c:pt>
                <c:pt idx="62">
                  <c:v>22.983874693744163</c:v>
                </c:pt>
                <c:pt idx="63">
                  <c:v>23.363579205118057</c:v>
                </c:pt>
                <c:pt idx="64">
                  <c:v>23.743578316290431</c:v>
                </c:pt>
                <c:pt idx="65">
                  <c:v>24.123872461847725</c:v>
                </c:pt>
                <c:pt idx="66">
                  <c:v>24.504462077231633</c:v>
                </c:pt>
                <c:pt idx="67">
                  <c:v>24.885347598741141</c:v>
                </c:pt>
                <c:pt idx="68">
                  <c:v>25.266529463534685</c:v>
                </c:pt>
                <c:pt idx="69">
                  <c:v>25.648008109632233</c:v>
                </c:pt>
                <c:pt idx="70">
                  <c:v>26.029783975917482</c:v>
                </c:pt>
                <c:pt idx="71">
                  <c:v>26.411857502139856</c:v>
                </c:pt>
                <c:pt idx="72">
                  <c:v>26.794229128916772</c:v>
                </c:pt>
                <c:pt idx="73">
                  <c:v>27.176899297735719</c:v>
                </c:pt>
                <c:pt idx="74">
                  <c:v>27.559868450956383</c:v>
                </c:pt>
                <c:pt idx="75">
                  <c:v>27.943137031812864</c:v>
                </c:pt>
                <c:pt idx="76">
                  <c:v>28.326705484415797</c:v>
                </c:pt>
                <c:pt idx="77">
                  <c:v>28.710574253754544</c:v>
                </c:pt>
                <c:pt idx="78">
                  <c:v>29.094743785699315</c:v>
                </c:pt>
                <c:pt idx="79">
                  <c:v>29.479214527003425</c:v>
                </c:pt>
                <c:pt idx="80">
                  <c:v>29.863986925305429</c:v>
                </c:pt>
                <c:pt idx="81">
                  <c:v>30.249061429131327</c:v>
                </c:pt>
                <c:pt idx="82">
                  <c:v>30.634438487896738</c:v>
                </c:pt>
                <c:pt idx="83">
                  <c:v>31.020118551909206</c:v>
                </c:pt>
                <c:pt idx="84">
                  <c:v>31.406102072370285</c:v>
                </c:pt>
                <c:pt idx="85">
                  <c:v>31.792389501377812</c:v>
                </c:pt>
                <c:pt idx="86">
                  <c:v>32.178981291928174</c:v>
                </c:pt>
                <c:pt idx="87">
                  <c:v>32.565877897918476</c:v>
                </c:pt>
                <c:pt idx="88">
                  <c:v>32.953079774148819</c:v>
                </c:pt>
                <c:pt idx="89">
                  <c:v>33.340587376324542</c:v>
                </c:pt>
                <c:pt idx="90">
                  <c:v>33.72840116105845</c:v>
                </c:pt>
                <c:pt idx="91">
                  <c:v>34.116521585873102</c:v>
                </c:pt>
                <c:pt idx="92">
                  <c:v>34.504949109203096</c:v>
                </c:pt>
                <c:pt idx="93">
                  <c:v>34.893684190397281</c:v>
                </c:pt>
                <c:pt idx="94">
                  <c:v>35.282727289721073</c:v>
                </c:pt>
                <c:pt idx="95">
                  <c:v>35.672078868358781</c:v>
                </c:pt>
                <c:pt idx="96">
                  <c:v>36.061739388415809</c:v>
                </c:pt>
                <c:pt idx="97">
                  <c:v>36.451709312921047</c:v>
                </c:pt>
                <c:pt idx="98">
                  <c:v>36.841989105829114</c:v>
                </c:pt>
                <c:pt idx="99">
                  <c:v>37.232579232022715</c:v>
                </c:pt>
                <c:pt idx="100">
                  <c:v>37.623480157314958</c:v>
                </c:pt>
              </c:numCache>
            </c:numRef>
          </c:val>
          <c:smooth val="0"/>
          <c:extLst>
            <c:ext xmlns:c16="http://schemas.microsoft.com/office/drawing/2014/chart" uri="{C3380CC4-5D6E-409C-BE32-E72D297353CC}">
              <c16:uniqueId val="{00000000-6477-4C46-89EF-E7A1D5DEFAE7}"/>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Single'!$AJ$5:$AJ$105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10.154662973101839</c:v>
                </c:pt>
                <c:pt idx="41">
                  <c:v>10.409193027338077</c:v>
                </c:pt>
                <c:pt idx="42">
                  <c:v>10.663876203341809</c:v>
                </c:pt>
                <c:pt idx="43">
                  <c:v>10.918597674665776</c:v>
                </c:pt>
                <c:pt idx="44">
                  <c:v>11.173357453904231</c:v>
                </c:pt>
                <c:pt idx="45">
                  <c:v>11.428155553656969</c:v>
                </c:pt>
                <c:pt idx="46">
                  <c:v>11.682991986529341</c:v>
                </c:pt>
                <c:pt idx="47">
                  <c:v>11.937866765132206</c:v>
                </c:pt>
                <c:pt idx="48">
                  <c:v>12.192779902082005</c:v>
                </c:pt>
                <c:pt idx="49">
                  <c:v>12.447731410000706</c:v>
                </c:pt>
                <c:pt idx="50">
                  <c:v>12.702721301515826</c:v>
                </c:pt>
                <c:pt idx="51">
                  <c:v>12.957749589260434</c:v>
                </c:pt>
                <c:pt idx="52">
                  <c:v>13.21281628587316</c:v>
                </c:pt>
                <c:pt idx="53">
                  <c:v>13.467921403998176</c:v>
                </c:pt>
                <c:pt idx="54">
                  <c:v>13.723064956285217</c:v>
                </c:pt>
                <c:pt idx="55">
                  <c:v>13.978246955389578</c:v>
                </c:pt>
                <c:pt idx="56">
                  <c:v>14.233467413972116</c:v>
                </c:pt>
                <c:pt idx="57">
                  <c:v>14.488726344699256</c:v>
                </c:pt>
                <c:pt idx="58">
                  <c:v>14.744023760242987</c:v>
                </c:pt>
                <c:pt idx="59">
                  <c:v>14.999359673280864</c:v>
                </c:pt>
                <c:pt idx="60">
                  <c:v>15.254734096496021</c:v>
                </c:pt>
                <c:pt idx="61">
                  <c:v>15.510147042577165</c:v>
                </c:pt>
                <c:pt idx="62">
                  <c:v>15.765598524218584</c:v>
                </c:pt>
                <c:pt idx="63">
                  <c:v>16.021088554120141</c:v>
                </c:pt>
                <c:pt idx="64">
                  <c:v>16.276617144987288</c:v>
                </c:pt>
                <c:pt idx="65">
                  <c:v>16.532184309531061</c:v>
                </c:pt>
                <c:pt idx="66">
                  <c:v>16.787790060468097</c:v>
                </c:pt>
                <c:pt idx="67">
                  <c:v>17.043434410520597</c:v>
                </c:pt>
                <c:pt idx="68">
                  <c:v>17.299117372416401</c:v>
                </c:pt>
                <c:pt idx="69">
                  <c:v>17.554838958888897</c:v>
                </c:pt>
                <c:pt idx="70">
                  <c:v>17.810599182677112</c:v>
                </c:pt>
                <c:pt idx="71">
                  <c:v>18.066398056525671</c:v>
                </c:pt>
                <c:pt idx="72">
                  <c:v>18.322235593184789</c:v>
                </c:pt>
                <c:pt idx="73">
                  <c:v>18.578111805410309</c:v>
                </c:pt>
                <c:pt idx="74">
                  <c:v>18.834026705963684</c:v>
                </c:pt>
                <c:pt idx="75">
                  <c:v>19.089980307611967</c:v>
                </c:pt>
                <c:pt idx="76">
                  <c:v>19.345972623127857</c:v>
                </c:pt>
                <c:pt idx="77">
                  <c:v>19.602003665289658</c:v>
                </c:pt>
                <c:pt idx="78">
                  <c:v>19.858073446881303</c:v>
                </c:pt>
                <c:pt idx="79">
                  <c:v>20.114181980692344</c:v>
                </c:pt>
                <c:pt idx="80">
                  <c:v>20.370329279517986</c:v>
                </c:pt>
                <c:pt idx="81">
                  <c:v>20.62651535615905</c:v>
                </c:pt>
                <c:pt idx="82">
                  <c:v>20.882740223421997</c:v>
                </c:pt>
                <c:pt idx="83">
                  <c:v>21.139003894118947</c:v>
                </c:pt>
                <c:pt idx="84">
                  <c:v>21.395306381067627</c:v>
                </c:pt>
                <c:pt idx="85">
                  <c:v>21.651647697091448</c:v>
                </c:pt>
                <c:pt idx="86">
                  <c:v>21.908027855019451</c:v>
                </c:pt>
                <c:pt idx="87">
                  <c:v>22.16444686768633</c:v>
                </c:pt>
                <c:pt idx="88">
                  <c:v>22.420904747932436</c:v>
                </c:pt>
                <c:pt idx="89">
                  <c:v>22.67740150860379</c:v>
                </c:pt>
                <c:pt idx="90">
                  <c:v>22.933937162552066</c:v>
                </c:pt>
                <c:pt idx="91">
                  <c:v>23.190511722634593</c:v>
                </c:pt>
                <c:pt idx="92">
                  <c:v>23.447125201714389</c:v>
                </c:pt>
                <c:pt idx="93">
                  <c:v>23.703777612660126</c:v>
                </c:pt>
                <c:pt idx="94">
                  <c:v>23.960468968346159</c:v>
                </c:pt>
                <c:pt idx="95">
                  <c:v>24.217199281652526</c:v>
                </c:pt>
                <c:pt idx="96">
                  <c:v>24.473968565464936</c:v>
                </c:pt>
                <c:pt idx="97">
                  <c:v>24.730776832674781</c:v>
                </c:pt>
                <c:pt idx="98">
                  <c:v>24.987624096179143</c:v>
                </c:pt>
                <c:pt idx="99">
                  <c:v>25.244510368880793</c:v>
                </c:pt>
                <c:pt idx="100">
                  <c:v>25.501435663688198</c:v>
                </c:pt>
              </c:numCache>
            </c:numRef>
          </c:val>
          <c:smooth val="0"/>
          <c:extLst>
            <c:ext xmlns:c16="http://schemas.microsoft.com/office/drawing/2014/chart" uri="{C3380CC4-5D6E-409C-BE32-E72D297353CC}">
              <c16:uniqueId val="{00000001-6477-4C46-89EF-E7A1D5DEFAE7}"/>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10.178319553476159</c:v>
                </c:pt>
                <c:pt idx="44">
                  <c:v>10.415464999688375</c:v>
                </c:pt>
                <c:pt idx="45">
                  <c:v>10.652671647494241</c:v>
                </c:pt>
                <c:pt idx="46">
                  <c:v>10.889900211513332</c:v>
                </c:pt>
                <c:pt idx="47">
                  <c:v>11.127150696328899</c:v>
                </c:pt>
                <c:pt idx="48">
                  <c:v>11.364423106525493</c:v>
                </c:pt>
                <c:pt idx="49">
                  <c:v>11.60171744668893</c:v>
                </c:pt>
                <c:pt idx="50">
                  <c:v>11.839033721406324</c:v>
                </c:pt>
                <c:pt idx="51">
                  <c:v>12.076371935266069</c:v>
                </c:pt>
                <c:pt idx="52">
                  <c:v>12.313732092857846</c:v>
                </c:pt>
                <c:pt idx="53">
                  <c:v>12.551114198772613</c:v>
                </c:pt>
                <c:pt idx="54">
                  <c:v>12.788518257602622</c:v>
                </c:pt>
                <c:pt idx="55">
                  <c:v>13.025944273941395</c:v>
                </c:pt>
                <c:pt idx="56">
                  <c:v>13.263392252383763</c:v>
                </c:pt>
                <c:pt idx="57">
                  <c:v>13.500862197525814</c:v>
                </c:pt>
                <c:pt idx="58">
                  <c:v>13.738354113964942</c:v>
                </c:pt>
                <c:pt idx="59">
                  <c:v>13.975868006299814</c:v>
                </c:pt>
                <c:pt idx="60">
                  <c:v>14.213403879130389</c:v>
                </c:pt>
                <c:pt idx="61">
                  <c:v>14.450961737057908</c:v>
                </c:pt>
                <c:pt idx="62">
                  <c:v>14.688541584684906</c:v>
                </c:pt>
                <c:pt idx="63">
                  <c:v>14.926143426615187</c:v>
                </c:pt>
                <c:pt idx="64">
                  <c:v>15.163767267453858</c:v>
                </c:pt>
                <c:pt idx="65">
                  <c:v>15.40141311180731</c:v>
                </c:pt>
                <c:pt idx="66">
                  <c:v>15.639080964283215</c:v>
                </c:pt>
                <c:pt idx="67">
                  <c:v>15.876770829490537</c:v>
                </c:pt>
                <c:pt idx="68">
                  <c:v>16.114482712039536</c:v>
                </c:pt>
                <c:pt idx="69">
                  <c:v>16.352216616541739</c:v>
                </c:pt>
                <c:pt idx="70">
                  <c:v>16.589972547609992</c:v>
                </c:pt>
                <c:pt idx="71">
                  <c:v>16.827750509858397</c:v>
                </c:pt>
                <c:pt idx="72">
                  <c:v>17.065550507902373</c:v>
                </c:pt>
                <c:pt idx="73">
                  <c:v>17.303372546358617</c:v>
                </c:pt>
                <c:pt idx="74">
                  <c:v>17.541216629845117</c:v>
                </c:pt>
                <c:pt idx="75">
                  <c:v>17.779082762981155</c:v>
                </c:pt>
                <c:pt idx="76">
                  <c:v>18.016970950387293</c:v>
                </c:pt>
                <c:pt idx="77">
                  <c:v>18.254881196685403</c:v>
                </c:pt>
                <c:pt idx="78">
                  <c:v>18.492813506498631</c:v>
                </c:pt>
                <c:pt idx="79">
                  <c:v>18.730767884451438</c:v>
                </c:pt>
                <c:pt idx="80">
                  <c:v>18.968744335169553</c:v>
                </c:pt>
                <c:pt idx="81">
                  <c:v>19.206742863280009</c:v>
                </c:pt>
                <c:pt idx="82">
                  <c:v>19.44476347341114</c:v>
                </c:pt>
                <c:pt idx="83">
                  <c:v>19.682806170192553</c:v>
                </c:pt>
                <c:pt idx="84">
                  <c:v>19.92087095825519</c:v>
                </c:pt>
                <c:pt idx="85">
                  <c:v>20.158957842231235</c:v>
                </c:pt>
                <c:pt idx="86">
                  <c:v>20.397066826754212</c:v>
                </c:pt>
                <c:pt idx="87">
                  <c:v>20.635197916458921</c:v>
                </c:pt>
                <c:pt idx="88">
                  <c:v>20.873351115981457</c:v>
                </c:pt>
                <c:pt idx="89">
                  <c:v>21.111526429959213</c:v>
                </c:pt>
                <c:pt idx="90">
                  <c:v>21.349723863030881</c:v>
                </c:pt>
                <c:pt idx="91">
                  <c:v>21.587943419836463</c:v>
                </c:pt>
                <c:pt idx="92">
                  <c:v>21.826185105017245</c:v>
                </c:pt>
                <c:pt idx="93">
                  <c:v>22.064448923215796</c:v>
                </c:pt>
                <c:pt idx="94">
                  <c:v>22.302734879076027</c:v>
                </c:pt>
                <c:pt idx="95">
                  <c:v>22.541042977243105</c:v>
                </c:pt>
                <c:pt idx="96">
                  <c:v>22.779373222363528</c:v>
                </c:pt>
                <c:pt idx="97">
                  <c:v>23.01772561908507</c:v>
                </c:pt>
                <c:pt idx="98">
                  <c:v>23.256100172056836</c:v>
                </c:pt>
                <c:pt idx="99">
                  <c:v>23.494496885929198</c:v>
                </c:pt>
                <c:pt idx="100">
                  <c:v>23.732915765353852</c:v>
                </c:pt>
              </c:numCache>
            </c:numRef>
          </c:val>
          <c:smooth val="0"/>
          <c:extLst>
            <c:ext xmlns:c16="http://schemas.microsoft.com/office/drawing/2014/chart" uri="{C3380CC4-5D6E-409C-BE32-E72D297353CC}">
              <c16:uniqueId val="{00000002-6477-4C46-89EF-E7A1D5DEFAE7}"/>
            </c:ext>
          </c:extLst>
        </c:ser>
        <c:dLbls>
          <c:showLegendKey val="0"/>
          <c:showVal val="0"/>
          <c:showCatName val="0"/>
          <c:showSerName val="0"/>
          <c:showPercent val="0"/>
          <c:showBubbleSize val="0"/>
        </c:dLbls>
        <c:smooth val="0"/>
        <c:axId val="448889216"/>
        <c:axId val="448891136"/>
      </c:lineChart>
      <c:catAx>
        <c:axId val="4488892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91136"/>
        <c:crosses val="autoZero"/>
        <c:auto val="1"/>
        <c:lblAlgn val="ctr"/>
        <c:lblOffset val="100"/>
        <c:tickLblSkip val="20"/>
        <c:tickMarkSkip val="10"/>
        <c:noMultiLvlLbl val="0"/>
      </c:catAx>
      <c:valAx>
        <c:axId val="4488911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889216"/>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1.3831749349822609</c:v>
                </c:pt>
                <c:pt idx="29">
                  <c:v>1.656371417749062</c:v>
                </c:pt>
                <c:pt idx="30">
                  <c:v>1.9306092287139758</c:v>
                </c:pt>
                <c:pt idx="31">
                  <c:v>2.2050549839941715</c:v>
                </c:pt>
                <c:pt idx="32">
                  <c:v>2.4797089854434775</c:v>
                </c:pt>
                <c:pt idx="33">
                  <c:v>2.7545715355005402</c:v>
                </c:pt>
                <c:pt idx="34">
                  <c:v>3.0296429371902001</c:v>
                </c:pt>
                <c:pt idx="35">
                  <c:v>3.3049234941248784</c:v>
                </c:pt>
                <c:pt idx="36">
                  <c:v>3.5804135105059665</c:v>
                </c:pt>
                <c:pt idx="37">
                  <c:v>3.8561132911252294</c:v>
                </c:pt>
                <c:pt idx="38">
                  <c:v>4.1320231413662105</c:v>
                </c:pt>
                <c:pt idx="39">
                  <c:v>4.4081433672056622</c:v>
                </c:pt>
                <c:pt idx="40">
                  <c:v>4.6844742752149626</c:v>
                </c:pt>
                <c:pt idx="41">
                  <c:v>4.9610161725615454</c:v>
                </c:pt>
                <c:pt idx="42">
                  <c:v>5.2377693670103467</c:v>
                </c:pt>
                <c:pt idx="43">
                  <c:v>5.5147341669252299</c:v>
                </c:pt>
                <c:pt idx="44">
                  <c:v>5.7919108812704616</c:v>
                </c:pt>
                <c:pt idx="45">
                  <c:v>6.0692998196121444</c:v>
                </c:pt>
                <c:pt idx="46">
                  <c:v>6.3469012921196839</c:v>
                </c:pt>
                <c:pt idx="47">
                  <c:v>6.6247156095672457</c:v>
                </c:pt>
                <c:pt idx="48">
                  <c:v>6.902743083335249</c:v>
                </c:pt>
                <c:pt idx="49">
                  <c:v>7.1809840254118154</c:v>
                </c:pt>
                <c:pt idx="50">
                  <c:v>7.4594387483942457</c:v>
                </c:pt>
                <c:pt idx="51">
                  <c:v>7.7381075654905311</c:v>
                </c:pt>
                <c:pt idx="52">
                  <c:v>8.0169907905208326</c:v>
                </c:pt>
                <c:pt idx="53">
                  <c:v>8.2960887379189483</c:v>
                </c:pt>
                <c:pt idx="54">
                  <c:v>8.5754017227338473</c:v>
                </c:pt>
                <c:pt idx="55">
                  <c:v>8.8549300606311512</c:v>
                </c:pt>
                <c:pt idx="56">
                  <c:v>9.1346740678946485</c:v>
                </c:pt>
                <c:pt idx="57">
                  <c:v>9.4146340614278081</c:v>
                </c:pt>
                <c:pt idx="58">
                  <c:v>9.6948103587553049</c:v>
                </c:pt>
                <c:pt idx="59">
                  <c:v>9.975203278024507</c:v>
                </c:pt>
                <c:pt idx="60">
                  <c:v>10.25581313800704</c:v>
                </c:pt>
                <c:pt idx="61">
                  <c:v>10.536640258100306</c:v>
                </c:pt>
                <c:pt idx="62">
                  <c:v>10.817684958329009</c:v>
                </c:pt>
                <c:pt idx="63">
                  <c:v>11.098947559346708</c:v>
                </c:pt>
                <c:pt idx="64">
                  <c:v>11.380428382437355</c:v>
                </c:pt>
                <c:pt idx="65">
                  <c:v>11.662127749516833</c:v>
                </c:pt>
                <c:pt idx="66">
                  <c:v>11.944045983134542</c:v>
                </c:pt>
                <c:pt idx="67">
                  <c:v>12.22618340647492</c:v>
                </c:pt>
                <c:pt idx="68">
                  <c:v>12.508540343359025</c:v>
                </c:pt>
                <c:pt idx="69">
                  <c:v>12.791117118246097</c:v>
                </c:pt>
                <c:pt idx="70">
                  <c:v>13.073914056235171</c:v>
                </c:pt>
                <c:pt idx="71">
                  <c:v>13.356931483066559</c:v>
                </c:pt>
                <c:pt idx="72">
                  <c:v>13.640169725123533</c:v>
                </c:pt>
                <c:pt idx="73">
                  <c:v>13.923629109433865</c:v>
                </c:pt>
                <c:pt idx="74">
                  <c:v>14.207309963671396</c:v>
                </c:pt>
                <c:pt idx="75">
                  <c:v>14.491212616157677</c:v>
                </c:pt>
                <c:pt idx="76">
                  <c:v>14.775337395863554</c:v>
                </c:pt>
                <c:pt idx="77">
                  <c:v>15.059684632410773</c:v>
                </c:pt>
                <c:pt idx="78">
                  <c:v>15.344254656073565</c:v>
                </c:pt>
                <c:pt idx="79">
                  <c:v>15.629047797780313</c:v>
                </c:pt>
                <c:pt idx="80">
                  <c:v>15.914064389115131</c:v>
                </c:pt>
                <c:pt idx="81">
                  <c:v>16.1993047623195</c:v>
                </c:pt>
                <c:pt idx="82">
                  <c:v>16.48476925029388</c:v>
                </c:pt>
                <c:pt idx="83">
                  <c:v>16.770458186599409</c:v>
                </c:pt>
                <c:pt idx="84">
                  <c:v>17.056371905459468</c:v>
                </c:pt>
                <c:pt idx="85">
                  <c:v>17.342510741761341</c:v>
                </c:pt>
                <c:pt idx="86">
                  <c:v>17.628875031057905</c:v>
                </c:pt>
                <c:pt idx="87">
                  <c:v>17.91546510956924</c:v>
                </c:pt>
                <c:pt idx="88">
                  <c:v>18.202281314184312</c:v>
                </c:pt>
                <c:pt idx="89">
                  <c:v>18.489323982462622</c:v>
                </c:pt>
                <c:pt idx="90">
                  <c:v>18.776593452635886</c:v>
                </c:pt>
                <c:pt idx="91">
                  <c:v>19.064090063609704</c:v>
                </c:pt>
                <c:pt idx="92">
                  <c:v>19.351814154965254</c:v>
                </c:pt>
                <c:pt idx="93">
                  <c:v>19.639766066960949</c:v>
                </c:pt>
                <c:pt idx="94">
                  <c:v>19.927946140534125</c:v>
                </c:pt>
                <c:pt idx="95">
                  <c:v>20.216354717302799</c:v>
                </c:pt>
                <c:pt idx="96">
                  <c:v>20.504992139567264</c:v>
                </c:pt>
                <c:pt idx="97">
                  <c:v>20.793858750311884</c:v>
                </c:pt>
                <c:pt idx="98">
                  <c:v>21.08295489320675</c:v>
                </c:pt>
                <c:pt idx="99">
                  <c:v>21.372280912609419</c:v>
                </c:pt>
                <c:pt idx="100">
                  <c:v>21.661837153566633</c:v>
                </c:pt>
              </c:numCache>
            </c:numRef>
          </c:val>
          <c:smooth val="0"/>
          <c:extLst>
            <c:ext xmlns:c16="http://schemas.microsoft.com/office/drawing/2014/chart" uri="{C3380CC4-5D6E-409C-BE32-E72D297353CC}">
              <c16:uniqueId val="{00000000-B28B-4852-801F-8278A9821D6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Single'!$AK$5:$AK$105</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1.0414614376836426</c:v>
                </c:pt>
                <c:pt idx="29">
                  <c:v>1.0429422033152012</c:v>
                </c:pt>
                <c:pt idx="30">
                  <c:v>1.0444229689467599</c:v>
                </c:pt>
                <c:pt idx="31">
                  <c:v>1.0459037345783184</c:v>
                </c:pt>
                <c:pt idx="32">
                  <c:v>1.0473845002098772</c:v>
                </c:pt>
                <c:pt idx="33">
                  <c:v>1.0488652658414359</c:v>
                </c:pt>
                <c:pt idx="34">
                  <c:v>1.0503460314729944</c:v>
                </c:pt>
                <c:pt idx="35">
                  <c:v>1.0518267971045532</c:v>
                </c:pt>
                <c:pt idx="36">
                  <c:v>1.0533075627361117</c:v>
                </c:pt>
                <c:pt idx="37">
                  <c:v>1.0547883283676704</c:v>
                </c:pt>
                <c:pt idx="38">
                  <c:v>1.0562690939992292</c:v>
                </c:pt>
                <c:pt idx="39">
                  <c:v>1.0577515624931126</c:v>
                </c:pt>
                <c:pt idx="40">
                  <c:v>1.3145651652606216</c:v>
                </c:pt>
                <c:pt idx="41">
                  <c:v>1.5031059461763532</c:v>
                </c:pt>
                <c:pt idx="42">
                  <c:v>1.6917601506235624</c:v>
                </c:pt>
                <c:pt idx="43">
                  <c:v>1.8804427219746487</c:v>
                </c:pt>
                <c:pt idx="44">
                  <c:v>2.0691536695586894</c:v>
                </c:pt>
                <c:pt idx="45">
                  <c:v>2.2578930027088662</c:v>
                </c:pt>
                <c:pt idx="46">
                  <c:v>2.446660730762475</c:v>
                </c:pt>
                <c:pt idx="47">
                  <c:v>2.6354568630608934</c:v>
                </c:pt>
                <c:pt idx="48">
                  <c:v>2.8242814089496333</c:v>
                </c:pt>
                <c:pt idx="49">
                  <c:v>3.0131343777783011</c:v>
                </c:pt>
                <c:pt idx="50">
                  <c:v>3.2020157789006118</c:v>
                </c:pt>
                <c:pt idx="51">
                  <c:v>3.3909256216743957</c:v>
                </c:pt>
                <c:pt idx="52">
                  <c:v>3.5798639154615994</c:v>
                </c:pt>
                <c:pt idx="53">
                  <c:v>3.7688306696282785</c:v>
                </c:pt>
                <c:pt idx="54">
                  <c:v>3.9578258935446051</c:v>
                </c:pt>
                <c:pt idx="55">
                  <c:v>4.1468495965848726</c:v>
                </c:pt>
                <c:pt idx="56">
                  <c:v>4.3359017881274937</c:v>
                </c:pt>
                <c:pt idx="57">
                  <c:v>4.524982477555004</c:v>
                </c:pt>
                <c:pt idx="58">
                  <c:v>4.7140916742540639</c:v>
                </c:pt>
                <c:pt idx="59">
                  <c:v>4.9032293876154549</c:v>
                </c:pt>
                <c:pt idx="60">
                  <c:v>5.0923956270340893</c:v>
                </c:pt>
                <c:pt idx="61">
                  <c:v>5.2815904019090105</c:v>
                </c:pt>
                <c:pt idx="62">
                  <c:v>5.4708137216433954</c:v>
                </c:pt>
                <c:pt idx="63">
                  <c:v>5.6600655956445491</c:v>
                </c:pt>
                <c:pt idx="64">
                  <c:v>5.8493460333239167</c:v>
                </c:pt>
                <c:pt idx="65">
                  <c:v>6.0386550440970828</c:v>
                </c:pt>
                <c:pt idx="66">
                  <c:v>6.2279926373837755</c:v>
                </c:pt>
                <c:pt idx="67">
                  <c:v>6.4173588226078495</c:v>
                </c:pt>
                <c:pt idx="68">
                  <c:v>6.6067536091973347</c:v>
                </c:pt>
                <c:pt idx="69">
                  <c:v>6.7961770065843687</c:v>
                </c:pt>
                <c:pt idx="70">
                  <c:v>6.9856290242052683</c:v>
                </c:pt>
                <c:pt idx="71">
                  <c:v>7.1751096715004969</c:v>
                </c:pt>
                <c:pt idx="72">
                  <c:v>7.3646189579146588</c:v>
                </c:pt>
                <c:pt idx="73">
                  <c:v>7.5541568928965255</c:v>
                </c:pt>
                <c:pt idx="74">
                  <c:v>7.743723485899026</c:v>
                </c:pt>
                <c:pt idx="75">
                  <c:v>7.9333187463792347</c:v>
                </c:pt>
                <c:pt idx="76">
                  <c:v>8.1229426837984118</c:v>
                </c:pt>
                <c:pt idx="77">
                  <c:v>8.3125953076219687</c:v>
                </c:pt>
                <c:pt idx="78">
                  <c:v>8.5022766273194836</c:v>
                </c:pt>
                <c:pt idx="79">
                  <c:v>8.6919866523646991</c:v>
                </c:pt>
                <c:pt idx="80">
                  <c:v>8.8817253922355448</c:v>
                </c:pt>
                <c:pt idx="81">
                  <c:v>9.0714928564141104</c:v>
                </c:pt>
                <c:pt idx="82">
                  <c:v>9.2612890543866637</c:v>
                </c:pt>
                <c:pt idx="83">
                  <c:v>9.4511139956436629</c:v>
                </c:pt>
                <c:pt idx="84">
                  <c:v>9.640967689679723</c:v>
                </c:pt>
                <c:pt idx="85">
                  <c:v>9.830850145993665</c:v>
                </c:pt>
                <c:pt idx="86">
                  <c:v>10.020761374088481</c:v>
                </c:pt>
                <c:pt idx="87">
                  <c:v>10.210701383471354</c:v>
                </c:pt>
                <c:pt idx="88">
                  <c:v>10.400670183653656</c:v>
                </c:pt>
                <c:pt idx="89">
                  <c:v>10.590667784150954</c:v>
                </c:pt>
                <c:pt idx="90">
                  <c:v>10.780694194483011</c:v>
                </c:pt>
                <c:pt idx="91">
                  <c:v>10.970749424173771</c:v>
                </c:pt>
                <c:pt idx="92">
                  <c:v>11.160833482751398</c:v>
                </c:pt>
                <c:pt idx="93">
                  <c:v>11.35094637974824</c:v>
                </c:pt>
                <c:pt idx="94">
                  <c:v>11.541088124700858</c:v>
                </c:pt>
                <c:pt idx="95">
                  <c:v>11.731258727150019</c:v>
                </c:pt>
                <c:pt idx="96">
                  <c:v>11.921458196640693</c:v>
                </c:pt>
                <c:pt idx="97">
                  <c:v>12.111686542722058</c:v>
                </c:pt>
                <c:pt idx="98">
                  <c:v>12.301943774947514</c:v>
                </c:pt>
                <c:pt idx="99">
                  <c:v>12.49222990287466</c:v>
                </c:pt>
                <c:pt idx="100">
                  <c:v>12.68254493606533</c:v>
                </c:pt>
              </c:numCache>
            </c:numRef>
          </c:val>
          <c:smooth val="0"/>
          <c:extLst>
            <c:ext xmlns:c16="http://schemas.microsoft.com/office/drawing/2014/chart" uri="{C3380CC4-5D6E-409C-BE32-E72D297353CC}">
              <c16:uniqueId val="{00000001-B28B-4852-801F-8278A9821D6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1.0068571428571429</c:v>
                </c:pt>
                <c:pt idx="2">
                  <c:v>1.0068571428571429</c:v>
                </c:pt>
                <c:pt idx="3">
                  <c:v>1.0068571428571429</c:v>
                </c:pt>
                <c:pt idx="4">
                  <c:v>1.0068571428571429</c:v>
                </c:pt>
                <c:pt idx="5">
                  <c:v>1.0074038281577933</c:v>
                </c:pt>
                <c:pt idx="6">
                  <c:v>1.008884593789352</c:v>
                </c:pt>
                <c:pt idx="7">
                  <c:v>1.0103653594209105</c:v>
                </c:pt>
                <c:pt idx="8">
                  <c:v>1.0118461250524693</c:v>
                </c:pt>
                <c:pt idx="9">
                  <c:v>1.013326890684028</c:v>
                </c:pt>
                <c:pt idx="10">
                  <c:v>1.0148076563155866</c:v>
                </c:pt>
                <c:pt idx="11">
                  <c:v>1.0162884219471453</c:v>
                </c:pt>
                <c:pt idx="12">
                  <c:v>1.017769187578704</c:v>
                </c:pt>
                <c:pt idx="13">
                  <c:v>1.0192499532102626</c:v>
                </c:pt>
                <c:pt idx="14">
                  <c:v>1.0207307188418213</c:v>
                </c:pt>
                <c:pt idx="15">
                  <c:v>1.0222114844733798</c:v>
                </c:pt>
                <c:pt idx="16">
                  <c:v>1.0236922501049386</c:v>
                </c:pt>
                <c:pt idx="17">
                  <c:v>1.0251730157364973</c:v>
                </c:pt>
                <c:pt idx="18">
                  <c:v>1.0266537813680559</c:v>
                </c:pt>
                <c:pt idx="19">
                  <c:v>1.0281345469996146</c:v>
                </c:pt>
                <c:pt idx="20">
                  <c:v>1.0296153126311731</c:v>
                </c:pt>
                <c:pt idx="21">
                  <c:v>1.0310960782627319</c:v>
                </c:pt>
                <c:pt idx="22">
                  <c:v>1.0325768438942906</c:v>
                </c:pt>
                <c:pt idx="23">
                  <c:v>1.0340576095258491</c:v>
                </c:pt>
                <c:pt idx="24">
                  <c:v>1.0355383751574079</c:v>
                </c:pt>
                <c:pt idx="25">
                  <c:v>1.0370191407889666</c:v>
                </c:pt>
                <c:pt idx="26">
                  <c:v>1.0384999064205251</c:v>
                </c:pt>
                <c:pt idx="27">
                  <c:v>1.0399806720520839</c:v>
                </c:pt>
                <c:pt idx="28">
                  <c:v>1.0414614376836426</c:v>
                </c:pt>
                <c:pt idx="29">
                  <c:v>1.0429422033152012</c:v>
                </c:pt>
                <c:pt idx="30">
                  <c:v>1.0444229689467599</c:v>
                </c:pt>
                <c:pt idx="31">
                  <c:v>1.0459037345783184</c:v>
                </c:pt>
                <c:pt idx="32">
                  <c:v>1.0473845002098772</c:v>
                </c:pt>
                <c:pt idx="33">
                  <c:v>1.0488652658414359</c:v>
                </c:pt>
                <c:pt idx="34">
                  <c:v>1.0503460314729944</c:v>
                </c:pt>
                <c:pt idx="35">
                  <c:v>1.0518267971045532</c:v>
                </c:pt>
                <c:pt idx="36">
                  <c:v>1.0533075627361117</c:v>
                </c:pt>
                <c:pt idx="37">
                  <c:v>1.0547883283676704</c:v>
                </c:pt>
                <c:pt idx="38">
                  <c:v>1.0562690939992292</c:v>
                </c:pt>
                <c:pt idx="39">
                  <c:v>1.0577498596307877</c:v>
                </c:pt>
                <c:pt idx="40">
                  <c:v>1.0592306252623465</c:v>
                </c:pt>
                <c:pt idx="41">
                  <c:v>1.0607113908939052</c:v>
                </c:pt>
                <c:pt idx="42">
                  <c:v>1.0621982751409278</c:v>
                </c:pt>
                <c:pt idx="43">
                  <c:v>1.3320885581304882</c:v>
                </c:pt>
                <c:pt idx="44">
                  <c:v>1.5077518516210184</c:v>
                </c:pt>
                <c:pt idx="45">
                  <c:v>1.6834604796253638</c:v>
                </c:pt>
                <c:pt idx="46">
                  <c:v>1.8591853418617275</c:v>
                </c:pt>
                <c:pt idx="47">
                  <c:v>2.0349264417251103</c:v>
                </c:pt>
                <c:pt idx="48">
                  <c:v>2.210683782611476</c:v>
                </c:pt>
                <c:pt idx="49">
                  <c:v>2.3864573679177261</c:v>
                </c:pt>
                <c:pt idx="50">
                  <c:v>2.5622472010417212</c:v>
                </c:pt>
                <c:pt idx="51">
                  <c:v>2.7380532853822732</c:v>
                </c:pt>
                <c:pt idx="52">
                  <c:v>2.9138756243391448</c:v>
                </c:pt>
                <c:pt idx="53">
                  <c:v>3.0897142213130468</c:v>
                </c:pt>
                <c:pt idx="54">
                  <c:v>3.2655690797056458</c:v>
                </c:pt>
                <c:pt idx="55">
                  <c:v>3.4414402029195514</c:v>
                </c:pt>
                <c:pt idx="56">
                  <c:v>3.6173275943583434</c:v>
                </c:pt>
                <c:pt idx="57">
                  <c:v>3.7932312574265294</c:v>
                </c:pt>
                <c:pt idx="58">
                  <c:v>3.9691511955295864</c:v>
                </c:pt>
                <c:pt idx="59">
                  <c:v>4.1450874120739369</c:v>
                </c:pt>
                <c:pt idx="60">
                  <c:v>4.321039910466955</c:v>
                </c:pt>
                <c:pt idx="61">
                  <c:v>4.4970086941169685</c:v>
                </c:pt>
                <c:pt idx="62">
                  <c:v>4.6729937664332635</c:v>
                </c:pt>
                <c:pt idx="63">
                  <c:v>4.8489951308260641</c:v>
                </c:pt>
                <c:pt idx="64">
                  <c:v>5.0250127907065609</c:v>
                </c:pt>
                <c:pt idx="65">
                  <c:v>5.2010467494868964</c:v>
                </c:pt>
                <c:pt idx="66">
                  <c:v>5.377097010580159</c:v>
                </c:pt>
                <c:pt idx="67">
                  <c:v>5.5531635774003973</c:v>
                </c:pt>
                <c:pt idx="68">
                  <c:v>5.7292464533626193</c:v>
                </c:pt>
                <c:pt idx="69">
                  <c:v>5.9053456418827697</c:v>
                </c:pt>
                <c:pt idx="70">
                  <c:v>6.0814611463777721</c:v>
                </c:pt>
                <c:pt idx="71">
                  <c:v>6.2575929702654793</c:v>
                </c:pt>
                <c:pt idx="72">
                  <c:v>6.433741116964721</c:v>
                </c:pt>
                <c:pt idx="73">
                  <c:v>6.6099055898952717</c:v>
                </c:pt>
                <c:pt idx="74">
                  <c:v>6.7860863924778645</c:v>
                </c:pt>
                <c:pt idx="75">
                  <c:v>6.962283528134189</c:v>
                </c:pt>
                <c:pt idx="76">
                  <c:v>7.1384970002868835</c:v>
                </c:pt>
                <c:pt idx="77">
                  <c:v>7.3147268123595577</c:v>
                </c:pt>
                <c:pt idx="78">
                  <c:v>7.4909729677767638</c:v>
                </c:pt>
                <c:pt idx="79">
                  <c:v>7.6672354699640284</c:v>
                </c:pt>
                <c:pt idx="80">
                  <c:v>7.8435143223478168</c:v>
                </c:pt>
                <c:pt idx="81">
                  <c:v>8.0198095283555624</c:v>
                </c:pt>
                <c:pt idx="82">
                  <c:v>8.1961210914156588</c:v>
                </c:pt>
                <c:pt idx="83">
                  <c:v>8.3724490149574464</c:v>
                </c:pt>
                <c:pt idx="84">
                  <c:v>8.5487933024112515</c:v>
                </c:pt>
                <c:pt idx="85">
                  <c:v>8.7251539572083221</c:v>
                </c:pt>
                <c:pt idx="86">
                  <c:v>8.9015309827808977</c:v>
                </c:pt>
                <c:pt idx="87">
                  <c:v>9.0779243825621627</c:v>
                </c:pt>
                <c:pt idx="88">
                  <c:v>9.2543341599862643</c:v>
                </c:pt>
                <c:pt idx="89">
                  <c:v>9.4307603184883053</c:v>
                </c:pt>
                <c:pt idx="90">
                  <c:v>9.6072028615043568</c:v>
                </c:pt>
                <c:pt idx="91">
                  <c:v>9.7836617924714542</c:v>
                </c:pt>
                <c:pt idx="92">
                  <c:v>9.9601371148275888</c:v>
                </c:pt>
                <c:pt idx="93">
                  <c:v>10.1366288320117</c:v>
                </c:pt>
                <c:pt idx="94">
                  <c:v>10.313136947463724</c:v>
                </c:pt>
                <c:pt idx="95">
                  <c:v>10.48966146462452</c:v>
                </c:pt>
                <c:pt idx="96">
                  <c:v>10.666202386935945</c:v>
                </c:pt>
                <c:pt idx="97">
                  <c:v>10.842759717840792</c:v>
                </c:pt>
                <c:pt idx="98">
                  <c:v>11.019333460782841</c:v>
                </c:pt>
                <c:pt idx="99">
                  <c:v>11.195923619206813</c:v>
                </c:pt>
                <c:pt idx="100">
                  <c:v>11.372530196558408</c:v>
                </c:pt>
              </c:numCache>
            </c:numRef>
          </c:val>
          <c:smooth val="0"/>
          <c:extLst>
            <c:ext xmlns:c16="http://schemas.microsoft.com/office/drawing/2014/chart" uri="{C3380CC4-5D6E-409C-BE32-E72D297353CC}">
              <c16:uniqueId val="{00000002-B28B-4852-801F-8278A9821D66}"/>
            </c:ext>
          </c:extLst>
        </c:ser>
        <c:dLbls>
          <c:showLegendKey val="0"/>
          <c:showVal val="0"/>
          <c:showCatName val="0"/>
          <c:showSerName val="0"/>
          <c:showPercent val="0"/>
          <c:showBubbleSize val="0"/>
        </c:dLbls>
        <c:smooth val="0"/>
        <c:axId val="448925696"/>
        <c:axId val="448927616"/>
      </c:lineChart>
      <c:catAx>
        <c:axId val="44892569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7616"/>
        <c:crosses val="autoZero"/>
        <c:auto val="1"/>
        <c:lblAlgn val="ctr"/>
        <c:lblOffset val="100"/>
        <c:tickLblSkip val="20"/>
        <c:tickMarkSkip val="10"/>
        <c:noMultiLvlLbl val="0"/>
      </c:catAx>
      <c:valAx>
        <c:axId val="448927616"/>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48925696"/>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Single'!$CB$5:$CB$105</c:f>
              <c:numCache>
                <c:formatCode>0.00</c:formatCode>
                <c:ptCount val="101"/>
                <c:pt idx="0">
                  <c:v>9.4582178659988531E-7</c:v>
                </c:pt>
                <c:pt idx="1">
                  <c:v>47.279412824672313</c:v>
                </c:pt>
                <c:pt idx="2">
                  <c:v>63.03499249987</c:v>
                </c:pt>
                <c:pt idx="3">
                  <c:v>70.912124224584062</c:v>
                </c:pt>
                <c:pt idx="4">
                  <c:v>75.638223231460515</c:v>
                </c:pt>
                <c:pt idx="5">
                  <c:v>78.648529722608387</c:v>
                </c:pt>
                <c:pt idx="6">
                  <c:v>80.581846459739097</c:v>
                </c:pt>
                <c:pt idx="7">
                  <c:v>82.0215572364514</c:v>
                </c:pt>
                <c:pt idx="8">
                  <c:v>83.1351425836761</c:v>
                </c:pt>
                <c:pt idx="9">
                  <c:v>84.022013068892477</c:v>
                </c:pt>
                <c:pt idx="10">
                  <c:v>84.744902042666297</c:v>
                </c:pt>
                <c:pt idx="11">
                  <c:v>85.345352143101522</c:v>
                </c:pt>
                <c:pt idx="12">
                  <c:v>85.851966057402834</c:v>
                </c:pt>
                <c:pt idx="13">
                  <c:v>86.285080795395984</c:v>
                </c:pt>
                <c:pt idx="14">
                  <c:v>86.65955230777395</c:v>
                </c:pt>
                <c:pt idx="15">
                  <c:v>86.986485435936956</c:v>
                </c:pt>
                <c:pt idx="16">
                  <c:v>87.274347551296216</c:v>
                </c:pt>
                <c:pt idx="17">
                  <c:v>87.529707687280876</c:v>
                </c:pt>
                <c:pt idx="18">
                  <c:v>87.757740299857119</c:v>
                </c:pt>
                <c:pt idx="19">
                  <c:v>87.962576693943149</c:v>
                </c:pt>
                <c:pt idx="20">
                  <c:v>88.147555279503891</c:v>
                </c:pt>
                <c:pt idx="21">
                  <c:v>88.315403081229704</c:v>
                </c:pt>
                <c:pt idx="22">
                  <c:v>88.468369569650378</c:v>
                </c:pt>
                <c:pt idx="23">
                  <c:v>88.608326812281973</c:v>
                </c:pt>
                <c:pt idx="24">
                  <c:v>88.736845435301873</c:v>
                </c:pt>
                <c:pt idx="25">
                  <c:v>88.855252948204622</c:v>
                </c:pt>
                <c:pt idx="26">
                  <c:v>88.964679030970345</c:v>
                </c:pt>
                <c:pt idx="27">
                  <c:v>89.066091061653225</c:v>
                </c:pt>
                <c:pt idx="28">
                  <c:v>89.160322253082953</c:v>
                </c:pt>
                <c:pt idx="29">
                  <c:v>89.248094132369033</c:v>
                </c:pt>
                <c:pt idx="30">
                  <c:v>89.33003464719765</c:v>
                </c:pt>
                <c:pt idx="31">
                  <c:v>89.406692860316923</c:v>
                </c:pt>
                <c:pt idx="32">
                  <c:v>89.478550959417035</c:v>
                </c:pt>
                <c:pt idx="33">
                  <c:v>89.546034137704254</c:v>
                </c:pt>
                <c:pt idx="34">
                  <c:v>89.609518772965032</c:v>
                </c:pt>
                <c:pt idx="35">
                  <c:v>89.669339237430961</c:v>
                </c:pt>
                <c:pt idx="36">
                  <c:v>89.725793598595473</c:v>
                </c:pt>
                <c:pt idx="37">
                  <c:v>89.779148416135428</c:v>
                </c:pt>
                <c:pt idx="38">
                  <c:v>89.829642797836556</c:v>
                </c:pt>
                <c:pt idx="39">
                  <c:v>89.877399986884981</c:v>
                </c:pt>
                <c:pt idx="40">
                  <c:v>89.94128933332199</c:v>
                </c:pt>
                <c:pt idx="41">
                  <c:v>89.927894399876081</c:v>
                </c:pt>
                <c:pt idx="42">
                  <c:v>89.910362907293234</c:v>
                </c:pt>
                <c:pt idx="43">
                  <c:v>89.889022301447596</c:v>
                </c:pt>
                <c:pt idx="44">
                  <c:v>89.864041208632941</c:v>
                </c:pt>
                <c:pt idx="45">
                  <c:v>89.835568122068864</c:v>
                </c:pt>
                <c:pt idx="46">
                  <c:v>89.803733467797485</c:v>
                </c:pt>
                <c:pt idx="47">
                  <c:v>89.768651385790051</c:v>
                </c:pt>
                <c:pt idx="48">
                  <c:v>89.730421268049426</c:v>
                </c:pt>
                <c:pt idx="49">
                  <c:v>89.689129088442556</c:v>
                </c:pt>
                <c:pt idx="50">
                  <c:v>89.644848553233658</c:v>
                </c:pt>
                <c:pt idx="51">
                  <c:v>89.597642096553543</c:v>
                </c:pt>
                <c:pt idx="52">
                  <c:v>89.547561741134928</c:v>
                </c:pt>
                <c:pt idx="53">
                  <c:v>89.494649841404367</c:v>
                </c:pt>
                <c:pt idx="54">
                  <c:v>89.438939723324964</c:v>
                </c:pt>
                <c:pt idx="55">
                  <c:v>89.380456233126736</c:v>
                </c:pt>
                <c:pt idx="56">
                  <c:v>89.319216205164167</c:v>
                </c:pt>
                <c:pt idx="57">
                  <c:v>89.255228857535556</c:v>
                </c:pt>
                <c:pt idx="58">
                  <c:v>89.188496122735998</c:v>
                </c:pt>
                <c:pt idx="59">
                  <c:v>89.119012919449474</c:v>
                </c:pt>
                <c:pt idx="60">
                  <c:v>89.046767370582003</c:v>
                </c:pt>
                <c:pt idx="61">
                  <c:v>88.971740971767389</c:v>
                </c:pt>
                <c:pt idx="62">
                  <c:v>88.893908713816444</c:v>
                </c:pt>
                <c:pt idx="63">
                  <c:v>88.813239161907703</c:v>
                </c:pt>
                <c:pt idx="64">
                  <c:v>88.729694493718796</c:v>
                </c:pt>
                <c:pt idx="65">
                  <c:v>88.643230498155233</c:v>
                </c:pt>
                <c:pt idx="66">
                  <c:v>88.553796535837463</c:v>
                </c:pt>
                <c:pt idx="67">
                  <c:v>88.46133546204527</c:v>
                </c:pt>
                <c:pt idx="68">
                  <c:v>88.365783512382563</c:v>
                </c:pt>
                <c:pt idx="69">
                  <c:v>88.267070151006166</c:v>
                </c:pt>
                <c:pt idx="70">
                  <c:v>88.165117880851255</c:v>
                </c:pt>
                <c:pt idx="71">
                  <c:v>88.059842014876693</c:v>
                </c:pt>
                <c:pt idx="72">
                  <c:v>87.951150406937671</c:v>
                </c:pt>
                <c:pt idx="73">
                  <c:v>87.838943140464437</c:v>
                </c:pt>
                <c:pt idx="74">
                  <c:v>87.723112172676153</c:v>
                </c:pt>
                <c:pt idx="75">
                  <c:v>87.603540931580568</c:v>
                </c:pt>
                <c:pt idx="76">
                  <c:v>87.480103862496023</c:v>
                </c:pt>
                <c:pt idx="77">
                  <c:v>87.352665920270937</c:v>
                </c:pt>
                <c:pt idx="78">
                  <c:v>87.221082002760042</c:v>
                </c:pt>
                <c:pt idx="79">
                  <c:v>87.085196320433155</c:v>
                </c:pt>
                <c:pt idx="80">
                  <c:v>86.94484169622811</c:v>
                </c:pt>
                <c:pt idx="81">
                  <c:v>86.799838788902434</c:v>
                </c:pt>
                <c:pt idx="82">
                  <c:v>86.64999523216764</c:v>
                </c:pt>
                <c:pt idx="83">
                  <c:v>86.495104680788771</c:v>
                </c:pt>
                <c:pt idx="84">
                  <c:v>86.334945753575667</c:v>
                </c:pt>
                <c:pt idx="85">
                  <c:v>86.169280861752853</c:v>
                </c:pt>
                <c:pt idx="86">
                  <c:v>85.9978549095419</c:v>
                </c:pt>
                <c:pt idx="87">
                  <c:v>85.82039385188142</c:v>
                </c:pt>
                <c:pt idx="88">
                  <c:v>85.636603092003796</c:v>
                </c:pt>
                <c:pt idx="89">
                  <c:v>85.446165699024107</c:v>
                </c:pt>
                <c:pt idx="90">
                  <c:v>85.248740422713638</c:v>
                </c:pt>
                <c:pt idx="91">
                  <c:v>85.04395947914486</c:v>
                </c:pt>
                <c:pt idx="92">
                  <c:v>84.831426076810658</c:v>
                </c:pt>
                <c:pt idx="93">
                  <c:v>84.610711648020782</c:v>
                </c:pt>
                <c:pt idx="94">
                  <c:v>84.381352744718825</c:v>
                </c:pt>
                <c:pt idx="95">
                  <c:v>84.142847551166554</c:v>
                </c:pt>
                <c:pt idx="96">
                  <c:v>83.894651957996814</c:v>
                </c:pt>
                <c:pt idx="97">
                  <c:v>83.636175132669166</c:v>
                </c:pt>
                <c:pt idx="98">
                  <c:v>83.366774510050433</c:v>
                </c:pt>
                <c:pt idx="99">
                  <c:v>83.085750113268801</c:v>
                </c:pt>
                <c:pt idx="100">
                  <c:v>82.792338098645743</c:v>
                </c:pt>
              </c:numCache>
            </c:numRef>
          </c:val>
          <c:smooth val="0"/>
          <c:extLst>
            <c:ext xmlns:c16="http://schemas.microsoft.com/office/drawing/2014/chart" uri="{C3380CC4-5D6E-409C-BE32-E72D297353CC}">
              <c16:uniqueId val="{00000000-1E04-4A6B-B26C-C435E097FB7E}"/>
            </c:ext>
          </c:extLst>
        </c:ser>
        <c:dLbls>
          <c:showLegendKey val="0"/>
          <c:showVal val="0"/>
          <c:showCatName val="0"/>
          <c:showSerName val="0"/>
          <c:showPercent val="0"/>
          <c:showBubbleSize val="0"/>
        </c:dLbls>
        <c:marker val="1"/>
        <c:smooth val="0"/>
        <c:axId val="448972288"/>
        <c:axId val="44897420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val>
            <c:numRef>
              <c:f>'Calculations - Single'!$BR$5:$BR$105</c:f>
              <c:numCache>
                <c:formatCode>0.0</c:formatCode>
                <c:ptCount val="101"/>
                <c:pt idx="0">
                  <c:v>6.2124999999999988E-7</c:v>
                </c:pt>
                <c:pt idx="1">
                  <c:v>62.124999999999993</c:v>
                </c:pt>
                <c:pt idx="2">
                  <c:v>124.24999999999999</c:v>
                </c:pt>
                <c:pt idx="3">
                  <c:v>186.37499999999997</c:v>
                </c:pt>
                <c:pt idx="4">
                  <c:v>248.49999999999997</c:v>
                </c:pt>
                <c:pt idx="5">
                  <c:v>310.625</c:v>
                </c:pt>
                <c:pt idx="6">
                  <c:v>372.74999999999994</c:v>
                </c:pt>
                <c:pt idx="7">
                  <c:v>434.87499999999994</c:v>
                </c:pt>
                <c:pt idx="8">
                  <c:v>496.99999999999994</c:v>
                </c:pt>
                <c:pt idx="9">
                  <c:v>559.12499999999989</c:v>
                </c:pt>
                <c:pt idx="10">
                  <c:v>621.25</c:v>
                </c:pt>
                <c:pt idx="11">
                  <c:v>683.375</c:v>
                </c:pt>
                <c:pt idx="12">
                  <c:v>745.49999999999989</c:v>
                </c:pt>
                <c:pt idx="13">
                  <c:v>807.62499999999989</c:v>
                </c:pt>
                <c:pt idx="14">
                  <c:v>869.74999999999989</c:v>
                </c:pt>
                <c:pt idx="15">
                  <c:v>931.87499999999977</c:v>
                </c:pt>
                <c:pt idx="16">
                  <c:v>993.99999999999989</c:v>
                </c:pt>
                <c:pt idx="17">
                  <c:v>1056.125</c:v>
                </c:pt>
                <c:pt idx="18">
                  <c:v>1118.2499999999998</c:v>
                </c:pt>
                <c:pt idx="19">
                  <c:v>1180.3749999999998</c:v>
                </c:pt>
                <c:pt idx="20">
                  <c:v>1242.5</c:v>
                </c:pt>
                <c:pt idx="21">
                  <c:v>1304.625</c:v>
                </c:pt>
                <c:pt idx="22">
                  <c:v>1366.75</c:v>
                </c:pt>
                <c:pt idx="23">
                  <c:v>1428.8750000000002</c:v>
                </c:pt>
                <c:pt idx="24">
                  <c:v>1490.9999999999998</c:v>
                </c:pt>
                <c:pt idx="25">
                  <c:v>1553.1249999999998</c:v>
                </c:pt>
                <c:pt idx="26">
                  <c:v>1615.2499999999998</c:v>
                </c:pt>
                <c:pt idx="27">
                  <c:v>1677.3749999999998</c:v>
                </c:pt>
                <c:pt idx="28">
                  <c:v>1739.4999999999998</c:v>
                </c:pt>
                <c:pt idx="29">
                  <c:v>1801.6249999999998</c:v>
                </c:pt>
                <c:pt idx="30">
                  <c:v>1863.7499999999995</c:v>
                </c:pt>
                <c:pt idx="31">
                  <c:v>1925.8749999999998</c:v>
                </c:pt>
                <c:pt idx="32">
                  <c:v>1987.9999999999998</c:v>
                </c:pt>
                <c:pt idx="33">
                  <c:v>2050.125</c:v>
                </c:pt>
                <c:pt idx="34">
                  <c:v>2112.25</c:v>
                </c:pt>
                <c:pt idx="35">
                  <c:v>2174.3749999999995</c:v>
                </c:pt>
                <c:pt idx="36">
                  <c:v>2236.4999999999995</c:v>
                </c:pt>
                <c:pt idx="37">
                  <c:v>2298.625</c:v>
                </c:pt>
                <c:pt idx="38">
                  <c:v>2360.7499999999995</c:v>
                </c:pt>
                <c:pt idx="39">
                  <c:v>2422.875</c:v>
                </c:pt>
                <c:pt idx="40">
                  <c:v>2485</c:v>
                </c:pt>
                <c:pt idx="41">
                  <c:v>2547.1249999999995</c:v>
                </c:pt>
                <c:pt idx="42">
                  <c:v>2609.25</c:v>
                </c:pt>
                <c:pt idx="43">
                  <c:v>2671.375</c:v>
                </c:pt>
                <c:pt idx="44">
                  <c:v>2733.5</c:v>
                </c:pt>
                <c:pt idx="45">
                  <c:v>2795.625</c:v>
                </c:pt>
                <c:pt idx="46">
                  <c:v>2857.7500000000005</c:v>
                </c:pt>
                <c:pt idx="47">
                  <c:v>2919.8749999999991</c:v>
                </c:pt>
                <c:pt idx="48">
                  <c:v>2981.9999999999995</c:v>
                </c:pt>
                <c:pt idx="49">
                  <c:v>3044.125</c:v>
                </c:pt>
                <c:pt idx="50">
                  <c:v>3106.2499999999995</c:v>
                </c:pt>
                <c:pt idx="51">
                  <c:v>3168.3749999999991</c:v>
                </c:pt>
                <c:pt idx="52">
                  <c:v>3230.4999999999995</c:v>
                </c:pt>
                <c:pt idx="53">
                  <c:v>3292.625</c:v>
                </c:pt>
                <c:pt idx="54">
                  <c:v>3354.7499999999995</c:v>
                </c:pt>
                <c:pt idx="55">
                  <c:v>3416.8749999999995</c:v>
                </c:pt>
                <c:pt idx="56">
                  <c:v>3478.9999999999995</c:v>
                </c:pt>
                <c:pt idx="57">
                  <c:v>3541.1249999999991</c:v>
                </c:pt>
                <c:pt idx="58">
                  <c:v>3603.2499999999995</c:v>
                </c:pt>
                <c:pt idx="59">
                  <c:v>3665.3749999999986</c:v>
                </c:pt>
                <c:pt idx="60">
                  <c:v>3727.4999999999991</c:v>
                </c:pt>
                <c:pt idx="61">
                  <c:v>3789.6249999999995</c:v>
                </c:pt>
                <c:pt idx="62">
                  <c:v>3851.7499999999995</c:v>
                </c:pt>
                <c:pt idx="63">
                  <c:v>3913.8749999999991</c:v>
                </c:pt>
                <c:pt idx="64">
                  <c:v>3975.9999999999995</c:v>
                </c:pt>
                <c:pt idx="65">
                  <c:v>4038.125</c:v>
                </c:pt>
                <c:pt idx="66">
                  <c:v>4100.25</c:v>
                </c:pt>
                <c:pt idx="67">
                  <c:v>4162.3749999999991</c:v>
                </c:pt>
                <c:pt idx="68">
                  <c:v>4224.5</c:v>
                </c:pt>
                <c:pt idx="69">
                  <c:v>4286.6249999999991</c:v>
                </c:pt>
                <c:pt idx="70">
                  <c:v>4348.7499999999991</c:v>
                </c:pt>
                <c:pt idx="71">
                  <c:v>4410.875</c:v>
                </c:pt>
                <c:pt idx="72">
                  <c:v>4472.9999999999991</c:v>
                </c:pt>
                <c:pt idx="73">
                  <c:v>4535.1249999999991</c:v>
                </c:pt>
                <c:pt idx="74">
                  <c:v>4597.25</c:v>
                </c:pt>
                <c:pt idx="75">
                  <c:v>4659.375</c:v>
                </c:pt>
                <c:pt idx="76">
                  <c:v>4721.4999999999991</c:v>
                </c:pt>
                <c:pt idx="77">
                  <c:v>4783.625</c:v>
                </c:pt>
                <c:pt idx="78">
                  <c:v>4845.75</c:v>
                </c:pt>
                <c:pt idx="79">
                  <c:v>4907.875</c:v>
                </c:pt>
                <c:pt idx="80">
                  <c:v>4970</c:v>
                </c:pt>
                <c:pt idx="81">
                  <c:v>5032.1250000000009</c:v>
                </c:pt>
                <c:pt idx="82">
                  <c:v>5094.2499999999991</c:v>
                </c:pt>
                <c:pt idx="83">
                  <c:v>5156.3749999999991</c:v>
                </c:pt>
                <c:pt idx="84">
                  <c:v>5218.5</c:v>
                </c:pt>
                <c:pt idx="85">
                  <c:v>5280.6249999999991</c:v>
                </c:pt>
                <c:pt idx="86">
                  <c:v>5342.75</c:v>
                </c:pt>
                <c:pt idx="87">
                  <c:v>5404.8749999999991</c:v>
                </c:pt>
                <c:pt idx="88">
                  <c:v>5467</c:v>
                </c:pt>
                <c:pt idx="89">
                  <c:v>5529.125</c:v>
                </c:pt>
                <c:pt idx="90">
                  <c:v>5591.25</c:v>
                </c:pt>
                <c:pt idx="91">
                  <c:v>5653.3749999999991</c:v>
                </c:pt>
                <c:pt idx="92">
                  <c:v>5715.5000000000009</c:v>
                </c:pt>
                <c:pt idx="93">
                  <c:v>5777.625</c:v>
                </c:pt>
                <c:pt idx="94">
                  <c:v>5839.7499999999982</c:v>
                </c:pt>
                <c:pt idx="95">
                  <c:v>5901.8749999999991</c:v>
                </c:pt>
                <c:pt idx="96">
                  <c:v>5963.9999999999991</c:v>
                </c:pt>
                <c:pt idx="97">
                  <c:v>6026.1249999999982</c:v>
                </c:pt>
                <c:pt idx="98">
                  <c:v>6088.25</c:v>
                </c:pt>
                <c:pt idx="99">
                  <c:v>6150.3749999999991</c:v>
                </c:pt>
                <c:pt idx="100">
                  <c:v>6212.4999999999991</c:v>
                </c:pt>
              </c:numCache>
            </c:numRef>
          </c:val>
          <c:smooth val="0"/>
          <c:extLst>
            <c:ext xmlns:c16="http://schemas.microsoft.com/office/drawing/2014/chart" uri="{C3380CC4-5D6E-409C-BE32-E72D297353CC}">
              <c16:uniqueId val="{00000001-1E04-4A6B-B26C-C435E097FB7E}"/>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val>
            <c:numRef>
              <c:f>'Calculations - Single'!$BM$5:$BM$105</c:f>
              <c:numCache>
                <c:formatCode>0.0000</c:formatCode>
                <c:ptCount val="101"/>
                <c:pt idx="0">
                  <c:v>0.1933963503776657</c:v>
                </c:pt>
                <c:pt idx="1">
                  <c:v>0.19360620664733286</c:v>
                </c:pt>
                <c:pt idx="2">
                  <c:v>0.19369319473562627</c:v>
                </c:pt>
                <c:pt idx="3">
                  <c:v>0.19375996459535924</c:v>
                </c:pt>
                <c:pt idx="4">
                  <c:v>0.19381626875695274</c:v>
                </c:pt>
                <c:pt idx="5">
                  <c:v>0.20937126452035418</c:v>
                </c:pt>
                <c:pt idx="6">
                  <c:v>0.25146090004082705</c:v>
                </c:pt>
                <c:pt idx="7">
                  <c:v>0.29362276096028445</c:v>
                </c:pt>
                <c:pt idx="8">
                  <c:v>0.3358570333454779</c:v>
                </c:pt>
                <c:pt idx="9">
                  <c:v>0.37816390390283405</c:v>
                </c:pt>
                <c:pt idx="10">
                  <c:v>0.42054355998120635</c:v>
                </c:pt>
                <c:pt idx="11">
                  <c:v>0.46299618957463962</c:v>
                </c:pt>
                <c:pt idx="12">
                  <c:v>0.50552198132515014</c:v>
                </c:pt>
                <c:pt idx="13">
                  <c:v>0.5481211245255212</c:v>
                </c:pt>
                <c:pt idx="14">
                  <c:v>0.59079380912210877</c:v>
                </c:pt>
                <c:pt idx="15">
                  <c:v>0.63354022571766744</c:v>
                </c:pt>
                <c:pt idx="16">
                  <c:v>0.67636056557418789</c:v>
                </c:pt>
                <c:pt idx="17">
                  <c:v>0.71925502061574753</c:v>
                </c:pt>
                <c:pt idx="18">
                  <c:v>0.76222378343137942</c:v>
                </c:pt>
                <c:pt idx="19">
                  <c:v>0.80526704727795584</c:v>
                </c:pt>
                <c:pt idx="20">
                  <c:v>0.84838500608308254</c:v>
                </c:pt>
                <c:pt idx="21">
                  <c:v>0.89157785444801352</c:v>
                </c:pt>
                <c:pt idx="22">
                  <c:v>0.93484578765057791</c:v>
                </c:pt>
                <c:pt idx="23">
                  <c:v>0.97818900164812228</c:v>
                </c:pt>
                <c:pt idx="24">
                  <c:v>1.0216076930804701</c:v>
                </c:pt>
                <c:pt idx="25">
                  <c:v>1.0651020592728955</c:v>
                </c:pt>
                <c:pt idx="26">
                  <c:v>1.1086722982391102</c:v>
                </c:pt>
                <c:pt idx="27">
                  <c:v>1.1523186086842716</c:v>
                </c:pt>
                <c:pt idx="28">
                  <c:v>1.1960411900080012</c:v>
                </c:pt>
                <c:pt idx="29">
                  <c:v>1.2398402423074226</c:v>
                </c:pt>
                <c:pt idx="30">
                  <c:v>1.2837159663802133</c:v>
                </c:pt>
                <c:pt idx="31">
                  <c:v>1.3276685637276739</c:v>
                </c:pt>
                <c:pt idx="32">
                  <c:v>1.3716982365578108</c:v>
                </c:pt>
                <c:pt idx="33">
                  <c:v>1.4158051877884397</c:v>
                </c:pt>
                <c:pt idx="34">
                  <c:v>1.4599896210503021</c:v>
                </c:pt>
                <c:pt idx="35">
                  <c:v>1.504251740690197</c:v>
                </c:pt>
                <c:pt idx="36">
                  <c:v>1.548591751774135</c:v>
                </c:pt>
                <c:pt idx="37">
                  <c:v>1.5930098600905023</c:v>
                </c:pt>
                <c:pt idx="38">
                  <c:v>1.6375062721532441</c:v>
                </c:pt>
                <c:pt idx="39">
                  <c:v>1.6821453918413516</c:v>
                </c:pt>
                <c:pt idx="40">
                  <c:v>1.6721992926000959</c:v>
                </c:pt>
                <c:pt idx="41">
                  <c:v>1.6845761937859032</c:v>
                </c:pt>
                <c:pt idx="42">
                  <c:v>1.6974212860615172</c:v>
                </c:pt>
                <c:pt idx="43">
                  <c:v>1.7106718574426738</c:v>
                </c:pt>
                <c:pt idx="44">
                  <c:v>1.7243306703419736</c:v>
                </c:pt>
                <c:pt idx="45">
                  <c:v>1.7384007895173683</c:v>
                </c:pt>
                <c:pt idx="46">
                  <c:v>1.7528855693817045</c:v>
                </c:pt>
                <c:pt idx="47">
                  <c:v>1.7677886435536907</c:v>
                </c:pt>
                <c:pt idx="48">
                  <c:v>1.7831139163583674</c:v>
                </c:pt>
                <c:pt idx="49">
                  <c:v>1.7988655560333866</c:v>
                </c:pt>
                <c:pt idx="50">
                  <c:v>1.8150479894373166</c:v>
                </c:pt>
                <c:pt idx="51">
                  <c:v>1.8316658980891192</c:v>
                </c:pt>
                <c:pt idx="52">
                  <c:v>1.8487242153954584</c:v>
                </c:pt>
                <c:pt idx="53">
                  <c:v>1.8662281249454196</c:v>
                </c:pt>
                <c:pt idx="54">
                  <c:v>1.8841830597715237</c:v>
                </c:pt>
                <c:pt idx="55">
                  <c:v>1.902594702492175</c:v>
                </c:pt>
                <c:pt idx="56">
                  <c:v>1.9214689862644976</c:v>
                </c:pt>
                <c:pt idx="57">
                  <c:v>1.9408120964882638</c:v>
                </c:pt>
                <c:pt idx="58">
                  <c:v>1.9606304732116986</c:v>
                </c:pt>
                <c:pt idx="59">
                  <c:v>1.9809308141986044</c:v>
                </c:pt>
                <c:pt idx="60">
                  <c:v>2.0017200786238187</c:v>
                </c:pt>
                <c:pt idx="61">
                  <c:v>2.0230054913705029</c:v>
                </c:pt>
                <c:pt idx="62">
                  <c:v>2.0447945479085941</c:v>
                </c:pt>
                <c:pt idx="63">
                  <c:v>2.0670950197387907</c:v>
                </c:pt>
                <c:pt idx="64">
                  <c:v>2.0899149603910021</c:v>
                </c:pt>
                <c:pt idx="65">
                  <c:v>2.1132627119702807</c:v>
                </c:pt>
                <c:pt idx="66">
                  <c:v>2.1371469122469606</c:v>
                </c:pt>
                <c:pt idx="67">
                  <c:v>2.1615765022910827</c:v>
                </c:pt>
                <c:pt idx="68">
                  <c:v>2.1865607346543983</c:v>
                </c:pt>
                <c:pt idx="69">
                  <c:v>2.2121091821061105</c:v>
                </c:pt>
                <c:pt idx="70">
                  <c:v>2.2382317469313437</c:v>
                </c:pt>
                <c:pt idx="71">
                  <c:v>2.2649386708039487</c:v>
                </c:pt>
                <c:pt idx="72">
                  <c:v>2.2922405452478527</c:v>
                </c:pt>
                <c:pt idx="73">
                  <c:v>2.320148322703663</c:v>
                </c:pt>
                <c:pt idx="74">
                  <c:v>2.3486733282196877</c:v>
                </c:pt>
                <c:pt idx="75">
                  <c:v>2.3778272717890281</c:v>
                </c:pt>
                <c:pt idx="76">
                  <c:v>2.4076222613569018</c:v>
                </c:pt>
                <c:pt idx="77">
                  <c:v>2.4380708165247982</c:v>
                </c:pt>
                <c:pt idx="78">
                  <c:v>2.4691858829807236</c:v>
                </c:pt>
                <c:pt idx="79">
                  <c:v>2.5009808476873965</c:v>
                </c:pt>
                <c:pt idx="80">
                  <c:v>2.5334695548630175</c:v>
                </c:pt>
                <c:pt idx="81">
                  <c:v>2.5666663227920412</c:v>
                </c:pt>
                <c:pt idx="82">
                  <c:v>2.6005859615064515</c:v>
                </c:pt>
                <c:pt idx="83">
                  <c:v>2.6352437913810873</c:v>
                </c:pt>
                <c:pt idx="84">
                  <c:v>2.6706556626899296</c:v>
                </c:pt>
                <c:pt idx="85">
                  <c:v>2.706837976173746</c:v>
                </c:pt>
                <c:pt idx="86">
                  <c:v>2.7438077046731695</c:v>
                </c:pt>
                <c:pt idx="87">
                  <c:v>2.7815824158852882</c:v>
                </c:pt>
                <c:pt idx="88">
                  <c:v>2.8201802963059741</c:v>
                </c:pt>
                <c:pt idx="89">
                  <c:v>2.859620176424714</c:v>
                </c:pt>
                <c:pt idx="90">
                  <c:v>2.8999215572434869</c:v>
                </c:pt>
                <c:pt idx="91">
                  <c:v>2.9411046381963728</c:v>
                </c:pt>
                <c:pt idx="92">
                  <c:v>2.9831903465521701</c:v>
                </c:pt>
                <c:pt idx="93">
                  <c:v>3.0262003683881193</c:v>
                </c:pt>
                <c:pt idx="94">
                  <c:v>3.0701571812293511</c:v>
                </c:pt>
                <c:pt idx="95">
                  <c:v>3.1150840884554611</c:v>
                </c:pt>
                <c:pt idx="96">
                  <c:v>3.1610052555830821</c:v>
                </c:pt>
                <c:pt idx="97">
                  <c:v>3.207945748541321</c:v>
                </c:pt>
                <c:pt idx="98">
                  <c:v>3.2559315740655803</c:v>
                </c:pt>
                <c:pt idx="99">
                  <c:v>3.3049897223446423</c:v>
                </c:pt>
                <c:pt idx="100">
                  <c:v>3.3551482120660272</c:v>
                </c:pt>
              </c:numCache>
            </c:numRef>
          </c:val>
          <c:smooth val="0"/>
          <c:extLst>
            <c:ext xmlns:c16="http://schemas.microsoft.com/office/drawing/2014/chart" uri="{C3380CC4-5D6E-409C-BE32-E72D297353CC}">
              <c16:uniqueId val="{00000002-1E04-4A6B-B26C-C435E097FB7E}"/>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val>
            <c:numRef>
              <c:f>'Calculations - Single'!$BX$5:$BX$105</c:f>
              <c:numCache>
                <c:formatCode>0.0</c:formatCode>
                <c:ptCount val="101"/>
                <c:pt idx="0">
                  <c:v>1349.026087201087</c:v>
                </c:pt>
                <c:pt idx="1">
                  <c:v>1373.4826086956523</c:v>
                </c:pt>
                <c:pt idx="2">
                  <c:v>1397.9391304347832</c:v>
                </c:pt>
                <c:pt idx="3">
                  <c:v>1422.3956521739135</c:v>
                </c:pt>
                <c:pt idx="4">
                  <c:v>1446.8521739130442</c:v>
                </c:pt>
                <c:pt idx="5">
                  <c:v>1471.4043655797877</c:v>
                </c:pt>
                <c:pt idx="6">
                  <c:v>1496.1200213044403</c:v>
                </c:pt>
                <c:pt idx="7">
                  <c:v>1520.8356770290939</c:v>
                </c:pt>
                <c:pt idx="8">
                  <c:v>1545.5513327537469</c:v>
                </c:pt>
                <c:pt idx="9">
                  <c:v>1570.2669884783998</c:v>
                </c:pt>
                <c:pt idx="10">
                  <c:v>1594.9826442030537</c:v>
                </c:pt>
                <c:pt idx="11">
                  <c:v>1619.6982999277068</c:v>
                </c:pt>
                <c:pt idx="12">
                  <c:v>1644.4139556523598</c:v>
                </c:pt>
                <c:pt idx="13">
                  <c:v>1669.1296113770131</c:v>
                </c:pt>
                <c:pt idx="14">
                  <c:v>1693.8452671016662</c:v>
                </c:pt>
                <c:pt idx="15">
                  <c:v>1718.5609228263193</c:v>
                </c:pt>
                <c:pt idx="16">
                  <c:v>1743.276578550973</c:v>
                </c:pt>
                <c:pt idx="17">
                  <c:v>1767.9922342756265</c:v>
                </c:pt>
                <c:pt idx="18">
                  <c:v>1792.7078900002791</c:v>
                </c:pt>
                <c:pt idx="19">
                  <c:v>1817.4235457249331</c:v>
                </c:pt>
                <c:pt idx="20">
                  <c:v>1842.1392014495862</c:v>
                </c:pt>
                <c:pt idx="21">
                  <c:v>1866.854857174239</c:v>
                </c:pt>
                <c:pt idx="22">
                  <c:v>1891.5705128988927</c:v>
                </c:pt>
                <c:pt idx="23">
                  <c:v>1916.2861686235458</c:v>
                </c:pt>
                <c:pt idx="24">
                  <c:v>1941.0018243481991</c:v>
                </c:pt>
                <c:pt idx="25">
                  <c:v>1965.7174800728512</c:v>
                </c:pt>
                <c:pt idx="26">
                  <c:v>1990.4331357975047</c:v>
                </c:pt>
                <c:pt idx="27">
                  <c:v>2015.1487915221576</c:v>
                </c:pt>
                <c:pt idx="28">
                  <c:v>2039.8644472468113</c:v>
                </c:pt>
                <c:pt idx="29">
                  <c:v>2064.5801029714639</c:v>
                </c:pt>
                <c:pt idx="30">
                  <c:v>2089.2957586961179</c:v>
                </c:pt>
                <c:pt idx="31">
                  <c:v>2114.0114144207705</c:v>
                </c:pt>
                <c:pt idx="32">
                  <c:v>2138.727070145424</c:v>
                </c:pt>
                <c:pt idx="33">
                  <c:v>2163.4427258700766</c:v>
                </c:pt>
                <c:pt idx="34">
                  <c:v>2188.1583815947301</c:v>
                </c:pt>
                <c:pt idx="35">
                  <c:v>2212.8740373193828</c:v>
                </c:pt>
                <c:pt idx="36">
                  <c:v>2237.5896930440367</c:v>
                </c:pt>
                <c:pt idx="37">
                  <c:v>2262.3053487686898</c:v>
                </c:pt>
                <c:pt idx="38">
                  <c:v>2287.0210044933433</c:v>
                </c:pt>
                <c:pt idx="39">
                  <c:v>2311.736958218904</c:v>
                </c:pt>
                <c:pt idx="40">
                  <c:v>2384.7019246249611</c:v>
                </c:pt>
                <c:pt idx="41">
                  <c:v>2491.5480459787582</c:v>
                </c:pt>
                <c:pt idx="42">
                  <c:v>2601.4911477706519</c:v>
                </c:pt>
                <c:pt idx="43">
                  <c:v>2714.5770004193819</c:v>
                </c:pt>
                <c:pt idx="44">
                  <c:v>2830.8919020803055</c:v>
                </c:pt>
                <c:pt idx="45">
                  <c:v>2950.5261516859787</c:v>
                </c:pt>
                <c:pt idx="46">
                  <c:v>3073.5742577517767</c:v>
                </c:pt>
                <c:pt idx="47">
                  <c:v>3200.1351611732548</c:v>
                </c:pt>
                <c:pt idx="48">
                  <c:v>3330.3124730909026</c:v>
                </c:pt>
                <c:pt idx="49">
                  <c:v>3464.2147289945938</c:v>
                </c:pt>
                <c:pt idx="50">
                  <c:v>3601.9556603469546</c:v>
                </c:pt>
                <c:pt idx="51">
                  <c:v>3743.6544851224317</c:v>
                </c:pt>
                <c:pt idx="52">
                  <c:v>3889.4362187888128</c:v>
                </c:pt>
                <c:pt idx="53">
                  <c:v>4039.4320074016346</c:v>
                </c:pt>
                <c:pt idx="54">
                  <c:v>4193.7794846409197</c:v>
                </c:pt>
                <c:pt idx="55">
                  <c:v>4352.6231547957732</c:v>
                </c:pt>
                <c:pt idx="56">
                  <c:v>4516.1148038978745</c:v>
                </c:pt>
                <c:pt idx="57">
                  <c:v>4684.4139414218789</c:v>
                </c:pt>
                <c:pt idx="58">
                  <c:v>4857.688275212241</c:v>
                </c:pt>
                <c:pt idx="59">
                  <c:v>5036.1142225645926</c:v>
                </c:pt>
                <c:pt idx="60">
                  <c:v>5219.8774606897514</c:v>
                </c:pt>
                <c:pt idx="61">
                  <c:v>5409.1735201227584</c:v>
                </c:pt>
                <c:pt idx="62">
                  <c:v>5604.2084250137077</c:v>
                </c:pt>
                <c:pt idx="63">
                  <c:v>5805.1993846557398</c:v>
                </c:pt>
                <c:pt idx="64">
                  <c:v>6012.3755410753765</c:v>
                </c:pt>
                <c:pt idx="65">
                  <c:v>6225.9787780374272</c:v>
                </c:pt>
                <c:pt idx="66">
                  <c:v>6446.2645974099405</c:v>
                </c:pt>
                <c:pt idx="67">
                  <c:v>6673.503069502297</c:v>
                </c:pt>
                <c:pt idx="68">
                  <c:v>6907.9798647431926</c:v>
                </c:pt>
                <c:pt idx="69">
                  <c:v>7149.9973749164728</c:v>
                </c:pt>
                <c:pt idx="70">
                  <c:v>7399.8759331366227</c:v>
                </c:pt>
                <c:pt idx="71">
                  <c:v>7657.9551428380419</c:v>
                </c:pt>
                <c:pt idx="72">
                  <c:v>7924.5953272937086</c:v>
                </c:pt>
                <c:pt idx="73">
                  <c:v>8200.1791125907894</c:v>
                </c:pt>
                <c:pt idx="74">
                  <c:v>8485.1131586010179</c:v>
                </c:pt>
                <c:pt idx="75">
                  <c:v>8779.8300543230107</c:v>
                </c:pt>
                <c:pt idx="76">
                  <c:v>9084.7903960788153</c:v>
                </c:pt>
                <c:pt idx="77">
                  <c:v>9400.4850694616925</c:v>
                </c:pt>
                <c:pt idx="78">
                  <c:v>9727.4377587075141</c:v>
                </c:pt>
                <c:pt idx="79">
                  <c:v>10066.207710359173</c:v>
                </c:pt>
                <c:pt idx="80">
                  <c:v>10417.392781784543</c:v>
                </c:pt>
                <c:pt idx="81">
                  <c:v>10781.632809379889</c:v>
                </c:pt>
                <c:pt idx="82">
                  <c:v>11159.613336245851</c:v>
                </c:pt>
                <c:pt idx="83">
                  <c:v>11552.069744885159</c:v>
                </c:pt>
                <c:pt idx="84">
                  <c:v>11959.791847189965</c:v>
                </c:pt>
                <c:pt idx="85">
                  <c:v>12383.628991840988</c:v>
                </c:pt>
                <c:pt idx="86">
                  <c:v>12824.495758447662</c:v>
                </c:pt>
                <c:pt idx="87">
                  <c:v>13283.3783185837</c:v>
                </c:pt>
                <c:pt idx="88">
                  <c:v>13761.341556635974</c:v>
                </c:pt>
                <c:pt idx="89">
                  <c:v>14259.537058481594</c:v>
                </c:pt>
                <c:pt idx="90">
                  <c:v>14779.212093921496</c:v>
                </c:pt>
                <c:pt idx="91">
                  <c:v>15321.719740125522</c:v>
                </c:pt>
                <c:pt idx="92">
                  <c:v>15888.530318821089</c:v>
                </c:pt>
                <c:pt idx="93">
                  <c:v>16481.244350503686</c:v>
                </c:pt>
                <c:pt idx="94">
                  <c:v>17101.607265707909</c:v>
                </c:pt>
                <c:pt idx="95">
                  <c:v>17751.526157789449</c:v>
                </c:pt>
                <c:pt idx="96">
                  <c:v>18433.088915543467</c:v>
                </c:pt>
                <c:pt idx="97">
                  <c:v>19148.586139617546</c:v>
                </c:pt>
                <c:pt idx="98">
                  <c:v>19900.536326989582</c:v>
                </c:pt>
                <c:pt idx="99">
                  <c:v>20691.714906514491</c:v>
                </c:pt>
                <c:pt idx="100">
                  <c:v>21525.187830514864</c:v>
                </c:pt>
              </c:numCache>
            </c:numRef>
          </c:val>
          <c:smooth val="0"/>
          <c:extLst>
            <c:ext xmlns:c16="http://schemas.microsoft.com/office/drawing/2014/chart" uri="{C3380CC4-5D6E-409C-BE32-E72D297353CC}">
              <c16:uniqueId val="{00000003-1E04-4A6B-B26C-C435E097FB7E}"/>
            </c:ext>
          </c:extLst>
        </c:ser>
        <c:dLbls>
          <c:showLegendKey val="0"/>
          <c:showVal val="0"/>
          <c:showCatName val="0"/>
          <c:showSerName val="0"/>
          <c:showPercent val="0"/>
          <c:showBubbleSize val="0"/>
        </c:dLbls>
        <c:marker val="1"/>
        <c:smooth val="0"/>
        <c:axId val="448986496"/>
        <c:axId val="448984576"/>
      </c:lineChart>
      <c:catAx>
        <c:axId val="44897228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48974208"/>
        <c:crosses val="autoZero"/>
        <c:auto val="1"/>
        <c:lblAlgn val="ctr"/>
        <c:lblOffset val="100"/>
        <c:tickLblSkip val="20"/>
        <c:tickMarkSkip val="20"/>
        <c:noMultiLvlLbl val="0"/>
      </c:catAx>
      <c:valAx>
        <c:axId val="448974208"/>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48972288"/>
        <c:crossesAt val="0"/>
        <c:crossBetween val="between"/>
        <c:majorUnit val="5"/>
        <c:minorUnit val="2.5"/>
      </c:valAx>
      <c:valAx>
        <c:axId val="44898457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48986496"/>
        <c:crosses val="max"/>
        <c:crossBetween val="between"/>
      </c:valAx>
      <c:catAx>
        <c:axId val="448986496"/>
        <c:scaling>
          <c:orientation val="minMax"/>
        </c:scaling>
        <c:delete val="1"/>
        <c:axPos val="b"/>
        <c:numFmt formatCode="General" sourceLinked="1"/>
        <c:majorTickMark val="out"/>
        <c:minorTickMark val="none"/>
        <c:tickLblPos val="nextTo"/>
        <c:crossAx val="44898457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Single'!$AN$110:$AN$210</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68.182658383719087</c:v>
                </c:pt>
                <c:pt idx="29">
                  <c:v>65.843807230608533</c:v>
                </c:pt>
                <c:pt idx="30">
                  <c:v>63.651425668563853</c:v>
                </c:pt>
                <c:pt idx="31">
                  <c:v>61.598699088271317</c:v>
                </c:pt>
                <c:pt idx="32">
                  <c:v>59.672693114960516</c:v>
                </c:pt>
                <c:pt idx="33">
                  <c:v>57.862022792819545</c:v>
                </c:pt>
                <c:pt idx="34">
                  <c:v>56.156627323413943</c:v>
                </c:pt>
                <c:pt idx="35">
                  <c:v>54.54758299315084</c:v>
                </c:pt>
                <c:pt idx="36">
                  <c:v>53.02694694403624</c:v>
                </c:pt>
                <c:pt idx="37">
                  <c:v>51.587626013611278</c:v>
                </c:pt>
                <c:pt idx="38">
                  <c:v>50.223266073159564</c:v>
                </c:pt>
                <c:pt idx="39">
                  <c:v>48.92815822157948</c:v>
                </c:pt>
                <c:pt idx="40">
                  <c:v>47.697158913774167</c:v>
                </c:pt>
                <c:pt idx="41">
                  <c:v>46.525621667000685</c:v>
                </c:pt>
                <c:pt idx="42">
                  <c:v>45.40933843334134</c:v>
                </c:pt>
                <c:pt idx="43">
                  <c:v>44.344489078942019</c:v>
                </c:pt>
                <c:pt idx="44">
                  <c:v>43.327597691679969</c:v>
                </c:pt>
                <c:pt idx="45">
                  <c:v>42.355494664223784</c:v>
                </c:pt>
                <c:pt idx="46">
                  <c:v>41.425283681038948</c:v>
                </c:pt>
                <c:pt idx="47">
                  <c:v>40.534312884998791</c:v>
                </c:pt>
                <c:pt idx="48">
                  <c:v>39.680149619006457</c:v>
                </c:pt>
                <c:pt idx="49">
                  <c:v>38.860558235961221</c:v>
                </c:pt>
                <c:pt idx="50">
                  <c:v>38.073480550838347</c:v>
                </c:pt>
                <c:pt idx="51">
                  <c:v>37.31701857500255</c:v>
                </c:pt>
                <c:pt idx="52">
                  <c:v>36.589419227827328</c:v>
                </c:pt>
                <c:pt idx="53">
                  <c:v>35.889060766381952</c:v>
                </c:pt>
                <c:pt idx="54">
                  <c:v>35.214440712076403</c:v>
                </c:pt>
                <c:pt idx="55">
                  <c:v>34.564165085089662</c:v>
                </c:pt>
                <c:pt idx="56">
                  <c:v>33.93693878424299</c:v>
                </c:pt>
                <c:pt idx="57">
                  <c:v>33.331556972609583</c:v>
                </c:pt>
                <c:pt idx="58">
                  <c:v>32.746897348292322</c:v>
                </c:pt>
                <c:pt idx="59">
                  <c:v>32.181913196042245</c:v>
                </c:pt>
                <c:pt idx="60">
                  <c:v>31.635627129210064</c:v>
                </c:pt>
                <c:pt idx="61">
                  <c:v>31.107125443317582</c:v>
                </c:pt>
                <c:pt idx="62">
                  <c:v>30.595553012628518</c:v>
                </c:pt>
                <c:pt idx="63">
                  <c:v>30.100108669758011</c:v>
                </c:pt>
                <c:pt idx="64">
                  <c:v>29.620041015809864</c:v>
                </c:pt>
                <c:pt idx="65">
                  <c:v>29.15464461495451</c:v>
                </c:pt>
                <c:pt idx="66">
                  <c:v>28.703256532914082</c:v>
                </c:pt>
                <c:pt idx="67">
                  <c:v>28.265253183633082</c:v>
                </c:pt>
                <c:pt idx="68">
                  <c:v>27.840047452590834</c:v>
                </c:pt>
                <c:pt idx="69">
                  <c:v>27.427086068849363</c:v>
                </c:pt>
                <c:pt idx="70">
                  <c:v>27.025847201101161</c:v>
                </c:pt>
                <c:pt idx="71">
                  <c:v>26.635838255753988</c:v>
                </c:pt>
                <c:pt idx="72">
                  <c:v>26.25659385751576</c:v>
                </c:pt>
                <c:pt idx="73">
                  <c:v>25.887673995073481</c:v>
                </c:pt>
                <c:pt idx="74">
                  <c:v>25.528662316331165</c:v>
                </c:pt>
                <c:pt idx="75">
                  <c:v>25.179164559320334</c:v>
                </c:pt>
                <c:pt idx="76">
                  <c:v>24.838807106351123</c:v>
                </c:pt>
                <c:pt idx="77">
                  <c:v>24.507235650256966</c:v>
                </c:pt>
                <c:pt idx="78">
                  <c:v>24.184113962723345</c:v>
                </c:pt>
                <c:pt idx="79">
                  <c:v>23.869122755699852</c:v>
                </c:pt>
                <c:pt idx="80">
                  <c:v>23.56195862779045</c:v>
                </c:pt>
                <c:pt idx="81">
                  <c:v>23.26233308831344</c:v>
                </c:pt>
                <c:pt idx="82">
                  <c:v>22.969971652432317</c:v>
                </c:pt>
                <c:pt idx="83">
                  <c:v>22.684613001391657</c:v>
                </c:pt>
                <c:pt idx="84">
                  <c:v>22.406008202458001</c:v>
                </c:pt>
                <c:pt idx="85">
                  <c:v>22.133919983671106</c:v>
                </c:pt>
                <c:pt idx="86">
                  <c:v>21.868122058964683</c:v>
                </c:pt>
                <c:pt idx="87">
                  <c:v>21.608398499622009</c:v>
                </c:pt>
                <c:pt idx="88">
                  <c:v>21.354543148396957</c:v>
                </c:pt>
                <c:pt idx="89">
                  <c:v>21.106359072959535</c:v>
                </c:pt>
                <c:pt idx="90">
                  <c:v>20.863658055620515</c:v>
                </c:pt>
                <c:pt idx="91">
                  <c:v>20.626260116556463</c:v>
                </c:pt>
                <c:pt idx="92">
                  <c:v>20.393993067996995</c:v>
                </c:pt>
                <c:pt idx="93">
                  <c:v>20.166692097053609</c:v>
                </c:pt>
                <c:pt idx="94">
                  <c:v>19.944199375065946</c:v>
                </c:pt>
                <c:pt idx="95">
                  <c:v>19.726363691519676</c:v>
                </c:pt>
                <c:pt idx="96">
                  <c:v>19.513040110751607</c:v>
                </c:pt>
                <c:pt idx="97">
                  <c:v>19.304089649804073</c:v>
                </c:pt>
                <c:pt idx="98">
                  <c:v>19.099378975924118</c:v>
                </c:pt>
                <c:pt idx="99">
                  <c:v>18.89878012232381</c:v>
                </c:pt>
                <c:pt idx="100">
                  <c:v>18.702170220928377</c:v>
                </c:pt>
              </c:numCache>
            </c:numRef>
          </c:val>
          <c:smooth val="0"/>
          <c:extLst>
            <c:ext xmlns:c16="http://schemas.microsoft.com/office/drawing/2014/chart" uri="{C3380CC4-5D6E-409C-BE32-E72D297353CC}">
              <c16:uniqueId val="{00000000-D9E7-4F5E-A983-604758A0F86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Single'!$AN$5:$AN$105</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101.06523436294729</c:v>
                </c:pt>
                <c:pt idx="40">
                  <c:v>98.571359299016862</c:v>
                </c:pt>
                <c:pt idx="41">
                  <c:v>96.220951318839539</c:v>
                </c:pt>
                <c:pt idx="42">
                  <c:v>93.981691531061927</c:v>
                </c:pt>
                <c:pt idx="43">
                  <c:v>91.844671431000151</c:v>
                </c:pt>
                <c:pt idx="44">
                  <c:v>89.803044805759484</c:v>
                </c:pt>
                <c:pt idx="45">
                  <c:v>87.850563348346213</c:v>
                </c:pt>
                <c:pt idx="46">
                  <c:v>85.981512780569872</c:v>
                </c:pt>
                <c:pt idx="47">
                  <c:v>84.190656993778006</c:v>
                </c:pt>
                <c:pt idx="48">
                  <c:v>82.47318905735338</c:v>
                </c:pt>
                <c:pt idx="49">
                  <c:v>80.824688129651847</c:v>
                </c:pt>
                <c:pt idx="50">
                  <c:v>79.241081458071648</c:v>
                </c:pt>
                <c:pt idx="51">
                  <c:v>77.718610780550605</c:v>
                </c:pt>
                <c:pt idx="52">
                  <c:v>76.253802544983373</c:v>
                </c:pt>
                <c:pt idx="53">
                  <c:v>74.843441449814449</c:v>
                </c:pt>
                <c:pt idx="54">
                  <c:v>73.484546881579377</c:v>
                </c:pt>
                <c:pt idx="55">
                  <c:v>72.174351885985629</c:v>
                </c:pt>
                <c:pt idx="56">
                  <c:v>70.910284360308594</c:v>
                </c:pt>
                <c:pt idx="57">
                  <c:v>69.689950198090912</c:v>
                </c:pt>
                <c:pt idx="58">
                  <c:v>68.511118153733293</c:v>
                </c:pt>
                <c:pt idx="59">
                  <c:v>67.371706225655785</c:v>
                </c:pt>
                <c:pt idx="60">
                  <c:v>66.269769383197982</c:v>
                </c:pt>
                <c:pt idx="61">
                  <c:v>65.203488485057747</c:v>
                </c:pt>
                <c:pt idx="62">
                  <c:v>64.171160256456318</c:v>
                </c:pt>
                <c:pt idx="63">
                  <c:v>63.171188208871129</c:v>
                </c:pt>
                <c:pt idx="64">
                  <c:v>62.202074400517283</c:v>
                </c:pt>
                <c:pt idx="65">
                  <c:v>61.262411948138663</c:v>
                </c:pt>
                <c:pt idx="66">
                  <c:v>60.350878211379623</c:v>
                </c:pt>
                <c:pt idx="67">
                  <c:v>59.466228580298534</c:v>
                </c:pt>
                <c:pt idx="68">
                  <c:v>58.607290804657495</c:v>
                </c:pt>
                <c:pt idx="69">
                  <c:v>57.772959810657397</c:v>
                </c:pt>
                <c:pt idx="70">
                  <c:v>56.962192956924156</c:v>
                </c:pt>
                <c:pt idx="71">
                  <c:v>56.174005686924005</c:v>
                </c:pt>
                <c:pt idx="72">
                  <c:v>55.407467539689904</c:v>
                </c:pt>
                <c:pt idx="73">
                  <c:v>54.661698484873426</c:v>
                </c:pt>
                <c:pt idx="74">
                  <c:v>53.935865551771492</c:v>
                </c:pt>
                <c:pt idx="75">
                  <c:v>53.229179725180266</c:v>
                </c:pt>
                <c:pt idx="76">
                  <c:v>52.540893083756465</c:v>
                </c:pt>
                <c:pt idx="77">
                  <c:v>51.870296159067045</c:v>
                </c:pt>
                <c:pt idx="78">
                  <c:v>51.216715495723044</c:v>
                </c:pt>
                <c:pt idx="79">
                  <c:v>50.579511394959255</c:v>
                </c:pt>
                <c:pt idx="80">
                  <c:v>49.958075825767118</c:v>
                </c:pt>
                <c:pt idx="81">
                  <c:v>49.351830489243014</c:v>
                </c:pt>
                <c:pt idx="82">
                  <c:v>48.760225023198778</c:v>
                </c:pt>
                <c:pt idx="83">
                  <c:v>48.182735335318618</c:v>
                </c:pt>
                <c:pt idx="84">
                  <c:v>47.618862054251302</c:v>
                </c:pt>
                <c:pt idx="85">
                  <c:v>47.06812908901572</c:v>
                </c:pt>
                <c:pt idx="86">
                  <c:v>46.530082287985557</c:v>
                </c:pt>
                <c:pt idx="87">
                  <c:v>46.004288189513581</c:v>
                </c:pt>
                <c:pt idx="88">
                  <c:v>45.490332856972074</c:v>
                </c:pt>
                <c:pt idx="89">
                  <c:v>44.987820791628948</c:v>
                </c:pt>
                <c:pt idx="90">
                  <c:v>44.496373917359598</c:v>
                </c:pt>
                <c:pt idx="91">
                  <c:v>44.0156306317161</c:v>
                </c:pt>
                <c:pt idx="92">
                  <c:v>43.545244918349169</c:v>
                </c:pt>
                <c:pt idx="93">
                  <c:v>43.084885516203826</c:v>
                </c:pt>
                <c:pt idx="94">
                  <c:v>42.634235141297182</c:v>
                </c:pt>
                <c:pt idx="95">
                  <c:v>42.192989757235736</c:v>
                </c:pt>
                <c:pt idx="96">
                  <c:v>41.760857890948117</c:v>
                </c:pt>
                <c:pt idx="97">
                  <c:v>41.337559990396819</c:v>
                </c:pt>
                <c:pt idx="98">
                  <c:v>40.922827821294746</c:v>
                </c:pt>
                <c:pt idx="99">
                  <c:v>40.516403900090928</c:v>
                </c:pt>
                <c:pt idx="100">
                  <c:v>40.11804096070663</c:v>
                </c:pt>
              </c:numCache>
            </c:numRef>
          </c:val>
          <c:smooth val="0"/>
          <c:extLst>
            <c:ext xmlns:c16="http://schemas.microsoft.com/office/drawing/2014/chart" uri="{C3380CC4-5D6E-409C-BE32-E72D297353CC}">
              <c16:uniqueId val="{00000001-D9E7-4F5E-A983-604758A0F86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Single'!$AN$216:$AN$316</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101.06225435387866</c:v>
                </c:pt>
                <c:pt idx="40">
                  <c:v>103.6535942091063</c:v>
                </c:pt>
                <c:pt idx="41">
                  <c:v>106.24493406433395</c:v>
                </c:pt>
                <c:pt idx="42">
                  <c:v>108.84698149662354</c:v>
                </c:pt>
                <c:pt idx="43">
                  <c:v>105.3287679132666</c:v>
                </c:pt>
                <c:pt idx="44">
                  <c:v>102.99674807345986</c:v>
                </c:pt>
                <c:pt idx="45">
                  <c:v>100.76742683353842</c:v>
                </c:pt>
                <c:pt idx="46">
                  <c:v>98.633128429591324</c:v>
                </c:pt>
                <c:pt idx="47">
                  <c:v>96.587903988455736</c:v>
                </c:pt>
                <c:pt idx="48">
                  <c:v>94.626291055916937</c:v>
                </c:pt>
                <c:pt idx="49">
                  <c:v>92.743264876616507</c:v>
                </c:pt>
                <c:pt idx="50">
                  <c:v>90.934195414769022</c:v>
                </c:pt>
                <c:pt idx="51">
                  <c:v>89.194809341692746</c:v>
                </c:pt>
                <c:pt idx="52">
                  <c:v>87.521156333163916</c:v>
                </c:pt>
                <c:pt idx="53">
                  <c:v>85.909579117083567</c:v>
                </c:pt>
                <c:pt idx="54">
                  <c:v>84.356686793445732</c:v>
                </c:pt>
                <c:pt idx="55">
                  <c:v>82.859331016983319</c:v>
                </c:pt>
                <c:pt idx="56">
                  <c:v>81.414584690438218</c:v>
                </c:pt>
                <c:pt idx="57">
                  <c:v>80.01972286503046</c:v>
                </c:pt>
                <c:pt idx="58">
                  <c:v>78.672205585897331</c:v>
                </c:pt>
                <c:pt idx="59">
                  <c:v>77.369662455286829</c:v>
                </c:pt>
                <c:pt idx="60">
                  <c:v>76.109878716125237</c:v>
                </c:pt>
                <c:pt idx="61">
                  <c:v>74.890782684082026</c:v>
                </c:pt>
                <c:pt idx="62">
                  <c:v>73.710434378107266</c:v>
                </c:pt>
                <c:pt idx="63">
                  <c:v>72.56701521819474</c:v>
                </c:pt>
                <c:pt idx="64">
                  <c:v>71.458818675296058</c:v>
                </c:pt>
                <c:pt idx="65">
                  <c:v>70.384241772277548</c:v>
                </c:pt>
                <c:pt idx="66">
                  <c:v>69.341777346898169</c:v>
                </c:pt>
                <c:pt idx="67">
                  <c:v>68.330006998272381</c:v>
                </c:pt>
                <c:pt idx="68">
                  <c:v>67.347594647398424</c:v>
                </c:pt>
                <c:pt idx="69">
                  <c:v>66.393280650274818</c:v>
                </c:pt>
                <c:pt idx="70">
                  <c:v>65.465876409062673</c:v>
                </c:pt>
                <c:pt idx="71">
                  <c:v>64.564259432819341</c:v>
                </c:pt>
                <c:pt idx="72">
                  <c:v>63.687368804645402</c:v>
                </c:pt>
                <c:pt idx="73">
                  <c:v>62.83420101675982</c:v>
                </c:pt>
                <c:pt idx="74">
                  <c:v>62.003806139125608</c:v>
                </c:pt>
                <c:pt idx="75">
                  <c:v>61.195284290872365</c:v>
                </c:pt>
                <c:pt idx="76">
                  <c:v>60.407782386959603</c:v>
                </c:pt>
                <c:pt idx="77">
                  <c:v>59.640491135354623</c:v>
                </c:pt>
                <c:pt idx="78">
                  <c:v>58.892642262504701</c:v>
                </c:pt>
                <c:pt idx="79">
                  <c:v>58.163505947107701</c:v>
                </c:pt>
                <c:pt idx="80">
                  <c:v>57.452388444162565</c:v>
                </c:pt>
                <c:pt idx="81">
                  <c:v>56.758629883039681</c:v>
                </c:pt>
                <c:pt idx="82">
                  <c:v>56.08160222488123</c:v>
                </c:pt>
                <c:pt idx="83">
                  <c:v>55.420707366041</c:v>
                </c:pt>
                <c:pt idx="84">
                  <c:v>54.775375375525329</c:v>
                </c:pt>
                <c:pt idx="85">
                  <c:v>54.145062855518553</c:v>
                </c:pt>
                <c:pt idx="86">
                  <c:v>53.529251415079564</c:v>
                </c:pt>
                <c:pt idx="87">
                  <c:v>52.927446247999896</c:v>
                </c:pt>
                <c:pt idx="88">
                  <c:v>52.339174806622928</c:v>
                </c:pt>
                <c:pt idx="89">
                  <c:v>51.76398556415397</c:v>
                </c:pt>
                <c:pt idx="90">
                  <c:v>51.201446858648445</c:v>
                </c:pt>
                <c:pt idx="91">
                  <c:v>50.651145812457855</c:v>
                </c:pt>
                <c:pt idx="92">
                  <c:v>50.112687321449215</c:v>
                </c:pt>
                <c:pt idx="93">
                  <c:v>49.585693108797514</c:v>
                </c:pt>
                <c:pt idx="94">
                  <c:v>49.069800838589011</c:v>
                </c:pt>
                <c:pt idx="95">
                  <c:v>48.564663284870946</c:v>
                </c:pt>
                <c:pt idx="96">
                  <c:v>48.069947552142594</c:v>
                </c:pt>
                <c:pt idx="97">
                  <c:v>47.58533434361054</c:v>
                </c:pt>
                <c:pt idx="98">
                  <c:v>47.11051727382808</c:v>
                </c:pt>
                <c:pt idx="99">
                  <c:v>46.645202222609456</c:v>
                </c:pt>
                <c:pt idx="100">
                  <c:v>46.189106727355785</c:v>
                </c:pt>
              </c:numCache>
            </c:numRef>
          </c:val>
          <c:smooth val="0"/>
          <c:extLst>
            <c:ext xmlns:c16="http://schemas.microsoft.com/office/drawing/2014/chart" uri="{C3380CC4-5D6E-409C-BE32-E72D297353CC}">
              <c16:uniqueId val="{00000002-D9E7-4F5E-A983-604758A0F86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9E7-4F5E-A983-604758A0F86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9E7-4F5E-A983-604758A0F86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9E7-4F5E-A983-604758A0F86A}"/>
            </c:ext>
          </c:extLst>
        </c:ser>
        <c:dLbls>
          <c:showLegendKey val="0"/>
          <c:showVal val="0"/>
          <c:showCatName val="0"/>
          <c:showSerName val="0"/>
          <c:showPercent val="0"/>
          <c:showBubbleSize val="0"/>
        </c:dLbls>
        <c:smooth val="0"/>
        <c:axId val="449432576"/>
        <c:axId val="449455616"/>
      </c:lineChart>
      <c:catAx>
        <c:axId val="44943257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55616"/>
        <c:crosses val="autoZero"/>
        <c:auto val="1"/>
        <c:lblAlgn val="ctr"/>
        <c:lblOffset val="100"/>
        <c:tickLblSkip val="20"/>
        <c:tickMarkSkip val="10"/>
        <c:noMultiLvlLbl val="0"/>
      </c:catAx>
      <c:valAx>
        <c:axId val="44945561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32576"/>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10.247286162226052</c:v>
                </c:pt>
                <c:pt idx="29">
                  <c:v>10.616101413961234</c:v>
                </c:pt>
                <c:pt idx="30">
                  <c:v>10.986322458763867</c:v>
                </c:pt>
                <c:pt idx="31">
                  <c:v>11.356824228392131</c:v>
                </c:pt>
                <c:pt idx="32">
                  <c:v>11.727607130348694</c:v>
                </c:pt>
                <c:pt idx="33">
                  <c:v>12.098671572925729</c:v>
                </c:pt>
                <c:pt idx="34">
                  <c:v>12.47001796520677</c:v>
                </c:pt>
                <c:pt idx="35">
                  <c:v>12.841646717068587</c:v>
                </c:pt>
                <c:pt idx="36">
                  <c:v>13.213558239183055</c:v>
                </c:pt>
                <c:pt idx="37">
                  <c:v>13.58575294301906</c:v>
                </c:pt>
                <c:pt idx="38">
                  <c:v>13.958231240844384</c:v>
                </c:pt>
                <c:pt idx="39">
                  <c:v>14.330993545727644</c:v>
                </c:pt>
                <c:pt idx="40">
                  <c:v>14.704040271540199</c:v>
                </c:pt>
                <c:pt idx="41">
                  <c:v>15.077371832958086</c:v>
                </c:pt>
                <c:pt idx="42">
                  <c:v>15.450988645463967</c:v>
                </c:pt>
                <c:pt idx="43">
                  <c:v>15.82489112534906</c:v>
                </c:pt>
                <c:pt idx="44">
                  <c:v>16.199079689715123</c:v>
                </c:pt>
                <c:pt idx="45">
                  <c:v>16.573554756476394</c:v>
                </c:pt>
                <c:pt idx="46">
                  <c:v>16.948316744361573</c:v>
                </c:pt>
                <c:pt idx="47">
                  <c:v>17.323366072915782</c:v>
                </c:pt>
                <c:pt idx="48">
                  <c:v>17.698703162502586</c:v>
                </c:pt>
                <c:pt idx="49">
                  <c:v>18.074328434305951</c:v>
                </c:pt>
                <c:pt idx="50">
                  <c:v>18.450242310332232</c:v>
                </c:pt>
                <c:pt idx="51">
                  <c:v>18.826445213412217</c:v>
                </c:pt>
                <c:pt idx="52">
                  <c:v>19.202937567203126</c:v>
                </c:pt>
                <c:pt idx="53">
                  <c:v>19.579719796190581</c:v>
                </c:pt>
                <c:pt idx="54">
                  <c:v>19.956792325690696</c:v>
                </c:pt>
                <c:pt idx="55">
                  <c:v>20.334155581852055</c:v>
                </c:pt>
                <c:pt idx="56">
                  <c:v>20.711809991657777</c:v>
                </c:pt>
                <c:pt idx="57">
                  <c:v>21.089755982927542</c:v>
                </c:pt>
                <c:pt idx="58">
                  <c:v>21.467993984319662</c:v>
                </c:pt>
                <c:pt idx="59">
                  <c:v>21.846524425333087</c:v>
                </c:pt>
                <c:pt idx="60">
                  <c:v>22.225347736309505</c:v>
                </c:pt>
                <c:pt idx="61">
                  <c:v>22.604464348435414</c:v>
                </c:pt>
                <c:pt idx="62">
                  <c:v>22.983874693744163</c:v>
                </c:pt>
                <c:pt idx="63">
                  <c:v>23.363579205118057</c:v>
                </c:pt>
                <c:pt idx="64">
                  <c:v>23.743578316290431</c:v>
                </c:pt>
                <c:pt idx="65">
                  <c:v>24.123872461847725</c:v>
                </c:pt>
                <c:pt idx="66">
                  <c:v>24.504462077231633</c:v>
                </c:pt>
                <c:pt idx="67">
                  <c:v>24.885347598741141</c:v>
                </c:pt>
                <c:pt idx="68">
                  <c:v>25.266529463534685</c:v>
                </c:pt>
                <c:pt idx="69">
                  <c:v>25.648008109632233</c:v>
                </c:pt>
                <c:pt idx="70">
                  <c:v>26.029783975917482</c:v>
                </c:pt>
                <c:pt idx="71">
                  <c:v>26.411857502139856</c:v>
                </c:pt>
                <c:pt idx="72">
                  <c:v>26.794229128916772</c:v>
                </c:pt>
                <c:pt idx="73">
                  <c:v>27.176899297735719</c:v>
                </c:pt>
                <c:pt idx="74">
                  <c:v>27.559868450956383</c:v>
                </c:pt>
                <c:pt idx="75">
                  <c:v>27.943137031812864</c:v>
                </c:pt>
                <c:pt idx="76">
                  <c:v>28.326705484415797</c:v>
                </c:pt>
                <c:pt idx="77">
                  <c:v>28.710574253754544</c:v>
                </c:pt>
                <c:pt idx="78">
                  <c:v>29.094743785699315</c:v>
                </c:pt>
                <c:pt idx="79">
                  <c:v>29.479214527003425</c:v>
                </c:pt>
                <c:pt idx="80">
                  <c:v>29.863986925305429</c:v>
                </c:pt>
                <c:pt idx="81">
                  <c:v>30.249061429131327</c:v>
                </c:pt>
                <c:pt idx="82">
                  <c:v>30.634438487896738</c:v>
                </c:pt>
                <c:pt idx="83">
                  <c:v>31.020118551909206</c:v>
                </c:pt>
                <c:pt idx="84">
                  <c:v>31.406102072370285</c:v>
                </c:pt>
                <c:pt idx="85">
                  <c:v>31.792389501377812</c:v>
                </c:pt>
                <c:pt idx="86">
                  <c:v>32.178981291928174</c:v>
                </c:pt>
                <c:pt idx="87">
                  <c:v>32.565877897918476</c:v>
                </c:pt>
                <c:pt idx="88">
                  <c:v>32.953079774148819</c:v>
                </c:pt>
                <c:pt idx="89">
                  <c:v>33.340587376324542</c:v>
                </c:pt>
                <c:pt idx="90">
                  <c:v>33.72840116105845</c:v>
                </c:pt>
                <c:pt idx="91">
                  <c:v>34.116521585873102</c:v>
                </c:pt>
                <c:pt idx="92">
                  <c:v>34.504949109203096</c:v>
                </c:pt>
                <c:pt idx="93">
                  <c:v>34.893684190397281</c:v>
                </c:pt>
                <c:pt idx="94">
                  <c:v>35.282727289721073</c:v>
                </c:pt>
                <c:pt idx="95">
                  <c:v>35.672078868358781</c:v>
                </c:pt>
                <c:pt idx="96">
                  <c:v>36.061739388415809</c:v>
                </c:pt>
                <c:pt idx="97">
                  <c:v>36.451709312921047</c:v>
                </c:pt>
                <c:pt idx="98">
                  <c:v>36.841989105829114</c:v>
                </c:pt>
                <c:pt idx="99">
                  <c:v>37.232579232022715</c:v>
                </c:pt>
                <c:pt idx="100">
                  <c:v>37.623480157314958</c:v>
                </c:pt>
              </c:numCache>
            </c:numRef>
          </c:val>
          <c:smooth val="0"/>
          <c:extLst>
            <c:ext xmlns:c16="http://schemas.microsoft.com/office/drawing/2014/chart" uri="{C3380CC4-5D6E-409C-BE32-E72D297353CC}">
              <c16:uniqueId val="{00000000-B744-4C18-B26C-E1D454627484}"/>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Single'!$AJ$5:$AJ$105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10.154662973101839</c:v>
                </c:pt>
                <c:pt idx="41">
                  <c:v>10.409193027338077</c:v>
                </c:pt>
                <c:pt idx="42">
                  <c:v>10.663876203341809</c:v>
                </c:pt>
                <c:pt idx="43">
                  <c:v>10.918597674665776</c:v>
                </c:pt>
                <c:pt idx="44">
                  <c:v>11.173357453904231</c:v>
                </c:pt>
                <c:pt idx="45">
                  <c:v>11.428155553656969</c:v>
                </c:pt>
                <c:pt idx="46">
                  <c:v>11.682991986529341</c:v>
                </c:pt>
                <c:pt idx="47">
                  <c:v>11.937866765132206</c:v>
                </c:pt>
                <c:pt idx="48">
                  <c:v>12.192779902082005</c:v>
                </c:pt>
                <c:pt idx="49">
                  <c:v>12.447731410000706</c:v>
                </c:pt>
                <c:pt idx="50">
                  <c:v>12.702721301515826</c:v>
                </c:pt>
                <c:pt idx="51">
                  <c:v>12.957749589260434</c:v>
                </c:pt>
                <c:pt idx="52">
                  <c:v>13.21281628587316</c:v>
                </c:pt>
                <c:pt idx="53">
                  <c:v>13.467921403998176</c:v>
                </c:pt>
                <c:pt idx="54">
                  <c:v>13.723064956285217</c:v>
                </c:pt>
                <c:pt idx="55">
                  <c:v>13.978246955389578</c:v>
                </c:pt>
                <c:pt idx="56">
                  <c:v>14.233467413972116</c:v>
                </c:pt>
                <c:pt idx="57">
                  <c:v>14.488726344699256</c:v>
                </c:pt>
                <c:pt idx="58">
                  <c:v>14.744023760242987</c:v>
                </c:pt>
                <c:pt idx="59">
                  <c:v>14.999359673280864</c:v>
                </c:pt>
                <c:pt idx="60">
                  <c:v>15.254734096496021</c:v>
                </c:pt>
                <c:pt idx="61">
                  <c:v>15.510147042577165</c:v>
                </c:pt>
                <c:pt idx="62">
                  <c:v>15.765598524218584</c:v>
                </c:pt>
                <c:pt idx="63">
                  <c:v>16.021088554120141</c:v>
                </c:pt>
                <c:pt idx="64">
                  <c:v>16.276617144987288</c:v>
                </c:pt>
                <c:pt idx="65">
                  <c:v>16.532184309531061</c:v>
                </c:pt>
                <c:pt idx="66">
                  <c:v>16.787790060468097</c:v>
                </c:pt>
                <c:pt idx="67">
                  <c:v>17.043434410520597</c:v>
                </c:pt>
                <c:pt idx="68">
                  <c:v>17.299117372416401</c:v>
                </c:pt>
                <c:pt idx="69">
                  <c:v>17.554838958888897</c:v>
                </c:pt>
                <c:pt idx="70">
                  <c:v>17.810599182677112</c:v>
                </c:pt>
                <c:pt idx="71">
                  <c:v>18.066398056525671</c:v>
                </c:pt>
                <c:pt idx="72">
                  <c:v>18.322235593184789</c:v>
                </c:pt>
                <c:pt idx="73">
                  <c:v>18.578111805410309</c:v>
                </c:pt>
                <c:pt idx="74">
                  <c:v>18.834026705963684</c:v>
                </c:pt>
                <c:pt idx="75">
                  <c:v>19.089980307611967</c:v>
                </c:pt>
                <c:pt idx="76">
                  <c:v>19.345972623127857</c:v>
                </c:pt>
                <c:pt idx="77">
                  <c:v>19.602003665289658</c:v>
                </c:pt>
                <c:pt idx="78">
                  <c:v>19.858073446881303</c:v>
                </c:pt>
                <c:pt idx="79">
                  <c:v>20.114181980692344</c:v>
                </c:pt>
                <c:pt idx="80">
                  <c:v>20.370329279517986</c:v>
                </c:pt>
                <c:pt idx="81">
                  <c:v>20.62651535615905</c:v>
                </c:pt>
                <c:pt idx="82">
                  <c:v>20.882740223421997</c:v>
                </c:pt>
                <c:pt idx="83">
                  <c:v>21.139003894118947</c:v>
                </c:pt>
                <c:pt idx="84">
                  <c:v>21.395306381067627</c:v>
                </c:pt>
                <c:pt idx="85">
                  <c:v>21.651647697091448</c:v>
                </c:pt>
                <c:pt idx="86">
                  <c:v>21.908027855019451</c:v>
                </c:pt>
                <c:pt idx="87">
                  <c:v>22.16444686768633</c:v>
                </c:pt>
                <c:pt idx="88">
                  <c:v>22.420904747932436</c:v>
                </c:pt>
                <c:pt idx="89">
                  <c:v>22.67740150860379</c:v>
                </c:pt>
                <c:pt idx="90">
                  <c:v>22.933937162552066</c:v>
                </c:pt>
                <c:pt idx="91">
                  <c:v>23.190511722634593</c:v>
                </c:pt>
                <c:pt idx="92">
                  <c:v>23.447125201714389</c:v>
                </c:pt>
                <c:pt idx="93">
                  <c:v>23.703777612660126</c:v>
                </c:pt>
                <c:pt idx="94">
                  <c:v>23.960468968346159</c:v>
                </c:pt>
                <c:pt idx="95">
                  <c:v>24.217199281652526</c:v>
                </c:pt>
                <c:pt idx="96">
                  <c:v>24.473968565464936</c:v>
                </c:pt>
                <c:pt idx="97">
                  <c:v>24.730776832674781</c:v>
                </c:pt>
                <c:pt idx="98">
                  <c:v>24.987624096179143</c:v>
                </c:pt>
                <c:pt idx="99">
                  <c:v>25.244510368880793</c:v>
                </c:pt>
                <c:pt idx="100">
                  <c:v>25.501435663688198</c:v>
                </c:pt>
              </c:numCache>
            </c:numRef>
          </c:val>
          <c:smooth val="1"/>
          <c:extLst>
            <c:ext xmlns:c16="http://schemas.microsoft.com/office/drawing/2014/chart" uri="{C3380CC4-5D6E-409C-BE32-E72D297353CC}">
              <c16:uniqueId val="{00000001-B744-4C18-B26C-E1D454627484}"/>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10.178319553476159</c:v>
                </c:pt>
                <c:pt idx="44">
                  <c:v>10.415464999688375</c:v>
                </c:pt>
                <c:pt idx="45">
                  <c:v>10.652671647494241</c:v>
                </c:pt>
                <c:pt idx="46">
                  <c:v>10.889900211513332</c:v>
                </c:pt>
                <c:pt idx="47">
                  <c:v>11.127150696328899</c:v>
                </c:pt>
                <c:pt idx="48">
                  <c:v>11.364423106525493</c:v>
                </c:pt>
                <c:pt idx="49">
                  <c:v>11.60171744668893</c:v>
                </c:pt>
                <c:pt idx="50">
                  <c:v>11.839033721406324</c:v>
                </c:pt>
                <c:pt idx="51">
                  <c:v>12.076371935266069</c:v>
                </c:pt>
                <c:pt idx="52">
                  <c:v>12.313732092857846</c:v>
                </c:pt>
                <c:pt idx="53">
                  <c:v>12.551114198772613</c:v>
                </c:pt>
                <c:pt idx="54">
                  <c:v>12.788518257602622</c:v>
                </c:pt>
                <c:pt idx="55">
                  <c:v>13.025944273941395</c:v>
                </c:pt>
                <c:pt idx="56">
                  <c:v>13.263392252383763</c:v>
                </c:pt>
                <c:pt idx="57">
                  <c:v>13.500862197525814</c:v>
                </c:pt>
                <c:pt idx="58">
                  <c:v>13.738354113964942</c:v>
                </c:pt>
                <c:pt idx="59">
                  <c:v>13.975868006299814</c:v>
                </c:pt>
                <c:pt idx="60">
                  <c:v>14.213403879130389</c:v>
                </c:pt>
                <c:pt idx="61">
                  <c:v>14.450961737057908</c:v>
                </c:pt>
                <c:pt idx="62">
                  <c:v>14.688541584684906</c:v>
                </c:pt>
                <c:pt idx="63">
                  <c:v>14.926143426615187</c:v>
                </c:pt>
                <c:pt idx="64">
                  <c:v>15.163767267453858</c:v>
                </c:pt>
                <c:pt idx="65">
                  <c:v>15.40141311180731</c:v>
                </c:pt>
                <c:pt idx="66">
                  <c:v>15.639080964283215</c:v>
                </c:pt>
                <c:pt idx="67">
                  <c:v>15.876770829490537</c:v>
                </c:pt>
                <c:pt idx="68">
                  <c:v>16.114482712039536</c:v>
                </c:pt>
                <c:pt idx="69">
                  <c:v>16.352216616541739</c:v>
                </c:pt>
                <c:pt idx="70">
                  <c:v>16.589972547609992</c:v>
                </c:pt>
                <c:pt idx="71">
                  <c:v>16.827750509858397</c:v>
                </c:pt>
                <c:pt idx="72">
                  <c:v>17.065550507902373</c:v>
                </c:pt>
                <c:pt idx="73">
                  <c:v>17.303372546358617</c:v>
                </c:pt>
                <c:pt idx="74">
                  <c:v>17.541216629845117</c:v>
                </c:pt>
                <c:pt idx="75">
                  <c:v>17.779082762981155</c:v>
                </c:pt>
                <c:pt idx="76">
                  <c:v>18.016970950387293</c:v>
                </c:pt>
                <c:pt idx="77">
                  <c:v>18.254881196685403</c:v>
                </c:pt>
                <c:pt idx="78">
                  <c:v>18.492813506498631</c:v>
                </c:pt>
                <c:pt idx="79">
                  <c:v>18.730767884451438</c:v>
                </c:pt>
                <c:pt idx="80">
                  <c:v>18.968744335169553</c:v>
                </c:pt>
                <c:pt idx="81">
                  <c:v>19.206742863280009</c:v>
                </c:pt>
                <c:pt idx="82">
                  <c:v>19.44476347341114</c:v>
                </c:pt>
                <c:pt idx="83">
                  <c:v>19.682806170192553</c:v>
                </c:pt>
                <c:pt idx="84">
                  <c:v>19.92087095825519</c:v>
                </c:pt>
                <c:pt idx="85">
                  <c:v>20.158957842231235</c:v>
                </c:pt>
                <c:pt idx="86">
                  <c:v>20.397066826754212</c:v>
                </c:pt>
                <c:pt idx="87">
                  <c:v>20.635197916458921</c:v>
                </c:pt>
                <c:pt idx="88">
                  <c:v>20.873351115981457</c:v>
                </c:pt>
                <c:pt idx="89">
                  <c:v>21.111526429959213</c:v>
                </c:pt>
                <c:pt idx="90">
                  <c:v>21.349723863030881</c:v>
                </c:pt>
                <c:pt idx="91">
                  <c:v>21.587943419836463</c:v>
                </c:pt>
                <c:pt idx="92">
                  <c:v>21.826185105017245</c:v>
                </c:pt>
                <c:pt idx="93">
                  <c:v>22.064448923215796</c:v>
                </c:pt>
                <c:pt idx="94">
                  <c:v>22.302734879076027</c:v>
                </c:pt>
                <c:pt idx="95">
                  <c:v>22.541042977243105</c:v>
                </c:pt>
                <c:pt idx="96">
                  <c:v>22.779373222363528</c:v>
                </c:pt>
                <c:pt idx="97">
                  <c:v>23.01772561908507</c:v>
                </c:pt>
                <c:pt idx="98">
                  <c:v>23.256100172056836</c:v>
                </c:pt>
                <c:pt idx="99">
                  <c:v>23.494496885929198</c:v>
                </c:pt>
                <c:pt idx="100">
                  <c:v>23.732915765353852</c:v>
                </c:pt>
              </c:numCache>
            </c:numRef>
          </c:val>
          <c:smooth val="1"/>
          <c:extLst>
            <c:ext xmlns:c16="http://schemas.microsoft.com/office/drawing/2014/chart" uri="{C3380CC4-5D6E-409C-BE32-E72D297353CC}">
              <c16:uniqueId val="{00000002-B744-4C18-B26C-E1D454627484}"/>
            </c:ext>
          </c:extLst>
        </c:ser>
        <c:dLbls>
          <c:showLegendKey val="0"/>
          <c:showVal val="0"/>
          <c:showCatName val="0"/>
          <c:showSerName val="0"/>
          <c:showPercent val="0"/>
          <c:showBubbleSize val="0"/>
        </c:dLbls>
        <c:smooth val="0"/>
        <c:axId val="449487616"/>
        <c:axId val="449489536"/>
      </c:lineChart>
      <c:catAx>
        <c:axId val="449487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9536"/>
        <c:crosses val="autoZero"/>
        <c:auto val="1"/>
        <c:lblAlgn val="ctr"/>
        <c:lblOffset val="100"/>
        <c:tickLblSkip val="20"/>
        <c:tickMarkSkip val="10"/>
        <c:noMultiLvlLbl val="0"/>
      </c:catAx>
      <c:valAx>
        <c:axId val="449489536"/>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200" b="1" i="0" u="none" strike="noStrike" baseline="0">
                <a:solidFill>
                  <a:schemeClr val="tx1"/>
                </a:solidFill>
                <a:latin typeface="Arial" pitchFamily="34" charset="0"/>
                <a:ea typeface="Calibri"/>
                <a:cs typeface="Arial" pitchFamily="34" charset="0"/>
              </a:defRPr>
            </a:pPr>
            <a:endParaRPr lang="en-US"/>
          </a:p>
        </c:txPr>
        <c:crossAx val="449487616"/>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lang="ja-JP"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0-CEA8-405E-B5B3-AF38AAF3801C}"/>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1-CEA8-405E-B5B3-AF38AAF3801C}"/>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2-CEA8-405E-B5B3-AF38AAF3801C}"/>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CEA8-405E-B5B3-AF38AAF3801C}"/>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CEA8-405E-B5B3-AF38AAF3801C}"/>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CEA8-405E-B5B3-AF38AAF3801C}"/>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2.0689663047052328E-2</c:v>
                </c:pt>
                <c:pt idx="1">
                  <c:v>2.0740266313048688E-2</c:v>
                </c:pt>
                <c:pt idx="2">
                  <c:v>2.0761302730891575E-2</c:v>
                </c:pt>
                <c:pt idx="3">
                  <c:v>2.0777473499779663E-2</c:v>
                </c:pt>
                <c:pt idx="4">
                  <c:v>2.1964864577992609E-2</c:v>
                </c:pt>
                <c:pt idx="5">
                  <c:v>2.7456080722490762E-2</c:v>
                </c:pt>
                <c:pt idx="6">
                  <c:v>3.2947296866988912E-2</c:v>
                </c:pt>
                <c:pt idx="7">
                  <c:v>3.8438513011487069E-2</c:v>
                </c:pt>
                <c:pt idx="8">
                  <c:v>4.3929729155985218E-2</c:v>
                </c:pt>
                <c:pt idx="9">
                  <c:v>4.9420945300483361E-2</c:v>
                </c:pt>
                <c:pt idx="10">
                  <c:v>5.4912161444981525E-2</c:v>
                </c:pt>
                <c:pt idx="11">
                  <c:v>6.0403377589479675E-2</c:v>
                </c:pt>
                <c:pt idx="12">
                  <c:v>6.5894593733977824E-2</c:v>
                </c:pt>
                <c:pt idx="13">
                  <c:v>7.1385809878475981E-2</c:v>
                </c:pt>
                <c:pt idx="14">
                  <c:v>7.6877026022974138E-2</c:v>
                </c:pt>
                <c:pt idx="15">
                  <c:v>8.236824216747228E-2</c:v>
                </c:pt>
                <c:pt idx="16">
                  <c:v>8.7859458311970437E-2</c:v>
                </c:pt>
                <c:pt idx="17">
                  <c:v>9.3350674456468608E-2</c:v>
                </c:pt>
                <c:pt idx="18">
                  <c:v>9.8841890600966723E-2</c:v>
                </c:pt>
                <c:pt idx="19">
                  <c:v>0.10433310674546489</c:v>
                </c:pt>
                <c:pt idx="20">
                  <c:v>0.10982432288996305</c:v>
                </c:pt>
                <c:pt idx="21">
                  <c:v>0.11531553903446121</c:v>
                </c:pt>
                <c:pt idx="22">
                  <c:v>0.12080675517895935</c:v>
                </c:pt>
                <c:pt idx="23">
                  <c:v>0.12629797132345755</c:v>
                </c:pt>
                <c:pt idx="24">
                  <c:v>0.13178918746795565</c:v>
                </c:pt>
                <c:pt idx="25">
                  <c:v>0.13728040361245383</c:v>
                </c:pt>
                <c:pt idx="26">
                  <c:v>0.14277161975695196</c:v>
                </c:pt>
                <c:pt idx="27">
                  <c:v>0.14826283590145012</c:v>
                </c:pt>
                <c:pt idx="28">
                  <c:v>0.15375405204594828</c:v>
                </c:pt>
                <c:pt idx="29">
                  <c:v>0.15924526819044643</c:v>
                </c:pt>
                <c:pt idx="30">
                  <c:v>0.16473648433494456</c:v>
                </c:pt>
                <c:pt idx="31">
                  <c:v>0.17022770047944275</c:v>
                </c:pt>
                <c:pt idx="32">
                  <c:v>0.17571891662394087</c:v>
                </c:pt>
                <c:pt idx="33">
                  <c:v>0.18121013276843909</c:v>
                </c:pt>
                <c:pt idx="34">
                  <c:v>0.18670134891293722</c:v>
                </c:pt>
                <c:pt idx="35">
                  <c:v>0.19219256505743534</c:v>
                </c:pt>
                <c:pt idx="36">
                  <c:v>0.19768378120193345</c:v>
                </c:pt>
                <c:pt idx="37">
                  <c:v>0.20317499734643166</c:v>
                </c:pt>
                <c:pt idx="38">
                  <c:v>0.20866621349092979</c:v>
                </c:pt>
                <c:pt idx="39">
                  <c:v>0.214157429635428</c:v>
                </c:pt>
                <c:pt idx="40">
                  <c:v>0.2158053939609868</c:v>
                </c:pt>
                <c:pt idx="41">
                  <c:v>0.21117019217467309</c:v>
                </c:pt>
                <c:pt idx="42">
                  <c:v>0.21133099593537594</c:v>
                </c:pt>
                <c:pt idx="43">
                  <c:v>0.21148726991220121</c:v>
                </c:pt>
                <c:pt idx="44">
                  <c:v>0.21163931755731175</c:v>
                </c:pt>
                <c:pt idx="45">
                  <c:v>0.21178741584178856</c:v>
                </c:pt>
                <c:pt idx="46">
                  <c:v>0.21193181808258793</c:v>
                </c:pt>
                <c:pt idx="47">
                  <c:v>0.21207275641492404</c:v>
                </c:pt>
                <c:pt idx="48">
                  <c:v>0.2122104439608978</c:v>
                </c:pt>
                <c:pt idx="49">
                  <c:v>0.2123450767370379</c:v>
                </c:pt>
                <c:pt idx="50">
                  <c:v>0.21247683533670422</c:v>
                </c:pt>
                <c:pt idx="51">
                  <c:v>0.21260588641775635</c:v>
                </c:pt>
                <c:pt idx="52">
                  <c:v>0.21273238402128652</c:v>
                </c:pt>
                <c:pt idx="53">
                  <c:v>0.2128564707433819</c:v>
                </c:pt>
                <c:pt idx="54">
                  <c:v>0.21297827877867803</c:v>
                </c:pt>
                <c:pt idx="55">
                  <c:v>0.21309793085177547</c:v>
                </c:pt>
                <c:pt idx="56">
                  <c:v>0.21321554105033153</c:v>
                </c:pt>
                <c:pt idx="57">
                  <c:v>0.21333121557172605</c:v>
                </c:pt>
                <c:pt idx="58">
                  <c:v>0.21344505339358533</c:v>
                </c:pt>
                <c:pt idx="59">
                  <c:v>0.21355714687706936</c:v>
                </c:pt>
                <c:pt idx="60">
                  <c:v>0.21366758231066155</c:v>
                </c:pt>
                <c:pt idx="61">
                  <c:v>0.21377644040119337</c:v>
                </c:pt>
                <c:pt idx="62">
                  <c:v>0.21388379671798394</c:v>
                </c:pt>
                <c:pt idx="63">
                  <c:v>0.21398972209523523</c:v>
                </c:pt>
                <c:pt idx="64">
                  <c:v>0.2140942829971883</c:v>
                </c:pt>
                <c:pt idx="65">
                  <c:v>0.214197541850003</c:v>
                </c:pt>
                <c:pt idx="66">
                  <c:v>0.21429955734384293</c:v>
                </c:pt>
                <c:pt idx="67">
                  <c:v>0.21440038470824263</c:v>
                </c:pt>
                <c:pt idx="68">
                  <c:v>0.21450007596347248</c:v>
                </c:pt>
                <c:pt idx="69">
                  <c:v>0.21459868015030786</c:v>
                </c:pt>
                <c:pt idx="70">
                  <c:v>0.21469624354033653</c:v>
                </c:pt>
                <c:pt idx="71">
                  <c:v>0.21479280982870044</c:v>
                </c:pt>
                <c:pt idx="72">
                  <c:v>0.21488842031096003</c:v>
                </c:pt>
                <c:pt idx="73">
                  <c:v>0.21498311404558706</c:v>
                </c:pt>
                <c:pt idx="74">
                  <c:v>0.21507692800342892</c:v>
                </c:pt>
                <c:pt idx="75">
                  <c:v>0.21516989720534829</c:v>
                </c:pt>
                <c:pt idx="76">
                  <c:v>0.21526205484911459</c:v>
                </c:pt>
                <c:pt idx="77">
                  <c:v>0.21535343242651395</c:v>
                </c:pt>
                <c:pt idx="78">
                  <c:v>0.21544405983154674</c:v>
                </c:pt>
                <c:pt idx="79">
                  <c:v>0.21553396546049317</c:v>
                </c:pt>
                <c:pt idx="80">
                  <c:v>0.21562317630455211</c:v>
                </c:pt>
                <c:pt idx="81">
                  <c:v>0.21571171803568767</c:v>
                </c:pt>
                <c:pt idx="82">
                  <c:v>0.21579961508625783</c:v>
                </c:pt>
                <c:pt idx="83">
                  <c:v>0.21588689072294417</c:v>
                </c:pt>
                <c:pt idx="84">
                  <c:v>0.21597356711545321</c:v>
                </c:pt>
                <c:pt idx="85">
                  <c:v>0.21605966540041524</c:v>
                </c:pt>
                <c:pt idx="86">
                  <c:v>0.21614520574086829</c:v>
                </c:pt>
                <c:pt idx="87">
                  <c:v>0.2162302073816785</c:v>
                </c:pt>
                <c:pt idx="88">
                  <c:v>0.21631468870121792</c:v>
                </c:pt>
                <c:pt idx="89">
                  <c:v>0.21639866725959028</c:v>
                </c:pt>
                <c:pt idx="90">
                  <c:v>0.21648215984367183</c:v>
                </c:pt>
                <c:pt idx="91">
                  <c:v>0.21656518250920925</c:v>
                </c:pt>
                <c:pt idx="92">
                  <c:v>0.21664775062019678</c:v>
                </c:pt>
                <c:pt idx="93">
                  <c:v>0.21672987888573564</c:v>
                </c:pt>
                <c:pt idx="94">
                  <c:v>0.21681158139456139</c:v>
                </c:pt>
                <c:pt idx="95">
                  <c:v>0.21689287164740986</c:v>
                </c:pt>
                <c:pt idx="96">
                  <c:v>0.21697376258737716</c:v>
                </c:pt>
                <c:pt idx="97">
                  <c:v>0.21705426662841878</c:v>
                </c:pt>
                <c:pt idx="98">
                  <c:v>0.21713439568211743</c:v>
                </c:pt>
                <c:pt idx="99">
                  <c:v>0.21721416118284292</c:v>
                </c:pt>
                <c:pt idx="100">
                  <c:v>0.21729357411141528</c:v>
                </c:pt>
              </c:numCache>
            </c:numRef>
          </c:val>
          <c:smooth val="0"/>
          <c:extLst>
            <c:ext xmlns:c16="http://schemas.microsoft.com/office/drawing/2014/chart" uri="{C3380CC4-5D6E-409C-BE32-E72D297353CC}">
              <c16:uniqueId val="{00000006-CEA8-405E-B5B3-AF38AAF3801C}"/>
            </c:ext>
          </c:extLst>
        </c:ser>
        <c:ser>
          <c:idx val="16"/>
          <c:order val="16"/>
          <c:spPr>
            <a:ln w="25400">
              <a:solidFill>
                <a:srgbClr val="00B050"/>
              </a:solidFill>
              <a:prstDash val="dash"/>
            </a:ln>
          </c:spPr>
          <c:marker>
            <c:symbol val="none"/>
          </c:marker>
          <c:val>
            <c:numRef>
              <c:f>'Calculations - Dual'!$AU$110:$AU$210</c:f>
              <c:numCache>
                <c:formatCode>0.000</c:formatCode>
                <c:ptCount val="101"/>
                <c:pt idx="0">
                  <c:v>6.3173580053994635E-2</c:v>
                </c:pt>
                <c:pt idx="1">
                  <c:v>6.3631897708852719E-2</c:v>
                </c:pt>
                <c:pt idx="2">
                  <c:v>6.3983427506883114E-2</c:v>
                </c:pt>
                <c:pt idx="3">
                  <c:v>6.3983427506883114E-2</c:v>
                </c:pt>
                <c:pt idx="4">
                  <c:v>6.7716897152422448E-2</c:v>
                </c:pt>
                <c:pt idx="5">
                  <c:v>8.4646121440528063E-2</c:v>
                </c:pt>
                <c:pt idx="6">
                  <c:v>0.10157534572863368</c:v>
                </c:pt>
                <c:pt idx="7">
                  <c:v>0.11850457001673931</c:v>
                </c:pt>
                <c:pt idx="8">
                  <c:v>0.1354337943048449</c:v>
                </c:pt>
                <c:pt idx="9">
                  <c:v>0.15236301859295048</c:v>
                </c:pt>
                <c:pt idx="10">
                  <c:v>0.16929224288105613</c:v>
                </c:pt>
                <c:pt idx="11">
                  <c:v>0.18622146716916174</c:v>
                </c:pt>
                <c:pt idx="12">
                  <c:v>0.20315069145726736</c:v>
                </c:pt>
                <c:pt idx="13">
                  <c:v>0.22007991574537297</c:v>
                </c:pt>
                <c:pt idx="14">
                  <c:v>0.23700914003347862</c:v>
                </c:pt>
                <c:pt idx="15">
                  <c:v>0.25393836432158418</c:v>
                </c:pt>
                <c:pt idx="16">
                  <c:v>0.27086758860968979</c:v>
                </c:pt>
                <c:pt idx="17">
                  <c:v>0.28779681289779546</c:v>
                </c:pt>
                <c:pt idx="18">
                  <c:v>0.30472603718590097</c:v>
                </c:pt>
                <c:pt idx="19">
                  <c:v>0.32165526147400664</c:v>
                </c:pt>
                <c:pt idx="20">
                  <c:v>0.33858448576211225</c:v>
                </c:pt>
                <c:pt idx="21">
                  <c:v>0.35551371005021787</c:v>
                </c:pt>
                <c:pt idx="22">
                  <c:v>0.37244293433832348</c:v>
                </c:pt>
                <c:pt idx="23">
                  <c:v>0.38937215862642921</c:v>
                </c:pt>
                <c:pt idx="24">
                  <c:v>0.40630138291453471</c:v>
                </c:pt>
                <c:pt idx="25">
                  <c:v>0.42323060720264039</c:v>
                </c:pt>
                <c:pt idx="26">
                  <c:v>0.44015983149074595</c:v>
                </c:pt>
                <c:pt idx="27">
                  <c:v>0.45708905577885156</c:v>
                </c:pt>
                <c:pt idx="28">
                  <c:v>0.45585378567591855</c:v>
                </c:pt>
                <c:pt idx="29">
                  <c:v>0.45253076377369211</c:v>
                </c:pt>
                <c:pt idx="30">
                  <c:v>0.45295682966394801</c:v>
                </c:pt>
                <c:pt idx="31">
                  <c:v>0.45336990006112021</c:v>
                </c:pt>
                <c:pt idx="32">
                  <c:v>0.45377118366109004</c:v>
                </c:pt>
                <c:pt idx="33">
                  <c:v>0.45416174443111451</c:v>
                </c:pt>
                <c:pt idx="34">
                  <c:v>0.45454252264280204</c:v>
                </c:pt>
                <c:pt idx="35">
                  <c:v>0.45491435234069871</c:v>
                </c:pt>
                <c:pt idx="36">
                  <c:v>0.45527797593184616</c:v>
                </c:pt>
                <c:pt idx="37">
                  <c:v>0.45563405643509175</c:v>
                </c:pt>
                <c:pt idx="38">
                  <c:v>0.45598318781670294</c:v>
                </c:pt>
                <c:pt idx="39">
                  <c:v>0.45632590375223608</c:v>
                </c:pt>
                <c:pt idx="40">
                  <c:v>0.45666268508730429</c:v>
                </c:pt>
                <c:pt idx="41">
                  <c:v>0.45699396621720983</c:v>
                </c:pt>
                <c:pt idx="42">
                  <c:v>0.45732014056390835</c:v>
                </c:pt>
                <c:pt idx="43">
                  <c:v>0.45764156529587996</c:v>
                </c:pt>
                <c:pt idx="44">
                  <c:v>0.45795856541025304</c:v>
                </c:pt>
                <c:pt idx="45">
                  <c:v>0.45827143727550279</c:v>
                </c:pt>
                <c:pt idx="46">
                  <c:v>0.45858045171609324</c:v>
                </c:pt>
                <c:pt idx="47">
                  <c:v>0.45888585670669979</c:v>
                </c:pt>
                <c:pt idx="48">
                  <c:v>0.45918787973247466</c:v>
                </c:pt>
                <c:pt idx="49">
                  <c:v>0.45948672986266836</c:v>
                </c:pt>
                <c:pt idx="50">
                  <c:v>0.45978259957741902</c:v>
                </c:pt>
                <c:pt idx="51">
                  <c:v>0.46007566638131742</c:v>
                </c:pt>
                <c:pt idx="52">
                  <c:v>0.46036609423223201</c:v>
                </c:pt>
                <c:pt idx="53">
                  <c:v>0.46065403480960676</c:v>
                </c:pt>
                <c:pt idx="54">
                  <c:v>0.46093962864288712</c:v>
                </c:pt>
                <c:pt idx="55">
                  <c:v>0.46122300611774431</c:v>
                </c:pt>
                <c:pt idx="56">
                  <c:v>0.46150428837526564</c:v>
                </c:pt>
                <c:pt idx="57">
                  <c:v>0.46178358811715947</c:v>
                </c:pt>
                <c:pt idx="58">
                  <c:v>0.46206101032824265</c:v>
                </c:pt>
                <c:pt idx="59">
                  <c:v>0.46233665292595483</c:v>
                </c:pt>
                <c:pt idx="60">
                  <c:v>0.46261060734535731</c:v>
                </c:pt>
                <c:pt idx="61">
                  <c:v>0.46288295906697063</c:v>
                </c:pt>
                <c:pt idx="62">
                  <c:v>0.46315378809386276</c:v>
                </c:pt>
                <c:pt idx="63">
                  <c:v>0.46342316938359079</c:v>
                </c:pt>
                <c:pt idx="64">
                  <c:v>0.46369117323990261</c:v>
                </c:pt>
                <c:pt idx="65">
                  <c:v>0.463957865668506</c:v>
                </c:pt>
                <c:pt idx="66">
                  <c:v>0.46422330870069095</c:v>
                </c:pt>
                <c:pt idx="67">
                  <c:v>0.46448756068814784</c:v>
                </c:pt>
                <c:pt idx="68">
                  <c:v>0.46475067657192304</c:v>
                </c:pt>
                <c:pt idx="69">
                  <c:v>0.46501270812812634</c:v>
                </c:pt>
                <c:pt idx="70">
                  <c:v>0.46527370419269776</c:v>
                </c:pt>
                <c:pt idx="71">
                  <c:v>0.46553371086728679</c:v>
                </c:pt>
                <c:pt idx="72">
                  <c:v>0.46579277170807326</c:v>
                </c:pt>
                <c:pt idx="73">
                  <c:v>0.46605092789915287</c:v>
                </c:pt>
                <c:pt idx="74">
                  <c:v>0.46630821841194042</c:v>
                </c:pt>
                <c:pt idx="75">
                  <c:v>0.4665646801518919</c:v>
                </c:pt>
                <c:pt idx="76">
                  <c:v>0.46682034809370127</c:v>
                </c:pt>
                <c:pt idx="77">
                  <c:v>0.4670752554060198</c:v>
                </c:pt>
                <c:pt idx="78">
                  <c:v>0.46732943356663159</c:v>
                </c:pt>
                <c:pt idx="79">
                  <c:v>0.46758291246892353</c:v>
                </c:pt>
                <c:pt idx="80">
                  <c:v>0.4678357205204135</c:v>
                </c:pt>
                <c:pt idx="81">
                  <c:v>0.4680878847340143</c:v>
                </c:pt>
                <c:pt idx="82">
                  <c:v>0.46833943081265333</c:v>
                </c:pt>
                <c:pt idx="83">
                  <c:v>0.46859038322780494</c:v>
                </c:pt>
                <c:pt idx="84">
                  <c:v>0.46884076529244056</c:v>
                </c:pt>
                <c:pt idx="85">
                  <c:v>0.46909059922885221</c:v>
                </c:pt>
                <c:pt idx="86">
                  <c:v>0.46933990623176897</c:v>
                </c:pt>
                <c:pt idx="87">
                  <c:v>0.46958870652713897</c:v>
                </c:pt>
                <c:pt idx="88">
                  <c:v>0.46983701942692152</c:v>
                </c:pt>
                <c:pt idx="89">
                  <c:v>0.4700848633802035</c:v>
                </c:pt>
                <c:pt idx="90">
                  <c:v>0.47033225602092321</c:v>
                </c:pt>
                <c:pt idx="91">
                  <c:v>0.47057921421245968</c:v>
                </c:pt>
                <c:pt idx="92">
                  <c:v>0.47082575408932881</c:v>
                </c:pt>
                <c:pt idx="93">
                  <c:v>0.47107189109620046</c:v>
                </c:pt>
                <c:pt idx="94">
                  <c:v>0.47131764002443521</c:v>
                </c:pt>
                <c:pt idx="95">
                  <c:v>0.47156301504632397</c:v>
                </c:pt>
                <c:pt idx="96">
                  <c:v>0.47180802974719632</c:v>
                </c:pt>
                <c:pt idx="97">
                  <c:v>0.47205269715555154</c:v>
                </c:pt>
                <c:pt idx="98">
                  <c:v>0.47229702977135124</c:v>
                </c:pt>
                <c:pt idx="99">
                  <c:v>0.4725410395926059</c:v>
                </c:pt>
                <c:pt idx="100">
                  <c:v>0.47278473814037136</c:v>
                </c:pt>
              </c:numCache>
            </c:numRef>
          </c:val>
          <c:smooth val="0"/>
          <c:extLst>
            <c:ext xmlns:c16="http://schemas.microsoft.com/office/drawing/2014/chart" uri="{C3380CC4-5D6E-409C-BE32-E72D297353CC}">
              <c16:uniqueId val="{00000007-CEA8-405E-B5B3-AF38AAF3801C}"/>
            </c:ext>
          </c:extLst>
        </c:ser>
        <c:ser>
          <c:idx val="17"/>
          <c:order val="17"/>
          <c:spPr>
            <a:ln w="25400">
              <a:solidFill>
                <a:srgbClr val="FF0000"/>
              </a:solidFill>
            </a:ln>
          </c:spPr>
          <c:marker>
            <c:symbol val="none"/>
          </c:marker>
          <c:val>
            <c:numRef>
              <c:f>'Calculations - Dual'!$AU$216:$AU$316</c:f>
              <c:numCache>
                <c:formatCode>0.000</c:formatCode>
                <c:ptCount val="101"/>
                <c:pt idx="0">
                  <c:v>1.4118407269387097E-2</c:v>
                </c:pt>
                <c:pt idx="1">
                  <c:v>1.4140843658289451E-2</c:v>
                </c:pt>
                <c:pt idx="2">
                  <c:v>1.4150474346351593E-2</c:v>
                </c:pt>
                <c:pt idx="3">
                  <c:v>1.4157873132675653E-2</c:v>
                </c:pt>
                <c:pt idx="4">
                  <c:v>1.4962445821981392E-2</c:v>
                </c:pt>
                <c:pt idx="5">
                  <c:v>1.8703057277476738E-2</c:v>
                </c:pt>
                <c:pt idx="6">
                  <c:v>2.2443668732972089E-2</c:v>
                </c:pt>
                <c:pt idx="7">
                  <c:v>2.6184280188467437E-2</c:v>
                </c:pt>
                <c:pt idx="8">
                  <c:v>2.9924891643962784E-2</c:v>
                </c:pt>
                <c:pt idx="9">
                  <c:v>3.3665503099458129E-2</c:v>
                </c:pt>
                <c:pt idx="10">
                  <c:v>3.7406114554953476E-2</c:v>
                </c:pt>
                <c:pt idx="11">
                  <c:v>4.1146726010448838E-2</c:v>
                </c:pt>
                <c:pt idx="12">
                  <c:v>4.4887337465944178E-2</c:v>
                </c:pt>
                <c:pt idx="13">
                  <c:v>4.8627948921439526E-2</c:v>
                </c:pt>
                <c:pt idx="14">
                  <c:v>5.2368560376934874E-2</c:v>
                </c:pt>
                <c:pt idx="15">
                  <c:v>5.6109171832430214E-2</c:v>
                </c:pt>
                <c:pt idx="16">
                  <c:v>5.9849783287925569E-2</c:v>
                </c:pt>
                <c:pt idx="17">
                  <c:v>6.3590394743420917E-2</c:v>
                </c:pt>
                <c:pt idx="18">
                  <c:v>6.7331006198916257E-2</c:v>
                </c:pt>
                <c:pt idx="19">
                  <c:v>7.1071617654411598E-2</c:v>
                </c:pt>
                <c:pt idx="20">
                  <c:v>7.4812229109906953E-2</c:v>
                </c:pt>
                <c:pt idx="21">
                  <c:v>7.8552840565402293E-2</c:v>
                </c:pt>
                <c:pt idx="22">
                  <c:v>8.2293452020897676E-2</c:v>
                </c:pt>
                <c:pt idx="23">
                  <c:v>8.603406347639303E-2</c:v>
                </c:pt>
                <c:pt idx="24">
                  <c:v>8.9774674931888357E-2</c:v>
                </c:pt>
                <c:pt idx="25">
                  <c:v>9.3515286387383711E-2</c:v>
                </c:pt>
                <c:pt idx="26">
                  <c:v>9.7255897842879052E-2</c:v>
                </c:pt>
                <c:pt idx="27">
                  <c:v>0.10099650929837441</c:v>
                </c:pt>
                <c:pt idx="28">
                  <c:v>0.10473712075386975</c:v>
                </c:pt>
                <c:pt idx="29">
                  <c:v>0.1084777322093651</c:v>
                </c:pt>
                <c:pt idx="30">
                  <c:v>0.11221834366486043</c:v>
                </c:pt>
                <c:pt idx="31">
                  <c:v>0.11595895512035578</c:v>
                </c:pt>
                <c:pt idx="32">
                  <c:v>0.11969956657585114</c:v>
                </c:pt>
                <c:pt idx="33">
                  <c:v>0.12344017803134649</c:v>
                </c:pt>
                <c:pt idx="34">
                  <c:v>0.12718078948684183</c:v>
                </c:pt>
                <c:pt idx="35">
                  <c:v>0.13092140094233717</c:v>
                </c:pt>
                <c:pt idx="36">
                  <c:v>0.13466201239783251</c:v>
                </c:pt>
                <c:pt idx="37">
                  <c:v>0.13840262385332788</c:v>
                </c:pt>
                <c:pt idx="38">
                  <c:v>0.1421432353088232</c:v>
                </c:pt>
                <c:pt idx="39">
                  <c:v>0.14588384676431859</c:v>
                </c:pt>
                <c:pt idx="40">
                  <c:v>0.14962445821981391</c:v>
                </c:pt>
                <c:pt idx="41">
                  <c:v>0.15336506967530927</c:v>
                </c:pt>
                <c:pt idx="42">
                  <c:v>0.15713847371315737</c:v>
                </c:pt>
                <c:pt idx="43">
                  <c:v>0.1574503305573699</c:v>
                </c:pt>
                <c:pt idx="44">
                  <c:v>0.15424206001119989</c:v>
                </c:pt>
                <c:pt idx="45">
                  <c:v>0.154354711646492</c:v>
                </c:pt>
                <c:pt idx="46">
                  <c:v>0.15446427510951535</c:v>
                </c:pt>
                <c:pt idx="47">
                  <c:v>0.15457094371341187</c:v>
                </c:pt>
                <c:pt idx="48">
                  <c:v>0.15467489497859274</c:v>
                </c:pt>
                <c:pt idx="49">
                  <c:v>0.15477629221319653</c:v>
                </c:pt>
                <c:pt idx="50">
                  <c:v>0.15487528590747437</c:v>
                </c:pt>
                <c:pt idx="51">
                  <c:v>0.15497201496716848</c:v>
                </c:pt>
                <c:pt idx="52">
                  <c:v>0.15506660780716389</c:v>
                </c:pt>
                <c:pt idx="53">
                  <c:v>0.15515918332353915</c:v>
                </c:pt>
                <c:pt idx="54">
                  <c:v>0.15524985175950276</c:v>
                </c:pt>
                <c:pt idx="55">
                  <c:v>0.15533871547848818</c:v>
                </c:pt>
                <c:pt idx="56">
                  <c:v>0.15542586965581748</c:v>
                </c:pt>
                <c:pt idx="57">
                  <c:v>0.15551140289876667</c:v>
                </c:pt>
                <c:pt idx="58">
                  <c:v>0.15559539780353387</c:v>
                </c:pt>
                <c:pt idx="59">
                  <c:v>0.15567793145647577</c:v>
                </c:pt>
                <c:pt idx="60">
                  <c:v>0.15575907588601137</c:v>
                </c:pt>
                <c:pt idx="61">
                  <c:v>0.15583889847076743</c:v>
                </c:pt>
                <c:pt idx="62">
                  <c:v>0.15591746230882914</c:v>
                </c:pt>
                <c:pt idx="63">
                  <c:v>0.15599482655235347</c:v>
                </c:pt>
                <c:pt idx="64">
                  <c:v>0.15607104671127736</c:v>
                </c:pt>
                <c:pt idx="65">
                  <c:v>0.15614617492940028</c:v>
                </c:pt>
                <c:pt idx="66">
                  <c:v>0.15622026023572907</c:v>
                </c:pt>
                <c:pt idx="67">
                  <c:v>0.15629334877363357</c:v>
                </c:pt>
                <c:pt idx="68">
                  <c:v>0.15636548401006364</c:v>
                </c:pt>
                <c:pt idx="69">
                  <c:v>0.15643670692682551</c:v>
                </c:pt>
                <c:pt idx="70">
                  <c:v>0.15650705619568339</c:v>
                </c:pt>
                <c:pt idx="71">
                  <c:v>0.15657656833886335</c:v>
                </c:pt>
                <c:pt idx="72">
                  <c:v>0.15664527787635718</c:v>
                </c:pt>
                <c:pt idx="73">
                  <c:v>0.15671321746127725</c:v>
                </c:pt>
                <c:pt idx="74">
                  <c:v>0.1567804180043775</c:v>
                </c:pt>
                <c:pt idx="75">
                  <c:v>0.1568469087887385</c:v>
                </c:pt>
                <c:pt idx="76">
                  <c:v>0.15691271757551242</c:v>
                </c:pt>
                <c:pt idx="77">
                  <c:v>0.1569778707015293</c:v>
                </c:pt>
                <c:pt idx="78">
                  <c:v>0.15704239316948665</c:v>
                </c:pt>
                <c:pt idx="79">
                  <c:v>0.15710630873137216</c:v>
                </c:pt>
                <c:pt idx="80">
                  <c:v>0.15716963996570363</c:v>
                </c:pt>
                <c:pt idx="81">
                  <c:v>0.15723240834911453</c:v>
                </c:pt>
                <c:pt idx="82">
                  <c:v>0.15729463432276283</c:v>
                </c:pt>
                <c:pt idx="83">
                  <c:v>0.15735633735399412</c:v>
                </c:pt>
                <c:pt idx="84">
                  <c:v>0.15741753599364947</c:v>
                </c:pt>
                <c:pt idx="85">
                  <c:v>0.15747824792937423</c:v>
                </c:pt>
                <c:pt idx="86">
                  <c:v>0.15753849003524825</c:v>
                </c:pt>
                <c:pt idx="87">
                  <c:v>0.15759827841803084</c:v>
                </c:pt>
                <c:pt idx="88">
                  <c:v>0.15765762846028694</c:v>
                </c:pt>
                <c:pt idx="89">
                  <c:v>0.1577165548606369</c:v>
                </c:pt>
                <c:pt idx="90">
                  <c:v>0.15777507167135121</c:v>
                </c:pt>
                <c:pt idx="91">
                  <c:v>0.15783319233349261</c:v>
                </c:pt>
                <c:pt idx="92">
                  <c:v>0.15789092970978999</c:v>
                </c:pt>
                <c:pt idx="93">
                  <c:v>0.15794829611541331</c:v>
                </c:pt>
                <c:pt idx="94">
                  <c:v>0.15800530334680329</c:v>
                </c:pt>
                <c:pt idx="95">
                  <c:v>0.15806196270869985</c:v>
                </c:pt>
                <c:pt idx="96">
                  <c:v>0.15811828503949682</c:v>
                </c:pt>
                <c:pt idx="97">
                  <c:v>0.1581742807350443</c:v>
                </c:pt>
                <c:pt idx="98">
                  <c:v>0.15822995977100787</c:v>
                </c:pt>
                <c:pt idx="99">
                  <c:v>0.15828533172388581</c:v>
                </c:pt>
                <c:pt idx="100">
                  <c:v>0.15834040579077702</c:v>
                </c:pt>
              </c:numCache>
            </c:numRef>
          </c:val>
          <c:smooth val="0"/>
          <c:extLst>
            <c:ext xmlns:c16="http://schemas.microsoft.com/office/drawing/2014/chart" uri="{C3380CC4-5D6E-409C-BE32-E72D297353CC}">
              <c16:uniqueId val="{00000008-CEA8-405E-B5B3-AF38AAF3801C}"/>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9-CEA8-405E-B5B3-AF38AAF3801C}"/>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A-CEA8-405E-B5B3-AF38AAF3801C}"/>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B-CEA8-405E-B5B3-AF38AAF3801C}"/>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CEA8-405E-B5B3-AF38AAF3801C}"/>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CEA8-405E-B5B3-AF38AAF3801C}"/>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CEA8-405E-B5B3-AF38AAF3801C}"/>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2.0689663047052328E-2</c:v>
                </c:pt>
                <c:pt idx="1">
                  <c:v>2.0740266313048688E-2</c:v>
                </c:pt>
                <c:pt idx="2">
                  <c:v>2.0761302730891575E-2</c:v>
                </c:pt>
                <c:pt idx="3">
                  <c:v>2.0777473499779663E-2</c:v>
                </c:pt>
                <c:pt idx="4">
                  <c:v>2.1964864577992609E-2</c:v>
                </c:pt>
                <c:pt idx="5">
                  <c:v>2.7456080722490762E-2</c:v>
                </c:pt>
                <c:pt idx="6">
                  <c:v>3.2947296866988912E-2</c:v>
                </c:pt>
                <c:pt idx="7">
                  <c:v>3.8438513011487069E-2</c:v>
                </c:pt>
                <c:pt idx="8">
                  <c:v>4.3929729155985218E-2</c:v>
                </c:pt>
                <c:pt idx="9">
                  <c:v>4.9420945300483361E-2</c:v>
                </c:pt>
                <c:pt idx="10">
                  <c:v>5.4912161444981525E-2</c:v>
                </c:pt>
                <c:pt idx="11">
                  <c:v>6.0403377589479675E-2</c:v>
                </c:pt>
                <c:pt idx="12">
                  <c:v>6.5894593733977824E-2</c:v>
                </c:pt>
                <c:pt idx="13">
                  <c:v>7.1385809878475981E-2</c:v>
                </c:pt>
                <c:pt idx="14">
                  <c:v>7.6877026022974138E-2</c:v>
                </c:pt>
                <c:pt idx="15">
                  <c:v>8.236824216747228E-2</c:v>
                </c:pt>
                <c:pt idx="16">
                  <c:v>8.7859458311970437E-2</c:v>
                </c:pt>
                <c:pt idx="17">
                  <c:v>9.3350674456468608E-2</c:v>
                </c:pt>
                <c:pt idx="18">
                  <c:v>9.8841890600966723E-2</c:v>
                </c:pt>
                <c:pt idx="19">
                  <c:v>0.10433310674546489</c:v>
                </c:pt>
                <c:pt idx="20">
                  <c:v>0.10982432288996305</c:v>
                </c:pt>
                <c:pt idx="21">
                  <c:v>0.11531553903446121</c:v>
                </c:pt>
                <c:pt idx="22">
                  <c:v>0.12080675517895935</c:v>
                </c:pt>
                <c:pt idx="23">
                  <c:v>0.12629797132345755</c:v>
                </c:pt>
                <c:pt idx="24">
                  <c:v>0.13178918746795565</c:v>
                </c:pt>
                <c:pt idx="25">
                  <c:v>0.13728040361245383</c:v>
                </c:pt>
                <c:pt idx="26">
                  <c:v>0.14277161975695196</c:v>
                </c:pt>
                <c:pt idx="27">
                  <c:v>0.14826283590145012</c:v>
                </c:pt>
                <c:pt idx="28">
                  <c:v>0.15375405204594828</c:v>
                </c:pt>
                <c:pt idx="29">
                  <c:v>0.15924526819044643</c:v>
                </c:pt>
                <c:pt idx="30">
                  <c:v>0.16473648433494456</c:v>
                </c:pt>
                <c:pt idx="31">
                  <c:v>0.17022770047944275</c:v>
                </c:pt>
                <c:pt idx="32">
                  <c:v>0.17571891662394087</c:v>
                </c:pt>
                <c:pt idx="33">
                  <c:v>0.18121013276843909</c:v>
                </c:pt>
                <c:pt idx="34">
                  <c:v>0.18670134891293722</c:v>
                </c:pt>
                <c:pt idx="35">
                  <c:v>0.19219256505743534</c:v>
                </c:pt>
                <c:pt idx="36">
                  <c:v>0.19768378120193345</c:v>
                </c:pt>
                <c:pt idx="37">
                  <c:v>0.20317499734643166</c:v>
                </c:pt>
                <c:pt idx="38">
                  <c:v>0.20866621349092979</c:v>
                </c:pt>
                <c:pt idx="39">
                  <c:v>0.214157429635428</c:v>
                </c:pt>
                <c:pt idx="40">
                  <c:v>0.2158053939609868</c:v>
                </c:pt>
                <c:pt idx="41">
                  <c:v>0.21117019217467309</c:v>
                </c:pt>
                <c:pt idx="42">
                  <c:v>0.21133099593537594</c:v>
                </c:pt>
                <c:pt idx="43">
                  <c:v>0.21148726991220121</c:v>
                </c:pt>
                <c:pt idx="44">
                  <c:v>0.21163931755731175</c:v>
                </c:pt>
                <c:pt idx="45">
                  <c:v>0.21178741584178856</c:v>
                </c:pt>
                <c:pt idx="46">
                  <c:v>0.21193181808258793</c:v>
                </c:pt>
                <c:pt idx="47">
                  <c:v>0.21207275641492404</c:v>
                </c:pt>
                <c:pt idx="48">
                  <c:v>0.2122104439608978</c:v>
                </c:pt>
                <c:pt idx="49">
                  <c:v>0.2123450767370379</c:v>
                </c:pt>
                <c:pt idx="50">
                  <c:v>0.21247683533670422</c:v>
                </c:pt>
                <c:pt idx="51">
                  <c:v>0.21260588641775635</c:v>
                </c:pt>
                <c:pt idx="52">
                  <c:v>0.21273238402128652</c:v>
                </c:pt>
                <c:pt idx="53">
                  <c:v>0.2128564707433819</c:v>
                </c:pt>
                <c:pt idx="54">
                  <c:v>0.21297827877867803</c:v>
                </c:pt>
                <c:pt idx="55">
                  <c:v>0.21309793085177547</c:v>
                </c:pt>
                <c:pt idx="56">
                  <c:v>0.21321554105033153</c:v>
                </c:pt>
                <c:pt idx="57">
                  <c:v>0.21333121557172605</c:v>
                </c:pt>
                <c:pt idx="58">
                  <c:v>0.21344505339358533</c:v>
                </c:pt>
                <c:pt idx="59">
                  <c:v>0.21355714687706936</c:v>
                </c:pt>
                <c:pt idx="60">
                  <c:v>0.21366758231066155</c:v>
                </c:pt>
                <c:pt idx="61">
                  <c:v>0.21377644040119337</c:v>
                </c:pt>
                <c:pt idx="62">
                  <c:v>0.21388379671798394</c:v>
                </c:pt>
                <c:pt idx="63">
                  <c:v>0.21398972209523523</c:v>
                </c:pt>
                <c:pt idx="64">
                  <c:v>0.2140942829971883</c:v>
                </c:pt>
                <c:pt idx="65">
                  <c:v>0.214197541850003</c:v>
                </c:pt>
                <c:pt idx="66">
                  <c:v>0.21429955734384293</c:v>
                </c:pt>
                <c:pt idx="67">
                  <c:v>0.21440038470824263</c:v>
                </c:pt>
                <c:pt idx="68">
                  <c:v>0.21450007596347248</c:v>
                </c:pt>
                <c:pt idx="69">
                  <c:v>0.21459868015030786</c:v>
                </c:pt>
                <c:pt idx="70">
                  <c:v>0.21469624354033653</c:v>
                </c:pt>
                <c:pt idx="71">
                  <c:v>0.21479280982870044</c:v>
                </c:pt>
                <c:pt idx="72">
                  <c:v>0.21488842031096003</c:v>
                </c:pt>
                <c:pt idx="73">
                  <c:v>0.21498311404558706</c:v>
                </c:pt>
                <c:pt idx="74">
                  <c:v>0.21507692800342892</c:v>
                </c:pt>
                <c:pt idx="75">
                  <c:v>0.21516989720534829</c:v>
                </c:pt>
                <c:pt idx="76">
                  <c:v>0.21526205484911459</c:v>
                </c:pt>
                <c:pt idx="77">
                  <c:v>0.21535343242651395</c:v>
                </c:pt>
                <c:pt idx="78">
                  <c:v>0.21544405983154674</c:v>
                </c:pt>
                <c:pt idx="79">
                  <c:v>0.21553396546049317</c:v>
                </c:pt>
                <c:pt idx="80">
                  <c:v>0.21562317630455211</c:v>
                </c:pt>
                <c:pt idx="81">
                  <c:v>0.21571171803568767</c:v>
                </c:pt>
                <c:pt idx="82">
                  <c:v>0.21579961508625783</c:v>
                </c:pt>
                <c:pt idx="83">
                  <c:v>0.21588689072294417</c:v>
                </c:pt>
                <c:pt idx="84">
                  <c:v>0.21597356711545321</c:v>
                </c:pt>
                <c:pt idx="85">
                  <c:v>0.21605966540041524</c:v>
                </c:pt>
                <c:pt idx="86">
                  <c:v>0.21614520574086829</c:v>
                </c:pt>
                <c:pt idx="87">
                  <c:v>0.2162302073816785</c:v>
                </c:pt>
                <c:pt idx="88">
                  <c:v>0.21631468870121792</c:v>
                </c:pt>
                <c:pt idx="89">
                  <c:v>0.21639866725959028</c:v>
                </c:pt>
                <c:pt idx="90">
                  <c:v>0.21648215984367183</c:v>
                </c:pt>
                <c:pt idx="91">
                  <c:v>0.21656518250920925</c:v>
                </c:pt>
                <c:pt idx="92">
                  <c:v>0.21664775062019678</c:v>
                </c:pt>
                <c:pt idx="93">
                  <c:v>0.21672987888573564</c:v>
                </c:pt>
                <c:pt idx="94">
                  <c:v>0.21681158139456139</c:v>
                </c:pt>
                <c:pt idx="95">
                  <c:v>0.21689287164740986</c:v>
                </c:pt>
                <c:pt idx="96">
                  <c:v>0.21697376258737716</c:v>
                </c:pt>
                <c:pt idx="97">
                  <c:v>0.21705426662841878</c:v>
                </c:pt>
                <c:pt idx="98">
                  <c:v>0.21713439568211743</c:v>
                </c:pt>
                <c:pt idx="99">
                  <c:v>0.21721416118284292</c:v>
                </c:pt>
                <c:pt idx="100">
                  <c:v>0.21729357411141528</c:v>
                </c:pt>
              </c:numCache>
            </c:numRef>
          </c:val>
          <c:smooth val="0"/>
          <c:extLst>
            <c:ext xmlns:c16="http://schemas.microsoft.com/office/drawing/2014/chart" uri="{C3380CC4-5D6E-409C-BE32-E72D297353CC}">
              <c16:uniqueId val="{0000000F-CEA8-405E-B5B3-AF38AAF3801C}"/>
            </c:ext>
          </c:extLst>
        </c:ser>
        <c:ser>
          <c:idx val="7"/>
          <c:order val="7"/>
          <c:spPr>
            <a:ln w="25400">
              <a:solidFill>
                <a:srgbClr val="00B050"/>
              </a:solidFill>
              <a:prstDash val="dash"/>
            </a:ln>
          </c:spPr>
          <c:marker>
            <c:symbol val="none"/>
          </c:marker>
          <c:val>
            <c:numRef>
              <c:f>'Calculations - Dual'!$AU$110:$AU$210</c:f>
              <c:numCache>
                <c:formatCode>0.000</c:formatCode>
                <c:ptCount val="101"/>
                <c:pt idx="0">
                  <c:v>6.3173580053994635E-2</c:v>
                </c:pt>
                <c:pt idx="1">
                  <c:v>6.3631897708852719E-2</c:v>
                </c:pt>
                <c:pt idx="2">
                  <c:v>6.3983427506883114E-2</c:v>
                </c:pt>
                <c:pt idx="3">
                  <c:v>6.3983427506883114E-2</c:v>
                </c:pt>
                <c:pt idx="4">
                  <c:v>6.7716897152422448E-2</c:v>
                </c:pt>
                <c:pt idx="5">
                  <c:v>8.4646121440528063E-2</c:v>
                </c:pt>
                <c:pt idx="6">
                  <c:v>0.10157534572863368</c:v>
                </c:pt>
                <c:pt idx="7">
                  <c:v>0.11850457001673931</c:v>
                </c:pt>
                <c:pt idx="8">
                  <c:v>0.1354337943048449</c:v>
                </c:pt>
                <c:pt idx="9">
                  <c:v>0.15236301859295048</c:v>
                </c:pt>
                <c:pt idx="10">
                  <c:v>0.16929224288105613</c:v>
                </c:pt>
                <c:pt idx="11">
                  <c:v>0.18622146716916174</c:v>
                </c:pt>
                <c:pt idx="12">
                  <c:v>0.20315069145726736</c:v>
                </c:pt>
                <c:pt idx="13">
                  <c:v>0.22007991574537297</c:v>
                </c:pt>
                <c:pt idx="14">
                  <c:v>0.23700914003347862</c:v>
                </c:pt>
                <c:pt idx="15">
                  <c:v>0.25393836432158418</c:v>
                </c:pt>
                <c:pt idx="16">
                  <c:v>0.27086758860968979</c:v>
                </c:pt>
                <c:pt idx="17">
                  <c:v>0.28779681289779546</c:v>
                </c:pt>
                <c:pt idx="18">
                  <c:v>0.30472603718590097</c:v>
                </c:pt>
                <c:pt idx="19">
                  <c:v>0.32165526147400664</c:v>
                </c:pt>
                <c:pt idx="20">
                  <c:v>0.33858448576211225</c:v>
                </c:pt>
                <c:pt idx="21">
                  <c:v>0.35551371005021787</c:v>
                </c:pt>
                <c:pt idx="22">
                  <c:v>0.37244293433832348</c:v>
                </c:pt>
                <c:pt idx="23">
                  <c:v>0.38937215862642921</c:v>
                </c:pt>
                <c:pt idx="24">
                  <c:v>0.40630138291453471</c:v>
                </c:pt>
                <c:pt idx="25">
                  <c:v>0.42323060720264039</c:v>
                </c:pt>
                <c:pt idx="26">
                  <c:v>0.44015983149074595</c:v>
                </c:pt>
                <c:pt idx="27">
                  <c:v>0.45708905577885156</c:v>
                </c:pt>
                <c:pt idx="28">
                  <c:v>0.45585378567591855</c:v>
                </c:pt>
                <c:pt idx="29">
                  <c:v>0.45253076377369211</c:v>
                </c:pt>
                <c:pt idx="30">
                  <c:v>0.45295682966394801</c:v>
                </c:pt>
                <c:pt idx="31">
                  <c:v>0.45336990006112021</c:v>
                </c:pt>
                <c:pt idx="32">
                  <c:v>0.45377118366109004</c:v>
                </c:pt>
                <c:pt idx="33">
                  <c:v>0.45416174443111451</c:v>
                </c:pt>
                <c:pt idx="34">
                  <c:v>0.45454252264280204</c:v>
                </c:pt>
                <c:pt idx="35">
                  <c:v>0.45491435234069871</c:v>
                </c:pt>
                <c:pt idx="36">
                  <c:v>0.45527797593184616</c:v>
                </c:pt>
                <c:pt idx="37">
                  <c:v>0.45563405643509175</c:v>
                </c:pt>
                <c:pt idx="38">
                  <c:v>0.45598318781670294</c:v>
                </c:pt>
                <c:pt idx="39">
                  <c:v>0.45632590375223608</c:v>
                </c:pt>
                <c:pt idx="40">
                  <c:v>0.45666268508730429</c:v>
                </c:pt>
                <c:pt idx="41">
                  <c:v>0.45699396621720983</c:v>
                </c:pt>
                <c:pt idx="42">
                  <c:v>0.45732014056390835</c:v>
                </c:pt>
                <c:pt idx="43">
                  <c:v>0.45764156529587996</c:v>
                </c:pt>
                <c:pt idx="44">
                  <c:v>0.45795856541025304</c:v>
                </c:pt>
                <c:pt idx="45">
                  <c:v>0.45827143727550279</c:v>
                </c:pt>
                <c:pt idx="46">
                  <c:v>0.45858045171609324</c:v>
                </c:pt>
                <c:pt idx="47">
                  <c:v>0.45888585670669979</c:v>
                </c:pt>
                <c:pt idx="48">
                  <c:v>0.45918787973247466</c:v>
                </c:pt>
                <c:pt idx="49">
                  <c:v>0.45948672986266836</c:v>
                </c:pt>
                <c:pt idx="50">
                  <c:v>0.45978259957741902</c:v>
                </c:pt>
                <c:pt idx="51">
                  <c:v>0.46007566638131742</c:v>
                </c:pt>
                <c:pt idx="52">
                  <c:v>0.46036609423223201</c:v>
                </c:pt>
                <c:pt idx="53">
                  <c:v>0.46065403480960676</c:v>
                </c:pt>
                <c:pt idx="54">
                  <c:v>0.46093962864288712</c:v>
                </c:pt>
                <c:pt idx="55">
                  <c:v>0.46122300611774431</c:v>
                </c:pt>
                <c:pt idx="56">
                  <c:v>0.46150428837526564</c:v>
                </c:pt>
                <c:pt idx="57">
                  <c:v>0.46178358811715947</c:v>
                </c:pt>
                <c:pt idx="58">
                  <c:v>0.46206101032824265</c:v>
                </c:pt>
                <c:pt idx="59">
                  <c:v>0.46233665292595483</c:v>
                </c:pt>
                <c:pt idx="60">
                  <c:v>0.46261060734535731</c:v>
                </c:pt>
                <c:pt idx="61">
                  <c:v>0.46288295906697063</c:v>
                </c:pt>
                <c:pt idx="62">
                  <c:v>0.46315378809386276</c:v>
                </c:pt>
                <c:pt idx="63">
                  <c:v>0.46342316938359079</c:v>
                </c:pt>
                <c:pt idx="64">
                  <c:v>0.46369117323990261</c:v>
                </c:pt>
                <c:pt idx="65">
                  <c:v>0.463957865668506</c:v>
                </c:pt>
                <c:pt idx="66">
                  <c:v>0.46422330870069095</c:v>
                </c:pt>
                <c:pt idx="67">
                  <c:v>0.46448756068814784</c:v>
                </c:pt>
                <c:pt idx="68">
                  <c:v>0.46475067657192304</c:v>
                </c:pt>
                <c:pt idx="69">
                  <c:v>0.46501270812812634</c:v>
                </c:pt>
                <c:pt idx="70">
                  <c:v>0.46527370419269776</c:v>
                </c:pt>
                <c:pt idx="71">
                  <c:v>0.46553371086728679</c:v>
                </c:pt>
                <c:pt idx="72">
                  <c:v>0.46579277170807326</c:v>
                </c:pt>
                <c:pt idx="73">
                  <c:v>0.46605092789915287</c:v>
                </c:pt>
                <c:pt idx="74">
                  <c:v>0.46630821841194042</c:v>
                </c:pt>
                <c:pt idx="75">
                  <c:v>0.4665646801518919</c:v>
                </c:pt>
                <c:pt idx="76">
                  <c:v>0.46682034809370127</c:v>
                </c:pt>
                <c:pt idx="77">
                  <c:v>0.4670752554060198</c:v>
                </c:pt>
                <c:pt idx="78">
                  <c:v>0.46732943356663159</c:v>
                </c:pt>
                <c:pt idx="79">
                  <c:v>0.46758291246892353</c:v>
                </c:pt>
                <c:pt idx="80">
                  <c:v>0.4678357205204135</c:v>
                </c:pt>
                <c:pt idx="81">
                  <c:v>0.4680878847340143</c:v>
                </c:pt>
                <c:pt idx="82">
                  <c:v>0.46833943081265333</c:v>
                </c:pt>
                <c:pt idx="83">
                  <c:v>0.46859038322780494</c:v>
                </c:pt>
                <c:pt idx="84">
                  <c:v>0.46884076529244056</c:v>
                </c:pt>
                <c:pt idx="85">
                  <c:v>0.46909059922885221</c:v>
                </c:pt>
                <c:pt idx="86">
                  <c:v>0.46933990623176897</c:v>
                </c:pt>
                <c:pt idx="87">
                  <c:v>0.46958870652713897</c:v>
                </c:pt>
                <c:pt idx="88">
                  <c:v>0.46983701942692152</c:v>
                </c:pt>
                <c:pt idx="89">
                  <c:v>0.4700848633802035</c:v>
                </c:pt>
                <c:pt idx="90">
                  <c:v>0.47033225602092321</c:v>
                </c:pt>
                <c:pt idx="91">
                  <c:v>0.47057921421245968</c:v>
                </c:pt>
                <c:pt idx="92">
                  <c:v>0.47082575408932881</c:v>
                </c:pt>
                <c:pt idx="93">
                  <c:v>0.47107189109620046</c:v>
                </c:pt>
                <c:pt idx="94">
                  <c:v>0.47131764002443521</c:v>
                </c:pt>
                <c:pt idx="95">
                  <c:v>0.47156301504632397</c:v>
                </c:pt>
                <c:pt idx="96">
                  <c:v>0.47180802974719632</c:v>
                </c:pt>
                <c:pt idx="97">
                  <c:v>0.47205269715555154</c:v>
                </c:pt>
                <c:pt idx="98">
                  <c:v>0.47229702977135124</c:v>
                </c:pt>
                <c:pt idx="99">
                  <c:v>0.4725410395926059</c:v>
                </c:pt>
                <c:pt idx="100">
                  <c:v>0.47278473814037136</c:v>
                </c:pt>
              </c:numCache>
            </c:numRef>
          </c:val>
          <c:smooth val="0"/>
          <c:extLst>
            <c:ext xmlns:c16="http://schemas.microsoft.com/office/drawing/2014/chart" uri="{C3380CC4-5D6E-409C-BE32-E72D297353CC}">
              <c16:uniqueId val="{00000010-CEA8-405E-B5B3-AF38AAF3801C}"/>
            </c:ext>
          </c:extLst>
        </c:ser>
        <c:ser>
          <c:idx val="8"/>
          <c:order val="8"/>
          <c:spPr>
            <a:ln w="25400">
              <a:solidFill>
                <a:srgbClr val="FF0000"/>
              </a:solidFill>
            </a:ln>
          </c:spPr>
          <c:marker>
            <c:symbol val="none"/>
          </c:marker>
          <c:val>
            <c:numRef>
              <c:f>'Calculations - Dual'!$AU$216:$AU$316</c:f>
              <c:numCache>
                <c:formatCode>0.000</c:formatCode>
                <c:ptCount val="101"/>
                <c:pt idx="0">
                  <c:v>1.4118407269387097E-2</c:v>
                </c:pt>
                <c:pt idx="1">
                  <c:v>1.4140843658289451E-2</c:v>
                </c:pt>
                <c:pt idx="2">
                  <c:v>1.4150474346351593E-2</c:v>
                </c:pt>
                <c:pt idx="3">
                  <c:v>1.4157873132675653E-2</c:v>
                </c:pt>
                <c:pt idx="4">
                  <c:v>1.4962445821981392E-2</c:v>
                </c:pt>
                <c:pt idx="5">
                  <c:v>1.8703057277476738E-2</c:v>
                </c:pt>
                <c:pt idx="6">
                  <c:v>2.2443668732972089E-2</c:v>
                </c:pt>
                <c:pt idx="7">
                  <c:v>2.6184280188467437E-2</c:v>
                </c:pt>
                <c:pt idx="8">
                  <c:v>2.9924891643962784E-2</c:v>
                </c:pt>
                <c:pt idx="9">
                  <c:v>3.3665503099458129E-2</c:v>
                </c:pt>
                <c:pt idx="10">
                  <c:v>3.7406114554953476E-2</c:v>
                </c:pt>
                <c:pt idx="11">
                  <c:v>4.1146726010448838E-2</c:v>
                </c:pt>
                <c:pt idx="12">
                  <c:v>4.4887337465944178E-2</c:v>
                </c:pt>
                <c:pt idx="13">
                  <c:v>4.8627948921439526E-2</c:v>
                </c:pt>
                <c:pt idx="14">
                  <c:v>5.2368560376934874E-2</c:v>
                </c:pt>
                <c:pt idx="15">
                  <c:v>5.6109171832430214E-2</c:v>
                </c:pt>
                <c:pt idx="16">
                  <c:v>5.9849783287925569E-2</c:v>
                </c:pt>
                <c:pt idx="17">
                  <c:v>6.3590394743420917E-2</c:v>
                </c:pt>
                <c:pt idx="18">
                  <c:v>6.7331006198916257E-2</c:v>
                </c:pt>
                <c:pt idx="19">
                  <c:v>7.1071617654411598E-2</c:v>
                </c:pt>
                <c:pt idx="20">
                  <c:v>7.4812229109906953E-2</c:v>
                </c:pt>
                <c:pt idx="21">
                  <c:v>7.8552840565402293E-2</c:v>
                </c:pt>
                <c:pt idx="22">
                  <c:v>8.2293452020897676E-2</c:v>
                </c:pt>
                <c:pt idx="23">
                  <c:v>8.603406347639303E-2</c:v>
                </c:pt>
                <c:pt idx="24">
                  <c:v>8.9774674931888357E-2</c:v>
                </c:pt>
                <c:pt idx="25">
                  <c:v>9.3515286387383711E-2</c:v>
                </c:pt>
                <c:pt idx="26">
                  <c:v>9.7255897842879052E-2</c:v>
                </c:pt>
                <c:pt idx="27">
                  <c:v>0.10099650929837441</c:v>
                </c:pt>
                <c:pt idx="28">
                  <c:v>0.10473712075386975</c:v>
                </c:pt>
                <c:pt idx="29">
                  <c:v>0.1084777322093651</c:v>
                </c:pt>
                <c:pt idx="30">
                  <c:v>0.11221834366486043</c:v>
                </c:pt>
                <c:pt idx="31">
                  <c:v>0.11595895512035578</c:v>
                </c:pt>
                <c:pt idx="32">
                  <c:v>0.11969956657585114</c:v>
                </c:pt>
                <c:pt idx="33">
                  <c:v>0.12344017803134649</c:v>
                </c:pt>
                <c:pt idx="34">
                  <c:v>0.12718078948684183</c:v>
                </c:pt>
                <c:pt idx="35">
                  <c:v>0.13092140094233717</c:v>
                </c:pt>
                <c:pt idx="36">
                  <c:v>0.13466201239783251</c:v>
                </c:pt>
                <c:pt idx="37">
                  <c:v>0.13840262385332788</c:v>
                </c:pt>
                <c:pt idx="38">
                  <c:v>0.1421432353088232</c:v>
                </c:pt>
                <c:pt idx="39">
                  <c:v>0.14588384676431859</c:v>
                </c:pt>
                <c:pt idx="40">
                  <c:v>0.14962445821981391</c:v>
                </c:pt>
                <c:pt idx="41">
                  <c:v>0.15336506967530927</c:v>
                </c:pt>
                <c:pt idx="42">
                  <c:v>0.15713847371315737</c:v>
                </c:pt>
                <c:pt idx="43">
                  <c:v>0.1574503305573699</c:v>
                </c:pt>
                <c:pt idx="44">
                  <c:v>0.15424206001119989</c:v>
                </c:pt>
                <c:pt idx="45">
                  <c:v>0.154354711646492</c:v>
                </c:pt>
                <c:pt idx="46">
                  <c:v>0.15446427510951535</c:v>
                </c:pt>
                <c:pt idx="47">
                  <c:v>0.15457094371341187</c:v>
                </c:pt>
                <c:pt idx="48">
                  <c:v>0.15467489497859274</c:v>
                </c:pt>
                <c:pt idx="49">
                  <c:v>0.15477629221319653</c:v>
                </c:pt>
                <c:pt idx="50">
                  <c:v>0.15487528590747437</c:v>
                </c:pt>
                <c:pt idx="51">
                  <c:v>0.15497201496716848</c:v>
                </c:pt>
                <c:pt idx="52">
                  <c:v>0.15506660780716389</c:v>
                </c:pt>
                <c:pt idx="53">
                  <c:v>0.15515918332353915</c:v>
                </c:pt>
                <c:pt idx="54">
                  <c:v>0.15524985175950276</c:v>
                </c:pt>
                <c:pt idx="55">
                  <c:v>0.15533871547848818</c:v>
                </c:pt>
                <c:pt idx="56">
                  <c:v>0.15542586965581748</c:v>
                </c:pt>
                <c:pt idx="57">
                  <c:v>0.15551140289876667</c:v>
                </c:pt>
                <c:pt idx="58">
                  <c:v>0.15559539780353387</c:v>
                </c:pt>
                <c:pt idx="59">
                  <c:v>0.15567793145647577</c:v>
                </c:pt>
                <c:pt idx="60">
                  <c:v>0.15575907588601137</c:v>
                </c:pt>
                <c:pt idx="61">
                  <c:v>0.15583889847076743</c:v>
                </c:pt>
                <c:pt idx="62">
                  <c:v>0.15591746230882914</c:v>
                </c:pt>
                <c:pt idx="63">
                  <c:v>0.15599482655235347</c:v>
                </c:pt>
                <c:pt idx="64">
                  <c:v>0.15607104671127736</c:v>
                </c:pt>
                <c:pt idx="65">
                  <c:v>0.15614617492940028</c:v>
                </c:pt>
                <c:pt idx="66">
                  <c:v>0.15622026023572907</c:v>
                </c:pt>
                <c:pt idx="67">
                  <c:v>0.15629334877363357</c:v>
                </c:pt>
                <c:pt idx="68">
                  <c:v>0.15636548401006364</c:v>
                </c:pt>
                <c:pt idx="69">
                  <c:v>0.15643670692682551</c:v>
                </c:pt>
                <c:pt idx="70">
                  <c:v>0.15650705619568339</c:v>
                </c:pt>
                <c:pt idx="71">
                  <c:v>0.15657656833886335</c:v>
                </c:pt>
                <c:pt idx="72">
                  <c:v>0.15664527787635718</c:v>
                </c:pt>
                <c:pt idx="73">
                  <c:v>0.15671321746127725</c:v>
                </c:pt>
                <c:pt idx="74">
                  <c:v>0.1567804180043775</c:v>
                </c:pt>
                <c:pt idx="75">
                  <c:v>0.1568469087887385</c:v>
                </c:pt>
                <c:pt idx="76">
                  <c:v>0.15691271757551242</c:v>
                </c:pt>
                <c:pt idx="77">
                  <c:v>0.1569778707015293</c:v>
                </c:pt>
                <c:pt idx="78">
                  <c:v>0.15704239316948665</c:v>
                </c:pt>
                <c:pt idx="79">
                  <c:v>0.15710630873137216</c:v>
                </c:pt>
                <c:pt idx="80">
                  <c:v>0.15716963996570363</c:v>
                </c:pt>
                <c:pt idx="81">
                  <c:v>0.15723240834911453</c:v>
                </c:pt>
                <c:pt idx="82">
                  <c:v>0.15729463432276283</c:v>
                </c:pt>
                <c:pt idx="83">
                  <c:v>0.15735633735399412</c:v>
                </c:pt>
                <c:pt idx="84">
                  <c:v>0.15741753599364947</c:v>
                </c:pt>
                <c:pt idx="85">
                  <c:v>0.15747824792937423</c:v>
                </c:pt>
                <c:pt idx="86">
                  <c:v>0.15753849003524825</c:v>
                </c:pt>
                <c:pt idx="87">
                  <c:v>0.15759827841803084</c:v>
                </c:pt>
                <c:pt idx="88">
                  <c:v>0.15765762846028694</c:v>
                </c:pt>
                <c:pt idx="89">
                  <c:v>0.1577165548606369</c:v>
                </c:pt>
                <c:pt idx="90">
                  <c:v>0.15777507167135121</c:v>
                </c:pt>
                <c:pt idx="91">
                  <c:v>0.15783319233349261</c:v>
                </c:pt>
                <c:pt idx="92">
                  <c:v>0.15789092970978999</c:v>
                </c:pt>
                <c:pt idx="93">
                  <c:v>0.15794829611541331</c:v>
                </c:pt>
                <c:pt idx="94">
                  <c:v>0.15800530334680329</c:v>
                </c:pt>
                <c:pt idx="95">
                  <c:v>0.15806196270869985</c:v>
                </c:pt>
                <c:pt idx="96">
                  <c:v>0.15811828503949682</c:v>
                </c:pt>
                <c:pt idx="97">
                  <c:v>0.1581742807350443</c:v>
                </c:pt>
                <c:pt idx="98">
                  <c:v>0.15822995977100787</c:v>
                </c:pt>
                <c:pt idx="99">
                  <c:v>0.15828533172388581</c:v>
                </c:pt>
                <c:pt idx="100">
                  <c:v>0.15834040579077702</c:v>
                </c:pt>
              </c:numCache>
            </c:numRef>
          </c:val>
          <c:smooth val="0"/>
          <c:extLst>
            <c:ext xmlns:c16="http://schemas.microsoft.com/office/drawing/2014/chart" uri="{C3380CC4-5D6E-409C-BE32-E72D297353CC}">
              <c16:uniqueId val="{00000011-CEA8-405E-B5B3-AF38AAF3801C}"/>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10.272278997833462</c:v>
                </c:pt>
                <c:pt idx="30">
                  <c:v>10.627165154246638</c:v>
                </c:pt>
                <c:pt idx="31">
                  <c:v>10.982100361418821</c:v>
                </c:pt>
                <c:pt idx="32">
                  <c:v>11.337085049480594</c:v>
                </c:pt>
                <c:pt idx="33">
                  <c:v>11.692119649018068</c:v>
                </c:pt>
                <c:pt idx="34">
                  <c:v>12.047204591074976</c:v>
                </c:pt>
                <c:pt idx="35">
                  <c:v>12.402340307154754</c:v>
                </c:pt>
                <c:pt idx="36">
                  <c:v>12.757527229222617</c:v>
                </c:pt>
                <c:pt idx="37">
                  <c:v>13.112765789707657</c:v>
                </c:pt>
                <c:pt idx="38">
                  <c:v>13.46805642150494</c:v>
                </c:pt>
                <c:pt idx="39">
                  <c:v>13.823399557977618</c:v>
                </c:pt>
                <c:pt idx="40">
                  <c:v>14.178795632959002</c:v>
                </c:pt>
                <c:pt idx="41">
                  <c:v>14.534245080754735</c:v>
                </c:pt>
                <c:pt idx="42">
                  <c:v>14.88974833614485</c:v>
                </c:pt>
                <c:pt idx="43">
                  <c:v>15.245305834385928</c:v>
                </c:pt>
                <c:pt idx="44">
                  <c:v>15.600918011213217</c:v>
                </c:pt>
                <c:pt idx="45">
                  <c:v>15.95658530284277</c:v>
                </c:pt>
                <c:pt idx="46">
                  <c:v>16.312308145973574</c:v>
                </c:pt>
                <c:pt idx="47">
                  <c:v>16.668086977789699</c:v>
                </c:pt>
                <c:pt idx="48">
                  <c:v>17.023922235962477</c:v>
                </c:pt>
                <c:pt idx="49">
                  <c:v>17.379814358652606</c:v>
                </c:pt>
                <c:pt idx="50">
                  <c:v>17.735763784512336</c:v>
                </c:pt>
                <c:pt idx="51">
                  <c:v>18.09177095268765</c:v>
                </c:pt>
                <c:pt idx="52">
                  <c:v>18.447836302820424</c:v>
                </c:pt>
                <c:pt idx="53">
                  <c:v>18.803960275050592</c:v>
                </c:pt>
                <c:pt idx="54">
                  <c:v>19.160143310018338</c:v>
                </c:pt>
                <c:pt idx="55">
                  <c:v>19.516385848866292</c:v>
                </c:pt>
                <c:pt idx="56">
                  <c:v>19.872688333241737</c:v>
                </c:pt>
                <c:pt idx="57">
                  <c:v>20.229051205298749</c:v>
                </c:pt>
                <c:pt idx="58">
                  <c:v>20.585474907700494</c:v>
                </c:pt>
                <c:pt idx="59">
                  <c:v>20.941959883621351</c:v>
                </c:pt>
                <c:pt idx="60">
                  <c:v>21.298506576749187</c:v>
                </c:pt>
                <c:pt idx="61">
                  <c:v>21.655115431287545</c:v>
                </c:pt>
                <c:pt idx="62">
                  <c:v>22.011786891957904</c:v>
                </c:pt>
                <c:pt idx="63">
                  <c:v>22.368521404001889</c:v>
                </c:pt>
                <c:pt idx="64">
                  <c:v>22.725319413183517</c:v>
                </c:pt>
                <c:pt idx="65">
                  <c:v>23.082181365791449</c:v>
                </c:pt>
                <c:pt idx="66">
                  <c:v>23.439107708641227</c:v>
                </c:pt>
                <c:pt idx="67">
                  <c:v>23.796098889077555</c:v>
                </c:pt>
                <c:pt idx="68">
                  <c:v>24.153155354976544</c:v>
                </c:pt>
                <c:pt idx="69">
                  <c:v>24.510277554747972</c:v>
                </c:pt>
                <c:pt idx="70">
                  <c:v>24.867465937337599</c:v>
                </c:pt>
                <c:pt idx="71">
                  <c:v>25.224720952229411</c:v>
                </c:pt>
                <c:pt idx="72">
                  <c:v>25.582043049447897</c:v>
                </c:pt>
                <c:pt idx="73">
                  <c:v>25.939432679560412</c:v>
                </c:pt>
                <c:pt idx="74">
                  <c:v>26.296890293679397</c:v>
                </c:pt>
                <c:pt idx="75">
                  <c:v>26.65441634346471</c:v>
                </c:pt>
                <c:pt idx="76">
                  <c:v>27.012011281125954</c:v>
                </c:pt>
                <c:pt idx="77">
                  <c:v>27.369675559424817</c:v>
                </c:pt>
                <c:pt idx="78">
                  <c:v>27.727409631677311</c:v>
                </c:pt>
                <c:pt idx="79">
                  <c:v>28.085213951756167</c:v>
                </c:pt>
                <c:pt idx="80">
                  <c:v>28.443088974093207</c:v>
                </c:pt>
                <c:pt idx="81">
                  <c:v>28.801035153681593</c:v>
                </c:pt>
                <c:pt idx="82">
                  <c:v>29.159052946078216</c:v>
                </c:pt>
                <c:pt idx="83">
                  <c:v>29.517142807406096</c:v>
                </c:pt>
                <c:pt idx="84">
                  <c:v>29.875305194356685</c:v>
                </c:pt>
                <c:pt idx="85">
                  <c:v>30.233540564192253</c:v>
                </c:pt>
                <c:pt idx="86">
                  <c:v>30.591849374748275</c:v>
                </c:pt>
                <c:pt idx="87">
                  <c:v>30.9502320844358</c:v>
                </c:pt>
                <c:pt idx="88">
                  <c:v>31.308689152243819</c:v>
                </c:pt>
                <c:pt idx="89">
                  <c:v>31.667221037741736</c:v>
                </c:pt>
                <c:pt idx="90">
                  <c:v>32.025828201081659</c:v>
                </c:pt>
                <c:pt idx="91">
                  <c:v>32.384511103000861</c:v>
                </c:pt>
                <c:pt idx="92">
                  <c:v>32.743270204824249</c:v>
                </c:pt>
                <c:pt idx="93">
                  <c:v>33.10210596846666</c:v>
                </c:pt>
                <c:pt idx="94">
                  <c:v>33.461018856435409</c:v>
                </c:pt>
                <c:pt idx="95">
                  <c:v>33.820009331832665</c:v>
                </c:pt>
                <c:pt idx="96">
                  <c:v>34.179077858357857</c:v>
                </c:pt>
                <c:pt idx="97">
                  <c:v>34.538224900310205</c:v>
                </c:pt>
                <c:pt idx="98">
                  <c:v>34.897450922591119</c:v>
                </c:pt>
                <c:pt idx="99">
                  <c:v>35.256756390706634</c:v>
                </c:pt>
                <c:pt idx="100">
                  <c:v>35.616141770769964</c:v>
                </c:pt>
              </c:numCache>
            </c:numRef>
          </c:val>
          <c:smooth val="0"/>
          <c:extLst>
            <c:ext xmlns:c16="http://schemas.microsoft.com/office/drawing/2014/chart" uri="{C3380CC4-5D6E-409C-BE32-E72D297353CC}">
              <c16:uniqueId val="{00000000-E5BE-46CE-908E-4F68425D4B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Dual'!$AI$5:$AI$105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10.020385041371538</c:v>
                </c:pt>
                <c:pt idx="42">
                  <c:v>10.263120961419967</c:v>
                </c:pt>
                <c:pt idx="43">
                  <c:v>10.505778677575542</c:v>
                </c:pt>
                <c:pt idx="44">
                  <c:v>10.748358260368891</c:v>
                </c:pt>
                <c:pt idx="45">
                  <c:v>10.990859780269847</c:v>
                </c:pt>
                <c:pt idx="46">
                  <c:v>11.233283307687508</c:v>
                </c:pt>
                <c:pt idx="47">
                  <c:v>11.475628912970327</c:v>
                </c:pt>
                <c:pt idx="48">
                  <c:v>11.717896666406203</c:v>
                </c:pt>
                <c:pt idx="49">
                  <c:v>11.960086638222528</c:v>
                </c:pt>
                <c:pt idx="50">
                  <c:v>12.202198898586278</c:v>
                </c:pt>
                <c:pt idx="51">
                  <c:v>12.444233517604101</c:v>
                </c:pt>
                <c:pt idx="52">
                  <c:v>12.686190565322375</c:v>
                </c:pt>
                <c:pt idx="53">
                  <c:v>12.928070111727303</c:v>
                </c:pt>
                <c:pt idx="54">
                  <c:v>13.16987222674495</c:v>
                </c:pt>
                <c:pt idx="55">
                  <c:v>13.411596980241393</c:v>
                </c:pt>
                <c:pt idx="56">
                  <c:v>13.653244442022718</c:v>
                </c:pt>
                <c:pt idx="57">
                  <c:v>13.89481468183514</c:v>
                </c:pt>
                <c:pt idx="58">
                  <c:v>14.136307769365075</c:v>
                </c:pt>
                <c:pt idx="59">
                  <c:v>14.377723774239211</c:v>
                </c:pt>
                <c:pt idx="60">
                  <c:v>14.61906276602457</c:v>
                </c:pt>
                <c:pt idx="61">
                  <c:v>14.860324814228616</c:v>
                </c:pt>
                <c:pt idx="62">
                  <c:v>15.10150998829929</c:v>
                </c:pt>
                <c:pt idx="63">
                  <c:v>15.342618357625129</c:v>
                </c:pt>
                <c:pt idx="64">
                  <c:v>15.5836499915353</c:v>
                </c:pt>
                <c:pt idx="65">
                  <c:v>15.824604959299711</c:v>
                </c:pt>
                <c:pt idx="66">
                  <c:v>16.065483330129055</c:v>
                </c:pt>
                <c:pt idx="67">
                  <c:v>16.306285173174917</c:v>
                </c:pt>
                <c:pt idx="68">
                  <c:v>16.547010557529813</c:v>
                </c:pt>
                <c:pt idx="69">
                  <c:v>16.787659552227289</c:v>
                </c:pt>
                <c:pt idx="70">
                  <c:v>17.028232226242007</c:v>
                </c:pt>
                <c:pt idx="71">
                  <c:v>17.26872864848978</c:v>
                </c:pt>
                <c:pt idx="72">
                  <c:v>17.509148887827681</c:v>
                </c:pt>
                <c:pt idx="73">
                  <c:v>17.749493013054103</c:v>
                </c:pt>
                <c:pt idx="74">
                  <c:v>17.989761092908836</c:v>
                </c:pt>
                <c:pt idx="75">
                  <c:v>18.229953196073144</c:v>
                </c:pt>
                <c:pt idx="76">
                  <c:v>18.470069391169833</c:v>
                </c:pt>
                <c:pt idx="77">
                  <c:v>18.710109746763333</c:v>
                </c:pt>
                <c:pt idx="78">
                  <c:v>18.950074331359762</c:v>
                </c:pt>
                <c:pt idx="79">
                  <c:v>19.189963213407005</c:v>
                </c:pt>
                <c:pt idx="80">
                  <c:v>19.429776461294793</c:v>
                </c:pt>
                <c:pt idx="81">
                  <c:v>19.669514143354771</c:v>
                </c:pt>
                <c:pt idx="82">
                  <c:v>19.90917632786056</c:v>
                </c:pt>
                <c:pt idx="83">
                  <c:v>20.148763083027866</c:v>
                </c:pt>
                <c:pt idx="84">
                  <c:v>20.388274477014512</c:v>
                </c:pt>
                <c:pt idx="85">
                  <c:v>20.627710577920528</c:v>
                </c:pt>
                <c:pt idx="86">
                  <c:v>20.867071453788231</c:v>
                </c:pt>
                <c:pt idx="87">
                  <c:v>21.106357172602298</c:v>
                </c:pt>
                <c:pt idx="88">
                  <c:v>21.345567802289811</c:v>
                </c:pt>
                <c:pt idx="89">
                  <c:v>21.584703410720376</c:v>
                </c:pt>
                <c:pt idx="90">
                  <c:v>21.823764065706161</c:v>
                </c:pt>
                <c:pt idx="91">
                  <c:v>22.062749835001966</c:v>
                </c:pt>
                <c:pt idx="92">
                  <c:v>22.301660786305348</c:v>
                </c:pt>
                <c:pt idx="93">
                  <c:v>22.540496987256606</c:v>
                </c:pt>
                <c:pt idx="94">
                  <c:v>22.779258505438911</c:v>
                </c:pt>
                <c:pt idx="95">
                  <c:v>23.017945408378417</c:v>
                </c:pt>
                <c:pt idx="96">
                  <c:v>23.256557763544215</c:v>
                </c:pt>
                <c:pt idx="97">
                  <c:v>23.495095638348513</c:v>
                </c:pt>
                <c:pt idx="98">
                  <c:v>23.733559100146671</c:v>
                </c:pt>
                <c:pt idx="99">
                  <c:v>23.971948216237241</c:v>
                </c:pt>
                <c:pt idx="100">
                  <c:v>24.210263053862121</c:v>
                </c:pt>
              </c:numCache>
            </c:numRef>
          </c:val>
          <c:smooth val="0"/>
          <c:extLst>
            <c:ext xmlns:c16="http://schemas.microsoft.com/office/drawing/2014/chart" uri="{C3380CC4-5D6E-409C-BE32-E72D297353CC}">
              <c16:uniqueId val="{00000001-E5BE-46CE-908E-4F68425D4B37}"/>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10.01475145890428</c:v>
                </c:pt>
                <c:pt idx="45">
                  <c:v>10.240551667877666</c:v>
                </c:pt>
                <c:pt idx="46">
                  <c:v>10.466272436661823</c:v>
                </c:pt>
                <c:pt idx="47">
                  <c:v>10.69191382370993</c:v>
                </c:pt>
                <c:pt idx="48">
                  <c:v>10.917475887424397</c:v>
                </c:pt>
                <c:pt idx="49">
                  <c:v>11.142958686156877</c:v>
                </c:pt>
                <c:pt idx="50">
                  <c:v>11.36836227820838</c:v>
                </c:pt>
                <c:pt idx="51">
                  <c:v>11.593686721829293</c:v>
                </c:pt>
                <c:pt idx="52">
                  <c:v>11.818932075219449</c:v>
                </c:pt>
                <c:pt idx="53">
                  <c:v>12.044098396528188</c:v>
                </c:pt>
                <c:pt idx="54">
                  <c:v>12.269185743854406</c:v>
                </c:pt>
                <c:pt idx="55">
                  <c:v>12.494194175246617</c:v>
                </c:pt>
                <c:pt idx="56">
                  <c:v>12.719123748703023</c:v>
                </c:pt>
                <c:pt idx="57">
                  <c:v>12.943974522171523</c:v>
                </c:pt>
                <c:pt idx="58">
                  <c:v>13.168746553549846</c:v>
                </c:pt>
                <c:pt idx="59">
                  <c:v>13.393439900685527</c:v>
                </c:pt>
                <c:pt idx="60">
                  <c:v>13.618054621376031</c:v>
                </c:pt>
                <c:pt idx="61">
                  <c:v>13.842590773368761</c:v>
                </c:pt>
                <c:pt idx="62">
                  <c:v>14.067048414361146</c:v>
                </c:pt>
                <c:pt idx="63">
                  <c:v>14.291427602000683</c:v>
                </c:pt>
                <c:pt idx="64">
                  <c:v>14.515728393884986</c:v>
                </c:pt>
                <c:pt idx="65">
                  <c:v>14.739950847561866</c:v>
                </c:pt>
                <c:pt idx="66">
                  <c:v>14.964095020529369</c:v>
                </c:pt>
                <c:pt idx="67">
                  <c:v>15.188160970235826</c:v>
                </c:pt>
                <c:pt idx="68">
                  <c:v>15.412148754079936</c:v>
                </c:pt>
                <c:pt idx="69">
                  <c:v>15.63605842941079</c:v>
                </c:pt>
                <c:pt idx="70">
                  <c:v>15.859890053527954</c:v>
                </c:pt>
                <c:pt idx="71">
                  <c:v>16.083643683681501</c:v>
                </c:pt>
                <c:pt idx="72">
                  <c:v>16.307319377072091</c:v>
                </c:pt>
                <c:pt idx="73">
                  <c:v>16.53091719085101</c:v>
                </c:pt>
                <c:pt idx="74">
                  <c:v>16.754437182120228</c:v>
                </c:pt>
                <c:pt idx="75">
                  <c:v>16.977879407932448</c:v>
                </c:pt>
                <c:pt idx="76">
                  <c:v>17.201243925291184</c:v>
                </c:pt>
                <c:pt idx="77">
                  <c:v>17.424530791150801</c:v>
                </c:pt>
                <c:pt idx="78">
                  <c:v>17.64774006241657</c:v>
                </c:pt>
                <c:pt idx="79">
                  <c:v>17.870871795944698</c:v>
                </c:pt>
                <c:pt idx="80">
                  <c:v>18.093926048542464</c:v>
                </c:pt>
                <c:pt idx="81">
                  <c:v>18.316902876968175</c:v>
                </c:pt>
                <c:pt idx="82">
                  <c:v>18.539802337931267</c:v>
                </c:pt>
                <c:pt idx="83">
                  <c:v>18.762624488092399</c:v>
                </c:pt>
                <c:pt idx="84">
                  <c:v>18.985369384063425</c:v>
                </c:pt>
                <c:pt idx="85">
                  <c:v>19.208037082407504</c:v>
                </c:pt>
                <c:pt idx="86">
                  <c:v>19.430627639639152</c:v>
                </c:pt>
                <c:pt idx="87">
                  <c:v>19.653141112224279</c:v>
                </c:pt>
                <c:pt idx="88">
                  <c:v>19.875577556580243</c:v>
                </c:pt>
                <c:pt idx="89">
                  <c:v>20.097937029075936</c:v>
                </c:pt>
                <c:pt idx="90">
                  <c:v>20.320219586031783</c:v>
                </c:pt>
                <c:pt idx="91">
                  <c:v>20.542425283719854</c:v>
                </c:pt>
                <c:pt idx="92">
                  <c:v>20.764554178363898</c:v>
                </c:pt>
                <c:pt idx="93">
                  <c:v>20.986606326139352</c:v>
                </c:pt>
                <c:pt idx="94">
                  <c:v>21.208581783173475</c:v>
                </c:pt>
                <c:pt idx="95">
                  <c:v>21.430480605545355</c:v>
                </c:pt>
                <c:pt idx="96">
                  <c:v>21.652302849285952</c:v>
                </c:pt>
                <c:pt idx="97">
                  <c:v>21.874048570378193</c:v>
                </c:pt>
                <c:pt idx="98">
                  <c:v>22.095717824756981</c:v>
                </c:pt>
                <c:pt idx="99">
                  <c:v>22.317310668309283</c:v>
                </c:pt>
                <c:pt idx="100">
                  <c:v>22.538827156874177</c:v>
                </c:pt>
              </c:numCache>
            </c:numRef>
          </c:val>
          <c:smooth val="0"/>
          <c:extLst>
            <c:ext xmlns:c16="http://schemas.microsoft.com/office/drawing/2014/chart" uri="{C3380CC4-5D6E-409C-BE32-E72D297353CC}">
              <c16:uniqueId val="{00000002-E5BE-46CE-908E-4F68425D4B37}"/>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1.0057142857142858</c:v>
                </c:pt>
                <c:pt idx="2">
                  <c:v>1.0057142857142858</c:v>
                </c:pt>
                <c:pt idx="3">
                  <c:v>1.0057142857142858</c:v>
                </c:pt>
                <c:pt idx="4">
                  <c:v>1.0060375466539659</c:v>
                </c:pt>
                <c:pt idx="5">
                  <c:v>1.0075469333174576</c:v>
                </c:pt>
                <c:pt idx="6">
                  <c:v>1.009056319980949</c:v>
                </c:pt>
                <c:pt idx="7">
                  <c:v>1.0105657066444405</c:v>
                </c:pt>
                <c:pt idx="8">
                  <c:v>1.0120750933079321</c:v>
                </c:pt>
                <c:pt idx="9">
                  <c:v>1.0135844799714235</c:v>
                </c:pt>
                <c:pt idx="10">
                  <c:v>1.0150938666349152</c:v>
                </c:pt>
                <c:pt idx="11">
                  <c:v>1.0166032532984066</c:v>
                </c:pt>
                <c:pt idx="12">
                  <c:v>1.018112639961898</c:v>
                </c:pt>
                <c:pt idx="13">
                  <c:v>1.0196220266253897</c:v>
                </c:pt>
                <c:pt idx="14">
                  <c:v>1.0211314132888811</c:v>
                </c:pt>
                <c:pt idx="15">
                  <c:v>1.0226407999523726</c:v>
                </c:pt>
                <c:pt idx="16">
                  <c:v>1.0241501866158642</c:v>
                </c:pt>
                <c:pt idx="17">
                  <c:v>1.0256595732793556</c:v>
                </c:pt>
                <c:pt idx="18">
                  <c:v>1.0271689599428471</c:v>
                </c:pt>
                <c:pt idx="19">
                  <c:v>1.0286783466063387</c:v>
                </c:pt>
                <c:pt idx="20">
                  <c:v>1.0301877332698302</c:v>
                </c:pt>
                <c:pt idx="21">
                  <c:v>1.0316971199333216</c:v>
                </c:pt>
                <c:pt idx="22">
                  <c:v>1.0332065065968132</c:v>
                </c:pt>
                <c:pt idx="23">
                  <c:v>1.0347158932603047</c:v>
                </c:pt>
                <c:pt idx="24">
                  <c:v>1.0362252799237961</c:v>
                </c:pt>
                <c:pt idx="25">
                  <c:v>1.0377346665872877</c:v>
                </c:pt>
                <c:pt idx="26">
                  <c:v>1.0392440532507792</c:v>
                </c:pt>
                <c:pt idx="27">
                  <c:v>1.0407534399142706</c:v>
                </c:pt>
                <c:pt idx="28">
                  <c:v>1.2</c:v>
                </c:pt>
                <c:pt idx="29">
                  <c:v>1.4016881465433051</c:v>
                </c:pt>
                <c:pt idx="30">
                  <c:v>1.6645667809234357</c:v>
                </c:pt>
                <c:pt idx="31">
                  <c:v>1.9274817491991267</c:v>
                </c:pt>
                <c:pt idx="32">
                  <c:v>2.1904333699856249</c:v>
                </c:pt>
                <c:pt idx="33">
                  <c:v>2.4534219622356055</c:v>
                </c:pt>
                <c:pt idx="34">
                  <c:v>2.7164478452407232</c:v>
                </c:pt>
                <c:pt idx="35">
                  <c:v>2.9795113386331509</c:v>
                </c:pt>
                <c:pt idx="36">
                  <c:v>3.2426127623871235</c:v>
                </c:pt>
                <c:pt idx="37">
                  <c:v>3.5057524368204867</c:v>
                </c:pt>
                <c:pt idx="38">
                  <c:v>3.7689306825962516</c:v>
                </c:pt>
                <c:pt idx="39">
                  <c:v>4.0321478207241617</c:v>
                </c:pt>
                <c:pt idx="40">
                  <c:v>4.2954041725622236</c:v>
                </c:pt>
                <c:pt idx="41">
                  <c:v>4.5587000598183218</c:v>
                </c:pt>
                <c:pt idx="42">
                  <c:v>4.8220358045517404</c:v>
                </c:pt>
                <c:pt idx="43">
                  <c:v>5.0854117291747611</c:v>
                </c:pt>
                <c:pt idx="44">
                  <c:v>5.3488281564542355</c:v>
                </c:pt>
                <c:pt idx="45">
                  <c:v>5.6122854095131629</c:v>
                </c:pt>
                <c:pt idx="46">
                  <c:v>5.875783811832278</c:v>
                </c:pt>
                <c:pt idx="47">
                  <c:v>6.139323687251629</c:v>
                </c:pt>
                <c:pt idx="48">
                  <c:v>6.4029053599722054</c:v>
                </c:pt>
                <c:pt idx="49">
                  <c:v>6.6665291545574856</c:v>
                </c:pt>
                <c:pt idx="50">
                  <c:v>6.9301953959350637</c:v>
                </c:pt>
                <c:pt idx="51">
                  <c:v>7.1939044093982591</c:v>
                </c:pt>
                <c:pt idx="52">
                  <c:v>7.4576565206077214</c:v>
                </c:pt>
                <c:pt idx="53">
                  <c:v>7.7214520555930308</c:v>
                </c:pt>
                <c:pt idx="54">
                  <c:v>7.9852913407543245</c:v>
                </c:pt>
                <c:pt idx="55">
                  <c:v>8.24917470286392</c:v>
                </c:pt>
                <c:pt idx="56">
                  <c:v>8.5131024690679524</c:v>
                </c:pt>
                <c:pt idx="57">
                  <c:v>8.7770749668879624</c:v>
                </c:pt>
                <c:pt idx="58">
                  <c:v>9.0410925242225879</c:v>
                </c:pt>
                <c:pt idx="59">
                  <c:v>9.3051554693491472</c:v>
                </c:pt>
                <c:pt idx="60">
                  <c:v>9.5692641309253226</c:v>
                </c:pt>
                <c:pt idx="61">
                  <c:v>9.8334188379907719</c:v>
                </c:pt>
                <c:pt idx="62">
                  <c:v>10.097619919968816</c:v>
                </c:pt>
                <c:pt idx="63">
                  <c:v>10.361867706668066</c:v>
                </c:pt>
                <c:pt idx="64">
                  <c:v>10.626162528284086</c:v>
                </c:pt>
                <c:pt idx="65">
                  <c:v>10.890504715401073</c:v>
                </c:pt>
                <c:pt idx="66">
                  <c:v>11.154894598993501</c:v>
                </c:pt>
                <c:pt idx="67">
                  <c:v>11.419332510427818</c:v>
                </c:pt>
                <c:pt idx="68">
                  <c:v>11.683818781464106</c:v>
                </c:pt>
                <c:pt idx="69">
                  <c:v>11.948353744257757</c:v>
                </c:pt>
                <c:pt idx="70">
                  <c:v>12.212937731361183</c:v>
                </c:pt>
                <c:pt idx="71">
                  <c:v>12.477571075725489</c:v>
                </c:pt>
                <c:pt idx="72">
                  <c:v>12.742254110702145</c:v>
                </c:pt>
                <c:pt idx="73">
                  <c:v>13.006987170044749</c:v>
                </c:pt>
                <c:pt idx="74">
                  <c:v>13.271770587910662</c:v>
                </c:pt>
                <c:pt idx="75">
                  <c:v>13.536604698862748</c:v>
                </c:pt>
                <c:pt idx="76">
                  <c:v>13.801489837871076</c:v>
                </c:pt>
                <c:pt idx="77">
                  <c:v>14.066426340314678</c:v>
                </c:pt>
                <c:pt idx="78">
                  <c:v>14.331414541983193</c:v>
                </c:pt>
                <c:pt idx="79">
                  <c:v>14.596454779078641</c:v>
                </c:pt>
                <c:pt idx="80">
                  <c:v>14.86154738821719</c:v>
                </c:pt>
                <c:pt idx="81">
                  <c:v>15.126692706430807</c:v>
                </c:pt>
                <c:pt idx="82">
                  <c:v>15.391891071169047</c:v>
                </c:pt>
                <c:pt idx="83">
                  <c:v>15.657142820300811</c:v>
                </c:pt>
                <c:pt idx="84">
                  <c:v>15.922448292116062</c:v>
                </c:pt>
                <c:pt idx="85">
                  <c:v>16.187807825327592</c:v>
                </c:pt>
                <c:pt idx="86">
                  <c:v>16.453221759072797</c:v>
                </c:pt>
                <c:pt idx="87">
                  <c:v>16.718690432915405</c:v>
                </c:pt>
                <c:pt idx="88">
                  <c:v>16.984214186847272</c:v>
                </c:pt>
                <c:pt idx="89">
                  <c:v>17.249793361290173</c:v>
                </c:pt>
                <c:pt idx="90">
                  <c:v>17.515428297097522</c:v>
                </c:pt>
                <c:pt idx="91">
                  <c:v>17.781119335556191</c:v>
                </c:pt>
                <c:pt idx="92">
                  <c:v>18.046866818388331</c:v>
                </c:pt>
                <c:pt idx="93">
                  <c:v>18.312671087753081</c:v>
                </c:pt>
                <c:pt idx="94">
                  <c:v>18.578532486248449</c:v>
                </c:pt>
                <c:pt idx="95">
                  <c:v>18.844451356913083</c:v>
                </c:pt>
                <c:pt idx="96">
                  <c:v>19.11042804322804</c:v>
                </c:pt>
                <c:pt idx="97">
                  <c:v>19.37646288911867</c:v>
                </c:pt>
                <c:pt idx="98">
                  <c:v>19.642556238956381</c:v>
                </c:pt>
                <c:pt idx="99">
                  <c:v>19.90870843756047</c:v>
                </c:pt>
                <c:pt idx="100">
                  <c:v>20.174919830199972</c:v>
                </c:pt>
              </c:numCache>
            </c:numRef>
          </c:val>
          <c:smooth val="0"/>
          <c:extLst>
            <c:ext xmlns:c16="http://schemas.microsoft.com/office/drawing/2014/chart" uri="{C3380CC4-5D6E-409C-BE32-E72D297353CC}">
              <c16:uniqueId val="{00000000-DC32-4242-87FA-45A0737872EA}"/>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Dual'!$AJ$5:$AJ$105</c:f>
              <c:numCache>
                <c:formatCode>0.000</c:formatCode>
                <c:ptCount val="101"/>
                <c:pt idx="0">
                  <c:v>1.0057142857142858</c:v>
                </c:pt>
                <c:pt idx="1">
                  <c:v>1.0057142857142858</c:v>
                </c:pt>
                <c:pt idx="2">
                  <c:v>1.0057142857142858</c:v>
                </c:pt>
                <c:pt idx="3">
                  <c:v>1.0057142857142858</c:v>
                </c:pt>
                <c:pt idx="4">
                  <c:v>1.0060375466539659</c:v>
                </c:pt>
                <c:pt idx="5">
                  <c:v>1.0075469333174576</c:v>
                </c:pt>
                <c:pt idx="6">
                  <c:v>1.009056319980949</c:v>
                </c:pt>
                <c:pt idx="7">
                  <c:v>1.0105657066444405</c:v>
                </c:pt>
                <c:pt idx="8">
                  <c:v>1.0120750933079321</c:v>
                </c:pt>
                <c:pt idx="9">
                  <c:v>1.0135844799714235</c:v>
                </c:pt>
                <c:pt idx="10">
                  <c:v>1.0150938666349152</c:v>
                </c:pt>
                <c:pt idx="11">
                  <c:v>1.0166032532984066</c:v>
                </c:pt>
                <c:pt idx="12">
                  <c:v>1.018112639961898</c:v>
                </c:pt>
                <c:pt idx="13">
                  <c:v>1.0196220266253897</c:v>
                </c:pt>
                <c:pt idx="14">
                  <c:v>1.0211314132888811</c:v>
                </c:pt>
                <c:pt idx="15">
                  <c:v>1.0226407999523726</c:v>
                </c:pt>
                <c:pt idx="16">
                  <c:v>1.0241501866158642</c:v>
                </c:pt>
                <c:pt idx="17">
                  <c:v>1.0256595732793556</c:v>
                </c:pt>
                <c:pt idx="18">
                  <c:v>1.0271689599428471</c:v>
                </c:pt>
                <c:pt idx="19">
                  <c:v>1.0286783466063387</c:v>
                </c:pt>
                <c:pt idx="20">
                  <c:v>1.0301877332698302</c:v>
                </c:pt>
                <c:pt idx="21">
                  <c:v>1.0316971199333216</c:v>
                </c:pt>
                <c:pt idx="22">
                  <c:v>1.0332065065968132</c:v>
                </c:pt>
                <c:pt idx="23">
                  <c:v>1.0347158932603047</c:v>
                </c:pt>
                <c:pt idx="24">
                  <c:v>1.0362252799237961</c:v>
                </c:pt>
                <c:pt idx="25">
                  <c:v>1.0377346665872877</c:v>
                </c:pt>
                <c:pt idx="26">
                  <c:v>1.0392440532507792</c:v>
                </c:pt>
                <c:pt idx="27">
                  <c:v>1.0407534399142706</c:v>
                </c:pt>
                <c:pt idx="28">
                  <c:v>1.0422628265777623</c:v>
                </c:pt>
                <c:pt idx="29">
                  <c:v>1.0437722132412537</c:v>
                </c:pt>
                <c:pt idx="30">
                  <c:v>1.0452815999047451</c:v>
                </c:pt>
                <c:pt idx="31">
                  <c:v>1.0467909865682368</c:v>
                </c:pt>
                <c:pt idx="32">
                  <c:v>1.0483003732317282</c:v>
                </c:pt>
                <c:pt idx="33">
                  <c:v>1.0498097598952199</c:v>
                </c:pt>
                <c:pt idx="34">
                  <c:v>1.0513191465587113</c:v>
                </c:pt>
                <c:pt idx="35">
                  <c:v>1.0528285332222027</c:v>
                </c:pt>
                <c:pt idx="36">
                  <c:v>1.0543379198856944</c:v>
                </c:pt>
                <c:pt idx="37">
                  <c:v>1.0558473065491858</c:v>
                </c:pt>
                <c:pt idx="38">
                  <c:v>1.0573566932126772</c:v>
                </c:pt>
                <c:pt idx="39">
                  <c:v>1.0588660798761689</c:v>
                </c:pt>
                <c:pt idx="40">
                  <c:v>1.2</c:v>
                </c:pt>
                <c:pt idx="41">
                  <c:v>1.2151000306455839</c:v>
                </c:pt>
                <c:pt idx="42">
                  <c:v>1.3949044158666419</c:v>
                </c:pt>
                <c:pt idx="43">
                  <c:v>1.5746508722781791</c:v>
                </c:pt>
                <c:pt idx="44">
                  <c:v>1.7543394521251039</c:v>
                </c:pt>
                <c:pt idx="45">
                  <c:v>1.9339702076072942</c:v>
                </c:pt>
                <c:pt idx="46">
                  <c:v>2.1135431908796352</c:v>
                </c:pt>
                <c:pt idx="47">
                  <c:v>2.293058454052094</c:v>
                </c:pt>
                <c:pt idx="48">
                  <c:v>2.47251604918978</c:v>
                </c:pt>
                <c:pt idx="49">
                  <c:v>2.6519160283129835</c:v>
                </c:pt>
                <c:pt idx="50">
                  <c:v>2.8312584433972434</c:v>
                </c:pt>
                <c:pt idx="51">
                  <c:v>3.0105433463734075</c:v>
                </c:pt>
                <c:pt idx="52">
                  <c:v>3.1897707891276856</c:v>
                </c:pt>
                <c:pt idx="53">
                  <c:v>3.3689408235017062</c:v>
                </c:pt>
                <c:pt idx="54">
                  <c:v>3.5480535012925554</c:v>
                </c:pt>
                <c:pt idx="55">
                  <c:v>3.7271088742528837</c:v>
                </c:pt>
                <c:pt idx="56">
                  <c:v>3.9061069940909023</c:v>
                </c:pt>
                <c:pt idx="57">
                  <c:v>4.0850479124704737</c:v>
                </c:pt>
                <c:pt idx="58">
                  <c:v>4.2639316810111669</c:v>
                </c:pt>
                <c:pt idx="59">
                  <c:v>4.4427583512883038</c:v>
                </c:pt>
                <c:pt idx="60">
                  <c:v>4.6215279748330138</c:v>
                </c:pt>
                <c:pt idx="61">
                  <c:v>4.8002406031323082</c:v>
                </c:pt>
                <c:pt idx="62">
                  <c:v>4.9788962876291034</c:v>
                </c:pt>
                <c:pt idx="63">
                  <c:v>5.1574950797223185</c:v>
                </c:pt>
                <c:pt idx="64">
                  <c:v>5.3360370307668887</c:v>
                </c:pt>
                <c:pt idx="65">
                  <c:v>5.5145221920738594</c:v>
                </c:pt>
                <c:pt idx="66">
                  <c:v>5.6929506149104112</c:v>
                </c:pt>
                <c:pt idx="67">
                  <c:v>5.8713223504999386</c:v>
                </c:pt>
                <c:pt idx="68">
                  <c:v>6.0496374500220833</c:v>
                </c:pt>
                <c:pt idx="69">
                  <c:v>6.2278959646128067</c:v>
                </c:pt>
                <c:pt idx="70">
                  <c:v>6.4060979453644498</c:v>
                </c:pt>
                <c:pt idx="71">
                  <c:v>6.5842434433257635</c:v>
                </c:pt>
                <c:pt idx="72">
                  <c:v>6.7623325095019862</c:v>
                </c:pt>
                <c:pt idx="73">
                  <c:v>6.9403651948548912</c:v>
                </c:pt>
                <c:pt idx="74">
                  <c:v>7.1183415503028415</c:v>
                </c:pt>
                <c:pt idx="75">
                  <c:v>7.2962616267208471</c:v>
                </c:pt>
                <c:pt idx="76">
                  <c:v>7.4741254749406174</c:v>
                </c:pt>
                <c:pt idx="77">
                  <c:v>7.6519331457506174</c:v>
                </c:pt>
                <c:pt idx="78">
                  <c:v>7.8296846898961201</c:v>
                </c:pt>
                <c:pt idx="79">
                  <c:v>8.0073801580792612</c:v>
                </c:pt>
                <c:pt idx="80">
                  <c:v>8.1850196009591052</c:v>
                </c:pt>
                <c:pt idx="81">
                  <c:v>8.3626030691516817</c:v>
                </c:pt>
                <c:pt idx="82">
                  <c:v>8.5401306132300441</c:v>
                </c:pt>
                <c:pt idx="83">
                  <c:v>8.7176022837243448</c:v>
                </c:pt>
                <c:pt idx="84">
                  <c:v>8.8950181311218603</c:v>
                </c:pt>
                <c:pt idx="85">
                  <c:v>9.0723782058670572</c:v>
                </c:pt>
                <c:pt idx="86">
                  <c:v>9.249682558361652</c:v>
                </c:pt>
                <c:pt idx="87">
                  <c:v>9.4269312389646647</c:v>
                </c:pt>
                <c:pt idx="88">
                  <c:v>9.6041242979924508</c:v>
                </c:pt>
                <c:pt idx="89">
                  <c:v>9.7812617857187956</c:v>
                </c:pt>
                <c:pt idx="90">
                  <c:v>9.9583437523749332</c:v>
                </c:pt>
                <c:pt idx="91">
                  <c:v>10.135370248149604</c:v>
                </c:pt>
                <c:pt idx="92">
                  <c:v>10.312341323189147</c:v>
                </c:pt>
                <c:pt idx="93">
                  <c:v>10.489257027597485</c:v>
                </c:pt>
                <c:pt idx="94">
                  <c:v>10.666117411436229</c:v>
                </c:pt>
                <c:pt idx="95">
                  <c:v>10.842922524724752</c:v>
                </c:pt>
                <c:pt idx="96">
                  <c:v>11.019672417440159</c:v>
                </c:pt>
                <c:pt idx="97">
                  <c:v>11.196367139517417</c:v>
                </c:pt>
                <c:pt idx="98">
                  <c:v>11.373006740849386</c:v>
                </c:pt>
                <c:pt idx="99">
                  <c:v>11.549591271286845</c:v>
                </c:pt>
                <c:pt idx="100">
                  <c:v>11.726120780638608</c:v>
                </c:pt>
              </c:numCache>
            </c:numRef>
          </c:val>
          <c:smooth val="0"/>
          <c:extLst>
            <c:ext xmlns:c16="http://schemas.microsoft.com/office/drawing/2014/chart" uri="{C3380CC4-5D6E-409C-BE32-E72D297353CC}">
              <c16:uniqueId val="{00000001-DC32-4242-87FA-45A0737872EA}"/>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1.0057142857142858</c:v>
                </c:pt>
                <c:pt idx="2">
                  <c:v>1.0057142857142858</c:v>
                </c:pt>
                <c:pt idx="3">
                  <c:v>1.0057142857142858</c:v>
                </c:pt>
                <c:pt idx="4">
                  <c:v>1.0060368068277339</c:v>
                </c:pt>
                <c:pt idx="5">
                  <c:v>1.0075460085346675</c:v>
                </c:pt>
                <c:pt idx="6">
                  <c:v>1.0090552102416008</c:v>
                </c:pt>
                <c:pt idx="7">
                  <c:v>1.0105644119485344</c:v>
                </c:pt>
                <c:pt idx="8">
                  <c:v>1.0120736136554678</c:v>
                </c:pt>
                <c:pt idx="9">
                  <c:v>1.0135828153624014</c:v>
                </c:pt>
                <c:pt idx="10">
                  <c:v>1.0150920170693347</c:v>
                </c:pt>
                <c:pt idx="11">
                  <c:v>1.0166012187762683</c:v>
                </c:pt>
                <c:pt idx="12">
                  <c:v>1.0181104204832017</c:v>
                </c:pt>
                <c:pt idx="13">
                  <c:v>1.0196196221901352</c:v>
                </c:pt>
                <c:pt idx="14">
                  <c:v>1.0211288238970686</c:v>
                </c:pt>
                <c:pt idx="15">
                  <c:v>1.0226380256040022</c:v>
                </c:pt>
                <c:pt idx="16">
                  <c:v>1.0241472273109355</c:v>
                </c:pt>
                <c:pt idx="17">
                  <c:v>1.0256564290178691</c:v>
                </c:pt>
                <c:pt idx="18">
                  <c:v>1.0271656307248025</c:v>
                </c:pt>
                <c:pt idx="19">
                  <c:v>1.0286748324317361</c:v>
                </c:pt>
                <c:pt idx="20">
                  <c:v>1.0301840341386694</c:v>
                </c:pt>
                <c:pt idx="21">
                  <c:v>1.031693235845603</c:v>
                </c:pt>
                <c:pt idx="22">
                  <c:v>1.0332024375525364</c:v>
                </c:pt>
                <c:pt idx="23">
                  <c:v>1.03471163925947</c:v>
                </c:pt>
                <c:pt idx="24">
                  <c:v>1.0362208409664033</c:v>
                </c:pt>
                <c:pt idx="25">
                  <c:v>1.0377300426733369</c:v>
                </c:pt>
                <c:pt idx="26">
                  <c:v>1.0392392443802703</c:v>
                </c:pt>
                <c:pt idx="27">
                  <c:v>1.0407484460872038</c:v>
                </c:pt>
                <c:pt idx="28">
                  <c:v>1.0422576477941372</c:v>
                </c:pt>
                <c:pt idx="29">
                  <c:v>1.0437668495010708</c:v>
                </c:pt>
                <c:pt idx="30">
                  <c:v>1.0452760512080044</c:v>
                </c:pt>
                <c:pt idx="31">
                  <c:v>1.0467852529149377</c:v>
                </c:pt>
                <c:pt idx="32">
                  <c:v>1.0482944546218711</c:v>
                </c:pt>
                <c:pt idx="33">
                  <c:v>1.0498036563288047</c:v>
                </c:pt>
                <c:pt idx="34">
                  <c:v>1.0513128580357383</c:v>
                </c:pt>
                <c:pt idx="35">
                  <c:v>1.0528220597426716</c:v>
                </c:pt>
                <c:pt idx="36">
                  <c:v>1.054331261449605</c:v>
                </c:pt>
                <c:pt idx="37">
                  <c:v>1.0558404631565386</c:v>
                </c:pt>
                <c:pt idx="38">
                  <c:v>1.0573496648634721</c:v>
                </c:pt>
                <c:pt idx="39">
                  <c:v>1.0588588665704055</c:v>
                </c:pt>
                <c:pt idx="40">
                  <c:v>1.0603680682773391</c:v>
                </c:pt>
                <c:pt idx="41">
                  <c:v>1.0618772699842725</c:v>
                </c:pt>
                <c:pt idx="42">
                  <c:v>1.0633965576783824</c:v>
                </c:pt>
                <c:pt idx="43">
                  <c:v>1.2</c:v>
                </c:pt>
                <c:pt idx="44">
                  <c:v>1.2109270065957631</c:v>
                </c:pt>
                <c:pt idx="45">
                  <c:v>1.3781864206501229</c:v>
                </c:pt>
                <c:pt idx="46">
                  <c:v>1.5453869901198689</c:v>
                </c:pt>
                <c:pt idx="47">
                  <c:v>1.7125287583036517</c:v>
                </c:pt>
                <c:pt idx="48">
                  <c:v>1.879611768462516</c:v>
                </c:pt>
                <c:pt idx="49">
                  <c:v>2.0466360638199088</c:v>
                </c:pt>
                <c:pt idx="50">
                  <c:v>2.2136016875617628</c:v>
                </c:pt>
                <c:pt idx="51">
                  <c:v>2.3805086828365134</c:v>
                </c:pt>
                <c:pt idx="52">
                  <c:v>2.5473570927551474</c:v>
                </c:pt>
                <c:pt idx="53">
                  <c:v>2.7141469603912505</c:v>
                </c:pt>
                <c:pt idx="54">
                  <c:v>2.8808783287810416</c:v>
                </c:pt>
                <c:pt idx="55">
                  <c:v>3.0475512409234202</c:v>
                </c:pt>
                <c:pt idx="56">
                  <c:v>3.2141657397800163</c:v>
                </c:pt>
                <c:pt idx="57">
                  <c:v>3.3807218682752023</c:v>
                </c:pt>
                <c:pt idx="58">
                  <c:v>3.5472196692961822</c:v>
                </c:pt>
                <c:pt idx="59">
                  <c:v>3.7136591856929826</c:v>
                </c:pt>
                <c:pt idx="60">
                  <c:v>3.8800404602785408</c:v>
                </c:pt>
                <c:pt idx="61">
                  <c:v>4.0463635358287116</c:v>
                </c:pt>
                <c:pt idx="62">
                  <c:v>4.2126284550823305</c:v>
                </c:pt>
                <c:pt idx="63">
                  <c:v>4.3788352607412468</c:v>
                </c:pt>
                <c:pt idx="64">
                  <c:v>4.5449839954703597</c:v>
                </c:pt>
                <c:pt idx="65">
                  <c:v>4.7110747018976786</c:v>
                </c:pt>
                <c:pt idx="66">
                  <c:v>4.8771074226143467</c:v>
                </c:pt>
                <c:pt idx="67">
                  <c:v>5.0430822001746858</c:v>
                </c:pt>
                <c:pt idx="68">
                  <c:v>5.2089990770962489</c:v>
                </c:pt>
                <c:pt idx="69">
                  <c:v>5.3748580958598442</c:v>
                </c:pt>
                <c:pt idx="70">
                  <c:v>5.5406592989095955</c:v>
                </c:pt>
                <c:pt idx="71">
                  <c:v>5.7064027286529644</c:v>
                </c:pt>
                <c:pt idx="72">
                  <c:v>5.8720884274608078</c:v>
                </c:pt>
                <c:pt idx="73">
                  <c:v>6.0377164376674148</c:v>
                </c:pt>
                <c:pt idx="74">
                  <c:v>6.2032868015705391</c:v>
                </c:pt>
                <c:pt idx="75">
                  <c:v>6.3687995614314437</c:v>
                </c:pt>
                <c:pt idx="76">
                  <c:v>6.5342547594749512</c:v>
                </c:pt>
                <c:pt idx="77">
                  <c:v>6.6996524378894824</c:v>
                </c:pt>
                <c:pt idx="78">
                  <c:v>6.864992638827089</c:v>
                </c:pt>
                <c:pt idx="79">
                  <c:v>7.0302754044034801</c:v>
                </c:pt>
                <c:pt idx="80">
                  <c:v>7.1955007766981218</c:v>
                </c:pt>
                <c:pt idx="81">
                  <c:v>7.3606687977542045</c:v>
                </c:pt>
                <c:pt idx="82">
                  <c:v>7.5257795095787161</c:v>
                </c:pt>
                <c:pt idx="83">
                  <c:v>7.6908329541425182</c:v>
                </c:pt>
                <c:pt idx="84">
                  <c:v>7.8558291733803154</c:v>
                </c:pt>
                <c:pt idx="85">
                  <c:v>8.0207682091907433</c:v>
                </c:pt>
                <c:pt idx="86">
                  <c:v>8.1856501034364086</c:v>
                </c:pt>
                <c:pt idx="87">
                  <c:v>8.3504748979439096</c:v>
                </c:pt>
                <c:pt idx="88">
                  <c:v>8.515242634503883</c:v>
                </c:pt>
                <c:pt idx="89">
                  <c:v>8.6799533548710635</c:v>
                </c:pt>
                <c:pt idx="90">
                  <c:v>8.8446071007642821</c:v>
                </c:pt>
                <c:pt idx="91">
                  <c:v>9.0092039138665587</c:v>
                </c:pt>
                <c:pt idx="92">
                  <c:v>9.1737438358251104</c:v>
                </c:pt>
                <c:pt idx="93">
                  <c:v>9.3382269082513716</c:v>
                </c:pt>
                <c:pt idx="94">
                  <c:v>9.5026531727210912</c:v>
                </c:pt>
                <c:pt idx="95">
                  <c:v>9.6670226707743367</c:v>
                </c:pt>
                <c:pt idx="96">
                  <c:v>9.8313354439155187</c:v>
                </c:pt>
                <c:pt idx="97">
                  <c:v>9.9955915336134744</c:v>
                </c:pt>
                <c:pt idx="98">
                  <c:v>10.159790981301466</c:v>
                </c:pt>
                <c:pt idx="99">
                  <c:v>10.323933828377244</c:v>
                </c:pt>
                <c:pt idx="100">
                  <c:v>10.488020116203092</c:v>
                </c:pt>
              </c:numCache>
            </c:numRef>
          </c:val>
          <c:smooth val="0"/>
          <c:extLst>
            <c:ext xmlns:c16="http://schemas.microsoft.com/office/drawing/2014/chart" uri="{C3380CC4-5D6E-409C-BE32-E72D297353CC}">
              <c16:uniqueId val="{00000002-DC32-4242-87FA-45A0737872EA}"/>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Dual'!$CB$5:$CB$105</c:f>
              <c:numCache>
                <c:formatCode>0.00</c:formatCode>
                <c:ptCount val="101"/>
                <c:pt idx="0">
                  <c:v>1.5170781458143964E-6</c:v>
                </c:pt>
                <c:pt idx="1">
                  <c:v>49.044631935530568</c:v>
                </c:pt>
                <c:pt idx="2">
                  <c:v>64.923754629935232</c:v>
                </c:pt>
                <c:pt idx="3">
                  <c:v>72.778091595844913</c:v>
                </c:pt>
                <c:pt idx="4">
                  <c:v>77.364889525199203</c:v>
                </c:pt>
                <c:pt idx="5">
                  <c:v>80.085400519757926</c:v>
                </c:pt>
                <c:pt idx="6">
                  <c:v>81.995330299583046</c:v>
                </c:pt>
                <c:pt idx="7">
                  <c:v>83.404117179872983</c:v>
                </c:pt>
                <c:pt idx="8">
                  <c:v>84.481103163964093</c:v>
                </c:pt>
                <c:pt idx="9">
                  <c:v>85.326782231383035</c:v>
                </c:pt>
                <c:pt idx="10">
                  <c:v>86.004577753121652</c:v>
                </c:pt>
                <c:pt idx="11">
                  <c:v>86.556504499990268</c:v>
                </c:pt>
                <c:pt idx="12">
                  <c:v>87.011507431738707</c:v>
                </c:pt>
                <c:pt idx="13">
                  <c:v>87.390183618496977</c:v>
                </c:pt>
                <c:pt idx="14">
                  <c:v>87.707594324339553</c:v>
                </c:pt>
                <c:pt idx="15">
                  <c:v>87.975011649426833</c:v>
                </c:pt>
                <c:pt idx="16">
                  <c:v>88.201042783662558</c:v>
                </c:pt>
                <c:pt idx="17">
                  <c:v>88.392376157408137</c:v>
                </c:pt>
                <c:pt idx="18">
                  <c:v>88.554290004237842</c:v>
                </c:pt>
                <c:pt idx="19">
                  <c:v>88.691007173136754</c:v>
                </c:pt>
                <c:pt idx="20">
                  <c:v>88.80594783587884</c:v>
                </c:pt>
                <c:pt idx="21">
                  <c:v>88.901912813723428</c:v>
                </c:pt>
                <c:pt idx="22">
                  <c:v>88.981218783985213</c:v>
                </c:pt>
                <c:pt idx="23">
                  <c:v>89.045799492129703</c:v>
                </c:pt>
                <c:pt idx="24">
                  <c:v>89.097282545713469</c:v>
                </c:pt>
                <c:pt idx="25">
                  <c:v>89.137048401885494</c:v>
                </c:pt>
                <c:pt idx="26">
                  <c:v>89.166276189733594</c:v>
                </c:pt>
                <c:pt idx="27">
                  <c:v>89.185979675342068</c:v>
                </c:pt>
                <c:pt idx="28">
                  <c:v>89.19703576011463</c:v>
                </c:pt>
                <c:pt idx="29">
                  <c:v>89.2002072622535</c:v>
                </c:pt>
                <c:pt idx="30">
                  <c:v>89.196161277563121</c:v>
                </c:pt>
                <c:pt idx="31">
                  <c:v>89.185484090250327</c:v>
                </c:pt>
                <c:pt idx="32">
                  <c:v>89.168693368080199</c:v>
                </c:pt>
                <c:pt idx="33">
                  <c:v>89.146248202763601</c:v>
                </c:pt>
                <c:pt idx="34">
                  <c:v>89.118557427767954</c:v>
                </c:pt>
                <c:pt idx="35">
                  <c:v>89.085986549359433</c:v>
                </c:pt>
                <c:pt idx="36">
                  <c:v>89.048863553835957</c:v>
                </c:pt>
                <c:pt idx="37">
                  <c:v>89.0074837983789</c:v>
                </c:pt>
                <c:pt idx="38">
                  <c:v>88.962114150278936</c:v>
                </c:pt>
                <c:pt idx="39">
                  <c:v>88.912996506253279</c:v>
                </c:pt>
                <c:pt idx="40">
                  <c:v>89.013922551544795</c:v>
                </c:pt>
                <c:pt idx="41">
                  <c:v>89.340571163908251</c:v>
                </c:pt>
                <c:pt idx="42">
                  <c:v>89.369408881217282</c:v>
                </c:pt>
                <c:pt idx="43">
                  <c:v>89.39336721410065</c:v>
                </c:pt>
                <c:pt idx="44">
                  <c:v>89.412693327951203</c:v>
                </c:pt>
                <c:pt idx="45">
                  <c:v>89.427610754147523</c:v>
                </c:pt>
                <c:pt idx="46">
                  <c:v>89.438321703915591</c:v>
                </c:pt>
                <c:pt idx="47">
                  <c:v>89.445009095622424</c:v>
                </c:pt>
                <c:pt idx="48">
                  <c:v>89.447838334716153</c:v>
                </c:pt>
                <c:pt idx="49">
                  <c:v>89.446958879412307</c:v>
                </c:pt>
                <c:pt idx="50">
                  <c:v>89.442505620156183</c:v>
                </c:pt>
                <c:pt idx="51">
                  <c:v>89.434600096668248</c:v>
                </c:pt>
                <c:pt idx="52">
                  <c:v>89.423351572852383</c:v>
                </c:pt>
                <c:pt idx="53">
                  <c:v>89.408857986885366</c:v>
                </c:pt>
                <c:pt idx="54">
                  <c:v>89.391206791312612</c:v>
                </c:pt>
                <c:pt idx="55">
                  <c:v>89.37047569586754</c:v>
                </c:pt>
                <c:pt idx="56">
                  <c:v>89.346733323943468</c:v>
                </c:pt>
                <c:pt idx="57">
                  <c:v>89.32003979212304</c:v>
                </c:pt>
                <c:pt idx="58">
                  <c:v>89.290447220869268</c:v>
                </c:pt>
                <c:pt idx="59">
                  <c:v>89.258000183362782</c:v>
                </c:pt>
                <c:pt idx="60">
                  <c:v>89.222736098508165</c:v>
                </c:pt>
                <c:pt idx="61">
                  <c:v>89.184685573297571</c:v>
                </c:pt>
                <c:pt idx="62">
                  <c:v>89.143872698994713</c:v>
                </c:pt>
                <c:pt idx="63">
                  <c:v>89.100315304968987</c:v>
                </c:pt>
                <c:pt idx="64">
                  <c:v>89.054025173451677</c:v>
                </c:pt>
                <c:pt idx="65">
                  <c:v>89.005008217993804</c:v>
                </c:pt>
                <c:pt idx="66">
                  <c:v>88.95326462796605</c:v>
                </c:pt>
                <c:pt idx="67">
                  <c:v>88.898788981047034</c:v>
                </c:pt>
                <c:pt idx="68">
                  <c:v>88.841570325289041</c:v>
                </c:pt>
                <c:pt idx="69">
                  <c:v>88.781592232023968</c:v>
                </c:pt>
                <c:pt idx="70">
                  <c:v>88.718832820569787</c:v>
                </c:pt>
                <c:pt idx="71">
                  <c:v>88.653264755415023</c:v>
                </c:pt>
                <c:pt idx="72">
                  <c:v>88.584855216290109</c:v>
                </c:pt>
                <c:pt idx="73">
                  <c:v>88.513565841276332</c:v>
                </c:pt>
                <c:pt idx="74">
                  <c:v>88.439352642850636</c:v>
                </c:pt>
                <c:pt idx="75">
                  <c:v>88.362165896514284</c:v>
                </c:pt>
                <c:pt idx="76">
                  <c:v>88.281950001402137</c:v>
                </c:pt>
                <c:pt idx="77">
                  <c:v>88.198643312011626</c:v>
                </c:pt>
                <c:pt idx="78">
                  <c:v>88.112177939925274</c:v>
                </c:pt>
                <c:pt idx="79">
                  <c:v>88.022479524120286</c:v>
                </c:pt>
                <c:pt idx="80">
                  <c:v>87.929466968163339</c:v>
                </c:pt>
                <c:pt idx="81">
                  <c:v>87.833052142269665</c:v>
                </c:pt>
                <c:pt idx="82">
                  <c:v>87.733139547860659</c:v>
                </c:pt>
                <c:pt idx="83">
                  <c:v>87.629625941877521</c:v>
                </c:pt>
                <c:pt idx="84">
                  <c:v>87.522399917692113</c:v>
                </c:pt>
                <c:pt idx="85">
                  <c:v>87.411341438996061</c:v>
                </c:pt>
                <c:pt idx="86">
                  <c:v>87.296321322534467</c:v>
                </c:pt>
                <c:pt idx="87">
                  <c:v>87.177200664974421</c:v>
                </c:pt>
                <c:pt idx="88">
                  <c:v>87.05383020854886</c:v>
                </c:pt>
                <c:pt idx="89">
                  <c:v>86.926049639381546</c:v>
                </c:pt>
                <c:pt idx="90">
                  <c:v>86.793686811564541</c:v>
                </c:pt>
                <c:pt idx="91">
                  <c:v>86.656556889109041</c:v>
                </c:pt>
                <c:pt idx="92">
                  <c:v>86.514461396802702</c:v>
                </c:pt>
                <c:pt idx="93">
                  <c:v>86.367187169761067</c:v>
                </c:pt>
                <c:pt idx="94">
                  <c:v>86.214505190025264</c:v>
                </c:pt>
                <c:pt idx="95">
                  <c:v>86.056169296904912</c:v>
                </c:pt>
                <c:pt idx="96">
                  <c:v>85.89191475585109</c:v>
                </c:pt>
                <c:pt idx="97">
                  <c:v>85.721456668422576</c:v>
                </c:pt>
                <c:pt idx="98">
                  <c:v>85.544488203326125</c:v>
                </c:pt>
                <c:pt idx="99">
                  <c:v>85.360678625495694</c:v>
                </c:pt>
                <c:pt idx="100">
                  <c:v>85.128098486507</c:v>
                </c:pt>
              </c:numCache>
            </c:numRef>
          </c:val>
          <c:smooth val="0"/>
          <c:extLst>
            <c:ext xmlns:c16="http://schemas.microsoft.com/office/drawing/2014/chart" uri="{C3380CC4-5D6E-409C-BE32-E72D297353CC}">
              <c16:uniqueId val="{00000000-AC8A-4551-AD17-C0E237FEA675}"/>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63.234374999999993</c:v>
                </c:pt>
                <c:pt idx="2">
                  <c:v>126.46874999999999</c:v>
                </c:pt>
                <c:pt idx="3">
                  <c:v>189.70312499999997</c:v>
                </c:pt>
                <c:pt idx="4">
                  <c:v>252.93749999999997</c:v>
                </c:pt>
                <c:pt idx="5">
                  <c:v>316.171875</c:v>
                </c:pt>
                <c:pt idx="6">
                  <c:v>379.40624999999994</c:v>
                </c:pt>
                <c:pt idx="7">
                  <c:v>442.64062499999994</c:v>
                </c:pt>
                <c:pt idx="8">
                  <c:v>505.87499999999994</c:v>
                </c:pt>
                <c:pt idx="9">
                  <c:v>569.10937499999989</c:v>
                </c:pt>
                <c:pt idx="10">
                  <c:v>632.34375</c:v>
                </c:pt>
                <c:pt idx="11">
                  <c:v>695.57812499999989</c:v>
                </c:pt>
                <c:pt idx="12">
                  <c:v>758.81249999999989</c:v>
                </c:pt>
                <c:pt idx="13">
                  <c:v>822.046875</c:v>
                </c:pt>
                <c:pt idx="14">
                  <c:v>885.28124999999989</c:v>
                </c:pt>
                <c:pt idx="15">
                  <c:v>948.51562499999977</c:v>
                </c:pt>
                <c:pt idx="16">
                  <c:v>1011.7499999999999</c:v>
                </c:pt>
                <c:pt idx="17">
                  <c:v>1074.9843749999998</c:v>
                </c:pt>
                <c:pt idx="18">
                  <c:v>1138.2187499999998</c:v>
                </c:pt>
                <c:pt idx="19">
                  <c:v>1201.4531249999998</c:v>
                </c:pt>
                <c:pt idx="20">
                  <c:v>1264.6875</c:v>
                </c:pt>
                <c:pt idx="21">
                  <c:v>1327.921875</c:v>
                </c:pt>
                <c:pt idx="22">
                  <c:v>1391.1562499999998</c:v>
                </c:pt>
                <c:pt idx="23">
                  <c:v>1454.390625</c:v>
                </c:pt>
                <c:pt idx="24">
                  <c:v>1517.6249999999998</c:v>
                </c:pt>
                <c:pt idx="25">
                  <c:v>1580.859375</c:v>
                </c:pt>
                <c:pt idx="26">
                  <c:v>1644.09375</c:v>
                </c:pt>
                <c:pt idx="27">
                  <c:v>1707.3281249999998</c:v>
                </c:pt>
                <c:pt idx="28">
                  <c:v>1770.5624999999998</c:v>
                </c:pt>
                <c:pt idx="29">
                  <c:v>1833.7968749999998</c:v>
                </c:pt>
                <c:pt idx="30">
                  <c:v>1897.0312499999995</c:v>
                </c:pt>
                <c:pt idx="31">
                  <c:v>1960.2656249999998</c:v>
                </c:pt>
                <c:pt idx="32">
                  <c:v>2023.4999999999998</c:v>
                </c:pt>
                <c:pt idx="33">
                  <c:v>2086.734375</c:v>
                </c:pt>
                <c:pt idx="34">
                  <c:v>2149.9687499999995</c:v>
                </c:pt>
                <c:pt idx="35">
                  <c:v>2213.2031249999995</c:v>
                </c:pt>
                <c:pt idx="36">
                  <c:v>2276.4374999999995</c:v>
                </c:pt>
                <c:pt idx="37">
                  <c:v>2339.671875</c:v>
                </c:pt>
                <c:pt idx="38">
                  <c:v>2402.9062499999995</c:v>
                </c:pt>
                <c:pt idx="39">
                  <c:v>2466.140625</c:v>
                </c:pt>
                <c:pt idx="40">
                  <c:v>2529.375</c:v>
                </c:pt>
                <c:pt idx="41">
                  <c:v>2592.6093749999995</c:v>
                </c:pt>
                <c:pt idx="42">
                  <c:v>2655.84375</c:v>
                </c:pt>
                <c:pt idx="43">
                  <c:v>2719.078125</c:v>
                </c:pt>
                <c:pt idx="44">
                  <c:v>2782.3124999999995</c:v>
                </c:pt>
                <c:pt idx="45">
                  <c:v>2845.5468749999995</c:v>
                </c:pt>
                <c:pt idx="46">
                  <c:v>2908.78125</c:v>
                </c:pt>
                <c:pt idx="47">
                  <c:v>2972.0156249999986</c:v>
                </c:pt>
                <c:pt idx="48">
                  <c:v>3035.2499999999995</c:v>
                </c:pt>
                <c:pt idx="49">
                  <c:v>3098.4843750000005</c:v>
                </c:pt>
                <c:pt idx="50">
                  <c:v>3161.71875</c:v>
                </c:pt>
                <c:pt idx="51">
                  <c:v>3224.9531249999995</c:v>
                </c:pt>
                <c:pt idx="52">
                  <c:v>3288.1875</c:v>
                </c:pt>
                <c:pt idx="53">
                  <c:v>3351.421875</c:v>
                </c:pt>
                <c:pt idx="54">
                  <c:v>3414.6562499999995</c:v>
                </c:pt>
                <c:pt idx="55">
                  <c:v>3477.8906249999995</c:v>
                </c:pt>
                <c:pt idx="56">
                  <c:v>3541.1249999999995</c:v>
                </c:pt>
                <c:pt idx="57">
                  <c:v>3604.3593749999991</c:v>
                </c:pt>
                <c:pt idx="58">
                  <c:v>3667.5937499999995</c:v>
                </c:pt>
                <c:pt idx="59">
                  <c:v>3730.8281249999986</c:v>
                </c:pt>
                <c:pt idx="60">
                  <c:v>3794.0624999999991</c:v>
                </c:pt>
                <c:pt idx="61">
                  <c:v>3857.2968749999995</c:v>
                </c:pt>
                <c:pt idx="62">
                  <c:v>3920.5312499999995</c:v>
                </c:pt>
                <c:pt idx="63">
                  <c:v>3983.7656249999991</c:v>
                </c:pt>
                <c:pt idx="64">
                  <c:v>4046.9999999999995</c:v>
                </c:pt>
                <c:pt idx="65">
                  <c:v>4110.234375</c:v>
                </c:pt>
                <c:pt idx="66">
                  <c:v>4173.46875</c:v>
                </c:pt>
                <c:pt idx="67">
                  <c:v>4236.7031249999991</c:v>
                </c:pt>
                <c:pt idx="68">
                  <c:v>4299.9374999999991</c:v>
                </c:pt>
                <c:pt idx="69">
                  <c:v>4363.1718749999991</c:v>
                </c:pt>
                <c:pt idx="70">
                  <c:v>4426.4062499999991</c:v>
                </c:pt>
                <c:pt idx="71">
                  <c:v>4489.640625</c:v>
                </c:pt>
                <c:pt idx="72">
                  <c:v>4552.8749999999991</c:v>
                </c:pt>
                <c:pt idx="73">
                  <c:v>4616.1093749999991</c:v>
                </c:pt>
                <c:pt idx="74">
                  <c:v>4679.34375</c:v>
                </c:pt>
                <c:pt idx="75">
                  <c:v>4742.578125</c:v>
                </c:pt>
                <c:pt idx="76">
                  <c:v>4805.8124999999991</c:v>
                </c:pt>
                <c:pt idx="77">
                  <c:v>4869.046875</c:v>
                </c:pt>
                <c:pt idx="78">
                  <c:v>4932.28125</c:v>
                </c:pt>
                <c:pt idx="79">
                  <c:v>4995.5156249999991</c:v>
                </c:pt>
                <c:pt idx="80">
                  <c:v>5058.75</c:v>
                </c:pt>
                <c:pt idx="81">
                  <c:v>5121.984375</c:v>
                </c:pt>
                <c:pt idx="82">
                  <c:v>5185.2187499999991</c:v>
                </c:pt>
                <c:pt idx="83">
                  <c:v>5248.4531249999982</c:v>
                </c:pt>
                <c:pt idx="84">
                  <c:v>5311.6875</c:v>
                </c:pt>
                <c:pt idx="85">
                  <c:v>5374.9218749999991</c:v>
                </c:pt>
                <c:pt idx="86">
                  <c:v>5438.15625</c:v>
                </c:pt>
                <c:pt idx="87">
                  <c:v>5501.3906249999991</c:v>
                </c:pt>
                <c:pt idx="88">
                  <c:v>5564.6249999999991</c:v>
                </c:pt>
                <c:pt idx="89">
                  <c:v>5627.859375</c:v>
                </c:pt>
                <c:pt idx="90">
                  <c:v>5691.0937499999991</c:v>
                </c:pt>
                <c:pt idx="91">
                  <c:v>5754.3281249999991</c:v>
                </c:pt>
                <c:pt idx="92">
                  <c:v>5817.5625</c:v>
                </c:pt>
                <c:pt idx="93">
                  <c:v>5880.796875</c:v>
                </c:pt>
                <c:pt idx="94">
                  <c:v>5944.0312499999973</c:v>
                </c:pt>
                <c:pt idx="95">
                  <c:v>6007.265625</c:v>
                </c:pt>
                <c:pt idx="96">
                  <c:v>6070.4999999999991</c:v>
                </c:pt>
                <c:pt idx="97">
                  <c:v>6133.7343749999982</c:v>
                </c:pt>
                <c:pt idx="98">
                  <c:v>6196.9687500000009</c:v>
                </c:pt>
                <c:pt idx="99">
                  <c:v>6260.2031249999991</c:v>
                </c:pt>
                <c:pt idx="100">
                  <c:v>6323.4375</c:v>
                </c:pt>
              </c:numCache>
            </c:numRef>
          </c:val>
          <c:smooth val="0"/>
          <c:extLst>
            <c:ext xmlns:c16="http://schemas.microsoft.com/office/drawing/2014/chart" uri="{C3380CC4-5D6E-409C-BE32-E72D297353CC}">
              <c16:uniqueId val="{00000001-AC8A-4551-AD17-C0E237FEA675}"/>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161.66622822490112</c:v>
                </c:pt>
                <c:pt idx="1">
                  <c:v>161.57756183338202</c:v>
                </c:pt>
                <c:pt idx="2">
                  <c:v>161.54089133829874</c:v>
                </c:pt>
                <c:pt idx="3">
                  <c:v>161.51277925606422</c:v>
                </c:pt>
                <c:pt idx="4">
                  <c:v>170.66074917435139</c:v>
                </c:pt>
                <c:pt idx="5">
                  <c:v>213.51229971183284</c:v>
                </c:pt>
                <c:pt idx="6">
                  <c:v>256.43878662873203</c:v>
                </c:pt>
                <c:pt idx="7">
                  <c:v>299.44040666385496</c:v>
                </c:pt>
                <c:pt idx="8">
                  <c:v>342.51735724530459</c:v>
                </c:pt>
                <c:pt idx="9">
                  <c:v>385.66983649350209</c:v>
                </c:pt>
                <c:pt idx="10">
                  <c:v>428.89804322422447</c:v>
                </c:pt>
                <c:pt idx="11">
                  <c:v>472.20217695165758</c:v>
                </c:pt>
                <c:pt idx="12">
                  <c:v>515.58243789146559</c:v>
                </c:pt>
                <c:pt idx="13">
                  <c:v>559.0390269638774</c:v>
                </c:pt>
                <c:pt idx="14">
                  <c:v>602.57214579678748</c:v>
                </c:pt>
                <c:pt idx="15">
                  <c:v>646.18199672887476</c:v>
                </c:pt>
                <c:pt idx="16">
                  <c:v>689.86878281273766</c:v>
                </c:pt>
                <c:pt idx="17">
                  <c:v>733.63270781804533</c:v>
                </c:pt>
                <c:pt idx="18">
                  <c:v>777.47397623470545</c:v>
                </c:pt>
                <c:pt idx="19">
                  <c:v>821.3927932760505</c:v>
                </c:pt>
                <c:pt idx="20">
                  <c:v>865.38936488203774</c:v>
                </c:pt>
                <c:pt idx="21">
                  <c:v>909.46389772247016</c:v>
                </c:pt>
                <c:pt idx="22">
                  <c:v>953.61659920023055</c:v>
                </c:pt>
                <c:pt idx="23">
                  <c:v>997.84767745453655</c:v>
                </c:pt>
                <c:pt idx="24">
                  <c:v>1042.1573413642104</c:v>
                </c:pt>
                <c:pt idx="25">
                  <c:v>1086.5458005509665</c:v>
                </c:pt>
                <c:pt idx="26">
                  <c:v>1131.0132653827186</c:v>
                </c:pt>
                <c:pt idx="27">
                  <c:v>1175.559946976902</c:v>
                </c:pt>
                <c:pt idx="28">
                  <c:v>1220.1860572038136</c:v>
                </c:pt>
                <c:pt idx="29">
                  <c:v>1264.8918086899732</c:v>
                </c:pt>
                <c:pt idx="30">
                  <c:v>1309.6774148214988</c:v>
                </c:pt>
                <c:pt idx="31">
                  <c:v>1354.5430897475035</c:v>
                </c:pt>
                <c:pt idx="32">
                  <c:v>1399.4890483835045</c:v>
                </c:pt>
                <c:pt idx="33">
                  <c:v>1444.5155064148619</c:v>
                </c:pt>
                <c:pt idx="34">
                  <c:v>1489.6226803002198</c:v>
                </c:pt>
                <c:pt idx="35">
                  <c:v>1534.8107872749829</c:v>
                </c:pt>
                <c:pt idx="36">
                  <c:v>1580.0800453548011</c:v>
                </c:pt>
                <c:pt idx="37">
                  <c:v>1625.4306733390736</c:v>
                </c:pt>
                <c:pt idx="38">
                  <c:v>1670.8628908144758</c:v>
                </c:pt>
                <c:pt idx="39">
                  <c:v>1716.3769181585042</c:v>
                </c:pt>
                <c:pt idx="40">
                  <c:v>1729.8078532538227</c:v>
                </c:pt>
                <c:pt idx="41">
                  <c:v>1691.9936400760994</c:v>
                </c:pt>
                <c:pt idx="42">
                  <c:v>1703.7507028672796</c:v>
                </c:pt>
                <c:pt idx="43">
                  <c:v>1715.8751274898611</c:v>
                </c:pt>
                <c:pt idx="44">
                  <c:v>1728.3684684174834</c:v>
                </c:pt>
                <c:pt idx="45">
                  <c:v>1741.232552649695</c:v>
                </c:pt>
                <c:pt idx="46">
                  <c:v>1754.4694650430622</c:v>
                </c:pt>
                <c:pt idx="47">
                  <c:v>1768.0815358960015</c:v>
                </c:pt>
                <c:pt idx="48">
                  <c:v>1782.0713304823191</c:v>
                </c:pt>
                <c:pt idx="49">
                  <c:v>1796.4416402781833</c:v>
                </c:pt>
                <c:pt idx="50">
                  <c:v>1811.1954756682194</c:v>
                </c:pt>
                <c:pt idx="51">
                  <c:v>1826.3360599502887</c:v>
                </c:pt>
                <c:pt idx="52">
                  <c:v>1841.8668244867013</c:v>
                </c:pt>
                <c:pt idx="53">
                  <c:v>1857.7914048730895</c:v>
                </c:pt>
                <c:pt idx="54">
                  <c:v>1874.1136380158596</c:v>
                </c:pt>
                <c:pt idx="55">
                  <c:v>1890.8375600257352</c:v>
                </c:pt>
                <c:pt idx="56">
                  <c:v>1907.9674048488484</c:v>
                </c:pt>
                <c:pt idx="57">
                  <c:v>1925.5076035687514</c:v>
                </c:pt>
                <c:pt idx="58">
                  <c:v>1943.4627843228009</c:v>
                </c:pt>
                <c:pt idx="59">
                  <c:v>1961.8377727850275</c:v>
                </c:pt>
                <c:pt idx="60">
                  <c:v>1980.6375931750122</c:v>
                </c:pt>
                <c:pt idx="61">
                  <c:v>1999.8674697587371</c:v>
                </c:pt>
                <c:pt idx="62">
                  <c:v>2019.5328288128778</c:v>
                </c:pt>
                <c:pt idx="63">
                  <c:v>2039.6393010289278</c:v>
                </c:pt>
                <c:pt idx="64">
                  <c:v>2060.1927243376699</c:v>
                </c:pt>
                <c:pt idx="65">
                  <c:v>2081.1991471384067</c:v>
                </c:pt>
                <c:pt idx="66">
                  <c:v>2102.6648319204883</c:v>
                </c:pt>
                <c:pt idx="67">
                  <c:v>2124.5962592678152</c:v>
                </c:pt>
                <c:pt idx="68">
                  <c:v>2147.0001322394974</c:v>
                </c:pt>
                <c:pt idx="69">
                  <c:v>2169.8833811223653</c:v>
                </c:pt>
                <c:pt idx="70">
                  <c:v>2193.253168553159</c:v>
                </c:pt>
                <c:pt idx="71">
                  <c:v>2217.1168950102624</c:v>
                </c:pt>
                <c:pt idx="72">
                  <c:v>2241.4822046767422</c:v>
                </c:pt>
                <c:pt idx="73">
                  <c:v>2266.3569916781817</c:v>
                </c:pt>
                <c:pt idx="74">
                  <c:v>2291.7494067004727</c:v>
                </c:pt>
                <c:pt idx="75">
                  <c:v>2317.6678639943425</c:v>
                </c:pt>
                <c:pt idx="76">
                  <c:v>2344.121048774884</c:v>
                </c:pt>
                <c:pt idx="77">
                  <c:v>2371.1179250258915</c:v>
                </c:pt>
                <c:pt idx="78">
                  <c:v>2398.667743720242</c:v>
                </c:pt>
                <c:pt idx="79">
                  <c:v>2426.7800514690443</c:v>
                </c:pt>
                <c:pt idx="80">
                  <c:v>2455.4646996136998</c:v>
                </c:pt>
                <c:pt idx="81">
                  <c:v>2484.7318537765204</c:v>
                </c:pt>
                <c:pt idx="82">
                  <c:v>2514.592003887004</c:v>
                </c:pt>
                <c:pt idx="83">
                  <c:v>2545.0559747024131</c:v>
                </c:pt>
                <c:pt idx="84">
                  <c:v>2576.134936842845</c:v>
                </c:pt>
                <c:pt idx="85">
                  <c:v>2607.8404183625939</c:v>
                </c:pt>
                <c:pt idx="86">
                  <c:v>2640.1843168812952</c:v>
                </c:pt>
                <c:pt idx="87">
                  <c:v>2673.1789123000631</c:v>
                </c:pt>
                <c:pt idx="88">
                  <c:v>2706.8368801296724</c:v>
                </c:pt>
                <c:pt idx="89">
                  <c:v>2741.1713054597412</c:v>
                </c:pt>
                <c:pt idx="90">
                  <c:v>2776.1956975998946</c:v>
                </c:pt>
                <c:pt idx="91">
                  <c:v>2811.9240054260031</c:v>
                </c:pt>
                <c:pt idx="92">
                  <c:v>2848.3706334668668</c:v>
                </c:pt>
                <c:pt idx="93">
                  <c:v>2885.5504587690416</c:v>
                </c:pt>
                <c:pt idx="94">
                  <c:v>2923.4788485801455</c:v>
                </c:pt>
                <c:pt idx="95">
                  <c:v>2962.1716788935537</c:v>
                </c:pt>
                <c:pt idx="96">
                  <c:v>3001.6453539003292</c:v>
                </c:pt>
                <c:pt idx="97">
                  <c:v>3041.9168263973374</c:v>
                </c:pt>
                <c:pt idx="98">
                  <c:v>3083.0036192036532</c:v>
                </c:pt>
                <c:pt idx="99">
                  <c:v>3124.9238476409728</c:v>
                </c:pt>
                <c:pt idx="100">
                  <c:v>3167.6962431374491</c:v>
                </c:pt>
              </c:numCache>
            </c:numRef>
          </c:val>
          <c:smooth val="0"/>
          <c:extLst>
            <c:ext xmlns:c16="http://schemas.microsoft.com/office/drawing/2014/chart" uri="{C3380CC4-5D6E-409C-BE32-E72D297353CC}">
              <c16:uniqueId val="{00000002-AC8A-4551-AD17-C0E237FEA675}"/>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1354.4059463279993</c:v>
                </c:pt>
                <c:pt idx="1">
                  <c:v>1354.4059388314777</c:v>
                </c:pt>
                <c:pt idx="2">
                  <c:v>1354.4059357150788</c:v>
                </c:pt>
                <c:pt idx="3">
                  <c:v>1354.4059333194921</c:v>
                </c:pt>
                <c:pt idx="4">
                  <c:v>1355.2638746054924</c:v>
                </c:pt>
                <c:pt idx="5">
                  <c:v>1360.1853279386512</c:v>
                </c:pt>
                <c:pt idx="6">
                  <c:v>1366.7395870060791</c:v>
                </c:pt>
                <c:pt idx="7">
                  <c:v>1375.0829546814568</c:v>
                </c:pt>
                <c:pt idx="8">
                  <c:v>1385.3590789775581</c:v>
                </c:pt>
                <c:pt idx="9">
                  <c:v>1397.7016136987108</c:v>
                </c:pt>
                <c:pt idx="10">
                  <c:v>1412.2360577245825</c:v>
                </c:pt>
                <c:pt idx="11">
                  <c:v>1429.0810900213523</c:v>
                </c:pt>
                <c:pt idx="12">
                  <c:v>1448.3495753092063</c:v>
                </c:pt>
                <c:pt idx="13">
                  <c:v>1470.1493441623306</c:v>
                </c:pt>
                <c:pt idx="14">
                  <c:v>1494.5838126703859</c:v>
                </c:pt>
                <c:pt idx="15">
                  <c:v>1521.7524844173154</c:v>
                </c:pt>
                <c:pt idx="16">
                  <c:v>1551.7513639002925</c:v>
                </c:pt>
                <c:pt idx="17">
                  <c:v>1584.6733018463767</c:v>
                </c:pt>
                <c:pt idx="18">
                  <c:v>1620.608287178266</c:v>
                </c:pt>
                <c:pt idx="19">
                  <c:v>1659.6436965079661</c:v>
                </c:pt>
                <c:pt idx="20">
                  <c:v>1701.8645093397179</c:v>
                </c:pt>
                <c:pt idx="21">
                  <c:v>1747.3534952414475</c:v>
                </c:pt>
                <c:pt idx="22">
                  <c:v>1796.1913778468672</c:v>
                </c:pt>
                <c:pt idx="23">
                  <c:v>1848.4569795165473</c:v>
                </c:pt>
                <c:pt idx="24">
                  <c:v>1904.2273497092176</c:v>
                </c:pt>
                <c:pt idx="25">
                  <c:v>1963.5778795220083</c:v>
                </c:pt>
                <c:pt idx="26">
                  <c:v>2026.582404400684</c:v>
                </c:pt>
                <c:pt idx="27">
                  <c:v>2093.313296663378</c:v>
                </c:pt>
                <c:pt idx="28">
                  <c:v>2163.8415491987416</c:v>
                </c:pt>
                <c:pt idx="29">
                  <c:v>2238.2368514742943</c:v>
                </c:pt>
                <c:pt idx="30">
                  <c:v>2316.567658809332</c:v>
                </c:pt>
                <c:pt idx="31">
                  <c:v>2398.9012557196688</c:v>
                </c:pt>
                <c:pt idx="32">
                  <c:v>2485.3038140211679</c:v>
                </c:pt>
                <c:pt idx="33">
                  <c:v>2575.8404462799472</c:v>
                </c:pt>
                <c:pt idx="34">
                  <c:v>2670.5752551148648</c:v>
                </c:pt>
                <c:pt idx="35">
                  <c:v>2769.5713787895547</c:v>
                </c:pt>
                <c:pt idx="36">
                  <c:v>2872.8910334735156</c:v>
                </c:pt>
                <c:pt idx="37">
                  <c:v>2980.5955525034419</c:v>
                </c:pt>
                <c:pt idx="38">
                  <c:v>3092.7454229346713</c:v>
                </c:pt>
                <c:pt idx="39">
                  <c:v>3209.4003196376466</c:v>
                </c:pt>
                <c:pt idx="40">
                  <c:v>3244.7388897666524</c:v>
                </c:pt>
                <c:pt idx="41">
                  <c:v>3150.9393864437075</c:v>
                </c:pt>
                <c:pt idx="42">
                  <c:v>3234.2449326556275</c:v>
                </c:pt>
                <c:pt idx="43">
                  <c:v>3320.0910029303559</c:v>
                </c:pt>
                <c:pt idx="44">
                  <c:v>3408.5421739780245</c:v>
                </c:pt>
                <c:pt idx="45">
                  <c:v>3499.66522090949</c:v>
                </c:pt>
                <c:pt idx="46">
                  <c:v>3593.5292914839606</c:v>
                </c:pt>
                <c:pt idx="47">
                  <c:v>3690.2060816539206</c:v>
                </c:pt>
                <c:pt idx="48">
                  <c:v>3789.7700138403711</c:v>
                </c:pt>
                <c:pt idx="49">
                  <c:v>3892.2984192719355</c:v>
                </c:pt>
                <c:pt idx="50">
                  <c:v>3997.8717256514824</c:v>
                </c:pt>
                <c:pt idx="51">
                  <c:v>4106.5736513681331</c:v>
                </c:pt>
                <c:pt idx="52">
                  <c:v>4218.4914074486933</c:v>
                </c:pt>
                <c:pt idx="53">
                  <c:v>4333.7159084369387</c:v>
                </c:pt>
                <c:pt idx="54">
                  <c:v>4452.341993401149</c:v>
                </c:pt>
                <c:pt idx="55">
                  <c:v>4574.4686582977938</c:v>
                </c:pt>
                <c:pt idx="56">
                  <c:v>4700.1993009613298</c:v>
                </c:pt>
                <c:pt idx="57">
                  <c:v>4829.6419800475142</c:v>
                </c:pt>
                <c:pt idx="58">
                  <c:v>4962.9096893282112</c:v>
                </c:pt>
                <c:pt idx="59">
                  <c:v>5100.1206488217822</c:v>
                </c:pt>
                <c:pt idx="60">
                  <c:v>5241.3986143436514</c:v>
                </c:pt>
                <c:pt idx="61">
                  <c:v>5386.8732071782351</c:v>
                </c:pt>
                <c:pt idx="62">
                  <c:v>5536.6802657064418</c:v>
                </c:pt>
                <c:pt idx="63">
                  <c:v>5690.9622209744266</c:v>
                </c:pt>
                <c:pt idx="64">
                  <c:v>5849.8684983599869</c:v>
                </c:pt>
                <c:pt idx="65">
                  <c:v>6013.5559476855915</c:v>
                </c:pt>
                <c:pt idx="66">
                  <c:v>6182.1893043430427</c:v>
                </c:pt>
                <c:pt idx="67">
                  <c:v>6355.9416842376277</c:v>
                </c:pt>
                <c:pt idx="68">
                  <c:v>6534.9951156311845</c:v>
                </c:pt>
                <c:pt idx="69">
                  <c:v>6719.5411112688253</c:v>
                </c:pt>
                <c:pt idx="70">
                  <c:v>6909.7812845156586</c:v>
                </c:pt>
                <c:pt idx="71">
                  <c:v>7105.9280136131856</c:v>
                </c:pt>
                <c:pt idx="72">
                  <c:v>7308.205158595918</c:v>
                </c:pt>
                <c:pt idx="73">
                  <c:v>7516.848835891903</c:v>
                </c:pt>
                <c:pt idx="74">
                  <c:v>7732.1082561750827</c:v>
                </c:pt>
                <c:pt idx="75">
                  <c:v>7954.2466316500622</c:v>
                </c:pt>
                <c:pt idx="76">
                  <c:v>8183.5421596403248</c:v>
                </c:pt>
                <c:pt idx="77">
                  <c:v>8420.289090131073</c:v>
                </c:pt>
                <c:pt idx="78">
                  <c:v>8664.7988857998971</c:v>
                </c:pt>
                <c:pt idx="79">
                  <c:v>8917.4014840673135</c:v>
                </c:pt>
                <c:pt idx="80">
                  <c:v>9178.4466718327676</c:v>
                </c:pt>
                <c:pt idx="81">
                  <c:v>9448.3055848494914</c:v>
                </c:pt>
                <c:pt idx="82">
                  <c:v>9727.3723451581554</c:v>
                </c:pt>
                <c:pt idx="83">
                  <c:v>10016.065851671556</c:v>
                </c:pt>
                <c:pt idx="84">
                  <c:v>10314.831740913858</c:v>
                </c:pt>
                <c:pt idx="85">
                  <c:v>10624.144537106349</c:v>
                </c:pt>
                <c:pt idx="86">
                  <c:v>10944.510013302608</c:v>
                </c:pt>
                <c:pt idx="87">
                  <c:v>11276.467788162796</c:v>
                </c:pt>
                <c:pt idx="88">
                  <c:v>11620.594186283934</c:v>
                </c:pt>
                <c:pt idx="89">
                  <c:v>11977.505393844805</c:v>
                </c:pt>
                <c:pt idx="90">
                  <c:v>12347.860945772405</c:v>
                </c:pt>
                <c:pt idx="91">
                  <c:v>12732.367585797694</c:v>
                </c:pt>
                <c:pt idx="92">
                  <c:v>13131.783546773659</c:v>
                </c:pt>
                <c:pt idx="93">
                  <c:v>13546.923305630746</c:v>
                </c:pt>
                <c:pt idx="94">
                  <c:v>13978.662875536462</c:v>
                </c:pt>
                <c:pt idx="95">
                  <c:v>14427.94570742932</c:v>
                </c:pt>
                <c:pt idx="96">
                  <c:v>14895.78928439423</c:v>
                </c:pt>
                <c:pt idx="97">
                  <c:v>15383.292505672032</c:v>
                </c:pt>
                <c:pt idx="98">
                  <c:v>15891.643972862617</c:v>
                </c:pt>
                <c:pt idx="99">
                  <c:v>16422.131309598532</c:v>
                </c:pt>
                <c:pt idx="100">
                  <c:v>16976.151668259721</c:v>
                </c:pt>
              </c:numCache>
            </c:numRef>
          </c:val>
          <c:smooth val="0"/>
          <c:extLst>
            <c:ext xmlns:c16="http://schemas.microsoft.com/office/drawing/2014/chart" uri="{C3380CC4-5D6E-409C-BE32-E72D297353CC}">
              <c16:uniqueId val="{00000003-AC8A-4551-AD17-C0E237FEA675}"/>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0-14B5-4C6D-ADBB-33FE896DCEBE}"/>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1-14B5-4C6D-ADBB-33FE896DCEBE}"/>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2-14B5-4C6D-ADBB-33FE896DCEBE}"/>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B5-4C6D-ADBB-33FE896DCEBE}"/>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B5-4C6D-ADBB-33FE896DCEBE}"/>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B5-4C6D-ADBB-33FE896DCEBE}"/>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6-14B5-4C6D-ADBB-33FE896DCEBE}"/>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7-14B5-4C6D-ADBB-33FE896DCEBE}"/>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8-14B5-4C6D-ADBB-33FE896DCEBE}"/>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14B5-4C6D-ADBB-33FE896DCEBE}"/>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14B5-4C6D-ADBB-33FE896DCEBE}"/>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14B5-4C6D-ADBB-33FE896DCEBE}"/>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0-DE77-4B43-A489-D4421C0BE99A}"/>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1-DE77-4B43-A489-D4421C0BE99A}"/>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2-DE77-4B43-A489-D4421C0BE99A}"/>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DE77-4B43-A489-D4421C0BE99A}"/>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DE77-4B43-A489-D4421C0BE99A}"/>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DE77-4B43-A489-D4421C0BE99A}"/>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2.0689663047052328E-2</c:v>
                </c:pt>
                <c:pt idx="1">
                  <c:v>2.0740266313048688E-2</c:v>
                </c:pt>
                <c:pt idx="2">
                  <c:v>2.0761302730891575E-2</c:v>
                </c:pt>
                <c:pt idx="3">
                  <c:v>2.0777473499779663E-2</c:v>
                </c:pt>
                <c:pt idx="4">
                  <c:v>2.1964864577992609E-2</c:v>
                </c:pt>
                <c:pt idx="5">
                  <c:v>2.7456080722490762E-2</c:v>
                </c:pt>
                <c:pt idx="6">
                  <c:v>3.2947296866988912E-2</c:v>
                </c:pt>
                <c:pt idx="7">
                  <c:v>3.8438513011487069E-2</c:v>
                </c:pt>
                <c:pt idx="8">
                  <c:v>4.3929729155985218E-2</c:v>
                </c:pt>
                <c:pt idx="9">
                  <c:v>4.9420945300483361E-2</c:v>
                </c:pt>
                <c:pt idx="10">
                  <c:v>5.4912161444981525E-2</c:v>
                </c:pt>
                <c:pt idx="11">
                  <c:v>6.0403377589479675E-2</c:v>
                </c:pt>
                <c:pt idx="12">
                  <c:v>6.5894593733977824E-2</c:v>
                </c:pt>
                <c:pt idx="13">
                  <c:v>7.1385809878475981E-2</c:v>
                </c:pt>
                <c:pt idx="14">
                  <c:v>7.6877026022974138E-2</c:v>
                </c:pt>
                <c:pt idx="15">
                  <c:v>8.236824216747228E-2</c:v>
                </c:pt>
                <c:pt idx="16">
                  <c:v>8.7859458311970437E-2</c:v>
                </c:pt>
                <c:pt idx="17">
                  <c:v>9.3350674456468608E-2</c:v>
                </c:pt>
                <c:pt idx="18">
                  <c:v>9.8841890600966723E-2</c:v>
                </c:pt>
                <c:pt idx="19">
                  <c:v>0.10433310674546489</c:v>
                </c:pt>
                <c:pt idx="20">
                  <c:v>0.10982432288996305</c:v>
                </c:pt>
                <c:pt idx="21">
                  <c:v>0.11531553903446121</c:v>
                </c:pt>
                <c:pt idx="22">
                  <c:v>0.12080675517895935</c:v>
                </c:pt>
                <c:pt idx="23">
                  <c:v>0.12629797132345755</c:v>
                </c:pt>
                <c:pt idx="24">
                  <c:v>0.13178918746795565</c:v>
                </c:pt>
                <c:pt idx="25">
                  <c:v>0.13728040361245383</c:v>
                </c:pt>
                <c:pt idx="26">
                  <c:v>0.14277161975695196</c:v>
                </c:pt>
                <c:pt idx="27">
                  <c:v>0.14826283590145012</c:v>
                </c:pt>
                <c:pt idx="28">
                  <c:v>0.15375405204594828</c:v>
                </c:pt>
                <c:pt idx="29">
                  <c:v>0.15924526819044643</c:v>
                </c:pt>
                <c:pt idx="30">
                  <c:v>0.16473648433494456</c:v>
                </c:pt>
                <c:pt idx="31">
                  <c:v>0.17022770047944275</c:v>
                </c:pt>
                <c:pt idx="32">
                  <c:v>0.17571891662394087</c:v>
                </c:pt>
                <c:pt idx="33">
                  <c:v>0.18121013276843909</c:v>
                </c:pt>
                <c:pt idx="34">
                  <c:v>0.18670134891293722</c:v>
                </c:pt>
                <c:pt idx="35">
                  <c:v>0.19219256505743534</c:v>
                </c:pt>
                <c:pt idx="36">
                  <c:v>0.19768378120193345</c:v>
                </c:pt>
                <c:pt idx="37">
                  <c:v>0.20317499734643166</c:v>
                </c:pt>
                <c:pt idx="38">
                  <c:v>0.20866621349092979</c:v>
                </c:pt>
                <c:pt idx="39">
                  <c:v>0.214157429635428</c:v>
                </c:pt>
                <c:pt idx="40">
                  <c:v>0.2158053939609868</c:v>
                </c:pt>
                <c:pt idx="41">
                  <c:v>0.21117019217467309</c:v>
                </c:pt>
                <c:pt idx="42">
                  <c:v>0.21133099593537594</c:v>
                </c:pt>
                <c:pt idx="43">
                  <c:v>0.21148726991220121</c:v>
                </c:pt>
                <c:pt idx="44">
                  <c:v>0.21163931755731175</c:v>
                </c:pt>
                <c:pt idx="45">
                  <c:v>0.21178741584178856</c:v>
                </c:pt>
                <c:pt idx="46">
                  <c:v>0.21193181808258793</c:v>
                </c:pt>
                <c:pt idx="47">
                  <c:v>0.21207275641492404</c:v>
                </c:pt>
                <c:pt idx="48">
                  <c:v>0.2122104439608978</c:v>
                </c:pt>
                <c:pt idx="49">
                  <c:v>0.2123450767370379</c:v>
                </c:pt>
                <c:pt idx="50">
                  <c:v>0.21247683533670422</c:v>
                </c:pt>
                <c:pt idx="51">
                  <c:v>0.21260588641775635</c:v>
                </c:pt>
                <c:pt idx="52">
                  <c:v>0.21273238402128652</c:v>
                </c:pt>
                <c:pt idx="53">
                  <c:v>0.2128564707433819</c:v>
                </c:pt>
                <c:pt idx="54">
                  <c:v>0.21297827877867803</c:v>
                </c:pt>
                <c:pt idx="55">
                  <c:v>0.21309793085177547</c:v>
                </c:pt>
                <c:pt idx="56">
                  <c:v>0.21321554105033153</c:v>
                </c:pt>
                <c:pt idx="57">
                  <c:v>0.21333121557172605</c:v>
                </c:pt>
                <c:pt idx="58">
                  <c:v>0.21344505339358533</c:v>
                </c:pt>
                <c:pt idx="59">
                  <c:v>0.21355714687706936</c:v>
                </c:pt>
                <c:pt idx="60">
                  <c:v>0.21366758231066155</c:v>
                </c:pt>
                <c:pt idx="61">
                  <c:v>0.21377644040119337</c:v>
                </c:pt>
                <c:pt idx="62">
                  <c:v>0.21388379671798394</c:v>
                </c:pt>
                <c:pt idx="63">
                  <c:v>0.21398972209523523</c:v>
                </c:pt>
                <c:pt idx="64">
                  <c:v>0.2140942829971883</c:v>
                </c:pt>
                <c:pt idx="65">
                  <c:v>0.214197541850003</c:v>
                </c:pt>
                <c:pt idx="66">
                  <c:v>0.21429955734384293</c:v>
                </c:pt>
                <c:pt idx="67">
                  <c:v>0.21440038470824263</c:v>
                </c:pt>
                <c:pt idx="68">
                  <c:v>0.21450007596347248</c:v>
                </c:pt>
                <c:pt idx="69">
                  <c:v>0.21459868015030786</c:v>
                </c:pt>
                <c:pt idx="70">
                  <c:v>0.21469624354033653</c:v>
                </c:pt>
                <c:pt idx="71">
                  <c:v>0.21479280982870044</c:v>
                </c:pt>
                <c:pt idx="72">
                  <c:v>0.21488842031096003</c:v>
                </c:pt>
                <c:pt idx="73">
                  <c:v>0.21498311404558706</c:v>
                </c:pt>
                <c:pt idx="74">
                  <c:v>0.21507692800342892</c:v>
                </c:pt>
                <c:pt idx="75">
                  <c:v>0.21516989720534829</c:v>
                </c:pt>
                <c:pt idx="76">
                  <c:v>0.21526205484911459</c:v>
                </c:pt>
                <c:pt idx="77">
                  <c:v>0.21535343242651395</c:v>
                </c:pt>
                <c:pt idx="78">
                  <c:v>0.21544405983154674</c:v>
                </c:pt>
                <c:pt idx="79">
                  <c:v>0.21553396546049317</c:v>
                </c:pt>
                <c:pt idx="80">
                  <c:v>0.21562317630455211</c:v>
                </c:pt>
                <c:pt idx="81">
                  <c:v>0.21571171803568767</c:v>
                </c:pt>
                <c:pt idx="82">
                  <c:v>0.21579961508625783</c:v>
                </c:pt>
                <c:pt idx="83">
                  <c:v>0.21588689072294417</c:v>
                </c:pt>
                <c:pt idx="84">
                  <c:v>0.21597356711545321</c:v>
                </c:pt>
                <c:pt idx="85">
                  <c:v>0.21605966540041524</c:v>
                </c:pt>
                <c:pt idx="86">
                  <c:v>0.21614520574086829</c:v>
                </c:pt>
                <c:pt idx="87">
                  <c:v>0.2162302073816785</c:v>
                </c:pt>
                <c:pt idx="88">
                  <c:v>0.21631468870121792</c:v>
                </c:pt>
                <c:pt idx="89">
                  <c:v>0.21639866725959028</c:v>
                </c:pt>
                <c:pt idx="90">
                  <c:v>0.21648215984367183</c:v>
                </c:pt>
                <c:pt idx="91">
                  <c:v>0.21656518250920925</c:v>
                </c:pt>
                <c:pt idx="92">
                  <c:v>0.21664775062019678</c:v>
                </c:pt>
                <c:pt idx="93">
                  <c:v>0.21672987888573564</c:v>
                </c:pt>
                <c:pt idx="94">
                  <c:v>0.21681158139456139</c:v>
                </c:pt>
                <c:pt idx="95">
                  <c:v>0.21689287164740986</c:v>
                </c:pt>
                <c:pt idx="96">
                  <c:v>0.21697376258737716</c:v>
                </c:pt>
                <c:pt idx="97">
                  <c:v>0.21705426662841878</c:v>
                </c:pt>
                <c:pt idx="98">
                  <c:v>0.21713439568211743</c:v>
                </c:pt>
                <c:pt idx="99">
                  <c:v>0.21721416118284292</c:v>
                </c:pt>
                <c:pt idx="100">
                  <c:v>0.21729357411141528</c:v>
                </c:pt>
              </c:numCache>
            </c:numRef>
          </c:val>
          <c:smooth val="0"/>
          <c:extLst>
            <c:ext xmlns:c16="http://schemas.microsoft.com/office/drawing/2014/chart" uri="{C3380CC4-5D6E-409C-BE32-E72D297353CC}">
              <c16:uniqueId val="{00000006-DE77-4B43-A489-D4421C0BE99A}"/>
            </c:ext>
          </c:extLst>
        </c:ser>
        <c:ser>
          <c:idx val="16"/>
          <c:order val="16"/>
          <c:spPr>
            <a:ln w="25400">
              <a:solidFill>
                <a:srgbClr val="00B050"/>
              </a:solidFill>
              <a:prstDash val="dash"/>
            </a:ln>
          </c:spPr>
          <c:marker>
            <c:symbol val="none"/>
          </c:marker>
          <c:val>
            <c:numRef>
              <c:f>'Calculations - Dual'!$AU$110:$AU$210</c:f>
              <c:numCache>
                <c:formatCode>0.000</c:formatCode>
                <c:ptCount val="101"/>
                <c:pt idx="0">
                  <c:v>6.3173580053994635E-2</c:v>
                </c:pt>
                <c:pt idx="1">
                  <c:v>6.3631897708852719E-2</c:v>
                </c:pt>
                <c:pt idx="2">
                  <c:v>6.3983427506883114E-2</c:v>
                </c:pt>
                <c:pt idx="3">
                  <c:v>6.3983427506883114E-2</c:v>
                </c:pt>
                <c:pt idx="4">
                  <c:v>6.7716897152422448E-2</c:v>
                </c:pt>
                <c:pt idx="5">
                  <c:v>8.4646121440528063E-2</c:v>
                </c:pt>
                <c:pt idx="6">
                  <c:v>0.10157534572863368</c:v>
                </c:pt>
                <c:pt idx="7">
                  <c:v>0.11850457001673931</c:v>
                </c:pt>
                <c:pt idx="8">
                  <c:v>0.1354337943048449</c:v>
                </c:pt>
                <c:pt idx="9">
                  <c:v>0.15236301859295048</c:v>
                </c:pt>
                <c:pt idx="10">
                  <c:v>0.16929224288105613</c:v>
                </c:pt>
                <c:pt idx="11">
                  <c:v>0.18622146716916174</c:v>
                </c:pt>
                <c:pt idx="12">
                  <c:v>0.20315069145726736</c:v>
                </c:pt>
                <c:pt idx="13">
                  <c:v>0.22007991574537297</c:v>
                </c:pt>
                <c:pt idx="14">
                  <c:v>0.23700914003347862</c:v>
                </c:pt>
                <c:pt idx="15">
                  <c:v>0.25393836432158418</c:v>
                </c:pt>
                <c:pt idx="16">
                  <c:v>0.27086758860968979</c:v>
                </c:pt>
                <c:pt idx="17">
                  <c:v>0.28779681289779546</c:v>
                </c:pt>
                <c:pt idx="18">
                  <c:v>0.30472603718590097</c:v>
                </c:pt>
                <c:pt idx="19">
                  <c:v>0.32165526147400664</c:v>
                </c:pt>
                <c:pt idx="20">
                  <c:v>0.33858448576211225</c:v>
                </c:pt>
                <c:pt idx="21">
                  <c:v>0.35551371005021787</c:v>
                </c:pt>
                <c:pt idx="22">
                  <c:v>0.37244293433832348</c:v>
                </c:pt>
                <c:pt idx="23">
                  <c:v>0.38937215862642921</c:v>
                </c:pt>
                <c:pt idx="24">
                  <c:v>0.40630138291453471</c:v>
                </c:pt>
                <c:pt idx="25">
                  <c:v>0.42323060720264039</c:v>
                </c:pt>
                <c:pt idx="26">
                  <c:v>0.44015983149074595</c:v>
                </c:pt>
                <c:pt idx="27">
                  <c:v>0.45708905577885156</c:v>
                </c:pt>
                <c:pt idx="28">
                  <c:v>0.45585378567591855</c:v>
                </c:pt>
                <c:pt idx="29">
                  <c:v>0.45253076377369211</c:v>
                </c:pt>
                <c:pt idx="30">
                  <c:v>0.45295682966394801</c:v>
                </c:pt>
                <c:pt idx="31">
                  <c:v>0.45336990006112021</c:v>
                </c:pt>
                <c:pt idx="32">
                  <c:v>0.45377118366109004</c:v>
                </c:pt>
                <c:pt idx="33">
                  <c:v>0.45416174443111451</c:v>
                </c:pt>
                <c:pt idx="34">
                  <c:v>0.45454252264280204</c:v>
                </c:pt>
                <c:pt idx="35">
                  <c:v>0.45491435234069871</c:v>
                </c:pt>
                <c:pt idx="36">
                  <c:v>0.45527797593184616</c:v>
                </c:pt>
                <c:pt idx="37">
                  <c:v>0.45563405643509175</c:v>
                </c:pt>
                <c:pt idx="38">
                  <c:v>0.45598318781670294</c:v>
                </c:pt>
                <c:pt idx="39">
                  <c:v>0.45632590375223608</c:v>
                </c:pt>
                <c:pt idx="40">
                  <c:v>0.45666268508730429</c:v>
                </c:pt>
                <c:pt idx="41">
                  <c:v>0.45699396621720983</c:v>
                </c:pt>
                <c:pt idx="42">
                  <c:v>0.45732014056390835</c:v>
                </c:pt>
                <c:pt idx="43">
                  <c:v>0.45764156529587996</c:v>
                </c:pt>
                <c:pt idx="44">
                  <c:v>0.45795856541025304</c:v>
                </c:pt>
                <c:pt idx="45">
                  <c:v>0.45827143727550279</c:v>
                </c:pt>
                <c:pt idx="46">
                  <c:v>0.45858045171609324</c:v>
                </c:pt>
                <c:pt idx="47">
                  <c:v>0.45888585670669979</c:v>
                </c:pt>
                <c:pt idx="48">
                  <c:v>0.45918787973247466</c:v>
                </c:pt>
                <c:pt idx="49">
                  <c:v>0.45948672986266836</c:v>
                </c:pt>
                <c:pt idx="50">
                  <c:v>0.45978259957741902</c:v>
                </c:pt>
                <c:pt idx="51">
                  <c:v>0.46007566638131742</c:v>
                </c:pt>
                <c:pt idx="52">
                  <c:v>0.46036609423223201</c:v>
                </c:pt>
                <c:pt idx="53">
                  <c:v>0.46065403480960676</c:v>
                </c:pt>
                <c:pt idx="54">
                  <c:v>0.46093962864288712</c:v>
                </c:pt>
                <c:pt idx="55">
                  <c:v>0.46122300611774431</c:v>
                </c:pt>
                <c:pt idx="56">
                  <c:v>0.46150428837526564</c:v>
                </c:pt>
                <c:pt idx="57">
                  <c:v>0.46178358811715947</c:v>
                </c:pt>
                <c:pt idx="58">
                  <c:v>0.46206101032824265</c:v>
                </c:pt>
                <c:pt idx="59">
                  <c:v>0.46233665292595483</c:v>
                </c:pt>
                <c:pt idx="60">
                  <c:v>0.46261060734535731</c:v>
                </c:pt>
                <c:pt idx="61">
                  <c:v>0.46288295906697063</c:v>
                </c:pt>
                <c:pt idx="62">
                  <c:v>0.46315378809386276</c:v>
                </c:pt>
                <c:pt idx="63">
                  <c:v>0.46342316938359079</c:v>
                </c:pt>
                <c:pt idx="64">
                  <c:v>0.46369117323990261</c:v>
                </c:pt>
                <c:pt idx="65">
                  <c:v>0.463957865668506</c:v>
                </c:pt>
                <c:pt idx="66">
                  <c:v>0.46422330870069095</c:v>
                </c:pt>
                <c:pt idx="67">
                  <c:v>0.46448756068814784</c:v>
                </c:pt>
                <c:pt idx="68">
                  <c:v>0.46475067657192304</c:v>
                </c:pt>
                <c:pt idx="69">
                  <c:v>0.46501270812812634</c:v>
                </c:pt>
                <c:pt idx="70">
                  <c:v>0.46527370419269776</c:v>
                </c:pt>
                <c:pt idx="71">
                  <c:v>0.46553371086728679</c:v>
                </c:pt>
                <c:pt idx="72">
                  <c:v>0.46579277170807326</c:v>
                </c:pt>
                <c:pt idx="73">
                  <c:v>0.46605092789915287</c:v>
                </c:pt>
                <c:pt idx="74">
                  <c:v>0.46630821841194042</c:v>
                </c:pt>
                <c:pt idx="75">
                  <c:v>0.4665646801518919</c:v>
                </c:pt>
                <c:pt idx="76">
                  <c:v>0.46682034809370127</c:v>
                </c:pt>
                <c:pt idx="77">
                  <c:v>0.4670752554060198</c:v>
                </c:pt>
                <c:pt idx="78">
                  <c:v>0.46732943356663159</c:v>
                </c:pt>
                <c:pt idx="79">
                  <c:v>0.46758291246892353</c:v>
                </c:pt>
                <c:pt idx="80">
                  <c:v>0.4678357205204135</c:v>
                </c:pt>
                <c:pt idx="81">
                  <c:v>0.4680878847340143</c:v>
                </c:pt>
                <c:pt idx="82">
                  <c:v>0.46833943081265333</c:v>
                </c:pt>
                <c:pt idx="83">
                  <c:v>0.46859038322780494</c:v>
                </c:pt>
                <c:pt idx="84">
                  <c:v>0.46884076529244056</c:v>
                </c:pt>
                <c:pt idx="85">
                  <c:v>0.46909059922885221</c:v>
                </c:pt>
                <c:pt idx="86">
                  <c:v>0.46933990623176897</c:v>
                </c:pt>
                <c:pt idx="87">
                  <c:v>0.46958870652713897</c:v>
                </c:pt>
                <c:pt idx="88">
                  <c:v>0.46983701942692152</c:v>
                </c:pt>
                <c:pt idx="89">
                  <c:v>0.4700848633802035</c:v>
                </c:pt>
                <c:pt idx="90">
                  <c:v>0.47033225602092321</c:v>
                </c:pt>
                <c:pt idx="91">
                  <c:v>0.47057921421245968</c:v>
                </c:pt>
                <c:pt idx="92">
                  <c:v>0.47082575408932881</c:v>
                </c:pt>
                <c:pt idx="93">
                  <c:v>0.47107189109620046</c:v>
                </c:pt>
                <c:pt idx="94">
                  <c:v>0.47131764002443521</c:v>
                </c:pt>
                <c:pt idx="95">
                  <c:v>0.47156301504632397</c:v>
                </c:pt>
                <c:pt idx="96">
                  <c:v>0.47180802974719632</c:v>
                </c:pt>
                <c:pt idx="97">
                  <c:v>0.47205269715555154</c:v>
                </c:pt>
                <c:pt idx="98">
                  <c:v>0.47229702977135124</c:v>
                </c:pt>
                <c:pt idx="99">
                  <c:v>0.4725410395926059</c:v>
                </c:pt>
                <c:pt idx="100">
                  <c:v>0.47278473814037136</c:v>
                </c:pt>
              </c:numCache>
            </c:numRef>
          </c:val>
          <c:smooth val="0"/>
          <c:extLst>
            <c:ext xmlns:c16="http://schemas.microsoft.com/office/drawing/2014/chart" uri="{C3380CC4-5D6E-409C-BE32-E72D297353CC}">
              <c16:uniqueId val="{00000007-DE77-4B43-A489-D4421C0BE99A}"/>
            </c:ext>
          </c:extLst>
        </c:ser>
        <c:ser>
          <c:idx val="17"/>
          <c:order val="17"/>
          <c:spPr>
            <a:ln w="25400">
              <a:solidFill>
                <a:srgbClr val="FF0000"/>
              </a:solidFill>
            </a:ln>
          </c:spPr>
          <c:marker>
            <c:symbol val="none"/>
          </c:marker>
          <c:val>
            <c:numRef>
              <c:f>'Calculations - Dual'!$AU$216:$AU$316</c:f>
              <c:numCache>
                <c:formatCode>0.000</c:formatCode>
                <c:ptCount val="101"/>
                <c:pt idx="0">
                  <c:v>1.4118407269387097E-2</c:v>
                </c:pt>
                <c:pt idx="1">
                  <c:v>1.4140843658289451E-2</c:v>
                </c:pt>
                <c:pt idx="2">
                  <c:v>1.4150474346351593E-2</c:v>
                </c:pt>
                <c:pt idx="3">
                  <c:v>1.4157873132675653E-2</c:v>
                </c:pt>
                <c:pt idx="4">
                  <c:v>1.4962445821981392E-2</c:v>
                </c:pt>
                <c:pt idx="5">
                  <c:v>1.8703057277476738E-2</c:v>
                </c:pt>
                <c:pt idx="6">
                  <c:v>2.2443668732972089E-2</c:v>
                </c:pt>
                <c:pt idx="7">
                  <c:v>2.6184280188467437E-2</c:v>
                </c:pt>
                <c:pt idx="8">
                  <c:v>2.9924891643962784E-2</c:v>
                </c:pt>
                <c:pt idx="9">
                  <c:v>3.3665503099458129E-2</c:v>
                </c:pt>
                <c:pt idx="10">
                  <c:v>3.7406114554953476E-2</c:v>
                </c:pt>
                <c:pt idx="11">
                  <c:v>4.1146726010448838E-2</c:v>
                </c:pt>
                <c:pt idx="12">
                  <c:v>4.4887337465944178E-2</c:v>
                </c:pt>
                <c:pt idx="13">
                  <c:v>4.8627948921439526E-2</c:v>
                </c:pt>
                <c:pt idx="14">
                  <c:v>5.2368560376934874E-2</c:v>
                </c:pt>
                <c:pt idx="15">
                  <c:v>5.6109171832430214E-2</c:v>
                </c:pt>
                <c:pt idx="16">
                  <c:v>5.9849783287925569E-2</c:v>
                </c:pt>
                <c:pt idx="17">
                  <c:v>6.3590394743420917E-2</c:v>
                </c:pt>
                <c:pt idx="18">
                  <c:v>6.7331006198916257E-2</c:v>
                </c:pt>
                <c:pt idx="19">
                  <c:v>7.1071617654411598E-2</c:v>
                </c:pt>
                <c:pt idx="20">
                  <c:v>7.4812229109906953E-2</c:v>
                </c:pt>
                <c:pt idx="21">
                  <c:v>7.8552840565402293E-2</c:v>
                </c:pt>
                <c:pt idx="22">
                  <c:v>8.2293452020897676E-2</c:v>
                </c:pt>
                <c:pt idx="23">
                  <c:v>8.603406347639303E-2</c:v>
                </c:pt>
                <c:pt idx="24">
                  <c:v>8.9774674931888357E-2</c:v>
                </c:pt>
                <c:pt idx="25">
                  <c:v>9.3515286387383711E-2</c:v>
                </c:pt>
                <c:pt idx="26">
                  <c:v>9.7255897842879052E-2</c:v>
                </c:pt>
                <c:pt idx="27">
                  <c:v>0.10099650929837441</c:v>
                </c:pt>
                <c:pt idx="28">
                  <c:v>0.10473712075386975</c:v>
                </c:pt>
                <c:pt idx="29">
                  <c:v>0.1084777322093651</c:v>
                </c:pt>
                <c:pt idx="30">
                  <c:v>0.11221834366486043</c:v>
                </c:pt>
                <c:pt idx="31">
                  <c:v>0.11595895512035578</c:v>
                </c:pt>
                <c:pt idx="32">
                  <c:v>0.11969956657585114</c:v>
                </c:pt>
                <c:pt idx="33">
                  <c:v>0.12344017803134649</c:v>
                </c:pt>
                <c:pt idx="34">
                  <c:v>0.12718078948684183</c:v>
                </c:pt>
                <c:pt idx="35">
                  <c:v>0.13092140094233717</c:v>
                </c:pt>
                <c:pt idx="36">
                  <c:v>0.13466201239783251</c:v>
                </c:pt>
                <c:pt idx="37">
                  <c:v>0.13840262385332788</c:v>
                </c:pt>
                <c:pt idx="38">
                  <c:v>0.1421432353088232</c:v>
                </c:pt>
                <c:pt idx="39">
                  <c:v>0.14588384676431859</c:v>
                </c:pt>
                <c:pt idx="40">
                  <c:v>0.14962445821981391</c:v>
                </c:pt>
                <c:pt idx="41">
                  <c:v>0.15336506967530927</c:v>
                </c:pt>
                <c:pt idx="42">
                  <c:v>0.15713847371315737</c:v>
                </c:pt>
                <c:pt idx="43">
                  <c:v>0.1574503305573699</c:v>
                </c:pt>
                <c:pt idx="44">
                  <c:v>0.15424206001119989</c:v>
                </c:pt>
                <c:pt idx="45">
                  <c:v>0.154354711646492</c:v>
                </c:pt>
                <c:pt idx="46">
                  <c:v>0.15446427510951535</c:v>
                </c:pt>
                <c:pt idx="47">
                  <c:v>0.15457094371341187</c:v>
                </c:pt>
                <c:pt idx="48">
                  <c:v>0.15467489497859274</c:v>
                </c:pt>
                <c:pt idx="49">
                  <c:v>0.15477629221319653</c:v>
                </c:pt>
                <c:pt idx="50">
                  <c:v>0.15487528590747437</c:v>
                </c:pt>
                <c:pt idx="51">
                  <c:v>0.15497201496716848</c:v>
                </c:pt>
                <c:pt idx="52">
                  <c:v>0.15506660780716389</c:v>
                </c:pt>
                <c:pt idx="53">
                  <c:v>0.15515918332353915</c:v>
                </c:pt>
                <c:pt idx="54">
                  <c:v>0.15524985175950276</c:v>
                </c:pt>
                <c:pt idx="55">
                  <c:v>0.15533871547848818</c:v>
                </c:pt>
                <c:pt idx="56">
                  <c:v>0.15542586965581748</c:v>
                </c:pt>
                <c:pt idx="57">
                  <c:v>0.15551140289876667</c:v>
                </c:pt>
                <c:pt idx="58">
                  <c:v>0.15559539780353387</c:v>
                </c:pt>
                <c:pt idx="59">
                  <c:v>0.15567793145647577</c:v>
                </c:pt>
                <c:pt idx="60">
                  <c:v>0.15575907588601137</c:v>
                </c:pt>
                <c:pt idx="61">
                  <c:v>0.15583889847076743</c:v>
                </c:pt>
                <c:pt idx="62">
                  <c:v>0.15591746230882914</c:v>
                </c:pt>
                <c:pt idx="63">
                  <c:v>0.15599482655235347</c:v>
                </c:pt>
                <c:pt idx="64">
                  <c:v>0.15607104671127736</c:v>
                </c:pt>
                <c:pt idx="65">
                  <c:v>0.15614617492940028</c:v>
                </c:pt>
                <c:pt idx="66">
                  <c:v>0.15622026023572907</c:v>
                </c:pt>
                <c:pt idx="67">
                  <c:v>0.15629334877363357</c:v>
                </c:pt>
                <c:pt idx="68">
                  <c:v>0.15636548401006364</c:v>
                </c:pt>
                <c:pt idx="69">
                  <c:v>0.15643670692682551</c:v>
                </c:pt>
                <c:pt idx="70">
                  <c:v>0.15650705619568339</c:v>
                </c:pt>
                <c:pt idx="71">
                  <c:v>0.15657656833886335</c:v>
                </c:pt>
                <c:pt idx="72">
                  <c:v>0.15664527787635718</c:v>
                </c:pt>
                <c:pt idx="73">
                  <c:v>0.15671321746127725</c:v>
                </c:pt>
                <c:pt idx="74">
                  <c:v>0.1567804180043775</c:v>
                </c:pt>
                <c:pt idx="75">
                  <c:v>0.1568469087887385</c:v>
                </c:pt>
                <c:pt idx="76">
                  <c:v>0.15691271757551242</c:v>
                </c:pt>
                <c:pt idx="77">
                  <c:v>0.1569778707015293</c:v>
                </c:pt>
                <c:pt idx="78">
                  <c:v>0.15704239316948665</c:v>
                </c:pt>
                <c:pt idx="79">
                  <c:v>0.15710630873137216</c:v>
                </c:pt>
                <c:pt idx="80">
                  <c:v>0.15716963996570363</c:v>
                </c:pt>
                <c:pt idx="81">
                  <c:v>0.15723240834911453</c:v>
                </c:pt>
                <c:pt idx="82">
                  <c:v>0.15729463432276283</c:v>
                </c:pt>
                <c:pt idx="83">
                  <c:v>0.15735633735399412</c:v>
                </c:pt>
                <c:pt idx="84">
                  <c:v>0.15741753599364947</c:v>
                </c:pt>
                <c:pt idx="85">
                  <c:v>0.15747824792937423</c:v>
                </c:pt>
                <c:pt idx="86">
                  <c:v>0.15753849003524825</c:v>
                </c:pt>
                <c:pt idx="87">
                  <c:v>0.15759827841803084</c:v>
                </c:pt>
                <c:pt idx="88">
                  <c:v>0.15765762846028694</c:v>
                </c:pt>
                <c:pt idx="89">
                  <c:v>0.1577165548606369</c:v>
                </c:pt>
                <c:pt idx="90">
                  <c:v>0.15777507167135121</c:v>
                </c:pt>
                <c:pt idx="91">
                  <c:v>0.15783319233349261</c:v>
                </c:pt>
                <c:pt idx="92">
                  <c:v>0.15789092970978999</c:v>
                </c:pt>
                <c:pt idx="93">
                  <c:v>0.15794829611541331</c:v>
                </c:pt>
                <c:pt idx="94">
                  <c:v>0.15800530334680329</c:v>
                </c:pt>
                <c:pt idx="95">
                  <c:v>0.15806196270869985</c:v>
                </c:pt>
                <c:pt idx="96">
                  <c:v>0.15811828503949682</c:v>
                </c:pt>
                <c:pt idx="97">
                  <c:v>0.1581742807350443</c:v>
                </c:pt>
                <c:pt idx="98">
                  <c:v>0.15822995977100787</c:v>
                </c:pt>
                <c:pt idx="99">
                  <c:v>0.15828533172388581</c:v>
                </c:pt>
                <c:pt idx="100">
                  <c:v>0.15834040579077702</c:v>
                </c:pt>
              </c:numCache>
            </c:numRef>
          </c:val>
          <c:smooth val="0"/>
          <c:extLst>
            <c:ext xmlns:c16="http://schemas.microsoft.com/office/drawing/2014/chart" uri="{C3380CC4-5D6E-409C-BE32-E72D297353CC}">
              <c16:uniqueId val="{00000008-DE77-4B43-A489-D4421C0BE99A}"/>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9-DE77-4B43-A489-D4421C0BE99A}"/>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A-DE77-4B43-A489-D4421C0BE99A}"/>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B-DE77-4B43-A489-D4421C0BE99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DE77-4B43-A489-D4421C0BE99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DE77-4B43-A489-D4421C0BE99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DE77-4B43-A489-D4421C0BE99A}"/>
            </c:ext>
          </c:extLst>
        </c:ser>
        <c:dLbls>
          <c:showLegendKey val="0"/>
          <c:showVal val="0"/>
          <c:showCatName val="0"/>
          <c:showSerName val="0"/>
          <c:showPercent val="0"/>
          <c:showBubbleSize val="0"/>
        </c:dLbls>
        <c:marker val="1"/>
        <c:smooth val="0"/>
        <c:axId val="450325504"/>
        <c:axId val="450344064"/>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2.0689663047052328E-2</c:v>
                </c:pt>
                <c:pt idx="1">
                  <c:v>2.0740266313048688E-2</c:v>
                </c:pt>
                <c:pt idx="2">
                  <c:v>2.0761302730891575E-2</c:v>
                </c:pt>
                <c:pt idx="3">
                  <c:v>2.0777473499779663E-2</c:v>
                </c:pt>
                <c:pt idx="4">
                  <c:v>2.1964864577992609E-2</c:v>
                </c:pt>
                <c:pt idx="5">
                  <c:v>2.7456080722490762E-2</c:v>
                </c:pt>
                <c:pt idx="6">
                  <c:v>3.2947296866988912E-2</c:v>
                </c:pt>
                <c:pt idx="7">
                  <c:v>3.8438513011487069E-2</c:v>
                </c:pt>
                <c:pt idx="8">
                  <c:v>4.3929729155985218E-2</c:v>
                </c:pt>
                <c:pt idx="9">
                  <c:v>4.9420945300483361E-2</c:v>
                </c:pt>
                <c:pt idx="10">
                  <c:v>5.4912161444981525E-2</c:v>
                </c:pt>
                <c:pt idx="11">
                  <c:v>6.0403377589479675E-2</c:v>
                </c:pt>
                <c:pt idx="12">
                  <c:v>6.5894593733977824E-2</c:v>
                </c:pt>
                <c:pt idx="13">
                  <c:v>7.1385809878475981E-2</c:v>
                </c:pt>
                <c:pt idx="14">
                  <c:v>7.6877026022974138E-2</c:v>
                </c:pt>
                <c:pt idx="15">
                  <c:v>8.236824216747228E-2</c:v>
                </c:pt>
                <c:pt idx="16">
                  <c:v>8.7859458311970437E-2</c:v>
                </c:pt>
                <c:pt idx="17">
                  <c:v>9.3350674456468608E-2</c:v>
                </c:pt>
                <c:pt idx="18">
                  <c:v>9.8841890600966723E-2</c:v>
                </c:pt>
                <c:pt idx="19">
                  <c:v>0.10433310674546489</c:v>
                </c:pt>
                <c:pt idx="20">
                  <c:v>0.10982432288996305</c:v>
                </c:pt>
                <c:pt idx="21">
                  <c:v>0.11531553903446121</c:v>
                </c:pt>
                <c:pt idx="22">
                  <c:v>0.12080675517895935</c:v>
                </c:pt>
                <c:pt idx="23">
                  <c:v>0.12629797132345755</c:v>
                </c:pt>
                <c:pt idx="24">
                  <c:v>0.13178918746795565</c:v>
                </c:pt>
                <c:pt idx="25">
                  <c:v>0.13728040361245383</c:v>
                </c:pt>
                <c:pt idx="26">
                  <c:v>0.14277161975695196</c:v>
                </c:pt>
                <c:pt idx="27">
                  <c:v>0.14826283590145012</c:v>
                </c:pt>
                <c:pt idx="28">
                  <c:v>0.15375405204594828</c:v>
                </c:pt>
                <c:pt idx="29">
                  <c:v>0.15924526819044643</c:v>
                </c:pt>
                <c:pt idx="30">
                  <c:v>0.16473648433494456</c:v>
                </c:pt>
                <c:pt idx="31">
                  <c:v>0.17022770047944275</c:v>
                </c:pt>
                <c:pt idx="32">
                  <c:v>0.17571891662394087</c:v>
                </c:pt>
                <c:pt idx="33">
                  <c:v>0.18121013276843909</c:v>
                </c:pt>
                <c:pt idx="34">
                  <c:v>0.18670134891293722</c:v>
                </c:pt>
                <c:pt idx="35">
                  <c:v>0.19219256505743534</c:v>
                </c:pt>
                <c:pt idx="36">
                  <c:v>0.19768378120193345</c:v>
                </c:pt>
                <c:pt idx="37">
                  <c:v>0.20317499734643166</c:v>
                </c:pt>
                <c:pt idx="38">
                  <c:v>0.20866621349092979</c:v>
                </c:pt>
                <c:pt idx="39">
                  <c:v>0.214157429635428</c:v>
                </c:pt>
                <c:pt idx="40">
                  <c:v>0.2158053939609868</c:v>
                </c:pt>
                <c:pt idx="41">
                  <c:v>0.21117019217467309</c:v>
                </c:pt>
                <c:pt idx="42">
                  <c:v>0.21133099593537594</c:v>
                </c:pt>
                <c:pt idx="43">
                  <c:v>0.21148726991220121</c:v>
                </c:pt>
                <c:pt idx="44">
                  <c:v>0.21163931755731175</c:v>
                </c:pt>
                <c:pt idx="45">
                  <c:v>0.21178741584178856</c:v>
                </c:pt>
                <c:pt idx="46">
                  <c:v>0.21193181808258793</c:v>
                </c:pt>
                <c:pt idx="47">
                  <c:v>0.21207275641492404</c:v>
                </c:pt>
                <c:pt idx="48">
                  <c:v>0.2122104439608978</c:v>
                </c:pt>
                <c:pt idx="49">
                  <c:v>0.2123450767370379</c:v>
                </c:pt>
                <c:pt idx="50">
                  <c:v>0.21247683533670422</c:v>
                </c:pt>
                <c:pt idx="51">
                  <c:v>0.21260588641775635</c:v>
                </c:pt>
                <c:pt idx="52">
                  <c:v>0.21273238402128652</c:v>
                </c:pt>
                <c:pt idx="53">
                  <c:v>0.2128564707433819</c:v>
                </c:pt>
                <c:pt idx="54">
                  <c:v>0.21297827877867803</c:v>
                </c:pt>
                <c:pt idx="55">
                  <c:v>0.21309793085177547</c:v>
                </c:pt>
                <c:pt idx="56">
                  <c:v>0.21321554105033153</c:v>
                </c:pt>
                <c:pt idx="57">
                  <c:v>0.21333121557172605</c:v>
                </c:pt>
                <c:pt idx="58">
                  <c:v>0.21344505339358533</c:v>
                </c:pt>
                <c:pt idx="59">
                  <c:v>0.21355714687706936</c:v>
                </c:pt>
                <c:pt idx="60">
                  <c:v>0.21366758231066155</c:v>
                </c:pt>
                <c:pt idx="61">
                  <c:v>0.21377644040119337</c:v>
                </c:pt>
                <c:pt idx="62">
                  <c:v>0.21388379671798394</c:v>
                </c:pt>
                <c:pt idx="63">
                  <c:v>0.21398972209523523</c:v>
                </c:pt>
                <c:pt idx="64">
                  <c:v>0.2140942829971883</c:v>
                </c:pt>
                <c:pt idx="65">
                  <c:v>0.214197541850003</c:v>
                </c:pt>
                <c:pt idx="66">
                  <c:v>0.21429955734384293</c:v>
                </c:pt>
                <c:pt idx="67">
                  <c:v>0.21440038470824263</c:v>
                </c:pt>
                <c:pt idx="68">
                  <c:v>0.21450007596347248</c:v>
                </c:pt>
                <c:pt idx="69">
                  <c:v>0.21459868015030786</c:v>
                </c:pt>
                <c:pt idx="70">
                  <c:v>0.21469624354033653</c:v>
                </c:pt>
                <c:pt idx="71">
                  <c:v>0.21479280982870044</c:v>
                </c:pt>
                <c:pt idx="72">
                  <c:v>0.21488842031096003</c:v>
                </c:pt>
                <c:pt idx="73">
                  <c:v>0.21498311404558706</c:v>
                </c:pt>
                <c:pt idx="74">
                  <c:v>0.21507692800342892</c:v>
                </c:pt>
                <c:pt idx="75">
                  <c:v>0.21516989720534829</c:v>
                </c:pt>
                <c:pt idx="76">
                  <c:v>0.21526205484911459</c:v>
                </c:pt>
                <c:pt idx="77">
                  <c:v>0.21535343242651395</c:v>
                </c:pt>
                <c:pt idx="78">
                  <c:v>0.21544405983154674</c:v>
                </c:pt>
                <c:pt idx="79">
                  <c:v>0.21553396546049317</c:v>
                </c:pt>
                <c:pt idx="80">
                  <c:v>0.21562317630455211</c:v>
                </c:pt>
                <c:pt idx="81">
                  <c:v>0.21571171803568767</c:v>
                </c:pt>
                <c:pt idx="82">
                  <c:v>0.21579961508625783</c:v>
                </c:pt>
                <c:pt idx="83">
                  <c:v>0.21588689072294417</c:v>
                </c:pt>
                <c:pt idx="84">
                  <c:v>0.21597356711545321</c:v>
                </c:pt>
                <c:pt idx="85">
                  <c:v>0.21605966540041524</c:v>
                </c:pt>
                <c:pt idx="86">
                  <c:v>0.21614520574086829</c:v>
                </c:pt>
                <c:pt idx="87">
                  <c:v>0.2162302073816785</c:v>
                </c:pt>
                <c:pt idx="88">
                  <c:v>0.21631468870121792</c:v>
                </c:pt>
                <c:pt idx="89">
                  <c:v>0.21639866725959028</c:v>
                </c:pt>
                <c:pt idx="90">
                  <c:v>0.21648215984367183</c:v>
                </c:pt>
                <c:pt idx="91">
                  <c:v>0.21656518250920925</c:v>
                </c:pt>
                <c:pt idx="92">
                  <c:v>0.21664775062019678</c:v>
                </c:pt>
                <c:pt idx="93">
                  <c:v>0.21672987888573564</c:v>
                </c:pt>
                <c:pt idx="94">
                  <c:v>0.21681158139456139</c:v>
                </c:pt>
                <c:pt idx="95">
                  <c:v>0.21689287164740986</c:v>
                </c:pt>
                <c:pt idx="96">
                  <c:v>0.21697376258737716</c:v>
                </c:pt>
                <c:pt idx="97">
                  <c:v>0.21705426662841878</c:v>
                </c:pt>
                <c:pt idx="98">
                  <c:v>0.21713439568211743</c:v>
                </c:pt>
                <c:pt idx="99">
                  <c:v>0.21721416118284292</c:v>
                </c:pt>
                <c:pt idx="100">
                  <c:v>0.21729357411141528</c:v>
                </c:pt>
              </c:numCache>
            </c:numRef>
          </c:val>
          <c:smooth val="0"/>
          <c:extLst>
            <c:ext xmlns:c16="http://schemas.microsoft.com/office/drawing/2014/chart" uri="{C3380CC4-5D6E-409C-BE32-E72D297353CC}">
              <c16:uniqueId val="{0000000F-DE77-4B43-A489-D4421C0BE99A}"/>
            </c:ext>
          </c:extLst>
        </c:ser>
        <c:ser>
          <c:idx val="7"/>
          <c:order val="7"/>
          <c:spPr>
            <a:ln w="25400">
              <a:solidFill>
                <a:srgbClr val="00B050"/>
              </a:solidFill>
              <a:prstDash val="dash"/>
            </a:ln>
          </c:spPr>
          <c:marker>
            <c:symbol val="none"/>
          </c:marker>
          <c:val>
            <c:numRef>
              <c:f>'Calculations - Dual'!$AU$110:$AU$210</c:f>
              <c:numCache>
                <c:formatCode>0.000</c:formatCode>
                <c:ptCount val="101"/>
                <c:pt idx="0">
                  <c:v>6.3173580053994635E-2</c:v>
                </c:pt>
                <c:pt idx="1">
                  <c:v>6.3631897708852719E-2</c:v>
                </c:pt>
                <c:pt idx="2">
                  <c:v>6.3983427506883114E-2</c:v>
                </c:pt>
                <c:pt idx="3">
                  <c:v>6.3983427506883114E-2</c:v>
                </c:pt>
                <c:pt idx="4">
                  <c:v>6.7716897152422448E-2</c:v>
                </c:pt>
                <c:pt idx="5">
                  <c:v>8.4646121440528063E-2</c:v>
                </c:pt>
                <c:pt idx="6">
                  <c:v>0.10157534572863368</c:v>
                </c:pt>
                <c:pt idx="7">
                  <c:v>0.11850457001673931</c:v>
                </c:pt>
                <c:pt idx="8">
                  <c:v>0.1354337943048449</c:v>
                </c:pt>
                <c:pt idx="9">
                  <c:v>0.15236301859295048</c:v>
                </c:pt>
                <c:pt idx="10">
                  <c:v>0.16929224288105613</c:v>
                </c:pt>
                <c:pt idx="11">
                  <c:v>0.18622146716916174</c:v>
                </c:pt>
                <c:pt idx="12">
                  <c:v>0.20315069145726736</c:v>
                </c:pt>
                <c:pt idx="13">
                  <c:v>0.22007991574537297</c:v>
                </c:pt>
                <c:pt idx="14">
                  <c:v>0.23700914003347862</c:v>
                </c:pt>
                <c:pt idx="15">
                  <c:v>0.25393836432158418</c:v>
                </c:pt>
                <c:pt idx="16">
                  <c:v>0.27086758860968979</c:v>
                </c:pt>
                <c:pt idx="17">
                  <c:v>0.28779681289779546</c:v>
                </c:pt>
                <c:pt idx="18">
                  <c:v>0.30472603718590097</c:v>
                </c:pt>
                <c:pt idx="19">
                  <c:v>0.32165526147400664</c:v>
                </c:pt>
                <c:pt idx="20">
                  <c:v>0.33858448576211225</c:v>
                </c:pt>
                <c:pt idx="21">
                  <c:v>0.35551371005021787</c:v>
                </c:pt>
                <c:pt idx="22">
                  <c:v>0.37244293433832348</c:v>
                </c:pt>
                <c:pt idx="23">
                  <c:v>0.38937215862642921</c:v>
                </c:pt>
                <c:pt idx="24">
                  <c:v>0.40630138291453471</c:v>
                </c:pt>
                <c:pt idx="25">
                  <c:v>0.42323060720264039</c:v>
                </c:pt>
                <c:pt idx="26">
                  <c:v>0.44015983149074595</c:v>
                </c:pt>
                <c:pt idx="27">
                  <c:v>0.45708905577885156</c:v>
                </c:pt>
                <c:pt idx="28">
                  <c:v>0.45585378567591855</c:v>
                </c:pt>
                <c:pt idx="29">
                  <c:v>0.45253076377369211</c:v>
                </c:pt>
                <c:pt idx="30">
                  <c:v>0.45295682966394801</c:v>
                </c:pt>
                <c:pt idx="31">
                  <c:v>0.45336990006112021</c:v>
                </c:pt>
                <c:pt idx="32">
                  <c:v>0.45377118366109004</c:v>
                </c:pt>
                <c:pt idx="33">
                  <c:v>0.45416174443111451</c:v>
                </c:pt>
                <c:pt idx="34">
                  <c:v>0.45454252264280204</c:v>
                </c:pt>
                <c:pt idx="35">
                  <c:v>0.45491435234069871</c:v>
                </c:pt>
                <c:pt idx="36">
                  <c:v>0.45527797593184616</c:v>
                </c:pt>
                <c:pt idx="37">
                  <c:v>0.45563405643509175</c:v>
                </c:pt>
                <c:pt idx="38">
                  <c:v>0.45598318781670294</c:v>
                </c:pt>
                <c:pt idx="39">
                  <c:v>0.45632590375223608</c:v>
                </c:pt>
                <c:pt idx="40">
                  <c:v>0.45666268508730429</c:v>
                </c:pt>
                <c:pt idx="41">
                  <c:v>0.45699396621720983</c:v>
                </c:pt>
                <c:pt idx="42">
                  <c:v>0.45732014056390835</c:v>
                </c:pt>
                <c:pt idx="43">
                  <c:v>0.45764156529587996</c:v>
                </c:pt>
                <c:pt idx="44">
                  <c:v>0.45795856541025304</c:v>
                </c:pt>
                <c:pt idx="45">
                  <c:v>0.45827143727550279</c:v>
                </c:pt>
                <c:pt idx="46">
                  <c:v>0.45858045171609324</c:v>
                </c:pt>
                <c:pt idx="47">
                  <c:v>0.45888585670669979</c:v>
                </c:pt>
                <c:pt idx="48">
                  <c:v>0.45918787973247466</c:v>
                </c:pt>
                <c:pt idx="49">
                  <c:v>0.45948672986266836</c:v>
                </c:pt>
                <c:pt idx="50">
                  <c:v>0.45978259957741902</c:v>
                </c:pt>
                <c:pt idx="51">
                  <c:v>0.46007566638131742</c:v>
                </c:pt>
                <c:pt idx="52">
                  <c:v>0.46036609423223201</c:v>
                </c:pt>
                <c:pt idx="53">
                  <c:v>0.46065403480960676</c:v>
                </c:pt>
                <c:pt idx="54">
                  <c:v>0.46093962864288712</c:v>
                </c:pt>
                <c:pt idx="55">
                  <c:v>0.46122300611774431</c:v>
                </c:pt>
                <c:pt idx="56">
                  <c:v>0.46150428837526564</c:v>
                </c:pt>
                <c:pt idx="57">
                  <c:v>0.46178358811715947</c:v>
                </c:pt>
                <c:pt idx="58">
                  <c:v>0.46206101032824265</c:v>
                </c:pt>
                <c:pt idx="59">
                  <c:v>0.46233665292595483</c:v>
                </c:pt>
                <c:pt idx="60">
                  <c:v>0.46261060734535731</c:v>
                </c:pt>
                <c:pt idx="61">
                  <c:v>0.46288295906697063</c:v>
                </c:pt>
                <c:pt idx="62">
                  <c:v>0.46315378809386276</c:v>
                </c:pt>
                <c:pt idx="63">
                  <c:v>0.46342316938359079</c:v>
                </c:pt>
                <c:pt idx="64">
                  <c:v>0.46369117323990261</c:v>
                </c:pt>
                <c:pt idx="65">
                  <c:v>0.463957865668506</c:v>
                </c:pt>
                <c:pt idx="66">
                  <c:v>0.46422330870069095</c:v>
                </c:pt>
                <c:pt idx="67">
                  <c:v>0.46448756068814784</c:v>
                </c:pt>
                <c:pt idx="68">
                  <c:v>0.46475067657192304</c:v>
                </c:pt>
                <c:pt idx="69">
                  <c:v>0.46501270812812634</c:v>
                </c:pt>
                <c:pt idx="70">
                  <c:v>0.46527370419269776</c:v>
                </c:pt>
                <c:pt idx="71">
                  <c:v>0.46553371086728679</c:v>
                </c:pt>
                <c:pt idx="72">
                  <c:v>0.46579277170807326</c:v>
                </c:pt>
                <c:pt idx="73">
                  <c:v>0.46605092789915287</c:v>
                </c:pt>
                <c:pt idx="74">
                  <c:v>0.46630821841194042</c:v>
                </c:pt>
                <c:pt idx="75">
                  <c:v>0.4665646801518919</c:v>
                </c:pt>
                <c:pt idx="76">
                  <c:v>0.46682034809370127</c:v>
                </c:pt>
                <c:pt idx="77">
                  <c:v>0.4670752554060198</c:v>
                </c:pt>
                <c:pt idx="78">
                  <c:v>0.46732943356663159</c:v>
                </c:pt>
                <c:pt idx="79">
                  <c:v>0.46758291246892353</c:v>
                </c:pt>
                <c:pt idx="80">
                  <c:v>0.4678357205204135</c:v>
                </c:pt>
                <c:pt idx="81">
                  <c:v>0.4680878847340143</c:v>
                </c:pt>
                <c:pt idx="82">
                  <c:v>0.46833943081265333</c:v>
                </c:pt>
                <c:pt idx="83">
                  <c:v>0.46859038322780494</c:v>
                </c:pt>
                <c:pt idx="84">
                  <c:v>0.46884076529244056</c:v>
                </c:pt>
                <c:pt idx="85">
                  <c:v>0.46909059922885221</c:v>
                </c:pt>
                <c:pt idx="86">
                  <c:v>0.46933990623176897</c:v>
                </c:pt>
                <c:pt idx="87">
                  <c:v>0.46958870652713897</c:v>
                </c:pt>
                <c:pt idx="88">
                  <c:v>0.46983701942692152</c:v>
                </c:pt>
                <c:pt idx="89">
                  <c:v>0.4700848633802035</c:v>
                </c:pt>
                <c:pt idx="90">
                  <c:v>0.47033225602092321</c:v>
                </c:pt>
                <c:pt idx="91">
                  <c:v>0.47057921421245968</c:v>
                </c:pt>
                <c:pt idx="92">
                  <c:v>0.47082575408932881</c:v>
                </c:pt>
                <c:pt idx="93">
                  <c:v>0.47107189109620046</c:v>
                </c:pt>
                <c:pt idx="94">
                  <c:v>0.47131764002443521</c:v>
                </c:pt>
                <c:pt idx="95">
                  <c:v>0.47156301504632397</c:v>
                </c:pt>
                <c:pt idx="96">
                  <c:v>0.47180802974719632</c:v>
                </c:pt>
                <c:pt idx="97">
                  <c:v>0.47205269715555154</c:v>
                </c:pt>
                <c:pt idx="98">
                  <c:v>0.47229702977135124</c:v>
                </c:pt>
                <c:pt idx="99">
                  <c:v>0.4725410395926059</c:v>
                </c:pt>
                <c:pt idx="100">
                  <c:v>0.47278473814037136</c:v>
                </c:pt>
              </c:numCache>
            </c:numRef>
          </c:val>
          <c:smooth val="0"/>
          <c:extLst>
            <c:ext xmlns:c16="http://schemas.microsoft.com/office/drawing/2014/chart" uri="{C3380CC4-5D6E-409C-BE32-E72D297353CC}">
              <c16:uniqueId val="{00000010-DE77-4B43-A489-D4421C0BE99A}"/>
            </c:ext>
          </c:extLst>
        </c:ser>
        <c:ser>
          <c:idx val="8"/>
          <c:order val="8"/>
          <c:spPr>
            <a:ln w="25400">
              <a:solidFill>
                <a:srgbClr val="FF0000"/>
              </a:solidFill>
            </a:ln>
          </c:spPr>
          <c:marker>
            <c:symbol val="none"/>
          </c:marker>
          <c:val>
            <c:numRef>
              <c:f>'Calculations - Dual'!$AU$216:$AU$316</c:f>
              <c:numCache>
                <c:formatCode>0.000</c:formatCode>
                <c:ptCount val="101"/>
                <c:pt idx="0">
                  <c:v>1.4118407269387097E-2</c:v>
                </c:pt>
                <c:pt idx="1">
                  <c:v>1.4140843658289451E-2</c:v>
                </c:pt>
                <c:pt idx="2">
                  <c:v>1.4150474346351593E-2</c:v>
                </c:pt>
                <c:pt idx="3">
                  <c:v>1.4157873132675653E-2</c:v>
                </c:pt>
                <c:pt idx="4">
                  <c:v>1.4962445821981392E-2</c:v>
                </c:pt>
                <c:pt idx="5">
                  <c:v>1.8703057277476738E-2</c:v>
                </c:pt>
                <c:pt idx="6">
                  <c:v>2.2443668732972089E-2</c:v>
                </c:pt>
                <c:pt idx="7">
                  <c:v>2.6184280188467437E-2</c:v>
                </c:pt>
                <c:pt idx="8">
                  <c:v>2.9924891643962784E-2</c:v>
                </c:pt>
                <c:pt idx="9">
                  <c:v>3.3665503099458129E-2</c:v>
                </c:pt>
                <c:pt idx="10">
                  <c:v>3.7406114554953476E-2</c:v>
                </c:pt>
                <c:pt idx="11">
                  <c:v>4.1146726010448838E-2</c:v>
                </c:pt>
                <c:pt idx="12">
                  <c:v>4.4887337465944178E-2</c:v>
                </c:pt>
                <c:pt idx="13">
                  <c:v>4.8627948921439526E-2</c:v>
                </c:pt>
                <c:pt idx="14">
                  <c:v>5.2368560376934874E-2</c:v>
                </c:pt>
                <c:pt idx="15">
                  <c:v>5.6109171832430214E-2</c:v>
                </c:pt>
                <c:pt idx="16">
                  <c:v>5.9849783287925569E-2</c:v>
                </c:pt>
                <c:pt idx="17">
                  <c:v>6.3590394743420917E-2</c:v>
                </c:pt>
                <c:pt idx="18">
                  <c:v>6.7331006198916257E-2</c:v>
                </c:pt>
                <c:pt idx="19">
                  <c:v>7.1071617654411598E-2</c:v>
                </c:pt>
                <c:pt idx="20">
                  <c:v>7.4812229109906953E-2</c:v>
                </c:pt>
                <c:pt idx="21">
                  <c:v>7.8552840565402293E-2</c:v>
                </c:pt>
                <c:pt idx="22">
                  <c:v>8.2293452020897676E-2</c:v>
                </c:pt>
                <c:pt idx="23">
                  <c:v>8.603406347639303E-2</c:v>
                </c:pt>
                <c:pt idx="24">
                  <c:v>8.9774674931888357E-2</c:v>
                </c:pt>
                <c:pt idx="25">
                  <c:v>9.3515286387383711E-2</c:v>
                </c:pt>
                <c:pt idx="26">
                  <c:v>9.7255897842879052E-2</c:v>
                </c:pt>
                <c:pt idx="27">
                  <c:v>0.10099650929837441</c:v>
                </c:pt>
                <c:pt idx="28">
                  <c:v>0.10473712075386975</c:v>
                </c:pt>
                <c:pt idx="29">
                  <c:v>0.1084777322093651</c:v>
                </c:pt>
                <c:pt idx="30">
                  <c:v>0.11221834366486043</c:v>
                </c:pt>
                <c:pt idx="31">
                  <c:v>0.11595895512035578</c:v>
                </c:pt>
                <c:pt idx="32">
                  <c:v>0.11969956657585114</c:v>
                </c:pt>
                <c:pt idx="33">
                  <c:v>0.12344017803134649</c:v>
                </c:pt>
                <c:pt idx="34">
                  <c:v>0.12718078948684183</c:v>
                </c:pt>
                <c:pt idx="35">
                  <c:v>0.13092140094233717</c:v>
                </c:pt>
                <c:pt idx="36">
                  <c:v>0.13466201239783251</c:v>
                </c:pt>
                <c:pt idx="37">
                  <c:v>0.13840262385332788</c:v>
                </c:pt>
                <c:pt idx="38">
                  <c:v>0.1421432353088232</c:v>
                </c:pt>
                <c:pt idx="39">
                  <c:v>0.14588384676431859</c:v>
                </c:pt>
                <c:pt idx="40">
                  <c:v>0.14962445821981391</c:v>
                </c:pt>
                <c:pt idx="41">
                  <c:v>0.15336506967530927</c:v>
                </c:pt>
                <c:pt idx="42">
                  <c:v>0.15713847371315737</c:v>
                </c:pt>
                <c:pt idx="43">
                  <c:v>0.1574503305573699</c:v>
                </c:pt>
                <c:pt idx="44">
                  <c:v>0.15424206001119989</c:v>
                </c:pt>
                <c:pt idx="45">
                  <c:v>0.154354711646492</c:v>
                </c:pt>
                <c:pt idx="46">
                  <c:v>0.15446427510951535</c:v>
                </c:pt>
                <c:pt idx="47">
                  <c:v>0.15457094371341187</c:v>
                </c:pt>
                <c:pt idx="48">
                  <c:v>0.15467489497859274</c:v>
                </c:pt>
                <c:pt idx="49">
                  <c:v>0.15477629221319653</c:v>
                </c:pt>
                <c:pt idx="50">
                  <c:v>0.15487528590747437</c:v>
                </c:pt>
                <c:pt idx="51">
                  <c:v>0.15497201496716848</c:v>
                </c:pt>
                <c:pt idx="52">
                  <c:v>0.15506660780716389</c:v>
                </c:pt>
                <c:pt idx="53">
                  <c:v>0.15515918332353915</c:v>
                </c:pt>
                <c:pt idx="54">
                  <c:v>0.15524985175950276</c:v>
                </c:pt>
                <c:pt idx="55">
                  <c:v>0.15533871547848818</c:v>
                </c:pt>
                <c:pt idx="56">
                  <c:v>0.15542586965581748</c:v>
                </c:pt>
                <c:pt idx="57">
                  <c:v>0.15551140289876667</c:v>
                </c:pt>
                <c:pt idx="58">
                  <c:v>0.15559539780353387</c:v>
                </c:pt>
                <c:pt idx="59">
                  <c:v>0.15567793145647577</c:v>
                </c:pt>
                <c:pt idx="60">
                  <c:v>0.15575907588601137</c:v>
                </c:pt>
                <c:pt idx="61">
                  <c:v>0.15583889847076743</c:v>
                </c:pt>
                <c:pt idx="62">
                  <c:v>0.15591746230882914</c:v>
                </c:pt>
                <c:pt idx="63">
                  <c:v>0.15599482655235347</c:v>
                </c:pt>
                <c:pt idx="64">
                  <c:v>0.15607104671127736</c:v>
                </c:pt>
                <c:pt idx="65">
                  <c:v>0.15614617492940028</c:v>
                </c:pt>
                <c:pt idx="66">
                  <c:v>0.15622026023572907</c:v>
                </c:pt>
                <c:pt idx="67">
                  <c:v>0.15629334877363357</c:v>
                </c:pt>
                <c:pt idx="68">
                  <c:v>0.15636548401006364</c:v>
                </c:pt>
                <c:pt idx="69">
                  <c:v>0.15643670692682551</c:v>
                </c:pt>
                <c:pt idx="70">
                  <c:v>0.15650705619568339</c:v>
                </c:pt>
                <c:pt idx="71">
                  <c:v>0.15657656833886335</c:v>
                </c:pt>
                <c:pt idx="72">
                  <c:v>0.15664527787635718</c:v>
                </c:pt>
                <c:pt idx="73">
                  <c:v>0.15671321746127725</c:v>
                </c:pt>
                <c:pt idx="74">
                  <c:v>0.1567804180043775</c:v>
                </c:pt>
                <c:pt idx="75">
                  <c:v>0.1568469087887385</c:v>
                </c:pt>
                <c:pt idx="76">
                  <c:v>0.15691271757551242</c:v>
                </c:pt>
                <c:pt idx="77">
                  <c:v>0.1569778707015293</c:v>
                </c:pt>
                <c:pt idx="78">
                  <c:v>0.15704239316948665</c:v>
                </c:pt>
                <c:pt idx="79">
                  <c:v>0.15710630873137216</c:v>
                </c:pt>
                <c:pt idx="80">
                  <c:v>0.15716963996570363</c:v>
                </c:pt>
                <c:pt idx="81">
                  <c:v>0.15723240834911453</c:v>
                </c:pt>
                <c:pt idx="82">
                  <c:v>0.15729463432276283</c:v>
                </c:pt>
                <c:pt idx="83">
                  <c:v>0.15735633735399412</c:v>
                </c:pt>
                <c:pt idx="84">
                  <c:v>0.15741753599364947</c:v>
                </c:pt>
                <c:pt idx="85">
                  <c:v>0.15747824792937423</c:v>
                </c:pt>
                <c:pt idx="86">
                  <c:v>0.15753849003524825</c:v>
                </c:pt>
                <c:pt idx="87">
                  <c:v>0.15759827841803084</c:v>
                </c:pt>
                <c:pt idx="88">
                  <c:v>0.15765762846028694</c:v>
                </c:pt>
                <c:pt idx="89">
                  <c:v>0.1577165548606369</c:v>
                </c:pt>
                <c:pt idx="90">
                  <c:v>0.15777507167135121</c:v>
                </c:pt>
                <c:pt idx="91">
                  <c:v>0.15783319233349261</c:v>
                </c:pt>
                <c:pt idx="92">
                  <c:v>0.15789092970978999</c:v>
                </c:pt>
                <c:pt idx="93">
                  <c:v>0.15794829611541331</c:v>
                </c:pt>
                <c:pt idx="94">
                  <c:v>0.15800530334680329</c:v>
                </c:pt>
                <c:pt idx="95">
                  <c:v>0.15806196270869985</c:v>
                </c:pt>
                <c:pt idx="96">
                  <c:v>0.15811828503949682</c:v>
                </c:pt>
                <c:pt idx="97">
                  <c:v>0.1581742807350443</c:v>
                </c:pt>
                <c:pt idx="98">
                  <c:v>0.15822995977100787</c:v>
                </c:pt>
                <c:pt idx="99">
                  <c:v>0.15828533172388581</c:v>
                </c:pt>
                <c:pt idx="100">
                  <c:v>0.15834040579077702</c:v>
                </c:pt>
              </c:numCache>
            </c:numRef>
          </c:val>
          <c:smooth val="0"/>
          <c:extLst>
            <c:ext xmlns:c16="http://schemas.microsoft.com/office/drawing/2014/chart" uri="{C3380CC4-5D6E-409C-BE32-E72D297353CC}">
              <c16:uniqueId val="{00000011-DE77-4B43-A489-D4421C0BE99A}"/>
            </c:ext>
          </c:extLst>
        </c:ser>
        <c:dLbls>
          <c:showLegendKey val="0"/>
          <c:showVal val="0"/>
          <c:showCatName val="0"/>
          <c:showSerName val="0"/>
          <c:showPercent val="0"/>
          <c:showBubbleSize val="0"/>
        </c:dLbls>
        <c:marker val="1"/>
        <c:smooth val="0"/>
        <c:axId val="450348160"/>
        <c:axId val="450345984"/>
      </c:lineChart>
      <c:catAx>
        <c:axId val="450325504"/>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344064"/>
        <c:crosses val="autoZero"/>
        <c:auto val="1"/>
        <c:lblAlgn val="ctr"/>
        <c:lblOffset val="100"/>
        <c:tickLblSkip val="20"/>
        <c:tickMarkSkip val="10"/>
        <c:noMultiLvlLbl val="0"/>
      </c:catAx>
      <c:valAx>
        <c:axId val="450344064"/>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325504"/>
        <c:crossesAt val="0"/>
        <c:crossBetween val="between"/>
        <c:majorUnit val="50"/>
        <c:minorUnit val="25"/>
      </c:valAx>
      <c:valAx>
        <c:axId val="450345984"/>
        <c:scaling>
          <c:orientation val="minMax"/>
          <c:max val="0.60000000000000009"/>
        </c:scaling>
        <c:delete val="0"/>
        <c:axPos val="r"/>
        <c:title>
          <c:tx>
            <c:rich>
              <a:bodyPr rot="-5400000" vert="horz"/>
              <a:lstStyle/>
              <a:p>
                <a:pPr>
                  <a:defRPr lang="ja-JP"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lang="ja-JP" sz="1400" b="1"/>
            </a:pPr>
            <a:endParaRPr lang="en-US"/>
          </a:p>
        </c:txPr>
        <c:crossAx val="450348160"/>
        <c:crosses val="max"/>
        <c:crossBetween val="between"/>
        <c:majorUnit val="0.1"/>
        <c:minorUnit val="5.000000000000001E-2"/>
      </c:valAx>
      <c:catAx>
        <c:axId val="450348160"/>
        <c:scaling>
          <c:orientation val="minMax"/>
        </c:scaling>
        <c:delete val="1"/>
        <c:axPos val="b"/>
        <c:majorTickMark val="out"/>
        <c:minorTickMark val="none"/>
        <c:tickLblPos val="nextTo"/>
        <c:crossAx val="450345984"/>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10.272278997833462</c:v>
                </c:pt>
                <c:pt idx="30">
                  <c:v>10.627165154246638</c:v>
                </c:pt>
                <c:pt idx="31">
                  <c:v>10.982100361418821</c:v>
                </c:pt>
                <c:pt idx="32">
                  <c:v>11.337085049480594</c:v>
                </c:pt>
                <c:pt idx="33">
                  <c:v>11.692119649018068</c:v>
                </c:pt>
                <c:pt idx="34">
                  <c:v>12.047204591074976</c:v>
                </c:pt>
                <c:pt idx="35">
                  <c:v>12.402340307154754</c:v>
                </c:pt>
                <c:pt idx="36">
                  <c:v>12.757527229222617</c:v>
                </c:pt>
                <c:pt idx="37">
                  <c:v>13.112765789707657</c:v>
                </c:pt>
                <c:pt idx="38">
                  <c:v>13.46805642150494</c:v>
                </c:pt>
                <c:pt idx="39">
                  <c:v>13.823399557977618</c:v>
                </c:pt>
                <c:pt idx="40">
                  <c:v>14.178795632959002</c:v>
                </c:pt>
                <c:pt idx="41">
                  <c:v>14.534245080754735</c:v>
                </c:pt>
                <c:pt idx="42">
                  <c:v>14.88974833614485</c:v>
                </c:pt>
                <c:pt idx="43">
                  <c:v>15.245305834385928</c:v>
                </c:pt>
                <c:pt idx="44">
                  <c:v>15.600918011213217</c:v>
                </c:pt>
                <c:pt idx="45">
                  <c:v>15.95658530284277</c:v>
                </c:pt>
                <c:pt idx="46">
                  <c:v>16.312308145973574</c:v>
                </c:pt>
                <c:pt idx="47">
                  <c:v>16.668086977789699</c:v>
                </c:pt>
                <c:pt idx="48">
                  <c:v>17.023922235962477</c:v>
                </c:pt>
                <c:pt idx="49">
                  <c:v>17.379814358652606</c:v>
                </c:pt>
                <c:pt idx="50">
                  <c:v>17.735763784512336</c:v>
                </c:pt>
                <c:pt idx="51">
                  <c:v>18.09177095268765</c:v>
                </c:pt>
                <c:pt idx="52">
                  <c:v>18.447836302820424</c:v>
                </c:pt>
                <c:pt idx="53">
                  <c:v>18.803960275050592</c:v>
                </c:pt>
                <c:pt idx="54">
                  <c:v>19.160143310018338</c:v>
                </c:pt>
                <c:pt idx="55">
                  <c:v>19.516385848866292</c:v>
                </c:pt>
                <c:pt idx="56">
                  <c:v>19.872688333241737</c:v>
                </c:pt>
                <c:pt idx="57">
                  <c:v>20.229051205298749</c:v>
                </c:pt>
                <c:pt idx="58">
                  <c:v>20.585474907700494</c:v>
                </c:pt>
                <c:pt idx="59">
                  <c:v>20.941959883621351</c:v>
                </c:pt>
                <c:pt idx="60">
                  <c:v>21.298506576749187</c:v>
                </c:pt>
                <c:pt idx="61">
                  <c:v>21.655115431287545</c:v>
                </c:pt>
                <c:pt idx="62">
                  <c:v>22.011786891957904</c:v>
                </c:pt>
                <c:pt idx="63">
                  <c:v>22.368521404001889</c:v>
                </c:pt>
                <c:pt idx="64">
                  <c:v>22.725319413183517</c:v>
                </c:pt>
                <c:pt idx="65">
                  <c:v>23.082181365791449</c:v>
                </c:pt>
                <c:pt idx="66">
                  <c:v>23.439107708641227</c:v>
                </c:pt>
                <c:pt idx="67">
                  <c:v>23.796098889077555</c:v>
                </c:pt>
                <c:pt idx="68">
                  <c:v>24.153155354976544</c:v>
                </c:pt>
                <c:pt idx="69">
                  <c:v>24.510277554747972</c:v>
                </c:pt>
                <c:pt idx="70">
                  <c:v>24.867465937337599</c:v>
                </c:pt>
                <c:pt idx="71">
                  <c:v>25.224720952229411</c:v>
                </c:pt>
                <c:pt idx="72">
                  <c:v>25.582043049447897</c:v>
                </c:pt>
                <c:pt idx="73">
                  <c:v>25.939432679560412</c:v>
                </c:pt>
                <c:pt idx="74">
                  <c:v>26.296890293679397</c:v>
                </c:pt>
                <c:pt idx="75">
                  <c:v>26.65441634346471</c:v>
                </c:pt>
                <c:pt idx="76">
                  <c:v>27.012011281125954</c:v>
                </c:pt>
                <c:pt idx="77">
                  <c:v>27.369675559424817</c:v>
                </c:pt>
                <c:pt idx="78">
                  <c:v>27.727409631677311</c:v>
                </c:pt>
                <c:pt idx="79">
                  <c:v>28.085213951756167</c:v>
                </c:pt>
                <c:pt idx="80">
                  <c:v>28.443088974093207</c:v>
                </c:pt>
                <c:pt idx="81">
                  <c:v>28.801035153681593</c:v>
                </c:pt>
                <c:pt idx="82">
                  <c:v>29.159052946078216</c:v>
                </c:pt>
                <c:pt idx="83">
                  <c:v>29.517142807406096</c:v>
                </c:pt>
                <c:pt idx="84">
                  <c:v>29.875305194356685</c:v>
                </c:pt>
                <c:pt idx="85">
                  <c:v>30.233540564192253</c:v>
                </c:pt>
                <c:pt idx="86">
                  <c:v>30.591849374748275</c:v>
                </c:pt>
                <c:pt idx="87">
                  <c:v>30.9502320844358</c:v>
                </c:pt>
                <c:pt idx="88">
                  <c:v>31.308689152243819</c:v>
                </c:pt>
                <c:pt idx="89">
                  <c:v>31.667221037741736</c:v>
                </c:pt>
                <c:pt idx="90">
                  <c:v>32.025828201081659</c:v>
                </c:pt>
                <c:pt idx="91">
                  <c:v>32.384511103000861</c:v>
                </c:pt>
                <c:pt idx="92">
                  <c:v>32.743270204824249</c:v>
                </c:pt>
                <c:pt idx="93">
                  <c:v>33.10210596846666</c:v>
                </c:pt>
                <c:pt idx="94">
                  <c:v>33.461018856435409</c:v>
                </c:pt>
                <c:pt idx="95">
                  <c:v>33.820009331832665</c:v>
                </c:pt>
                <c:pt idx="96">
                  <c:v>34.179077858357857</c:v>
                </c:pt>
                <c:pt idx="97">
                  <c:v>34.538224900310205</c:v>
                </c:pt>
                <c:pt idx="98">
                  <c:v>34.897450922591119</c:v>
                </c:pt>
                <c:pt idx="99">
                  <c:v>35.256756390706634</c:v>
                </c:pt>
                <c:pt idx="100">
                  <c:v>35.616141770769964</c:v>
                </c:pt>
              </c:numCache>
            </c:numRef>
          </c:val>
          <c:smooth val="0"/>
          <c:extLst>
            <c:ext xmlns:c16="http://schemas.microsoft.com/office/drawing/2014/chart" uri="{C3380CC4-5D6E-409C-BE32-E72D297353CC}">
              <c16:uniqueId val="{00000000-FDDF-4115-9ADD-DED190BC6BDF}"/>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Dual'!$AI$5:$AI$105</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10.020385041371538</c:v>
                </c:pt>
                <c:pt idx="42">
                  <c:v>10.263120961419967</c:v>
                </c:pt>
                <c:pt idx="43">
                  <c:v>10.505778677575542</c:v>
                </c:pt>
                <c:pt idx="44">
                  <c:v>10.748358260368891</c:v>
                </c:pt>
                <c:pt idx="45">
                  <c:v>10.990859780269847</c:v>
                </c:pt>
                <c:pt idx="46">
                  <c:v>11.233283307687508</c:v>
                </c:pt>
                <c:pt idx="47">
                  <c:v>11.475628912970327</c:v>
                </c:pt>
                <c:pt idx="48">
                  <c:v>11.717896666406203</c:v>
                </c:pt>
                <c:pt idx="49">
                  <c:v>11.960086638222528</c:v>
                </c:pt>
                <c:pt idx="50">
                  <c:v>12.202198898586278</c:v>
                </c:pt>
                <c:pt idx="51">
                  <c:v>12.444233517604101</c:v>
                </c:pt>
                <c:pt idx="52">
                  <c:v>12.686190565322375</c:v>
                </c:pt>
                <c:pt idx="53">
                  <c:v>12.928070111727303</c:v>
                </c:pt>
                <c:pt idx="54">
                  <c:v>13.16987222674495</c:v>
                </c:pt>
                <c:pt idx="55">
                  <c:v>13.411596980241393</c:v>
                </c:pt>
                <c:pt idx="56">
                  <c:v>13.653244442022718</c:v>
                </c:pt>
                <c:pt idx="57">
                  <c:v>13.89481468183514</c:v>
                </c:pt>
                <c:pt idx="58">
                  <c:v>14.136307769365075</c:v>
                </c:pt>
                <c:pt idx="59">
                  <c:v>14.377723774239211</c:v>
                </c:pt>
                <c:pt idx="60">
                  <c:v>14.61906276602457</c:v>
                </c:pt>
                <c:pt idx="61">
                  <c:v>14.860324814228616</c:v>
                </c:pt>
                <c:pt idx="62">
                  <c:v>15.10150998829929</c:v>
                </c:pt>
                <c:pt idx="63">
                  <c:v>15.342618357625129</c:v>
                </c:pt>
                <c:pt idx="64">
                  <c:v>15.5836499915353</c:v>
                </c:pt>
                <c:pt idx="65">
                  <c:v>15.824604959299711</c:v>
                </c:pt>
                <c:pt idx="66">
                  <c:v>16.065483330129055</c:v>
                </c:pt>
                <c:pt idx="67">
                  <c:v>16.306285173174917</c:v>
                </c:pt>
                <c:pt idx="68">
                  <c:v>16.547010557529813</c:v>
                </c:pt>
                <c:pt idx="69">
                  <c:v>16.787659552227289</c:v>
                </c:pt>
                <c:pt idx="70">
                  <c:v>17.028232226242007</c:v>
                </c:pt>
                <c:pt idx="71">
                  <c:v>17.26872864848978</c:v>
                </c:pt>
                <c:pt idx="72">
                  <c:v>17.509148887827681</c:v>
                </c:pt>
                <c:pt idx="73">
                  <c:v>17.749493013054103</c:v>
                </c:pt>
                <c:pt idx="74">
                  <c:v>17.989761092908836</c:v>
                </c:pt>
                <c:pt idx="75">
                  <c:v>18.229953196073144</c:v>
                </c:pt>
                <c:pt idx="76">
                  <c:v>18.470069391169833</c:v>
                </c:pt>
                <c:pt idx="77">
                  <c:v>18.710109746763333</c:v>
                </c:pt>
                <c:pt idx="78">
                  <c:v>18.950074331359762</c:v>
                </c:pt>
                <c:pt idx="79">
                  <c:v>19.189963213407005</c:v>
                </c:pt>
                <c:pt idx="80">
                  <c:v>19.429776461294793</c:v>
                </c:pt>
                <c:pt idx="81">
                  <c:v>19.669514143354771</c:v>
                </c:pt>
                <c:pt idx="82">
                  <c:v>19.90917632786056</c:v>
                </c:pt>
                <c:pt idx="83">
                  <c:v>20.148763083027866</c:v>
                </c:pt>
                <c:pt idx="84">
                  <c:v>20.388274477014512</c:v>
                </c:pt>
                <c:pt idx="85">
                  <c:v>20.627710577920528</c:v>
                </c:pt>
                <c:pt idx="86">
                  <c:v>20.867071453788231</c:v>
                </c:pt>
                <c:pt idx="87">
                  <c:v>21.106357172602298</c:v>
                </c:pt>
                <c:pt idx="88">
                  <c:v>21.345567802289811</c:v>
                </c:pt>
                <c:pt idx="89">
                  <c:v>21.584703410720376</c:v>
                </c:pt>
                <c:pt idx="90">
                  <c:v>21.823764065706161</c:v>
                </c:pt>
                <c:pt idx="91">
                  <c:v>22.062749835001966</c:v>
                </c:pt>
                <c:pt idx="92">
                  <c:v>22.301660786305348</c:v>
                </c:pt>
                <c:pt idx="93">
                  <c:v>22.540496987256606</c:v>
                </c:pt>
                <c:pt idx="94">
                  <c:v>22.779258505438911</c:v>
                </c:pt>
                <c:pt idx="95">
                  <c:v>23.017945408378417</c:v>
                </c:pt>
                <c:pt idx="96">
                  <c:v>23.256557763544215</c:v>
                </c:pt>
                <c:pt idx="97">
                  <c:v>23.495095638348513</c:v>
                </c:pt>
                <c:pt idx="98">
                  <c:v>23.733559100146671</c:v>
                </c:pt>
                <c:pt idx="99">
                  <c:v>23.971948216237241</c:v>
                </c:pt>
                <c:pt idx="100">
                  <c:v>24.210263053862121</c:v>
                </c:pt>
              </c:numCache>
            </c:numRef>
          </c:val>
          <c:smooth val="0"/>
          <c:extLst>
            <c:ext xmlns:c16="http://schemas.microsoft.com/office/drawing/2014/chart" uri="{C3380CC4-5D6E-409C-BE32-E72D297353CC}">
              <c16:uniqueId val="{00000001-FDDF-4115-9ADD-DED190BC6BDF}"/>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10.01475145890428</c:v>
                </c:pt>
                <c:pt idx="45">
                  <c:v>10.240551667877666</c:v>
                </c:pt>
                <c:pt idx="46">
                  <c:v>10.466272436661823</c:v>
                </c:pt>
                <c:pt idx="47">
                  <c:v>10.69191382370993</c:v>
                </c:pt>
                <c:pt idx="48">
                  <c:v>10.917475887424397</c:v>
                </c:pt>
                <c:pt idx="49">
                  <c:v>11.142958686156877</c:v>
                </c:pt>
                <c:pt idx="50">
                  <c:v>11.36836227820838</c:v>
                </c:pt>
                <c:pt idx="51">
                  <c:v>11.593686721829293</c:v>
                </c:pt>
                <c:pt idx="52">
                  <c:v>11.818932075219449</c:v>
                </c:pt>
                <c:pt idx="53">
                  <c:v>12.044098396528188</c:v>
                </c:pt>
                <c:pt idx="54">
                  <c:v>12.269185743854406</c:v>
                </c:pt>
                <c:pt idx="55">
                  <c:v>12.494194175246617</c:v>
                </c:pt>
                <c:pt idx="56">
                  <c:v>12.719123748703023</c:v>
                </c:pt>
                <c:pt idx="57">
                  <c:v>12.943974522171523</c:v>
                </c:pt>
                <c:pt idx="58">
                  <c:v>13.168746553549846</c:v>
                </c:pt>
                <c:pt idx="59">
                  <c:v>13.393439900685527</c:v>
                </c:pt>
                <c:pt idx="60">
                  <c:v>13.618054621376031</c:v>
                </c:pt>
                <c:pt idx="61">
                  <c:v>13.842590773368761</c:v>
                </c:pt>
                <c:pt idx="62">
                  <c:v>14.067048414361146</c:v>
                </c:pt>
                <c:pt idx="63">
                  <c:v>14.291427602000683</c:v>
                </c:pt>
                <c:pt idx="64">
                  <c:v>14.515728393884986</c:v>
                </c:pt>
                <c:pt idx="65">
                  <c:v>14.739950847561866</c:v>
                </c:pt>
                <c:pt idx="66">
                  <c:v>14.964095020529369</c:v>
                </c:pt>
                <c:pt idx="67">
                  <c:v>15.188160970235826</c:v>
                </c:pt>
                <c:pt idx="68">
                  <c:v>15.412148754079936</c:v>
                </c:pt>
                <c:pt idx="69">
                  <c:v>15.63605842941079</c:v>
                </c:pt>
                <c:pt idx="70">
                  <c:v>15.859890053527954</c:v>
                </c:pt>
                <c:pt idx="71">
                  <c:v>16.083643683681501</c:v>
                </c:pt>
                <c:pt idx="72">
                  <c:v>16.307319377072091</c:v>
                </c:pt>
                <c:pt idx="73">
                  <c:v>16.53091719085101</c:v>
                </c:pt>
                <c:pt idx="74">
                  <c:v>16.754437182120228</c:v>
                </c:pt>
                <c:pt idx="75">
                  <c:v>16.977879407932448</c:v>
                </c:pt>
                <c:pt idx="76">
                  <c:v>17.201243925291184</c:v>
                </c:pt>
                <c:pt idx="77">
                  <c:v>17.424530791150801</c:v>
                </c:pt>
                <c:pt idx="78">
                  <c:v>17.64774006241657</c:v>
                </c:pt>
                <c:pt idx="79">
                  <c:v>17.870871795944698</c:v>
                </c:pt>
                <c:pt idx="80">
                  <c:v>18.093926048542464</c:v>
                </c:pt>
                <c:pt idx="81">
                  <c:v>18.316902876968175</c:v>
                </c:pt>
                <c:pt idx="82">
                  <c:v>18.539802337931267</c:v>
                </c:pt>
                <c:pt idx="83">
                  <c:v>18.762624488092399</c:v>
                </c:pt>
                <c:pt idx="84">
                  <c:v>18.985369384063425</c:v>
                </c:pt>
                <c:pt idx="85">
                  <c:v>19.208037082407504</c:v>
                </c:pt>
                <c:pt idx="86">
                  <c:v>19.430627639639152</c:v>
                </c:pt>
                <c:pt idx="87">
                  <c:v>19.653141112224279</c:v>
                </c:pt>
                <c:pt idx="88">
                  <c:v>19.875577556580243</c:v>
                </c:pt>
                <c:pt idx="89">
                  <c:v>20.097937029075936</c:v>
                </c:pt>
                <c:pt idx="90">
                  <c:v>20.320219586031783</c:v>
                </c:pt>
                <c:pt idx="91">
                  <c:v>20.542425283719854</c:v>
                </c:pt>
                <c:pt idx="92">
                  <c:v>20.764554178363898</c:v>
                </c:pt>
                <c:pt idx="93">
                  <c:v>20.986606326139352</c:v>
                </c:pt>
                <c:pt idx="94">
                  <c:v>21.208581783173475</c:v>
                </c:pt>
                <c:pt idx="95">
                  <c:v>21.430480605545355</c:v>
                </c:pt>
                <c:pt idx="96">
                  <c:v>21.652302849285952</c:v>
                </c:pt>
                <c:pt idx="97">
                  <c:v>21.874048570378193</c:v>
                </c:pt>
                <c:pt idx="98">
                  <c:v>22.095717824756981</c:v>
                </c:pt>
                <c:pt idx="99">
                  <c:v>22.317310668309283</c:v>
                </c:pt>
                <c:pt idx="100">
                  <c:v>22.538827156874177</c:v>
                </c:pt>
              </c:numCache>
            </c:numRef>
          </c:val>
          <c:smooth val="0"/>
          <c:extLst>
            <c:ext xmlns:c16="http://schemas.microsoft.com/office/drawing/2014/chart" uri="{C3380CC4-5D6E-409C-BE32-E72D297353CC}">
              <c16:uniqueId val="{00000002-FDDF-4115-9ADD-DED190BC6BDF}"/>
            </c:ext>
          </c:extLst>
        </c:ser>
        <c:dLbls>
          <c:showLegendKey val="0"/>
          <c:showVal val="0"/>
          <c:showCatName val="0"/>
          <c:showSerName val="0"/>
          <c:showPercent val="0"/>
          <c:showBubbleSize val="0"/>
        </c:dLbls>
        <c:smooth val="0"/>
        <c:axId val="450384640"/>
        <c:axId val="450386560"/>
      </c:lineChart>
      <c:catAx>
        <c:axId val="450384640"/>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6560"/>
        <c:crosses val="autoZero"/>
        <c:auto val="1"/>
        <c:lblAlgn val="ctr"/>
        <c:lblOffset val="100"/>
        <c:tickLblSkip val="20"/>
        <c:tickMarkSkip val="10"/>
        <c:noMultiLvlLbl val="0"/>
      </c:catAx>
      <c:valAx>
        <c:axId val="450386560"/>
        <c:scaling>
          <c:orientation val="minMax"/>
          <c:max val="1.4"/>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384640"/>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1.0057142857142858</c:v>
                </c:pt>
                <c:pt idx="2">
                  <c:v>1.0057142857142858</c:v>
                </c:pt>
                <c:pt idx="3">
                  <c:v>1.0057142857142858</c:v>
                </c:pt>
                <c:pt idx="4">
                  <c:v>1.0060375466539659</c:v>
                </c:pt>
                <c:pt idx="5">
                  <c:v>1.0075469333174576</c:v>
                </c:pt>
                <c:pt idx="6">
                  <c:v>1.009056319980949</c:v>
                </c:pt>
                <c:pt idx="7">
                  <c:v>1.0105657066444405</c:v>
                </c:pt>
                <c:pt idx="8">
                  <c:v>1.0120750933079321</c:v>
                </c:pt>
                <c:pt idx="9">
                  <c:v>1.0135844799714235</c:v>
                </c:pt>
                <c:pt idx="10">
                  <c:v>1.0150938666349152</c:v>
                </c:pt>
                <c:pt idx="11">
                  <c:v>1.0166032532984066</c:v>
                </c:pt>
                <c:pt idx="12">
                  <c:v>1.018112639961898</c:v>
                </c:pt>
                <c:pt idx="13">
                  <c:v>1.0196220266253897</c:v>
                </c:pt>
                <c:pt idx="14">
                  <c:v>1.0211314132888811</c:v>
                </c:pt>
                <c:pt idx="15">
                  <c:v>1.0226407999523726</c:v>
                </c:pt>
                <c:pt idx="16">
                  <c:v>1.0241501866158642</c:v>
                </c:pt>
                <c:pt idx="17">
                  <c:v>1.0256595732793556</c:v>
                </c:pt>
                <c:pt idx="18">
                  <c:v>1.0271689599428471</c:v>
                </c:pt>
                <c:pt idx="19">
                  <c:v>1.0286783466063387</c:v>
                </c:pt>
                <c:pt idx="20">
                  <c:v>1.0301877332698302</c:v>
                </c:pt>
                <c:pt idx="21">
                  <c:v>1.0316971199333216</c:v>
                </c:pt>
                <c:pt idx="22">
                  <c:v>1.0332065065968132</c:v>
                </c:pt>
                <c:pt idx="23">
                  <c:v>1.0347158932603047</c:v>
                </c:pt>
                <c:pt idx="24">
                  <c:v>1.0362252799237961</c:v>
                </c:pt>
                <c:pt idx="25">
                  <c:v>1.0377346665872877</c:v>
                </c:pt>
                <c:pt idx="26">
                  <c:v>1.0392440532507792</c:v>
                </c:pt>
                <c:pt idx="27">
                  <c:v>1.0407534399142706</c:v>
                </c:pt>
                <c:pt idx="28">
                  <c:v>1.2</c:v>
                </c:pt>
                <c:pt idx="29">
                  <c:v>1.4016881465433051</c:v>
                </c:pt>
                <c:pt idx="30">
                  <c:v>1.6645667809234357</c:v>
                </c:pt>
                <c:pt idx="31">
                  <c:v>1.9274817491991267</c:v>
                </c:pt>
                <c:pt idx="32">
                  <c:v>2.1904333699856249</c:v>
                </c:pt>
                <c:pt idx="33">
                  <c:v>2.4534219622356055</c:v>
                </c:pt>
                <c:pt idx="34">
                  <c:v>2.7164478452407232</c:v>
                </c:pt>
                <c:pt idx="35">
                  <c:v>2.9795113386331509</c:v>
                </c:pt>
                <c:pt idx="36">
                  <c:v>3.2426127623871235</c:v>
                </c:pt>
                <c:pt idx="37">
                  <c:v>3.5057524368204867</c:v>
                </c:pt>
                <c:pt idx="38">
                  <c:v>3.7689306825962516</c:v>
                </c:pt>
                <c:pt idx="39">
                  <c:v>4.0321478207241617</c:v>
                </c:pt>
                <c:pt idx="40">
                  <c:v>4.2954041725622236</c:v>
                </c:pt>
                <c:pt idx="41">
                  <c:v>4.5587000598183218</c:v>
                </c:pt>
                <c:pt idx="42">
                  <c:v>4.8220358045517404</c:v>
                </c:pt>
                <c:pt idx="43">
                  <c:v>5.0854117291747611</c:v>
                </c:pt>
                <c:pt idx="44">
                  <c:v>5.3488281564542355</c:v>
                </c:pt>
                <c:pt idx="45">
                  <c:v>5.6122854095131629</c:v>
                </c:pt>
                <c:pt idx="46">
                  <c:v>5.875783811832278</c:v>
                </c:pt>
                <c:pt idx="47">
                  <c:v>6.139323687251629</c:v>
                </c:pt>
                <c:pt idx="48">
                  <c:v>6.4029053599722054</c:v>
                </c:pt>
                <c:pt idx="49">
                  <c:v>6.6665291545574856</c:v>
                </c:pt>
                <c:pt idx="50">
                  <c:v>6.9301953959350637</c:v>
                </c:pt>
                <c:pt idx="51">
                  <c:v>7.1939044093982591</c:v>
                </c:pt>
                <c:pt idx="52">
                  <c:v>7.4576565206077214</c:v>
                </c:pt>
                <c:pt idx="53">
                  <c:v>7.7214520555930308</c:v>
                </c:pt>
                <c:pt idx="54">
                  <c:v>7.9852913407543245</c:v>
                </c:pt>
                <c:pt idx="55">
                  <c:v>8.24917470286392</c:v>
                </c:pt>
                <c:pt idx="56">
                  <c:v>8.5131024690679524</c:v>
                </c:pt>
                <c:pt idx="57">
                  <c:v>8.7770749668879624</c:v>
                </c:pt>
                <c:pt idx="58">
                  <c:v>9.0410925242225879</c:v>
                </c:pt>
                <c:pt idx="59">
                  <c:v>9.3051554693491472</c:v>
                </c:pt>
                <c:pt idx="60">
                  <c:v>9.5692641309253226</c:v>
                </c:pt>
                <c:pt idx="61">
                  <c:v>9.8334188379907719</c:v>
                </c:pt>
                <c:pt idx="62">
                  <c:v>10.097619919968816</c:v>
                </c:pt>
                <c:pt idx="63">
                  <c:v>10.361867706668066</c:v>
                </c:pt>
                <c:pt idx="64">
                  <c:v>10.626162528284086</c:v>
                </c:pt>
                <c:pt idx="65">
                  <c:v>10.890504715401073</c:v>
                </c:pt>
                <c:pt idx="66">
                  <c:v>11.154894598993501</c:v>
                </c:pt>
                <c:pt idx="67">
                  <c:v>11.419332510427818</c:v>
                </c:pt>
                <c:pt idx="68">
                  <c:v>11.683818781464106</c:v>
                </c:pt>
                <c:pt idx="69">
                  <c:v>11.948353744257757</c:v>
                </c:pt>
                <c:pt idx="70">
                  <c:v>12.212937731361183</c:v>
                </c:pt>
                <c:pt idx="71">
                  <c:v>12.477571075725489</c:v>
                </c:pt>
                <c:pt idx="72">
                  <c:v>12.742254110702145</c:v>
                </c:pt>
                <c:pt idx="73">
                  <c:v>13.006987170044749</c:v>
                </c:pt>
                <c:pt idx="74">
                  <c:v>13.271770587910662</c:v>
                </c:pt>
                <c:pt idx="75">
                  <c:v>13.536604698862748</c:v>
                </c:pt>
                <c:pt idx="76">
                  <c:v>13.801489837871076</c:v>
                </c:pt>
                <c:pt idx="77">
                  <c:v>14.066426340314678</c:v>
                </c:pt>
                <c:pt idx="78">
                  <c:v>14.331414541983193</c:v>
                </c:pt>
                <c:pt idx="79">
                  <c:v>14.596454779078641</c:v>
                </c:pt>
                <c:pt idx="80">
                  <c:v>14.86154738821719</c:v>
                </c:pt>
                <c:pt idx="81">
                  <c:v>15.126692706430807</c:v>
                </c:pt>
                <c:pt idx="82">
                  <c:v>15.391891071169047</c:v>
                </c:pt>
                <c:pt idx="83">
                  <c:v>15.657142820300811</c:v>
                </c:pt>
                <c:pt idx="84">
                  <c:v>15.922448292116062</c:v>
                </c:pt>
                <c:pt idx="85">
                  <c:v>16.187807825327592</c:v>
                </c:pt>
                <c:pt idx="86">
                  <c:v>16.453221759072797</c:v>
                </c:pt>
                <c:pt idx="87">
                  <c:v>16.718690432915405</c:v>
                </c:pt>
                <c:pt idx="88">
                  <c:v>16.984214186847272</c:v>
                </c:pt>
                <c:pt idx="89">
                  <c:v>17.249793361290173</c:v>
                </c:pt>
                <c:pt idx="90">
                  <c:v>17.515428297097522</c:v>
                </c:pt>
                <c:pt idx="91">
                  <c:v>17.781119335556191</c:v>
                </c:pt>
                <c:pt idx="92">
                  <c:v>18.046866818388331</c:v>
                </c:pt>
                <c:pt idx="93">
                  <c:v>18.312671087753081</c:v>
                </c:pt>
                <c:pt idx="94">
                  <c:v>18.578532486248449</c:v>
                </c:pt>
                <c:pt idx="95">
                  <c:v>18.844451356913083</c:v>
                </c:pt>
                <c:pt idx="96">
                  <c:v>19.11042804322804</c:v>
                </c:pt>
                <c:pt idx="97">
                  <c:v>19.37646288911867</c:v>
                </c:pt>
                <c:pt idx="98">
                  <c:v>19.642556238956381</c:v>
                </c:pt>
                <c:pt idx="99">
                  <c:v>19.90870843756047</c:v>
                </c:pt>
                <c:pt idx="100">
                  <c:v>20.174919830199972</c:v>
                </c:pt>
              </c:numCache>
            </c:numRef>
          </c:val>
          <c:smooth val="0"/>
          <c:extLst>
            <c:ext xmlns:c16="http://schemas.microsoft.com/office/drawing/2014/chart" uri="{C3380CC4-5D6E-409C-BE32-E72D297353CC}">
              <c16:uniqueId val="{00000000-3C9D-44D2-AF55-BD525814CC37}"/>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Dual'!$AJ$5:$AJ$105</c:f>
              <c:numCache>
                <c:formatCode>0.000</c:formatCode>
                <c:ptCount val="101"/>
                <c:pt idx="0">
                  <c:v>1.0057142857142858</c:v>
                </c:pt>
                <c:pt idx="1">
                  <c:v>1.0057142857142858</c:v>
                </c:pt>
                <c:pt idx="2">
                  <c:v>1.0057142857142858</c:v>
                </c:pt>
                <c:pt idx="3">
                  <c:v>1.0057142857142858</c:v>
                </c:pt>
                <c:pt idx="4">
                  <c:v>1.0060375466539659</c:v>
                </c:pt>
                <c:pt idx="5">
                  <c:v>1.0075469333174576</c:v>
                </c:pt>
                <c:pt idx="6">
                  <c:v>1.009056319980949</c:v>
                </c:pt>
                <c:pt idx="7">
                  <c:v>1.0105657066444405</c:v>
                </c:pt>
                <c:pt idx="8">
                  <c:v>1.0120750933079321</c:v>
                </c:pt>
                <c:pt idx="9">
                  <c:v>1.0135844799714235</c:v>
                </c:pt>
                <c:pt idx="10">
                  <c:v>1.0150938666349152</c:v>
                </c:pt>
                <c:pt idx="11">
                  <c:v>1.0166032532984066</c:v>
                </c:pt>
                <c:pt idx="12">
                  <c:v>1.018112639961898</c:v>
                </c:pt>
                <c:pt idx="13">
                  <c:v>1.0196220266253897</c:v>
                </c:pt>
                <c:pt idx="14">
                  <c:v>1.0211314132888811</c:v>
                </c:pt>
                <c:pt idx="15">
                  <c:v>1.0226407999523726</c:v>
                </c:pt>
                <c:pt idx="16">
                  <c:v>1.0241501866158642</c:v>
                </c:pt>
                <c:pt idx="17">
                  <c:v>1.0256595732793556</c:v>
                </c:pt>
                <c:pt idx="18">
                  <c:v>1.0271689599428471</c:v>
                </c:pt>
                <c:pt idx="19">
                  <c:v>1.0286783466063387</c:v>
                </c:pt>
                <c:pt idx="20">
                  <c:v>1.0301877332698302</c:v>
                </c:pt>
                <c:pt idx="21">
                  <c:v>1.0316971199333216</c:v>
                </c:pt>
                <c:pt idx="22">
                  <c:v>1.0332065065968132</c:v>
                </c:pt>
                <c:pt idx="23">
                  <c:v>1.0347158932603047</c:v>
                </c:pt>
                <c:pt idx="24">
                  <c:v>1.0362252799237961</c:v>
                </c:pt>
                <c:pt idx="25">
                  <c:v>1.0377346665872877</c:v>
                </c:pt>
                <c:pt idx="26">
                  <c:v>1.0392440532507792</c:v>
                </c:pt>
                <c:pt idx="27">
                  <c:v>1.0407534399142706</c:v>
                </c:pt>
                <c:pt idx="28">
                  <c:v>1.0422628265777623</c:v>
                </c:pt>
                <c:pt idx="29">
                  <c:v>1.0437722132412537</c:v>
                </c:pt>
                <c:pt idx="30">
                  <c:v>1.0452815999047451</c:v>
                </c:pt>
                <c:pt idx="31">
                  <c:v>1.0467909865682368</c:v>
                </c:pt>
                <c:pt idx="32">
                  <c:v>1.0483003732317282</c:v>
                </c:pt>
                <c:pt idx="33">
                  <c:v>1.0498097598952199</c:v>
                </c:pt>
                <c:pt idx="34">
                  <c:v>1.0513191465587113</c:v>
                </c:pt>
                <c:pt idx="35">
                  <c:v>1.0528285332222027</c:v>
                </c:pt>
                <c:pt idx="36">
                  <c:v>1.0543379198856944</c:v>
                </c:pt>
                <c:pt idx="37">
                  <c:v>1.0558473065491858</c:v>
                </c:pt>
                <c:pt idx="38">
                  <c:v>1.0573566932126772</c:v>
                </c:pt>
                <c:pt idx="39">
                  <c:v>1.0588660798761689</c:v>
                </c:pt>
                <c:pt idx="40">
                  <c:v>1.2</c:v>
                </c:pt>
                <c:pt idx="41">
                  <c:v>1.2151000306455839</c:v>
                </c:pt>
                <c:pt idx="42">
                  <c:v>1.3949044158666419</c:v>
                </c:pt>
                <c:pt idx="43">
                  <c:v>1.5746508722781791</c:v>
                </c:pt>
                <c:pt idx="44">
                  <c:v>1.7543394521251039</c:v>
                </c:pt>
                <c:pt idx="45">
                  <c:v>1.9339702076072942</c:v>
                </c:pt>
                <c:pt idx="46">
                  <c:v>2.1135431908796352</c:v>
                </c:pt>
                <c:pt idx="47">
                  <c:v>2.293058454052094</c:v>
                </c:pt>
                <c:pt idx="48">
                  <c:v>2.47251604918978</c:v>
                </c:pt>
                <c:pt idx="49">
                  <c:v>2.6519160283129835</c:v>
                </c:pt>
                <c:pt idx="50">
                  <c:v>2.8312584433972434</c:v>
                </c:pt>
                <c:pt idx="51">
                  <c:v>3.0105433463734075</c:v>
                </c:pt>
                <c:pt idx="52">
                  <c:v>3.1897707891276856</c:v>
                </c:pt>
                <c:pt idx="53">
                  <c:v>3.3689408235017062</c:v>
                </c:pt>
                <c:pt idx="54">
                  <c:v>3.5480535012925554</c:v>
                </c:pt>
                <c:pt idx="55">
                  <c:v>3.7271088742528837</c:v>
                </c:pt>
                <c:pt idx="56">
                  <c:v>3.9061069940909023</c:v>
                </c:pt>
                <c:pt idx="57">
                  <c:v>4.0850479124704737</c:v>
                </c:pt>
                <c:pt idx="58">
                  <c:v>4.2639316810111669</c:v>
                </c:pt>
                <c:pt idx="59">
                  <c:v>4.4427583512883038</c:v>
                </c:pt>
                <c:pt idx="60">
                  <c:v>4.6215279748330138</c:v>
                </c:pt>
                <c:pt idx="61">
                  <c:v>4.8002406031323082</c:v>
                </c:pt>
                <c:pt idx="62">
                  <c:v>4.9788962876291034</c:v>
                </c:pt>
                <c:pt idx="63">
                  <c:v>5.1574950797223185</c:v>
                </c:pt>
                <c:pt idx="64">
                  <c:v>5.3360370307668887</c:v>
                </c:pt>
                <c:pt idx="65">
                  <c:v>5.5145221920738594</c:v>
                </c:pt>
                <c:pt idx="66">
                  <c:v>5.6929506149104112</c:v>
                </c:pt>
                <c:pt idx="67">
                  <c:v>5.8713223504999386</c:v>
                </c:pt>
                <c:pt idx="68">
                  <c:v>6.0496374500220833</c:v>
                </c:pt>
                <c:pt idx="69">
                  <c:v>6.2278959646128067</c:v>
                </c:pt>
                <c:pt idx="70">
                  <c:v>6.4060979453644498</c:v>
                </c:pt>
                <c:pt idx="71">
                  <c:v>6.5842434433257635</c:v>
                </c:pt>
                <c:pt idx="72">
                  <c:v>6.7623325095019862</c:v>
                </c:pt>
                <c:pt idx="73">
                  <c:v>6.9403651948548912</c:v>
                </c:pt>
                <c:pt idx="74">
                  <c:v>7.1183415503028415</c:v>
                </c:pt>
                <c:pt idx="75">
                  <c:v>7.2962616267208471</c:v>
                </c:pt>
                <c:pt idx="76">
                  <c:v>7.4741254749406174</c:v>
                </c:pt>
                <c:pt idx="77">
                  <c:v>7.6519331457506174</c:v>
                </c:pt>
                <c:pt idx="78">
                  <c:v>7.8296846898961201</c:v>
                </c:pt>
                <c:pt idx="79">
                  <c:v>8.0073801580792612</c:v>
                </c:pt>
                <c:pt idx="80">
                  <c:v>8.1850196009591052</c:v>
                </c:pt>
                <c:pt idx="81">
                  <c:v>8.3626030691516817</c:v>
                </c:pt>
                <c:pt idx="82">
                  <c:v>8.5401306132300441</c:v>
                </c:pt>
                <c:pt idx="83">
                  <c:v>8.7176022837243448</c:v>
                </c:pt>
                <c:pt idx="84">
                  <c:v>8.8950181311218603</c:v>
                </c:pt>
                <c:pt idx="85">
                  <c:v>9.0723782058670572</c:v>
                </c:pt>
                <c:pt idx="86">
                  <c:v>9.249682558361652</c:v>
                </c:pt>
                <c:pt idx="87">
                  <c:v>9.4269312389646647</c:v>
                </c:pt>
                <c:pt idx="88">
                  <c:v>9.6041242979924508</c:v>
                </c:pt>
                <c:pt idx="89">
                  <c:v>9.7812617857187956</c:v>
                </c:pt>
                <c:pt idx="90">
                  <c:v>9.9583437523749332</c:v>
                </c:pt>
                <c:pt idx="91">
                  <c:v>10.135370248149604</c:v>
                </c:pt>
                <c:pt idx="92">
                  <c:v>10.312341323189147</c:v>
                </c:pt>
                <c:pt idx="93">
                  <c:v>10.489257027597485</c:v>
                </c:pt>
                <c:pt idx="94">
                  <c:v>10.666117411436229</c:v>
                </c:pt>
                <c:pt idx="95">
                  <c:v>10.842922524724752</c:v>
                </c:pt>
                <c:pt idx="96">
                  <c:v>11.019672417440159</c:v>
                </c:pt>
                <c:pt idx="97">
                  <c:v>11.196367139517417</c:v>
                </c:pt>
                <c:pt idx="98">
                  <c:v>11.373006740849386</c:v>
                </c:pt>
                <c:pt idx="99">
                  <c:v>11.549591271286845</c:v>
                </c:pt>
                <c:pt idx="100">
                  <c:v>11.726120780638608</c:v>
                </c:pt>
              </c:numCache>
            </c:numRef>
          </c:val>
          <c:smooth val="0"/>
          <c:extLst>
            <c:ext xmlns:c16="http://schemas.microsoft.com/office/drawing/2014/chart" uri="{C3380CC4-5D6E-409C-BE32-E72D297353CC}">
              <c16:uniqueId val="{00000001-3C9D-44D2-AF55-BD525814CC37}"/>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1.0057142857142858</c:v>
                </c:pt>
                <c:pt idx="2">
                  <c:v>1.0057142857142858</c:v>
                </c:pt>
                <c:pt idx="3">
                  <c:v>1.0057142857142858</c:v>
                </c:pt>
                <c:pt idx="4">
                  <c:v>1.0060368068277339</c:v>
                </c:pt>
                <c:pt idx="5">
                  <c:v>1.0075460085346675</c:v>
                </c:pt>
                <c:pt idx="6">
                  <c:v>1.0090552102416008</c:v>
                </c:pt>
                <c:pt idx="7">
                  <c:v>1.0105644119485344</c:v>
                </c:pt>
                <c:pt idx="8">
                  <c:v>1.0120736136554678</c:v>
                </c:pt>
                <c:pt idx="9">
                  <c:v>1.0135828153624014</c:v>
                </c:pt>
                <c:pt idx="10">
                  <c:v>1.0150920170693347</c:v>
                </c:pt>
                <c:pt idx="11">
                  <c:v>1.0166012187762683</c:v>
                </c:pt>
                <c:pt idx="12">
                  <c:v>1.0181104204832017</c:v>
                </c:pt>
                <c:pt idx="13">
                  <c:v>1.0196196221901352</c:v>
                </c:pt>
                <c:pt idx="14">
                  <c:v>1.0211288238970686</c:v>
                </c:pt>
                <c:pt idx="15">
                  <c:v>1.0226380256040022</c:v>
                </c:pt>
                <c:pt idx="16">
                  <c:v>1.0241472273109355</c:v>
                </c:pt>
                <c:pt idx="17">
                  <c:v>1.0256564290178691</c:v>
                </c:pt>
                <c:pt idx="18">
                  <c:v>1.0271656307248025</c:v>
                </c:pt>
                <c:pt idx="19">
                  <c:v>1.0286748324317361</c:v>
                </c:pt>
                <c:pt idx="20">
                  <c:v>1.0301840341386694</c:v>
                </c:pt>
                <c:pt idx="21">
                  <c:v>1.031693235845603</c:v>
                </c:pt>
                <c:pt idx="22">
                  <c:v>1.0332024375525364</c:v>
                </c:pt>
                <c:pt idx="23">
                  <c:v>1.03471163925947</c:v>
                </c:pt>
                <c:pt idx="24">
                  <c:v>1.0362208409664033</c:v>
                </c:pt>
                <c:pt idx="25">
                  <c:v>1.0377300426733369</c:v>
                </c:pt>
                <c:pt idx="26">
                  <c:v>1.0392392443802703</c:v>
                </c:pt>
                <c:pt idx="27">
                  <c:v>1.0407484460872038</c:v>
                </c:pt>
                <c:pt idx="28">
                  <c:v>1.0422576477941372</c:v>
                </c:pt>
                <c:pt idx="29">
                  <c:v>1.0437668495010708</c:v>
                </c:pt>
                <c:pt idx="30">
                  <c:v>1.0452760512080044</c:v>
                </c:pt>
                <c:pt idx="31">
                  <c:v>1.0467852529149377</c:v>
                </c:pt>
                <c:pt idx="32">
                  <c:v>1.0482944546218711</c:v>
                </c:pt>
                <c:pt idx="33">
                  <c:v>1.0498036563288047</c:v>
                </c:pt>
                <c:pt idx="34">
                  <c:v>1.0513128580357383</c:v>
                </c:pt>
                <c:pt idx="35">
                  <c:v>1.0528220597426716</c:v>
                </c:pt>
                <c:pt idx="36">
                  <c:v>1.054331261449605</c:v>
                </c:pt>
                <c:pt idx="37">
                  <c:v>1.0558404631565386</c:v>
                </c:pt>
                <c:pt idx="38">
                  <c:v>1.0573496648634721</c:v>
                </c:pt>
                <c:pt idx="39">
                  <c:v>1.0588588665704055</c:v>
                </c:pt>
                <c:pt idx="40">
                  <c:v>1.0603680682773391</c:v>
                </c:pt>
                <c:pt idx="41">
                  <c:v>1.0618772699842725</c:v>
                </c:pt>
                <c:pt idx="42">
                  <c:v>1.0633965576783824</c:v>
                </c:pt>
                <c:pt idx="43">
                  <c:v>1.2</c:v>
                </c:pt>
                <c:pt idx="44">
                  <c:v>1.2109270065957631</c:v>
                </c:pt>
                <c:pt idx="45">
                  <c:v>1.3781864206501229</c:v>
                </c:pt>
                <c:pt idx="46">
                  <c:v>1.5453869901198689</c:v>
                </c:pt>
                <c:pt idx="47">
                  <c:v>1.7125287583036517</c:v>
                </c:pt>
                <c:pt idx="48">
                  <c:v>1.879611768462516</c:v>
                </c:pt>
                <c:pt idx="49">
                  <c:v>2.0466360638199088</c:v>
                </c:pt>
                <c:pt idx="50">
                  <c:v>2.2136016875617628</c:v>
                </c:pt>
                <c:pt idx="51">
                  <c:v>2.3805086828365134</c:v>
                </c:pt>
                <c:pt idx="52">
                  <c:v>2.5473570927551474</c:v>
                </c:pt>
                <c:pt idx="53">
                  <c:v>2.7141469603912505</c:v>
                </c:pt>
                <c:pt idx="54">
                  <c:v>2.8808783287810416</c:v>
                </c:pt>
                <c:pt idx="55">
                  <c:v>3.0475512409234202</c:v>
                </c:pt>
                <c:pt idx="56">
                  <c:v>3.2141657397800163</c:v>
                </c:pt>
                <c:pt idx="57">
                  <c:v>3.3807218682752023</c:v>
                </c:pt>
                <c:pt idx="58">
                  <c:v>3.5472196692961822</c:v>
                </c:pt>
                <c:pt idx="59">
                  <c:v>3.7136591856929826</c:v>
                </c:pt>
                <c:pt idx="60">
                  <c:v>3.8800404602785408</c:v>
                </c:pt>
                <c:pt idx="61">
                  <c:v>4.0463635358287116</c:v>
                </c:pt>
                <c:pt idx="62">
                  <c:v>4.2126284550823305</c:v>
                </c:pt>
                <c:pt idx="63">
                  <c:v>4.3788352607412468</c:v>
                </c:pt>
                <c:pt idx="64">
                  <c:v>4.5449839954703597</c:v>
                </c:pt>
                <c:pt idx="65">
                  <c:v>4.7110747018976786</c:v>
                </c:pt>
                <c:pt idx="66">
                  <c:v>4.8771074226143467</c:v>
                </c:pt>
                <c:pt idx="67">
                  <c:v>5.0430822001746858</c:v>
                </c:pt>
                <c:pt idx="68">
                  <c:v>5.2089990770962489</c:v>
                </c:pt>
                <c:pt idx="69">
                  <c:v>5.3748580958598442</c:v>
                </c:pt>
                <c:pt idx="70">
                  <c:v>5.5406592989095955</c:v>
                </c:pt>
                <c:pt idx="71">
                  <c:v>5.7064027286529644</c:v>
                </c:pt>
                <c:pt idx="72">
                  <c:v>5.8720884274608078</c:v>
                </c:pt>
                <c:pt idx="73">
                  <c:v>6.0377164376674148</c:v>
                </c:pt>
                <c:pt idx="74">
                  <c:v>6.2032868015705391</c:v>
                </c:pt>
                <c:pt idx="75">
                  <c:v>6.3687995614314437</c:v>
                </c:pt>
                <c:pt idx="76">
                  <c:v>6.5342547594749512</c:v>
                </c:pt>
                <c:pt idx="77">
                  <c:v>6.6996524378894824</c:v>
                </c:pt>
                <c:pt idx="78">
                  <c:v>6.864992638827089</c:v>
                </c:pt>
                <c:pt idx="79">
                  <c:v>7.0302754044034801</c:v>
                </c:pt>
                <c:pt idx="80">
                  <c:v>7.1955007766981218</c:v>
                </c:pt>
                <c:pt idx="81">
                  <c:v>7.3606687977542045</c:v>
                </c:pt>
                <c:pt idx="82">
                  <c:v>7.5257795095787161</c:v>
                </c:pt>
                <c:pt idx="83">
                  <c:v>7.6908329541425182</c:v>
                </c:pt>
                <c:pt idx="84">
                  <c:v>7.8558291733803154</c:v>
                </c:pt>
                <c:pt idx="85">
                  <c:v>8.0207682091907433</c:v>
                </c:pt>
                <c:pt idx="86">
                  <c:v>8.1856501034364086</c:v>
                </c:pt>
                <c:pt idx="87">
                  <c:v>8.3504748979439096</c:v>
                </c:pt>
                <c:pt idx="88">
                  <c:v>8.515242634503883</c:v>
                </c:pt>
                <c:pt idx="89">
                  <c:v>8.6799533548710635</c:v>
                </c:pt>
                <c:pt idx="90">
                  <c:v>8.8446071007642821</c:v>
                </c:pt>
                <c:pt idx="91">
                  <c:v>9.0092039138665587</c:v>
                </c:pt>
                <c:pt idx="92">
                  <c:v>9.1737438358251104</c:v>
                </c:pt>
                <c:pt idx="93">
                  <c:v>9.3382269082513716</c:v>
                </c:pt>
                <c:pt idx="94">
                  <c:v>9.5026531727210912</c:v>
                </c:pt>
                <c:pt idx="95">
                  <c:v>9.6670226707743367</c:v>
                </c:pt>
                <c:pt idx="96">
                  <c:v>9.8313354439155187</c:v>
                </c:pt>
                <c:pt idx="97">
                  <c:v>9.9955915336134744</c:v>
                </c:pt>
                <c:pt idx="98">
                  <c:v>10.159790981301466</c:v>
                </c:pt>
                <c:pt idx="99">
                  <c:v>10.323933828377244</c:v>
                </c:pt>
                <c:pt idx="100">
                  <c:v>10.488020116203092</c:v>
                </c:pt>
              </c:numCache>
            </c:numRef>
          </c:val>
          <c:smooth val="0"/>
          <c:extLst>
            <c:ext xmlns:c16="http://schemas.microsoft.com/office/drawing/2014/chart" uri="{C3380CC4-5D6E-409C-BE32-E72D297353CC}">
              <c16:uniqueId val="{00000002-3C9D-44D2-AF55-BD525814CC37}"/>
            </c:ext>
          </c:extLst>
        </c:ser>
        <c:dLbls>
          <c:showLegendKey val="0"/>
          <c:showVal val="0"/>
          <c:showCatName val="0"/>
          <c:showSerName val="0"/>
          <c:showPercent val="0"/>
          <c:showBubbleSize val="0"/>
        </c:dLbls>
        <c:smooth val="0"/>
        <c:axId val="450433408"/>
        <c:axId val="450435328"/>
      </c:lineChart>
      <c:catAx>
        <c:axId val="450433408"/>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5328"/>
        <c:crosses val="autoZero"/>
        <c:auto val="1"/>
        <c:lblAlgn val="ctr"/>
        <c:lblOffset val="100"/>
        <c:tickLblSkip val="20"/>
        <c:tickMarkSkip val="10"/>
        <c:noMultiLvlLbl val="0"/>
      </c:catAx>
      <c:valAx>
        <c:axId val="450435328"/>
        <c:scaling>
          <c:orientation val="minMax"/>
          <c:max val="2.2000000000000002"/>
          <c:min val="1"/>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0433408"/>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Dual'!$CB$5:$CB$105</c:f>
              <c:numCache>
                <c:formatCode>0.00</c:formatCode>
                <c:ptCount val="101"/>
                <c:pt idx="0">
                  <c:v>1.5170781458143964E-6</c:v>
                </c:pt>
                <c:pt idx="1">
                  <c:v>49.044631935530568</c:v>
                </c:pt>
                <c:pt idx="2">
                  <c:v>64.923754629935232</c:v>
                </c:pt>
                <c:pt idx="3">
                  <c:v>72.778091595844913</c:v>
                </c:pt>
                <c:pt idx="4">
                  <c:v>77.364889525199203</c:v>
                </c:pt>
                <c:pt idx="5">
                  <c:v>80.085400519757926</c:v>
                </c:pt>
                <c:pt idx="6">
                  <c:v>81.995330299583046</c:v>
                </c:pt>
                <c:pt idx="7">
                  <c:v>83.404117179872983</c:v>
                </c:pt>
                <c:pt idx="8">
                  <c:v>84.481103163964093</c:v>
                </c:pt>
                <c:pt idx="9">
                  <c:v>85.326782231383035</c:v>
                </c:pt>
                <c:pt idx="10">
                  <c:v>86.004577753121652</c:v>
                </c:pt>
                <c:pt idx="11">
                  <c:v>86.556504499990268</c:v>
                </c:pt>
                <c:pt idx="12">
                  <c:v>87.011507431738707</c:v>
                </c:pt>
                <c:pt idx="13">
                  <c:v>87.390183618496977</c:v>
                </c:pt>
                <c:pt idx="14">
                  <c:v>87.707594324339553</c:v>
                </c:pt>
                <c:pt idx="15">
                  <c:v>87.975011649426833</c:v>
                </c:pt>
                <c:pt idx="16">
                  <c:v>88.201042783662558</c:v>
                </c:pt>
                <c:pt idx="17">
                  <c:v>88.392376157408137</c:v>
                </c:pt>
                <c:pt idx="18">
                  <c:v>88.554290004237842</c:v>
                </c:pt>
                <c:pt idx="19">
                  <c:v>88.691007173136754</c:v>
                </c:pt>
                <c:pt idx="20">
                  <c:v>88.80594783587884</c:v>
                </c:pt>
                <c:pt idx="21">
                  <c:v>88.901912813723428</c:v>
                </c:pt>
                <c:pt idx="22">
                  <c:v>88.981218783985213</c:v>
                </c:pt>
                <c:pt idx="23">
                  <c:v>89.045799492129703</c:v>
                </c:pt>
                <c:pt idx="24">
                  <c:v>89.097282545713469</c:v>
                </c:pt>
                <c:pt idx="25">
                  <c:v>89.137048401885494</c:v>
                </c:pt>
                <c:pt idx="26">
                  <c:v>89.166276189733594</c:v>
                </c:pt>
                <c:pt idx="27">
                  <c:v>89.185979675342068</c:v>
                </c:pt>
                <c:pt idx="28">
                  <c:v>89.19703576011463</c:v>
                </c:pt>
                <c:pt idx="29">
                  <c:v>89.2002072622535</c:v>
                </c:pt>
                <c:pt idx="30">
                  <c:v>89.196161277563121</c:v>
                </c:pt>
                <c:pt idx="31">
                  <c:v>89.185484090250327</c:v>
                </c:pt>
                <c:pt idx="32">
                  <c:v>89.168693368080199</c:v>
                </c:pt>
                <c:pt idx="33">
                  <c:v>89.146248202763601</c:v>
                </c:pt>
                <c:pt idx="34">
                  <c:v>89.118557427767954</c:v>
                </c:pt>
                <c:pt idx="35">
                  <c:v>89.085986549359433</c:v>
                </c:pt>
                <c:pt idx="36">
                  <c:v>89.048863553835957</c:v>
                </c:pt>
                <c:pt idx="37">
                  <c:v>89.0074837983789</c:v>
                </c:pt>
                <c:pt idx="38">
                  <c:v>88.962114150278936</c:v>
                </c:pt>
                <c:pt idx="39">
                  <c:v>88.912996506253279</c:v>
                </c:pt>
                <c:pt idx="40">
                  <c:v>89.013922551544795</c:v>
                </c:pt>
                <c:pt idx="41">
                  <c:v>89.340571163908251</c:v>
                </c:pt>
                <c:pt idx="42">
                  <c:v>89.369408881217282</c:v>
                </c:pt>
                <c:pt idx="43">
                  <c:v>89.39336721410065</c:v>
                </c:pt>
                <c:pt idx="44">
                  <c:v>89.412693327951203</c:v>
                </c:pt>
                <c:pt idx="45">
                  <c:v>89.427610754147523</c:v>
                </c:pt>
                <c:pt idx="46">
                  <c:v>89.438321703915591</c:v>
                </c:pt>
                <c:pt idx="47">
                  <c:v>89.445009095622424</c:v>
                </c:pt>
                <c:pt idx="48">
                  <c:v>89.447838334716153</c:v>
                </c:pt>
                <c:pt idx="49">
                  <c:v>89.446958879412307</c:v>
                </c:pt>
                <c:pt idx="50">
                  <c:v>89.442505620156183</c:v>
                </c:pt>
                <c:pt idx="51">
                  <c:v>89.434600096668248</c:v>
                </c:pt>
                <c:pt idx="52">
                  <c:v>89.423351572852383</c:v>
                </c:pt>
                <c:pt idx="53">
                  <c:v>89.408857986885366</c:v>
                </c:pt>
                <c:pt idx="54">
                  <c:v>89.391206791312612</c:v>
                </c:pt>
                <c:pt idx="55">
                  <c:v>89.37047569586754</c:v>
                </c:pt>
                <c:pt idx="56">
                  <c:v>89.346733323943468</c:v>
                </c:pt>
                <c:pt idx="57">
                  <c:v>89.32003979212304</c:v>
                </c:pt>
                <c:pt idx="58">
                  <c:v>89.290447220869268</c:v>
                </c:pt>
                <c:pt idx="59">
                  <c:v>89.258000183362782</c:v>
                </c:pt>
                <c:pt idx="60">
                  <c:v>89.222736098508165</c:v>
                </c:pt>
                <c:pt idx="61">
                  <c:v>89.184685573297571</c:v>
                </c:pt>
                <c:pt idx="62">
                  <c:v>89.143872698994713</c:v>
                </c:pt>
                <c:pt idx="63">
                  <c:v>89.100315304968987</c:v>
                </c:pt>
                <c:pt idx="64">
                  <c:v>89.054025173451677</c:v>
                </c:pt>
                <c:pt idx="65">
                  <c:v>89.005008217993804</c:v>
                </c:pt>
                <c:pt idx="66">
                  <c:v>88.95326462796605</c:v>
                </c:pt>
                <c:pt idx="67">
                  <c:v>88.898788981047034</c:v>
                </c:pt>
                <c:pt idx="68">
                  <c:v>88.841570325289041</c:v>
                </c:pt>
                <c:pt idx="69">
                  <c:v>88.781592232023968</c:v>
                </c:pt>
                <c:pt idx="70">
                  <c:v>88.718832820569787</c:v>
                </c:pt>
                <c:pt idx="71">
                  <c:v>88.653264755415023</c:v>
                </c:pt>
                <c:pt idx="72">
                  <c:v>88.584855216290109</c:v>
                </c:pt>
                <c:pt idx="73">
                  <c:v>88.513565841276332</c:v>
                </c:pt>
                <c:pt idx="74">
                  <c:v>88.439352642850636</c:v>
                </c:pt>
                <c:pt idx="75">
                  <c:v>88.362165896514284</c:v>
                </c:pt>
                <c:pt idx="76">
                  <c:v>88.281950001402137</c:v>
                </c:pt>
                <c:pt idx="77">
                  <c:v>88.198643312011626</c:v>
                </c:pt>
                <c:pt idx="78">
                  <c:v>88.112177939925274</c:v>
                </c:pt>
                <c:pt idx="79">
                  <c:v>88.022479524120286</c:v>
                </c:pt>
                <c:pt idx="80">
                  <c:v>87.929466968163339</c:v>
                </c:pt>
                <c:pt idx="81">
                  <c:v>87.833052142269665</c:v>
                </c:pt>
                <c:pt idx="82">
                  <c:v>87.733139547860659</c:v>
                </c:pt>
                <c:pt idx="83">
                  <c:v>87.629625941877521</c:v>
                </c:pt>
                <c:pt idx="84">
                  <c:v>87.522399917692113</c:v>
                </c:pt>
                <c:pt idx="85">
                  <c:v>87.411341438996061</c:v>
                </c:pt>
                <c:pt idx="86">
                  <c:v>87.296321322534467</c:v>
                </c:pt>
                <c:pt idx="87">
                  <c:v>87.177200664974421</c:v>
                </c:pt>
                <c:pt idx="88">
                  <c:v>87.05383020854886</c:v>
                </c:pt>
                <c:pt idx="89">
                  <c:v>86.926049639381546</c:v>
                </c:pt>
                <c:pt idx="90">
                  <c:v>86.793686811564541</c:v>
                </c:pt>
                <c:pt idx="91">
                  <c:v>86.656556889109041</c:v>
                </c:pt>
                <c:pt idx="92">
                  <c:v>86.514461396802702</c:v>
                </c:pt>
                <c:pt idx="93">
                  <c:v>86.367187169761067</c:v>
                </c:pt>
                <c:pt idx="94">
                  <c:v>86.214505190025264</c:v>
                </c:pt>
                <c:pt idx="95">
                  <c:v>86.056169296904912</c:v>
                </c:pt>
                <c:pt idx="96">
                  <c:v>85.89191475585109</c:v>
                </c:pt>
                <c:pt idx="97">
                  <c:v>85.721456668422576</c:v>
                </c:pt>
                <c:pt idx="98">
                  <c:v>85.544488203326125</c:v>
                </c:pt>
                <c:pt idx="99">
                  <c:v>85.360678625495694</c:v>
                </c:pt>
                <c:pt idx="100">
                  <c:v>85.128098486507</c:v>
                </c:pt>
              </c:numCache>
            </c:numRef>
          </c:val>
          <c:smooth val="0"/>
          <c:extLst>
            <c:ext xmlns:c16="http://schemas.microsoft.com/office/drawing/2014/chart" uri="{C3380CC4-5D6E-409C-BE32-E72D297353CC}">
              <c16:uniqueId val="{00000000-9FB2-40F7-8293-C6828AB4E751}"/>
            </c:ext>
          </c:extLst>
        </c:ser>
        <c:dLbls>
          <c:showLegendKey val="0"/>
          <c:showVal val="0"/>
          <c:showCatName val="0"/>
          <c:showSerName val="0"/>
          <c:showPercent val="0"/>
          <c:showBubbleSize val="0"/>
        </c:dLbls>
        <c:marker val="1"/>
        <c:smooth val="0"/>
        <c:axId val="450484096"/>
        <c:axId val="450498560"/>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63.234374999999993</c:v>
                </c:pt>
                <c:pt idx="2">
                  <c:v>126.46874999999999</c:v>
                </c:pt>
                <c:pt idx="3">
                  <c:v>189.70312499999997</c:v>
                </c:pt>
                <c:pt idx="4">
                  <c:v>252.93749999999997</c:v>
                </c:pt>
                <c:pt idx="5">
                  <c:v>316.171875</c:v>
                </c:pt>
                <c:pt idx="6">
                  <c:v>379.40624999999994</c:v>
                </c:pt>
                <c:pt idx="7">
                  <c:v>442.64062499999994</c:v>
                </c:pt>
                <c:pt idx="8">
                  <c:v>505.87499999999994</c:v>
                </c:pt>
                <c:pt idx="9">
                  <c:v>569.10937499999989</c:v>
                </c:pt>
                <c:pt idx="10">
                  <c:v>632.34375</c:v>
                </c:pt>
                <c:pt idx="11">
                  <c:v>695.57812499999989</c:v>
                </c:pt>
                <c:pt idx="12">
                  <c:v>758.81249999999989</c:v>
                </c:pt>
                <c:pt idx="13">
                  <c:v>822.046875</c:v>
                </c:pt>
                <c:pt idx="14">
                  <c:v>885.28124999999989</c:v>
                </c:pt>
                <c:pt idx="15">
                  <c:v>948.51562499999977</c:v>
                </c:pt>
                <c:pt idx="16">
                  <c:v>1011.7499999999999</c:v>
                </c:pt>
                <c:pt idx="17">
                  <c:v>1074.9843749999998</c:v>
                </c:pt>
                <c:pt idx="18">
                  <c:v>1138.2187499999998</c:v>
                </c:pt>
                <c:pt idx="19">
                  <c:v>1201.4531249999998</c:v>
                </c:pt>
                <c:pt idx="20">
                  <c:v>1264.6875</c:v>
                </c:pt>
                <c:pt idx="21">
                  <c:v>1327.921875</c:v>
                </c:pt>
                <c:pt idx="22">
                  <c:v>1391.1562499999998</c:v>
                </c:pt>
                <c:pt idx="23">
                  <c:v>1454.390625</c:v>
                </c:pt>
                <c:pt idx="24">
                  <c:v>1517.6249999999998</c:v>
                </c:pt>
                <c:pt idx="25">
                  <c:v>1580.859375</c:v>
                </c:pt>
                <c:pt idx="26">
                  <c:v>1644.09375</c:v>
                </c:pt>
                <c:pt idx="27">
                  <c:v>1707.3281249999998</c:v>
                </c:pt>
                <c:pt idx="28">
                  <c:v>1770.5624999999998</c:v>
                </c:pt>
                <c:pt idx="29">
                  <c:v>1833.7968749999998</c:v>
                </c:pt>
                <c:pt idx="30">
                  <c:v>1897.0312499999995</c:v>
                </c:pt>
                <c:pt idx="31">
                  <c:v>1960.2656249999998</c:v>
                </c:pt>
                <c:pt idx="32">
                  <c:v>2023.4999999999998</c:v>
                </c:pt>
                <c:pt idx="33">
                  <c:v>2086.734375</c:v>
                </c:pt>
                <c:pt idx="34">
                  <c:v>2149.9687499999995</c:v>
                </c:pt>
                <c:pt idx="35">
                  <c:v>2213.2031249999995</c:v>
                </c:pt>
                <c:pt idx="36">
                  <c:v>2276.4374999999995</c:v>
                </c:pt>
                <c:pt idx="37">
                  <c:v>2339.671875</c:v>
                </c:pt>
                <c:pt idx="38">
                  <c:v>2402.9062499999995</c:v>
                </c:pt>
                <c:pt idx="39">
                  <c:v>2466.140625</c:v>
                </c:pt>
                <c:pt idx="40">
                  <c:v>2529.375</c:v>
                </c:pt>
                <c:pt idx="41">
                  <c:v>2592.6093749999995</c:v>
                </c:pt>
                <c:pt idx="42">
                  <c:v>2655.84375</c:v>
                </c:pt>
                <c:pt idx="43">
                  <c:v>2719.078125</c:v>
                </c:pt>
                <c:pt idx="44">
                  <c:v>2782.3124999999995</c:v>
                </c:pt>
                <c:pt idx="45">
                  <c:v>2845.5468749999995</c:v>
                </c:pt>
                <c:pt idx="46">
                  <c:v>2908.78125</c:v>
                </c:pt>
                <c:pt idx="47">
                  <c:v>2972.0156249999986</c:v>
                </c:pt>
                <c:pt idx="48">
                  <c:v>3035.2499999999995</c:v>
                </c:pt>
                <c:pt idx="49">
                  <c:v>3098.4843750000005</c:v>
                </c:pt>
                <c:pt idx="50">
                  <c:v>3161.71875</c:v>
                </c:pt>
                <c:pt idx="51">
                  <c:v>3224.9531249999995</c:v>
                </c:pt>
                <c:pt idx="52">
                  <c:v>3288.1875</c:v>
                </c:pt>
                <c:pt idx="53">
                  <c:v>3351.421875</c:v>
                </c:pt>
                <c:pt idx="54">
                  <c:v>3414.6562499999995</c:v>
                </c:pt>
                <c:pt idx="55">
                  <c:v>3477.8906249999995</c:v>
                </c:pt>
                <c:pt idx="56">
                  <c:v>3541.1249999999995</c:v>
                </c:pt>
                <c:pt idx="57">
                  <c:v>3604.3593749999991</c:v>
                </c:pt>
                <c:pt idx="58">
                  <c:v>3667.5937499999995</c:v>
                </c:pt>
                <c:pt idx="59">
                  <c:v>3730.8281249999986</c:v>
                </c:pt>
                <c:pt idx="60">
                  <c:v>3794.0624999999991</c:v>
                </c:pt>
                <c:pt idx="61">
                  <c:v>3857.2968749999995</c:v>
                </c:pt>
                <c:pt idx="62">
                  <c:v>3920.5312499999995</c:v>
                </c:pt>
                <c:pt idx="63">
                  <c:v>3983.7656249999991</c:v>
                </c:pt>
                <c:pt idx="64">
                  <c:v>4046.9999999999995</c:v>
                </c:pt>
                <c:pt idx="65">
                  <c:v>4110.234375</c:v>
                </c:pt>
                <c:pt idx="66">
                  <c:v>4173.46875</c:v>
                </c:pt>
                <c:pt idx="67">
                  <c:v>4236.7031249999991</c:v>
                </c:pt>
                <c:pt idx="68">
                  <c:v>4299.9374999999991</c:v>
                </c:pt>
                <c:pt idx="69">
                  <c:v>4363.1718749999991</c:v>
                </c:pt>
                <c:pt idx="70">
                  <c:v>4426.4062499999991</c:v>
                </c:pt>
                <c:pt idx="71">
                  <c:v>4489.640625</c:v>
                </c:pt>
                <c:pt idx="72">
                  <c:v>4552.8749999999991</c:v>
                </c:pt>
                <c:pt idx="73">
                  <c:v>4616.1093749999991</c:v>
                </c:pt>
                <c:pt idx="74">
                  <c:v>4679.34375</c:v>
                </c:pt>
                <c:pt idx="75">
                  <c:v>4742.578125</c:v>
                </c:pt>
                <c:pt idx="76">
                  <c:v>4805.8124999999991</c:v>
                </c:pt>
                <c:pt idx="77">
                  <c:v>4869.046875</c:v>
                </c:pt>
                <c:pt idx="78">
                  <c:v>4932.28125</c:v>
                </c:pt>
                <c:pt idx="79">
                  <c:v>4995.5156249999991</c:v>
                </c:pt>
                <c:pt idx="80">
                  <c:v>5058.75</c:v>
                </c:pt>
                <c:pt idx="81">
                  <c:v>5121.984375</c:v>
                </c:pt>
                <c:pt idx="82">
                  <c:v>5185.2187499999991</c:v>
                </c:pt>
                <c:pt idx="83">
                  <c:v>5248.4531249999982</c:v>
                </c:pt>
                <c:pt idx="84">
                  <c:v>5311.6875</c:v>
                </c:pt>
                <c:pt idx="85">
                  <c:v>5374.9218749999991</c:v>
                </c:pt>
                <c:pt idx="86">
                  <c:v>5438.15625</c:v>
                </c:pt>
                <c:pt idx="87">
                  <c:v>5501.3906249999991</c:v>
                </c:pt>
                <c:pt idx="88">
                  <c:v>5564.6249999999991</c:v>
                </c:pt>
                <c:pt idx="89">
                  <c:v>5627.859375</c:v>
                </c:pt>
                <c:pt idx="90">
                  <c:v>5691.0937499999991</c:v>
                </c:pt>
                <c:pt idx="91">
                  <c:v>5754.3281249999991</c:v>
                </c:pt>
                <c:pt idx="92">
                  <c:v>5817.5625</c:v>
                </c:pt>
                <c:pt idx="93">
                  <c:v>5880.796875</c:v>
                </c:pt>
                <c:pt idx="94">
                  <c:v>5944.0312499999973</c:v>
                </c:pt>
                <c:pt idx="95">
                  <c:v>6007.265625</c:v>
                </c:pt>
                <c:pt idx="96">
                  <c:v>6070.4999999999991</c:v>
                </c:pt>
                <c:pt idx="97">
                  <c:v>6133.7343749999982</c:v>
                </c:pt>
                <c:pt idx="98">
                  <c:v>6196.9687500000009</c:v>
                </c:pt>
                <c:pt idx="99">
                  <c:v>6260.2031249999991</c:v>
                </c:pt>
                <c:pt idx="100">
                  <c:v>6323.4375</c:v>
                </c:pt>
              </c:numCache>
            </c:numRef>
          </c:val>
          <c:smooth val="0"/>
          <c:extLst>
            <c:ext xmlns:c16="http://schemas.microsoft.com/office/drawing/2014/chart" uri="{C3380CC4-5D6E-409C-BE32-E72D297353CC}">
              <c16:uniqueId val="{00000001-9FB2-40F7-8293-C6828AB4E751}"/>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161.66622822490112</c:v>
                </c:pt>
                <c:pt idx="1">
                  <c:v>161.57756183338202</c:v>
                </c:pt>
                <c:pt idx="2">
                  <c:v>161.54089133829874</c:v>
                </c:pt>
                <c:pt idx="3">
                  <c:v>161.51277925606422</c:v>
                </c:pt>
                <c:pt idx="4">
                  <c:v>170.66074917435139</c:v>
                </c:pt>
                <c:pt idx="5">
                  <c:v>213.51229971183284</c:v>
                </c:pt>
                <c:pt idx="6">
                  <c:v>256.43878662873203</c:v>
                </c:pt>
                <c:pt idx="7">
                  <c:v>299.44040666385496</c:v>
                </c:pt>
                <c:pt idx="8">
                  <c:v>342.51735724530459</c:v>
                </c:pt>
                <c:pt idx="9">
                  <c:v>385.66983649350209</c:v>
                </c:pt>
                <c:pt idx="10">
                  <c:v>428.89804322422447</c:v>
                </c:pt>
                <c:pt idx="11">
                  <c:v>472.20217695165758</c:v>
                </c:pt>
                <c:pt idx="12">
                  <c:v>515.58243789146559</c:v>
                </c:pt>
                <c:pt idx="13">
                  <c:v>559.0390269638774</c:v>
                </c:pt>
                <c:pt idx="14">
                  <c:v>602.57214579678748</c:v>
                </c:pt>
                <c:pt idx="15">
                  <c:v>646.18199672887476</c:v>
                </c:pt>
                <c:pt idx="16">
                  <c:v>689.86878281273766</c:v>
                </c:pt>
                <c:pt idx="17">
                  <c:v>733.63270781804533</c:v>
                </c:pt>
                <c:pt idx="18">
                  <c:v>777.47397623470545</c:v>
                </c:pt>
                <c:pt idx="19">
                  <c:v>821.3927932760505</c:v>
                </c:pt>
                <c:pt idx="20">
                  <c:v>865.38936488203774</c:v>
                </c:pt>
                <c:pt idx="21">
                  <c:v>909.46389772247016</c:v>
                </c:pt>
                <c:pt idx="22">
                  <c:v>953.61659920023055</c:v>
                </c:pt>
                <c:pt idx="23">
                  <c:v>997.84767745453655</c:v>
                </c:pt>
                <c:pt idx="24">
                  <c:v>1042.1573413642104</c:v>
                </c:pt>
                <c:pt idx="25">
                  <c:v>1086.5458005509665</c:v>
                </c:pt>
                <c:pt idx="26">
                  <c:v>1131.0132653827186</c:v>
                </c:pt>
                <c:pt idx="27">
                  <c:v>1175.559946976902</c:v>
                </c:pt>
                <c:pt idx="28">
                  <c:v>1220.1860572038136</c:v>
                </c:pt>
                <c:pt idx="29">
                  <c:v>1264.8918086899732</c:v>
                </c:pt>
                <c:pt idx="30">
                  <c:v>1309.6774148214988</c:v>
                </c:pt>
                <c:pt idx="31">
                  <c:v>1354.5430897475035</c:v>
                </c:pt>
                <c:pt idx="32">
                  <c:v>1399.4890483835045</c:v>
                </c:pt>
                <c:pt idx="33">
                  <c:v>1444.5155064148619</c:v>
                </c:pt>
                <c:pt idx="34">
                  <c:v>1489.6226803002198</c:v>
                </c:pt>
                <c:pt idx="35">
                  <c:v>1534.8107872749829</c:v>
                </c:pt>
                <c:pt idx="36">
                  <c:v>1580.0800453548011</c:v>
                </c:pt>
                <c:pt idx="37">
                  <c:v>1625.4306733390736</c:v>
                </c:pt>
                <c:pt idx="38">
                  <c:v>1670.8628908144758</c:v>
                </c:pt>
                <c:pt idx="39">
                  <c:v>1716.3769181585042</c:v>
                </c:pt>
                <c:pt idx="40">
                  <c:v>1729.8078532538227</c:v>
                </c:pt>
                <c:pt idx="41">
                  <c:v>1691.9936400760994</c:v>
                </c:pt>
                <c:pt idx="42">
                  <c:v>1703.7507028672796</c:v>
                </c:pt>
                <c:pt idx="43">
                  <c:v>1715.8751274898611</c:v>
                </c:pt>
                <c:pt idx="44">
                  <c:v>1728.3684684174834</c:v>
                </c:pt>
                <c:pt idx="45">
                  <c:v>1741.232552649695</c:v>
                </c:pt>
                <c:pt idx="46">
                  <c:v>1754.4694650430622</c:v>
                </c:pt>
                <c:pt idx="47">
                  <c:v>1768.0815358960015</c:v>
                </c:pt>
                <c:pt idx="48">
                  <c:v>1782.0713304823191</c:v>
                </c:pt>
                <c:pt idx="49">
                  <c:v>1796.4416402781833</c:v>
                </c:pt>
                <c:pt idx="50">
                  <c:v>1811.1954756682194</c:v>
                </c:pt>
                <c:pt idx="51">
                  <c:v>1826.3360599502887</c:v>
                </c:pt>
                <c:pt idx="52">
                  <c:v>1841.8668244867013</c:v>
                </c:pt>
                <c:pt idx="53">
                  <c:v>1857.7914048730895</c:v>
                </c:pt>
                <c:pt idx="54">
                  <c:v>1874.1136380158596</c:v>
                </c:pt>
                <c:pt idx="55">
                  <c:v>1890.8375600257352</c:v>
                </c:pt>
                <c:pt idx="56">
                  <c:v>1907.9674048488484</c:v>
                </c:pt>
                <c:pt idx="57">
                  <c:v>1925.5076035687514</c:v>
                </c:pt>
                <c:pt idx="58">
                  <c:v>1943.4627843228009</c:v>
                </c:pt>
                <c:pt idx="59">
                  <c:v>1961.8377727850275</c:v>
                </c:pt>
                <c:pt idx="60">
                  <c:v>1980.6375931750122</c:v>
                </c:pt>
                <c:pt idx="61">
                  <c:v>1999.8674697587371</c:v>
                </c:pt>
                <c:pt idx="62">
                  <c:v>2019.5328288128778</c:v>
                </c:pt>
                <c:pt idx="63">
                  <c:v>2039.6393010289278</c:v>
                </c:pt>
                <c:pt idx="64">
                  <c:v>2060.1927243376699</c:v>
                </c:pt>
                <c:pt idx="65">
                  <c:v>2081.1991471384067</c:v>
                </c:pt>
                <c:pt idx="66">
                  <c:v>2102.6648319204883</c:v>
                </c:pt>
                <c:pt idx="67">
                  <c:v>2124.5962592678152</c:v>
                </c:pt>
                <c:pt idx="68">
                  <c:v>2147.0001322394974</c:v>
                </c:pt>
                <c:pt idx="69">
                  <c:v>2169.8833811223653</c:v>
                </c:pt>
                <c:pt idx="70">
                  <c:v>2193.253168553159</c:v>
                </c:pt>
                <c:pt idx="71">
                  <c:v>2217.1168950102624</c:v>
                </c:pt>
                <c:pt idx="72">
                  <c:v>2241.4822046767422</c:v>
                </c:pt>
                <c:pt idx="73">
                  <c:v>2266.3569916781817</c:v>
                </c:pt>
                <c:pt idx="74">
                  <c:v>2291.7494067004727</c:v>
                </c:pt>
                <c:pt idx="75">
                  <c:v>2317.6678639943425</c:v>
                </c:pt>
                <c:pt idx="76">
                  <c:v>2344.121048774884</c:v>
                </c:pt>
                <c:pt idx="77">
                  <c:v>2371.1179250258915</c:v>
                </c:pt>
                <c:pt idx="78">
                  <c:v>2398.667743720242</c:v>
                </c:pt>
                <c:pt idx="79">
                  <c:v>2426.7800514690443</c:v>
                </c:pt>
                <c:pt idx="80">
                  <c:v>2455.4646996136998</c:v>
                </c:pt>
                <c:pt idx="81">
                  <c:v>2484.7318537765204</c:v>
                </c:pt>
                <c:pt idx="82">
                  <c:v>2514.592003887004</c:v>
                </c:pt>
                <c:pt idx="83">
                  <c:v>2545.0559747024131</c:v>
                </c:pt>
                <c:pt idx="84">
                  <c:v>2576.134936842845</c:v>
                </c:pt>
                <c:pt idx="85">
                  <c:v>2607.8404183625939</c:v>
                </c:pt>
                <c:pt idx="86">
                  <c:v>2640.1843168812952</c:v>
                </c:pt>
                <c:pt idx="87">
                  <c:v>2673.1789123000631</c:v>
                </c:pt>
                <c:pt idx="88">
                  <c:v>2706.8368801296724</c:v>
                </c:pt>
                <c:pt idx="89">
                  <c:v>2741.1713054597412</c:v>
                </c:pt>
                <c:pt idx="90">
                  <c:v>2776.1956975998946</c:v>
                </c:pt>
                <c:pt idx="91">
                  <c:v>2811.9240054260031</c:v>
                </c:pt>
                <c:pt idx="92">
                  <c:v>2848.3706334668668</c:v>
                </c:pt>
                <c:pt idx="93">
                  <c:v>2885.5504587690416</c:v>
                </c:pt>
                <c:pt idx="94">
                  <c:v>2923.4788485801455</c:v>
                </c:pt>
                <c:pt idx="95">
                  <c:v>2962.1716788935537</c:v>
                </c:pt>
                <c:pt idx="96">
                  <c:v>3001.6453539003292</c:v>
                </c:pt>
                <c:pt idx="97">
                  <c:v>3041.9168263973374</c:v>
                </c:pt>
                <c:pt idx="98">
                  <c:v>3083.0036192036532</c:v>
                </c:pt>
                <c:pt idx="99">
                  <c:v>3124.9238476409728</c:v>
                </c:pt>
                <c:pt idx="100">
                  <c:v>3167.6962431374491</c:v>
                </c:pt>
              </c:numCache>
            </c:numRef>
          </c:val>
          <c:smooth val="0"/>
          <c:extLst>
            <c:ext xmlns:c16="http://schemas.microsoft.com/office/drawing/2014/chart" uri="{C3380CC4-5D6E-409C-BE32-E72D297353CC}">
              <c16:uniqueId val="{00000002-9FB2-40F7-8293-C6828AB4E751}"/>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1354.4059463279993</c:v>
                </c:pt>
                <c:pt idx="1">
                  <c:v>1354.4059388314777</c:v>
                </c:pt>
                <c:pt idx="2">
                  <c:v>1354.4059357150788</c:v>
                </c:pt>
                <c:pt idx="3">
                  <c:v>1354.4059333194921</c:v>
                </c:pt>
                <c:pt idx="4">
                  <c:v>1355.2638746054924</c:v>
                </c:pt>
                <c:pt idx="5">
                  <c:v>1360.1853279386512</c:v>
                </c:pt>
                <c:pt idx="6">
                  <c:v>1366.7395870060791</c:v>
                </c:pt>
                <c:pt idx="7">
                  <c:v>1375.0829546814568</c:v>
                </c:pt>
                <c:pt idx="8">
                  <c:v>1385.3590789775581</c:v>
                </c:pt>
                <c:pt idx="9">
                  <c:v>1397.7016136987108</c:v>
                </c:pt>
                <c:pt idx="10">
                  <c:v>1412.2360577245825</c:v>
                </c:pt>
                <c:pt idx="11">
                  <c:v>1429.0810900213523</c:v>
                </c:pt>
                <c:pt idx="12">
                  <c:v>1448.3495753092063</c:v>
                </c:pt>
                <c:pt idx="13">
                  <c:v>1470.1493441623306</c:v>
                </c:pt>
                <c:pt idx="14">
                  <c:v>1494.5838126703859</c:v>
                </c:pt>
                <c:pt idx="15">
                  <c:v>1521.7524844173154</c:v>
                </c:pt>
                <c:pt idx="16">
                  <c:v>1551.7513639002925</c:v>
                </c:pt>
                <c:pt idx="17">
                  <c:v>1584.6733018463767</c:v>
                </c:pt>
                <c:pt idx="18">
                  <c:v>1620.608287178266</c:v>
                </c:pt>
                <c:pt idx="19">
                  <c:v>1659.6436965079661</c:v>
                </c:pt>
                <c:pt idx="20">
                  <c:v>1701.8645093397179</c:v>
                </c:pt>
                <c:pt idx="21">
                  <c:v>1747.3534952414475</c:v>
                </c:pt>
                <c:pt idx="22">
                  <c:v>1796.1913778468672</c:v>
                </c:pt>
                <c:pt idx="23">
                  <c:v>1848.4569795165473</c:v>
                </c:pt>
                <c:pt idx="24">
                  <c:v>1904.2273497092176</c:v>
                </c:pt>
                <c:pt idx="25">
                  <c:v>1963.5778795220083</c:v>
                </c:pt>
                <c:pt idx="26">
                  <c:v>2026.582404400684</c:v>
                </c:pt>
                <c:pt idx="27">
                  <c:v>2093.313296663378</c:v>
                </c:pt>
                <c:pt idx="28">
                  <c:v>2163.8415491987416</c:v>
                </c:pt>
                <c:pt idx="29">
                  <c:v>2238.2368514742943</c:v>
                </c:pt>
                <c:pt idx="30">
                  <c:v>2316.567658809332</c:v>
                </c:pt>
                <c:pt idx="31">
                  <c:v>2398.9012557196688</c:v>
                </c:pt>
                <c:pt idx="32">
                  <c:v>2485.3038140211679</c:v>
                </c:pt>
                <c:pt idx="33">
                  <c:v>2575.8404462799472</c:v>
                </c:pt>
                <c:pt idx="34">
                  <c:v>2670.5752551148648</c:v>
                </c:pt>
                <c:pt idx="35">
                  <c:v>2769.5713787895547</c:v>
                </c:pt>
                <c:pt idx="36">
                  <c:v>2872.8910334735156</c:v>
                </c:pt>
                <c:pt idx="37">
                  <c:v>2980.5955525034419</c:v>
                </c:pt>
                <c:pt idx="38">
                  <c:v>3092.7454229346713</c:v>
                </c:pt>
                <c:pt idx="39">
                  <c:v>3209.4003196376466</c:v>
                </c:pt>
                <c:pt idx="40">
                  <c:v>3244.7388897666524</c:v>
                </c:pt>
                <c:pt idx="41">
                  <c:v>3150.9393864437075</c:v>
                </c:pt>
                <c:pt idx="42">
                  <c:v>3234.2449326556275</c:v>
                </c:pt>
                <c:pt idx="43">
                  <c:v>3320.0910029303559</c:v>
                </c:pt>
                <c:pt idx="44">
                  <c:v>3408.5421739780245</c:v>
                </c:pt>
                <c:pt idx="45">
                  <c:v>3499.66522090949</c:v>
                </c:pt>
                <c:pt idx="46">
                  <c:v>3593.5292914839606</c:v>
                </c:pt>
                <c:pt idx="47">
                  <c:v>3690.2060816539206</c:v>
                </c:pt>
                <c:pt idx="48">
                  <c:v>3789.7700138403711</c:v>
                </c:pt>
                <c:pt idx="49">
                  <c:v>3892.2984192719355</c:v>
                </c:pt>
                <c:pt idx="50">
                  <c:v>3997.8717256514824</c:v>
                </c:pt>
                <c:pt idx="51">
                  <c:v>4106.5736513681331</c:v>
                </c:pt>
                <c:pt idx="52">
                  <c:v>4218.4914074486933</c:v>
                </c:pt>
                <c:pt idx="53">
                  <c:v>4333.7159084369387</c:v>
                </c:pt>
                <c:pt idx="54">
                  <c:v>4452.341993401149</c:v>
                </c:pt>
                <c:pt idx="55">
                  <c:v>4574.4686582977938</c:v>
                </c:pt>
                <c:pt idx="56">
                  <c:v>4700.1993009613298</c:v>
                </c:pt>
                <c:pt idx="57">
                  <c:v>4829.6419800475142</c:v>
                </c:pt>
                <c:pt idx="58">
                  <c:v>4962.9096893282112</c:v>
                </c:pt>
                <c:pt idx="59">
                  <c:v>5100.1206488217822</c:v>
                </c:pt>
                <c:pt idx="60">
                  <c:v>5241.3986143436514</c:v>
                </c:pt>
                <c:pt idx="61">
                  <c:v>5386.8732071782351</c:v>
                </c:pt>
                <c:pt idx="62">
                  <c:v>5536.6802657064418</c:v>
                </c:pt>
                <c:pt idx="63">
                  <c:v>5690.9622209744266</c:v>
                </c:pt>
                <c:pt idx="64">
                  <c:v>5849.8684983599869</c:v>
                </c:pt>
                <c:pt idx="65">
                  <c:v>6013.5559476855915</c:v>
                </c:pt>
                <c:pt idx="66">
                  <c:v>6182.1893043430427</c:v>
                </c:pt>
                <c:pt idx="67">
                  <c:v>6355.9416842376277</c:v>
                </c:pt>
                <c:pt idx="68">
                  <c:v>6534.9951156311845</c:v>
                </c:pt>
                <c:pt idx="69">
                  <c:v>6719.5411112688253</c:v>
                </c:pt>
                <c:pt idx="70">
                  <c:v>6909.7812845156586</c:v>
                </c:pt>
                <c:pt idx="71">
                  <c:v>7105.9280136131856</c:v>
                </c:pt>
                <c:pt idx="72">
                  <c:v>7308.205158595918</c:v>
                </c:pt>
                <c:pt idx="73">
                  <c:v>7516.848835891903</c:v>
                </c:pt>
                <c:pt idx="74">
                  <c:v>7732.1082561750827</c:v>
                </c:pt>
                <c:pt idx="75">
                  <c:v>7954.2466316500622</c:v>
                </c:pt>
                <c:pt idx="76">
                  <c:v>8183.5421596403248</c:v>
                </c:pt>
                <c:pt idx="77">
                  <c:v>8420.289090131073</c:v>
                </c:pt>
                <c:pt idx="78">
                  <c:v>8664.7988857998971</c:v>
                </c:pt>
                <c:pt idx="79">
                  <c:v>8917.4014840673135</c:v>
                </c:pt>
                <c:pt idx="80">
                  <c:v>9178.4466718327676</c:v>
                </c:pt>
                <c:pt idx="81">
                  <c:v>9448.3055848494914</c:v>
                </c:pt>
                <c:pt idx="82">
                  <c:v>9727.3723451581554</c:v>
                </c:pt>
                <c:pt idx="83">
                  <c:v>10016.065851671556</c:v>
                </c:pt>
                <c:pt idx="84">
                  <c:v>10314.831740913858</c:v>
                </c:pt>
                <c:pt idx="85">
                  <c:v>10624.144537106349</c:v>
                </c:pt>
                <c:pt idx="86">
                  <c:v>10944.510013302608</c:v>
                </c:pt>
                <c:pt idx="87">
                  <c:v>11276.467788162796</c:v>
                </c:pt>
                <c:pt idx="88">
                  <c:v>11620.594186283934</c:v>
                </c:pt>
                <c:pt idx="89">
                  <c:v>11977.505393844805</c:v>
                </c:pt>
                <c:pt idx="90">
                  <c:v>12347.860945772405</c:v>
                </c:pt>
                <c:pt idx="91">
                  <c:v>12732.367585797694</c:v>
                </c:pt>
                <c:pt idx="92">
                  <c:v>13131.783546773659</c:v>
                </c:pt>
                <c:pt idx="93">
                  <c:v>13546.923305630746</c:v>
                </c:pt>
                <c:pt idx="94">
                  <c:v>13978.662875536462</c:v>
                </c:pt>
                <c:pt idx="95">
                  <c:v>14427.94570742932</c:v>
                </c:pt>
                <c:pt idx="96">
                  <c:v>14895.78928439423</c:v>
                </c:pt>
                <c:pt idx="97">
                  <c:v>15383.292505672032</c:v>
                </c:pt>
                <c:pt idx="98">
                  <c:v>15891.643972862617</c:v>
                </c:pt>
                <c:pt idx="99">
                  <c:v>16422.131309598532</c:v>
                </c:pt>
                <c:pt idx="100">
                  <c:v>16976.151668259721</c:v>
                </c:pt>
              </c:numCache>
            </c:numRef>
          </c:val>
          <c:smooth val="0"/>
          <c:extLst>
            <c:ext xmlns:c16="http://schemas.microsoft.com/office/drawing/2014/chart" uri="{C3380CC4-5D6E-409C-BE32-E72D297353CC}">
              <c16:uniqueId val="{00000003-9FB2-40F7-8293-C6828AB4E751}"/>
            </c:ext>
          </c:extLst>
        </c:ser>
        <c:dLbls>
          <c:showLegendKey val="0"/>
          <c:showVal val="0"/>
          <c:showCatName val="0"/>
          <c:showSerName val="0"/>
          <c:showPercent val="0"/>
          <c:showBubbleSize val="0"/>
        </c:dLbls>
        <c:marker val="1"/>
        <c:smooth val="0"/>
        <c:axId val="450510848"/>
        <c:axId val="450500480"/>
      </c:lineChart>
      <c:catAx>
        <c:axId val="450484096"/>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0498560"/>
        <c:crosses val="autoZero"/>
        <c:auto val="1"/>
        <c:lblAlgn val="ctr"/>
        <c:lblOffset val="100"/>
        <c:tickLblSkip val="20"/>
        <c:tickMarkSkip val="20"/>
        <c:noMultiLvlLbl val="0"/>
      </c:catAx>
      <c:valAx>
        <c:axId val="450498560"/>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0484096"/>
        <c:crossesAt val="0"/>
        <c:crossBetween val="between"/>
        <c:majorUnit val="5"/>
        <c:minorUnit val="2.5"/>
      </c:valAx>
      <c:valAx>
        <c:axId val="45050048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0510848"/>
        <c:crosses val="max"/>
        <c:crossBetween val="between"/>
      </c:valAx>
      <c:catAx>
        <c:axId val="450510848"/>
        <c:scaling>
          <c:orientation val="minMax"/>
        </c:scaling>
        <c:delete val="1"/>
        <c:axPos val="b"/>
        <c:numFmt formatCode="General" sourceLinked="1"/>
        <c:majorTickMark val="out"/>
        <c:minorTickMark val="none"/>
        <c:tickLblPos val="nextTo"/>
        <c:crossAx val="45050048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0-8D54-466C-9E56-3B54C69CECB8}"/>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1-8D54-466C-9E56-3B54C69CECB8}"/>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2-8D54-466C-9E56-3B54C69CECB8}"/>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8D54-466C-9E56-3B54C69CECB8}"/>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8D54-466C-9E56-3B54C69CECB8}"/>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8D54-466C-9E56-3B54C69CECB8}"/>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6-8D54-466C-9E56-3B54C69CECB8}"/>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7-8D54-466C-9E56-3B54C69CECB8}"/>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8-8D54-466C-9E56-3B54C69CECB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8D54-466C-9E56-3B54C69CECB8}"/>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8D54-466C-9E56-3B54C69CECB8}"/>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8D54-466C-9E56-3B54C69CECB8}"/>
            </c:ext>
          </c:extLst>
        </c:ser>
        <c:dLbls>
          <c:showLegendKey val="0"/>
          <c:showVal val="0"/>
          <c:showCatName val="0"/>
          <c:showSerName val="0"/>
          <c:showPercent val="0"/>
          <c:showBubbleSize val="0"/>
        </c:dLbls>
        <c:smooth val="0"/>
        <c:axId val="450786048"/>
        <c:axId val="450788352"/>
      </c:lineChart>
      <c:catAx>
        <c:axId val="450786048"/>
        <c:scaling>
          <c:orientation val="minMax"/>
        </c:scaling>
        <c:delete val="0"/>
        <c:axPos val="b"/>
        <c:majorGridlines>
          <c:spPr>
            <a:ln w="15875">
              <a:solidFill>
                <a:srgbClr val="969696"/>
              </a:solidFill>
              <a:prstDash val="sysDash"/>
            </a:ln>
          </c:spPr>
        </c:majorGridlines>
        <c:title>
          <c:tx>
            <c:rich>
              <a:bodyPr/>
              <a:lstStyle/>
              <a:p>
                <a:pPr>
                  <a:defRPr lang="ja-JP"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400" b="1" i="0" u="none" strike="noStrike" baseline="0">
                <a:solidFill>
                  <a:schemeClr val="tx1"/>
                </a:solidFill>
                <a:latin typeface="Arial" pitchFamily="34" charset="0"/>
                <a:ea typeface="Calibri"/>
                <a:cs typeface="Arial" pitchFamily="34" charset="0"/>
              </a:defRPr>
            </a:pPr>
            <a:endParaRPr lang="en-US"/>
          </a:p>
        </c:txPr>
        <c:crossAx val="450788352"/>
        <c:crosses val="autoZero"/>
        <c:auto val="1"/>
        <c:lblAlgn val="ctr"/>
        <c:lblOffset val="100"/>
        <c:tickLblSkip val="20"/>
        <c:tickMarkSkip val="10"/>
        <c:noMultiLvlLbl val="0"/>
      </c:catAx>
      <c:valAx>
        <c:axId val="450788352"/>
        <c:scaling>
          <c:orientation val="minMax"/>
          <c:max val="400"/>
          <c:min val="0"/>
        </c:scaling>
        <c:delete val="0"/>
        <c:axPos val="l"/>
        <c:majorGridlines>
          <c:spPr>
            <a:ln w="15875">
              <a:solidFill>
                <a:srgbClr val="808080"/>
              </a:solidFill>
              <a:prstDash val="solid"/>
            </a:ln>
          </c:spPr>
        </c:majorGridlines>
        <c:title>
          <c:tx>
            <c:rich>
              <a:bodyPr/>
              <a:lstStyle/>
              <a:p>
                <a:pPr>
                  <a:defRPr lang="ja-JP"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lang="ja-JP" sz="1600" b="1" i="0" u="none" strike="noStrike" baseline="0">
                <a:solidFill>
                  <a:schemeClr val="tx1"/>
                </a:solidFill>
                <a:latin typeface="Arial" pitchFamily="34" charset="0"/>
                <a:ea typeface="Calibri"/>
                <a:cs typeface="Arial" pitchFamily="34" charset="0"/>
              </a:defRPr>
            </a:pPr>
            <a:endParaRPr lang="en-US"/>
          </a:p>
        </c:txPr>
        <c:crossAx val="450786048"/>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19</c:v>
                </c:pt>
                <c:pt idx="1">
                  <c:v>19.66</c:v>
                </c:pt>
                <c:pt idx="2">
                  <c:v>20.32</c:v>
                </c:pt>
                <c:pt idx="3">
                  <c:v>20.98</c:v>
                </c:pt>
                <c:pt idx="4">
                  <c:v>21.64</c:v>
                </c:pt>
                <c:pt idx="5">
                  <c:v>22.3</c:v>
                </c:pt>
                <c:pt idx="6">
                  <c:v>22.96</c:v>
                </c:pt>
                <c:pt idx="7">
                  <c:v>23.62</c:v>
                </c:pt>
                <c:pt idx="8">
                  <c:v>24.28</c:v>
                </c:pt>
                <c:pt idx="9">
                  <c:v>24.939999999999998</c:v>
                </c:pt>
                <c:pt idx="10">
                  <c:v>25.6</c:v>
                </c:pt>
                <c:pt idx="11">
                  <c:v>26.259999999999998</c:v>
                </c:pt>
                <c:pt idx="12">
                  <c:v>26.92</c:v>
                </c:pt>
                <c:pt idx="13">
                  <c:v>27.58</c:v>
                </c:pt>
                <c:pt idx="14">
                  <c:v>28.240000000000002</c:v>
                </c:pt>
                <c:pt idx="15">
                  <c:v>28.9</c:v>
                </c:pt>
                <c:pt idx="16">
                  <c:v>29.560000000000002</c:v>
                </c:pt>
                <c:pt idx="17">
                  <c:v>30.22</c:v>
                </c:pt>
                <c:pt idx="18">
                  <c:v>30.88</c:v>
                </c:pt>
                <c:pt idx="19">
                  <c:v>31.54</c:v>
                </c:pt>
                <c:pt idx="20">
                  <c:v>32.200000000000003</c:v>
                </c:pt>
                <c:pt idx="21">
                  <c:v>32.86</c:v>
                </c:pt>
                <c:pt idx="22">
                  <c:v>33.519999999999996</c:v>
                </c:pt>
                <c:pt idx="23">
                  <c:v>34.18</c:v>
                </c:pt>
                <c:pt idx="24">
                  <c:v>34.840000000000003</c:v>
                </c:pt>
                <c:pt idx="25">
                  <c:v>35.5</c:v>
                </c:pt>
                <c:pt idx="26">
                  <c:v>36.159999999999997</c:v>
                </c:pt>
                <c:pt idx="27">
                  <c:v>36.82</c:v>
                </c:pt>
                <c:pt idx="28">
                  <c:v>37.480000000000004</c:v>
                </c:pt>
                <c:pt idx="29">
                  <c:v>38.14</c:v>
                </c:pt>
                <c:pt idx="30">
                  <c:v>38.799999999999997</c:v>
                </c:pt>
                <c:pt idx="31">
                  <c:v>39.46</c:v>
                </c:pt>
                <c:pt idx="32">
                  <c:v>40.120000000000005</c:v>
                </c:pt>
                <c:pt idx="33">
                  <c:v>40.78</c:v>
                </c:pt>
                <c:pt idx="34">
                  <c:v>41.44</c:v>
                </c:pt>
                <c:pt idx="35">
                  <c:v>42.099999999999994</c:v>
                </c:pt>
                <c:pt idx="36">
                  <c:v>42.76</c:v>
                </c:pt>
                <c:pt idx="37">
                  <c:v>43.42</c:v>
                </c:pt>
                <c:pt idx="38">
                  <c:v>44.08</c:v>
                </c:pt>
                <c:pt idx="39">
                  <c:v>44.74</c:v>
                </c:pt>
                <c:pt idx="40">
                  <c:v>45.400000000000006</c:v>
                </c:pt>
                <c:pt idx="41">
                  <c:v>46.06</c:v>
                </c:pt>
                <c:pt idx="42">
                  <c:v>46.72</c:v>
                </c:pt>
                <c:pt idx="43">
                  <c:v>47.379999999999995</c:v>
                </c:pt>
                <c:pt idx="44">
                  <c:v>48.04</c:v>
                </c:pt>
                <c:pt idx="45">
                  <c:v>48.7</c:v>
                </c:pt>
                <c:pt idx="46">
                  <c:v>49.36</c:v>
                </c:pt>
                <c:pt idx="47">
                  <c:v>50.019999999999996</c:v>
                </c:pt>
                <c:pt idx="48">
                  <c:v>50.68</c:v>
                </c:pt>
                <c:pt idx="49">
                  <c:v>51.339999999999996</c:v>
                </c:pt>
                <c:pt idx="50">
                  <c:v>52</c:v>
                </c:pt>
                <c:pt idx="51">
                  <c:v>52.660000000000004</c:v>
                </c:pt>
                <c:pt idx="52">
                  <c:v>53.32</c:v>
                </c:pt>
                <c:pt idx="53">
                  <c:v>53.980000000000004</c:v>
                </c:pt>
                <c:pt idx="54">
                  <c:v>54.64</c:v>
                </c:pt>
                <c:pt idx="55">
                  <c:v>55.300000000000004</c:v>
                </c:pt>
                <c:pt idx="56">
                  <c:v>55.96</c:v>
                </c:pt>
                <c:pt idx="57">
                  <c:v>56.62</c:v>
                </c:pt>
                <c:pt idx="58">
                  <c:v>57.279999999999994</c:v>
                </c:pt>
                <c:pt idx="59">
                  <c:v>57.94</c:v>
                </c:pt>
                <c:pt idx="60">
                  <c:v>58.6</c:v>
                </c:pt>
                <c:pt idx="61">
                  <c:v>59.26</c:v>
                </c:pt>
                <c:pt idx="62">
                  <c:v>59.92</c:v>
                </c:pt>
                <c:pt idx="63">
                  <c:v>60.58</c:v>
                </c:pt>
                <c:pt idx="64">
                  <c:v>61.24</c:v>
                </c:pt>
                <c:pt idx="65">
                  <c:v>61.9</c:v>
                </c:pt>
                <c:pt idx="66">
                  <c:v>62.56</c:v>
                </c:pt>
                <c:pt idx="67">
                  <c:v>63.220000000000006</c:v>
                </c:pt>
                <c:pt idx="68">
                  <c:v>63.88</c:v>
                </c:pt>
                <c:pt idx="69">
                  <c:v>64.539999999999992</c:v>
                </c:pt>
                <c:pt idx="70">
                  <c:v>65.199999999999989</c:v>
                </c:pt>
                <c:pt idx="71">
                  <c:v>65.86</c:v>
                </c:pt>
                <c:pt idx="72">
                  <c:v>66.52</c:v>
                </c:pt>
                <c:pt idx="73">
                  <c:v>67.180000000000007</c:v>
                </c:pt>
                <c:pt idx="74">
                  <c:v>67.84</c:v>
                </c:pt>
                <c:pt idx="75">
                  <c:v>68.5</c:v>
                </c:pt>
                <c:pt idx="76">
                  <c:v>69.16</c:v>
                </c:pt>
                <c:pt idx="77">
                  <c:v>69.819999999999993</c:v>
                </c:pt>
                <c:pt idx="78">
                  <c:v>70.48</c:v>
                </c:pt>
                <c:pt idx="79">
                  <c:v>71.14</c:v>
                </c:pt>
                <c:pt idx="80">
                  <c:v>71.800000000000011</c:v>
                </c:pt>
                <c:pt idx="81">
                  <c:v>72.460000000000008</c:v>
                </c:pt>
                <c:pt idx="82">
                  <c:v>73.12</c:v>
                </c:pt>
                <c:pt idx="83">
                  <c:v>73.78</c:v>
                </c:pt>
                <c:pt idx="84">
                  <c:v>74.44</c:v>
                </c:pt>
                <c:pt idx="85">
                  <c:v>75.099999999999994</c:v>
                </c:pt>
                <c:pt idx="86">
                  <c:v>75.759999999999991</c:v>
                </c:pt>
                <c:pt idx="87">
                  <c:v>76.42</c:v>
                </c:pt>
                <c:pt idx="88">
                  <c:v>77.08</c:v>
                </c:pt>
                <c:pt idx="89">
                  <c:v>77.740000000000009</c:v>
                </c:pt>
                <c:pt idx="90">
                  <c:v>78.400000000000006</c:v>
                </c:pt>
                <c:pt idx="91">
                  <c:v>79.06</c:v>
                </c:pt>
                <c:pt idx="92">
                  <c:v>79.72</c:v>
                </c:pt>
                <c:pt idx="93">
                  <c:v>80.38</c:v>
                </c:pt>
                <c:pt idx="94">
                  <c:v>81.039999999999992</c:v>
                </c:pt>
                <c:pt idx="95">
                  <c:v>81.699999999999989</c:v>
                </c:pt>
                <c:pt idx="96">
                  <c:v>82.36</c:v>
                </c:pt>
                <c:pt idx="97">
                  <c:v>83.02</c:v>
                </c:pt>
                <c:pt idx="98">
                  <c:v>83.679999999999993</c:v>
                </c:pt>
                <c:pt idx="99">
                  <c:v>84.34</c:v>
                </c:pt>
                <c:pt idx="100">
                  <c:v>85</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A7ED-4BB2-BB4F-6969824E41D0}"/>
            </c:ext>
          </c:extLst>
        </c:ser>
        <c:dLbls>
          <c:showLegendKey val="0"/>
          <c:showVal val="0"/>
          <c:showCatName val="0"/>
          <c:showSerName val="0"/>
          <c:showPercent val="0"/>
          <c:showBubbleSize val="0"/>
        </c:dLbls>
        <c:axId val="447869696"/>
        <c:axId val="447871616"/>
      </c:scatterChart>
      <c:valAx>
        <c:axId val="447869696"/>
        <c:scaling>
          <c:orientation val="minMax"/>
        </c:scaling>
        <c:delete val="0"/>
        <c:axPos val="b"/>
        <c:majorGridlines/>
        <c:title>
          <c:tx>
            <c:rich>
              <a:bodyPr/>
              <a:lstStyle/>
              <a:p>
                <a:pPr>
                  <a:defRPr lang="ja-JP"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ja-JP" sz="975" b="1" i="0" u="none" strike="noStrike" baseline="0">
                <a:solidFill>
                  <a:srgbClr val="000000"/>
                </a:solidFill>
                <a:latin typeface="Arial"/>
                <a:ea typeface="Arial"/>
                <a:cs typeface="Arial"/>
              </a:defRPr>
            </a:pPr>
            <a:endParaRPr lang="en-US"/>
          </a:p>
        </c:txPr>
        <c:crossAx val="447871616"/>
        <c:crosses val="autoZero"/>
        <c:crossBetween val="midCat"/>
      </c:valAx>
      <c:valAx>
        <c:axId val="447871616"/>
        <c:scaling>
          <c:orientation val="minMax"/>
        </c:scaling>
        <c:delete val="0"/>
        <c:axPos val="l"/>
        <c:majorGridlines>
          <c:spPr>
            <a:ln w="3175">
              <a:solidFill>
                <a:srgbClr val="000000"/>
              </a:solidFill>
              <a:prstDash val="solid"/>
            </a:ln>
          </c:spPr>
        </c:majorGridlines>
        <c:title>
          <c:tx>
            <c:rich>
              <a:bodyPr/>
              <a:lstStyle/>
              <a:p>
                <a:pPr>
                  <a:defRPr lang="ja-JP"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lang="ja-JP" sz="1200" b="1" i="0" u="none" strike="noStrike" baseline="0">
                <a:solidFill>
                  <a:srgbClr val="000000"/>
                </a:solidFill>
                <a:latin typeface="Arial"/>
                <a:ea typeface="Arial"/>
                <a:cs typeface="Arial"/>
              </a:defRPr>
            </a:pPr>
            <a:endParaRPr lang="en-US"/>
          </a:p>
        </c:txPr>
        <c:crossAx val="44786969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lang="ja-JP"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Single'!$CB$5:$CB$105</c:f>
              <c:numCache>
                <c:formatCode>0.00</c:formatCode>
                <c:ptCount val="101"/>
                <c:pt idx="0">
                  <c:v>9.4582178659988531E-7</c:v>
                </c:pt>
                <c:pt idx="1">
                  <c:v>47.279412824672313</c:v>
                </c:pt>
                <c:pt idx="2">
                  <c:v>63.03499249987</c:v>
                </c:pt>
                <c:pt idx="3">
                  <c:v>70.912124224584062</c:v>
                </c:pt>
                <c:pt idx="4">
                  <c:v>75.638223231460515</c:v>
                </c:pt>
                <c:pt idx="5">
                  <c:v>78.648529722608387</c:v>
                </c:pt>
                <c:pt idx="6">
                  <c:v>80.581846459739097</c:v>
                </c:pt>
                <c:pt idx="7">
                  <c:v>82.0215572364514</c:v>
                </c:pt>
                <c:pt idx="8">
                  <c:v>83.1351425836761</c:v>
                </c:pt>
                <c:pt idx="9">
                  <c:v>84.022013068892477</c:v>
                </c:pt>
                <c:pt idx="10">
                  <c:v>84.744902042666297</c:v>
                </c:pt>
                <c:pt idx="11">
                  <c:v>85.345352143101522</c:v>
                </c:pt>
                <c:pt idx="12">
                  <c:v>85.851966057402834</c:v>
                </c:pt>
                <c:pt idx="13">
                  <c:v>86.285080795395984</c:v>
                </c:pt>
                <c:pt idx="14">
                  <c:v>86.65955230777395</c:v>
                </c:pt>
                <c:pt idx="15">
                  <c:v>86.986485435936956</c:v>
                </c:pt>
                <c:pt idx="16">
                  <c:v>87.274347551296216</c:v>
                </c:pt>
                <c:pt idx="17">
                  <c:v>87.529707687280876</c:v>
                </c:pt>
                <c:pt idx="18">
                  <c:v>87.757740299857119</c:v>
                </c:pt>
                <c:pt idx="19">
                  <c:v>87.962576693943149</c:v>
                </c:pt>
                <c:pt idx="20">
                  <c:v>88.147555279503891</c:v>
                </c:pt>
                <c:pt idx="21">
                  <c:v>88.315403081229704</c:v>
                </c:pt>
                <c:pt idx="22">
                  <c:v>88.468369569650378</c:v>
                </c:pt>
                <c:pt idx="23">
                  <c:v>88.608326812281973</c:v>
                </c:pt>
                <c:pt idx="24">
                  <c:v>88.736845435301873</c:v>
                </c:pt>
                <c:pt idx="25">
                  <c:v>88.855252948204622</c:v>
                </c:pt>
                <c:pt idx="26">
                  <c:v>88.964679030970345</c:v>
                </c:pt>
                <c:pt idx="27">
                  <c:v>89.066091061653225</c:v>
                </c:pt>
                <c:pt idx="28">
                  <c:v>89.160322253082953</c:v>
                </c:pt>
                <c:pt idx="29">
                  <c:v>89.248094132369033</c:v>
                </c:pt>
                <c:pt idx="30">
                  <c:v>89.33003464719765</c:v>
                </c:pt>
                <c:pt idx="31">
                  <c:v>89.406692860316923</c:v>
                </c:pt>
                <c:pt idx="32">
                  <c:v>89.478550959417035</c:v>
                </c:pt>
                <c:pt idx="33">
                  <c:v>89.546034137704254</c:v>
                </c:pt>
                <c:pt idx="34">
                  <c:v>89.609518772965032</c:v>
                </c:pt>
                <c:pt idx="35">
                  <c:v>89.669339237430961</c:v>
                </c:pt>
                <c:pt idx="36">
                  <c:v>89.725793598595473</c:v>
                </c:pt>
                <c:pt idx="37">
                  <c:v>89.779148416135428</c:v>
                </c:pt>
                <c:pt idx="38">
                  <c:v>89.829642797836556</c:v>
                </c:pt>
                <c:pt idx="39">
                  <c:v>89.877399986884981</c:v>
                </c:pt>
                <c:pt idx="40">
                  <c:v>89.94128933332199</c:v>
                </c:pt>
                <c:pt idx="41">
                  <c:v>89.927894399876081</c:v>
                </c:pt>
                <c:pt idx="42">
                  <c:v>89.910362907293234</c:v>
                </c:pt>
                <c:pt idx="43">
                  <c:v>89.889022301447596</c:v>
                </c:pt>
                <c:pt idx="44">
                  <c:v>89.864041208632941</c:v>
                </c:pt>
                <c:pt idx="45">
                  <c:v>89.835568122068864</c:v>
                </c:pt>
                <c:pt idx="46">
                  <c:v>89.803733467797485</c:v>
                </c:pt>
                <c:pt idx="47">
                  <c:v>89.768651385790051</c:v>
                </c:pt>
                <c:pt idx="48">
                  <c:v>89.730421268049426</c:v>
                </c:pt>
                <c:pt idx="49">
                  <c:v>89.689129088442556</c:v>
                </c:pt>
                <c:pt idx="50">
                  <c:v>89.644848553233658</c:v>
                </c:pt>
                <c:pt idx="51">
                  <c:v>89.597642096553543</c:v>
                </c:pt>
                <c:pt idx="52">
                  <c:v>89.547561741134928</c:v>
                </c:pt>
                <c:pt idx="53">
                  <c:v>89.494649841404367</c:v>
                </c:pt>
                <c:pt idx="54">
                  <c:v>89.438939723324964</c:v>
                </c:pt>
                <c:pt idx="55">
                  <c:v>89.380456233126736</c:v>
                </c:pt>
                <c:pt idx="56">
                  <c:v>89.319216205164167</c:v>
                </c:pt>
                <c:pt idx="57">
                  <c:v>89.255228857535556</c:v>
                </c:pt>
                <c:pt idx="58">
                  <c:v>89.188496122735998</c:v>
                </c:pt>
                <c:pt idx="59">
                  <c:v>89.119012919449474</c:v>
                </c:pt>
                <c:pt idx="60">
                  <c:v>89.046767370582003</c:v>
                </c:pt>
                <c:pt idx="61">
                  <c:v>88.971740971767389</c:v>
                </c:pt>
                <c:pt idx="62">
                  <c:v>88.893908713816444</c:v>
                </c:pt>
                <c:pt idx="63">
                  <c:v>88.813239161907703</c:v>
                </c:pt>
                <c:pt idx="64">
                  <c:v>88.729694493718796</c:v>
                </c:pt>
                <c:pt idx="65">
                  <c:v>88.643230498155233</c:v>
                </c:pt>
                <c:pt idx="66">
                  <c:v>88.553796535837463</c:v>
                </c:pt>
                <c:pt idx="67">
                  <c:v>88.46133546204527</c:v>
                </c:pt>
                <c:pt idx="68">
                  <c:v>88.365783512382563</c:v>
                </c:pt>
                <c:pt idx="69">
                  <c:v>88.267070151006166</c:v>
                </c:pt>
                <c:pt idx="70">
                  <c:v>88.165117880851255</c:v>
                </c:pt>
                <c:pt idx="71">
                  <c:v>88.059842014876693</c:v>
                </c:pt>
                <c:pt idx="72">
                  <c:v>87.951150406937671</c:v>
                </c:pt>
                <c:pt idx="73">
                  <c:v>87.838943140464437</c:v>
                </c:pt>
                <c:pt idx="74">
                  <c:v>87.723112172676153</c:v>
                </c:pt>
                <c:pt idx="75">
                  <c:v>87.603540931580568</c:v>
                </c:pt>
                <c:pt idx="76">
                  <c:v>87.480103862496023</c:v>
                </c:pt>
                <c:pt idx="77">
                  <c:v>87.352665920270937</c:v>
                </c:pt>
                <c:pt idx="78">
                  <c:v>87.221082002760042</c:v>
                </c:pt>
                <c:pt idx="79">
                  <c:v>87.085196320433155</c:v>
                </c:pt>
                <c:pt idx="80">
                  <c:v>86.94484169622811</c:v>
                </c:pt>
                <c:pt idx="81">
                  <c:v>86.799838788902434</c:v>
                </c:pt>
                <c:pt idx="82">
                  <c:v>86.64999523216764</c:v>
                </c:pt>
                <c:pt idx="83">
                  <c:v>86.495104680788771</c:v>
                </c:pt>
                <c:pt idx="84">
                  <c:v>86.334945753575667</c:v>
                </c:pt>
                <c:pt idx="85">
                  <c:v>86.169280861752853</c:v>
                </c:pt>
                <c:pt idx="86">
                  <c:v>85.9978549095419</c:v>
                </c:pt>
                <c:pt idx="87">
                  <c:v>85.82039385188142</c:v>
                </c:pt>
                <c:pt idx="88">
                  <c:v>85.636603092003796</c:v>
                </c:pt>
                <c:pt idx="89">
                  <c:v>85.446165699024107</c:v>
                </c:pt>
                <c:pt idx="90">
                  <c:v>85.248740422713638</c:v>
                </c:pt>
                <c:pt idx="91">
                  <c:v>85.04395947914486</c:v>
                </c:pt>
                <c:pt idx="92">
                  <c:v>84.831426076810658</c:v>
                </c:pt>
                <c:pt idx="93">
                  <c:v>84.610711648020782</c:v>
                </c:pt>
                <c:pt idx="94">
                  <c:v>84.381352744718825</c:v>
                </c:pt>
                <c:pt idx="95">
                  <c:v>84.142847551166554</c:v>
                </c:pt>
                <c:pt idx="96">
                  <c:v>83.894651957996814</c:v>
                </c:pt>
                <c:pt idx="97">
                  <c:v>83.636175132669166</c:v>
                </c:pt>
                <c:pt idx="98">
                  <c:v>83.366774510050433</c:v>
                </c:pt>
                <c:pt idx="99">
                  <c:v>83.085750113268801</c:v>
                </c:pt>
                <c:pt idx="100">
                  <c:v>82.792338098645743</c:v>
                </c:pt>
              </c:numCache>
            </c:numRef>
          </c:val>
          <c:smooth val="0"/>
          <c:extLst>
            <c:ext xmlns:c16="http://schemas.microsoft.com/office/drawing/2014/chart" uri="{C3380CC4-5D6E-409C-BE32-E72D297353CC}">
              <c16:uniqueId val="{00000000-3B81-4204-928B-6CDC733DE792}"/>
            </c:ext>
          </c:extLst>
        </c:ser>
        <c:dLbls>
          <c:showLegendKey val="0"/>
          <c:showVal val="0"/>
          <c:showCatName val="0"/>
          <c:showSerName val="0"/>
          <c:showPercent val="0"/>
          <c:showBubbleSize val="0"/>
        </c:dLbls>
        <c:marker val="1"/>
        <c:smooth val="0"/>
        <c:axId val="451805952"/>
        <c:axId val="451807872"/>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6.2124999999999988E-7</c:v>
                </c:pt>
                <c:pt idx="1">
                  <c:v>62.124999999999993</c:v>
                </c:pt>
                <c:pt idx="2">
                  <c:v>124.24999999999999</c:v>
                </c:pt>
                <c:pt idx="3">
                  <c:v>186.37499999999997</c:v>
                </c:pt>
                <c:pt idx="4">
                  <c:v>248.49999999999997</c:v>
                </c:pt>
                <c:pt idx="5">
                  <c:v>310.625</c:v>
                </c:pt>
                <c:pt idx="6">
                  <c:v>372.74999999999994</c:v>
                </c:pt>
                <c:pt idx="7">
                  <c:v>434.87499999999994</c:v>
                </c:pt>
                <c:pt idx="8">
                  <c:v>496.99999999999994</c:v>
                </c:pt>
                <c:pt idx="9">
                  <c:v>559.12499999999989</c:v>
                </c:pt>
                <c:pt idx="10">
                  <c:v>621.25</c:v>
                </c:pt>
                <c:pt idx="11">
                  <c:v>683.375</c:v>
                </c:pt>
                <c:pt idx="12">
                  <c:v>745.49999999999989</c:v>
                </c:pt>
                <c:pt idx="13">
                  <c:v>807.62499999999989</c:v>
                </c:pt>
                <c:pt idx="14">
                  <c:v>869.74999999999989</c:v>
                </c:pt>
                <c:pt idx="15">
                  <c:v>931.87499999999977</c:v>
                </c:pt>
                <c:pt idx="16">
                  <c:v>993.99999999999989</c:v>
                </c:pt>
                <c:pt idx="17">
                  <c:v>1056.125</c:v>
                </c:pt>
                <c:pt idx="18">
                  <c:v>1118.2499999999998</c:v>
                </c:pt>
                <c:pt idx="19">
                  <c:v>1180.3749999999998</c:v>
                </c:pt>
                <c:pt idx="20">
                  <c:v>1242.5</c:v>
                </c:pt>
                <c:pt idx="21">
                  <c:v>1304.625</c:v>
                </c:pt>
                <c:pt idx="22">
                  <c:v>1366.75</c:v>
                </c:pt>
                <c:pt idx="23">
                  <c:v>1428.8750000000002</c:v>
                </c:pt>
                <c:pt idx="24">
                  <c:v>1490.9999999999998</c:v>
                </c:pt>
                <c:pt idx="25">
                  <c:v>1553.1249999999998</c:v>
                </c:pt>
                <c:pt idx="26">
                  <c:v>1615.2499999999998</c:v>
                </c:pt>
                <c:pt idx="27">
                  <c:v>1677.3749999999998</c:v>
                </c:pt>
                <c:pt idx="28">
                  <c:v>1739.4999999999998</c:v>
                </c:pt>
                <c:pt idx="29">
                  <c:v>1801.6249999999998</c:v>
                </c:pt>
                <c:pt idx="30">
                  <c:v>1863.7499999999995</c:v>
                </c:pt>
                <c:pt idx="31">
                  <c:v>1925.8749999999998</c:v>
                </c:pt>
                <c:pt idx="32">
                  <c:v>1987.9999999999998</c:v>
                </c:pt>
                <c:pt idx="33">
                  <c:v>2050.125</c:v>
                </c:pt>
                <c:pt idx="34">
                  <c:v>2112.25</c:v>
                </c:pt>
                <c:pt idx="35">
                  <c:v>2174.3749999999995</c:v>
                </c:pt>
                <c:pt idx="36">
                  <c:v>2236.4999999999995</c:v>
                </c:pt>
                <c:pt idx="37">
                  <c:v>2298.625</c:v>
                </c:pt>
                <c:pt idx="38">
                  <c:v>2360.7499999999995</c:v>
                </c:pt>
                <c:pt idx="39">
                  <c:v>2422.875</c:v>
                </c:pt>
                <c:pt idx="40">
                  <c:v>2485</c:v>
                </c:pt>
                <c:pt idx="41">
                  <c:v>2547.1249999999995</c:v>
                </c:pt>
                <c:pt idx="42">
                  <c:v>2609.25</c:v>
                </c:pt>
                <c:pt idx="43">
                  <c:v>2671.375</c:v>
                </c:pt>
                <c:pt idx="44">
                  <c:v>2733.5</c:v>
                </c:pt>
                <c:pt idx="45">
                  <c:v>2795.625</c:v>
                </c:pt>
                <c:pt idx="46">
                  <c:v>2857.7500000000005</c:v>
                </c:pt>
                <c:pt idx="47">
                  <c:v>2919.8749999999991</c:v>
                </c:pt>
                <c:pt idx="48">
                  <c:v>2981.9999999999995</c:v>
                </c:pt>
                <c:pt idx="49">
                  <c:v>3044.125</c:v>
                </c:pt>
                <c:pt idx="50">
                  <c:v>3106.2499999999995</c:v>
                </c:pt>
                <c:pt idx="51">
                  <c:v>3168.3749999999991</c:v>
                </c:pt>
                <c:pt idx="52">
                  <c:v>3230.4999999999995</c:v>
                </c:pt>
                <c:pt idx="53">
                  <c:v>3292.625</c:v>
                </c:pt>
                <c:pt idx="54">
                  <c:v>3354.7499999999995</c:v>
                </c:pt>
                <c:pt idx="55">
                  <c:v>3416.8749999999995</c:v>
                </c:pt>
                <c:pt idx="56">
                  <c:v>3478.9999999999995</c:v>
                </c:pt>
                <c:pt idx="57">
                  <c:v>3541.1249999999991</c:v>
                </c:pt>
                <c:pt idx="58">
                  <c:v>3603.2499999999995</c:v>
                </c:pt>
                <c:pt idx="59">
                  <c:v>3665.3749999999986</c:v>
                </c:pt>
                <c:pt idx="60">
                  <c:v>3727.4999999999991</c:v>
                </c:pt>
                <c:pt idx="61">
                  <c:v>3789.6249999999995</c:v>
                </c:pt>
                <c:pt idx="62">
                  <c:v>3851.7499999999995</c:v>
                </c:pt>
                <c:pt idx="63">
                  <c:v>3913.8749999999991</c:v>
                </c:pt>
                <c:pt idx="64">
                  <c:v>3975.9999999999995</c:v>
                </c:pt>
                <c:pt idx="65">
                  <c:v>4038.125</c:v>
                </c:pt>
                <c:pt idx="66">
                  <c:v>4100.25</c:v>
                </c:pt>
                <c:pt idx="67">
                  <c:v>4162.3749999999991</c:v>
                </c:pt>
                <c:pt idx="68">
                  <c:v>4224.5</c:v>
                </c:pt>
                <c:pt idx="69">
                  <c:v>4286.6249999999991</c:v>
                </c:pt>
                <c:pt idx="70">
                  <c:v>4348.7499999999991</c:v>
                </c:pt>
                <c:pt idx="71">
                  <c:v>4410.875</c:v>
                </c:pt>
                <c:pt idx="72">
                  <c:v>4472.9999999999991</c:v>
                </c:pt>
                <c:pt idx="73">
                  <c:v>4535.1249999999991</c:v>
                </c:pt>
                <c:pt idx="74">
                  <c:v>4597.25</c:v>
                </c:pt>
                <c:pt idx="75">
                  <c:v>4659.375</c:v>
                </c:pt>
                <c:pt idx="76">
                  <c:v>4721.4999999999991</c:v>
                </c:pt>
                <c:pt idx="77">
                  <c:v>4783.625</c:v>
                </c:pt>
                <c:pt idx="78">
                  <c:v>4845.75</c:v>
                </c:pt>
                <c:pt idx="79">
                  <c:v>4907.875</c:v>
                </c:pt>
                <c:pt idx="80">
                  <c:v>4970</c:v>
                </c:pt>
                <c:pt idx="81">
                  <c:v>5032.1250000000009</c:v>
                </c:pt>
                <c:pt idx="82">
                  <c:v>5094.2499999999991</c:v>
                </c:pt>
                <c:pt idx="83">
                  <c:v>5156.3749999999991</c:v>
                </c:pt>
                <c:pt idx="84">
                  <c:v>5218.5</c:v>
                </c:pt>
                <c:pt idx="85">
                  <c:v>5280.6249999999991</c:v>
                </c:pt>
                <c:pt idx="86">
                  <c:v>5342.75</c:v>
                </c:pt>
                <c:pt idx="87">
                  <c:v>5404.8749999999991</c:v>
                </c:pt>
                <c:pt idx="88">
                  <c:v>5467</c:v>
                </c:pt>
                <c:pt idx="89">
                  <c:v>5529.125</c:v>
                </c:pt>
                <c:pt idx="90">
                  <c:v>5591.25</c:v>
                </c:pt>
                <c:pt idx="91">
                  <c:v>5653.3749999999991</c:v>
                </c:pt>
                <c:pt idx="92">
                  <c:v>5715.5000000000009</c:v>
                </c:pt>
                <c:pt idx="93">
                  <c:v>5777.625</c:v>
                </c:pt>
                <c:pt idx="94">
                  <c:v>5839.7499999999982</c:v>
                </c:pt>
                <c:pt idx="95">
                  <c:v>5901.8749999999991</c:v>
                </c:pt>
                <c:pt idx="96">
                  <c:v>5963.9999999999991</c:v>
                </c:pt>
                <c:pt idx="97">
                  <c:v>6026.1249999999982</c:v>
                </c:pt>
                <c:pt idx="98">
                  <c:v>6088.25</c:v>
                </c:pt>
                <c:pt idx="99">
                  <c:v>6150.3749999999991</c:v>
                </c:pt>
                <c:pt idx="100">
                  <c:v>6212.4999999999991</c:v>
                </c:pt>
              </c:numCache>
            </c:numRef>
          </c:val>
          <c:smooth val="0"/>
          <c:extLst>
            <c:ext xmlns:c16="http://schemas.microsoft.com/office/drawing/2014/chart" uri="{C3380CC4-5D6E-409C-BE32-E72D297353CC}">
              <c16:uniqueId val="{00000001-3B81-4204-928B-6CDC733DE792}"/>
            </c:ext>
          </c:extLst>
        </c:ser>
        <c:ser>
          <c:idx val="3"/>
          <c:order val="2"/>
          <c:tx>
            <c:strRef>
              <c:f>'Calculations - Single'!$BG$3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193.3963503776657</c:v>
                </c:pt>
                <c:pt idx="1">
                  <c:v>193.60620664733287</c:v>
                </c:pt>
                <c:pt idx="2">
                  <c:v>193.69319473562626</c:v>
                </c:pt>
                <c:pt idx="3">
                  <c:v>193.75996459535924</c:v>
                </c:pt>
                <c:pt idx="4">
                  <c:v>193.81626875695272</c:v>
                </c:pt>
                <c:pt idx="5">
                  <c:v>209.37126452035417</c:v>
                </c:pt>
                <c:pt idx="6">
                  <c:v>251.46090004082706</c:v>
                </c:pt>
                <c:pt idx="7">
                  <c:v>293.62276096028444</c:v>
                </c:pt>
                <c:pt idx="8">
                  <c:v>335.85703334547787</c:v>
                </c:pt>
                <c:pt idx="9">
                  <c:v>378.16390390283408</c:v>
                </c:pt>
                <c:pt idx="10">
                  <c:v>420.54355998120633</c:v>
                </c:pt>
                <c:pt idx="11">
                  <c:v>462.99618957463963</c:v>
                </c:pt>
                <c:pt idx="12">
                  <c:v>505.52198132515014</c:v>
                </c:pt>
                <c:pt idx="13">
                  <c:v>548.12112452552117</c:v>
                </c:pt>
                <c:pt idx="14">
                  <c:v>590.79380912210877</c:v>
                </c:pt>
                <c:pt idx="15">
                  <c:v>633.54022571766745</c:v>
                </c:pt>
                <c:pt idx="16">
                  <c:v>676.36056557418794</c:v>
                </c:pt>
                <c:pt idx="17">
                  <c:v>719.25502061574753</c:v>
                </c:pt>
                <c:pt idx="18">
                  <c:v>762.22378343137939</c:v>
                </c:pt>
                <c:pt idx="19">
                  <c:v>805.26704727795584</c:v>
                </c:pt>
                <c:pt idx="20">
                  <c:v>848.38500608308254</c:v>
                </c:pt>
                <c:pt idx="21">
                  <c:v>891.57785444801357</c:v>
                </c:pt>
                <c:pt idx="22">
                  <c:v>934.8457876505779</c:v>
                </c:pt>
                <c:pt idx="23">
                  <c:v>978.18900164812226</c:v>
                </c:pt>
                <c:pt idx="24">
                  <c:v>1021.6076930804701</c:v>
                </c:pt>
                <c:pt idx="25">
                  <c:v>1065.1020592728955</c:v>
                </c:pt>
                <c:pt idx="26">
                  <c:v>1108.6722982391102</c:v>
                </c:pt>
                <c:pt idx="27">
                  <c:v>1152.3186086842716</c:v>
                </c:pt>
                <c:pt idx="28">
                  <c:v>1196.0411900080012</c:v>
                </c:pt>
                <c:pt idx="29">
                  <c:v>1239.8402423074226</c:v>
                </c:pt>
                <c:pt idx="30">
                  <c:v>1283.7159663802133</c:v>
                </c:pt>
                <c:pt idx="31">
                  <c:v>1327.6685637276739</c:v>
                </c:pt>
                <c:pt idx="32">
                  <c:v>1371.6982365578108</c:v>
                </c:pt>
                <c:pt idx="33">
                  <c:v>1415.8051877884398</c:v>
                </c:pt>
                <c:pt idx="34">
                  <c:v>1459.989621050302</c:v>
                </c:pt>
                <c:pt idx="35">
                  <c:v>1504.251740690197</c:v>
                </c:pt>
                <c:pt idx="36">
                  <c:v>1548.591751774135</c:v>
                </c:pt>
                <c:pt idx="37">
                  <c:v>1593.0098600905023</c:v>
                </c:pt>
                <c:pt idx="38">
                  <c:v>1637.506272153244</c:v>
                </c:pt>
                <c:pt idx="39">
                  <c:v>1682.1453918413515</c:v>
                </c:pt>
                <c:pt idx="40">
                  <c:v>1672.199292600096</c:v>
                </c:pt>
                <c:pt idx="41">
                  <c:v>1684.5761937859031</c:v>
                </c:pt>
                <c:pt idx="42">
                  <c:v>1697.4212860615173</c:v>
                </c:pt>
                <c:pt idx="43">
                  <c:v>1710.6718574426739</c:v>
                </c:pt>
                <c:pt idx="44">
                  <c:v>1724.3306703419737</c:v>
                </c:pt>
                <c:pt idx="45">
                  <c:v>1738.4007895173684</c:v>
                </c:pt>
                <c:pt idx="46">
                  <c:v>1752.8855693817045</c:v>
                </c:pt>
                <c:pt idx="47">
                  <c:v>1767.7886435536907</c:v>
                </c:pt>
                <c:pt idx="48">
                  <c:v>1783.1139163583673</c:v>
                </c:pt>
                <c:pt idx="49">
                  <c:v>1798.8655560333866</c:v>
                </c:pt>
                <c:pt idx="50">
                  <c:v>1815.0479894373166</c:v>
                </c:pt>
                <c:pt idx="51">
                  <c:v>1831.6658980891191</c:v>
                </c:pt>
                <c:pt idx="52">
                  <c:v>1848.7242153954585</c:v>
                </c:pt>
                <c:pt idx="53">
                  <c:v>1866.2281249454195</c:v>
                </c:pt>
                <c:pt idx="54">
                  <c:v>1884.1830597715236</c:v>
                </c:pt>
                <c:pt idx="55">
                  <c:v>1902.594702492175</c:v>
                </c:pt>
                <c:pt idx="56">
                  <c:v>1921.4689862644975</c:v>
                </c:pt>
                <c:pt idx="57">
                  <c:v>1940.8120964882637</c:v>
                </c:pt>
                <c:pt idx="58">
                  <c:v>1960.6304732116987</c:v>
                </c:pt>
                <c:pt idx="59">
                  <c:v>1980.9308141986044</c:v>
                </c:pt>
                <c:pt idx="60">
                  <c:v>2001.7200786238188</c:v>
                </c:pt>
                <c:pt idx="61">
                  <c:v>2023.0054913705028</c:v>
                </c:pt>
                <c:pt idx="62">
                  <c:v>2044.794547908594</c:v>
                </c:pt>
                <c:pt idx="63">
                  <c:v>2067.0950197387906</c:v>
                </c:pt>
                <c:pt idx="64">
                  <c:v>2089.9149603910023</c:v>
                </c:pt>
                <c:pt idx="65">
                  <c:v>2113.2627119702806</c:v>
                </c:pt>
                <c:pt idx="66">
                  <c:v>2137.1469122469607</c:v>
                </c:pt>
                <c:pt idx="67">
                  <c:v>2161.5765022910828</c:v>
                </c:pt>
                <c:pt idx="68">
                  <c:v>2186.5607346543984</c:v>
                </c:pt>
                <c:pt idx="69">
                  <c:v>2212.1091821061104</c:v>
                </c:pt>
                <c:pt idx="70">
                  <c:v>2238.2317469313439</c:v>
                </c:pt>
                <c:pt idx="71">
                  <c:v>2264.9386708039488</c:v>
                </c:pt>
                <c:pt idx="72">
                  <c:v>2292.2405452478529</c:v>
                </c:pt>
                <c:pt idx="73">
                  <c:v>2320.1483227036629</c:v>
                </c:pt>
                <c:pt idx="74">
                  <c:v>2348.6733282196878</c:v>
                </c:pt>
                <c:pt idx="75">
                  <c:v>2377.8272717890281</c:v>
                </c:pt>
                <c:pt idx="76">
                  <c:v>2407.6222613569016</c:v>
                </c:pt>
                <c:pt idx="77">
                  <c:v>2438.0708165247984</c:v>
                </c:pt>
                <c:pt idx="78">
                  <c:v>2469.1858829807238</c:v>
                </c:pt>
                <c:pt idx="79">
                  <c:v>2500.9808476873964</c:v>
                </c:pt>
                <c:pt idx="80">
                  <c:v>2533.4695548630175</c:v>
                </c:pt>
                <c:pt idx="81">
                  <c:v>2566.6663227920412</c:v>
                </c:pt>
                <c:pt idx="82">
                  <c:v>2600.5859615064514</c:v>
                </c:pt>
                <c:pt idx="83">
                  <c:v>2635.2437913810872</c:v>
                </c:pt>
                <c:pt idx="84">
                  <c:v>2670.6556626899296</c:v>
                </c:pt>
                <c:pt idx="85">
                  <c:v>2706.837976173746</c:v>
                </c:pt>
                <c:pt idx="86">
                  <c:v>2743.8077046731696</c:v>
                </c:pt>
                <c:pt idx="87">
                  <c:v>2781.5824158852884</c:v>
                </c:pt>
                <c:pt idx="88">
                  <c:v>2820.180296305974</c:v>
                </c:pt>
                <c:pt idx="89">
                  <c:v>2859.6201764247139</c:v>
                </c:pt>
                <c:pt idx="90">
                  <c:v>2899.9215572434869</c:v>
                </c:pt>
                <c:pt idx="91">
                  <c:v>2941.1046381963729</c:v>
                </c:pt>
                <c:pt idx="92">
                  <c:v>2983.19034655217</c:v>
                </c:pt>
                <c:pt idx="93">
                  <c:v>3026.2003683881194</c:v>
                </c:pt>
                <c:pt idx="94">
                  <c:v>3070.157181229351</c:v>
                </c:pt>
                <c:pt idx="95">
                  <c:v>3115.0840884554609</c:v>
                </c:pt>
                <c:pt idx="96">
                  <c:v>3161.0052555830821</c:v>
                </c:pt>
                <c:pt idx="97">
                  <c:v>3207.9457485413209</c:v>
                </c:pt>
                <c:pt idx="98">
                  <c:v>3255.9315740655802</c:v>
                </c:pt>
                <c:pt idx="99">
                  <c:v>3304.9897223446424</c:v>
                </c:pt>
                <c:pt idx="100">
                  <c:v>3355.1482120660271</c:v>
                </c:pt>
              </c:numCache>
            </c:numRef>
          </c:val>
          <c:smooth val="0"/>
          <c:extLst>
            <c:ext xmlns:c16="http://schemas.microsoft.com/office/drawing/2014/chart" uri="{C3380CC4-5D6E-409C-BE32-E72D297353CC}">
              <c16:uniqueId val="{00000002-3B81-4204-928B-6CDC733DE792}"/>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Single'!$BX$5:$BX$105</c:f>
              <c:numCache>
                <c:formatCode>0.0</c:formatCode>
                <c:ptCount val="101"/>
                <c:pt idx="0">
                  <c:v>1349.026087201087</c:v>
                </c:pt>
                <c:pt idx="1">
                  <c:v>1373.4826086956523</c:v>
                </c:pt>
                <c:pt idx="2">
                  <c:v>1397.9391304347832</c:v>
                </c:pt>
                <c:pt idx="3">
                  <c:v>1422.3956521739135</c:v>
                </c:pt>
                <c:pt idx="4">
                  <c:v>1446.8521739130442</c:v>
                </c:pt>
                <c:pt idx="5">
                  <c:v>1471.4043655797877</c:v>
                </c:pt>
                <c:pt idx="6">
                  <c:v>1496.1200213044403</c:v>
                </c:pt>
                <c:pt idx="7">
                  <c:v>1520.8356770290939</c:v>
                </c:pt>
                <c:pt idx="8">
                  <c:v>1545.5513327537469</c:v>
                </c:pt>
                <c:pt idx="9">
                  <c:v>1570.2669884783998</c:v>
                </c:pt>
                <c:pt idx="10">
                  <c:v>1594.9826442030537</c:v>
                </c:pt>
                <c:pt idx="11">
                  <c:v>1619.6982999277068</c:v>
                </c:pt>
                <c:pt idx="12">
                  <c:v>1644.4139556523598</c:v>
                </c:pt>
                <c:pt idx="13">
                  <c:v>1669.1296113770131</c:v>
                </c:pt>
                <c:pt idx="14">
                  <c:v>1693.8452671016662</c:v>
                </c:pt>
                <c:pt idx="15">
                  <c:v>1718.5609228263193</c:v>
                </c:pt>
                <c:pt idx="16">
                  <c:v>1743.276578550973</c:v>
                </c:pt>
                <c:pt idx="17">
                  <c:v>1767.9922342756265</c:v>
                </c:pt>
                <c:pt idx="18">
                  <c:v>1792.7078900002791</c:v>
                </c:pt>
                <c:pt idx="19">
                  <c:v>1817.4235457249331</c:v>
                </c:pt>
                <c:pt idx="20">
                  <c:v>1842.1392014495862</c:v>
                </c:pt>
                <c:pt idx="21">
                  <c:v>1866.854857174239</c:v>
                </c:pt>
                <c:pt idx="22">
                  <c:v>1891.5705128988927</c:v>
                </c:pt>
                <c:pt idx="23">
                  <c:v>1916.2861686235458</c:v>
                </c:pt>
                <c:pt idx="24">
                  <c:v>1941.0018243481991</c:v>
                </c:pt>
                <c:pt idx="25">
                  <c:v>1965.7174800728512</c:v>
                </c:pt>
                <c:pt idx="26">
                  <c:v>1990.4331357975047</c:v>
                </c:pt>
                <c:pt idx="27">
                  <c:v>2015.1487915221576</c:v>
                </c:pt>
                <c:pt idx="28">
                  <c:v>2039.8644472468113</c:v>
                </c:pt>
                <c:pt idx="29">
                  <c:v>2064.5801029714639</c:v>
                </c:pt>
                <c:pt idx="30">
                  <c:v>2089.2957586961179</c:v>
                </c:pt>
                <c:pt idx="31">
                  <c:v>2114.0114144207705</c:v>
                </c:pt>
                <c:pt idx="32">
                  <c:v>2138.727070145424</c:v>
                </c:pt>
                <c:pt idx="33">
                  <c:v>2163.4427258700766</c:v>
                </c:pt>
                <c:pt idx="34">
                  <c:v>2188.1583815947301</c:v>
                </c:pt>
                <c:pt idx="35">
                  <c:v>2212.8740373193828</c:v>
                </c:pt>
                <c:pt idx="36">
                  <c:v>2237.5896930440367</c:v>
                </c:pt>
                <c:pt idx="37">
                  <c:v>2262.3053487686898</c:v>
                </c:pt>
                <c:pt idx="38">
                  <c:v>2287.0210044933433</c:v>
                </c:pt>
                <c:pt idx="39">
                  <c:v>2311.736958218904</c:v>
                </c:pt>
                <c:pt idx="40">
                  <c:v>2384.7019246249611</c:v>
                </c:pt>
                <c:pt idx="41">
                  <c:v>2491.5480459787582</c:v>
                </c:pt>
                <c:pt idx="42">
                  <c:v>2601.4911477706519</c:v>
                </c:pt>
                <c:pt idx="43">
                  <c:v>2714.5770004193819</c:v>
                </c:pt>
                <c:pt idx="44">
                  <c:v>2830.8919020803055</c:v>
                </c:pt>
                <c:pt idx="45">
                  <c:v>2950.5261516859787</c:v>
                </c:pt>
                <c:pt idx="46">
                  <c:v>3073.5742577517767</c:v>
                </c:pt>
                <c:pt idx="47">
                  <c:v>3200.1351611732548</c:v>
                </c:pt>
                <c:pt idx="48">
                  <c:v>3330.3124730909026</c:v>
                </c:pt>
                <c:pt idx="49">
                  <c:v>3464.2147289945938</c:v>
                </c:pt>
                <c:pt idx="50">
                  <c:v>3601.9556603469546</c:v>
                </c:pt>
                <c:pt idx="51">
                  <c:v>3743.6544851224317</c:v>
                </c:pt>
                <c:pt idx="52">
                  <c:v>3889.4362187888128</c:v>
                </c:pt>
                <c:pt idx="53">
                  <c:v>4039.4320074016346</c:v>
                </c:pt>
                <c:pt idx="54">
                  <c:v>4193.7794846409197</c:v>
                </c:pt>
                <c:pt idx="55">
                  <c:v>4352.6231547957732</c:v>
                </c:pt>
                <c:pt idx="56">
                  <c:v>4516.1148038978745</c:v>
                </c:pt>
                <c:pt idx="57">
                  <c:v>4684.4139414218789</c:v>
                </c:pt>
                <c:pt idx="58">
                  <c:v>4857.688275212241</c:v>
                </c:pt>
                <c:pt idx="59">
                  <c:v>5036.1142225645926</c:v>
                </c:pt>
                <c:pt idx="60">
                  <c:v>5219.8774606897514</c:v>
                </c:pt>
                <c:pt idx="61">
                  <c:v>5409.1735201227584</c:v>
                </c:pt>
                <c:pt idx="62">
                  <c:v>5604.2084250137077</c:v>
                </c:pt>
                <c:pt idx="63">
                  <c:v>5805.1993846557398</c:v>
                </c:pt>
                <c:pt idx="64">
                  <c:v>6012.3755410753765</c:v>
                </c:pt>
                <c:pt idx="65">
                  <c:v>6225.9787780374272</c:v>
                </c:pt>
                <c:pt idx="66">
                  <c:v>6446.2645974099405</c:v>
                </c:pt>
                <c:pt idx="67">
                  <c:v>6673.503069502297</c:v>
                </c:pt>
                <c:pt idx="68">
                  <c:v>6907.9798647431926</c:v>
                </c:pt>
                <c:pt idx="69">
                  <c:v>7149.9973749164728</c:v>
                </c:pt>
                <c:pt idx="70">
                  <c:v>7399.8759331366227</c:v>
                </c:pt>
                <c:pt idx="71">
                  <c:v>7657.9551428380419</c:v>
                </c:pt>
                <c:pt idx="72">
                  <c:v>7924.5953272937086</c:v>
                </c:pt>
                <c:pt idx="73">
                  <c:v>8200.1791125907894</c:v>
                </c:pt>
                <c:pt idx="74">
                  <c:v>8485.1131586010179</c:v>
                </c:pt>
                <c:pt idx="75">
                  <c:v>8779.8300543230107</c:v>
                </c:pt>
                <c:pt idx="76">
                  <c:v>9084.7903960788153</c:v>
                </c:pt>
                <c:pt idx="77">
                  <c:v>9400.4850694616925</c:v>
                </c:pt>
                <c:pt idx="78">
                  <c:v>9727.4377587075141</c:v>
                </c:pt>
                <c:pt idx="79">
                  <c:v>10066.207710359173</c:v>
                </c:pt>
                <c:pt idx="80">
                  <c:v>10417.392781784543</c:v>
                </c:pt>
                <c:pt idx="81">
                  <c:v>10781.632809379889</c:v>
                </c:pt>
                <c:pt idx="82">
                  <c:v>11159.613336245851</c:v>
                </c:pt>
                <c:pt idx="83">
                  <c:v>11552.069744885159</c:v>
                </c:pt>
                <c:pt idx="84">
                  <c:v>11959.791847189965</c:v>
                </c:pt>
                <c:pt idx="85">
                  <c:v>12383.628991840988</c:v>
                </c:pt>
                <c:pt idx="86">
                  <c:v>12824.495758447662</c:v>
                </c:pt>
                <c:pt idx="87">
                  <c:v>13283.3783185837</c:v>
                </c:pt>
                <c:pt idx="88">
                  <c:v>13761.341556635974</c:v>
                </c:pt>
                <c:pt idx="89">
                  <c:v>14259.537058481594</c:v>
                </c:pt>
                <c:pt idx="90">
                  <c:v>14779.212093921496</c:v>
                </c:pt>
                <c:pt idx="91">
                  <c:v>15321.719740125522</c:v>
                </c:pt>
                <c:pt idx="92">
                  <c:v>15888.530318821089</c:v>
                </c:pt>
                <c:pt idx="93">
                  <c:v>16481.244350503686</c:v>
                </c:pt>
                <c:pt idx="94">
                  <c:v>17101.607265707909</c:v>
                </c:pt>
                <c:pt idx="95">
                  <c:v>17751.526157789449</c:v>
                </c:pt>
                <c:pt idx="96">
                  <c:v>18433.088915543467</c:v>
                </c:pt>
                <c:pt idx="97">
                  <c:v>19148.586139617546</c:v>
                </c:pt>
                <c:pt idx="98">
                  <c:v>19900.536326989582</c:v>
                </c:pt>
                <c:pt idx="99">
                  <c:v>20691.714906514491</c:v>
                </c:pt>
                <c:pt idx="100">
                  <c:v>21525.187830514864</c:v>
                </c:pt>
              </c:numCache>
            </c:numRef>
          </c:val>
          <c:smooth val="0"/>
          <c:extLst>
            <c:ext xmlns:c16="http://schemas.microsoft.com/office/drawing/2014/chart" uri="{C3380CC4-5D6E-409C-BE32-E72D297353CC}">
              <c16:uniqueId val="{00000003-3B81-4204-928B-6CDC733DE792}"/>
            </c:ext>
          </c:extLst>
        </c:ser>
        <c:dLbls>
          <c:showLegendKey val="0"/>
          <c:showVal val="0"/>
          <c:showCatName val="0"/>
          <c:showSerName val="0"/>
          <c:showPercent val="0"/>
          <c:showBubbleSize val="0"/>
        </c:dLbls>
        <c:marker val="1"/>
        <c:smooth val="0"/>
        <c:axId val="451820160"/>
        <c:axId val="451818240"/>
      </c:lineChart>
      <c:catAx>
        <c:axId val="451805952"/>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807872"/>
        <c:crosses val="autoZero"/>
        <c:auto val="1"/>
        <c:lblAlgn val="ctr"/>
        <c:lblOffset val="100"/>
        <c:tickLblSkip val="20"/>
        <c:tickMarkSkip val="20"/>
        <c:noMultiLvlLbl val="0"/>
      </c:catAx>
      <c:valAx>
        <c:axId val="451807872"/>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05952"/>
        <c:crossesAt val="0"/>
        <c:crossBetween val="between"/>
        <c:majorUnit val="5"/>
        <c:minorUnit val="2.5"/>
      </c:valAx>
      <c:valAx>
        <c:axId val="451818240"/>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820160"/>
        <c:crosses val="max"/>
        <c:crossBetween val="between"/>
      </c:valAx>
      <c:catAx>
        <c:axId val="451820160"/>
        <c:scaling>
          <c:orientation val="minMax"/>
        </c:scaling>
        <c:delete val="1"/>
        <c:axPos val="b"/>
        <c:numFmt formatCode="General" sourceLinked="1"/>
        <c:majorTickMark val="out"/>
        <c:minorTickMark val="none"/>
        <c:tickLblPos val="nextTo"/>
        <c:crossAx val="45181824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ja-JP"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Dual'!$CB$5:$CB$105</c:f>
              <c:numCache>
                <c:formatCode>0.00</c:formatCode>
                <c:ptCount val="101"/>
                <c:pt idx="0">
                  <c:v>1.5170781458143964E-6</c:v>
                </c:pt>
                <c:pt idx="1">
                  <c:v>49.044631935530568</c:v>
                </c:pt>
                <c:pt idx="2">
                  <c:v>64.923754629935232</c:v>
                </c:pt>
                <c:pt idx="3">
                  <c:v>72.778091595844913</c:v>
                </c:pt>
                <c:pt idx="4">
                  <c:v>77.364889525199203</c:v>
                </c:pt>
                <c:pt idx="5">
                  <c:v>80.085400519757926</c:v>
                </c:pt>
                <c:pt idx="6">
                  <c:v>81.995330299583046</c:v>
                </c:pt>
                <c:pt idx="7">
                  <c:v>83.404117179872983</c:v>
                </c:pt>
                <c:pt idx="8">
                  <c:v>84.481103163964093</c:v>
                </c:pt>
                <c:pt idx="9">
                  <c:v>85.326782231383035</c:v>
                </c:pt>
                <c:pt idx="10">
                  <c:v>86.004577753121652</c:v>
                </c:pt>
                <c:pt idx="11">
                  <c:v>86.556504499990268</c:v>
                </c:pt>
                <c:pt idx="12">
                  <c:v>87.011507431738707</c:v>
                </c:pt>
                <c:pt idx="13">
                  <c:v>87.390183618496977</c:v>
                </c:pt>
                <c:pt idx="14">
                  <c:v>87.707594324339553</c:v>
                </c:pt>
                <c:pt idx="15">
                  <c:v>87.975011649426833</c:v>
                </c:pt>
                <c:pt idx="16">
                  <c:v>88.201042783662558</c:v>
                </c:pt>
                <c:pt idx="17">
                  <c:v>88.392376157408137</c:v>
                </c:pt>
                <c:pt idx="18">
                  <c:v>88.554290004237842</c:v>
                </c:pt>
                <c:pt idx="19">
                  <c:v>88.691007173136754</c:v>
                </c:pt>
                <c:pt idx="20">
                  <c:v>88.80594783587884</c:v>
                </c:pt>
                <c:pt idx="21">
                  <c:v>88.901912813723428</c:v>
                </c:pt>
                <c:pt idx="22">
                  <c:v>88.981218783985213</c:v>
                </c:pt>
                <c:pt idx="23">
                  <c:v>89.045799492129703</c:v>
                </c:pt>
                <c:pt idx="24">
                  <c:v>89.097282545713469</c:v>
                </c:pt>
                <c:pt idx="25">
                  <c:v>89.137048401885494</c:v>
                </c:pt>
                <c:pt idx="26">
                  <c:v>89.166276189733594</c:v>
                </c:pt>
                <c:pt idx="27">
                  <c:v>89.185979675342068</c:v>
                </c:pt>
                <c:pt idx="28">
                  <c:v>89.19703576011463</c:v>
                </c:pt>
                <c:pt idx="29">
                  <c:v>89.2002072622535</c:v>
                </c:pt>
                <c:pt idx="30">
                  <c:v>89.196161277563121</c:v>
                </c:pt>
                <c:pt idx="31">
                  <c:v>89.185484090250327</c:v>
                </c:pt>
                <c:pt idx="32">
                  <c:v>89.168693368080199</c:v>
                </c:pt>
                <c:pt idx="33">
                  <c:v>89.146248202763601</c:v>
                </c:pt>
                <c:pt idx="34">
                  <c:v>89.118557427767954</c:v>
                </c:pt>
                <c:pt idx="35">
                  <c:v>89.085986549359433</c:v>
                </c:pt>
                <c:pt idx="36">
                  <c:v>89.048863553835957</c:v>
                </c:pt>
                <c:pt idx="37">
                  <c:v>89.0074837983789</c:v>
                </c:pt>
                <c:pt idx="38">
                  <c:v>88.962114150278936</c:v>
                </c:pt>
                <c:pt idx="39">
                  <c:v>88.912996506253279</c:v>
                </c:pt>
                <c:pt idx="40">
                  <c:v>89.013922551544795</c:v>
                </c:pt>
                <c:pt idx="41">
                  <c:v>89.340571163908251</c:v>
                </c:pt>
                <c:pt idx="42">
                  <c:v>89.369408881217282</c:v>
                </c:pt>
                <c:pt idx="43">
                  <c:v>89.39336721410065</c:v>
                </c:pt>
                <c:pt idx="44">
                  <c:v>89.412693327951203</c:v>
                </c:pt>
                <c:pt idx="45">
                  <c:v>89.427610754147523</c:v>
                </c:pt>
                <c:pt idx="46">
                  <c:v>89.438321703915591</c:v>
                </c:pt>
                <c:pt idx="47">
                  <c:v>89.445009095622424</c:v>
                </c:pt>
                <c:pt idx="48">
                  <c:v>89.447838334716153</c:v>
                </c:pt>
                <c:pt idx="49">
                  <c:v>89.446958879412307</c:v>
                </c:pt>
                <c:pt idx="50">
                  <c:v>89.442505620156183</c:v>
                </c:pt>
                <c:pt idx="51">
                  <c:v>89.434600096668248</c:v>
                </c:pt>
                <c:pt idx="52">
                  <c:v>89.423351572852383</c:v>
                </c:pt>
                <c:pt idx="53">
                  <c:v>89.408857986885366</c:v>
                </c:pt>
                <c:pt idx="54">
                  <c:v>89.391206791312612</c:v>
                </c:pt>
                <c:pt idx="55">
                  <c:v>89.37047569586754</c:v>
                </c:pt>
                <c:pt idx="56">
                  <c:v>89.346733323943468</c:v>
                </c:pt>
                <c:pt idx="57">
                  <c:v>89.32003979212304</c:v>
                </c:pt>
                <c:pt idx="58">
                  <c:v>89.290447220869268</c:v>
                </c:pt>
                <c:pt idx="59">
                  <c:v>89.258000183362782</c:v>
                </c:pt>
                <c:pt idx="60">
                  <c:v>89.222736098508165</c:v>
                </c:pt>
                <c:pt idx="61">
                  <c:v>89.184685573297571</c:v>
                </c:pt>
                <c:pt idx="62">
                  <c:v>89.143872698994713</c:v>
                </c:pt>
                <c:pt idx="63">
                  <c:v>89.100315304968987</c:v>
                </c:pt>
                <c:pt idx="64">
                  <c:v>89.054025173451677</c:v>
                </c:pt>
                <c:pt idx="65">
                  <c:v>89.005008217993804</c:v>
                </c:pt>
                <c:pt idx="66">
                  <c:v>88.95326462796605</c:v>
                </c:pt>
                <c:pt idx="67">
                  <c:v>88.898788981047034</c:v>
                </c:pt>
                <c:pt idx="68">
                  <c:v>88.841570325289041</c:v>
                </c:pt>
                <c:pt idx="69">
                  <c:v>88.781592232023968</c:v>
                </c:pt>
                <c:pt idx="70">
                  <c:v>88.718832820569787</c:v>
                </c:pt>
                <c:pt idx="71">
                  <c:v>88.653264755415023</c:v>
                </c:pt>
                <c:pt idx="72">
                  <c:v>88.584855216290109</c:v>
                </c:pt>
                <c:pt idx="73">
                  <c:v>88.513565841276332</c:v>
                </c:pt>
                <c:pt idx="74">
                  <c:v>88.439352642850636</c:v>
                </c:pt>
                <c:pt idx="75">
                  <c:v>88.362165896514284</c:v>
                </c:pt>
                <c:pt idx="76">
                  <c:v>88.281950001402137</c:v>
                </c:pt>
                <c:pt idx="77">
                  <c:v>88.198643312011626</c:v>
                </c:pt>
                <c:pt idx="78">
                  <c:v>88.112177939925274</c:v>
                </c:pt>
                <c:pt idx="79">
                  <c:v>88.022479524120286</c:v>
                </c:pt>
                <c:pt idx="80">
                  <c:v>87.929466968163339</c:v>
                </c:pt>
                <c:pt idx="81">
                  <c:v>87.833052142269665</c:v>
                </c:pt>
                <c:pt idx="82">
                  <c:v>87.733139547860659</c:v>
                </c:pt>
                <c:pt idx="83">
                  <c:v>87.629625941877521</c:v>
                </c:pt>
                <c:pt idx="84">
                  <c:v>87.522399917692113</c:v>
                </c:pt>
                <c:pt idx="85">
                  <c:v>87.411341438996061</c:v>
                </c:pt>
                <c:pt idx="86">
                  <c:v>87.296321322534467</c:v>
                </c:pt>
                <c:pt idx="87">
                  <c:v>87.177200664974421</c:v>
                </c:pt>
                <c:pt idx="88">
                  <c:v>87.05383020854886</c:v>
                </c:pt>
                <c:pt idx="89">
                  <c:v>86.926049639381546</c:v>
                </c:pt>
                <c:pt idx="90">
                  <c:v>86.793686811564541</c:v>
                </c:pt>
                <c:pt idx="91">
                  <c:v>86.656556889109041</c:v>
                </c:pt>
                <c:pt idx="92">
                  <c:v>86.514461396802702</c:v>
                </c:pt>
                <c:pt idx="93">
                  <c:v>86.367187169761067</c:v>
                </c:pt>
                <c:pt idx="94">
                  <c:v>86.214505190025264</c:v>
                </c:pt>
                <c:pt idx="95">
                  <c:v>86.056169296904912</c:v>
                </c:pt>
                <c:pt idx="96">
                  <c:v>85.89191475585109</c:v>
                </c:pt>
                <c:pt idx="97">
                  <c:v>85.721456668422576</c:v>
                </c:pt>
                <c:pt idx="98">
                  <c:v>85.544488203326125</c:v>
                </c:pt>
                <c:pt idx="99">
                  <c:v>85.360678625495694</c:v>
                </c:pt>
                <c:pt idx="100">
                  <c:v>85.128098486507</c:v>
                </c:pt>
              </c:numCache>
            </c:numRef>
          </c:val>
          <c:smooth val="0"/>
          <c:extLst>
            <c:ext xmlns:c16="http://schemas.microsoft.com/office/drawing/2014/chart" uri="{C3380CC4-5D6E-409C-BE32-E72D297353CC}">
              <c16:uniqueId val="{00000000-F0EA-4A0C-859E-C3182CAF915C}"/>
            </c:ext>
          </c:extLst>
        </c:ser>
        <c:dLbls>
          <c:showLegendKey val="0"/>
          <c:showVal val="0"/>
          <c:showCatName val="0"/>
          <c:showSerName val="0"/>
          <c:showPercent val="0"/>
          <c:showBubbleSize val="0"/>
        </c:dLbls>
        <c:marker val="1"/>
        <c:smooth val="0"/>
        <c:axId val="451868928"/>
        <c:axId val="451223936"/>
      </c:lineChart>
      <c:lineChart>
        <c:grouping val="standard"/>
        <c:varyColors val="0"/>
        <c:ser>
          <c:idx val="2"/>
          <c:order val="1"/>
          <c:tx>
            <c:strRef>
              <c:f>'Calculations - Dual'!$BM$3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Dual'!$BQ$5:$BQ$105</c:f>
              <c:numCache>
                <c:formatCode>0.0</c:formatCode>
                <c:ptCount val="101"/>
                <c:pt idx="0">
                  <c:v>1.065E-6</c:v>
                </c:pt>
                <c:pt idx="1">
                  <c:v>63.234374999999993</c:v>
                </c:pt>
                <c:pt idx="2">
                  <c:v>126.46874999999999</c:v>
                </c:pt>
                <c:pt idx="3">
                  <c:v>189.70312499999997</c:v>
                </c:pt>
                <c:pt idx="4">
                  <c:v>252.93749999999997</c:v>
                </c:pt>
                <c:pt idx="5">
                  <c:v>316.171875</c:v>
                </c:pt>
                <c:pt idx="6">
                  <c:v>379.40624999999994</c:v>
                </c:pt>
                <c:pt idx="7">
                  <c:v>442.64062499999994</c:v>
                </c:pt>
                <c:pt idx="8">
                  <c:v>505.87499999999994</c:v>
                </c:pt>
                <c:pt idx="9">
                  <c:v>569.10937499999989</c:v>
                </c:pt>
                <c:pt idx="10">
                  <c:v>632.34375</c:v>
                </c:pt>
                <c:pt idx="11">
                  <c:v>695.57812499999989</c:v>
                </c:pt>
                <c:pt idx="12">
                  <c:v>758.81249999999989</c:v>
                </c:pt>
                <c:pt idx="13">
                  <c:v>822.046875</c:v>
                </c:pt>
                <c:pt idx="14">
                  <c:v>885.28124999999989</c:v>
                </c:pt>
                <c:pt idx="15">
                  <c:v>948.51562499999977</c:v>
                </c:pt>
                <c:pt idx="16">
                  <c:v>1011.7499999999999</c:v>
                </c:pt>
                <c:pt idx="17">
                  <c:v>1074.9843749999998</c:v>
                </c:pt>
                <c:pt idx="18">
                  <c:v>1138.2187499999998</c:v>
                </c:pt>
                <c:pt idx="19">
                  <c:v>1201.4531249999998</c:v>
                </c:pt>
                <c:pt idx="20">
                  <c:v>1264.6875</c:v>
                </c:pt>
                <c:pt idx="21">
                  <c:v>1327.921875</c:v>
                </c:pt>
                <c:pt idx="22">
                  <c:v>1391.1562499999998</c:v>
                </c:pt>
                <c:pt idx="23">
                  <c:v>1454.390625</c:v>
                </c:pt>
                <c:pt idx="24">
                  <c:v>1517.6249999999998</c:v>
                </c:pt>
                <c:pt idx="25">
                  <c:v>1580.859375</c:v>
                </c:pt>
                <c:pt idx="26">
                  <c:v>1644.09375</c:v>
                </c:pt>
                <c:pt idx="27">
                  <c:v>1707.3281249999998</c:v>
                </c:pt>
                <c:pt idx="28">
                  <c:v>1770.5624999999998</c:v>
                </c:pt>
                <c:pt idx="29">
                  <c:v>1833.7968749999998</c:v>
                </c:pt>
                <c:pt idx="30">
                  <c:v>1897.0312499999995</c:v>
                </c:pt>
                <c:pt idx="31">
                  <c:v>1960.2656249999998</c:v>
                </c:pt>
                <c:pt idx="32">
                  <c:v>2023.4999999999998</c:v>
                </c:pt>
                <c:pt idx="33">
                  <c:v>2086.734375</c:v>
                </c:pt>
                <c:pt idx="34">
                  <c:v>2149.9687499999995</c:v>
                </c:pt>
                <c:pt idx="35">
                  <c:v>2213.2031249999995</c:v>
                </c:pt>
                <c:pt idx="36">
                  <c:v>2276.4374999999995</c:v>
                </c:pt>
                <c:pt idx="37">
                  <c:v>2339.671875</c:v>
                </c:pt>
                <c:pt idx="38">
                  <c:v>2402.9062499999995</c:v>
                </c:pt>
                <c:pt idx="39">
                  <c:v>2466.140625</c:v>
                </c:pt>
                <c:pt idx="40">
                  <c:v>2529.375</c:v>
                </c:pt>
                <c:pt idx="41">
                  <c:v>2592.6093749999995</c:v>
                </c:pt>
                <c:pt idx="42">
                  <c:v>2655.84375</c:v>
                </c:pt>
                <c:pt idx="43">
                  <c:v>2719.078125</c:v>
                </c:pt>
                <c:pt idx="44">
                  <c:v>2782.3124999999995</c:v>
                </c:pt>
                <c:pt idx="45">
                  <c:v>2845.5468749999995</c:v>
                </c:pt>
                <c:pt idx="46">
                  <c:v>2908.78125</c:v>
                </c:pt>
                <c:pt idx="47">
                  <c:v>2972.0156249999986</c:v>
                </c:pt>
                <c:pt idx="48">
                  <c:v>3035.2499999999995</c:v>
                </c:pt>
                <c:pt idx="49">
                  <c:v>3098.4843750000005</c:v>
                </c:pt>
                <c:pt idx="50">
                  <c:v>3161.71875</c:v>
                </c:pt>
                <c:pt idx="51">
                  <c:v>3224.9531249999995</c:v>
                </c:pt>
                <c:pt idx="52">
                  <c:v>3288.1875</c:v>
                </c:pt>
                <c:pt idx="53">
                  <c:v>3351.421875</c:v>
                </c:pt>
                <c:pt idx="54">
                  <c:v>3414.6562499999995</c:v>
                </c:pt>
                <c:pt idx="55">
                  <c:v>3477.8906249999995</c:v>
                </c:pt>
                <c:pt idx="56">
                  <c:v>3541.1249999999995</c:v>
                </c:pt>
                <c:pt idx="57">
                  <c:v>3604.3593749999991</c:v>
                </c:pt>
                <c:pt idx="58">
                  <c:v>3667.5937499999995</c:v>
                </c:pt>
                <c:pt idx="59">
                  <c:v>3730.8281249999986</c:v>
                </c:pt>
                <c:pt idx="60">
                  <c:v>3794.0624999999991</c:v>
                </c:pt>
                <c:pt idx="61">
                  <c:v>3857.2968749999995</c:v>
                </c:pt>
                <c:pt idx="62">
                  <c:v>3920.5312499999995</c:v>
                </c:pt>
                <c:pt idx="63">
                  <c:v>3983.7656249999991</c:v>
                </c:pt>
                <c:pt idx="64">
                  <c:v>4046.9999999999995</c:v>
                </c:pt>
                <c:pt idx="65">
                  <c:v>4110.234375</c:v>
                </c:pt>
                <c:pt idx="66">
                  <c:v>4173.46875</c:v>
                </c:pt>
                <c:pt idx="67">
                  <c:v>4236.7031249999991</c:v>
                </c:pt>
                <c:pt idx="68">
                  <c:v>4299.9374999999991</c:v>
                </c:pt>
                <c:pt idx="69">
                  <c:v>4363.1718749999991</c:v>
                </c:pt>
                <c:pt idx="70">
                  <c:v>4426.4062499999991</c:v>
                </c:pt>
                <c:pt idx="71">
                  <c:v>4489.640625</c:v>
                </c:pt>
                <c:pt idx="72">
                  <c:v>4552.8749999999991</c:v>
                </c:pt>
                <c:pt idx="73">
                  <c:v>4616.1093749999991</c:v>
                </c:pt>
                <c:pt idx="74">
                  <c:v>4679.34375</c:v>
                </c:pt>
                <c:pt idx="75">
                  <c:v>4742.578125</c:v>
                </c:pt>
                <c:pt idx="76">
                  <c:v>4805.8124999999991</c:v>
                </c:pt>
                <c:pt idx="77">
                  <c:v>4869.046875</c:v>
                </c:pt>
                <c:pt idx="78">
                  <c:v>4932.28125</c:v>
                </c:pt>
                <c:pt idx="79">
                  <c:v>4995.5156249999991</c:v>
                </c:pt>
                <c:pt idx="80">
                  <c:v>5058.75</c:v>
                </c:pt>
                <c:pt idx="81">
                  <c:v>5121.984375</c:v>
                </c:pt>
                <c:pt idx="82">
                  <c:v>5185.2187499999991</c:v>
                </c:pt>
                <c:pt idx="83">
                  <c:v>5248.4531249999982</c:v>
                </c:pt>
                <c:pt idx="84">
                  <c:v>5311.6875</c:v>
                </c:pt>
                <c:pt idx="85">
                  <c:v>5374.9218749999991</c:v>
                </c:pt>
                <c:pt idx="86">
                  <c:v>5438.15625</c:v>
                </c:pt>
                <c:pt idx="87">
                  <c:v>5501.3906249999991</c:v>
                </c:pt>
                <c:pt idx="88">
                  <c:v>5564.6249999999991</c:v>
                </c:pt>
                <c:pt idx="89">
                  <c:v>5627.859375</c:v>
                </c:pt>
                <c:pt idx="90">
                  <c:v>5691.0937499999991</c:v>
                </c:pt>
                <c:pt idx="91">
                  <c:v>5754.3281249999991</c:v>
                </c:pt>
                <c:pt idx="92">
                  <c:v>5817.5625</c:v>
                </c:pt>
                <c:pt idx="93">
                  <c:v>5880.796875</c:v>
                </c:pt>
                <c:pt idx="94">
                  <c:v>5944.0312499999973</c:v>
                </c:pt>
                <c:pt idx="95">
                  <c:v>6007.265625</c:v>
                </c:pt>
                <c:pt idx="96">
                  <c:v>6070.4999999999991</c:v>
                </c:pt>
                <c:pt idx="97">
                  <c:v>6133.7343749999982</c:v>
                </c:pt>
                <c:pt idx="98">
                  <c:v>6196.9687500000009</c:v>
                </c:pt>
                <c:pt idx="99">
                  <c:v>6260.2031249999991</c:v>
                </c:pt>
                <c:pt idx="100">
                  <c:v>6323.4375</c:v>
                </c:pt>
              </c:numCache>
            </c:numRef>
          </c:val>
          <c:smooth val="0"/>
          <c:extLst>
            <c:ext xmlns:c16="http://schemas.microsoft.com/office/drawing/2014/chart" uri="{C3380CC4-5D6E-409C-BE32-E72D297353CC}">
              <c16:uniqueId val="{00000001-F0EA-4A0C-859E-C3182CAF915C}"/>
            </c:ext>
          </c:extLst>
        </c:ser>
        <c:ser>
          <c:idx val="3"/>
          <c:order val="2"/>
          <c:tx>
            <c:strRef>
              <c:f>'Calculations - Dual'!$BE$3</c:f>
              <c:strCache>
                <c:ptCount val="1"/>
                <c:pt idx="0">
                  <c:v>MOSFET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Dual'!$BL$5:$BL$105</c:f>
              <c:numCache>
                <c:formatCode>0.0</c:formatCode>
                <c:ptCount val="101"/>
                <c:pt idx="0">
                  <c:v>161.66622822490112</c:v>
                </c:pt>
                <c:pt idx="1">
                  <c:v>161.57756183338202</c:v>
                </c:pt>
                <c:pt idx="2">
                  <c:v>161.54089133829874</c:v>
                </c:pt>
                <c:pt idx="3">
                  <c:v>161.51277925606422</c:v>
                </c:pt>
                <c:pt idx="4">
                  <c:v>170.66074917435139</c:v>
                </c:pt>
                <c:pt idx="5">
                  <c:v>213.51229971183284</c:v>
                </c:pt>
                <c:pt idx="6">
                  <c:v>256.43878662873203</c:v>
                </c:pt>
                <c:pt idx="7">
                  <c:v>299.44040666385496</c:v>
                </c:pt>
                <c:pt idx="8">
                  <c:v>342.51735724530459</c:v>
                </c:pt>
                <c:pt idx="9">
                  <c:v>385.66983649350209</c:v>
                </c:pt>
                <c:pt idx="10">
                  <c:v>428.89804322422447</c:v>
                </c:pt>
                <c:pt idx="11">
                  <c:v>472.20217695165758</c:v>
                </c:pt>
                <c:pt idx="12">
                  <c:v>515.58243789146559</c:v>
                </c:pt>
                <c:pt idx="13">
                  <c:v>559.0390269638774</c:v>
                </c:pt>
                <c:pt idx="14">
                  <c:v>602.57214579678748</c:v>
                </c:pt>
                <c:pt idx="15">
                  <c:v>646.18199672887476</c:v>
                </c:pt>
                <c:pt idx="16">
                  <c:v>689.86878281273766</c:v>
                </c:pt>
                <c:pt idx="17">
                  <c:v>733.63270781804533</c:v>
                </c:pt>
                <c:pt idx="18">
                  <c:v>777.47397623470545</c:v>
                </c:pt>
                <c:pt idx="19">
                  <c:v>821.3927932760505</c:v>
                </c:pt>
                <c:pt idx="20">
                  <c:v>865.38936488203774</c:v>
                </c:pt>
                <c:pt idx="21">
                  <c:v>909.46389772247016</c:v>
                </c:pt>
                <c:pt idx="22">
                  <c:v>953.61659920023055</c:v>
                </c:pt>
                <c:pt idx="23">
                  <c:v>997.84767745453655</c:v>
                </c:pt>
                <c:pt idx="24">
                  <c:v>1042.1573413642104</c:v>
                </c:pt>
                <c:pt idx="25">
                  <c:v>1086.5458005509665</c:v>
                </c:pt>
                <c:pt idx="26">
                  <c:v>1131.0132653827186</c:v>
                </c:pt>
                <c:pt idx="27">
                  <c:v>1175.559946976902</c:v>
                </c:pt>
                <c:pt idx="28">
                  <c:v>1220.1860572038136</c:v>
                </c:pt>
                <c:pt idx="29">
                  <c:v>1264.8918086899732</c:v>
                </c:pt>
                <c:pt idx="30">
                  <c:v>1309.6774148214988</c:v>
                </c:pt>
                <c:pt idx="31">
                  <c:v>1354.5430897475035</c:v>
                </c:pt>
                <c:pt idx="32">
                  <c:v>1399.4890483835045</c:v>
                </c:pt>
                <c:pt idx="33">
                  <c:v>1444.5155064148619</c:v>
                </c:pt>
                <c:pt idx="34">
                  <c:v>1489.6226803002198</c:v>
                </c:pt>
                <c:pt idx="35">
                  <c:v>1534.8107872749829</c:v>
                </c:pt>
                <c:pt idx="36">
                  <c:v>1580.0800453548011</c:v>
                </c:pt>
                <c:pt idx="37">
                  <c:v>1625.4306733390736</c:v>
                </c:pt>
                <c:pt idx="38">
                  <c:v>1670.8628908144758</c:v>
                </c:pt>
                <c:pt idx="39">
                  <c:v>1716.3769181585042</c:v>
                </c:pt>
                <c:pt idx="40">
                  <c:v>1729.8078532538227</c:v>
                </c:pt>
                <c:pt idx="41">
                  <c:v>1691.9936400760994</c:v>
                </c:pt>
                <c:pt idx="42">
                  <c:v>1703.7507028672796</c:v>
                </c:pt>
                <c:pt idx="43">
                  <c:v>1715.8751274898611</c:v>
                </c:pt>
                <c:pt idx="44">
                  <c:v>1728.3684684174834</c:v>
                </c:pt>
                <c:pt idx="45">
                  <c:v>1741.232552649695</c:v>
                </c:pt>
                <c:pt idx="46">
                  <c:v>1754.4694650430622</c:v>
                </c:pt>
                <c:pt idx="47">
                  <c:v>1768.0815358960015</c:v>
                </c:pt>
                <c:pt idx="48">
                  <c:v>1782.0713304823191</c:v>
                </c:pt>
                <c:pt idx="49">
                  <c:v>1796.4416402781833</c:v>
                </c:pt>
                <c:pt idx="50">
                  <c:v>1811.1954756682194</c:v>
                </c:pt>
                <c:pt idx="51">
                  <c:v>1826.3360599502887</c:v>
                </c:pt>
                <c:pt idx="52">
                  <c:v>1841.8668244867013</c:v>
                </c:pt>
                <c:pt idx="53">
                  <c:v>1857.7914048730895</c:v>
                </c:pt>
                <c:pt idx="54">
                  <c:v>1874.1136380158596</c:v>
                </c:pt>
                <c:pt idx="55">
                  <c:v>1890.8375600257352</c:v>
                </c:pt>
                <c:pt idx="56">
                  <c:v>1907.9674048488484</c:v>
                </c:pt>
                <c:pt idx="57">
                  <c:v>1925.5076035687514</c:v>
                </c:pt>
                <c:pt idx="58">
                  <c:v>1943.4627843228009</c:v>
                </c:pt>
                <c:pt idx="59">
                  <c:v>1961.8377727850275</c:v>
                </c:pt>
                <c:pt idx="60">
                  <c:v>1980.6375931750122</c:v>
                </c:pt>
                <c:pt idx="61">
                  <c:v>1999.8674697587371</c:v>
                </c:pt>
                <c:pt idx="62">
                  <c:v>2019.5328288128778</c:v>
                </c:pt>
                <c:pt idx="63">
                  <c:v>2039.6393010289278</c:v>
                </c:pt>
                <c:pt idx="64">
                  <c:v>2060.1927243376699</c:v>
                </c:pt>
                <c:pt idx="65">
                  <c:v>2081.1991471384067</c:v>
                </c:pt>
                <c:pt idx="66">
                  <c:v>2102.6648319204883</c:v>
                </c:pt>
                <c:pt idx="67">
                  <c:v>2124.5962592678152</c:v>
                </c:pt>
                <c:pt idx="68">
                  <c:v>2147.0001322394974</c:v>
                </c:pt>
                <c:pt idx="69">
                  <c:v>2169.8833811223653</c:v>
                </c:pt>
                <c:pt idx="70">
                  <c:v>2193.253168553159</c:v>
                </c:pt>
                <c:pt idx="71">
                  <c:v>2217.1168950102624</c:v>
                </c:pt>
                <c:pt idx="72">
                  <c:v>2241.4822046767422</c:v>
                </c:pt>
                <c:pt idx="73">
                  <c:v>2266.3569916781817</c:v>
                </c:pt>
                <c:pt idx="74">
                  <c:v>2291.7494067004727</c:v>
                </c:pt>
                <c:pt idx="75">
                  <c:v>2317.6678639943425</c:v>
                </c:pt>
                <c:pt idx="76">
                  <c:v>2344.121048774884</c:v>
                </c:pt>
                <c:pt idx="77">
                  <c:v>2371.1179250258915</c:v>
                </c:pt>
                <c:pt idx="78">
                  <c:v>2398.667743720242</c:v>
                </c:pt>
                <c:pt idx="79">
                  <c:v>2426.7800514690443</c:v>
                </c:pt>
                <c:pt idx="80">
                  <c:v>2455.4646996136998</c:v>
                </c:pt>
                <c:pt idx="81">
                  <c:v>2484.7318537765204</c:v>
                </c:pt>
                <c:pt idx="82">
                  <c:v>2514.592003887004</c:v>
                </c:pt>
                <c:pt idx="83">
                  <c:v>2545.0559747024131</c:v>
                </c:pt>
                <c:pt idx="84">
                  <c:v>2576.134936842845</c:v>
                </c:pt>
                <c:pt idx="85">
                  <c:v>2607.8404183625939</c:v>
                </c:pt>
                <c:pt idx="86">
                  <c:v>2640.1843168812952</c:v>
                </c:pt>
                <c:pt idx="87">
                  <c:v>2673.1789123000631</c:v>
                </c:pt>
                <c:pt idx="88">
                  <c:v>2706.8368801296724</c:v>
                </c:pt>
                <c:pt idx="89">
                  <c:v>2741.1713054597412</c:v>
                </c:pt>
                <c:pt idx="90">
                  <c:v>2776.1956975998946</c:v>
                </c:pt>
                <c:pt idx="91">
                  <c:v>2811.9240054260031</c:v>
                </c:pt>
                <c:pt idx="92">
                  <c:v>2848.3706334668668</c:v>
                </c:pt>
                <c:pt idx="93">
                  <c:v>2885.5504587690416</c:v>
                </c:pt>
                <c:pt idx="94">
                  <c:v>2923.4788485801455</c:v>
                </c:pt>
                <c:pt idx="95">
                  <c:v>2962.1716788935537</c:v>
                </c:pt>
                <c:pt idx="96">
                  <c:v>3001.6453539003292</c:v>
                </c:pt>
                <c:pt idx="97">
                  <c:v>3041.9168263973374</c:v>
                </c:pt>
                <c:pt idx="98">
                  <c:v>3083.0036192036532</c:v>
                </c:pt>
                <c:pt idx="99">
                  <c:v>3124.9238476409728</c:v>
                </c:pt>
                <c:pt idx="100">
                  <c:v>3167.6962431374491</c:v>
                </c:pt>
              </c:numCache>
            </c:numRef>
          </c:val>
          <c:smooth val="0"/>
          <c:extLst>
            <c:ext xmlns:c16="http://schemas.microsoft.com/office/drawing/2014/chart" uri="{C3380CC4-5D6E-409C-BE32-E72D297353CC}">
              <c16:uniqueId val="{00000002-F0EA-4A0C-859E-C3182CAF915C}"/>
            </c:ext>
          </c:extLst>
        </c:ser>
        <c:ser>
          <c:idx val="1"/>
          <c:order val="3"/>
          <c:tx>
            <c:strRef>
              <c:f>'Calculations - Dual'!$BR$3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1354.4059463279993</c:v>
                </c:pt>
                <c:pt idx="1">
                  <c:v>1354.4059388314777</c:v>
                </c:pt>
                <c:pt idx="2">
                  <c:v>1354.4059357150788</c:v>
                </c:pt>
                <c:pt idx="3">
                  <c:v>1354.4059333194921</c:v>
                </c:pt>
                <c:pt idx="4">
                  <c:v>1355.2638746054924</c:v>
                </c:pt>
                <c:pt idx="5">
                  <c:v>1360.1853279386512</c:v>
                </c:pt>
                <c:pt idx="6">
                  <c:v>1366.7395870060791</c:v>
                </c:pt>
                <c:pt idx="7">
                  <c:v>1375.0829546814568</c:v>
                </c:pt>
                <c:pt idx="8">
                  <c:v>1385.3590789775581</c:v>
                </c:pt>
                <c:pt idx="9">
                  <c:v>1397.7016136987108</c:v>
                </c:pt>
                <c:pt idx="10">
                  <c:v>1412.2360577245825</c:v>
                </c:pt>
                <c:pt idx="11">
                  <c:v>1429.0810900213523</c:v>
                </c:pt>
                <c:pt idx="12">
                  <c:v>1448.3495753092063</c:v>
                </c:pt>
                <c:pt idx="13">
                  <c:v>1470.1493441623306</c:v>
                </c:pt>
                <c:pt idx="14">
                  <c:v>1494.5838126703859</c:v>
                </c:pt>
                <c:pt idx="15">
                  <c:v>1521.7524844173154</c:v>
                </c:pt>
                <c:pt idx="16">
                  <c:v>1551.7513639002925</c:v>
                </c:pt>
                <c:pt idx="17">
                  <c:v>1584.6733018463767</c:v>
                </c:pt>
                <c:pt idx="18">
                  <c:v>1620.608287178266</c:v>
                </c:pt>
                <c:pt idx="19">
                  <c:v>1659.6436965079661</c:v>
                </c:pt>
                <c:pt idx="20">
                  <c:v>1701.8645093397179</c:v>
                </c:pt>
                <c:pt idx="21">
                  <c:v>1747.3534952414475</c:v>
                </c:pt>
                <c:pt idx="22">
                  <c:v>1796.1913778468672</c:v>
                </c:pt>
                <c:pt idx="23">
                  <c:v>1848.4569795165473</c:v>
                </c:pt>
                <c:pt idx="24">
                  <c:v>1904.2273497092176</c:v>
                </c:pt>
                <c:pt idx="25">
                  <c:v>1963.5778795220083</c:v>
                </c:pt>
                <c:pt idx="26">
                  <c:v>2026.582404400684</c:v>
                </c:pt>
                <c:pt idx="27">
                  <c:v>2093.313296663378</c:v>
                </c:pt>
                <c:pt idx="28">
                  <c:v>2163.8415491987416</c:v>
                </c:pt>
                <c:pt idx="29">
                  <c:v>2238.2368514742943</c:v>
                </c:pt>
                <c:pt idx="30">
                  <c:v>2316.567658809332</c:v>
                </c:pt>
                <c:pt idx="31">
                  <c:v>2398.9012557196688</c:v>
                </c:pt>
                <c:pt idx="32">
                  <c:v>2485.3038140211679</c:v>
                </c:pt>
                <c:pt idx="33">
                  <c:v>2575.8404462799472</c:v>
                </c:pt>
                <c:pt idx="34">
                  <c:v>2670.5752551148648</c:v>
                </c:pt>
                <c:pt idx="35">
                  <c:v>2769.5713787895547</c:v>
                </c:pt>
                <c:pt idx="36">
                  <c:v>2872.8910334735156</c:v>
                </c:pt>
                <c:pt idx="37">
                  <c:v>2980.5955525034419</c:v>
                </c:pt>
                <c:pt idx="38">
                  <c:v>3092.7454229346713</c:v>
                </c:pt>
                <c:pt idx="39">
                  <c:v>3209.4003196376466</c:v>
                </c:pt>
                <c:pt idx="40">
                  <c:v>3244.7388897666524</c:v>
                </c:pt>
                <c:pt idx="41">
                  <c:v>3150.9393864437075</c:v>
                </c:pt>
                <c:pt idx="42">
                  <c:v>3234.2449326556275</c:v>
                </c:pt>
                <c:pt idx="43">
                  <c:v>3320.0910029303559</c:v>
                </c:pt>
                <c:pt idx="44">
                  <c:v>3408.5421739780245</c:v>
                </c:pt>
                <c:pt idx="45">
                  <c:v>3499.66522090949</c:v>
                </c:pt>
                <c:pt idx="46">
                  <c:v>3593.5292914839606</c:v>
                </c:pt>
                <c:pt idx="47">
                  <c:v>3690.2060816539206</c:v>
                </c:pt>
                <c:pt idx="48">
                  <c:v>3789.7700138403711</c:v>
                </c:pt>
                <c:pt idx="49">
                  <c:v>3892.2984192719355</c:v>
                </c:pt>
                <c:pt idx="50">
                  <c:v>3997.8717256514824</c:v>
                </c:pt>
                <c:pt idx="51">
                  <c:v>4106.5736513681331</c:v>
                </c:pt>
                <c:pt idx="52">
                  <c:v>4218.4914074486933</c:v>
                </c:pt>
                <c:pt idx="53">
                  <c:v>4333.7159084369387</c:v>
                </c:pt>
                <c:pt idx="54">
                  <c:v>4452.341993401149</c:v>
                </c:pt>
                <c:pt idx="55">
                  <c:v>4574.4686582977938</c:v>
                </c:pt>
                <c:pt idx="56">
                  <c:v>4700.1993009613298</c:v>
                </c:pt>
                <c:pt idx="57">
                  <c:v>4829.6419800475142</c:v>
                </c:pt>
                <c:pt idx="58">
                  <c:v>4962.9096893282112</c:v>
                </c:pt>
                <c:pt idx="59">
                  <c:v>5100.1206488217822</c:v>
                </c:pt>
                <c:pt idx="60">
                  <c:v>5241.3986143436514</c:v>
                </c:pt>
                <c:pt idx="61">
                  <c:v>5386.8732071782351</c:v>
                </c:pt>
                <c:pt idx="62">
                  <c:v>5536.6802657064418</c:v>
                </c:pt>
                <c:pt idx="63">
                  <c:v>5690.9622209744266</c:v>
                </c:pt>
                <c:pt idx="64">
                  <c:v>5849.8684983599869</c:v>
                </c:pt>
                <c:pt idx="65">
                  <c:v>6013.5559476855915</c:v>
                </c:pt>
                <c:pt idx="66">
                  <c:v>6182.1893043430427</c:v>
                </c:pt>
                <c:pt idx="67">
                  <c:v>6355.9416842376277</c:v>
                </c:pt>
                <c:pt idx="68">
                  <c:v>6534.9951156311845</c:v>
                </c:pt>
                <c:pt idx="69">
                  <c:v>6719.5411112688253</c:v>
                </c:pt>
                <c:pt idx="70">
                  <c:v>6909.7812845156586</c:v>
                </c:pt>
                <c:pt idx="71">
                  <c:v>7105.9280136131856</c:v>
                </c:pt>
                <c:pt idx="72">
                  <c:v>7308.205158595918</c:v>
                </c:pt>
                <c:pt idx="73">
                  <c:v>7516.848835891903</c:v>
                </c:pt>
                <c:pt idx="74">
                  <c:v>7732.1082561750827</c:v>
                </c:pt>
                <c:pt idx="75">
                  <c:v>7954.2466316500622</c:v>
                </c:pt>
                <c:pt idx="76">
                  <c:v>8183.5421596403248</c:v>
                </c:pt>
                <c:pt idx="77">
                  <c:v>8420.289090131073</c:v>
                </c:pt>
                <c:pt idx="78">
                  <c:v>8664.7988857998971</c:v>
                </c:pt>
                <c:pt idx="79">
                  <c:v>8917.4014840673135</c:v>
                </c:pt>
                <c:pt idx="80">
                  <c:v>9178.4466718327676</c:v>
                </c:pt>
                <c:pt idx="81">
                  <c:v>9448.3055848494914</c:v>
                </c:pt>
                <c:pt idx="82">
                  <c:v>9727.3723451581554</c:v>
                </c:pt>
                <c:pt idx="83">
                  <c:v>10016.065851671556</c:v>
                </c:pt>
                <c:pt idx="84">
                  <c:v>10314.831740913858</c:v>
                </c:pt>
                <c:pt idx="85">
                  <c:v>10624.144537106349</c:v>
                </c:pt>
                <c:pt idx="86">
                  <c:v>10944.510013302608</c:v>
                </c:pt>
                <c:pt idx="87">
                  <c:v>11276.467788162796</c:v>
                </c:pt>
                <c:pt idx="88">
                  <c:v>11620.594186283934</c:v>
                </c:pt>
                <c:pt idx="89">
                  <c:v>11977.505393844805</c:v>
                </c:pt>
                <c:pt idx="90">
                  <c:v>12347.860945772405</c:v>
                </c:pt>
                <c:pt idx="91">
                  <c:v>12732.367585797694</c:v>
                </c:pt>
                <c:pt idx="92">
                  <c:v>13131.783546773659</c:v>
                </c:pt>
                <c:pt idx="93">
                  <c:v>13546.923305630746</c:v>
                </c:pt>
                <c:pt idx="94">
                  <c:v>13978.662875536462</c:v>
                </c:pt>
                <c:pt idx="95">
                  <c:v>14427.94570742932</c:v>
                </c:pt>
                <c:pt idx="96">
                  <c:v>14895.78928439423</c:v>
                </c:pt>
                <c:pt idx="97">
                  <c:v>15383.292505672032</c:v>
                </c:pt>
                <c:pt idx="98">
                  <c:v>15891.643972862617</c:v>
                </c:pt>
                <c:pt idx="99">
                  <c:v>16422.131309598532</c:v>
                </c:pt>
                <c:pt idx="100">
                  <c:v>16976.151668259721</c:v>
                </c:pt>
              </c:numCache>
            </c:numRef>
          </c:val>
          <c:smooth val="0"/>
          <c:extLst>
            <c:ext xmlns:c16="http://schemas.microsoft.com/office/drawing/2014/chart" uri="{C3380CC4-5D6E-409C-BE32-E72D297353CC}">
              <c16:uniqueId val="{00000003-F0EA-4A0C-859E-C3182CAF915C}"/>
            </c:ext>
          </c:extLst>
        </c:ser>
        <c:dLbls>
          <c:showLegendKey val="0"/>
          <c:showVal val="0"/>
          <c:showCatName val="0"/>
          <c:showSerName val="0"/>
          <c:showPercent val="0"/>
          <c:showBubbleSize val="0"/>
        </c:dLbls>
        <c:marker val="1"/>
        <c:smooth val="0"/>
        <c:axId val="451236224"/>
        <c:axId val="451225856"/>
      </c:lineChart>
      <c:catAx>
        <c:axId val="451868928"/>
        <c:scaling>
          <c:orientation val="minMax"/>
        </c:scaling>
        <c:delete val="0"/>
        <c:axPos val="b"/>
        <c:majorGridlines>
          <c:spPr>
            <a:ln w="15875">
              <a:solidFill>
                <a:srgbClr val="969696"/>
              </a:solidFill>
              <a:prstDash val="sysDash"/>
            </a:ln>
          </c:spPr>
        </c:majorGridlines>
        <c:minorGridlines/>
        <c:title>
          <c:tx>
            <c:rich>
              <a:bodyPr/>
              <a:lstStyle/>
              <a:p>
                <a:pPr>
                  <a:defRPr lang="ja-JP"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0000FF"/>
                </a:solidFill>
                <a:latin typeface="Arial" pitchFamily="34" charset="0"/>
                <a:ea typeface="Calibri"/>
                <a:cs typeface="Arial" pitchFamily="34" charset="0"/>
              </a:defRPr>
            </a:pPr>
            <a:endParaRPr lang="en-US"/>
          </a:p>
        </c:txPr>
        <c:crossAx val="451223936"/>
        <c:crosses val="autoZero"/>
        <c:auto val="1"/>
        <c:lblAlgn val="ctr"/>
        <c:lblOffset val="100"/>
        <c:tickLblSkip val="20"/>
        <c:tickMarkSkip val="20"/>
        <c:noMultiLvlLbl val="0"/>
      </c:catAx>
      <c:valAx>
        <c:axId val="451223936"/>
        <c:scaling>
          <c:orientation val="minMax"/>
          <c:max val="100"/>
          <c:min val="55"/>
        </c:scaling>
        <c:delete val="0"/>
        <c:axPos val="l"/>
        <c:majorGridlines>
          <c:spPr>
            <a:ln w="15875">
              <a:solidFill>
                <a:srgbClr val="808080"/>
              </a:solidFill>
              <a:prstDash val="solid"/>
            </a:ln>
          </c:spPr>
        </c:majorGridlines>
        <c:title>
          <c:tx>
            <c:rich>
              <a:bodyPr/>
              <a:lstStyle/>
              <a:p>
                <a:pPr>
                  <a:defRPr lang="ja-JP"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lang="ja-JP" sz="1100" b="1" i="0" u="none" strike="noStrike" baseline="0">
                <a:solidFill>
                  <a:srgbClr val="FF0000"/>
                </a:solidFill>
                <a:latin typeface="Arial" pitchFamily="34" charset="0"/>
                <a:ea typeface="Calibri"/>
                <a:cs typeface="Arial" pitchFamily="34" charset="0"/>
              </a:defRPr>
            </a:pPr>
            <a:endParaRPr lang="en-US"/>
          </a:p>
        </c:txPr>
        <c:crossAx val="451868928"/>
        <c:crossesAt val="0"/>
        <c:crossBetween val="between"/>
        <c:majorUnit val="5"/>
        <c:minorUnit val="2.5"/>
      </c:valAx>
      <c:valAx>
        <c:axId val="451225856"/>
        <c:scaling>
          <c:orientation val="minMax"/>
        </c:scaling>
        <c:delete val="0"/>
        <c:axPos val="r"/>
        <c:title>
          <c:tx>
            <c:rich>
              <a:bodyPr rot="-5400000" vert="horz"/>
              <a:lstStyle/>
              <a:p>
                <a:pPr>
                  <a:defRPr lang="ja-JP"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lang="ja-JP" sz="1100" b="1">
                <a:solidFill>
                  <a:sysClr val="windowText" lastClr="000000"/>
                </a:solidFill>
              </a:defRPr>
            </a:pPr>
            <a:endParaRPr lang="en-US"/>
          </a:p>
        </c:txPr>
        <c:crossAx val="451236224"/>
        <c:crosses val="max"/>
        <c:crossBetween val="between"/>
      </c:valAx>
      <c:catAx>
        <c:axId val="451236224"/>
        <c:scaling>
          <c:orientation val="minMax"/>
        </c:scaling>
        <c:delete val="1"/>
        <c:axPos val="b"/>
        <c:numFmt formatCode="General" sourceLinked="1"/>
        <c:majorTickMark val="out"/>
        <c:minorTickMark val="none"/>
        <c:tickLblPos val="nextTo"/>
        <c:crossAx val="451225856"/>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lang="ja-JP"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Single'!$AN$110:$AN$210</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68.182658383719087</c:v>
                </c:pt>
                <c:pt idx="29">
                  <c:v>65.843807230608533</c:v>
                </c:pt>
                <c:pt idx="30">
                  <c:v>63.651425668563853</c:v>
                </c:pt>
                <c:pt idx="31">
                  <c:v>61.598699088271317</c:v>
                </c:pt>
                <c:pt idx="32">
                  <c:v>59.672693114960516</c:v>
                </c:pt>
                <c:pt idx="33">
                  <c:v>57.862022792819545</c:v>
                </c:pt>
                <c:pt idx="34">
                  <c:v>56.156627323413943</c:v>
                </c:pt>
                <c:pt idx="35">
                  <c:v>54.54758299315084</c:v>
                </c:pt>
                <c:pt idx="36">
                  <c:v>53.02694694403624</c:v>
                </c:pt>
                <c:pt idx="37">
                  <c:v>51.587626013611278</c:v>
                </c:pt>
                <c:pt idx="38">
                  <c:v>50.223266073159564</c:v>
                </c:pt>
                <c:pt idx="39">
                  <c:v>48.92815822157948</c:v>
                </c:pt>
                <c:pt idx="40">
                  <c:v>47.697158913774167</c:v>
                </c:pt>
                <c:pt idx="41">
                  <c:v>46.525621667000685</c:v>
                </c:pt>
                <c:pt idx="42">
                  <c:v>45.40933843334134</c:v>
                </c:pt>
                <c:pt idx="43">
                  <c:v>44.344489078942019</c:v>
                </c:pt>
                <c:pt idx="44">
                  <c:v>43.327597691679969</c:v>
                </c:pt>
                <c:pt idx="45">
                  <c:v>42.355494664223784</c:v>
                </c:pt>
                <c:pt idx="46">
                  <c:v>41.425283681038948</c:v>
                </c:pt>
                <c:pt idx="47">
                  <c:v>40.534312884998791</c:v>
                </c:pt>
                <c:pt idx="48">
                  <c:v>39.680149619006457</c:v>
                </c:pt>
                <c:pt idx="49">
                  <c:v>38.860558235961221</c:v>
                </c:pt>
                <c:pt idx="50">
                  <c:v>38.073480550838347</c:v>
                </c:pt>
                <c:pt idx="51">
                  <c:v>37.31701857500255</c:v>
                </c:pt>
                <c:pt idx="52">
                  <c:v>36.589419227827328</c:v>
                </c:pt>
                <c:pt idx="53">
                  <c:v>35.889060766381952</c:v>
                </c:pt>
                <c:pt idx="54">
                  <c:v>35.214440712076403</c:v>
                </c:pt>
                <c:pt idx="55">
                  <c:v>34.564165085089662</c:v>
                </c:pt>
                <c:pt idx="56">
                  <c:v>33.93693878424299</c:v>
                </c:pt>
                <c:pt idx="57">
                  <c:v>33.331556972609583</c:v>
                </c:pt>
                <c:pt idx="58">
                  <c:v>32.746897348292322</c:v>
                </c:pt>
                <c:pt idx="59">
                  <c:v>32.181913196042245</c:v>
                </c:pt>
                <c:pt idx="60">
                  <c:v>31.635627129210064</c:v>
                </c:pt>
                <c:pt idx="61">
                  <c:v>31.107125443317582</c:v>
                </c:pt>
                <c:pt idx="62">
                  <c:v>30.595553012628518</c:v>
                </c:pt>
                <c:pt idx="63">
                  <c:v>30.100108669758011</c:v>
                </c:pt>
                <c:pt idx="64">
                  <c:v>29.620041015809864</c:v>
                </c:pt>
                <c:pt idx="65">
                  <c:v>29.15464461495451</c:v>
                </c:pt>
                <c:pt idx="66">
                  <c:v>28.703256532914082</c:v>
                </c:pt>
                <c:pt idx="67">
                  <c:v>28.265253183633082</c:v>
                </c:pt>
                <c:pt idx="68">
                  <c:v>27.840047452590834</c:v>
                </c:pt>
                <c:pt idx="69">
                  <c:v>27.427086068849363</c:v>
                </c:pt>
                <c:pt idx="70">
                  <c:v>27.025847201101161</c:v>
                </c:pt>
                <c:pt idx="71">
                  <c:v>26.635838255753988</c:v>
                </c:pt>
                <c:pt idx="72">
                  <c:v>26.25659385751576</c:v>
                </c:pt>
                <c:pt idx="73">
                  <c:v>25.887673995073481</c:v>
                </c:pt>
                <c:pt idx="74">
                  <c:v>25.528662316331165</c:v>
                </c:pt>
                <c:pt idx="75">
                  <c:v>25.179164559320334</c:v>
                </c:pt>
                <c:pt idx="76">
                  <c:v>24.838807106351123</c:v>
                </c:pt>
                <c:pt idx="77">
                  <c:v>24.507235650256966</c:v>
                </c:pt>
                <c:pt idx="78">
                  <c:v>24.184113962723345</c:v>
                </c:pt>
                <c:pt idx="79">
                  <c:v>23.869122755699852</c:v>
                </c:pt>
                <c:pt idx="80">
                  <c:v>23.56195862779045</c:v>
                </c:pt>
                <c:pt idx="81">
                  <c:v>23.26233308831344</c:v>
                </c:pt>
                <c:pt idx="82">
                  <c:v>22.969971652432317</c:v>
                </c:pt>
                <c:pt idx="83">
                  <c:v>22.684613001391657</c:v>
                </c:pt>
                <c:pt idx="84">
                  <c:v>22.406008202458001</c:v>
                </c:pt>
                <c:pt idx="85">
                  <c:v>22.133919983671106</c:v>
                </c:pt>
                <c:pt idx="86">
                  <c:v>21.868122058964683</c:v>
                </c:pt>
                <c:pt idx="87">
                  <c:v>21.608398499622009</c:v>
                </c:pt>
                <c:pt idx="88">
                  <c:v>21.354543148396957</c:v>
                </c:pt>
                <c:pt idx="89">
                  <c:v>21.106359072959535</c:v>
                </c:pt>
                <c:pt idx="90">
                  <c:v>20.863658055620515</c:v>
                </c:pt>
                <c:pt idx="91">
                  <c:v>20.626260116556463</c:v>
                </c:pt>
                <c:pt idx="92">
                  <c:v>20.393993067996995</c:v>
                </c:pt>
                <c:pt idx="93">
                  <c:v>20.166692097053609</c:v>
                </c:pt>
                <c:pt idx="94">
                  <c:v>19.944199375065946</c:v>
                </c:pt>
                <c:pt idx="95">
                  <c:v>19.726363691519676</c:v>
                </c:pt>
                <c:pt idx="96">
                  <c:v>19.513040110751607</c:v>
                </c:pt>
                <c:pt idx="97">
                  <c:v>19.304089649804073</c:v>
                </c:pt>
                <c:pt idx="98">
                  <c:v>19.099378975924118</c:v>
                </c:pt>
                <c:pt idx="99">
                  <c:v>18.89878012232381</c:v>
                </c:pt>
                <c:pt idx="100">
                  <c:v>18.702170220928377</c:v>
                </c:pt>
              </c:numCache>
            </c:numRef>
          </c:val>
          <c:smooth val="0"/>
          <c:extLst>
            <c:ext xmlns:c16="http://schemas.microsoft.com/office/drawing/2014/chart" uri="{C3380CC4-5D6E-409C-BE32-E72D297353CC}">
              <c16:uniqueId val="{00000000-35C4-40D8-9B41-933331EBB298}"/>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Single'!$AN$5:$AN$105</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101.06523436294729</c:v>
                </c:pt>
                <c:pt idx="40">
                  <c:v>98.571359299016862</c:v>
                </c:pt>
                <c:pt idx="41">
                  <c:v>96.220951318839539</c:v>
                </c:pt>
                <c:pt idx="42">
                  <c:v>93.981691531061927</c:v>
                </c:pt>
                <c:pt idx="43">
                  <c:v>91.844671431000151</c:v>
                </c:pt>
                <c:pt idx="44">
                  <c:v>89.803044805759484</c:v>
                </c:pt>
                <c:pt idx="45">
                  <c:v>87.850563348346213</c:v>
                </c:pt>
                <c:pt idx="46">
                  <c:v>85.981512780569872</c:v>
                </c:pt>
                <c:pt idx="47">
                  <c:v>84.190656993778006</c:v>
                </c:pt>
                <c:pt idx="48">
                  <c:v>82.47318905735338</c:v>
                </c:pt>
                <c:pt idx="49">
                  <c:v>80.824688129651847</c:v>
                </c:pt>
                <c:pt idx="50">
                  <c:v>79.241081458071648</c:v>
                </c:pt>
                <c:pt idx="51">
                  <c:v>77.718610780550605</c:v>
                </c:pt>
                <c:pt idx="52">
                  <c:v>76.253802544983373</c:v>
                </c:pt>
                <c:pt idx="53">
                  <c:v>74.843441449814449</c:v>
                </c:pt>
                <c:pt idx="54">
                  <c:v>73.484546881579377</c:v>
                </c:pt>
                <c:pt idx="55">
                  <c:v>72.174351885985629</c:v>
                </c:pt>
                <c:pt idx="56">
                  <c:v>70.910284360308594</c:v>
                </c:pt>
                <c:pt idx="57">
                  <c:v>69.689950198090912</c:v>
                </c:pt>
                <c:pt idx="58">
                  <c:v>68.511118153733293</c:v>
                </c:pt>
                <c:pt idx="59">
                  <c:v>67.371706225655785</c:v>
                </c:pt>
                <c:pt idx="60">
                  <c:v>66.269769383197982</c:v>
                </c:pt>
                <c:pt idx="61">
                  <c:v>65.203488485057747</c:v>
                </c:pt>
                <c:pt idx="62">
                  <c:v>64.171160256456318</c:v>
                </c:pt>
                <c:pt idx="63">
                  <c:v>63.171188208871129</c:v>
                </c:pt>
                <c:pt idx="64">
                  <c:v>62.202074400517283</c:v>
                </c:pt>
                <c:pt idx="65">
                  <c:v>61.262411948138663</c:v>
                </c:pt>
                <c:pt idx="66">
                  <c:v>60.350878211379623</c:v>
                </c:pt>
                <c:pt idx="67">
                  <c:v>59.466228580298534</c:v>
                </c:pt>
                <c:pt idx="68">
                  <c:v>58.607290804657495</c:v>
                </c:pt>
                <c:pt idx="69">
                  <c:v>57.772959810657397</c:v>
                </c:pt>
                <c:pt idx="70">
                  <c:v>56.962192956924156</c:v>
                </c:pt>
                <c:pt idx="71">
                  <c:v>56.174005686924005</c:v>
                </c:pt>
                <c:pt idx="72">
                  <c:v>55.407467539689904</c:v>
                </c:pt>
                <c:pt idx="73">
                  <c:v>54.661698484873426</c:v>
                </c:pt>
                <c:pt idx="74">
                  <c:v>53.935865551771492</c:v>
                </c:pt>
                <c:pt idx="75">
                  <c:v>53.229179725180266</c:v>
                </c:pt>
                <c:pt idx="76">
                  <c:v>52.540893083756465</c:v>
                </c:pt>
                <c:pt idx="77">
                  <c:v>51.870296159067045</c:v>
                </c:pt>
                <c:pt idx="78">
                  <c:v>51.216715495723044</c:v>
                </c:pt>
                <c:pt idx="79">
                  <c:v>50.579511394959255</c:v>
                </c:pt>
                <c:pt idx="80">
                  <c:v>49.958075825767118</c:v>
                </c:pt>
                <c:pt idx="81">
                  <c:v>49.351830489243014</c:v>
                </c:pt>
                <c:pt idx="82">
                  <c:v>48.760225023198778</c:v>
                </c:pt>
                <c:pt idx="83">
                  <c:v>48.182735335318618</c:v>
                </c:pt>
                <c:pt idx="84">
                  <c:v>47.618862054251302</c:v>
                </c:pt>
                <c:pt idx="85">
                  <c:v>47.06812908901572</c:v>
                </c:pt>
                <c:pt idx="86">
                  <c:v>46.530082287985557</c:v>
                </c:pt>
                <c:pt idx="87">
                  <c:v>46.004288189513581</c:v>
                </c:pt>
                <c:pt idx="88">
                  <c:v>45.490332856972074</c:v>
                </c:pt>
                <c:pt idx="89">
                  <c:v>44.987820791628948</c:v>
                </c:pt>
                <c:pt idx="90">
                  <c:v>44.496373917359598</c:v>
                </c:pt>
                <c:pt idx="91">
                  <c:v>44.0156306317161</c:v>
                </c:pt>
                <c:pt idx="92">
                  <c:v>43.545244918349169</c:v>
                </c:pt>
                <c:pt idx="93">
                  <c:v>43.084885516203826</c:v>
                </c:pt>
                <c:pt idx="94">
                  <c:v>42.634235141297182</c:v>
                </c:pt>
                <c:pt idx="95">
                  <c:v>42.192989757235736</c:v>
                </c:pt>
                <c:pt idx="96">
                  <c:v>41.760857890948117</c:v>
                </c:pt>
                <c:pt idx="97">
                  <c:v>41.337559990396819</c:v>
                </c:pt>
                <c:pt idx="98">
                  <c:v>40.922827821294746</c:v>
                </c:pt>
                <c:pt idx="99">
                  <c:v>40.516403900090928</c:v>
                </c:pt>
                <c:pt idx="100">
                  <c:v>40.11804096070663</c:v>
                </c:pt>
              </c:numCache>
            </c:numRef>
          </c:val>
          <c:smooth val="0"/>
          <c:extLst>
            <c:ext xmlns:c16="http://schemas.microsoft.com/office/drawing/2014/chart" uri="{C3380CC4-5D6E-409C-BE32-E72D297353CC}">
              <c16:uniqueId val="{00000001-35C4-40D8-9B41-933331EBB298}"/>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Single'!$AN$216:$AN$316</c:f>
              <c:numCache>
                <c:formatCode>0.0</c:formatCode>
                <c:ptCount val="101"/>
                <c:pt idx="0">
                  <c:v>12</c:v>
                </c:pt>
                <c:pt idx="1">
                  <c:v>12</c:v>
                </c:pt>
                <c:pt idx="2">
                  <c:v>12</c:v>
                </c:pt>
                <c:pt idx="3">
                  <c:v>12</c:v>
                </c:pt>
                <c:pt idx="4">
                  <c:v>12</c:v>
                </c:pt>
                <c:pt idx="5">
                  <c:v>12.956699276138288</c:v>
                </c:pt>
                <c:pt idx="6">
                  <c:v>15.548039131365945</c:v>
                </c:pt>
                <c:pt idx="7">
                  <c:v>18.139378986593606</c:v>
                </c:pt>
                <c:pt idx="8">
                  <c:v>20.730718841821265</c:v>
                </c:pt>
                <c:pt idx="9">
                  <c:v>23.322058697048917</c:v>
                </c:pt>
                <c:pt idx="10">
                  <c:v>25.913398552276576</c:v>
                </c:pt>
                <c:pt idx="11">
                  <c:v>28.504738407504238</c:v>
                </c:pt>
                <c:pt idx="12">
                  <c:v>31.09607826273189</c:v>
                </c:pt>
                <c:pt idx="13">
                  <c:v>33.687418117959552</c:v>
                </c:pt>
                <c:pt idx="14">
                  <c:v>36.278757973187211</c:v>
                </c:pt>
                <c:pt idx="15">
                  <c:v>38.870097828414863</c:v>
                </c:pt>
                <c:pt idx="16">
                  <c:v>41.461437683642529</c:v>
                </c:pt>
                <c:pt idx="17">
                  <c:v>44.052777538870188</c:v>
                </c:pt>
                <c:pt idx="18">
                  <c:v>46.644117394097833</c:v>
                </c:pt>
                <c:pt idx="19">
                  <c:v>49.235457249325499</c:v>
                </c:pt>
                <c:pt idx="20">
                  <c:v>51.826797104553151</c:v>
                </c:pt>
                <c:pt idx="21">
                  <c:v>54.418136959780817</c:v>
                </c:pt>
                <c:pt idx="22">
                  <c:v>57.009476815008476</c:v>
                </c:pt>
                <c:pt idx="23">
                  <c:v>59.600816670236135</c:v>
                </c:pt>
                <c:pt idx="24">
                  <c:v>62.19215652546378</c:v>
                </c:pt>
                <c:pt idx="25">
                  <c:v>64.783496380691446</c:v>
                </c:pt>
                <c:pt idx="26">
                  <c:v>67.374836235919105</c:v>
                </c:pt>
                <c:pt idx="27">
                  <c:v>69.966176091146764</c:v>
                </c:pt>
                <c:pt idx="28">
                  <c:v>72.557515946374423</c:v>
                </c:pt>
                <c:pt idx="29">
                  <c:v>75.148855801602068</c:v>
                </c:pt>
                <c:pt idx="30">
                  <c:v>77.740195656829727</c:v>
                </c:pt>
                <c:pt idx="31">
                  <c:v>80.3315355120574</c:v>
                </c:pt>
                <c:pt idx="32">
                  <c:v>82.922875367285059</c:v>
                </c:pt>
                <c:pt idx="33">
                  <c:v>85.514215222512703</c:v>
                </c:pt>
                <c:pt idx="34">
                  <c:v>88.105555077740377</c:v>
                </c:pt>
                <c:pt idx="35">
                  <c:v>90.696894932968021</c:v>
                </c:pt>
                <c:pt idx="36">
                  <c:v>93.288234788195666</c:v>
                </c:pt>
                <c:pt idx="37">
                  <c:v>95.879574643423339</c:v>
                </c:pt>
                <c:pt idx="38">
                  <c:v>98.470914498650998</c:v>
                </c:pt>
                <c:pt idx="39">
                  <c:v>101.06225435387866</c:v>
                </c:pt>
                <c:pt idx="40">
                  <c:v>103.6535942091063</c:v>
                </c:pt>
                <c:pt idx="41">
                  <c:v>106.24493406433395</c:v>
                </c:pt>
                <c:pt idx="42">
                  <c:v>108.84698149662354</c:v>
                </c:pt>
                <c:pt idx="43">
                  <c:v>105.3287679132666</c:v>
                </c:pt>
                <c:pt idx="44">
                  <c:v>102.99674807345986</c:v>
                </c:pt>
                <c:pt idx="45">
                  <c:v>100.76742683353842</c:v>
                </c:pt>
                <c:pt idx="46">
                  <c:v>98.633128429591324</c:v>
                </c:pt>
                <c:pt idx="47">
                  <c:v>96.587903988455736</c:v>
                </c:pt>
                <c:pt idx="48">
                  <c:v>94.626291055916937</c:v>
                </c:pt>
                <c:pt idx="49">
                  <c:v>92.743264876616507</c:v>
                </c:pt>
                <c:pt idx="50">
                  <c:v>90.934195414769022</c:v>
                </c:pt>
                <c:pt idx="51">
                  <c:v>89.194809341692746</c:v>
                </c:pt>
                <c:pt idx="52">
                  <c:v>87.521156333163916</c:v>
                </c:pt>
                <c:pt idx="53">
                  <c:v>85.909579117083567</c:v>
                </c:pt>
                <c:pt idx="54">
                  <c:v>84.356686793445732</c:v>
                </c:pt>
                <c:pt idx="55">
                  <c:v>82.859331016983319</c:v>
                </c:pt>
                <c:pt idx="56">
                  <c:v>81.414584690438218</c:v>
                </c:pt>
                <c:pt idx="57">
                  <c:v>80.01972286503046</c:v>
                </c:pt>
                <c:pt idx="58">
                  <c:v>78.672205585897331</c:v>
                </c:pt>
                <c:pt idx="59">
                  <c:v>77.369662455286829</c:v>
                </c:pt>
                <c:pt idx="60">
                  <c:v>76.109878716125237</c:v>
                </c:pt>
                <c:pt idx="61">
                  <c:v>74.890782684082026</c:v>
                </c:pt>
                <c:pt idx="62">
                  <c:v>73.710434378107266</c:v>
                </c:pt>
                <c:pt idx="63">
                  <c:v>72.56701521819474</c:v>
                </c:pt>
                <c:pt idx="64">
                  <c:v>71.458818675296058</c:v>
                </c:pt>
                <c:pt idx="65">
                  <c:v>70.384241772277548</c:v>
                </c:pt>
                <c:pt idx="66">
                  <c:v>69.341777346898169</c:v>
                </c:pt>
                <c:pt idx="67">
                  <c:v>68.330006998272381</c:v>
                </c:pt>
                <c:pt idx="68">
                  <c:v>67.347594647398424</c:v>
                </c:pt>
                <c:pt idx="69">
                  <c:v>66.393280650274818</c:v>
                </c:pt>
                <c:pt idx="70">
                  <c:v>65.465876409062673</c:v>
                </c:pt>
                <c:pt idx="71">
                  <c:v>64.564259432819341</c:v>
                </c:pt>
                <c:pt idx="72">
                  <c:v>63.687368804645402</c:v>
                </c:pt>
                <c:pt idx="73">
                  <c:v>62.83420101675982</c:v>
                </c:pt>
                <c:pt idx="74">
                  <c:v>62.003806139125608</c:v>
                </c:pt>
                <c:pt idx="75">
                  <c:v>61.195284290872365</c:v>
                </c:pt>
                <c:pt idx="76">
                  <c:v>60.407782386959603</c:v>
                </c:pt>
                <c:pt idx="77">
                  <c:v>59.640491135354623</c:v>
                </c:pt>
                <c:pt idx="78">
                  <c:v>58.892642262504701</c:v>
                </c:pt>
                <c:pt idx="79">
                  <c:v>58.163505947107701</c:v>
                </c:pt>
                <c:pt idx="80">
                  <c:v>57.452388444162565</c:v>
                </c:pt>
                <c:pt idx="81">
                  <c:v>56.758629883039681</c:v>
                </c:pt>
                <c:pt idx="82">
                  <c:v>56.08160222488123</c:v>
                </c:pt>
                <c:pt idx="83">
                  <c:v>55.420707366041</c:v>
                </c:pt>
                <c:pt idx="84">
                  <c:v>54.775375375525329</c:v>
                </c:pt>
                <c:pt idx="85">
                  <c:v>54.145062855518553</c:v>
                </c:pt>
                <c:pt idx="86">
                  <c:v>53.529251415079564</c:v>
                </c:pt>
                <c:pt idx="87">
                  <c:v>52.927446247999896</c:v>
                </c:pt>
                <c:pt idx="88">
                  <c:v>52.339174806622928</c:v>
                </c:pt>
                <c:pt idx="89">
                  <c:v>51.76398556415397</c:v>
                </c:pt>
                <c:pt idx="90">
                  <c:v>51.201446858648445</c:v>
                </c:pt>
                <c:pt idx="91">
                  <c:v>50.651145812457855</c:v>
                </c:pt>
                <c:pt idx="92">
                  <c:v>50.112687321449215</c:v>
                </c:pt>
                <c:pt idx="93">
                  <c:v>49.585693108797514</c:v>
                </c:pt>
                <c:pt idx="94">
                  <c:v>49.069800838589011</c:v>
                </c:pt>
                <c:pt idx="95">
                  <c:v>48.564663284870946</c:v>
                </c:pt>
                <c:pt idx="96">
                  <c:v>48.069947552142594</c:v>
                </c:pt>
                <c:pt idx="97">
                  <c:v>47.58533434361054</c:v>
                </c:pt>
                <c:pt idx="98">
                  <c:v>47.11051727382808</c:v>
                </c:pt>
                <c:pt idx="99">
                  <c:v>46.645202222609456</c:v>
                </c:pt>
                <c:pt idx="100">
                  <c:v>46.189106727355785</c:v>
                </c:pt>
              </c:numCache>
            </c:numRef>
          </c:val>
          <c:smooth val="0"/>
          <c:extLst>
            <c:ext xmlns:c16="http://schemas.microsoft.com/office/drawing/2014/chart" uri="{C3380CC4-5D6E-409C-BE32-E72D297353CC}">
              <c16:uniqueId val="{00000002-35C4-40D8-9B41-933331EBB298}"/>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5C4-40D8-9B41-933331EBB298}"/>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5C4-40D8-9B41-933331EBB298}"/>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100</c:v>
                </c:pt>
                <c:pt idx="2">
                  <c:v>200</c:v>
                </c:pt>
                <c:pt idx="3">
                  <c:v>300</c:v>
                </c:pt>
                <c:pt idx="4">
                  <c:v>400</c:v>
                </c:pt>
                <c:pt idx="5">
                  <c:v>500</c:v>
                </c:pt>
                <c:pt idx="6">
                  <c:v>600</c:v>
                </c:pt>
                <c:pt idx="7">
                  <c:v>700.00000000000011</c:v>
                </c:pt>
                <c:pt idx="8">
                  <c:v>800</c:v>
                </c:pt>
                <c:pt idx="9">
                  <c:v>899.99999999999989</c:v>
                </c:pt>
                <c:pt idx="10">
                  <c:v>1000</c:v>
                </c:pt>
                <c:pt idx="11">
                  <c:v>1100</c:v>
                </c:pt>
                <c:pt idx="12">
                  <c:v>1200</c:v>
                </c:pt>
                <c:pt idx="13">
                  <c:v>1300</c:v>
                </c:pt>
                <c:pt idx="14">
                  <c:v>1400.0000000000002</c:v>
                </c:pt>
                <c:pt idx="15">
                  <c:v>1500</c:v>
                </c:pt>
                <c:pt idx="16">
                  <c:v>1600</c:v>
                </c:pt>
                <c:pt idx="17">
                  <c:v>1700.0000000000002</c:v>
                </c:pt>
                <c:pt idx="18">
                  <c:v>1799.9999999999998</c:v>
                </c:pt>
                <c:pt idx="19">
                  <c:v>1900</c:v>
                </c:pt>
                <c:pt idx="20">
                  <c:v>2000</c:v>
                </c:pt>
                <c:pt idx="21">
                  <c:v>2100</c:v>
                </c:pt>
                <c:pt idx="22">
                  <c:v>2200</c:v>
                </c:pt>
                <c:pt idx="23">
                  <c:v>2300.0000000000005</c:v>
                </c:pt>
                <c:pt idx="24">
                  <c:v>2400</c:v>
                </c:pt>
                <c:pt idx="25">
                  <c:v>2500</c:v>
                </c:pt>
                <c:pt idx="26">
                  <c:v>2600</c:v>
                </c:pt>
                <c:pt idx="27">
                  <c:v>2700</c:v>
                </c:pt>
                <c:pt idx="28">
                  <c:v>2800.0000000000005</c:v>
                </c:pt>
                <c:pt idx="29">
                  <c:v>2900</c:v>
                </c:pt>
                <c:pt idx="30">
                  <c:v>3000</c:v>
                </c:pt>
                <c:pt idx="31">
                  <c:v>3100</c:v>
                </c:pt>
                <c:pt idx="32">
                  <c:v>3200</c:v>
                </c:pt>
                <c:pt idx="33">
                  <c:v>3300.0000000000005</c:v>
                </c:pt>
                <c:pt idx="34">
                  <c:v>3400.0000000000005</c:v>
                </c:pt>
                <c:pt idx="35">
                  <c:v>3500</c:v>
                </c:pt>
                <c:pt idx="36">
                  <c:v>3599.9999999999995</c:v>
                </c:pt>
                <c:pt idx="37">
                  <c:v>3700</c:v>
                </c:pt>
                <c:pt idx="38">
                  <c:v>3800</c:v>
                </c:pt>
                <c:pt idx="39">
                  <c:v>3900.0000000000005</c:v>
                </c:pt>
                <c:pt idx="40">
                  <c:v>4000</c:v>
                </c:pt>
                <c:pt idx="41">
                  <c:v>4100</c:v>
                </c:pt>
                <c:pt idx="42">
                  <c:v>4200</c:v>
                </c:pt>
                <c:pt idx="43">
                  <c:v>4300</c:v>
                </c:pt>
                <c:pt idx="44">
                  <c:v>4400</c:v>
                </c:pt>
                <c:pt idx="45">
                  <c:v>4500</c:v>
                </c:pt>
                <c:pt idx="46">
                  <c:v>4600.0000000000009</c:v>
                </c:pt>
                <c:pt idx="47">
                  <c:v>4699.9999999999991</c:v>
                </c:pt>
                <c:pt idx="48">
                  <c:v>4800</c:v>
                </c:pt>
                <c:pt idx="49">
                  <c:v>4900</c:v>
                </c:pt>
                <c:pt idx="50">
                  <c:v>5000</c:v>
                </c:pt>
                <c:pt idx="51">
                  <c:v>5100</c:v>
                </c:pt>
                <c:pt idx="52">
                  <c:v>5200</c:v>
                </c:pt>
                <c:pt idx="53">
                  <c:v>5300.0000000000009</c:v>
                </c:pt>
                <c:pt idx="54">
                  <c:v>5400</c:v>
                </c:pt>
                <c:pt idx="55">
                  <c:v>5500</c:v>
                </c:pt>
                <c:pt idx="56">
                  <c:v>5600.0000000000009</c:v>
                </c:pt>
                <c:pt idx="57">
                  <c:v>5699.9999999999991</c:v>
                </c:pt>
                <c:pt idx="58">
                  <c:v>5800</c:v>
                </c:pt>
                <c:pt idx="59">
                  <c:v>5899.9999999999991</c:v>
                </c:pt>
                <c:pt idx="60">
                  <c:v>6000</c:v>
                </c:pt>
                <c:pt idx="61">
                  <c:v>6100</c:v>
                </c:pt>
                <c:pt idx="62">
                  <c:v>6200</c:v>
                </c:pt>
                <c:pt idx="63">
                  <c:v>6300</c:v>
                </c:pt>
                <c:pt idx="64">
                  <c:v>6400</c:v>
                </c:pt>
                <c:pt idx="65">
                  <c:v>6500</c:v>
                </c:pt>
                <c:pt idx="66">
                  <c:v>6600.0000000000009</c:v>
                </c:pt>
                <c:pt idx="67">
                  <c:v>6700</c:v>
                </c:pt>
                <c:pt idx="68">
                  <c:v>6800.0000000000009</c:v>
                </c:pt>
                <c:pt idx="69">
                  <c:v>6899.9999999999991</c:v>
                </c:pt>
                <c:pt idx="70">
                  <c:v>7000</c:v>
                </c:pt>
                <c:pt idx="71">
                  <c:v>7100</c:v>
                </c:pt>
                <c:pt idx="72">
                  <c:v>7199.9999999999991</c:v>
                </c:pt>
                <c:pt idx="73">
                  <c:v>7300</c:v>
                </c:pt>
                <c:pt idx="74">
                  <c:v>7400</c:v>
                </c:pt>
                <c:pt idx="75">
                  <c:v>7500</c:v>
                </c:pt>
                <c:pt idx="76">
                  <c:v>7600</c:v>
                </c:pt>
                <c:pt idx="77">
                  <c:v>7700</c:v>
                </c:pt>
                <c:pt idx="78">
                  <c:v>7800.0000000000009</c:v>
                </c:pt>
                <c:pt idx="79">
                  <c:v>7900</c:v>
                </c:pt>
                <c:pt idx="80">
                  <c:v>8000</c:v>
                </c:pt>
                <c:pt idx="81">
                  <c:v>8100.0000000000018</c:v>
                </c:pt>
                <c:pt idx="82">
                  <c:v>8200</c:v>
                </c:pt>
                <c:pt idx="83">
                  <c:v>8299.9999999999982</c:v>
                </c:pt>
                <c:pt idx="84">
                  <c:v>8400</c:v>
                </c:pt>
                <c:pt idx="85">
                  <c:v>8500</c:v>
                </c:pt>
                <c:pt idx="86">
                  <c:v>8600</c:v>
                </c:pt>
                <c:pt idx="87">
                  <c:v>8700</c:v>
                </c:pt>
                <c:pt idx="88">
                  <c:v>8800</c:v>
                </c:pt>
                <c:pt idx="89">
                  <c:v>8900</c:v>
                </c:pt>
                <c:pt idx="90">
                  <c:v>9000</c:v>
                </c:pt>
                <c:pt idx="91">
                  <c:v>9100</c:v>
                </c:pt>
                <c:pt idx="92">
                  <c:v>9200.0000000000018</c:v>
                </c:pt>
                <c:pt idx="93">
                  <c:v>9300</c:v>
                </c:pt>
                <c:pt idx="94">
                  <c:v>9399.9999999999982</c:v>
                </c:pt>
                <c:pt idx="95">
                  <c:v>9500</c:v>
                </c:pt>
                <c:pt idx="96">
                  <c:v>9600</c:v>
                </c:pt>
                <c:pt idx="97">
                  <c:v>9700</c:v>
                </c:pt>
                <c:pt idx="98">
                  <c:v>9800</c:v>
                </c:pt>
                <c:pt idx="99">
                  <c:v>9900</c:v>
                </c:pt>
                <c:pt idx="100">
                  <c:v>10000</c:v>
                </c:pt>
              </c:numCache>
            </c:numRef>
          </c:cat>
          <c:val>
            <c:numRef>
              <c:f>'Calculations - Single'!$CE$216:$CE$316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5C4-40D8-9B41-933331EBB298}"/>
            </c:ext>
          </c:extLst>
        </c:ser>
        <c:dLbls>
          <c:showLegendKey val="0"/>
          <c:showVal val="0"/>
          <c:showCatName val="0"/>
          <c:showSerName val="0"/>
          <c:showPercent val="0"/>
          <c:showBubbleSize val="0"/>
        </c:dLbls>
        <c:smooth val="0"/>
        <c:axId val="451999616"/>
        <c:axId val="452288896"/>
      </c:lineChart>
      <c:catAx>
        <c:axId val="451999616"/>
        <c:scaling>
          <c:orientation val="minMax"/>
        </c:scaling>
        <c:delete val="0"/>
        <c:axPos val="b"/>
        <c:majorGridlines>
          <c:spPr>
            <a:ln w="15875">
              <a:solidFill>
                <a:srgbClr val="969696"/>
              </a:solidFill>
              <a:prstDash val="sysDash"/>
            </a:ln>
          </c:spPr>
        </c:majorGridlines>
        <c:title>
          <c:tx>
            <c:rich>
              <a:bodyPr/>
              <a:lstStyle/>
              <a:p>
                <a:pPr>
                  <a:defRPr lang="ja-JP"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288896"/>
        <c:crosses val="autoZero"/>
        <c:auto val="1"/>
        <c:lblAlgn val="ctr"/>
        <c:lblOffset val="100"/>
        <c:tickLblSkip val="20"/>
        <c:tickMarkSkip val="10"/>
        <c:noMultiLvlLbl val="0"/>
      </c:catAx>
      <c:valAx>
        <c:axId val="452288896"/>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199961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Dual'!$AM$110:$AM$210</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71.093783593344966</c:v>
                </c:pt>
                <c:pt idx="29">
                  <c:v>68.667463871655769</c:v>
                </c:pt>
                <c:pt idx="30">
                  <c:v>66.400691581392266</c:v>
                </c:pt>
                <c:pt idx="31">
                  <c:v>64.278225837259427</c:v>
                </c:pt>
                <c:pt idx="32">
                  <c:v>62.286707044408089</c:v>
                </c:pt>
                <c:pt idx="33">
                  <c:v>60.41437531174347</c:v>
                </c:pt>
                <c:pt idx="34">
                  <c:v>58.650837971806077</c:v>
                </c:pt>
                <c:pt idx="35">
                  <c:v>56.986876498305577</c:v>
                </c:pt>
                <c:pt idx="36">
                  <c:v>55.414285245911849</c:v>
                </c:pt>
                <c:pt idx="37">
                  <c:v>53.925736057089999</c:v>
                </c:pt>
                <c:pt idx="38">
                  <c:v>52.514664021267663</c:v>
                </c:pt>
                <c:pt idx="39">
                  <c:v>51.17517062879935</c:v>
                </c:pt>
                <c:pt idx="40">
                  <c:v>49.901941306164225</c:v>
                </c:pt>
                <c:pt idx="41">
                  <c:v>48.690174901090714</c:v>
                </c:pt>
                <c:pt idx="42">
                  <c:v>47.535523144984424</c:v>
                </c:pt>
                <c:pt idx="43">
                  <c:v>46.434038483607793</c:v>
                </c:pt>
                <c:pt idx="44">
                  <c:v>45.382128956846721</c:v>
                </c:pt>
                <c:pt idx="45">
                  <c:v>44.37651904082422</c:v>
                </c:pt>
                <c:pt idx="46">
                  <c:v>43.414215552969388</c:v>
                </c:pt>
                <c:pt idx="47">
                  <c:v>42.492477872429355</c:v>
                </c:pt>
                <c:pt idx="48">
                  <c:v>41.608791851771272</c:v>
                </c:pt>
                <c:pt idx="49">
                  <c:v>40.760846896971643</c:v>
                </c:pt>
                <c:pt idx="50">
                  <c:v>39.946515775698387</c:v>
                </c:pt>
                <c:pt idx="51">
                  <c:v>39.163836782365429</c:v>
                </c:pt>
                <c:pt idx="52">
                  <c:v>38.410997945155096</c:v>
                </c:pt>
                <c:pt idx="53">
                  <c:v>37.686323007360578</c:v>
                </c:pt>
                <c:pt idx="54">
                  <c:v>36.988258954756681</c:v>
                </c:pt>
                <c:pt idx="55">
                  <c:v>36.31536489367079</c:v>
                </c:pt>
                <c:pt idx="56">
                  <c:v>35.666302112129245</c:v>
                </c:pt>
                <c:pt idx="57">
                  <c:v>35.039825179814706</c:v>
                </c:pt>
                <c:pt idx="58">
                  <c:v>34.434773962330333</c:v>
                </c:pt>
                <c:pt idx="59">
                  <c:v>33.850066442033885</c:v>
                </c:pt>
                <c:pt idx="60">
                  <c:v>33.284692251972764</c:v>
                </c:pt>
                <c:pt idx="61">
                  <c:v>32.737706841628949</c:v>
                </c:pt>
                <c:pt idx="62">
                  <c:v>32.20822620360336</c:v>
                </c:pt>
                <c:pt idx="63">
                  <c:v>31.695422099311678</c:v>
                </c:pt>
                <c:pt idx="64">
                  <c:v>31.198517729455133</c:v>
                </c:pt>
                <c:pt idx="65">
                  <c:v>30.716783801664601</c:v>
                </c:pt>
                <c:pt idx="66">
                  <c:v>30.249534953450219</c:v>
                </c:pt>
                <c:pt idx="67">
                  <c:v>29.796126493558468</c:v>
                </c:pt>
                <c:pt idx="68">
                  <c:v>29.355951429153425</c:v>
                </c:pt>
                <c:pt idx="69">
                  <c:v>28.928437749994981</c:v>
                </c:pt>
                <c:pt idx="70">
                  <c:v>28.513045944061989</c:v>
                </c:pt>
                <c:pt idx="71">
                  <c:v>28.109266721931593</c:v>
                </c:pt>
                <c:pt idx="72">
                  <c:v>27.716618929732423</c:v>
                </c:pt>
                <c:pt idx="73">
                  <c:v>27.334647632688856</c:v>
                </c:pt>
                <c:pt idx="74">
                  <c:v>26.962922353207688</c:v>
                </c:pt>
                <c:pt idx="75">
                  <c:v>26.60103544916036</c:v>
                </c:pt>
                <c:pt idx="76">
                  <c:v>26.248600619516516</c:v>
                </c:pt>
                <c:pt idx="77">
                  <c:v>25.905251525812282</c:v>
                </c:pt>
                <c:pt idx="78">
                  <c:v>25.570640519111528</c:v>
                </c:pt>
                <c:pt idx="79">
                  <c:v>25.244437463160075</c:v>
                </c:pt>
                <c:pt idx="80">
                  <c:v>24.926328645358655</c:v>
                </c:pt>
                <c:pt idx="81">
                  <c:v>24.616015768003141</c:v>
                </c:pt>
                <c:pt idx="82">
                  <c:v>24.313215012973377</c:v>
                </c:pt>
                <c:pt idx="83">
                  <c:v>24.01765617370646</c:v>
                </c:pt>
                <c:pt idx="84">
                  <c:v>23.72908184887438</c:v>
                </c:pt>
                <c:pt idx="85">
                  <c:v>23.447246692708401</c:v>
                </c:pt>
                <c:pt idx="86">
                  <c:v>23.171916717381215</c:v>
                </c:pt>
                <c:pt idx="87">
                  <c:v>22.902868643277593</c:v>
                </c:pt>
                <c:pt idx="88">
                  <c:v>22.639889293361776</c:v>
                </c:pt>
                <c:pt idx="89">
                  <c:v>22.382775028188899</c:v>
                </c:pt>
                <c:pt idx="90">
                  <c:v>22.13133121841372</c:v>
                </c:pt>
                <c:pt idx="91">
                  <c:v>21.885371751924591</c:v>
                </c:pt>
                <c:pt idx="92">
                  <c:v>21.644718572980015</c:v>
                </c:pt>
                <c:pt idx="93">
                  <c:v>21.409201250949444</c:v>
                </c:pt>
                <c:pt idx="94">
                  <c:v>21.178656576462974</c:v>
                </c:pt>
                <c:pt idx="95">
                  <c:v>20.952928182959113</c:v>
                </c:pt>
                <c:pt idx="96">
                  <c:v>20.731866191786466</c:v>
                </c:pt>
                <c:pt idx="97">
                  <c:v>20.515326879166437</c:v>
                </c:pt>
                <c:pt idx="98">
                  <c:v>20.303172363462132</c:v>
                </c:pt>
                <c:pt idx="99">
                  <c:v>20.095270311323425</c:v>
                </c:pt>
                <c:pt idx="100">
                  <c:v>19.891493661392012</c:v>
                </c:pt>
              </c:numCache>
            </c:numRef>
          </c:val>
          <c:smooth val="0"/>
          <c:extLst>
            <c:ext xmlns:c16="http://schemas.microsoft.com/office/drawing/2014/chart" uri="{C3380CC4-5D6E-409C-BE32-E72D297353CC}">
              <c16:uniqueId val="{00000000-44F7-4870-98EC-5ED7AF60689B}"/>
            </c:ext>
          </c:extLst>
        </c:ser>
        <c:ser>
          <c:idx val="0"/>
          <c:order val="1"/>
          <c:tx>
            <c:v>VIN-nom</c:v>
          </c:tx>
          <c:spPr>
            <a:ln w="28575">
              <a:solidFill>
                <a:srgbClr val="FF0000"/>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Dual'!$AM$5:$AM$105</c:f>
              <c:numCache>
                <c:formatCode>0.0</c:formatCode>
                <c:ptCount val="101"/>
                <c:pt idx="0">
                  <c:v>10</c:v>
                </c:pt>
                <c:pt idx="1">
                  <c:v>10</c:v>
                </c:pt>
                <c:pt idx="2">
                  <c:v>10</c:v>
                </c:pt>
                <c:pt idx="3">
                  <c:v>10</c:v>
                </c:pt>
                <c:pt idx="4">
                  <c:v>10.565706644440553</c:v>
                </c:pt>
                <c:pt idx="5">
                  <c:v>13.207133305550691</c:v>
                </c:pt>
                <c:pt idx="6">
                  <c:v>15.848559966660829</c:v>
                </c:pt>
                <c:pt idx="7">
                  <c:v>18.489986627770971</c:v>
                </c:pt>
                <c:pt idx="8">
                  <c:v>21.131413288881106</c:v>
                </c:pt>
                <c:pt idx="9">
                  <c:v>23.772839949991241</c:v>
                </c:pt>
                <c:pt idx="10">
                  <c:v>26.414266611101382</c:v>
                </c:pt>
                <c:pt idx="11">
                  <c:v>29.055693272211524</c:v>
                </c:pt>
                <c:pt idx="12">
                  <c:v>31.697119933321659</c:v>
                </c:pt>
                <c:pt idx="13">
                  <c:v>34.338546594431797</c:v>
                </c:pt>
                <c:pt idx="14">
                  <c:v>36.979973255541942</c:v>
                </c:pt>
                <c:pt idx="15">
                  <c:v>39.621399916652074</c:v>
                </c:pt>
                <c:pt idx="16">
                  <c:v>42.262826577762212</c:v>
                </c:pt>
                <c:pt idx="17">
                  <c:v>44.904253238872357</c:v>
                </c:pt>
                <c:pt idx="18">
                  <c:v>47.545679899982481</c:v>
                </c:pt>
                <c:pt idx="19">
                  <c:v>50.187106561092627</c:v>
                </c:pt>
                <c:pt idx="20">
                  <c:v>52.828533222202765</c:v>
                </c:pt>
                <c:pt idx="21">
                  <c:v>55.469959883312903</c:v>
                </c:pt>
                <c:pt idx="22">
                  <c:v>58.111386544423048</c:v>
                </c:pt>
                <c:pt idx="23">
                  <c:v>60.752813205533194</c:v>
                </c:pt>
                <c:pt idx="24">
                  <c:v>63.394239866643318</c:v>
                </c:pt>
                <c:pt idx="25">
                  <c:v>66.035666527753463</c:v>
                </c:pt>
                <c:pt idx="26">
                  <c:v>68.677093188863594</c:v>
                </c:pt>
                <c:pt idx="27">
                  <c:v>71.31851984997374</c:v>
                </c:pt>
                <c:pt idx="28">
                  <c:v>73.959946511083885</c:v>
                </c:pt>
                <c:pt idx="29">
                  <c:v>76.601373172194016</c:v>
                </c:pt>
                <c:pt idx="30">
                  <c:v>79.242799833304147</c:v>
                </c:pt>
                <c:pt idx="31">
                  <c:v>81.884226494414293</c:v>
                </c:pt>
                <c:pt idx="32">
                  <c:v>84.525653155524424</c:v>
                </c:pt>
                <c:pt idx="33">
                  <c:v>87.167079816634583</c:v>
                </c:pt>
                <c:pt idx="34">
                  <c:v>89.808506477744714</c:v>
                </c:pt>
                <c:pt idx="35">
                  <c:v>92.449933138854846</c:v>
                </c:pt>
                <c:pt idx="36">
                  <c:v>95.091359799964962</c:v>
                </c:pt>
                <c:pt idx="37">
                  <c:v>97.732786461075122</c:v>
                </c:pt>
                <c:pt idx="38">
                  <c:v>100.37421312218525</c:v>
                </c:pt>
                <c:pt idx="39">
                  <c:v>103.01563978329541</c:v>
                </c:pt>
                <c:pt idx="40">
                  <c:v>103.796095699874</c:v>
                </c:pt>
                <c:pt idx="41">
                  <c:v>101.34772005186115</c:v>
                </c:pt>
                <c:pt idx="42">
                  <c:v>99.013907219770033</c:v>
                </c:pt>
                <c:pt idx="43">
                  <c:v>96.786568391588432</c:v>
                </c:pt>
                <c:pt idx="44">
                  <c:v>94.658579444277706</c:v>
                </c:pt>
                <c:pt idx="45">
                  <c:v>92.623437950630148</c:v>
                </c:pt>
                <c:pt idx="46">
                  <c:v>90.675196810835232</c:v>
                </c:pt>
                <c:pt idx="47">
                  <c:v>88.808406208418361</c:v>
                </c:pt>
                <c:pt idx="48">
                  <c:v>87.018062697379861</c:v>
                </c:pt>
                <c:pt idx="49">
                  <c:v>85.299564418895244</c:v>
                </c:pt>
                <c:pt idx="50">
                  <c:v>83.648671603561738</c:v>
                </c:pt>
                <c:pt idx="51">
                  <c:v>82.061471645434167</c:v>
                </c:pt>
                <c:pt idx="52">
                  <c:v>80.534348142162912</c:v>
                </c:pt>
                <c:pt idx="53">
                  <c:v>79.063953385550036</c:v>
                </c:pt>
                <c:pt idx="54">
                  <c:v>77.647183862072239</c:v>
                </c:pt>
                <c:pt idx="55">
                  <c:v>76.281158386023336</c:v>
                </c:pt>
                <c:pt idx="56">
                  <c:v>74.963198541045244</c:v>
                </c:pt>
                <c:pt idx="57">
                  <c:v>73.690811150660281</c:v>
                </c:pt>
                <c:pt idx="58">
                  <c:v>72.461672536408926</c:v>
                </c:pt>
                <c:pt idx="59">
                  <c:v>71.273614354469601</c:v>
                </c:pt>
                <c:pt idx="60">
                  <c:v>70.124610829137069</c:v>
                </c:pt>
                <c:pt idx="61">
                  <c:v>69.012767225032945</c:v>
                </c:pt>
                <c:pt idx="62">
                  <c:v>67.936309420054044</c:v>
                </c:pt>
                <c:pt idx="63">
                  <c:v>66.893574458357264</c:v>
                </c:pt>
                <c:pt idx="64">
                  <c:v>65.883001977572746</c:v>
                </c:pt>
                <c:pt idx="65">
                  <c:v>64.903126417294288</c:v>
                </c:pt>
                <c:pt idx="66">
                  <c:v>63.952569927021543</c:v>
                </c:pt>
                <c:pt idx="67">
                  <c:v>63.030035901378319</c:v>
                </c:pt>
                <c:pt idx="68">
                  <c:v>62.134303078819279</c:v>
                </c:pt>
                <c:pt idx="69">
                  <c:v>61.264220147344489</c:v>
                </c:pt>
                <c:pt idx="70">
                  <c:v>60.418700807119855</c:v>
                </c:pt>
                <c:pt idx="71">
                  <c:v>59.596719245481239</c:v>
                </c:pt>
                <c:pt idx="72">
                  <c:v>58.797305984689579</c:v>
                </c:pt>
                <c:pt idx="73">
                  <c:v>58.019544067099368</c:v>
                </c:pt>
                <c:pt idx="74">
                  <c:v>57.262565546179218</c:v>
                </c:pt>
                <c:pt idx="75">
                  <c:v>56.5255482551539</c:v>
                </c:pt>
                <c:pt idx="76">
                  <c:v>55.807712827975337</c:v>
                </c:pt>
                <c:pt idx="77">
                  <c:v>55.108319949930653</c:v>
                </c:pt>
                <c:pt idx="78">
                  <c:v>54.42666781749714</c:v>
                </c:pt>
                <c:pt idx="79">
                  <c:v>53.762089789097807</c:v>
                </c:pt>
                <c:pt idx="80">
                  <c:v>53.113952210226508</c:v>
                </c:pt>
                <c:pt idx="81">
                  <c:v>52.481652398027919</c:v>
                </c:pt>
                <c:pt idx="82">
                  <c:v>51.864616771857527</c:v>
                </c:pt>
                <c:pt idx="83">
                  <c:v>51.262299117633233</c:v>
                </c:pt>
                <c:pt idx="84">
                  <c:v>50.67417897493916</c:v>
                </c:pt>
                <c:pt idx="85">
                  <c:v>50.099760136871105</c:v>
                </c:pt>
                <c:pt idx="86">
                  <c:v>49.538569253535499</c:v>
                </c:pt>
                <c:pt idx="87">
                  <c:v>48.990154530941247</c:v>
                </c:pt>
                <c:pt idx="88">
                  <c:v>48.454084517768216</c:v>
                </c:pt>
                <c:pt idx="89">
                  <c:v>47.929946973164512</c:v>
                </c:pt>
                <c:pt idx="90">
                  <c:v>47.417347809328902</c:v>
                </c:pt>
                <c:pt idx="91">
                  <c:v>46.915910103177836</c:v>
                </c:pt>
                <c:pt idx="92">
                  <c:v>46.425273171887902</c:v>
                </c:pt>
                <c:pt idx="93">
                  <c:v>45.945091707549103</c:v>
                </c:pt>
                <c:pt idx="94">
                  <c:v>45.475034966565609</c:v>
                </c:pt>
                <c:pt idx="95">
                  <c:v>45.014786009805057</c:v>
                </c:pt>
                <c:pt idx="96">
                  <c:v>44.56404098982874</c:v>
                </c:pt>
                <c:pt idx="97">
                  <c:v>44.12250848183303</c:v>
                </c:pt>
                <c:pt idx="98">
                  <c:v>43.689908855207037</c:v>
                </c:pt>
                <c:pt idx="99">
                  <c:v>43.265973682858601</c:v>
                </c:pt>
                <c:pt idx="100">
                  <c:v>42.850445185686318</c:v>
                </c:pt>
              </c:numCache>
            </c:numRef>
          </c:val>
          <c:smooth val="0"/>
          <c:extLst>
            <c:ext xmlns:c16="http://schemas.microsoft.com/office/drawing/2014/chart" uri="{C3380CC4-5D6E-409C-BE32-E72D297353CC}">
              <c16:uniqueId val="{00000001-44F7-4870-98EC-5ED7AF60689B}"/>
            </c:ext>
          </c:extLst>
        </c:ser>
        <c:ser>
          <c:idx val="2"/>
          <c:order val="2"/>
          <c:tx>
            <c:v>VIN-max</c:v>
          </c:tx>
          <c:spPr>
            <a:ln>
              <a:solidFill>
                <a:srgbClr val="0000FF"/>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Dual'!$AM$216:$AM$316</c:f>
              <c:numCache>
                <c:formatCode>0.0</c:formatCode>
                <c:ptCount val="101"/>
                <c:pt idx="0">
                  <c:v>10</c:v>
                </c:pt>
                <c:pt idx="1">
                  <c:v>10</c:v>
                </c:pt>
                <c:pt idx="2">
                  <c:v>10</c:v>
                </c:pt>
                <c:pt idx="3">
                  <c:v>10</c:v>
                </c:pt>
                <c:pt idx="4">
                  <c:v>10.564411948534326</c:v>
                </c:pt>
                <c:pt idx="5">
                  <c:v>13.205514935667908</c:v>
                </c:pt>
                <c:pt idx="6">
                  <c:v>15.846617922801491</c:v>
                </c:pt>
                <c:pt idx="7">
                  <c:v>18.487720909935074</c:v>
                </c:pt>
                <c:pt idx="8">
                  <c:v>21.128823897068653</c:v>
                </c:pt>
                <c:pt idx="9">
                  <c:v>23.769926884202231</c:v>
                </c:pt>
                <c:pt idx="10">
                  <c:v>26.411029871335817</c:v>
                </c:pt>
                <c:pt idx="11">
                  <c:v>29.052132858469403</c:v>
                </c:pt>
                <c:pt idx="12">
                  <c:v>31.693235845602981</c:v>
                </c:pt>
                <c:pt idx="13">
                  <c:v>34.334338832736563</c:v>
                </c:pt>
                <c:pt idx="14">
                  <c:v>36.975441819870149</c:v>
                </c:pt>
                <c:pt idx="15">
                  <c:v>39.616544807003727</c:v>
                </c:pt>
                <c:pt idx="16">
                  <c:v>42.257647794137306</c:v>
                </c:pt>
                <c:pt idx="17">
                  <c:v>44.898750781270891</c:v>
                </c:pt>
                <c:pt idx="18">
                  <c:v>47.539853768404463</c:v>
                </c:pt>
                <c:pt idx="19">
                  <c:v>50.180956755538048</c:v>
                </c:pt>
                <c:pt idx="20">
                  <c:v>52.822059742671634</c:v>
                </c:pt>
                <c:pt idx="21">
                  <c:v>55.463162729805212</c:v>
                </c:pt>
                <c:pt idx="22">
                  <c:v>58.104265716938805</c:v>
                </c:pt>
                <c:pt idx="23">
                  <c:v>60.745368704072391</c:v>
                </c:pt>
                <c:pt idx="24">
                  <c:v>63.386471691205962</c:v>
                </c:pt>
                <c:pt idx="25">
                  <c:v>66.027574678339548</c:v>
                </c:pt>
                <c:pt idx="26">
                  <c:v>68.668677665473126</c:v>
                </c:pt>
                <c:pt idx="27">
                  <c:v>71.309780652606719</c:v>
                </c:pt>
                <c:pt idx="28">
                  <c:v>73.950883639740297</c:v>
                </c:pt>
                <c:pt idx="29">
                  <c:v>76.591986626873876</c:v>
                </c:pt>
                <c:pt idx="30">
                  <c:v>79.233089614007454</c:v>
                </c:pt>
                <c:pt idx="31">
                  <c:v>81.874192601141033</c:v>
                </c:pt>
                <c:pt idx="32">
                  <c:v>84.515295588274611</c:v>
                </c:pt>
                <c:pt idx="33">
                  <c:v>87.156398575408204</c:v>
                </c:pt>
                <c:pt idx="34">
                  <c:v>89.797501562541783</c:v>
                </c:pt>
                <c:pt idx="35">
                  <c:v>92.438604549675361</c:v>
                </c:pt>
                <c:pt idx="36">
                  <c:v>95.079707536808925</c:v>
                </c:pt>
                <c:pt idx="37">
                  <c:v>97.720810523942532</c:v>
                </c:pt>
                <c:pt idx="38">
                  <c:v>100.3619135110761</c:v>
                </c:pt>
                <c:pt idx="39">
                  <c:v>103.00301649820969</c:v>
                </c:pt>
                <c:pt idx="40">
                  <c:v>105.64411948534327</c:v>
                </c:pt>
                <c:pt idx="41">
                  <c:v>108.28522247247685</c:v>
                </c:pt>
                <c:pt idx="42">
                  <c:v>110.94397593716928</c:v>
                </c:pt>
                <c:pt idx="43">
                  <c:v>111.15569489747666</c:v>
                </c:pt>
                <c:pt idx="44">
                  <c:v>108.72189531476931</c:v>
                </c:pt>
                <c:pt idx="45">
                  <c:v>106.39400090513064</c:v>
                </c:pt>
                <c:pt idx="46">
                  <c:v>104.16524636387348</c:v>
                </c:pt>
                <c:pt idx="47">
                  <c:v>102.02943060241741</c:v>
                </c:pt>
                <c:pt idx="48">
                  <c:v>99.980859131129776</c:v>
                </c:pt>
                <c:pt idx="49">
                  <c:v>98.014293361414587</c:v>
                </c:pt>
                <c:pt idx="50">
                  <c:v>96.124905876648654</c:v>
                </c:pt>
                <c:pt idx="51">
                  <c:v>94.308240867888387</c:v>
                </c:pt>
                <c:pt idx="52">
                  <c:v>92.560179051723424</c:v>
                </c:pt>
                <c:pt idx="53">
                  <c:v>90.876906488855198</c:v>
                </c:pt>
                <c:pt idx="54">
                  <c:v>89.254886806605441</c:v>
                </c:pt>
                <c:pt idx="55">
                  <c:v>87.690836399578316</c:v>
                </c:pt>
                <c:pt idx="56">
                  <c:v>86.181702242497622</c:v>
                </c:pt>
                <c:pt idx="57">
                  <c:v>84.724641999752478</c:v>
                </c:pt>
                <c:pt idx="58">
                  <c:v>83.317006158986757</c:v>
                </c:pt>
                <c:pt idx="59">
                  <c:v>81.956321952447638</c:v>
                </c:pt>
                <c:pt idx="60">
                  <c:v>80.640278860812558</c:v>
                </c:pt>
                <c:pt idx="61">
                  <c:v>79.366715520721257</c:v>
                </c:pt>
                <c:pt idx="62">
                  <c:v>78.13360787995164</c:v>
                </c:pt>
                <c:pt idx="63">
                  <c:v>76.939058463698842</c:v>
                </c:pt>
                <c:pt idx="64">
                  <c:v>75.781286632231428</c:v>
                </c:pt>
                <c:pt idx="65">
                  <c:v>74.658619724718179</c:v>
                </c:pt>
                <c:pt idx="66">
                  <c:v>73.569484996589523</c:v>
                </c:pt>
                <c:pt idx="67">
                  <c:v>72.512402268700527</c:v>
                </c:pt>
                <c:pt idx="68">
                  <c:v>71.485977216044446</c:v>
                </c:pt>
                <c:pt idx="69">
                  <c:v>70.488895232028128</c:v>
                </c:pt>
                <c:pt idx="70">
                  <c:v>69.51991581153284</c:v>
                </c:pt>
                <c:pt idx="71">
                  <c:v>68.577867402297557</c:v>
                </c:pt>
                <c:pt idx="72">
                  <c:v>67.661642679693514</c:v>
                </c:pt>
                <c:pt idx="73">
                  <c:v>66.770194204819475</c:v>
                </c:pt>
                <c:pt idx="74">
                  <c:v>65.902530430122994</c:v>
                </c:pt>
                <c:pt idx="75">
                  <c:v>65.057712020523198</c:v>
                </c:pt>
                <c:pt idx="76">
                  <c:v>64.234848461338686</c:v>
                </c:pt>
                <c:pt idx="77">
                  <c:v>63.433094927269842</c:v>
                </c:pt>
                <c:pt idx="78">
                  <c:v>62.651649389292658</c:v>
                </c:pt>
                <c:pt idx="79">
                  <c:v>61.889749938637543</c:v>
                </c:pt>
                <c:pt idx="80">
                  <c:v>61.146672309083144</c:v>
                </c:pt>
                <c:pt idx="81">
                  <c:v>60.421727580629437</c:v>
                </c:pt>
                <c:pt idx="82">
                  <c:v>59.714260049244785</c:v>
                </c:pt>
                <c:pt idx="83">
                  <c:v>59.02364524884208</c:v>
                </c:pt>
                <c:pt idx="84">
                  <c:v>58.349288112941771</c:v>
                </c:pt>
                <c:pt idx="85">
                  <c:v>57.690621264646829</c:v>
                </c:pt>
                <c:pt idx="86">
                  <c:v>57.047103424601261</c:v>
                </c:pt>
                <c:pt idx="87">
                  <c:v>56.418217927543267</c:v>
                </c:pt>
                <c:pt idx="88">
                  <c:v>55.803471338908253</c:v>
                </c:pt>
                <c:pt idx="89">
                  <c:v>55.202392163696494</c:v>
                </c:pt>
                <c:pt idx="90">
                  <c:v>54.614529640505872</c:v>
                </c:pt>
                <c:pt idx="91">
                  <c:v>54.039452614246308</c:v>
                </c:pt>
                <c:pt idx="92">
                  <c:v>53.476748481611899</c:v>
                </c:pt>
                <c:pt idx="93">
                  <c:v>52.92602220389027</c:v>
                </c:pt>
                <c:pt idx="94">
                  <c:v>52.386895382145028</c:v>
                </c:pt>
                <c:pt idx="95">
                  <c:v>51.859005390222315</c:v>
                </c:pt>
                <c:pt idx="96">
                  <c:v>51.342004561406448</c:v>
                </c:pt>
                <c:pt idx="97">
                  <c:v>50.835559424890988</c:v>
                </c:pt>
                <c:pt idx="98">
                  <c:v>50.339349988542168</c:v>
                </c:pt>
                <c:pt idx="99">
                  <c:v>49.853069064712351</c:v>
                </c:pt>
                <c:pt idx="100">
                  <c:v>49.376421636119254</c:v>
                </c:pt>
              </c:numCache>
            </c:numRef>
          </c:val>
          <c:smooth val="0"/>
          <c:extLst>
            <c:ext xmlns:c16="http://schemas.microsoft.com/office/drawing/2014/chart" uri="{C3380CC4-5D6E-409C-BE32-E72D297353CC}">
              <c16:uniqueId val="{00000002-44F7-4870-98EC-5ED7AF60689B}"/>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44F7-4870-98EC-5ED7AF60689B}"/>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44F7-4870-98EC-5ED7AF60689B}"/>
              </c:ext>
            </c:extLst>
          </c:dPt>
          <c:dPt>
            <c:idx val="92"/>
            <c:bubble3D val="0"/>
            <c:extLst>
              <c:ext xmlns:c16="http://schemas.microsoft.com/office/drawing/2014/chart" uri="{C3380CC4-5D6E-409C-BE32-E72D297353CC}">
                <c16:uniqueId val="{00000005-44F7-4870-98EC-5ED7AF60689B}"/>
              </c:ext>
            </c:extLst>
          </c:dPt>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44F7-4870-98EC-5ED7AF60689B}"/>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11.000000000000002</c:v>
                </c:pt>
                <c:pt idx="12">
                  <c:v>12</c:v>
                </c:pt>
                <c:pt idx="13">
                  <c:v>13</c:v>
                </c:pt>
                <c:pt idx="14">
                  <c:v>14.000000000000002</c:v>
                </c:pt>
                <c:pt idx="15">
                  <c:v>15</c:v>
                </c:pt>
                <c:pt idx="16">
                  <c:v>16</c:v>
                </c:pt>
                <c:pt idx="17">
                  <c:v>17</c:v>
                </c:pt>
                <c:pt idx="18">
                  <c:v>18</c:v>
                </c:pt>
                <c:pt idx="19">
                  <c:v>19</c:v>
                </c:pt>
                <c:pt idx="20">
                  <c:v>20</c:v>
                </c:pt>
                <c:pt idx="21">
                  <c:v>21.000000000000004</c:v>
                </c:pt>
                <c:pt idx="22">
                  <c:v>22.000000000000004</c:v>
                </c:pt>
                <c:pt idx="23">
                  <c:v>23.000000000000004</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42.000000000000007</c:v>
                </c:pt>
                <c:pt idx="43">
                  <c:v>43</c:v>
                </c:pt>
                <c:pt idx="44">
                  <c:v>44.000000000000007</c:v>
                </c:pt>
                <c:pt idx="45">
                  <c:v>45</c:v>
                </c:pt>
                <c:pt idx="46">
                  <c:v>46.000000000000007</c:v>
                </c:pt>
                <c:pt idx="47">
                  <c:v>46.999999999999993</c:v>
                </c:pt>
                <c:pt idx="48">
                  <c:v>48</c:v>
                </c:pt>
                <c:pt idx="49">
                  <c:v>49.000000000000007</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81.000000000000014</c:v>
                </c:pt>
                <c:pt idx="82">
                  <c:v>82</c:v>
                </c:pt>
                <c:pt idx="83">
                  <c:v>82.999999999999986</c:v>
                </c:pt>
                <c:pt idx="84">
                  <c:v>84.000000000000014</c:v>
                </c:pt>
                <c:pt idx="85">
                  <c:v>85</c:v>
                </c:pt>
                <c:pt idx="86">
                  <c:v>86</c:v>
                </c:pt>
                <c:pt idx="87">
                  <c:v>86.999999999999986</c:v>
                </c:pt>
                <c:pt idx="88">
                  <c:v>88.000000000000014</c:v>
                </c:pt>
                <c:pt idx="89">
                  <c:v>89</c:v>
                </c:pt>
                <c:pt idx="90">
                  <c:v>90</c:v>
                </c:pt>
                <c:pt idx="91">
                  <c:v>90.999999999999986</c:v>
                </c:pt>
                <c:pt idx="92">
                  <c:v>92.000000000000014</c:v>
                </c:pt>
                <c:pt idx="93">
                  <c:v>93</c:v>
                </c:pt>
                <c:pt idx="94">
                  <c:v>93.999999999999986</c:v>
                </c:pt>
                <c:pt idx="95">
                  <c:v>95</c:v>
                </c:pt>
                <c:pt idx="96">
                  <c:v>96</c:v>
                </c:pt>
                <c:pt idx="97">
                  <c:v>97</c:v>
                </c:pt>
                <c:pt idx="98">
                  <c:v>98.000000000000014</c:v>
                </c:pt>
                <c:pt idx="99">
                  <c:v>99</c:v>
                </c:pt>
                <c:pt idx="100">
                  <c:v>100</c:v>
                </c:pt>
              </c:numCache>
            </c:numRef>
          </c:cat>
          <c:val>
            <c:numRef>
              <c:f>'Calculations - Dual'!$CE$216:$CE$316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44F7-4870-98EC-5ED7AF60689B}"/>
            </c:ext>
          </c:extLst>
        </c:ser>
        <c:dLbls>
          <c:showLegendKey val="0"/>
          <c:showVal val="0"/>
          <c:showCatName val="0"/>
          <c:showSerName val="0"/>
          <c:showPercent val="0"/>
          <c:showBubbleSize val="0"/>
        </c:dLbls>
        <c:smooth val="0"/>
        <c:axId val="452326144"/>
        <c:axId val="452328448"/>
      </c:lineChart>
      <c:catAx>
        <c:axId val="452326144"/>
        <c:scaling>
          <c:orientation val="minMax"/>
        </c:scaling>
        <c:delete val="0"/>
        <c:axPos val="b"/>
        <c:majorGridlines>
          <c:spPr>
            <a:ln w="15875">
              <a:solidFill>
                <a:srgbClr val="969696"/>
              </a:solidFill>
              <a:prstDash val="sysDash"/>
            </a:ln>
          </c:spPr>
        </c:majorGridlines>
        <c:title>
          <c:tx>
            <c:rich>
              <a:bodyPr/>
              <a:lstStyle/>
              <a:p>
                <a:pPr>
                  <a:defRPr lang="ja-JP"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8448"/>
        <c:crosses val="autoZero"/>
        <c:auto val="1"/>
        <c:lblAlgn val="ctr"/>
        <c:lblOffset val="100"/>
        <c:tickLblSkip val="20"/>
        <c:tickMarkSkip val="10"/>
        <c:noMultiLvlLbl val="0"/>
      </c:catAx>
      <c:valAx>
        <c:axId val="452328448"/>
        <c:scaling>
          <c:orientation val="minMax"/>
          <c:max val="400"/>
          <c:min val="0"/>
        </c:scaling>
        <c:delete val="0"/>
        <c:axPos val="l"/>
        <c:majorGridlines>
          <c:spPr>
            <a:ln w="15875">
              <a:solidFill>
                <a:srgbClr val="808080"/>
              </a:solidFill>
              <a:prstDash val="solid"/>
            </a:ln>
          </c:spPr>
        </c:majorGridlines>
        <c:title>
          <c:tx>
            <c:rich>
              <a:bodyPr/>
              <a:lstStyle/>
              <a:p>
                <a:pPr>
                  <a:defRPr lang="ja-JP"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lang="ja-JP" sz="1100" b="1" i="0" u="none" strike="noStrike" baseline="0">
                <a:solidFill>
                  <a:schemeClr val="tx1"/>
                </a:solidFill>
                <a:latin typeface="Arial" pitchFamily="34" charset="0"/>
                <a:ea typeface="Calibri"/>
                <a:cs typeface="Arial" pitchFamily="34" charset="0"/>
              </a:defRPr>
            </a:pPr>
            <a:endParaRPr lang="en-US"/>
          </a:p>
        </c:txPr>
        <c:crossAx val="452326144"/>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lang="ja-JP"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Drop" dropStyle="combo" dx="22" fmlaLink="'Variable Mgmt'!$J$78" fmlaRange="'Variable Mgmt'!$I$76:$I$77" noThreeD="1" sel="2" val="0"/>
</file>

<file path=xl/ctrlProps/ctrlProp3.xml><?xml version="1.0" encoding="utf-8"?>
<formControlPr xmlns="http://schemas.microsoft.com/office/spreadsheetml/2009/9/main" objectType="Drop" dropLines="2" dropStyle="combo" dx="22" fmlaLink="'Variable Mgmt'!$G$78" fmlaRange="'Variable Mgmt'!$F$76:$F$77" noThreeD="1" sel="1" val="0"/>
</file>

<file path=xl/ctrlProps/ctrlProp4.xml><?xml version="1.0" encoding="utf-8"?>
<formControlPr xmlns="http://schemas.microsoft.com/office/spreadsheetml/2009/9/main" objectType="Drop" dropLines="10" dropStyle="combo" dx="22" fmlaLink="'Variable Mgmt'!$S$61" fmlaRange="'Variable Mgmt'!$R$28:$R$60" noThreeD="1" sel="14" val="13"/>
</file>

<file path=xl/ctrlProps/ctrlProp5.xml><?xml version="1.0" encoding="utf-8"?>
<formControlPr xmlns="http://schemas.microsoft.com/office/spreadsheetml/2009/9/main" objectType="Drop" dropStyle="combo" dx="22" fmlaLink="'Variable Mgmt'!$G$72" fmlaRange="'Variable Mgmt'!$F$70:$F$71" noThreeD="1" sel="2" val="0"/>
</file>

<file path=xl/ctrlProps/ctrlProp6.xml><?xml version="1.0" encoding="utf-8"?>
<formControlPr xmlns="http://schemas.microsoft.com/office/spreadsheetml/2009/9/main" objectType="Drop" dropLines="10" dropStyle="combo" dx="22" fmlaLink="'Variable Mgmt'!$C$73" fmlaRange="'Variable Mgmt'!$B$70:$B$71" noThreeD="1" sel="1" val="0"/>
</file>

<file path=xl/ctrlProps/ctrlProp7.xml><?xml version="1.0" encoding="utf-8"?>
<formControlPr xmlns="http://schemas.microsoft.com/office/spreadsheetml/2009/9/main" objectType="Spin" dx="16" fmlaLink="$E$7" max="95" min="3" page="10" val="58"/>
</file>

<file path=xl/ctrlProps/ctrlProp8.xml><?xml version="1.0" encoding="utf-8"?>
<formControlPr xmlns="http://schemas.microsoft.com/office/spreadsheetml/2009/9/main" objectType="Spin" dx="16" fmlaLink="$E$7" max="65" min="3" page="10" val="58"/>
</file>

<file path=xl/ctrlProps/ctrlProp9.xml><?xml version="1.0" encoding="utf-8"?>
<formControlPr xmlns="http://schemas.microsoft.com/office/spreadsheetml/2009/9/main" objectType="Drop" dropLines="2" dropStyle="combo" dx="22" fmlaLink="'Variable Mgmt'!$Q$20" fmlaRange="'Variable Mgmt'!$P$18:$P$19" noThreeD="1" sel="2" val="0"/>
</file>

<file path=xl/ctrlProps/ctrlProp10.xml><?xml version="1.0" encoding="utf-8"?>
<formControlPr xmlns="http://schemas.microsoft.com/office/spreadsheetml/2009/9/main" objectType="Drop" dropStyle="combo" dx="22" fmlaLink="'BOM &amp; Schematic'!$Q$31" fmlaRange="'Variable Mgmt'!$R$79:$R$83" noThreeD="1" sel="1" val="0"/>
</file>

<file path=xl/ctrlProps/ctrlProp11.xml><?xml version="1.0" encoding="utf-8"?>
<formControlPr xmlns="http://schemas.microsoft.com/office/spreadsheetml/2009/9/main" objectType="Drop" dropStyle="combo" dx="22" fmlaLink="$Q$32" fmlaRange="'Variable Mgmt'!$R$79:$R$83" noThreeD="1" sel="5" val="0"/>
</file>

<file path=xl/ctrlProps/ctrlProp12.xml><?xml version="1.0" encoding="utf-8"?>
<formControlPr xmlns="http://schemas.microsoft.com/office/spreadsheetml/2009/9/main" objectType="Drop" dropStyle="combo" dx="22" fmlaLink="$Q$40" fmlaRange="'Variable Mgmt'!$W$88:$W$91" noThreeD="1" sel="3" val="0"/>
</file>

<file path=xl/ctrlProps/ctrlProp13.xml><?xml version="1.0" encoding="utf-8"?>
<formControlPr xmlns="http://schemas.microsoft.com/office/spreadsheetml/2009/9/main" objectType="Drop" dropStyle="combo" dx="22" fmlaLink="$Q$47" fmlaRange="'Variable Mgmt'!$R$79:$R$81" noThreeD="1" sel="3" val="0"/>
</file>

<file path=xl/ctrlProps/ctrlProp14.xml><?xml version="1.0" encoding="utf-8"?>
<formControlPr xmlns="http://schemas.microsoft.com/office/spreadsheetml/2009/9/main" objectType="Drop" dropStyle="combo" dx="22" fmlaLink="$Q$42" fmlaRange="'Variable Mgmt'!$W$88:$W$91" noThreeD="1" sel="4" val="0"/>
</file>

<file path=xl/ctrlProps/ctrlProp15.xml><?xml version="1.0" encoding="utf-8"?>
<formControlPr xmlns="http://schemas.microsoft.com/office/spreadsheetml/2009/9/main" objectType="Drop" dropStyle="combo" dx="22" fmlaLink="$Q$41" fmlaRange="'Variable Mgmt'!$W$88:$W$91" noThreeD="1" sel="1" val="0"/>
</file>

<file path=xl/ctrlProps/ctrlProp16.xml><?xml version="1.0" encoding="utf-8"?>
<formControlPr xmlns="http://schemas.microsoft.com/office/spreadsheetml/2009/9/main" objectType="Drop" dropStyle="combo" dx="22" fmlaLink="$Q$46" fmlaRange="'Variable Mgmt'!$R$79:$R$81" noThreeD="1" sel="2" val="0"/>
</file>

<file path=xl/ctrlProps/ctrlProp17.xml><?xml version="1.0" encoding="utf-8"?>
<formControlPr xmlns="http://schemas.microsoft.com/office/spreadsheetml/2009/9/main" objectType="Drop" dropStyle="combo" dx="22" fmlaLink="$Q$48" fmlaRange="'Variable Mgmt'!$R$79:$R$81" noThreeD="1" sel="1" val="0"/>
</file>

<file path=xl/ctrlProps/ctrlProp18.xml><?xml version="1.0" encoding="utf-8"?>
<formControlPr xmlns="http://schemas.microsoft.com/office/spreadsheetml/2009/9/main" objectType="Drop" dropStyle="combo" dx="22" fmlaLink="$Q$49" fmlaRange="'Variable Mgmt'!$R$79:$R$81" noThreeD="1" sel="1" val="0"/>
</file>

<file path=xl/ctrlProps/ctrlProp19.xml><?xml version="1.0" encoding="utf-8"?>
<formControlPr xmlns="http://schemas.microsoft.com/office/spreadsheetml/2009/9/main" objectType="Drop" dropStyle="combo" dx="22" fmlaLink="$Q$50" fmlaRange="'Variable Mgmt'!$R$79:$R$81" noThreeD="1" sel="1" val="0"/>
</file>

<file path=xl/ctrlProps/ctrlProp20.xml><?xml version="1.0" encoding="utf-8"?>
<formControlPr xmlns="http://schemas.microsoft.com/office/spreadsheetml/2009/9/main" objectType="Drop" dropStyle="combo" dx="22" fmlaLink="$Q$39" fmlaRange="'Variable Mgmt'!$W$88:$W$91" noThreeD="1" sel="3" val="0"/>
</file>

<file path=xl/ctrlProps/ctrlProp21.xml><?xml version="1.0" encoding="utf-8"?>
<formControlPr xmlns="http://schemas.microsoft.com/office/spreadsheetml/2009/9/main" objectType="Drop" dropStyle="combo" dx="22" fmlaLink="$Q$54" fmlaRange="'Variable Mgmt'!$R$89:$R$96" noThreeD="1" sel="8" val="0"/>
</file>

<file path=xl/ctrlProps/ctrlProp22.xml><?xml version="1.0" encoding="utf-8"?>
<formControlPr xmlns="http://schemas.microsoft.com/office/spreadsheetml/2009/9/main" objectType="Drop" dropStyle="combo" dx="22" fmlaLink="$Q$33" fmlaRange="'Variable Mgmt'!$R$79:$R$83" noThreeD="1" sel="5" val="0"/>
</file>

<file path=xl/ctrlProps/ctrlProp23.xml><?xml version="1.0" encoding="utf-8"?>
<formControlPr xmlns="http://schemas.microsoft.com/office/spreadsheetml/2009/9/main" objectType="Drop" dropStyle="combo" dx="22" fmlaLink="$Q$43" fmlaRange="'Variable Mgmt'!$W$88:$W$91" noThreeD="1" sel="3" val="0"/>
</file>

<file path=xl/ctrlProps/ctrlProp24.xml><?xml version="1.0" encoding="utf-8"?>
<formControlPr xmlns="http://schemas.microsoft.com/office/spreadsheetml/2009/9/main" objectType="Drop" dropStyle="combo" dx="22" fmlaLink="$Q$52" fmlaRange="'Variable Mgmt'!$R$79:$R$81" noThreeD="1" sel="2" val="0"/>
</file>

<file path=xl/ctrlProps/ctrlProp25.xml><?xml version="1.0" encoding="utf-8"?>
<formControlPr xmlns="http://schemas.microsoft.com/office/spreadsheetml/2009/9/main" objectType="Drop" dropStyle="combo" dx="22" fmlaLink="$Q$53" fmlaRange="'Variable Mgmt'!$R$79:$R$81" noThreeD="1" sel="1" val="0"/>
</file>

<file path=xl/ctrlProps/ctrlProp26.xml><?xml version="1.0" encoding="utf-8"?>
<formControlPr xmlns="http://schemas.microsoft.com/office/spreadsheetml/2009/9/main" objectType="Drop" dropStyle="combo" dx="22" fmlaLink="'BOM &amp; Schematic'!$Q$35" fmlaRange="'Variable Mgmt'!$R$79:$R$83" noThreeD="1" sel="3" val="0"/>
</file>

<file path=xl/ctrlProps/ctrlProp27.xml><?xml version="1.0" encoding="utf-8"?>
<formControlPr xmlns="http://schemas.microsoft.com/office/spreadsheetml/2009/9/main" objectType="Drop" dropStyle="combo" dx="22" fmlaLink="$Q$44" fmlaRange="'Variable Mgmt'!$W$88:$W$91" noThreeD="1" sel="3" val="0"/>
</file>

<file path=xl/ctrlProps/ctrlProp28.xml><?xml version="1.0" encoding="utf-8"?>
<formControlPr xmlns="http://schemas.microsoft.com/office/spreadsheetml/2009/9/main" objectType="Drop" dropStyle="combo" dx="22" fmlaLink="'BOM &amp; Schematic'!$Q$36" fmlaRange="'Variable Mgmt'!$R$79:$R$83" noThreeD="1" sel="4" val="0"/>
</file>

<file path=xl/ctrlProps/ctrlProp29.xml><?xml version="1.0" encoding="utf-8"?>
<formControlPr xmlns="http://schemas.microsoft.com/office/spreadsheetml/2009/9/main" objectType="Drop" dropStyle="combo" dx="22" fmlaLink="'BOM &amp; Schematic'!$Q$37" fmlaRange="'Variable Mgmt'!$R$79:$R$83" noThreeD="1" sel="2" val="0"/>
</file>

<file path=xl/ctrlProps/ctrlProp30.xml><?xml version="1.0" encoding="utf-8"?>
<formControlPr xmlns="http://schemas.microsoft.com/office/spreadsheetml/2009/9/main" objectType="Drop" dropStyle="combo" dx="22" fmlaLink="'BOM &amp; Schematic'!$Q$38" fmlaRange="'Variable Mgmt'!$R$79:$R$83" noThreeD="1" sel="1" val="0"/>
</file>

<file path=xl/ctrlProps/ctrlProp31.xml><?xml version="1.0" encoding="utf-8"?>
<formControlPr xmlns="http://schemas.microsoft.com/office/spreadsheetml/2009/9/main" objectType="Drop" dropStyle="combo" dx="22" fmlaLink="$Q$51" fmlaRange="'Variable Mgmt'!$R$79:$R$84" noThreeD="1" sel="6" val="0"/>
</file>

<file path=xl/drawings/_rels/drawing1.xml.rels><?xml version="1.0" encoding="UTF-8" standalone="yes"?>
<Relationships xmlns="http://schemas.openxmlformats.org/package/2006/relationships"><Relationship Id="rId8" Type="http://schemas.openxmlformats.org/officeDocument/2006/relationships/hyperlink" Target="http://www.ti.com/automotive" TargetMode="External"/><Relationship Id="rId3" Type="http://schemas.openxmlformats.org/officeDocument/2006/relationships/image" Target="../media/image2.emf"/><Relationship Id="rId7" Type="http://schemas.openxmlformats.org/officeDocument/2006/relationships/image" Target="../media/image4.jpg"/><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hyperlink" Target="http://www.ti.com/industrial" TargetMode="External"/><Relationship Id="rId5" Type="http://schemas.openxmlformats.org/officeDocument/2006/relationships/image" Target="../media/image3.jpg"/><Relationship Id="rId10" Type="http://schemas.openxmlformats.org/officeDocument/2006/relationships/image" Target="../media/image6.emf"/><Relationship Id="rId4" Type="http://schemas.openxmlformats.org/officeDocument/2006/relationships/hyperlink" Target="http://www.ti.com/widevin" TargetMode="External"/><Relationship Id="rId9" Type="http://schemas.openxmlformats.org/officeDocument/2006/relationships/image" Target="../media/image5.jp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2.png"/><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image" Target="../media/image29.png"/><Relationship Id="rId18" Type="http://schemas.openxmlformats.org/officeDocument/2006/relationships/image" Target="../media/image34.png"/><Relationship Id="rId3" Type="http://schemas.openxmlformats.org/officeDocument/2006/relationships/image" Target="../media/image19.png"/><Relationship Id="rId21" Type="http://schemas.openxmlformats.org/officeDocument/2006/relationships/image" Target="../media/image37.png"/><Relationship Id="rId7" Type="http://schemas.openxmlformats.org/officeDocument/2006/relationships/image" Target="../media/image23.png"/><Relationship Id="rId12" Type="http://schemas.openxmlformats.org/officeDocument/2006/relationships/image" Target="../media/image28.png"/><Relationship Id="rId17" Type="http://schemas.openxmlformats.org/officeDocument/2006/relationships/image" Target="../media/image33.png"/><Relationship Id="rId2" Type="http://schemas.openxmlformats.org/officeDocument/2006/relationships/image" Target="../media/image18.png"/><Relationship Id="rId16" Type="http://schemas.openxmlformats.org/officeDocument/2006/relationships/image" Target="../media/image32.png"/><Relationship Id="rId20" Type="http://schemas.openxmlformats.org/officeDocument/2006/relationships/image" Target="../media/image36.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24" Type="http://schemas.openxmlformats.org/officeDocument/2006/relationships/image" Target="../media/image40.png"/><Relationship Id="rId5" Type="http://schemas.openxmlformats.org/officeDocument/2006/relationships/image" Target="../media/image21.png"/><Relationship Id="rId15" Type="http://schemas.openxmlformats.org/officeDocument/2006/relationships/image" Target="../media/image31.png"/><Relationship Id="rId23" Type="http://schemas.openxmlformats.org/officeDocument/2006/relationships/image" Target="../media/image39.png"/><Relationship Id="rId10" Type="http://schemas.openxmlformats.org/officeDocument/2006/relationships/image" Target="../media/image26.png"/><Relationship Id="rId19" Type="http://schemas.openxmlformats.org/officeDocument/2006/relationships/image" Target="../media/image35.png"/><Relationship Id="rId4" Type="http://schemas.openxmlformats.org/officeDocument/2006/relationships/image" Target="../media/image20.png"/><Relationship Id="rId9" Type="http://schemas.openxmlformats.org/officeDocument/2006/relationships/image" Target="../media/image25.png"/><Relationship Id="rId14" Type="http://schemas.openxmlformats.org/officeDocument/2006/relationships/image" Target="../media/image30.png"/><Relationship Id="rId22"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304800</xdr:colOff>
          <xdr:row>0</xdr:row>
          <xdr:rowOff>412750</xdr:rowOff>
        </xdr:from>
        <xdr:to>
          <xdr:col>25</xdr:col>
          <xdr:colOff>215900</xdr:colOff>
          <xdr:row>1</xdr:row>
          <xdr:rowOff>63500</xdr:rowOff>
        </xdr:to>
        <xdr:sp macro="" textlink="">
          <xdr:nvSpPr>
            <xdr:cNvPr id="751583" name="Drop Down 6111" hidden="1">
              <a:extLst>
                <a:ext uri="{63B3BB69-23CF-44E3-9099-C40C66FF867C}">
                  <a14:compatExt spid="_x0000_s751583"/>
                </a:ext>
                <a:ext uri="{FF2B5EF4-FFF2-40B4-BE49-F238E27FC236}">
                  <a16:creationId xmlns:a16="http://schemas.microsoft.com/office/drawing/2014/main" id="{00000000-0008-0000-0000-0000DF77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160440</xdr:colOff>
      <xdr:row>61</xdr:row>
      <xdr:rowOff>65734</xdr:rowOff>
    </xdr:from>
    <xdr:to>
      <xdr:col>25</xdr:col>
      <xdr:colOff>1592036</xdr:colOff>
      <xdr:row>84</xdr:row>
      <xdr:rowOff>153307</xdr:rowOff>
    </xdr:to>
    <xdr:graphicFrame macro="">
      <xdr:nvGraphicFramePr>
        <xdr:cNvPr id="66" name="Chart 102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490417</xdr:colOff>
          <xdr:row>37</xdr:row>
          <xdr:rowOff>67110</xdr:rowOff>
        </xdr:from>
        <xdr:to>
          <xdr:col>25</xdr:col>
          <xdr:colOff>1821703</xdr:colOff>
          <xdr:row>60</xdr:row>
          <xdr:rowOff>161441</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89937"/>
                </a:ext>
              </a:extLst>
            </xdr:cNvPicPr>
          </xdr:nvPicPr>
          <xdr:blipFill rotWithShape="1">
            <a:blip xmlns:r="http://schemas.openxmlformats.org/officeDocument/2006/relationships" r:embed="rId2"/>
            <a:srcRect r="5287"/>
            <a:stretch>
              <a:fillRect/>
            </a:stretch>
          </xdr:blipFill>
          <xdr:spPr bwMode="auto">
            <a:xfrm>
              <a:off x="11061299" y="8187639"/>
              <a:ext cx="6591701" cy="4061214"/>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97117</xdr:colOff>
          <xdr:row>4</xdr:row>
          <xdr:rowOff>94701</xdr:rowOff>
        </xdr:from>
        <xdr:to>
          <xdr:col>25</xdr:col>
          <xdr:colOff>1779120</xdr:colOff>
          <xdr:row>27</xdr:row>
          <xdr:rowOff>239060</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89938"/>
                </a:ext>
              </a:extLst>
            </xdr:cNvPicPr>
          </xdr:nvPicPr>
          <xdr:blipFill rotWithShape="1">
            <a:blip xmlns:r="http://schemas.openxmlformats.org/officeDocument/2006/relationships" r:embed="rId3"/>
            <a:srcRect l="1933" r="3398" b="1428"/>
            <a:stretch>
              <a:fillRect/>
            </a:stretch>
          </xdr:blipFill>
          <xdr:spPr bwMode="auto">
            <a:xfrm>
              <a:off x="8411882" y="1252642"/>
              <a:ext cx="9211235" cy="5119771"/>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23</xdr:col>
      <xdr:colOff>200592</xdr:colOff>
      <xdr:row>11</xdr:row>
      <xdr:rowOff>161472</xdr:rowOff>
    </xdr:from>
    <xdr:to>
      <xdr:col>24</xdr:col>
      <xdr:colOff>79535</xdr:colOff>
      <xdr:row>12</xdr:row>
      <xdr:rowOff>161833</xdr:rowOff>
    </xdr:to>
    <xdr:sp macro="" textlink="'Variable Mgmt'!B245">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5213806" y="2746829"/>
          <a:ext cx="523015" cy="199933"/>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900" b="0" i="0" u="none" strike="noStrike" baseline="0">
              <a:solidFill>
                <a:srgbClr val="000000"/>
              </a:solidFill>
              <a:latin typeface="Arial" pitchFamily="34" charset="0"/>
              <a:cs typeface="Arial" pitchFamily="34" charset="0"/>
            </a:rPr>
            <a:pPr algn="l" rtl="0">
              <a:defRPr sz="1000"/>
            </a:pPr>
            <a:t>110µF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20</xdr:col>
      <xdr:colOff>38775</xdr:colOff>
      <xdr:row>9</xdr:row>
      <xdr:rowOff>126072</xdr:rowOff>
    </xdr:from>
    <xdr:to>
      <xdr:col>20</xdr:col>
      <xdr:colOff>522128</xdr:colOff>
      <xdr:row>10</xdr:row>
      <xdr:rowOff>174517</xdr:rowOff>
    </xdr:to>
    <xdr:sp macro="" textlink="'Variable Mgmt'!B231">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3119775" y="2312286"/>
          <a:ext cx="483353" cy="248017"/>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900" b="0" i="0" u="none" strike="noStrike" baseline="0">
              <a:solidFill>
                <a:srgbClr val="000000"/>
              </a:solidFill>
              <a:latin typeface="Arial" pitchFamily="34" charset="0"/>
              <a:cs typeface="Arial" pitchFamily="34" charset="0"/>
            </a:rPr>
            <a:pPr algn="ctr" rtl="0">
              <a:defRPr sz="1000"/>
            </a:pPr>
            <a:t>12µH</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14</xdr:col>
      <xdr:colOff>58386</xdr:colOff>
      <xdr:row>11</xdr:row>
      <xdr:rowOff>73571</xdr:rowOff>
    </xdr:from>
    <xdr:to>
      <xdr:col>14</xdr:col>
      <xdr:colOff>563514</xdr:colOff>
      <xdr:row>12</xdr:row>
      <xdr:rowOff>64813</xdr:rowOff>
    </xdr:to>
    <xdr:sp macro="" textlink="'Variable Mgmt'!B250">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9030029" y="2658928"/>
          <a:ext cx="505128" cy="190814"/>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900" b="0" i="0" u="none" strike="noStrike" baseline="0">
              <a:solidFill>
                <a:srgbClr val="000000"/>
              </a:solidFill>
              <a:latin typeface="Arial" pitchFamily="34" charset="0"/>
              <a:cs typeface="Arial" pitchFamily="34" charset="0"/>
            </a:rPr>
            <a:pPr algn="ctr" rtl="0">
              <a:defRPr sz="1000"/>
            </a:pPr>
            <a:t>22µF</a:t>
          </a:fld>
          <a:endParaRPr lang="en-US" sz="900" b="0" i="0" u="none" strike="noStrike" baseline="0">
            <a:solidFill>
              <a:srgbClr val="000000"/>
            </a:solidFill>
            <a:latin typeface="Arial" pitchFamily="34" charset="0"/>
            <a:cs typeface="Arial" pitchFamily="34" charset="0"/>
          </a:endParaRPr>
        </a:p>
      </xdr:txBody>
    </xdr:sp>
    <xdr:clientData/>
  </xdr:twoCellAnchor>
  <xdr:twoCellAnchor>
    <xdr:from>
      <xdr:col>16</xdr:col>
      <xdr:colOff>4505</xdr:colOff>
      <xdr:row>15</xdr:row>
      <xdr:rowOff>73956</xdr:rowOff>
    </xdr:from>
    <xdr:to>
      <xdr:col>16</xdr:col>
      <xdr:colOff>479770</xdr:colOff>
      <xdr:row>16</xdr:row>
      <xdr:rowOff>161173</xdr:rowOff>
    </xdr:to>
    <xdr:sp macro="" textlink="'Variable Mgmt'!D277">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10327791" y="3457599"/>
          <a:ext cx="475265" cy="286788"/>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1100" b="0" i="0" u="none" strike="noStrike">
              <a:solidFill>
                <a:srgbClr val="000000"/>
              </a:solidFill>
              <a:latin typeface="Arial"/>
              <a:cs typeface="Arial"/>
            </a:rPr>
            <a:pPr algn="ctr"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14</xdr:col>
      <xdr:colOff>118515</xdr:colOff>
      <xdr:row>5</xdr:row>
      <xdr:rowOff>122966</xdr:rowOff>
    </xdr:from>
    <xdr:to>
      <xdr:col>14</xdr:col>
      <xdr:colOff>612589</xdr:colOff>
      <xdr:row>8</xdr:row>
      <xdr:rowOff>13369</xdr:rowOff>
    </xdr:to>
    <xdr:sp macro="" textlink="'Variable Mgmt'!B237">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627515" y="1527437"/>
          <a:ext cx="494074" cy="45816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58V</a:t>
          </a:fld>
          <a:endParaRPr lang="en-US" sz="1400" b="1" i="0" strike="noStrike">
            <a:solidFill>
              <a:srgbClr val="FF0000"/>
            </a:solidFill>
            <a:latin typeface="Arial" pitchFamily="34" charset="0"/>
            <a:cs typeface="Arial" pitchFamily="34" charset="0"/>
          </a:endParaRPr>
        </a:p>
      </xdr:txBody>
    </xdr:sp>
    <xdr:clientData/>
  </xdr:twoCellAnchor>
  <xdr:twoCellAnchor>
    <xdr:from>
      <xdr:col>25</xdr:col>
      <xdr:colOff>1019168</xdr:colOff>
      <xdr:row>5</xdr:row>
      <xdr:rowOff>164211</xdr:rowOff>
    </xdr:from>
    <xdr:to>
      <xdr:col>25</xdr:col>
      <xdr:colOff>1685561</xdr:colOff>
      <xdr:row>7</xdr:row>
      <xdr:rowOff>133014</xdr:rowOff>
    </xdr:to>
    <xdr:sp macro="" textlink="'Variable Mgmt'!B240">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6535255" y="1561211"/>
          <a:ext cx="666393" cy="355325"/>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15V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25</xdr:col>
      <xdr:colOff>927554</xdr:colOff>
      <xdr:row>6</xdr:row>
      <xdr:rowOff>179163</xdr:rowOff>
    </xdr:from>
    <xdr:to>
      <xdr:col>25</xdr:col>
      <xdr:colOff>1476828</xdr:colOff>
      <xdr:row>8</xdr:row>
      <xdr:rowOff>112096</xdr:rowOff>
    </xdr:to>
    <xdr:sp macro="" textlink="'Variable Mgmt'!B295">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6443641" y="1780467"/>
          <a:ext cx="549274" cy="31945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350" b="1" i="0" u="none" strike="noStrike">
              <a:solidFill>
                <a:srgbClr val="FF0000"/>
              </a:solidFill>
              <a:latin typeface="Arial" pitchFamily="34" charset="0"/>
              <a:cs typeface="Arial" pitchFamily="34" charset="0"/>
            </a:rPr>
            <a:pPr algn="ctr" rtl="0">
              <a:defRPr sz="1000"/>
            </a:pPr>
            <a:t>10A</a:t>
          </a:fld>
          <a:endParaRPr lang="en-US" sz="135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127000</xdr:colOff>
          <xdr:row>6</xdr:row>
          <xdr:rowOff>12700</xdr:rowOff>
        </xdr:from>
        <xdr:to>
          <xdr:col>5</xdr:col>
          <xdr:colOff>304800</xdr:colOff>
          <xdr:row>7</xdr:row>
          <xdr:rowOff>31750</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214803</xdr:colOff>
      <xdr:row>11</xdr:row>
      <xdr:rowOff>121721</xdr:rowOff>
    </xdr:from>
    <xdr:to>
      <xdr:col>17</xdr:col>
      <xdr:colOff>63226</xdr:colOff>
      <xdr:row>12</xdr:row>
      <xdr:rowOff>163885</xdr:rowOff>
    </xdr:to>
    <xdr:sp macro="" textlink="'Variable Mgmt'!C269">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10538089" y="2707078"/>
          <a:ext cx="555994" cy="241736"/>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900" b="0" i="0" u="none" strike="noStrike">
              <a:solidFill>
                <a:srgbClr val="000000"/>
              </a:solidFill>
              <a:latin typeface="Arial"/>
              <a:cs typeface="Arial"/>
            </a:rPr>
            <a:pPr algn="l" rtl="0">
              <a:defRPr sz="1000"/>
            </a:pPr>
            <a:t>196kΩ</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228490</xdr:colOff>
      <xdr:row>15</xdr:row>
      <xdr:rowOff>49885</xdr:rowOff>
    </xdr:from>
    <xdr:to>
      <xdr:col>16</xdr:col>
      <xdr:colOff>76913</xdr:colOff>
      <xdr:row>16</xdr:row>
      <xdr:rowOff>157389</xdr:rowOff>
    </xdr:to>
    <xdr:sp macro="" textlink="'Variable Mgmt'!C270">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844204" y="3433528"/>
          <a:ext cx="555995" cy="307075"/>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900" b="0" i="0" u="none" strike="noStrike">
              <a:solidFill>
                <a:srgbClr val="000000"/>
              </a:solidFill>
              <a:latin typeface="Arial"/>
              <a:cs typeface="Arial"/>
            </a:rPr>
            <a:pPr algn="l" rtl="0">
              <a:defRPr sz="1000"/>
            </a:pPr>
            <a:t>16.9kΩ</a:t>
          </a:fld>
          <a:endParaRPr lang="el-GR" sz="900" b="0" i="0" strike="noStrike">
            <a:solidFill>
              <a:srgbClr val="000000"/>
            </a:solidFill>
            <a:latin typeface="Arial" pitchFamily="34" charset="0"/>
            <a:cs typeface="Arial" pitchFamily="34" charset="0"/>
          </a:endParaRPr>
        </a:p>
      </xdr:txBody>
    </xdr:sp>
    <xdr:clientData/>
  </xdr:twoCellAnchor>
  <xdr:twoCellAnchor>
    <xdr:from>
      <xdr:col>18</xdr:col>
      <xdr:colOff>676778</xdr:colOff>
      <xdr:row>16</xdr:row>
      <xdr:rowOff>6934</xdr:rowOff>
    </xdr:from>
    <xdr:to>
      <xdr:col>19</xdr:col>
      <xdr:colOff>538343</xdr:colOff>
      <xdr:row>17</xdr:row>
      <xdr:rowOff>35167</xdr:rowOff>
    </xdr:to>
    <xdr:sp macro="" textlink="'Variable Mgmt'!C259">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2415207" y="3590148"/>
          <a:ext cx="560065" cy="22780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900" b="0" i="0" u="none" strike="noStrike">
              <a:solidFill>
                <a:srgbClr val="000000"/>
              </a:solidFill>
              <a:latin typeface="Arial"/>
              <a:cs typeface="Arial"/>
            </a:rPr>
            <a:pPr algn="l" rtl="0">
              <a:defRPr sz="1000"/>
            </a:pPr>
            <a:t>168kΩ</a:t>
          </a:fld>
          <a:endParaRPr lang="el-GR" sz="1200" b="0" i="0" strike="noStrike">
            <a:solidFill>
              <a:srgbClr val="000000"/>
            </a:solidFill>
            <a:latin typeface="Arial" pitchFamily="34" charset="0"/>
            <a:cs typeface="Arial" pitchFamily="34" charset="0"/>
          </a:endParaRPr>
        </a:p>
      </xdr:txBody>
    </xdr:sp>
    <xdr:clientData/>
  </xdr:twoCellAnchor>
  <xdr:twoCellAnchor>
    <xdr:from>
      <xdr:col>15</xdr:col>
      <xdr:colOff>515590</xdr:colOff>
      <xdr:row>17</xdr:row>
      <xdr:rowOff>132012</xdr:rowOff>
    </xdr:from>
    <xdr:to>
      <xdr:col>16</xdr:col>
      <xdr:colOff>343366</xdr:colOff>
      <xdr:row>18</xdr:row>
      <xdr:rowOff>143932</xdr:rowOff>
    </xdr:to>
    <xdr:sp macro="" textlink="'Variable Mgmt'!C273">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0131304" y="3914798"/>
          <a:ext cx="535348" cy="211491"/>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900" b="0" i="0" u="none" strike="noStrike" baseline="0">
              <a:solidFill>
                <a:srgbClr val="000000"/>
              </a:solidFill>
              <a:latin typeface="Arial"/>
              <a:cs typeface="Arial"/>
            </a:rPr>
            <a:pPr algn="l" rtl="0">
              <a:defRPr sz="1000"/>
            </a:pPr>
            <a:t>10kΩ</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14</xdr:col>
      <xdr:colOff>105150</xdr:colOff>
      <xdr:row>7</xdr:row>
      <xdr:rowOff>58997</xdr:rowOff>
    </xdr:from>
    <xdr:to>
      <xdr:col>15</xdr:col>
      <xdr:colOff>312085</xdr:colOff>
      <xdr:row>8</xdr:row>
      <xdr:rowOff>144859</xdr:rowOff>
    </xdr:to>
    <xdr:sp macro="" textlink="'Variable Mgmt'!B238">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614150" y="1836997"/>
          <a:ext cx="849406" cy="280097"/>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200" b="1" i="0" u="none" strike="noStrike">
              <a:solidFill>
                <a:srgbClr val="000000"/>
              </a:solidFill>
              <a:latin typeface="Arial"/>
              <a:cs typeface="Arial"/>
            </a:rPr>
            <a:pPr algn="l" rtl="0">
              <a:defRPr sz="1000"/>
            </a:pPr>
            <a:t>19V...85V</a:t>
          </a:fld>
          <a:endParaRPr lang="en-US" sz="12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40</xdr:row>
          <xdr:rowOff>0</xdr:rowOff>
        </xdr:from>
        <xdr:to>
          <xdr:col>5</xdr:col>
          <xdr:colOff>273050</xdr:colOff>
          <xdr:row>41</xdr:row>
          <xdr:rowOff>25400</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132617</xdr:colOff>
      <xdr:row>19</xdr:row>
      <xdr:rowOff>226786</xdr:rowOff>
    </xdr:from>
    <xdr:to>
      <xdr:col>16</xdr:col>
      <xdr:colOff>679506</xdr:colOff>
      <xdr:row>20</xdr:row>
      <xdr:rowOff>138885</xdr:rowOff>
    </xdr:to>
    <xdr:sp macro="" textlink="'Variable Mgmt'!B265">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0455903" y="4454072"/>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900" b="0" i="0" u="none" strike="noStrike">
              <a:solidFill>
                <a:srgbClr val="000000"/>
              </a:solidFill>
              <a:latin typeface="Arial"/>
              <a:cs typeface="Arial"/>
            </a:rPr>
            <a:pPr algn="l" rtl="0">
              <a:defRPr sz="1000"/>
            </a:pPr>
            <a:t> </a:t>
          </a:fld>
          <a:endParaRPr lang="el-GR" sz="9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46</xdr:row>
          <xdr:rowOff>0</xdr:rowOff>
        </xdr:from>
        <xdr:to>
          <xdr:col>5</xdr:col>
          <xdr:colOff>254000</xdr:colOff>
          <xdr:row>46</xdr:row>
          <xdr:rowOff>196850</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78143</xdr:colOff>
      <xdr:row>0</xdr:row>
      <xdr:rowOff>32845</xdr:rowOff>
    </xdr:from>
    <xdr:to>
      <xdr:col>3</xdr:col>
      <xdr:colOff>351439</xdr:colOff>
      <xdr:row>0</xdr:row>
      <xdr:rowOff>571501</xdr:rowOff>
    </xdr:to>
    <xdr:pic macro="[0]!OpenLM27403ProductFolder">
      <xdr:nvPicPr>
        <xdr:cNvPr id="4" name="Picture 3">
          <a:hlinkClick xmlns:r="http://schemas.openxmlformats.org/officeDocument/2006/relationships" r:id="rId4"/>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6"/>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542193</xdr:colOff>
      <xdr:row>3</xdr:row>
      <xdr:rowOff>130483</xdr:rowOff>
    </xdr:to>
    <xdr:pic macro="[0]!OpenLM27403ProductFolder">
      <xdr:nvPicPr>
        <xdr:cNvPr id="54" name="Picture 53">
          <a:hlinkClick xmlns:r="http://schemas.openxmlformats.org/officeDocument/2006/relationships" r:id="rId8"/>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12700</xdr:colOff>
          <xdr:row>12</xdr:row>
          <xdr:rowOff>0</xdr:rowOff>
        </xdr:from>
        <xdr:to>
          <xdr:col>12</xdr:col>
          <xdr:colOff>63500</xdr:colOff>
          <xdr:row>13</xdr:row>
          <xdr:rowOff>6350</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12700</xdr:rowOff>
        </xdr:from>
        <xdr:to>
          <xdr:col>5</xdr:col>
          <xdr:colOff>266700</xdr:colOff>
          <xdr:row>44</xdr:row>
          <xdr:rowOff>6350</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109162</xdr:colOff>
      <xdr:row>6</xdr:row>
      <xdr:rowOff>19381</xdr:rowOff>
    </xdr:from>
    <xdr:to>
      <xdr:col>21</xdr:col>
      <xdr:colOff>494998</xdr:colOff>
      <xdr:row>7</xdr:row>
      <xdr:rowOff>91622</xdr:rowOff>
    </xdr:to>
    <xdr:sp macro="" textlink="'Variable Mgmt'!B233">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3190162" y="1625024"/>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1000" b="0" i="0" u="none" strike="noStrike" baseline="0">
              <a:solidFill>
                <a:srgbClr val="000000"/>
              </a:solidFill>
              <a:latin typeface="Arial"/>
              <a:cs typeface="Arial"/>
            </a:rPr>
            <a:pPr algn="ctr" rtl="0">
              <a:defRPr sz="1000"/>
            </a:pPr>
            <a:t>1 : 1</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25</xdr:col>
      <xdr:colOff>750794</xdr:colOff>
      <xdr:row>41</xdr:row>
      <xdr:rowOff>69135</xdr:rowOff>
    </xdr:from>
    <xdr:to>
      <xdr:col>25</xdr:col>
      <xdr:colOff>1228557</xdr:colOff>
      <xdr:row>42</xdr:row>
      <xdr:rowOff>146830</xdr:rowOff>
    </xdr:to>
    <xdr:sp macro="" textlink="'Variable Mgmt'!$B$286">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588441" y="9003959"/>
          <a:ext cx="477763" cy="286871"/>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82.8%</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25</xdr:col>
      <xdr:colOff>1096216</xdr:colOff>
      <xdr:row>18</xdr:row>
      <xdr:rowOff>128280</xdr:rowOff>
    </xdr:from>
    <xdr:to>
      <xdr:col>25</xdr:col>
      <xdr:colOff>1759040</xdr:colOff>
      <xdr:row>19</xdr:row>
      <xdr:rowOff>0</xdr:rowOff>
    </xdr:to>
    <xdr:sp macro="" textlink="'Variable Mgmt'!B241">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6612303" y="3341932"/>
          <a:ext cx="662824" cy="349094"/>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869431</xdr:colOff>
      <xdr:row>18</xdr:row>
      <xdr:rowOff>185393</xdr:rowOff>
    </xdr:from>
    <xdr:to>
      <xdr:col>25</xdr:col>
      <xdr:colOff>1616761</xdr:colOff>
      <xdr:row>20</xdr:row>
      <xdr:rowOff>58673</xdr:rowOff>
    </xdr:to>
    <xdr:sp macro="" textlink="'Variable Mgmt'!B296">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6385518" y="3399045"/>
          <a:ext cx="747330" cy="61871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25</xdr:col>
      <xdr:colOff>1022875</xdr:colOff>
      <xdr:row>16</xdr:row>
      <xdr:rowOff>158113</xdr:rowOff>
    </xdr:from>
    <xdr:to>
      <xdr:col>25</xdr:col>
      <xdr:colOff>1685699</xdr:colOff>
      <xdr:row>19</xdr:row>
      <xdr:rowOff>102504</xdr:rowOff>
    </xdr:to>
    <xdr:sp macro="" textlink="'Variable Mgmt'!B242">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7324232" y="3741327"/>
          <a:ext cx="662824" cy="83339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25</xdr:col>
      <xdr:colOff>772742</xdr:colOff>
      <xdr:row>19</xdr:row>
      <xdr:rowOff>0</xdr:rowOff>
    </xdr:from>
    <xdr:to>
      <xdr:col>25</xdr:col>
      <xdr:colOff>1516897</xdr:colOff>
      <xdr:row>19</xdr:row>
      <xdr:rowOff>208643</xdr:rowOff>
    </xdr:to>
    <xdr:sp macro="" textlink="'Variable Mgmt'!B297">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7074099" y="4227286"/>
          <a:ext cx="744155" cy="20864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23</xdr:col>
      <xdr:colOff>150700</xdr:colOff>
      <xdr:row>15</xdr:row>
      <xdr:rowOff>151932</xdr:rowOff>
    </xdr:from>
    <xdr:to>
      <xdr:col>24</xdr:col>
      <xdr:colOff>34178</xdr:colOff>
      <xdr:row>17</xdr:row>
      <xdr:rowOff>126999</xdr:rowOff>
    </xdr:to>
    <xdr:sp macro="" textlink="'Variable Mgmt'!D245">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5163914" y="3535575"/>
          <a:ext cx="527550" cy="374210"/>
        </a:xfrm>
        <a:prstGeom prst="rect">
          <a:avLst/>
        </a:prstGeom>
        <a:noFill/>
        <a:ln w="9525">
          <a:noFill/>
          <a:miter lim="800000"/>
          <a:headEnd/>
          <a:tailEnd/>
        </a:ln>
      </xdr:spPr>
      <xdr:txBody>
        <a:bodyPr vertOverflow="clip" wrap="square" lIns="27432" tIns="22860" rIns="0" bIns="0" anchor="ctr" upright="1"/>
        <a:lstStyle/>
        <a:p>
          <a:pPr algn="l" rtl="0">
            <a:defRPr sz="1000"/>
          </a:pPr>
          <a:fld id="{A5CD353A-83F6-408F-8104-9228EF111F31}" type="TxLink">
            <a:rPr lang="en-US" sz="1000" b="0" i="0" u="none" strike="noStrike" baseline="0">
              <a:solidFill>
                <a:srgbClr val="000000"/>
              </a:solidFill>
              <a:latin typeface="Arial"/>
              <a:cs typeface="Arial"/>
            </a:rPr>
            <a:pPr algn="l" rtl="0">
              <a:defRPr sz="1000"/>
            </a:pPr>
            <a:t> </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23</xdr:col>
      <xdr:colOff>159771</xdr:colOff>
      <xdr:row>19</xdr:row>
      <xdr:rowOff>90714</xdr:rowOff>
    </xdr:from>
    <xdr:to>
      <xdr:col>24</xdr:col>
      <xdr:colOff>43249</xdr:colOff>
      <xdr:row>20</xdr:row>
      <xdr:rowOff>0</xdr:rowOff>
    </xdr:to>
    <xdr:sp macro="" textlink="'Variable Mgmt'!C245">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5172985" y="4318000"/>
          <a:ext cx="527550" cy="154214"/>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900" b="0" i="0" u="none" strike="noStrike" baseline="0">
              <a:solidFill>
                <a:srgbClr val="000000"/>
              </a:solidFill>
              <a:latin typeface="Arial"/>
              <a:cs typeface="Arial"/>
            </a:rPr>
            <a:pPr algn="l" rtl="0">
              <a:defRPr sz="1000"/>
            </a:pPr>
            <a:t> </a:t>
          </a:fld>
          <a:endParaRPr lang="en-US" sz="9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14079</xdr:colOff>
          <xdr:row>37</xdr:row>
          <xdr:rowOff>17405</xdr:rowOff>
        </xdr:from>
        <xdr:to>
          <xdr:col>17</xdr:col>
          <xdr:colOff>292474</xdr:colOff>
          <xdr:row>60</xdr:row>
          <xdr:rowOff>124425</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89939"/>
                </a:ext>
              </a:extLst>
            </xdr:cNvPicPr>
          </xdr:nvPicPr>
          <xdr:blipFill rotWithShape="1">
            <a:blip xmlns:r="http://schemas.openxmlformats.org/officeDocument/2006/relationships" r:embed="rId10"/>
            <a:srcRect r="5700"/>
            <a:stretch>
              <a:fillRect/>
            </a:stretch>
          </xdr:blipFill>
          <xdr:spPr bwMode="auto">
            <a:xfrm>
              <a:off x="4249903" y="8137934"/>
              <a:ext cx="6619803" cy="4073903"/>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127000</xdr:colOff>
          <xdr:row>62</xdr:row>
          <xdr:rowOff>12700</xdr:rowOff>
        </xdr:from>
        <xdr:to>
          <xdr:col>23</xdr:col>
          <xdr:colOff>304800</xdr:colOff>
          <xdr:row>63</xdr:row>
          <xdr:rowOff>31750</xdr:rowOff>
        </xdr:to>
        <xdr:sp macro="" textlink="">
          <xdr:nvSpPr>
            <xdr:cNvPr id="751280" name="Spinner 5808" hidden="1">
              <a:extLst>
                <a:ext uri="{63B3BB69-23CF-44E3-9099-C40C66FF867C}">
                  <a14:compatExt spid="_x0000_s751280"/>
                </a:ext>
                <a:ext uri="{FF2B5EF4-FFF2-40B4-BE49-F238E27FC236}">
                  <a16:creationId xmlns:a16="http://schemas.microsoft.com/office/drawing/2014/main" id="{00000000-0008-0000-0000-0000B0760B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60092</xdr:colOff>
      <xdr:row>21</xdr:row>
      <xdr:rowOff>200356</xdr:rowOff>
    </xdr:from>
    <xdr:to>
      <xdr:col>16</xdr:col>
      <xdr:colOff>606981</xdr:colOff>
      <xdr:row>22</xdr:row>
      <xdr:rowOff>185304</xdr:rowOff>
    </xdr:to>
    <xdr:sp macro="" textlink="'Variable Mgmt'!D309">
      <xdr:nvSpPr>
        <xdr:cNvPr id="40" name="Text Box 268">
          <a:extLst>
            <a:ext uri="{FF2B5EF4-FFF2-40B4-BE49-F238E27FC236}">
              <a16:creationId xmlns:a16="http://schemas.microsoft.com/office/drawing/2014/main" id="{00000000-0008-0000-0000-000028000000}"/>
            </a:ext>
          </a:extLst>
        </xdr:cNvPr>
        <xdr:cNvSpPr txBox="1">
          <a:spLocks noChangeArrowheads="1" noTextEdit="1"/>
        </xdr:cNvSpPr>
      </xdr:nvSpPr>
      <xdr:spPr bwMode="auto">
        <a:xfrm>
          <a:off x="10383378" y="4917499"/>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1000" b="0" i="0" u="none" strike="noStrike">
              <a:solidFill>
                <a:srgbClr val="000000"/>
              </a:solidFill>
              <a:latin typeface="Arial"/>
              <a:cs typeface="Arial"/>
            </a:rPr>
            <a:pPr algn="l" rtl="0">
              <a:defRPr sz="1000"/>
            </a:pPr>
            <a:t>1.5kΩ</a:t>
          </a:fld>
          <a:endParaRPr lang="el-GR" sz="900" b="0" i="0" strike="noStrike">
            <a:solidFill>
              <a:srgbClr val="000000"/>
            </a:solidFill>
            <a:latin typeface="Arial" pitchFamily="34" charset="0"/>
            <a:cs typeface="Arial" pitchFamily="34" charset="0"/>
          </a:endParaRPr>
        </a:p>
      </xdr:txBody>
    </xdr:sp>
    <xdr:clientData/>
  </xdr:twoCellAnchor>
  <xdr:twoCellAnchor>
    <xdr:from>
      <xdr:col>14</xdr:col>
      <xdr:colOff>622519</xdr:colOff>
      <xdr:row>24</xdr:row>
      <xdr:rowOff>55212</xdr:rowOff>
    </xdr:from>
    <xdr:to>
      <xdr:col>15</xdr:col>
      <xdr:colOff>525337</xdr:colOff>
      <xdr:row>25</xdr:row>
      <xdr:rowOff>40160</xdr:rowOff>
    </xdr:to>
    <xdr:sp macro="" textlink="'Variable Mgmt'!D310">
      <xdr:nvSpPr>
        <xdr:cNvPr id="41" name="Text Box 268">
          <a:extLst>
            <a:ext uri="{FF2B5EF4-FFF2-40B4-BE49-F238E27FC236}">
              <a16:creationId xmlns:a16="http://schemas.microsoft.com/office/drawing/2014/main" id="{00000000-0008-0000-0000-000029000000}"/>
            </a:ext>
          </a:extLst>
        </xdr:cNvPr>
        <xdr:cNvSpPr txBox="1">
          <a:spLocks noChangeArrowheads="1" noTextEdit="1"/>
        </xdr:cNvSpPr>
      </xdr:nvSpPr>
      <xdr:spPr bwMode="auto">
        <a:xfrm>
          <a:off x="9594162" y="5507141"/>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1000" b="0" i="0" u="none" strike="noStrike">
              <a:solidFill>
                <a:srgbClr val="000000"/>
              </a:solidFill>
              <a:latin typeface="Arial"/>
              <a:cs typeface="Arial"/>
            </a:rPr>
            <a:pPr algn="l" rtl="0">
              <a:defRPr sz="1000"/>
            </a:pPr>
            <a:t>47.4nF</a:t>
          </a:fld>
          <a:endParaRPr lang="el-GR" sz="900" b="0" i="0" strike="noStrike">
            <a:solidFill>
              <a:srgbClr val="000000"/>
            </a:solidFill>
            <a:latin typeface="Arial" pitchFamily="34" charset="0"/>
            <a:cs typeface="Arial" pitchFamily="34" charset="0"/>
          </a:endParaRPr>
        </a:p>
      </xdr:txBody>
    </xdr:sp>
    <xdr:clientData/>
  </xdr:twoCellAnchor>
  <xdr:twoCellAnchor>
    <xdr:from>
      <xdr:col>15</xdr:col>
      <xdr:colOff>568093</xdr:colOff>
      <xdr:row>24</xdr:row>
      <xdr:rowOff>136854</xdr:rowOff>
    </xdr:from>
    <xdr:to>
      <xdr:col>16</xdr:col>
      <xdr:colOff>407410</xdr:colOff>
      <xdr:row>25</xdr:row>
      <xdr:rowOff>121802</xdr:rowOff>
    </xdr:to>
    <xdr:sp macro="" textlink="'Variable Mgmt'!D311">
      <xdr:nvSpPr>
        <xdr:cNvPr id="43" name="Text Box 268">
          <a:extLst>
            <a:ext uri="{FF2B5EF4-FFF2-40B4-BE49-F238E27FC236}">
              <a16:creationId xmlns:a16="http://schemas.microsoft.com/office/drawing/2014/main" id="{00000000-0008-0000-0000-00002B000000}"/>
            </a:ext>
          </a:extLst>
        </xdr:cNvPr>
        <xdr:cNvSpPr txBox="1">
          <a:spLocks noChangeArrowheads="1" noTextEdit="1"/>
        </xdr:cNvSpPr>
      </xdr:nvSpPr>
      <xdr:spPr bwMode="auto">
        <a:xfrm>
          <a:off x="10183807" y="5588783"/>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1000" b="0" i="0" u="none" strike="noStrike">
              <a:solidFill>
                <a:srgbClr val="000000"/>
              </a:solidFill>
              <a:latin typeface="Arial"/>
              <a:cs typeface="Arial"/>
            </a:rPr>
            <a:pPr algn="l" rtl="0">
              <a:defRPr sz="1000"/>
            </a:pPr>
            <a:t>316pF</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226786</xdr:colOff>
      <xdr:row>24</xdr:row>
      <xdr:rowOff>181428</xdr:rowOff>
    </xdr:from>
    <xdr:to>
      <xdr:col>20</xdr:col>
      <xdr:colOff>129604</xdr:colOff>
      <xdr:row>25</xdr:row>
      <xdr:rowOff>93527</xdr:rowOff>
    </xdr:to>
    <xdr:sp macro="" textlink="'Variable Mgmt'!D314">
      <xdr:nvSpPr>
        <xdr:cNvPr id="48" name="Text Box 268">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12663715"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1000" b="0" i="0" u="none" strike="noStrike">
              <a:solidFill>
                <a:srgbClr val="000000"/>
              </a:solidFill>
              <a:latin typeface="Arial"/>
              <a:cs typeface="Arial"/>
            </a:rPr>
            <a:pPr algn="l" rtl="0">
              <a:defRPr sz="1000"/>
            </a:pPr>
            <a:t>100pF</a:t>
          </a:fld>
          <a:endParaRPr lang="el-GR" sz="900" b="0" i="0" strike="noStrike">
            <a:solidFill>
              <a:srgbClr val="000000"/>
            </a:solidFill>
            <a:latin typeface="Arial" pitchFamily="34" charset="0"/>
            <a:cs typeface="Arial" pitchFamily="34" charset="0"/>
          </a:endParaRPr>
        </a:p>
      </xdr:txBody>
    </xdr:sp>
    <xdr:clientData/>
  </xdr:twoCellAnchor>
  <xdr:twoCellAnchor>
    <xdr:from>
      <xdr:col>20</xdr:col>
      <xdr:colOff>517071</xdr:colOff>
      <xdr:row>24</xdr:row>
      <xdr:rowOff>181428</xdr:rowOff>
    </xdr:from>
    <xdr:to>
      <xdr:col>21</xdr:col>
      <xdr:colOff>419889</xdr:colOff>
      <xdr:row>25</xdr:row>
      <xdr:rowOff>93527</xdr:rowOff>
    </xdr:to>
    <xdr:sp macro="" textlink="'Variable Mgmt'!D313">
      <xdr:nvSpPr>
        <xdr:cNvPr id="50" name="Text Box 268">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13598071" y="5633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1000" b="0" i="0" u="none" strike="noStrike">
              <a:solidFill>
                <a:srgbClr val="000000"/>
              </a:solidFill>
              <a:latin typeface="Arial"/>
              <a:cs typeface="Arial"/>
            </a:rPr>
            <a:pPr algn="l" rtl="0">
              <a:defRPr sz="1000"/>
            </a:pPr>
            <a:t>2mΩ</a:t>
          </a:fld>
          <a:endParaRPr lang="el-GR" sz="900" b="0" i="0" strike="noStrike">
            <a:solidFill>
              <a:srgbClr val="000000"/>
            </a:solidFill>
            <a:latin typeface="Arial" pitchFamily="34" charset="0"/>
            <a:cs typeface="Arial" pitchFamily="34" charset="0"/>
          </a:endParaRPr>
        </a:p>
      </xdr:txBody>
    </xdr:sp>
    <xdr:clientData/>
  </xdr:twoCellAnchor>
  <xdr:twoCellAnchor>
    <xdr:from>
      <xdr:col>19</xdr:col>
      <xdr:colOff>553356</xdr:colOff>
      <xdr:row>21</xdr:row>
      <xdr:rowOff>154214</xdr:rowOff>
    </xdr:from>
    <xdr:to>
      <xdr:col>20</xdr:col>
      <xdr:colOff>456174</xdr:colOff>
      <xdr:row>22</xdr:row>
      <xdr:rowOff>66313</xdr:rowOff>
    </xdr:to>
    <xdr:sp macro="" textlink="'Variable Mgmt'!D315">
      <xdr:nvSpPr>
        <xdr:cNvPr id="52" name="Text Box 268">
          <a:extLst>
            <a:ext uri="{FF2B5EF4-FFF2-40B4-BE49-F238E27FC236}">
              <a16:creationId xmlns:a16="http://schemas.microsoft.com/office/drawing/2014/main" id="{00000000-0008-0000-0000-000034000000}"/>
            </a:ext>
          </a:extLst>
        </xdr:cNvPr>
        <xdr:cNvSpPr txBox="1">
          <a:spLocks noChangeArrowheads="1" noTextEdit="1"/>
        </xdr:cNvSpPr>
      </xdr:nvSpPr>
      <xdr:spPr bwMode="auto">
        <a:xfrm>
          <a:off x="12990285" y="4871357"/>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1000" b="0" i="0" u="none" strike="noStrike">
              <a:solidFill>
                <a:srgbClr val="000000"/>
              </a:solidFill>
              <a:latin typeface="Arial"/>
              <a:cs typeface="Arial"/>
            </a:rPr>
            <a:pPr algn="l" rtl="0">
              <a:defRPr sz="1000"/>
            </a:pPr>
            <a:t>100Ω</a:t>
          </a:fld>
          <a:endParaRPr lang="el-GR" sz="9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229322</xdr:colOff>
      <xdr:row>33</xdr:row>
      <xdr:rowOff>37753</xdr:rowOff>
    </xdr:from>
    <xdr:to>
      <xdr:col>16</xdr:col>
      <xdr:colOff>381667</xdr:colOff>
      <xdr:row>61</xdr:row>
      <xdr:rowOff>144929</xdr:rowOff>
    </xdr:to>
    <xdr:graphicFrame macro="">
      <xdr:nvGraphicFramePr>
        <xdr:cNvPr id="2" name="Chart 102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127000</xdr:rowOff>
        </xdr:from>
        <xdr:to>
          <xdr:col>1</xdr:col>
          <xdr:colOff>107950</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1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18</xdr:col>
      <xdr:colOff>18143</xdr:colOff>
      <xdr:row>33</xdr:row>
      <xdr:rowOff>18142</xdr:rowOff>
    </xdr:from>
    <xdr:to>
      <xdr:col>26</xdr:col>
      <xdr:colOff>808663</xdr:colOff>
      <xdr:row>61</xdr:row>
      <xdr:rowOff>128493</xdr:rowOff>
    </xdr:to>
    <xdr:graphicFrame macro="">
      <xdr:nvGraphicFramePr>
        <xdr:cNvPr id="4" name="Chart 1029">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184150</xdr:colOff>
          <xdr:row>111</xdr:row>
          <xdr:rowOff>146050</xdr:rowOff>
        </xdr:from>
        <xdr:to>
          <xdr:col>36</xdr:col>
          <xdr:colOff>12700</xdr:colOff>
          <xdr:row>125</xdr:row>
          <xdr:rowOff>146050</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3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88">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84.7%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88">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84.7%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171450</xdr:colOff>
      <xdr:row>41</xdr:row>
      <xdr:rowOff>28575</xdr:rowOff>
    </xdr:from>
    <xdr:to>
      <xdr:col>46</xdr:col>
      <xdr:colOff>304800</xdr:colOff>
      <xdr:row>72</xdr:row>
      <xdr:rowOff>30307</xdr:rowOff>
    </xdr:to>
    <xdr:graphicFrame macro="">
      <xdr:nvGraphicFramePr>
        <xdr:cNvPr id="6" name="Chart 25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90</xdr:col>
      <xdr:colOff>152400</xdr:colOff>
      <xdr:row>9</xdr:row>
      <xdr:rowOff>0</xdr:rowOff>
    </xdr:from>
    <xdr:to>
      <xdr:col>105</xdr:col>
      <xdr:colOff>38100</xdr:colOff>
      <xdr:row>40</xdr:row>
      <xdr:rowOff>1732</xdr:rowOff>
    </xdr:to>
    <xdr:graphicFrame macro="">
      <xdr:nvGraphicFramePr>
        <xdr:cNvPr id="10" name="Chart 253">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90</xdr:col>
      <xdr:colOff>142875</xdr:colOff>
      <xdr:row>40</xdr:row>
      <xdr:rowOff>123825</xdr:rowOff>
    </xdr:from>
    <xdr:to>
      <xdr:col>105</xdr:col>
      <xdr:colOff>19050</xdr:colOff>
      <xdr:row>71</xdr:row>
      <xdr:rowOff>125557</xdr:rowOff>
    </xdr:to>
    <xdr:graphicFrame macro="">
      <xdr:nvGraphicFramePr>
        <xdr:cNvPr id="11" name="Chart 253">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110</xdr:col>
      <xdr:colOff>171450</xdr:colOff>
      <xdr:row>41</xdr:row>
      <xdr:rowOff>28575</xdr:rowOff>
    </xdr:from>
    <xdr:to>
      <xdr:col>128</xdr:col>
      <xdr:colOff>304800</xdr:colOff>
      <xdr:row>72</xdr:row>
      <xdr:rowOff>30307</xdr:rowOff>
    </xdr:to>
    <xdr:graphicFrame macro="">
      <xdr:nvGraphicFramePr>
        <xdr:cNvPr id="12" name="Chart 253">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110</xdr:col>
      <xdr:colOff>228600</xdr:colOff>
      <xdr:row>9</xdr:row>
      <xdr:rowOff>28575</xdr:rowOff>
    </xdr:from>
    <xdr:to>
      <xdr:col>128</xdr:col>
      <xdr:colOff>361950</xdr:colOff>
      <xdr:row>40</xdr:row>
      <xdr:rowOff>30307</xdr:rowOff>
    </xdr:to>
    <xdr:graphicFrame macro="">
      <xdr:nvGraphicFramePr>
        <xdr:cNvPr id="13" name="Chart 253">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90</xdr:col>
      <xdr:colOff>159205</xdr:colOff>
      <xdr:row>72</xdr:row>
      <xdr:rowOff>141513</xdr:rowOff>
    </xdr:from>
    <xdr:to>
      <xdr:col>101</xdr:col>
      <xdr:colOff>371475</xdr:colOff>
      <xdr:row>101</xdr:row>
      <xdr:rowOff>123825</xdr:rowOff>
    </xdr:to>
    <xdr:graphicFrame macro="">
      <xdr:nvGraphicFramePr>
        <xdr:cNvPr id="14" name="Chart 25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104</xdr:col>
      <xdr:colOff>33619</xdr:colOff>
      <xdr:row>72</xdr:row>
      <xdr:rowOff>52297</xdr:rowOff>
    </xdr:from>
    <xdr:to>
      <xdr:col>116</xdr:col>
      <xdr:colOff>328705</xdr:colOff>
      <xdr:row>101</xdr:row>
      <xdr:rowOff>26147</xdr:rowOff>
    </xdr:to>
    <xdr:graphicFrame macro="">
      <xdr:nvGraphicFramePr>
        <xdr:cNvPr id="15" name="Chart 253">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72</xdr:col>
      <xdr:colOff>136071</xdr:colOff>
      <xdr:row>0</xdr:row>
      <xdr:rowOff>18143</xdr:rowOff>
    </xdr:from>
    <xdr:ext cx="2204357" cy="589643"/>
    <xdr:sp macro="" textlink="">
      <xdr:nvSpPr>
        <xdr:cNvPr id="2" name="TextBox 1">
          <a:extLst>
            <a:ext uri="{FF2B5EF4-FFF2-40B4-BE49-F238E27FC236}">
              <a16:creationId xmlns:a16="http://schemas.microsoft.com/office/drawing/2014/main" id="{00000000-0008-0000-0400-000002000000}"/>
            </a:ext>
          </a:extLst>
        </xdr:cNvPr>
        <xdr:cNvSpPr txBox="1"/>
      </xdr:nvSpPr>
      <xdr:spPr bwMode="auto">
        <a:xfrm>
          <a:off x="38898285" y="18143"/>
          <a:ext cx="2204357" cy="589643"/>
        </a:xfrm>
        <a:prstGeom prst="rect">
          <a:avLst/>
        </a:prstGeom>
        <a:solidFill>
          <a:srgbClr val="FFFF00"/>
        </a:solidFill>
        <a:ln w="9525">
          <a:noFill/>
          <a:miter lim="800000"/>
          <a:headEnd/>
          <a:tailEnd/>
        </a:ln>
      </xdr:spPr>
      <xdr:txBody>
        <a:bodyPr vertOverflow="clip" horzOverflow="clip" wrap="square" lIns="27432" tIns="27432" rIns="0" bIns="0" rtlCol="0" anchor="t" upright="1">
          <a:noAutofit/>
        </a:bodyPr>
        <a:lstStyle/>
        <a:p>
          <a:pPr algn="l" rtl="0"/>
          <a:r>
            <a:rPr lang="en-US" sz="1100" b="0" i="0" strike="noStrike" baseline="0">
              <a:solidFill>
                <a:srgbClr val="FF0000"/>
              </a:solidFill>
              <a:latin typeface="Calibri"/>
            </a:rPr>
            <a:t>30JUL2024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mn-lt"/>
              <a:ea typeface="+mn-ea"/>
              <a:cs typeface="+mn-cs"/>
            </a:rPr>
            <a:t>For this version, Core losses is</a:t>
          </a:r>
          <a:r>
            <a:rPr lang="en-US" sz="1100" b="0" i="0" baseline="0">
              <a:solidFill>
                <a:srgbClr val="FF0000"/>
              </a:solidFill>
              <a:effectLst/>
              <a:latin typeface="+mn-lt"/>
              <a:ea typeface="+mn-ea"/>
              <a:cs typeface="+mn-cs"/>
            </a:rPr>
            <a:t> assumd 1.5% of the total power.</a:t>
          </a:r>
          <a:endParaRPr lang="en-US">
            <a:solidFill>
              <a:srgbClr val="FF0000"/>
            </a:solidFill>
            <a:effectLst/>
          </a:endParaRPr>
        </a:p>
        <a:p>
          <a:pPr algn="l" rtl="0"/>
          <a:endParaRPr lang="en-US" sz="1100" b="0" i="0" strike="noStrike">
            <a:solidFill>
              <a:srgbClr val="FF0000"/>
            </a:solidFill>
            <a:latin typeface="Calibri"/>
          </a:endParaRPr>
        </a:p>
      </xdr:txBody>
    </xdr:sp>
    <xdr:clientData/>
  </xdr:oneCellAnchor>
  <xdr:oneCellAnchor>
    <xdr:from>
      <xdr:col>59</xdr:col>
      <xdr:colOff>235858</xdr:colOff>
      <xdr:row>0</xdr:row>
      <xdr:rowOff>36285</xdr:rowOff>
    </xdr:from>
    <xdr:ext cx="1741715" cy="553357"/>
    <xdr:sp macro="" textlink="">
      <xdr:nvSpPr>
        <xdr:cNvPr id="17" name="TextBox 16">
          <a:extLst>
            <a:ext uri="{FF2B5EF4-FFF2-40B4-BE49-F238E27FC236}">
              <a16:creationId xmlns:a16="http://schemas.microsoft.com/office/drawing/2014/main" id="{00000000-0008-0000-0400-000011000000}"/>
            </a:ext>
          </a:extLst>
        </xdr:cNvPr>
        <xdr:cNvSpPr txBox="1"/>
      </xdr:nvSpPr>
      <xdr:spPr bwMode="auto">
        <a:xfrm>
          <a:off x="30734001" y="36285"/>
          <a:ext cx="1741715" cy="553357"/>
        </a:xfrm>
        <a:prstGeom prst="rect">
          <a:avLst/>
        </a:prstGeom>
        <a:solidFill>
          <a:srgbClr val="FFFF66"/>
        </a:solidFill>
        <a:ln w="9525">
          <a:noFill/>
          <a:miter lim="800000"/>
          <a:headEnd/>
          <a:tailEnd/>
        </a:ln>
      </xdr:spPr>
      <xdr:txBody>
        <a:bodyPr vertOverflow="clip" horzOverflow="clip" wrap="square" lIns="27432" tIns="27432" rIns="0" bIns="0" rtlCol="0" anchor="t" upright="1">
          <a:spAutoFit/>
        </a:bodyPr>
        <a:lstStyle/>
        <a:p>
          <a:pPr algn="l" rtl="0"/>
          <a:r>
            <a:rPr lang="en-US" sz="1100" b="1" i="0" strike="noStrike">
              <a:solidFill>
                <a:srgbClr val="FF0000"/>
              </a:solidFill>
              <a:latin typeface="+mn-lt"/>
            </a:rPr>
            <a:t>31JUL2024</a:t>
          </a:r>
        </a:p>
        <a:p>
          <a:pPr algn="l" rtl="0"/>
          <a:r>
            <a:rPr lang="en-US" sz="1100" b="0" i="0" strike="noStrike">
              <a:solidFill>
                <a:srgbClr val="FF0000"/>
              </a:solidFill>
              <a:latin typeface="+mn-lt"/>
            </a:rPr>
            <a:t>FET Qg loss is using VIN instead of 5V VDD. </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329046</xdr:colOff>
      <xdr:row>72</xdr:row>
      <xdr:rowOff>84117</xdr:rowOff>
    </xdr:from>
    <xdr:to>
      <xdr:col>27</xdr:col>
      <xdr:colOff>673307</xdr:colOff>
      <xdr:row>103</xdr:row>
      <xdr:rowOff>85849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92</xdr:col>
      <xdr:colOff>342900</xdr:colOff>
      <xdr:row>9</xdr:row>
      <xdr:rowOff>19050</xdr:rowOff>
    </xdr:from>
    <xdr:to>
      <xdr:col>109</xdr:col>
      <xdr:colOff>47625</xdr:colOff>
      <xdr:row>40</xdr:row>
      <xdr:rowOff>20782</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92</xdr:col>
      <xdr:colOff>352425</xdr:colOff>
      <xdr:row>41</xdr:row>
      <xdr:rowOff>0</xdr:rowOff>
    </xdr:from>
    <xdr:to>
      <xdr:col>109</xdr:col>
      <xdr:colOff>57150</xdr:colOff>
      <xdr:row>72</xdr:row>
      <xdr:rowOff>1732</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109</xdr:col>
      <xdr:colOff>194582</xdr:colOff>
      <xdr:row>41</xdr:row>
      <xdr:rowOff>21771</xdr:rowOff>
    </xdr:from>
    <xdr:to>
      <xdr:col>129</xdr:col>
      <xdr:colOff>123825</xdr:colOff>
      <xdr:row>72</xdr:row>
      <xdr:rowOff>23503</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228600</xdr:colOff>
      <xdr:row>9</xdr:row>
      <xdr:rowOff>28575</xdr:rowOff>
    </xdr:from>
    <xdr:to>
      <xdr:col>129</xdr:col>
      <xdr:colOff>19050</xdr:colOff>
      <xdr:row>40</xdr:row>
      <xdr:rowOff>30307</xdr:rowOff>
    </xdr:to>
    <xdr:graphicFrame macro="">
      <xdr:nvGraphicFramePr>
        <xdr:cNvPr id="10" name="Chart 253">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92</xdr:col>
      <xdr:colOff>329046</xdr:colOff>
      <xdr:row>72</xdr:row>
      <xdr:rowOff>138546</xdr:rowOff>
    </xdr:from>
    <xdr:to>
      <xdr:col>109</xdr:col>
      <xdr:colOff>33771</xdr:colOff>
      <xdr:row>103</xdr:row>
      <xdr:rowOff>140278</xdr:rowOff>
    </xdr:to>
    <xdr:graphicFrame macro="">
      <xdr:nvGraphicFramePr>
        <xdr:cNvPr id="11" name="Chart 253">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66</xdr:col>
      <xdr:colOff>544285</xdr:colOff>
      <xdr:row>7</xdr:row>
      <xdr:rowOff>90714</xdr:rowOff>
    </xdr:from>
    <xdr:ext cx="27765" cy="199927"/>
    <xdr:sp macro="" textlink="">
      <xdr:nvSpPr>
        <xdr:cNvPr id="12" name="TextBox 11">
          <a:extLst>
            <a:ext uri="{FF2B5EF4-FFF2-40B4-BE49-F238E27FC236}">
              <a16:creationId xmlns:a16="http://schemas.microsoft.com/office/drawing/2014/main" id="{00000000-0008-0000-0500-00000C000000}"/>
            </a:ext>
          </a:extLst>
        </xdr:cNvPr>
        <xdr:cNvSpPr txBox="1"/>
      </xdr:nvSpPr>
      <xdr:spPr bwMode="auto">
        <a:xfrm>
          <a:off x="34299071" y="1796143"/>
          <a:ext cx="27765" cy="199927"/>
        </a:xfrm>
        <a:prstGeom prst="rect">
          <a:avLst/>
        </a:prstGeom>
        <a:noFill/>
        <a:ln w="9525">
          <a:noFill/>
          <a:miter lim="800000"/>
          <a:headEnd/>
          <a:tailEnd/>
        </a:ln>
      </xdr:spPr>
      <xdr:txBody>
        <a:bodyPr vertOverflow="clip" horzOverflow="clip" wrap="none" lIns="27432" tIns="27432" rIns="0" bIns="0" rtlCol="0" anchor="t" upright="1">
          <a:spAutoFit/>
        </a:bodyPr>
        <a:lstStyle/>
        <a:p>
          <a:pPr algn="l" rtl="0"/>
          <a:endParaRPr lang="en-US" sz="1100" b="0" i="0" strike="noStrike">
            <a:solidFill>
              <a:srgbClr val="000000"/>
            </a:solidFill>
            <a:latin typeface="Calibri"/>
          </a:endParaRPr>
        </a:p>
      </xdr:txBody>
    </xdr:sp>
    <xdr:clientData/>
  </xdr:oneCellAnchor>
  <xdr:oneCellAnchor>
    <xdr:from>
      <xdr:col>58</xdr:col>
      <xdr:colOff>244929</xdr:colOff>
      <xdr:row>0</xdr:row>
      <xdr:rowOff>36286</xdr:rowOff>
    </xdr:from>
    <xdr:ext cx="2502480" cy="544380"/>
    <xdr:sp macro="" textlink="">
      <xdr:nvSpPr>
        <xdr:cNvPr id="13" name="TextBox 12">
          <a:extLst>
            <a:ext uri="{FF2B5EF4-FFF2-40B4-BE49-F238E27FC236}">
              <a16:creationId xmlns:a16="http://schemas.microsoft.com/office/drawing/2014/main" id="{00000000-0008-0000-0500-00000D000000}"/>
            </a:ext>
          </a:extLst>
        </xdr:cNvPr>
        <xdr:cNvSpPr txBox="1"/>
      </xdr:nvSpPr>
      <xdr:spPr bwMode="auto">
        <a:xfrm>
          <a:off x="29282572" y="36286"/>
          <a:ext cx="2502480" cy="544380"/>
        </a:xfrm>
        <a:prstGeom prst="rect">
          <a:avLst/>
        </a:prstGeom>
        <a:solidFill>
          <a:srgbClr val="FFFF66"/>
        </a:solidFill>
        <a:ln w="9525">
          <a:noFill/>
          <a:miter lim="800000"/>
          <a:headEnd/>
          <a:tailEnd/>
        </a:ln>
      </xdr:spPr>
      <xdr:txBody>
        <a:bodyPr vertOverflow="clip" horzOverflow="clip" wrap="none" lIns="27432" tIns="27432" rIns="0" bIns="0" rtlCol="0" anchor="t" upright="1">
          <a:spAutoFit/>
        </a:bodyPr>
        <a:lstStyle/>
        <a:p>
          <a:pPr rtl="0"/>
          <a:r>
            <a:rPr lang="en-US" sz="1100" b="1" i="0">
              <a:solidFill>
                <a:srgbClr val="FF0000"/>
              </a:solidFill>
              <a:effectLst/>
              <a:latin typeface="+mn-lt"/>
              <a:ea typeface="+mn-ea"/>
              <a:cs typeface="+mn-cs"/>
            </a:rPr>
            <a:t>31JUL2024</a:t>
          </a:r>
          <a:endParaRPr lang="en-US">
            <a:solidFill>
              <a:srgbClr val="FF0000"/>
            </a:solidFill>
            <a:effectLst/>
          </a:endParaRPr>
        </a:p>
        <a:p>
          <a:pPr rtl="0"/>
          <a:r>
            <a:rPr lang="en-US" sz="1100" b="0" i="0">
              <a:solidFill>
                <a:srgbClr val="FF0000"/>
              </a:solidFill>
              <a:effectLst/>
              <a:latin typeface="+mn-lt"/>
              <a:ea typeface="+mn-ea"/>
              <a:cs typeface="+mn-cs"/>
            </a:rPr>
            <a:t>FET Qg loss is using VIN instead of 5V VDD</a:t>
          </a:r>
          <a:r>
            <a:rPr lang="en-US" sz="1100" b="0" i="0">
              <a:effectLst/>
              <a:latin typeface="+mn-lt"/>
              <a:ea typeface="+mn-ea"/>
              <a:cs typeface="+mn-cs"/>
            </a:rPr>
            <a:t>. </a:t>
          </a:r>
          <a:endParaRPr lang="en-US">
            <a:effectLst/>
          </a:endParaRPr>
        </a:p>
        <a:p>
          <a:pPr algn="l" rtl="0"/>
          <a:endParaRPr lang="en-US" sz="1100" b="0" i="0" strike="noStrike">
            <a:solidFill>
              <a:srgbClr val="000000"/>
            </a:solidFill>
            <a:latin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12700</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7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12700</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7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12700</xdr:rowOff>
        </xdr:from>
        <xdr:to>
          <xdr:col>6</xdr:col>
          <xdr:colOff>876300</xdr:colOff>
          <xdr:row>40</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7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12700</xdr:rowOff>
        </xdr:from>
        <xdr:to>
          <xdr:col>6</xdr:col>
          <xdr:colOff>876300</xdr:colOff>
          <xdr:row>47</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7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12700</xdr:rowOff>
        </xdr:from>
        <xdr:to>
          <xdr:col>6</xdr:col>
          <xdr:colOff>876300</xdr:colOff>
          <xdr:row>42</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7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12700</xdr:rowOff>
        </xdr:from>
        <xdr:to>
          <xdr:col>6</xdr:col>
          <xdr:colOff>876300</xdr:colOff>
          <xdr:row>41</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7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12700</xdr:rowOff>
        </xdr:from>
        <xdr:to>
          <xdr:col>6</xdr:col>
          <xdr:colOff>876300</xdr:colOff>
          <xdr:row>46</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7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12700</xdr:rowOff>
        </xdr:from>
        <xdr:to>
          <xdr:col>6</xdr:col>
          <xdr:colOff>876300</xdr:colOff>
          <xdr:row>48</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7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12700</xdr:rowOff>
        </xdr:from>
        <xdr:to>
          <xdr:col>6</xdr:col>
          <xdr:colOff>876300</xdr:colOff>
          <xdr:row>49</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7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12700</xdr:rowOff>
        </xdr:from>
        <xdr:to>
          <xdr:col>6</xdr:col>
          <xdr:colOff>876300</xdr:colOff>
          <xdr:row>50</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7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12700</xdr:rowOff>
        </xdr:from>
        <xdr:to>
          <xdr:col>6</xdr:col>
          <xdr:colOff>876300</xdr:colOff>
          <xdr:row>39</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7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12700</xdr:rowOff>
        </xdr:from>
        <xdr:to>
          <xdr:col>6</xdr:col>
          <xdr:colOff>876300</xdr:colOff>
          <xdr:row>54</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7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700-00004D000000}"/>
                </a:ext>
              </a:extLst>
            </xdr:cNvPr>
            <xdr:cNvPicPr>
              <a:picLocks noChangeAspect="1" noChangeArrowheads="1"/>
              <a:extLst>
                <a:ext uri="{84589F7E-364E-4C9E-8A38-B11213B215E9}">
                  <a14:cameraTool cellRange="PICTURE1" spid="_x0000_s764709"/>
                </a:ext>
              </a:extLst>
            </xdr:cNvPicPr>
          </xdr:nvPicPr>
          <xdr:blipFill>
            <a:blip xmlns:r="http://schemas.openxmlformats.org/officeDocument/2006/relationships" r:embed="rId1"/>
            <a:srcRect/>
            <a:stretch>
              <a:fillRect/>
            </a:stretch>
          </xdr:blipFill>
          <xdr:spPr bwMode="auto">
            <a:xfrm>
              <a:off x="370999" y="95250"/>
              <a:ext cx="7638131" cy="4153008"/>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5</xdr:col>
      <xdr:colOff>368904</xdr:colOff>
      <xdr:row>7</xdr:row>
      <xdr:rowOff>122225</xdr:rowOff>
    </xdr:from>
    <xdr:to>
      <xdr:col>5</xdr:col>
      <xdr:colOff>915363</xdr:colOff>
      <xdr:row>8</xdr:row>
      <xdr:rowOff>143465</xdr:rowOff>
    </xdr:to>
    <xdr:sp macro="" textlink="'Variable Mgmt'!B245">
      <xdr:nvSpPr>
        <xdr:cNvPr id="79" name="Text Box 267">
          <a:extLst>
            <a:ext uri="{FF2B5EF4-FFF2-40B4-BE49-F238E27FC236}">
              <a16:creationId xmlns:a16="http://schemas.microsoft.com/office/drawing/2014/main" id="{00000000-0008-0000-0700-00004F000000}"/>
            </a:ext>
          </a:extLst>
        </xdr:cNvPr>
        <xdr:cNvSpPr txBox="1">
          <a:spLocks noChangeArrowheads="1" noTextEdit="1"/>
        </xdr:cNvSpPr>
      </xdr:nvSpPr>
      <xdr:spPr bwMode="auto">
        <a:xfrm>
          <a:off x="5395173" y="1250571"/>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700" b="0" i="0" u="none" strike="noStrike" baseline="0">
              <a:solidFill>
                <a:srgbClr val="000000"/>
              </a:solidFill>
              <a:latin typeface="Arial" pitchFamily="34" charset="0"/>
              <a:cs typeface="Arial" pitchFamily="34" charset="0"/>
            </a:rPr>
            <a:pPr algn="l" rtl="0">
              <a:defRPr sz="1000"/>
            </a:pPr>
            <a:t>110µF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593597</xdr:colOff>
      <xdr:row>7</xdr:row>
      <xdr:rowOff>47526</xdr:rowOff>
    </xdr:from>
    <xdr:to>
      <xdr:col>1</xdr:col>
      <xdr:colOff>433231</xdr:colOff>
      <xdr:row>8</xdr:row>
      <xdr:rowOff>83672</xdr:rowOff>
    </xdr:to>
    <xdr:sp macro="" textlink="'Variable Mgmt'!B250">
      <xdr:nvSpPr>
        <xdr:cNvPr id="81" name="Text Box 276">
          <a:extLst>
            <a:ext uri="{FF2B5EF4-FFF2-40B4-BE49-F238E27FC236}">
              <a16:creationId xmlns:a16="http://schemas.microsoft.com/office/drawing/2014/main" id="{00000000-0008-0000-0700-000051000000}"/>
            </a:ext>
          </a:extLst>
        </xdr:cNvPr>
        <xdr:cNvSpPr txBox="1">
          <a:spLocks noChangeArrowheads="1" noTextEdit="1"/>
        </xdr:cNvSpPr>
      </xdr:nvSpPr>
      <xdr:spPr bwMode="auto">
        <a:xfrm>
          <a:off x="593597" y="1175872"/>
          <a:ext cx="508826" cy="197338"/>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700" b="0" i="0" u="none" strike="noStrike" baseline="0">
              <a:solidFill>
                <a:srgbClr val="000000"/>
              </a:solidFill>
              <a:latin typeface="Arial" pitchFamily="34" charset="0"/>
              <a:cs typeface="Arial" pitchFamily="34" charset="0"/>
            </a:rPr>
            <a:pPr algn="ctr" rtl="0">
              <a:defRPr sz="1000"/>
            </a:pPr>
            <a:t>22µF</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198843</xdr:colOff>
      <xdr:row>21</xdr:row>
      <xdr:rowOff>104015</xdr:rowOff>
    </xdr:from>
    <xdr:to>
      <xdr:col>2</xdr:col>
      <xdr:colOff>642811</xdr:colOff>
      <xdr:row>23</xdr:row>
      <xdr:rowOff>62417</xdr:rowOff>
    </xdr:to>
    <xdr:sp macro="" textlink="'Variable Mgmt'!D277">
      <xdr:nvSpPr>
        <xdr:cNvPr id="82" name="Text Box 281">
          <a:extLst>
            <a:ext uri="{FF2B5EF4-FFF2-40B4-BE49-F238E27FC236}">
              <a16:creationId xmlns:a16="http://schemas.microsoft.com/office/drawing/2014/main" id="{00000000-0008-0000-0700-000052000000}"/>
            </a:ext>
          </a:extLst>
        </xdr:cNvPr>
        <xdr:cNvSpPr txBox="1">
          <a:spLocks noChangeArrowheads="1" noTextEdit="1"/>
        </xdr:cNvSpPr>
      </xdr:nvSpPr>
      <xdr:spPr bwMode="auto">
        <a:xfrm>
          <a:off x="1599018" y="3504440"/>
          <a:ext cx="443968" cy="282252"/>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0</xdr:col>
      <xdr:colOff>457270</xdr:colOff>
      <xdr:row>2</xdr:row>
      <xdr:rowOff>59911</xdr:rowOff>
    </xdr:from>
    <xdr:to>
      <xdr:col>1</xdr:col>
      <xdr:colOff>331622</xdr:colOff>
      <xdr:row>5</xdr:row>
      <xdr:rowOff>32971</xdr:rowOff>
    </xdr:to>
    <xdr:sp macro="" textlink="'Variable Mgmt'!B237">
      <xdr:nvSpPr>
        <xdr:cNvPr id="85" name="Text Box 283">
          <a:extLst>
            <a:ext uri="{FF2B5EF4-FFF2-40B4-BE49-F238E27FC236}">
              <a16:creationId xmlns:a16="http://schemas.microsoft.com/office/drawing/2014/main" id="{00000000-0008-0000-0700-000055000000}"/>
            </a:ext>
          </a:extLst>
        </xdr:cNvPr>
        <xdr:cNvSpPr txBox="1">
          <a:spLocks noChangeArrowheads="1" noTextEdit="1"/>
        </xdr:cNvSpPr>
      </xdr:nvSpPr>
      <xdr:spPr bwMode="auto">
        <a:xfrm>
          <a:off x="457270" y="382296"/>
          <a:ext cx="543544" cy="456637"/>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000" b="1" i="0" u="none" strike="noStrike">
              <a:solidFill>
                <a:srgbClr val="FF0000"/>
              </a:solidFill>
              <a:latin typeface="Arial" pitchFamily="34" charset="0"/>
              <a:cs typeface="Arial" pitchFamily="34" charset="0"/>
            </a:rPr>
            <a:pPr algn="r" rtl="0">
              <a:defRPr sz="1000"/>
            </a:pPr>
            <a:t>58V</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132244</xdr:colOff>
      <xdr:row>3</xdr:row>
      <xdr:rowOff>3197</xdr:rowOff>
    </xdr:from>
    <xdr:to>
      <xdr:col>7</xdr:col>
      <xdr:colOff>798638</xdr:colOff>
      <xdr:row>5</xdr:row>
      <xdr:rowOff>25976</xdr:rowOff>
    </xdr:to>
    <xdr:sp macro="" textlink="'Variable Mgmt'!B240">
      <xdr:nvSpPr>
        <xdr:cNvPr id="87" name="Text Box 285">
          <a:extLst>
            <a:ext uri="{FF2B5EF4-FFF2-40B4-BE49-F238E27FC236}">
              <a16:creationId xmlns:a16="http://schemas.microsoft.com/office/drawing/2014/main" id="{00000000-0008-0000-0700-000057000000}"/>
            </a:ext>
          </a:extLst>
        </xdr:cNvPr>
        <xdr:cNvSpPr txBox="1">
          <a:spLocks noChangeArrowheads="1" noTextEdit="1"/>
        </xdr:cNvSpPr>
      </xdr:nvSpPr>
      <xdr:spPr bwMode="auto">
        <a:xfrm>
          <a:off x="7234475" y="486774"/>
          <a:ext cx="666394" cy="345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000" b="1" i="0" u="none" strike="noStrike" baseline="0">
              <a:solidFill>
                <a:srgbClr val="FF0000"/>
              </a:solidFill>
              <a:latin typeface="Arial" pitchFamily="34" charset="0"/>
              <a:cs typeface="Arial" pitchFamily="34" charset="0"/>
            </a:rPr>
            <a:pPr algn="l" rtl="0">
              <a:defRPr sz="1000"/>
            </a:pPr>
            <a:t>15V</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1117426</xdr:colOff>
      <xdr:row>4</xdr:row>
      <xdr:rowOff>112611</xdr:rowOff>
    </xdr:from>
    <xdr:to>
      <xdr:col>7</xdr:col>
      <xdr:colOff>541529</xdr:colOff>
      <xdr:row>6</xdr:row>
      <xdr:rowOff>93051</xdr:rowOff>
    </xdr:to>
    <xdr:sp macro="" textlink="'Variable Mgmt'!B295">
      <xdr:nvSpPr>
        <xdr:cNvPr id="88" name="Text Box 286">
          <a:extLst>
            <a:ext uri="{FF2B5EF4-FFF2-40B4-BE49-F238E27FC236}">
              <a16:creationId xmlns:a16="http://schemas.microsoft.com/office/drawing/2014/main" id="{00000000-0008-0000-0700-000058000000}"/>
            </a:ext>
          </a:extLst>
        </xdr:cNvPr>
        <xdr:cNvSpPr txBox="1">
          <a:spLocks noChangeArrowheads="1" noTextEdit="1"/>
        </xdr:cNvSpPr>
      </xdr:nvSpPr>
      <xdr:spPr bwMode="auto">
        <a:xfrm>
          <a:off x="7091311" y="757380"/>
          <a:ext cx="552449"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10A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217360</xdr:colOff>
      <xdr:row>7</xdr:row>
      <xdr:rowOff>99362</xdr:rowOff>
    </xdr:from>
    <xdr:to>
      <xdr:col>2</xdr:col>
      <xdr:colOff>742058</xdr:colOff>
      <xdr:row>9</xdr:row>
      <xdr:rowOff>29041</xdr:rowOff>
    </xdr:to>
    <xdr:sp macro="" textlink="'Variable Mgmt'!C269">
      <xdr:nvSpPr>
        <xdr:cNvPr id="92" name="Text Box 268">
          <a:extLst>
            <a:ext uri="{FF2B5EF4-FFF2-40B4-BE49-F238E27FC236}">
              <a16:creationId xmlns:a16="http://schemas.microsoft.com/office/drawing/2014/main" id="{00000000-0008-0000-0700-00005C000000}"/>
            </a:ext>
          </a:extLst>
        </xdr:cNvPr>
        <xdr:cNvSpPr txBox="1">
          <a:spLocks noChangeArrowheads="1" noTextEdit="1"/>
        </xdr:cNvSpPr>
      </xdr:nvSpPr>
      <xdr:spPr bwMode="auto">
        <a:xfrm>
          <a:off x="1617535" y="1232837"/>
          <a:ext cx="524698" cy="253529"/>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1000" b="0" i="0" u="none" strike="noStrike">
              <a:solidFill>
                <a:srgbClr val="000000"/>
              </a:solidFill>
              <a:latin typeface="Arial"/>
              <a:cs typeface="Arial"/>
            </a:rPr>
            <a:pPr algn="l" rtl="0">
              <a:defRPr sz="1000"/>
            </a:pPr>
            <a:t>196kΩ</a:t>
          </a:fld>
          <a:endParaRPr lang="el-GR" sz="1000" b="0" i="0" strike="noStrike">
            <a:solidFill>
              <a:srgbClr val="000000"/>
            </a:solidFill>
            <a:latin typeface="Arial" pitchFamily="34" charset="0"/>
            <a:cs typeface="Arial" pitchFamily="34" charset="0"/>
          </a:endParaRPr>
        </a:p>
      </xdr:txBody>
    </xdr:sp>
    <xdr:clientData/>
  </xdr:twoCellAnchor>
  <xdr:twoCellAnchor>
    <xdr:from>
      <xdr:col>2</xdr:col>
      <xdr:colOff>198310</xdr:colOff>
      <xdr:row>13</xdr:row>
      <xdr:rowOff>137646</xdr:rowOff>
    </xdr:from>
    <xdr:to>
      <xdr:col>2</xdr:col>
      <xdr:colOff>723008</xdr:colOff>
      <xdr:row>15</xdr:row>
      <xdr:rowOff>31908</xdr:rowOff>
    </xdr:to>
    <xdr:sp macro="" textlink="'Variable Mgmt'!C270">
      <xdr:nvSpPr>
        <xdr:cNvPr id="93" name="Text Box 268">
          <a:extLst>
            <a:ext uri="{FF2B5EF4-FFF2-40B4-BE49-F238E27FC236}">
              <a16:creationId xmlns:a16="http://schemas.microsoft.com/office/drawing/2014/main" id="{00000000-0008-0000-0700-00005D000000}"/>
            </a:ext>
          </a:extLst>
        </xdr:cNvPr>
        <xdr:cNvSpPr txBox="1">
          <a:spLocks noChangeArrowheads="1" noTextEdit="1"/>
        </xdr:cNvSpPr>
      </xdr:nvSpPr>
      <xdr:spPr bwMode="auto">
        <a:xfrm>
          <a:off x="1598485" y="2242671"/>
          <a:ext cx="524698" cy="218112"/>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1000" b="0" i="0" u="none" strike="noStrike">
              <a:solidFill>
                <a:srgbClr val="000000"/>
              </a:solidFill>
              <a:latin typeface="Arial"/>
              <a:cs typeface="Arial"/>
            </a:rPr>
            <a:pPr algn="l" rtl="0">
              <a:defRPr sz="1000"/>
            </a:pPr>
            <a:t>16.9kΩ</a:t>
          </a:fld>
          <a:endParaRPr lang="el-GR" sz="1000" b="0" i="0" strike="noStrike">
            <a:solidFill>
              <a:srgbClr val="000000"/>
            </a:solidFill>
            <a:latin typeface="Arial" pitchFamily="34" charset="0"/>
            <a:cs typeface="Arial" pitchFamily="34" charset="0"/>
          </a:endParaRPr>
        </a:p>
      </xdr:txBody>
    </xdr:sp>
    <xdr:clientData/>
  </xdr:twoCellAnchor>
  <xdr:twoCellAnchor>
    <xdr:from>
      <xdr:col>3</xdr:col>
      <xdr:colOff>874674</xdr:colOff>
      <xdr:row>11</xdr:row>
      <xdr:rowOff>122026</xdr:rowOff>
    </xdr:from>
    <xdr:to>
      <xdr:col>4</xdr:col>
      <xdr:colOff>38961</xdr:colOff>
      <xdr:row>13</xdr:row>
      <xdr:rowOff>43406</xdr:rowOff>
    </xdr:to>
    <xdr:sp macro="" textlink="'Variable Mgmt'!C259">
      <xdr:nvSpPr>
        <xdr:cNvPr id="94" name="Text Box 268">
          <a:extLst>
            <a:ext uri="{FF2B5EF4-FFF2-40B4-BE49-F238E27FC236}">
              <a16:creationId xmlns:a16="http://schemas.microsoft.com/office/drawing/2014/main" id="{00000000-0008-0000-0700-00005E000000}"/>
            </a:ext>
          </a:extLst>
        </xdr:cNvPr>
        <xdr:cNvSpPr txBox="1">
          <a:spLocks noChangeArrowheads="1" noTextEdit="1"/>
        </xdr:cNvSpPr>
      </xdr:nvSpPr>
      <xdr:spPr bwMode="auto">
        <a:xfrm>
          <a:off x="3282789" y="1895141"/>
          <a:ext cx="575941" cy="243765"/>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700" b="0" i="0" u="none" strike="noStrike">
              <a:solidFill>
                <a:srgbClr val="000000"/>
              </a:solidFill>
              <a:latin typeface="Arial"/>
              <a:cs typeface="Arial"/>
            </a:rPr>
            <a:pPr algn="l" rtl="0">
              <a:defRPr sz="1000"/>
            </a:pPr>
            <a:t>168kΩ</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35816</xdr:colOff>
      <xdr:row>13</xdr:row>
      <xdr:rowOff>84072</xdr:rowOff>
    </xdr:from>
    <xdr:to>
      <xdr:col>2</xdr:col>
      <xdr:colOff>550300</xdr:colOff>
      <xdr:row>14</xdr:row>
      <xdr:rowOff>123568</xdr:rowOff>
    </xdr:to>
    <xdr:sp macro="" textlink="'Variable Mgmt'!C273">
      <xdr:nvSpPr>
        <xdr:cNvPr id="95" name="Text Box 265">
          <a:extLst>
            <a:ext uri="{FF2B5EF4-FFF2-40B4-BE49-F238E27FC236}">
              <a16:creationId xmlns:a16="http://schemas.microsoft.com/office/drawing/2014/main" id="{00000000-0008-0000-0700-00005F000000}"/>
            </a:ext>
          </a:extLst>
        </xdr:cNvPr>
        <xdr:cNvSpPr txBox="1">
          <a:spLocks noChangeArrowheads="1" noTextEdit="1"/>
        </xdr:cNvSpPr>
      </xdr:nvSpPr>
      <xdr:spPr bwMode="auto">
        <a:xfrm>
          <a:off x="1506085" y="2179572"/>
          <a:ext cx="514484" cy="200688"/>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700" b="0" i="0" u="none" strike="noStrike" baseline="0">
              <a:solidFill>
                <a:srgbClr val="000000"/>
              </a:solidFill>
              <a:latin typeface="Arial"/>
              <a:cs typeface="Arial"/>
            </a:rPr>
            <a:pPr algn="l" rtl="0">
              <a:defRPr sz="1000"/>
            </a:pPr>
            <a:t>10kΩ</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0</xdr:col>
      <xdr:colOff>376115</xdr:colOff>
      <xdr:row>5</xdr:row>
      <xdr:rowOff>94589</xdr:rowOff>
    </xdr:from>
    <xdr:to>
      <xdr:col>1</xdr:col>
      <xdr:colOff>490993</xdr:colOff>
      <xdr:row>7</xdr:row>
      <xdr:rowOff>60080</xdr:rowOff>
    </xdr:to>
    <xdr:sp macro="" textlink="'Variable Mgmt'!B238">
      <xdr:nvSpPr>
        <xdr:cNvPr id="96" name="Text Box 283">
          <a:extLst>
            <a:ext uri="{FF2B5EF4-FFF2-40B4-BE49-F238E27FC236}">
              <a16:creationId xmlns:a16="http://schemas.microsoft.com/office/drawing/2014/main" id="{00000000-0008-0000-0700-000060000000}"/>
            </a:ext>
          </a:extLst>
        </xdr:cNvPr>
        <xdr:cNvSpPr txBox="1">
          <a:spLocks noChangeArrowheads="1" noTextEdit="1"/>
        </xdr:cNvSpPr>
      </xdr:nvSpPr>
      <xdr:spPr bwMode="auto">
        <a:xfrm>
          <a:off x="376115" y="900551"/>
          <a:ext cx="784070" cy="287875"/>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800" b="1" i="0" u="none" strike="noStrike">
              <a:solidFill>
                <a:srgbClr val="000000"/>
              </a:solidFill>
              <a:latin typeface="Arial"/>
              <a:cs typeface="Arial"/>
            </a:rPr>
            <a:pPr algn="ctr" rtl="0">
              <a:defRPr sz="1000"/>
            </a:pPr>
            <a:t>19V...85V</a:t>
          </a:fld>
          <a:endParaRPr lang="en-US" sz="800" b="1" i="0" strike="noStrike">
            <a:solidFill>
              <a:srgbClr val="000000"/>
            </a:solidFill>
            <a:latin typeface="Arial" pitchFamily="34" charset="0"/>
            <a:cs typeface="Arial" pitchFamily="34" charset="0"/>
          </a:endParaRPr>
        </a:p>
      </xdr:txBody>
    </xdr:sp>
    <xdr:clientData/>
  </xdr:twoCellAnchor>
  <xdr:twoCellAnchor>
    <xdr:from>
      <xdr:col>4</xdr:col>
      <xdr:colOff>679229</xdr:colOff>
      <xdr:row>18</xdr:row>
      <xdr:rowOff>149860</xdr:rowOff>
    </xdr:from>
    <xdr:to>
      <xdr:col>4</xdr:col>
      <xdr:colOff>1010101</xdr:colOff>
      <xdr:row>20</xdr:row>
      <xdr:rowOff>77900</xdr:rowOff>
    </xdr:to>
    <xdr:sp macro="" textlink="'Variable Mgmt'!C265">
      <xdr:nvSpPr>
        <xdr:cNvPr id="97" name="Text Box 225">
          <a:extLst>
            <a:ext uri="{FF2B5EF4-FFF2-40B4-BE49-F238E27FC236}">
              <a16:creationId xmlns:a16="http://schemas.microsoft.com/office/drawing/2014/main" id="{00000000-0008-0000-0700-000061000000}"/>
            </a:ext>
          </a:extLst>
        </xdr:cNvPr>
        <xdr:cNvSpPr txBox="1">
          <a:spLocks noChangeArrowheads="1"/>
        </xdr:cNvSpPr>
      </xdr:nvSpPr>
      <xdr:spPr bwMode="auto">
        <a:xfrm>
          <a:off x="4317779" y="3064510"/>
          <a:ext cx="330872" cy="251890"/>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 </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4</xdr:col>
      <xdr:colOff>631623</xdr:colOff>
      <xdr:row>20</xdr:row>
      <xdr:rowOff>71205</xdr:rowOff>
    </xdr:from>
    <xdr:to>
      <xdr:col>4</xdr:col>
      <xdr:colOff>1147003</xdr:colOff>
      <xdr:row>21</xdr:row>
      <xdr:rowOff>142012</xdr:rowOff>
    </xdr:to>
    <xdr:sp macro="" textlink="'Variable Mgmt'!B265">
      <xdr:nvSpPr>
        <xdr:cNvPr id="98" name="Text Box 268">
          <a:extLst>
            <a:ext uri="{FF2B5EF4-FFF2-40B4-BE49-F238E27FC236}">
              <a16:creationId xmlns:a16="http://schemas.microsoft.com/office/drawing/2014/main" id="{00000000-0008-0000-0700-000062000000}"/>
            </a:ext>
          </a:extLst>
        </xdr:cNvPr>
        <xdr:cNvSpPr txBox="1">
          <a:spLocks noChangeArrowheads="1" noTextEdit="1"/>
        </xdr:cNvSpPr>
      </xdr:nvSpPr>
      <xdr:spPr bwMode="auto">
        <a:xfrm>
          <a:off x="4270173" y="3309705"/>
          <a:ext cx="515380" cy="23273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1100" b="0" i="0" u="none" strike="noStrike">
              <a:solidFill>
                <a:srgbClr val="000000"/>
              </a:solidFill>
              <a:latin typeface="Arial"/>
              <a:cs typeface="Arial"/>
            </a:rPr>
            <a:pPr algn="l" rtl="0">
              <a:defRPr sz="1000"/>
            </a:pPr>
            <a:t> </a:t>
          </a:fld>
          <a:endParaRPr lang="el-GR" sz="1100" b="0" i="0" strike="noStrike">
            <a:solidFill>
              <a:srgbClr val="000000"/>
            </a:solidFill>
            <a:latin typeface="Arial" pitchFamily="34" charset="0"/>
            <a:cs typeface="Arial" pitchFamily="34" charset="0"/>
          </a:endParaRPr>
        </a:p>
      </xdr:txBody>
    </xdr:sp>
    <xdr:clientData/>
  </xdr:twoCellAnchor>
  <xdr:twoCellAnchor>
    <xdr:from>
      <xdr:col>2</xdr:col>
      <xdr:colOff>237557</xdr:colOff>
      <xdr:row>6</xdr:row>
      <xdr:rowOff>57806</xdr:rowOff>
    </xdr:from>
    <xdr:to>
      <xdr:col>2</xdr:col>
      <xdr:colOff>639607</xdr:colOff>
      <xdr:row>7</xdr:row>
      <xdr:rowOff>125922</xdr:rowOff>
    </xdr:to>
    <xdr:sp macro="" textlink="'Variable Mgmt'!C268">
      <xdr:nvSpPr>
        <xdr:cNvPr id="99" name="Text Box 264">
          <a:extLst>
            <a:ext uri="{FF2B5EF4-FFF2-40B4-BE49-F238E27FC236}">
              <a16:creationId xmlns:a16="http://schemas.microsoft.com/office/drawing/2014/main" id="{00000000-0008-0000-0700-000063000000}"/>
            </a:ext>
          </a:extLst>
        </xdr:cNvPr>
        <xdr:cNvSpPr txBox="1">
          <a:spLocks noChangeArrowheads="1" noTextEdit="1"/>
        </xdr:cNvSpPr>
      </xdr:nvSpPr>
      <xdr:spPr bwMode="auto">
        <a:xfrm>
          <a:off x="1637732" y="1029356"/>
          <a:ext cx="402050" cy="230041"/>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237557</xdr:colOff>
      <xdr:row>12</xdr:row>
      <xdr:rowOff>115234</xdr:rowOff>
    </xdr:from>
    <xdr:to>
      <xdr:col>2</xdr:col>
      <xdr:colOff>661587</xdr:colOff>
      <xdr:row>13</xdr:row>
      <xdr:rowOff>135750</xdr:rowOff>
    </xdr:to>
    <xdr:sp macro="" textlink="'Variable Mgmt'!D268">
      <xdr:nvSpPr>
        <xdr:cNvPr id="100" name="Text Box 264">
          <a:extLst>
            <a:ext uri="{FF2B5EF4-FFF2-40B4-BE49-F238E27FC236}">
              <a16:creationId xmlns:a16="http://schemas.microsoft.com/office/drawing/2014/main" id="{00000000-0008-0000-0700-000064000000}"/>
            </a:ext>
          </a:extLst>
        </xdr:cNvPr>
        <xdr:cNvSpPr txBox="1">
          <a:spLocks noChangeArrowheads="1" noTextEdit="1"/>
        </xdr:cNvSpPr>
      </xdr:nvSpPr>
      <xdr:spPr bwMode="auto">
        <a:xfrm>
          <a:off x="1637732" y="2058334"/>
          <a:ext cx="424030" cy="182441"/>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216427</xdr:colOff>
      <xdr:row>20</xdr:row>
      <xdr:rowOff>331</xdr:rowOff>
    </xdr:from>
    <xdr:to>
      <xdr:col>2</xdr:col>
      <xdr:colOff>660395</xdr:colOff>
      <xdr:row>22</xdr:row>
      <xdr:rowOff>12593</xdr:rowOff>
    </xdr:to>
    <xdr:sp macro="" textlink="'Variable Mgmt'!C278">
      <xdr:nvSpPr>
        <xdr:cNvPr id="101" name="Text Box 281">
          <a:extLst>
            <a:ext uri="{FF2B5EF4-FFF2-40B4-BE49-F238E27FC236}">
              <a16:creationId xmlns:a16="http://schemas.microsoft.com/office/drawing/2014/main" id="{00000000-0008-0000-0700-000065000000}"/>
            </a:ext>
          </a:extLst>
        </xdr:cNvPr>
        <xdr:cNvSpPr txBox="1">
          <a:spLocks noChangeArrowheads="1" noTextEdit="1"/>
        </xdr:cNvSpPr>
      </xdr:nvSpPr>
      <xdr:spPr bwMode="auto">
        <a:xfrm>
          <a:off x="1616602" y="3238831"/>
          <a:ext cx="443968" cy="336112"/>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 </a:t>
          </a:fld>
          <a:endParaRPr lang="en-US" sz="1100" b="0" i="0" strike="noStrike">
            <a:solidFill>
              <a:srgbClr val="000000"/>
            </a:solidFill>
            <a:latin typeface="Arial" pitchFamily="34" charset="0"/>
            <a:cs typeface="Arial" pitchFamily="34" charset="0"/>
          </a:endParaRPr>
        </a:p>
      </xdr:txBody>
    </xdr:sp>
    <xdr:clientData/>
  </xdr:twoCellAnchor>
  <xdr:twoCellAnchor>
    <xdr:from>
      <xdr:col>7</xdr:col>
      <xdr:colOff>288063</xdr:colOff>
      <xdr:row>11</xdr:row>
      <xdr:rowOff>136547</xdr:rowOff>
    </xdr:from>
    <xdr:to>
      <xdr:col>7</xdr:col>
      <xdr:colOff>954457</xdr:colOff>
      <xdr:row>13</xdr:row>
      <xdr:rowOff>159326</xdr:rowOff>
    </xdr:to>
    <xdr:sp macro="" textlink="'Variable Mgmt'!B241">
      <xdr:nvSpPr>
        <xdr:cNvPr id="128" name="Text Box 285">
          <a:extLst>
            <a:ext uri="{FF2B5EF4-FFF2-40B4-BE49-F238E27FC236}">
              <a16:creationId xmlns:a16="http://schemas.microsoft.com/office/drawing/2014/main" id="{00000000-0008-0000-0700-000080000000}"/>
            </a:ext>
          </a:extLst>
        </xdr:cNvPr>
        <xdr:cNvSpPr txBox="1">
          <a:spLocks noChangeArrowheads="1" noTextEdit="1"/>
        </xdr:cNvSpPr>
      </xdr:nvSpPr>
      <xdr:spPr bwMode="auto">
        <a:xfrm>
          <a:off x="7060338" y="191772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000" b="1" i="0" u="none" strike="noStrike" baseline="0">
              <a:solidFill>
                <a:srgbClr val="FF0000"/>
              </a:solidFill>
              <a:latin typeface="Arial"/>
              <a:cs typeface="Arial"/>
            </a:rPr>
            <a:pPr algn="l" rtl="0">
              <a:defRPr sz="1000"/>
            </a:pPr>
            <a:t> </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7</xdr:col>
      <xdr:colOff>133350</xdr:colOff>
      <xdr:row>13</xdr:row>
      <xdr:rowOff>74511</xdr:rowOff>
    </xdr:from>
    <xdr:to>
      <xdr:col>7</xdr:col>
      <xdr:colOff>733425</xdr:colOff>
      <xdr:row>15</xdr:row>
      <xdr:rowOff>54951</xdr:rowOff>
    </xdr:to>
    <xdr:sp macro="" textlink="'Variable Mgmt'!B296">
      <xdr:nvSpPr>
        <xdr:cNvPr id="129" name="Text Box 286">
          <a:extLst>
            <a:ext uri="{FF2B5EF4-FFF2-40B4-BE49-F238E27FC236}">
              <a16:creationId xmlns:a16="http://schemas.microsoft.com/office/drawing/2014/main" id="{00000000-0008-0000-0700-000081000000}"/>
            </a:ext>
          </a:extLst>
        </xdr:cNvPr>
        <xdr:cNvSpPr txBox="1">
          <a:spLocks noChangeArrowheads="1" noTextEdit="1"/>
        </xdr:cNvSpPr>
      </xdr:nvSpPr>
      <xdr:spPr bwMode="auto">
        <a:xfrm>
          <a:off x="6905625" y="2179536"/>
          <a:ext cx="600075"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7</xdr:col>
      <xdr:colOff>141769</xdr:colOff>
      <xdr:row>13</xdr:row>
      <xdr:rowOff>19072</xdr:rowOff>
    </xdr:from>
    <xdr:to>
      <xdr:col>7</xdr:col>
      <xdr:colOff>808163</xdr:colOff>
      <xdr:row>15</xdr:row>
      <xdr:rowOff>41118</xdr:rowOff>
    </xdr:to>
    <xdr:sp macro="" textlink="'Variable Mgmt'!B242">
      <xdr:nvSpPr>
        <xdr:cNvPr id="130" name="Text Box 285">
          <a:extLst>
            <a:ext uri="{FF2B5EF4-FFF2-40B4-BE49-F238E27FC236}">
              <a16:creationId xmlns:a16="http://schemas.microsoft.com/office/drawing/2014/main" id="{00000000-0008-0000-0700-000082000000}"/>
            </a:ext>
          </a:extLst>
        </xdr:cNvPr>
        <xdr:cNvSpPr txBox="1">
          <a:spLocks noChangeArrowheads="1" noTextEdit="1"/>
        </xdr:cNvSpPr>
      </xdr:nvSpPr>
      <xdr:spPr bwMode="auto">
        <a:xfrm>
          <a:off x="7244000" y="2114572"/>
          <a:ext cx="666394" cy="344431"/>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000" b="1" i="0" u="none" strike="noStrike" baseline="0">
              <a:solidFill>
                <a:srgbClr val="FF0000"/>
              </a:solidFill>
              <a:latin typeface="Arial"/>
              <a:cs typeface="Arial"/>
            </a:rPr>
            <a:pPr algn="l" rtl="0">
              <a:defRPr sz="1000"/>
            </a:pPr>
            <a:t> </a:t>
          </a:fld>
          <a:endParaRPr lang="en-US" sz="1000" b="1" i="0" u="none" strike="noStrike" baseline="0">
            <a:solidFill>
              <a:srgbClr val="FF0000"/>
            </a:solidFill>
            <a:latin typeface="Arial" pitchFamily="34" charset="0"/>
            <a:cs typeface="Arial" pitchFamily="34" charset="0"/>
          </a:endParaRPr>
        </a:p>
      </xdr:txBody>
    </xdr:sp>
    <xdr:clientData/>
  </xdr:twoCellAnchor>
  <xdr:twoCellAnchor>
    <xdr:from>
      <xdr:col>6</xdr:col>
      <xdr:colOff>1097443</xdr:colOff>
      <xdr:row>14</xdr:row>
      <xdr:rowOff>118229</xdr:rowOff>
    </xdr:from>
    <xdr:to>
      <xdr:col>7</xdr:col>
      <xdr:colOff>723171</xdr:colOff>
      <xdr:row>16</xdr:row>
      <xdr:rowOff>98669</xdr:rowOff>
    </xdr:to>
    <xdr:sp macro="" textlink="'Variable Mgmt'!B297">
      <xdr:nvSpPr>
        <xdr:cNvPr id="131" name="Text Box 286">
          <a:extLst>
            <a:ext uri="{FF2B5EF4-FFF2-40B4-BE49-F238E27FC236}">
              <a16:creationId xmlns:a16="http://schemas.microsoft.com/office/drawing/2014/main" id="{00000000-0008-0000-0700-000083000000}"/>
            </a:ext>
          </a:extLst>
        </xdr:cNvPr>
        <xdr:cNvSpPr txBox="1">
          <a:spLocks noChangeArrowheads="1" noTextEdit="1"/>
        </xdr:cNvSpPr>
      </xdr:nvSpPr>
      <xdr:spPr bwMode="auto">
        <a:xfrm>
          <a:off x="7071328" y="2374921"/>
          <a:ext cx="754074" cy="302825"/>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5</xdr:col>
      <xdr:colOff>417750</xdr:colOff>
      <xdr:row>12</xdr:row>
      <xdr:rowOff>106350</xdr:rowOff>
    </xdr:from>
    <xdr:to>
      <xdr:col>6</xdr:col>
      <xdr:colOff>16593</xdr:colOff>
      <xdr:row>13</xdr:row>
      <xdr:rowOff>127590</xdr:rowOff>
    </xdr:to>
    <xdr:sp macro="" textlink="'Variable Mgmt'!D245">
      <xdr:nvSpPr>
        <xdr:cNvPr id="132" name="Text Box 267">
          <a:extLst>
            <a:ext uri="{FF2B5EF4-FFF2-40B4-BE49-F238E27FC236}">
              <a16:creationId xmlns:a16="http://schemas.microsoft.com/office/drawing/2014/main" id="{00000000-0008-0000-0700-000084000000}"/>
            </a:ext>
          </a:extLst>
        </xdr:cNvPr>
        <xdr:cNvSpPr txBox="1">
          <a:spLocks noChangeArrowheads="1" noTextEdit="1"/>
        </xdr:cNvSpPr>
      </xdr:nvSpPr>
      <xdr:spPr bwMode="auto">
        <a:xfrm>
          <a:off x="5444019" y="2040658"/>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700" b="0" i="0" u="none" strike="noStrike" baseline="0">
              <a:solidFill>
                <a:srgbClr val="000000"/>
              </a:solidFill>
              <a:latin typeface="Arial"/>
              <a:cs typeface="Arial"/>
            </a:rPr>
            <a:pPr algn="l" rtl="0">
              <a:defRPr sz="1000"/>
            </a:pPr>
            <a:t> </a:t>
          </a:fld>
          <a:endParaRPr lang="en-US" sz="700" b="0" i="0" u="none" strike="noStrike" baseline="0">
            <a:solidFill>
              <a:srgbClr val="000000"/>
            </a:solidFill>
            <a:latin typeface="Arial" pitchFamily="34" charset="0"/>
            <a:cs typeface="Arial" pitchFamily="34" charset="0"/>
          </a:endParaRPr>
        </a:p>
      </xdr:txBody>
    </xdr:sp>
    <xdr:clientData/>
  </xdr:twoCellAnchor>
  <xdr:twoCellAnchor>
    <xdr:from>
      <xdr:col>5</xdr:col>
      <xdr:colOff>398212</xdr:colOff>
      <xdr:row>15</xdr:row>
      <xdr:rowOff>113188</xdr:rowOff>
    </xdr:from>
    <xdr:to>
      <xdr:col>5</xdr:col>
      <xdr:colOff>944671</xdr:colOff>
      <xdr:row>16</xdr:row>
      <xdr:rowOff>134428</xdr:rowOff>
    </xdr:to>
    <xdr:sp macro="" textlink="'Variable Mgmt'!C245">
      <xdr:nvSpPr>
        <xdr:cNvPr id="133" name="Text Box 267">
          <a:extLst>
            <a:ext uri="{FF2B5EF4-FFF2-40B4-BE49-F238E27FC236}">
              <a16:creationId xmlns:a16="http://schemas.microsoft.com/office/drawing/2014/main" id="{00000000-0008-0000-0700-000085000000}"/>
            </a:ext>
          </a:extLst>
        </xdr:cNvPr>
        <xdr:cNvSpPr txBox="1">
          <a:spLocks noChangeArrowheads="1" noTextEdit="1"/>
        </xdr:cNvSpPr>
      </xdr:nvSpPr>
      <xdr:spPr bwMode="auto">
        <a:xfrm>
          <a:off x="5424481" y="2531073"/>
          <a:ext cx="546459" cy="182432"/>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700" b="0" i="0" u="none" strike="noStrike" baseline="0">
              <a:solidFill>
                <a:srgbClr val="000000"/>
              </a:solidFill>
              <a:latin typeface="Arial"/>
              <a:cs typeface="Arial"/>
            </a:rPr>
            <a:pPr algn="l" rtl="0">
              <a:defRPr sz="1000"/>
            </a:pPr>
            <a:t> </a:t>
          </a:fld>
          <a:endParaRPr lang="en-US" sz="700" b="0" i="0" u="none" strike="noStrike" baseline="0">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895350</xdr:colOff>
          <xdr:row>32</xdr:row>
          <xdr:rowOff>12700</xdr:rowOff>
        </xdr:from>
        <xdr:to>
          <xdr:col>6</xdr:col>
          <xdr:colOff>869950</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7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895527</xdr:colOff>
      <xdr:row>24</xdr:row>
      <xdr:rowOff>49871</xdr:rowOff>
    </xdr:from>
    <xdr:to>
      <xdr:col>3</xdr:col>
      <xdr:colOff>280521</xdr:colOff>
      <xdr:row>25</xdr:row>
      <xdr:rowOff>121252</xdr:rowOff>
    </xdr:to>
    <xdr:sp macro="" textlink="">
      <xdr:nvSpPr>
        <xdr:cNvPr id="47" name="Text Box 244">
          <a:extLst>
            <a:ext uri="{FF2B5EF4-FFF2-40B4-BE49-F238E27FC236}">
              <a16:creationId xmlns:a16="http://schemas.microsoft.com/office/drawing/2014/main" id="{00000000-0008-0000-0700-00002F000000}"/>
            </a:ext>
          </a:extLst>
        </xdr:cNvPr>
        <xdr:cNvSpPr txBox="1">
          <a:spLocks noChangeArrowheads="1"/>
        </xdr:cNvSpPr>
      </xdr:nvSpPr>
      <xdr:spPr bwMode="auto">
        <a:xfrm>
          <a:off x="2365796" y="3918486"/>
          <a:ext cx="322840" cy="23257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42</xdr:row>
          <xdr:rowOff>12700</xdr:rowOff>
        </xdr:from>
        <xdr:to>
          <xdr:col>6</xdr:col>
          <xdr:colOff>882650</xdr:colOff>
          <xdr:row>43</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7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1328384</xdr:colOff>
      <xdr:row>2</xdr:row>
      <xdr:rowOff>124558</xdr:rowOff>
    </xdr:from>
    <xdr:to>
      <xdr:col>4</xdr:col>
      <xdr:colOff>946637</xdr:colOff>
      <xdr:row>4</xdr:row>
      <xdr:rowOff>55843</xdr:rowOff>
    </xdr:to>
    <xdr:sp macro="" textlink="'Variable Mgmt'!B233">
      <xdr:nvSpPr>
        <xdr:cNvPr id="49" name="Text Box 265">
          <a:extLst>
            <a:ext uri="{FF2B5EF4-FFF2-40B4-BE49-F238E27FC236}">
              <a16:creationId xmlns:a16="http://schemas.microsoft.com/office/drawing/2014/main" id="{00000000-0008-0000-0700-000031000000}"/>
            </a:ext>
          </a:extLst>
        </xdr:cNvPr>
        <xdr:cNvSpPr txBox="1">
          <a:spLocks noChangeArrowheads="1" noTextEdit="1"/>
        </xdr:cNvSpPr>
      </xdr:nvSpPr>
      <xdr:spPr bwMode="auto">
        <a:xfrm>
          <a:off x="3736499" y="446943"/>
          <a:ext cx="1029907" cy="253669"/>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700" b="0" i="0" u="none" strike="noStrike" baseline="0">
              <a:solidFill>
                <a:srgbClr val="000000"/>
              </a:solidFill>
              <a:latin typeface="Arial"/>
              <a:cs typeface="Arial"/>
            </a:rPr>
            <a:pPr algn="ctr" rtl="0">
              <a:defRPr sz="1000"/>
            </a:pPr>
            <a:t>1 : 1</a:t>
          </a:fld>
          <a:endParaRPr lang="el-GR" sz="700" b="0" i="0" u="none" strike="noStrike" baseline="0">
            <a:solidFill>
              <a:srgbClr val="000000"/>
            </a:solidFill>
            <a:latin typeface="Arial" pitchFamily="34" charset="0"/>
            <a:cs typeface="Arial" pitchFamily="34" charset="0"/>
          </a:endParaRPr>
        </a:p>
      </xdr:txBody>
    </xdr:sp>
    <xdr:clientData/>
  </xdr:twoCellAnchor>
  <xdr:twoCellAnchor>
    <xdr:from>
      <xdr:col>2</xdr:col>
      <xdr:colOff>212599</xdr:colOff>
      <xdr:row>18</xdr:row>
      <xdr:rowOff>21980</xdr:rowOff>
    </xdr:from>
    <xdr:to>
      <xdr:col>2</xdr:col>
      <xdr:colOff>759488</xdr:colOff>
      <xdr:row>19</xdr:row>
      <xdr:rowOff>90664</xdr:rowOff>
    </xdr:to>
    <xdr:sp macro="" textlink="'Variable Mgmt'!D309">
      <xdr:nvSpPr>
        <xdr:cNvPr id="50" name="Text Box 268">
          <a:extLst>
            <a:ext uri="{FF2B5EF4-FFF2-40B4-BE49-F238E27FC236}">
              <a16:creationId xmlns:a16="http://schemas.microsoft.com/office/drawing/2014/main" id="{00000000-0008-0000-0700-000032000000}"/>
            </a:ext>
          </a:extLst>
        </xdr:cNvPr>
        <xdr:cNvSpPr txBox="1">
          <a:spLocks noChangeArrowheads="1" noTextEdit="1"/>
        </xdr:cNvSpPr>
      </xdr:nvSpPr>
      <xdr:spPr bwMode="auto">
        <a:xfrm>
          <a:off x="1682868" y="2923442"/>
          <a:ext cx="546889" cy="229876"/>
        </a:xfrm>
        <a:prstGeom prst="rect">
          <a:avLst/>
        </a:prstGeom>
        <a:noFill/>
        <a:ln w="9525">
          <a:noFill/>
          <a:miter lim="800000"/>
          <a:headEnd/>
          <a:tailEnd/>
        </a:ln>
      </xdr:spPr>
      <xdr:txBody>
        <a:bodyPr vertOverflow="clip" wrap="square" lIns="27432" tIns="22860" rIns="0" bIns="0" anchor="ctr" upright="1"/>
        <a:lstStyle/>
        <a:p>
          <a:pPr algn="l" rtl="0">
            <a:defRPr sz="1000"/>
          </a:pPr>
          <a:fld id="{4F5B9A66-0160-41DB-924C-2BCEAAE1ECE7}" type="TxLink">
            <a:rPr lang="en-US" sz="700" b="0" i="0" u="none" strike="noStrike">
              <a:solidFill>
                <a:srgbClr val="000000"/>
              </a:solidFill>
              <a:latin typeface="Arial"/>
              <a:cs typeface="Arial"/>
            </a:rPr>
            <a:pPr algn="l" rtl="0">
              <a:defRPr sz="1000"/>
            </a:pPr>
            <a:t>1.5kΩ</a:t>
          </a:fld>
          <a:endParaRPr lang="el-GR" sz="700" b="0" i="0" strike="noStrike">
            <a:solidFill>
              <a:srgbClr val="000000"/>
            </a:solidFill>
            <a:latin typeface="Arial" pitchFamily="34" charset="0"/>
            <a:cs typeface="Arial" pitchFamily="34" charset="0"/>
          </a:endParaRPr>
        </a:p>
      </xdr:txBody>
    </xdr:sp>
    <xdr:clientData/>
  </xdr:twoCellAnchor>
  <xdr:twoCellAnchor>
    <xdr:from>
      <xdr:col>1</xdr:col>
      <xdr:colOff>449152</xdr:colOff>
      <xdr:row>21</xdr:row>
      <xdr:rowOff>35238</xdr:rowOff>
    </xdr:from>
    <xdr:to>
      <xdr:col>2</xdr:col>
      <xdr:colOff>194965</xdr:colOff>
      <xdr:row>22</xdr:row>
      <xdr:rowOff>103921</xdr:rowOff>
    </xdr:to>
    <xdr:sp macro="" textlink="'Variable Mgmt'!D310">
      <xdr:nvSpPr>
        <xdr:cNvPr id="51" name="Text Box 268">
          <a:extLst>
            <a:ext uri="{FF2B5EF4-FFF2-40B4-BE49-F238E27FC236}">
              <a16:creationId xmlns:a16="http://schemas.microsoft.com/office/drawing/2014/main" id="{00000000-0008-0000-0700-000033000000}"/>
            </a:ext>
          </a:extLst>
        </xdr:cNvPr>
        <xdr:cNvSpPr txBox="1">
          <a:spLocks noChangeArrowheads="1" noTextEdit="1"/>
        </xdr:cNvSpPr>
      </xdr:nvSpPr>
      <xdr:spPr bwMode="auto">
        <a:xfrm>
          <a:off x="1118344" y="3420276"/>
          <a:ext cx="546890" cy="229876"/>
        </a:xfrm>
        <a:prstGeom prst="rect">
          <a:avLst/>
        </a:prstGeom>
        <a:noFill/>
        <a:ln w="9525">
          <a:noFill/>
          <a:miter lim="800000"/>
          <a:headEnd/>
          <a:tailEnd/>
        </a:ln>
      </xdr:spPr>
      <xdr:txBody>
        <a:bodyPr vertOverflow="clip" wrap="square" lIns="27432" tIns="22860" rIns="0" bIns="0" anchor="ctr" upright="1"/>
        <a:lstStyle/>
        <a:p>
          <a:pPr algn="l" rtl="0">
            <a:defRPr sz="1000"/>
          </a:pPr>
          <a:fld id="{C56187B2-51F9-4DDC-A6CF-2BB9D128FF5E}" type="TxLink">
            <a:rPr lang="en-US" sz="700" b="0" i="0" u="none" strike="noStrike">
              <a:solidFill>
                <a:srgbClr val="000000"/>
              </a:solidFill>
              <a:latin typeface="Arial"/>
              <a:cs typeface="Arial"/>
            </a:rPr>
            <a:pPr algn="l" rtl="0">
              <a:defRPr sz="1000"/>
            </a:pPr>
            <a:t>47.4nF</a:t>
          </a:fld>
          <a:endParaRPr lang="el-GR" sz="700" b="0" i="0" strike="noStrike">
            <a:solidFill>
              <a:srgbClr val="000000"/>
            </a:solidFill>
            <a:latin typeface="Arial" pitchFamily="34" charset="0"/>
            <a:cs typeface="Arial" pitchFamily="34" charset="0"/>
          </a:endParaRPr>
        </a:p>
      </xdr:txBody>
    </xdr:sp>
    <xdr:clientData/>
  </xdr:twoCellAnchor>
  <xdr:twoCellAnchor>
    <xdr:from>
      <xdr:col>2</xdr:col>
      <xdr:colOff>164452</xdr:colOff>
      <xdr:row>21</xdr:row>
      <xdr:rowOff>126649</xdr:rowOff>
    </xdr:from>
    <xdr:to>
      <xdr:col>2</xdr:col>
      <xdr:colOff>711340</xdr:colOff>
      <xdr:row>23</xdr:row>
      <xdr:rowOff>34140</xdr:rowOff>
    </xdr:to>
    <xdr:sp macro="" textlink="'Variable Mgmt'!D311">
      <xdr:nvSpPr>
        <xdr:cNvPr id="52" name="Text Box 268">
          <a:extLst>
            <a:ext uri="{FF2B5EF4-FFF2-40B4-BE49-F238E27FC236}">
              <a16:creationId xmlns:a16="http://schemas.microsoft.com/office/drawing/2014/main" id="{00000000-0008-0000-0700-000034000000}"/>
            </a:ext>
          </a:extLst>
        </xdr:cNvPr>
        <xdr:cNvSpPr txBox="1">
          <a:spLocks noChangeArrowheads="1" noTextEdit="1"/>
        </xdr:cNvSpPr>
      </xdr:nvSpPr>
      <xdr:spPr bwMode="auto">
        <a:xfrm>
          <a:off x="1634721" y="3511687"/>
          <a:ext cx="546888" cy="229876"/>
        </a:xfrm>
        <a:prstGeom prst="rect">
          <a:avLst/>
        </a:prstGeom>
        <a:noFill/>
        <a:ln w="9525">
          <a:noFill/>
          <a:miter lim="800000"/>
          <a:headEnd/>
          <a:tailEnd/>
        </a:ln>
      </xdr:spPr>
      <xdr:txBody>
        <a:bodyPr vertOverflow="clip" wrap="square" lIns="27432" tIns="22860" rIns="0" bIns="0" anchor="ctr" upright="1"/>
        <a:lstStyle/>
        <a:p>
          <a:pPr algn="l" rtl="0">
            <a:defRPr sz="1000"/>
          </a:pPr>
          <a:fld id="{034E7522-50F8-4731-8BAA-BCAC1D84BE6B}" type="TxLink">
            <a:rPr lang="en-US" sz="700" b="0" i="0" u="none" strike="noStrike">
              <a:solidFill>
                <a:srgbClr val="000000"/>
              </a:solidFill>
              <a:latin typeface="Arial"/>
              <a:cs typeface="Arial"/>
            </a:rPr>
            <a:pPr algn="l" rtl="0">
              <a:defRPr sz="1000"/>
            </a:pPr>
            <a:t>316pF</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1093922</xdr:colOff>
      <xdr:row>21</xdr:row>
      <xdr:rowOff>148980</xdr:rowOff>
    </xdr:from>
    <xdr:to>
      <xdr:col>4</xdr:col>
      <xdr:colOff>229158</xdr:colOff>
      <xdr:row>22</xdr:row>
      <xdr:rowOff>144814</xdr:rowOff>
    </xdr:to>
    <xdr:sp macro="" textlink="'Variable Mgmt'!D314">
      <xdr:nvSpPr>
        <xdr:cNvPr id="53" name="Text Box 268">
          <a:extLst>
            <a:ext uri="{FF2B5EF4-FFF2-40B4-BE49-F238E27FC236}">
              <a16:creationId xmlns:a16="http://schemas.microsoft.com/office/drawing/2014/main" id="{00000000-0008-0000-0700-000035000000}"/>
            </a:ext>
          </a:extLst>
        </xdr:cNvPr>
        <xdr:cNvSpPr txBox="1">
          <a:spLocks noChangeArrowheads="1" noTextEdit="1"/>
        </xdr:cNvSpPr>
      </xdr:nvSpPr>
      <xdr:spPr bwMode="auto">
        <a:xfrm>
          <a:off x="3502037" y="3534018"/>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65E2DED1-D9B2-469F-B0E4-11382DFF520D}" type="TxLink">
            <a:rPr lang="en-US" sz="700" b="0" i="0" u="none" strike="noStrike">
              <a:solidFill>
                <a:srgbClr val="000000"/>
              </a:solidFill>
              <a:latin typeface="Arial"/>
              <a:cs typeface="Arial"/>
            </a:rPr>
            <a:pPr algn="l" rtl="0">
              <a:defRPr sz="1000"/>
            </a:pPr>
            <a:t>100pF</a:t>
          </a:fld>
          <a:endParaRPr lang="el-GR" sz="700" b="0" i="0" strike="noStrike">
            <a:solidFill>
              <a:srgbClr val="000000"/>
            </a:solidFill>
            <a:latin typeface="Arial" pitchFamily="34" charset="0"/>
            <a:cs typeface="Arial" pitchFamily="34" charset="0"/>
          </a:endParaRPr>
        </a:p>
      </xdr:txBody>
    </xdr:sp>
    <xdr:clientData/>
  </xdr:twoCellAnchor>
  <xdr:twoCellAnchor>
    <xdr:from>
      <xdr:col>4</xdr:col>
      <xdr:colOff>426125</xdr:colOff>
      <xdr:row>21</xdr:row>
      <xdr:rowOff>129442</xdr:rowOff>
    </xdr:from>
    <xdr:to>
      <xdr:col>4</xdr:col>
      <xdr:colOff>973014</xdr:colOff>
      <xdr:row>22</xdr:row>
      <xdr:rowOff>125276</xdr:rowOff>
    </xdr:to>
    <xdr:sp macro="" textlink="'Variable Mgmt'!D313">
      <xdr:nvSpPr>
        <xdr:cNvPr id="54" name="Text Box 268">
          <a:extLst>
            <a:ext uri="{FF2B5EF4-FFF2-40B4-BE49-F238E27FC236}">
              <a16:creationId xmlns:a16="http://schemas.microsoft.com/office/drawing/2014/main" id="{00000000-0008-0000-0700-000036000000}"/>
            </a:ext>
          </a:extLst>
        </xdr:cNvPr>
        <xdr:cNvSpPr txBox="1">
          <a:spLocks noChangeArrowheads="1" noTextEdit="1"/>
        </xdr:cNvSpPr>
      </xdr:nvSpPr>
      <xdr:spPr bwMode="auto">
        <a:xfrm>
          <a:off x="4245894" y="3514480"/>
          <a:ext cx="546889" cy="157027"/>
        </a:xfrm>
        <a:prstGeom prst="rect">
          <a:avLst/>
        </a:prstGeom>
        <a:noFill/>
        <a:ln w="9525">
          <a:noFill/>
          <a:miter lim="800000"/>
          <a:headEnd/>
          <a:tailEnd/>
        </a:ln>
      </xdr:spPr>
      <xdr:txBody>
        <a:bodyPr vertOverflow="clip" wrap="square" lIns="27432" tIns="22860" rIns="0" bIns="0" anchor="ctr" upright="1"/>
        <a:lstStyle/>
        <a:p>
          <a:pPr algn="l" rtl="0">
            <a:defRPr sz="1000"/>
          </a:pPr>
          <a:fld id="{D8C70A00-B4BA-4D0E-B7C0-1C653D01DC8E}" type="TxLink">
            <a:rPr lang="en-US" sz="700" b="0" i="0" u="none" strike="noStrike">
              <a:solidFill>
                <a:srgbClr val="000000"/>
              </a:solidFill>
              <a:latin typeface="Arial"/>
              <a:cs typeface="Arial"/>
            </a:rPr>
            <a:pPr algn="l" rtl="0">
              <a:defRPr sz="1000"/>
            </a:pPr>
            <a:t>2mΩ</a:t>
          </a:fld>
          <a:endParaRPr lang="el-GR" sz="700" b="0" i="0" strike="noStrike">
            <a:solidFill>
              <a:srgbClr val="000000"/>
            </a:solidFill>
            <a:latin typeface="Arial" pitchFamily="34" charset="0"/>
            <a:cs typeface="Arial" pitchFamily="34" charset="0"/>
          </a:endParaRPr>
        </a:p>
      </xdr:txBody>
    </xdr:sp>
    <xdr:clientData/>
  </xdr:twoCellAnchor>
  <xdr:twoCellAnchor>
    <xdr:from>
      <xdr:col>3</xdr:col>
      <xdr:colOff>1332569</xdr:colOff>
      <xdr:row>18</xdr:row>
      <xdr:rowOff>12210</xdr:rowOff>
    </xdr:from>
    <xdr:to>
      <xdr:col>4</xdr:col>
      <xdr:colOff>467805</xdr:colOff>
      <xdr:row>19</xdr:row>
      <xdr:rowOff>8045</xdr:rowOff>
    </xdr:to>
    <xdr:sp macro="" textlink="'Variable Mgmt'!D315">
      <xdr:nvSpPr>
        <xdr:cNvPr id="55" name="Text Box 268">
          <a:extLst>
            <a:ext uri="{FF2B5EF4-FFF2-40B4-BE49-F238E27FC236}">
              <a16:creationId xmlns:a16="http://schemas.microsoft.com/office/drawing/2014/main" id="{00000000-0008-0000-0700-000037000000}"/>
            </a:ext>
          </a:extLst>
        </xdr:cNvPr>
        <xdr:cNvSpPr txBox="1">
          <a:spLocks noChangeArrowheads="1" noTextEdit="1"/>
        </xdr:cNvSpPr>
      </xdr:nvSpPr>
      <xdr:spPr bwMode="auto">
        <a:xfrm>
          <a:off x="3740684" y="2913672"/>
          <a:ext cx="546890" cy="157027"/>
        </a:xfrm>
        <a:prstGeom prst="rect">
          <a:avLst/>
        </a:prstGeom>
        <a:noFill/>
        <a:ln w="9525">
          <a:noFill/>
          <a:miter lim="800000"/>
          <a:headEnd/>
          <a:tailEnd/>
        </a:ln>
      </xdr:spPr>
      <xdr:txBody>
        <a:bodyPr vertOverflow="clip" wrap="square" lIns="27432" tIns="22860" rIns="0" bIns="0" anchor="ctr" upright="1"/>
        <a:lstStyle/>
        <a:p>
          <a:pPr algn="l" rtl="0">
            <a:defRPr sz="1000"/>
          </a:pPr>
          <a:fld id="{BB34EA30-EAB2-4679-9155-FFBA36B17B65}" type="TxLink">
            <a:rPr lang="en-US" sz="700" b="0" i="0" u="none" strike="noStrike">
              <a:solidFill>
                <a:srgbClr val="000000"/>
              </a:solidFill>
              <a:latin typeface="Arial"/>
              <a:cs typeface="Arial"/>
            </a:rPr>
            <a:pPr algn="l" rtl="0">
              <a:defRPr sz="1000"/>
            </a:pPr>
            <a:t>100Ω</a:t>
          </a:fld>
          <a:endParaRPr lang="el-GR" sz="7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51</xdr:row>
          <xdr:rowOff>12700</xdr:rowOff>
        </xdr:from>
        <xdr:to>
          <xdr:col>6</xdr:col>
          <xdr:colOff>876300</xdr:colOff>
          <xdr:row>51</xdr:row>
          <xdr:rowOff>215900</xdr:rowOff>
        </xdr:to>
        <xdr:sp macro="" textlink="">
          <xdr:nvSpPr>
            <xdr:cNvPr id="764426" name="Drop Down 2570" hidden="1">
              <a:extLst>
                <a:ext uri="{63B3BB69-23CF-44E3-9099-C40C66FF867C}">
                  <a14:compatExt spid="_x0000_s764426"/>
                </a:ext>
                <a:ext uri="{FF2B5EF4-FFF2-40B4-BE49-F238E27FC236}">
                  <a16:creationId xmlns:a16="http://schemas.microsoft.com/office/drawing/2014/main" id="{00000000-0008-0000-0700-00000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12700</xdr:rowOff>
        </xdr:from>
        <xdr:to>
          <xdr:col>6</xdr:col>
          <xdr:colOff>876300</xdr:colOff>
          <xdr:row>52</xdr:row>
          <xdr:rowOff>215900</xdr:rowOff>
        </xdr:to>
        <xdr:sp macro="" textlink="">
          <xdr:nvSpPr>
            <xdr:cNvPr id="764430" name="Drop Down 2574" hidden="1">
              <a:extLst>
                <a:ext uri="{63B3BB69-23CF-44E3-9099-C40C66FF867C}">
                  <a14:compatExt spid="_x0000_s764430"/>
                </a:ext>
                <a:ext uri="{FF2B5EF4-FFF2-40B4-BE49-F238E27FC236}">
                  <a16:creationId xmlns:a16="http://schemas.microsoft.com/office/drawing/2014/main" id="{00000000-0008-0000-0700-00000E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12700</xdr:rowOff>
        </xdr:from>
        <xdr:to>
          <xdr:col>6</xdr:col>
          <xdr:colOff>882650</xdr:colOff>
          <xdr:row>35</xdr:row>
          <xdr:rowOff>0</xdr:rowOff>
        </xdr:to>
        <xdr:sp macro="" textlink="">
          <xdr:nvSpPr>
            <xdr:cNvPr id="764447" name="Drop Down 2591" hidden="1">
              <a:extLst>
                <a:ext uri="{63B3BB69-23CF-44E3-9099-C40C66FF867C}">
                  <a14:compatExt spid="_x0000_s764447"/>
                </a:ext>
                <a:ext uri="{FF2B5EF4-FFF2-40B4-BE49-F238E27FC236}">
                  <a16:creationId xmlns:a16="http://schemas.microsoft.com/office/drawing/2014/main" id="{00000000-0008-0000-0700-00001F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12700</xdr:rowOff>
        </xdr:from>
        <xdr:to>
          <xdr:col>6</xdr:col>
          <xdr:colOff>876300</xdr:colOff>
          <xdr:row>44</xdr:row>
          <xdr:rowOff>0</xdr:rowOff>
        </xdr:to>
        <xdr:sp macro="" textlink="">
          <xdr:nvSpPr>
            <xdr:cNvPr id="764451" name="Drop Down 2595" hidden="1">
              <a:extLst>
                <a:ext uri="{63B3BB69-23CF-44E3-9099-C40C66FF867C}">
                  <a14:compatExt spid="_x0000_s764451"/>
                </a:ext>
                <a:ext uri="{FF2B5EF4-FFF2-40B4-BE49-F238E27FC236}">
                  <a16:creationId xmlns:a16="http://schemas.microsoft.com/office/drawing/2014/main" id="{00000000-0008-0000-0700-000023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12700</xdr:rowOff>
        </xdr:from>
        <xdr:to>
          <xdr:col>6</xdr:col>
          <xdr:colOff>876300</xdr:colOff>
          <xdr:row>36</xdr:row>
          <xdr:rowOff>0</xdr:rowOff>
        </xdr:to>
        <xdr:sp macro="" textlink="">
          <xdr:nvSpPr>
            <xdr:cNvPr id="764454" name="Drop Down 2598" hidden="1">
              <a:extLst>
                <a:ext uri="{63B3BB69-23CF-44E3-9099-C40C66FF867C}">
                  <a14:compatExt spid="_x0000_s764454"/>
                </a:ext>
                <a:ext uri="{FF2B5EF4-FFF2-40B4-BE49-F238E27FC236}">
                  <a16:creationId xmlns:a16="http://schemas.microsoft.com/office/drawing/2014/main" id="{00000000-0008-0000-0700-000026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12700</xdr:rowOff>
        </xdr:from>
        <xdr:to>
          <xdr:col>6</xdr:col>
          <xdr:colOff>876300</xdr:colOff>
          <xdr:row>37</xdr:row>
          <xdr:rowOff>0</xdr:rowOff>
        </xdr:to>
        <xdr:sp macro="" textlink="">
          <xdr:nvSpPr>
            <xdr:cNvPr id="764455" name="Drop Down 2599" hidden="1">
              <a:extLst>
                <a:ext uri="{63B3BB69-23CF-44E3-9099-C40C66FF867C}">
                  <a14:compatExt spid="_x0000_s764455"/>
                </a:ext>
                <a:ext uri="{FF2B5EF4-FFF2-40B4-BE49-F238E27FC236}">
                  <a16:creationId xmlns:a16="http://schemas.microsoft.com/office/drawing/2014/main" id="{00000000-0008-0000-0700-000027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12700</xdr:rowOff>
        </xdr:from>
        <xdr:to>
          <xdr:col>6</xdr:col>
          <xdr:colOff>876300</xdr:colOff>
          <xdr:row>38</xdr:row>
          <xdr:rowOff>0</xdr:rowOff>
        </xdr:to>
        <xdr:sp macro="" textlink="">
          <xdr:nvSpPr>
            <xdr:cNvPr id="764456" name="Drop Down 2600" hidden="1">
              <a:extLst>
                <a:ext uri="{63B3BB69-23CF-44E3-9099-C40C66FF867C}">
                  <a14:compatExt spid="_x0000_s764456"/>
                </a:ext>
                <a:ext uri="{FF2B5EF4-FFF2-40B4-BE49-F238E27FC236}">
                  <a16:creationId xmlns:a16="http://schemas.microsoft.com/office/drawing/2014/main" id="{00000000-0008-0000-0700-000028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12700</xdr:rowOff>
        </xdr:from>
        <xdr:to>
          <xdr:col>6</xdr:col>
          <xdr:colOff>876300</xdr:colOff>
          <xdr:row>51</xdr:row>
          <xdr:rowOff>0</xdr:rowOff>
        </xdr:to>
        <xdr:sp macro="" textlink="">
          <xdr:nvSpPr>
            <xdr:cNvPr id="764458" name="Drop Down 2602" hidden="1">
              <a:extLst>
                <a:ext uri="{63B3BB69-23CF-44E3-9099-C40C66FF867C}">
                  <a14:compatExt spid="_x0000_s764458"/>
                </a:ext>
                <a:ext uri="{FF2B5EF4-FFF2-40B4-BE49-F238E27FC236}">
                  <a16:creationId xmlns:a16="http://schemas.microsoft.com/office/drawing/2014/main" id="{00000000-0008-0000-0700-00002AAA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581025</xdr:colOff>
      <xdr:row>7</xdr:row>
      <xdr:rowOff>47625</xdr:rowOff>
    </xdr:from>
    <xdr:to>
      <xdr:col>10</xdr:col>
      <xdr:colOff>539612</xdr:colOff>
      <xdr:row>62</xdr:row>
      <xdr:rowOff>153585</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577850" y="1711325"/>
          <a:ext cx="6346687" cy="9015010"/>
          <a:chOff x="563217" y="1684406"/>
          <a:chExt cx="6372087" cy="8837210"/>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587784" y="1684406"/>
            <a:ext cx="6343059" cy="4223855"/>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flipH="1">
            <a:off x="563217" y="6333434"/>
            <a:ext cx="6372087" cy="4188182"/>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86">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82.8%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86">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82.8%</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84696"/>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85719"/>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4404300" y="65084325"/>
          <a:ext cx="0" cy="434022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-1</xdr:colOff>
      <xdr:row>6</xdr:row>
      <xdr:rowOff>20481</xdr:rowOff>
    </xdr:from>
    <xdr:to>
      <xdr:col>4</xdr:col>
      <xdr:colOff>8229599</xdr:colOff>
      <xdr:row>6</xdr:row>
      <xdr:rowOff>4460244</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0363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6</xdr:row>
      <xdr:rowOff>20481</xdr:rowOff>
    </xdr:from>
    <xdr:to>
      <xdr:col>7</xdr:col>
      <xdr:colOff>8229599</xdr:colOff>
      <xdr:row>6</xdr:row>
      <xdr:rowOff>4460244</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19888199" y="1049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8</xdr:row>
      <xdr:rowOff>23050</xdr:rowOff>
    </xdr:from>
    <xdr:to>
      <xdr:col>1</xdr:col>
      <xdr:colOff>8229599</xdr:colOff>
      <xdr:row>8</xdr:row>
      <xdr:rowOff>4457675</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847724" y="58142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10</xdr:row>
      <xdr:rowOff>23050</xdr:rowOff>
    </xdr:from>
    <xdr:to>
      <xdr:col>1</xdr:col>
      <xdr:colOff>8229599</xdr:colOff>
      <xdr:row>10</xdr:row>
      <xdr:rowOff>4457675</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847724" y="10500550"/>
          <a:ext cx="8220075" cy="443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12</xdr:row>
      <xdr:rowOff>21949</xdr:rowOff>
    </xdr:from>
    <xdr:to>
      <xdr:col>1</xdr:col>
      <xdr:colOff>8229599</xdr:colOff>
      <xdr:row>12</xdr:row>
      <xdr:rowOff>4458776</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843642" y="151857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14</xdr:row>
      <xdr:rowOff>21948</xdr:rowOff>
    </xdr:from>
    <xdr:to>
      <xdr:col>1</xdr:col>
      <xdr:colOff>8229599</xdr:colOff>
      <xdr:row>14</xdr:row>
      <xdr:rowOff>4458775</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843642" y="19872048"/>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6</xdr:row>
      <xdr:rowOff>21949</xdr:rowOff>
    </xdr:from>
    <xdr:to>
      <xdr:col>1</xdr:col>
      <xdr:colOff>8229599</xdr:colOff>
      <xdr:row>6</xdr:row>
      <xdr:rowOff>4458776</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843642" y="1050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16</xdr:row>
      <xdr:rowOff>21949</xdr:rowOff>
    </xdr:from>
    <xdr:to>
      <xdr:col>1</xdr:col>
      <xdr:colOff>8229599</xdr:colOff>
      <xdr:row>16</xdr:row>
      <xdr:rowOff>4458776</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843642" y="245583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18</xdr:row>
      <xdr:rowOff>21949</xdr:rowOff>
    </xdr:from>
    <xdr:to>
      <xdr:col>1</xdr:col>
      <xdr:colOff>8229599</xdr:colOff>
      <xdr:row>18</xdr:row>
      <xdr:rowOff>4458776</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843642" y="292446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xdr:colOff>
      <xdr:row>20</xdr:row>
      <xdr:rowOff>21949</xdr:rowOff>
    </xdr:from>
    <xdr:to>
      <xdr:col>1</xdr:col>
      <xdr:colOff>8229599</xdr:colOff>
      <xdr:row>20</xdr:row>
      <xdr:rowOff>4458776</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843642" y="33969049"/>
          <a:ext cx="8224157" cy="443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8</xdr:row>
      <xdr:rowOff>21215</xdr:rowOff>
    </xdr:from>
    <xdr:to>
      <xdr:col>4</xdr:col>
      <xdr:colOff>8229598</xdr:colOff>
      <xdr:row>8</xdr:row>
      <xdr:rowOff>4459511</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0888434" y="5808786"/>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10</xdr:row>
      <xdr:rowOff>21215</xdr:rowOff>
    </xdr:from>
    <xdr:to>
      <xdr:col>4</xdr:col>
      <xdr:colOff>8229598</xdr:colOff>
      <xdr:row>10</xdr:row>
      <xdr:rowOff>4459511</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0877095" y="10498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12</xdr:row>
      <xdr:rowOff>21215</xdr:rowOff>
    </xdr:from>
    <xdr:to>
      <xdr:col>4</xdr:col>
      <xdr:colOff>8229598</xdr:colOff>
      <xdr:row>12</xdr:row>
      <xdr:rowOff>4459511</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0877095" y="15197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14</xdr:row>
      <xdr:rowOff>21215</xdr:rowOff>
    </xdr:from>
    <xdr:to>
      <xdr:col>4</xdr:col>
      <xdr:colOff>8229598</xdr:colOff>
      <xdr:row>14</xdr:row>
      <xdr:rowOff>4459511</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0877095" y="19896715"/>
          <a:ext cx="8226878"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16</xdr:row>
      <xdr:rowOff>21215</xdr:rowOff>
    </xdr:from>
    <xdr:to>
      <xdr:col>4</xdr:col>
      <xdr:colOff>8229599</xdr:colOff>
      <xdr:row>16</xdr:row>
      <xdr:rowOff>4459511</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0365920" y="245576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18</xdr:row>
      <xdr:rowOff>21215</xdr:rowOff>
    </xdr:from>
    <xdr:to>
      <xdr:col>4</xdr:col>
      <xdr:colOff>8229599</xdr:colOff>
      <xdr:row>18</xdr:row>
      <xdr:rowOff>4459511</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0365920" y="292439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2720</xdr:colOff>
      <xdr:row>20</xdr:row>
      <xdr:rowOff>21215</xdr:rowOff>
    </xdr:from>
    <xdr:to>
      <xdr:col>4</xdr:col>
      <xdr:colOff>8229599</xdr:colOff>
      <xdr:row>20</xdr:row>
      <xdr:rowOff>4459511</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0365920" y="33968315"/>
          <a:ext cx="8226879" cy="4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8</xdr:row>
      <xdr:rowOff>20481</xdr:rowOff>
    </xdr:from>
    <xdr:to>
      <xdr:col>7</xdr:col>
      <xdr:colOff>8229599</xdr:colOff>
      <xdr:row>8</xdr:row>
      <xdr:rowOff>4460244</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19888199" y="58116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10</xdr:row>
      <xdr:rowOff>20481</xdr:rowOff>
    </xdr:from>
    <xdr:to>
      <xdr:col>7</xdr:col>
      <xdr:colOff>8229599</xdr:colOff>
      <xdr:row>10</xdr:row>
      <xdr:rowOff>4460244</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19888199" y="104979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12</xdr:row>
      <xdr:rowOff>20481</xdr:rowOff>
    </xdr:from>
    <xdr:to>
      <xdr:col>7</xdr:col>
      <xdr:colOff>8229599</xdr:colOff>
      <xdr:row>12</xdr:row>
      <xdr:rowOff>4460244</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19888199" y="151842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14</xdr:row>
      <xdr:rowOff>20481</xdr:rowOff>
    </xdr:from>
    <xdr:to>
      <xdr:col>7</xdr:col>
      <xdr:colOff>8229599</xdr:colOff>
      <xdr:row>14</xdr:row>
      <xdr:rowOff>4460244</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19888199" y="19870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16</xdr:row>
      <xdr:rowOff>20481</xdr:rowOff>
    </xdr:from>
    <xdr:to>
      <xdr:col>7</xdr:col>
      <xdr:colOff>8229599</xdr:colOff>
      <xdr:row>16</xdr:row>
      <xdr:rowOff>4460244</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19888199" y="245568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18</xdr:row>
      <xdr:rowOff>20481</xdr:rowOff>
    </xdr:from>
    <xdr:to>
      <xdr:col>7</xdr:col>
      <xdr:colOff>8229599</xdr:colOff>
      <xdr:row>18</xdr:row>
      <xdr:rowOff>4460244</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19888199" y="292431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20</xdr:row>
      <xdr:rowOff>20481</xdr:rowOff>
    </xdr:from>
    <xdr:to>
      <xdr:col>7</xdr:col>
      <xdr:colOff>8229599</xdr:colOff>
      <xdr:row>20</xdr:row>
      <xdr:rowOff>4460244</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19888199" y="33967581"/>
          <a:ext cx="8229600" cy="443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pwr_@Fco" TargetMode="External"/><Relationship Id="rId5" Type="http://schemas.openxmlformats.org/officeDocument/2006/relationships/ctrlProp" Target="../ctrlProps/ctrlProp9.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11.emf"/><Relationship Id="rId4" Type="http://schemas.openxmlformats.org/officeDocument/2006/relationships/oleObject" Target="../embeddings/Microsoft_Visio_2003-2010_Drawing.vsd"/></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5.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9.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92"/>
  <sheetViews>
    <sheetView tabSelected="1" topLeftCell="A47" zoomScale="85" zoomScaleNormal="85" zoomScaleSheetLayoutView="70" zoomScalePageLayoutView="10" workbookViewId="0">
      <selection activeCell="E73" sqref="E73"/>
    </sheetView>
  </sheetViews>
  <sheetFormatPr defaultColWidth="9.1796875" defaultRowHeight="13"/>
  <cols>
    <col min="1" max="1" width="8.26953125" style="107" customWidth="1"/>
    <col min="2" max="2" width="8.26953125" style="46" customWidth="1"/>
    <col min="3" max="3" width="13.54296875" style="46" customWidth="1"/>
    <col min="4" max="4" width="9.81640625" style="46" customWidth="1"/>
    <col min="5" max="5" width="9.1796875" style="46" customWidth="1"/>
    <col min="6" max="6" width="8.7265625" style="46" customWidth="1"/>
    <col min="7" max="7" width="2.7265625" style="46" customWidth="1"/>
    <col min="8" max="9" width="8.26953125" style="46" customWidth="1"/>
    <col min="10" max="10" width="13.7265625" style="46" customWidth="1"/>
    <col min="11" max="11" width="10" style="46" customWidth="1"/>
    <col min="12" max="12" width="9.453125" style="46" customWidth="1"/>
    <col min="13" max="13" width="8.7265625" style="46" customWidth="1"/>
    <col min="14" max="14" width="2.7265625" style="46" customWidth="1"/>
    <col min="15" max="15" width="9.1796875" style="46"/>
    <col min="16" max="18" width="10.1796875" style="46" customWidth="1"/>
    <col min="19" max="19" width="10" style="46" bestFit="1" customWidth="1"/>
    <col min="20" max="25" width="9.1796875" style="46"/>
    <col min="26" max="26" width="29.6328125" style="46" customWidth="1"/>
    <col min="27" max="27" width="3.1796875" style="46" customWidth="1"/>
    <col min="28" max="16384" width="9.1796875" style="46"/>
  </cols>
  <sheetData>
    <row r="1" spans="1:27" ht="47.25" customHeight="1">
      <c r="A1" s="516" t="s">
        <v>831</v>
      </c>
      <c r="B1" s="514"/>
      <c r="C1" s="514"/>
      <c r="D1" s="514"/>
      <c r="E1" s="514"/>
      <c r="F1" s="514"/>
      <c r="G1" s="514"/>
      <c r="H1" s="514"/>
      <c r="I1" s="514"/>
      <c r="J1" s="514"/>
      <c r="K1" s="514"/>
      <c r="L1" s="514"/>
      <c r="M1" s="514"/>
      <c r="N1" s="514"/>
      <c r="O1" s="514"/>
      <c r="P1" s="514"/>
      <c r="Q1" s="514"/>
      <c r="R1" s="515"/>
      <c r="S1" s="515"/>
      <c r="T1" s="515"/>
      <c r="U1" s="515"/>
      <c r="V1" s="417"/>
      <c r="W1" s="417"/>
      <c r="X1" s="417"/>
      <c r="Y1" s="417"/>
      <c r="Z1" s="417"/>
      <c r="AA1" s="417"/>
    </row>
    <row r="2" spans="1:27" ht="14.15" customHeight="1">
      <c r="A2" s="398"/>
      <c r="B2" s="399"/>
      <c r="C2" s="399"/>
      <c r="D2" s="399"/>
      <c r="E2" s="399"/>
      <c r="F2" s="399"/>
      <c r="G2" s="399"/>
      <c r="H2" s="399"/>
      <c r="I2" s="399"/>
      <c r="J2" s="399"/>
      <c r="K2" s="399"/>
      <c r="L2" s="399"/>
      <c r="M2" s="399"/>
      <c r="N2" s="399"/>
      <c r="O2" s="412"/>
      <c r="P2" s="399"/>
      <c r="Q2" s="399"/>
      <c r="R2" s="407"/>
      <c r="S2" s="500"/>
      <c r="T2" s="500"/>
      <c r="U2" s="500"/>
      <c r="V2" s="500"/>
      <c r="W2" s="500"/>
      <c r="X2" s="500"/>
      <c r="Y2" s="500"/>
      <c r="Z2" s="500"/>
      <c r="AA2" s="500"/>
    </row>
    <row r="3" spans="1:27" ht="16" customHeight="1">
      <c r="A3" s="400" t="s">
        <v>105</v>
      </c>
      <c r="B3" s="401"/>
      <c r="C3" s="413" t="s">
        <v>106</v>
      </c>
      <c r="D3" s="402"/>
      <c r="E3" s="83"/>
      <c r="F3" s="404" t="s">
        <v>59</v>
      </c>
      <c r="G3" s="403"/>
      <c r="H3" s="399"/>
      <c r="I3" s="399"/>
      <c r="J3" s="403"/>
      <c r="K3" s="405"/>
      <c r="L3" s="406"/>
      <c r="M3" s="407"/>
      <c r="N3" s="407"/>
      <c r="O3" s="500"/>
      <c r="P3" s="1"/>
      <c r="Q3" s="407" t="s">
        <v>77</v>
      </c>
      <c r="R3" s="407"/>
      <c r="S3" s="500"/>
      <c r="T3" s="500"/>
      <c r="U3" s="517" t="s">
        <v>315</v>
      </c>
      <c r="V3" s="500"/>
      <c r="W3" s="500"/>
      <c r="X3" s="500"/>
      <c r="Y3" s="500"/>
      <c r="Z3" s="500"/>
      <c r="AA3" s="500"/>
    </row>
    <row r="4" spans="1:27" ht="14.15" customHeight="1" thickBot="1">
      <c r="A4" s="408"/>
      <c r="B4" s="409"/>
      <c r="C4" s="410"/>
      <c r="D4" s="410"/>
      <c r="E4" s="410"/>
      <c r="F4" s="410"/>
      <c r="G4" s="410"/>
      <c r="H4" s="410"/>
      <c r="I4" s="410"/>
      <c r="J4" s="410"/>
      <c r="K4" s="410"/>
      <c r="L4" s="410"/>
      <c r="M4" s="411"/>
      <c r="N4" s="411"/>
      <c r="O4" s="411"/>
      <c r="P4" s="411"/>
      <c r="Q4" s="411"/>
      <c r="R4" s="407"/>
      <c r="S4" s="500"/>
      <c r="T4" s="500"/>
      <c r="U4" s="500"/>
      <c r="V4" s="500"/>
      <c r="W4" s="500"/>
      <c r="X4" s="500"/>
      <c r="Y4" s="500"/>
      <c r="Z4" s="500"/>
      <c r="AA4" s="500"/>
    </row>
    <row r="5" spans="1:27" ht="19.5" customHeight="1" thickBot="1">
      <c r="A5" s="106" t="s">
        <v>101</v>
      </c>
      <c r="B5" s="81"/>
      <c r="C5" s="47"/>
      <c r="D5" s="47"/>
      <c r="E5" s="48"/>
      <c r="F5" s="47"/>
      <c r="G5" s="72"/>
      <c r="H5" s="583" t="s">
        <v>360</v>
      </c>
      <c r="I5" s="92"/>
      <c r="J5" s="93"/>
      <c r="K5" s="93"/>
      <c r="L5" s="94"/>
      <c r="M5" s="356"/>
      <c r="N5" s="49"/>
      <c r="O5" s="49"/>
      <c r="P5" s="49"/>
      <c r="Q5" s="49"/>
      <c r="R5" s="501"/>
      <c r="S5" s="501"/>
      <c r="T5" s="501"/>
      <c r="U5" s="501"/>
      <c r="V5" s="501"/>
      <c r="W5" s="501"/>
      <c r="X5" s="501"/>
      <c r="Y5" s="501"/>
      <c r="Z5" s="505"/>
      <c r="AA5" s="500"/>
    </row>
    <row r="6" spans="1:27" ht="15.75" customHeight="1">
      <c r="A6" s="454"/>
      <c r="B6" s="508"/>
      <c r="C6" s="206"/>
      <c r="D6" s="788" t="s">
        <v>367</v>
      </c>
      <c r="E6" s="728">
        <v>19</v>
      </c>
      <c r="F6" s="789" t="s">
        <v>0</v>
      </c>
      <c r="G6" s="90"/>
      <c r="H6" s="454"/>
      <c r="I6" s="508"/>
      <c r="J6" s="206"/>
      <c r="K6" s="509" t="s">
        <v>835</v>
      </c>
      <c r="L6" s="785">
        <f>Lmin</f>
        <v>6.787967698362424</v>
      </c>
      <c r="M6" s="624" t="s">
        <v>96</v>
      </c>
      <c r="N6" s="49"/>
      <c r="O6" s="49"/>
      <c r="P6" s="49"/>
      <c r="Q6" s="49"/>
      <c r="R6" s="82"/>
      <c r="S6" s="82"/>
      <c r="T6" s="75"/>
      <c r="U6" s="75"/>
      <c r="V6" s="75"/>
      <c r="W6" s="75"/>
      <c r="X6" s="75"/>
      <c r="Y6" s="75"/>
      <c r="Z6" s="506"/>
      <c r="AA6" s="500"/>
    </row>
    <row r="7" spans="1:27" ht="14.25" customHeight="1">
      <c r="A7" s="134"/>
      <c r="B7" s="133"/>
      <c r="C7" s="845"/>
      <c r="D7" s="846" t="s">
        <v>882</v>
      </c>
      <c r="E7" s="143">
        <v>58</v>
      </c>
      <c r="F7" s="427" t="s">
        <v>0</v>
      </c>
      <c r="G7" s="90"/>
      <c r="H7" s="88"/>
      <c r="I7" s="89"/>
      <c r="J7" s="87"/>
      <c r="K7" s="100" t="s">
        <v>836</v>
      </c>
      <c r="L7" s="143">
        <v>12</v>
      </c>
      <c r="M7" s="427" t="s">
        <v>96</v>
      </c>
      <c r="N7" s="49"/>
      <c r="O7" s="49"/>
      <c r="P7" s="49"/>
      <c r="Q7" s="49"/>
      <c r="R7" s="82"/>
      <c r="S7" s="82"/>
      <c r="T7" s="75"/>
      <c r="U7" s="75"/>
      <c r="V7" s="75"/>
      <c r="W7" s="75"/>
      <c r="X7" s="75"/>
      <c r="Y7" s="75"/>
      <c r="Z7" s="506"/>
      <c r="AA7" s="500"/>
    </row>
    <row r="8" spans="1:27" ht="15.75" customHeight="1">
      <c r="A8" s="134"/>
      <c r="B8" s="133"/>
      <c r="C8" s="135"/>
      <c r="D8" s="142" t="s">
        <v>368</v>
      </c>
      <c r="E8" s="143">
        <v>85</v>
      </c>
      <c r="F8" s="427" t="s">
        <v>0</v>
      </c>
      <c r="G8" s="90"/>
      <c r="H8" s="88"/>
      <c r="I8" s="89"/>
      <c r="J8" s="87"/>
      <c r="K8" s="100" t="s">
        <v>525</v>
      </c>
      <c r="L8" s="143">
        <v>30</v>
      </c>
      <c r="M8" s="427" t="s">
        <v>20</v>
      </c>
      <c r="N8" s="49"/>
      <c r="O8" s="49"/>
      <c r="P8" s="49"/>
      <c r="Q8" s="49"/>
      <c r="R8" s="82"/>
      <c r="S8" s="82"/>
      <c r="T8" s="75"/>
      <c r="U8" s="75"/>
      <c r="V8" s="75"/>
      <c r="W8" s="75"/>
      <c r="X8" s="75"/>
      <c r="Y8" s="75"/>
      <c r="Z8" s="506"/>
      <c r="AA8" s="500"/>
    </row>
    <row r="9" spans="1:27" ht="15.75" customHeight="1">
      <c r="A9" s="134"/>
      <c r="B9" s="133"/>
      <c r="C9" s="135"/>
      <c r="D9" s="142" t="s">
        <v>366</v>
      </c>
      <c r="E9" s="581">
        <v>32</v>
      </c>
      <c r="F9" s="144"/>
      <c r="G9" s="90"/>
      <c r="H9" s="88"/>
      <c r="I9" s="89"/>
      <c r="J9" s="87"/>
      <c r="K9" s="100" t="str">
        <f>CHOOSE(MODE, "Secondary Winding DCR", "Secondary Winding #1 DCR")</f>
        <v>Secondary Winding DCR</v>
      </c>
      <c r="L9" s="143">
        <v>30</v>
      </c>
      <c r="M9" s="427" t="s">
        <v>20</v>
      </c>
      <c r="N9" s="49"/>
      <c r="O9" s="49"/>
      <c r="P9" s="49"/>
      <c r="Q9" s="49"/>
      <c r="R9" s="82"/>
      <c r="S9" s="82"/>
      <c r="T9" s="75"/>
      <c r="U9" s="75"/>
      <c r="V9" s="75"/>
      <c r="W9" s="75"/>
      <c r="X9" s="75"/>
      <c r="Y9" s="75"/>
      <c r="Z9" s="506"/>
      <c r="AA9" s="500"/>
    </row>
    <row r="10" spans="1:27" ht="15.75" customHeight="1">
      <c r="A10" s="134"/>
      <c r="B10" s="133"/>
      <c r="C10" s="135"/>
      <c r="D10" s="142" t="str">
        <f>CHOOSE(MODE, "Output Voltage, VOUT ", "Output Voltage, VOUT1")</f>
        <v xml:space="preserve">Output Voltage, VOUT </v>
      </c>
      <c r="E10" s="143">
        <v>15</v>
      </c>
      <c r="F10" s="427" t="s">
        <v>0</v>
      </c>
      <c r="G10" s="90"/>
      <c r="H10" s="88"/>
      <c r="I10" s="89"/>
      <c r="J10" s="87"/>
      <c r="K10" s="100" t="str">
        <f>CHOOSE(MODE, "", "Secondary Winding #2 DCR")</f>
        <v/>
      </c>
      <c r="L10" s="143">
        <v>5</v>
      </c>
      <c r="M10" s="427" t="str">
        <f>CHOOSE(MODE, "", "mΩ")</f>
        <v/>
      </c>
      <c r="N10" s="49"/>
      <c r="O10" s="49"/>
      <c r="P10" s="49"/>
      <c r="Q10" s="49"/>
      <c r="R10" s="82"/>
      <c r="S10" s="82"/>
      <c r="T10" s="75"/>
      <c r="U10" s="75"/>
      <c r="V10" s="75"/>
      <c r="W10" s="75"/>
      <c r="X10" s="75"/>
      <c r="Y10" s="75"/>
      <c r="Z10" s="506"/>
      <c r="AA10" s="500"/>
    </row>
    <row r="11" spans="1:27" ht="15.75" customHeight="1" thickBot="1">
      <c r="A11" s="787"/>
      <c r="B11" s="151"/>
      <c r="C11" s="507"/>
      <c r="D11" s="510" t="str">
        <f>CHOOSE(MODE, "Rated Output Current, IOUT ", "Rated Output Current, IOUT1")</f>
        <v xml:space="preserve">Rated Output Current, IOUT </v>
      </c>
      <c r="E11" s="511">
        <v>10</v>
      </c>
      <c r="F11" s="730" t="s">
        <v>1</v>
      </c>
      <c r="G11" s="90"/>
      <c r="H11" s="88"/>
      <c r="I11" s="75"/>
      <c r="J11" s="75"/>
      <c r="K11" s="100" t="s">
        <v>663</v>
      </c>
      <c r="L11" s="143">
        <v>2</v>
      </c>
      <c r="M11" s="427" t="s">
        <v>662</v>
      </c>
      <c r="N11" s="49"/>
      <c r="O11" s="49"/>
      <c r="P11" s="49"/>
      <c r="Q11" s="49"/>
      <c r="R11" s="82"/>
      <c r="S11" s="82"/>
      <c r="T11" s="75"/>
      <c r="U11" s="75"/>
      <c r="V11" s="75"/>
      <c r="W11" s="75"/>
      <c r="X11" s="75"/>
      <c r="Y11" s="75"/>
      <c r="Z11" s="506"/>
      <c r="AA11" s="500"/>
    </row>
    <row r="12" spans="1:27" ht="15.75" customHeight="1">
      <c r="A12" s="425"/>
      <c r="B12" s="82"/>
      <c r="C12" s="82"/>
      <c r="D12" s="142" t="str">
        <f>CHOOSE(MODE, "", "Output Voltage, VOUT2")</f>
        <v/>
      </c>
      <c r="E12" s="143">
        <v>8</v>
      </c>
      <c r="F12" s="427" t="str">
        <f>CHOOSE(MODE, "", "V", "V")</f>
        <v/>
      </c>
      <c r="G12" s="90"/>
      <c r="H12" s="134"/>
      <c r="I12" s="133"/>
      <c r="J12" s="600"/>
      <c r="K12" s="135" t="s">
        <v>843</v>
      </c>
      <c r="L12" s="780" t="str">
        <f>"1 : "&amp;(ROUND(1/ktr_rcmd*100,0)/100)</f>
        <v>1 : 0.43</v>
      </c>
      <c r="M12" s="626"/>
      <c r="N12" s="49"/>
      <c r="O12" s="49"/>
      <c r="P12" s="49"/>
      <c r="Q12" s="49"/>
      <c r="R12" s="82"/>
      <c r="S12" s="82"/>
      <c r="T12" s="75"/>
      <c r="U12" s="75"/>
      <c r="V12" s="75"/>
      <c r="W12" s="75"/>
      <c r="X12" s="75"/>
      <c r="Y12" s="75"/>
      <c r="Z12" s="506"/>
      <c r="AA12" s="500"/>
    </row>
    <row r="13" spans="1:27" ht="15.75" customHeight="1" thickBot="1">
      <c r="A13" s="787"/>
      <c r="B13" s="151"/>
      <c r="C13" s="507"/>
      <c r="D13" s="510" t="str">
        <f>CHOOSE(MODE, "", "Rated Output Current, IOUT2")</f>
        <v/>
      </c>
      <c r="E13" s="511">
        <v>0.25</v>
      </c>
      <c r="F13" s="730" t="str">
        <f>CHOOSE(MODE, "", "A", "A")</f>
        <v/>
      </c>
      <c r="G13" s="90"/>
      <c r="H13" s="88"/>
      <c r="I13" s="89"/>
      <c r="J13" s="87"/>
      <c r="K13" s="86" t="str">
        <f>IF(MODE=1, "Transformer Turns Ratio, Pri : Sec", "Turns Ratio, PRI : SEC1")</f>
        <v>Transformer Turns Ratio, Pri : Sec</v>
      </c>
      <c r="L13" s="432"/>
      <c r="M13" s="453"/>
      <c r="N13" s="49"/>
      <c r="O13" s="49"/>
      <c r="P13" s="49"/>
      <c r="Q13" s="49"/>
      <c r="R13" s="82"/>
      <c r="S13" s="82"/>
      <c r="T13" s="75"/>
      <c r="U13" s="75"/>
      <c r="V13" s="75"/>
      <c r="W13" s="75"/>
      <c r="X13" s="75"/>
      <c r="Y13" s="75"/>
      <c r="Z13" s="506"/>
      <c r="AA13" s="500"/>
    </row>
    <row r="14" spans="1:27" ht="15.75" customHeight="1">
      <c r="A14" s="133"/>
      <c r="B14" s="133"/>
      <c r="C14" s="135"/>
      <c r="D14" s="142"/>
      <c r="E14" s="94"/>
      <c r="F14" s="757"/>
      <c r="G14" s="90"/>
      <c r="H14" s="134"/>
      <c r="I14" s="133"/>
      <c r="J14" s="135"/>
      <c r="K14" s="87" t="str">
        <f>CHOOSE(MODE, "Diode Max Rev Voltage (Spike Not Included)", "Turns Ratio, SEC2 : SEC1")</f>
        <v>Diode Max Rev Voltage (Spike Not Included)</v>
      </c>
      <c r="L14" s="622">
        <f>CHOOSE(MODE, ROUND(VRRM_DIODE,0), ROUND(Nsec1sec2,2))</f>
        <v>100</v>
      </c>
      <c r="M14" s="453" t="str">
        <f>CHOOSE(MODE, "V", "")</f>
        <v>V</v>
      </c>
      <c r="N14" s="49"/>
      <c r="O14" s="49"/>
      <c r="P14" s="49"/>
      <c r="Q14" s="49"/>
      <c r="R14" s="82"/>
      <c r="S14" s="82"/>
      <c r="T14" s="75"/>
      <c r="U14" s="75"/>
      <c r="V14" s="75"/>
      <c r="W14" s="75"/>
      <c r="X14" s="75"/>
      <c r="Y14" s="75"/>
      <c r="Z14" s="506"/>
      <c r="AA14" s="500"/>
    </row>
    <row r="15" spans="1:27" ht="15.75" customHeight="1" thickBot="1">
      <c r="A15" s="758" t="s">
        <v>873</v>
      </c>
      <c r="B15" s="49"/>
      <c r="C15" s="49"/>
      <c r="D15" s="87"/>
      <c r="E15" s="49"/>
      <c r="F15" s="89"/>
      <c r="G15" s="90"/>
      <c r="H15" s="134"/>
      <c r="I15" s="133"/>
      <c r="J15" s="600"/>
      <c r="K15" s="135" t="s">
        <v>658</v>
      </c>
      <c r="L15" s="780">
        <f>CHOOSE(MODE, 'Calculations - Single'!M212, 'Calculations - Dual'!N212)*100</f>
        <v>47.724025821239522</v>
      </c>
      <c r="M15" s="626" t="s">
        <v>659</v>
      </c>
      <c r="N15" s="49"/>
      <c r="O15" s="49"/>
      <c r="P15" s="49"/>
      <c r="Q15" s="49"/>
      <c r="R15" s="82"/>
      <c r="S15" s="82"/>
      <c r="T15" s="75"/>
      <c r="U15" s="75"/>
      <c r="V15" s="75"/>
      <c r="W15" s="75"/>
      <c r="X15" s="75"/>
      <c r="Y15" s="75"/>
      <c r="Z15" s="506"/>
      <c r="AA15" s="500"/>
    </row>
    <row r="16" spans="1:27" ht="15.75" customHeight="1" thickBot="1">
      <c r="A16" s="422"/>
      <c r="B16" s="584"/>
      <c r="C16" s="584"/>
      <c r="D16" s="509" t="s">
        <v>847</v>
      </c>
      <c r="E16" s="786">
        <f>RCSmin*1000</f>
        <v>2.3627260981912155</v>
      </c>
      <c r="F16" s="729" t="s">
        <v>20</v>
      </c>
      <c r="G16" s="90"/>
      <c r="H16" s="601"/>
      <c r="I16" s="504"/>
      <c r="J16" s="104"/>
      <c r="K16" s="507" t="s">
        <v>605</v>
      </c>
      <c r="L16" s="628">
        <f>CHOOSE(MODE, 'Calculations - Single'!N212,'Calculations - Dual'!O212+'Calculations - Dual'!P212)</f>
        <v>211.53595381051431</v>
      </c>
      <c r="M16" s="627" t="s">
        <v>45</v>
      </c>
      <c r="N16" s="49"/>
      <c r="O16" s="49"/>
      <c r="P16" s="49"/>
      <c r="Q16" s="49"/>
      <c r="R16" s="82"/>
      <c r="S16" s="82"/>
      <c r="T16" s="75"/>
      <c r="U16" s="75"/>
      <c r="V16" s="75"/>
      <c r="W16" s="75"/>
      <c r="X16" s="75"/>
      <c r="Y16" s="75"/>
      <c r="Z16" s="506"/>
      <c r="AA16" s="500"/>
    </row>
    <row r="17" spans="1:27" ht="15.75" customHeight="1" thickBot="1">
      <c r="A17" s="88"/>
      <c r="B17" s="49"/>
      <c r="C17" s="49"/>
      <c r="D17" s="100" t="s">
        <v>772</v>
      </c>
      <c r="E17" s="150">
        <v>2</v>
      </c>
      <c r="F17" s="427" t="s">
        <v>20</v>
      </c>
      <c r="G17" s="91"/>
      <c r="H17" s="82"/>
      <c r="I17" s="82"/>
      <c r="J17" s="82"/>
      <c r="K17" s="82"/>
      <c r="L17" s="82"/>
      <c r="M17" s="82"/>
      <c r="N17" s="49"/>
      <c r="O17" s="49"/>
      <c r="P17" s="49"/>
      <c r="Q17" s="49"/>
      <c r="R17" s="82"/>
      <c r="S17" s="82"/>
      <c r="T17" s="75"/>
      <c r="U17" s="75"/>
      <c r="V17" s="75"/>
      <c r="W17" s="75"/>
      <c r="X17" s="75"/>
      <c r="Y17" s="75"/>
      <c r="Z17" s="506"/>
      <c r="AA17" s="500"/>
    </row>
    <row r="18" spans="1:27" ht="15.75" customHeight="1">
      <c r="A18" s="106"/>
      <c r="B18" s="92"/>
      <c r="C18" s="790"/>
      <c r="D18" s="87" t="s">
        <v>795</v>
      </c>
      <c r="E18" s="791">
        <f>Isw_max</f>
        <v>50</v>
      </c>
      <c r="F18" s="453" t="s">
        <v>1</v>
      </c>
      <c r="G18" s="586"/>
      <c r="H18" s="799"/>
      <c r="I18" s="584"/>
      <c r="J18" s="575"/>
      <c r="K18" s="509" t="s">
        <v>871</v>
      </c>
      <c r="L18" s="575">
        <v>100</v>
      </c>
      <c r="M18" s="815" t="s">
        <v>136</v>
      </c>
      <c r="N18" s="49"/>
      <c r="O18" s="49"/>
      <c r="P18" s="49"/>
      <c r="Q18" s="49"/>
      <c r="R18" s="82"/>
      <c r="S18" s="82"/>
      <c r="T18" s="75"/>
      <c r="U18" s="75"/>
      <c r="V18" s="75"/>
      <c r="W18" s="75"/>
      <c r="X18" s="75"/>
      <c r="Y18" s="75"/>
      <c r="Z18" s="506"/>
      <c r="AA18" s="500"/>
    </row>
    <row r="19" spans="1:27" ht="19.5" customHeight="1" thickBot="1">
      <c r="A19" s="753"/>
      <c r="B19" s="792"/>
      <c r="C19" s="793"/>
      <c r="D19" s="794" t="s">
        <v>844</v>
      </c>
      <c r="E19" s="795">
        <f>IF(MODE, RCS*'Calculations - Single'!BD210^2, RCS*'Calculations - Dual'!BA210^2)*1.21</f>
        <v>532.88266086336341</v>
      </c>
      <c r="F19" s="796" t="s">
        <v>293</v>
      </c>
      <c r="G19" s="587"/>
      <c r="H19" s="806"/>
      <c r="I19" s="503"/>
      <c r="J19" s="560"/>
      <c r="K19" s="208" t="s">
        <v>872</v>
      </c>
      <c r="L19" s="560">
        <v>100</v>
      </c>
      <c r="M19" s="816" t="s">
        <v>15</v>
      </c>
      <c r="N19" s="49"/>
      <c r="O19" s="49"/>
      <c r="P19" s="49"/>
      <c r="Q19" s="49"/>
      <c r="R19" s="82"/>
      <c r="S19" s="82"/>
      <c r="T19" s="75"/>
      <c r="U19" s="75"/>
      <c r="V19" s="75"/>
      <c r="W19" s="75"/>
      <c r="X19" s="75"/>
      <c r="Y19" s="75"/>
      <c r="Z19" s="506"/>
      <c r="AA19" s="500"/>
    </row>
    <row r="20" spans="1:27" ht="19.5" customHeight="1">
      <c r="A20" s="75"/>
      <c r="B20" s="92"/>
      <c r="C20" s="93"/>
      <c r="D20" s="93"/>
      <c r="E20" s="94"/>
      <c r="F20" s="93"/>
      <c r="G20" s="90"/>
      <c r="H20" s="82"/>
      <c r="I20" s="82"/>
      <c r="J20" s="82"/>
      <c r="K20" s="82"/>
      <c r="L20" s="82"/>
      <c r="M20" s="82"/>
      <c r="N20" s="49"/>
      <c r="O20" s="49"/>
      <c r="P20" s="49"/>
      <c r="Q20" s="49"/>
      <c r="R20" s="82"/>
      <c r="S20" s="82"/>
      <c r="T20" s="75"/>
      <c r="U20" s="75"/>
      <c r="V20" s="75"/>
      <c r="W20" s="75"/>
      <c r="X20" s="75"/>
      <c r="Y20" s="75"/>
      <c r="Z20" s="506"/>
      <c r="AA20" s="500"/>
    </row>
    <row r="21" spans="1:27" ht="19.5" customHeight="1" thickBot="1">
      <c r="A21" s="758" t="s">
        <v>860</v>
      </c>
      <c r="B21" s="92"/>
      <c r="C21" s="93"/>
      <c r="D21" s="93"/>
      <c r="E21" s="94"/>
      <c r="F21" s="93"/>
      <c r="G21" s="90"/>
      <c r="H21" s="82"/>
      <c r="I21" s="82"/>
      <c r="J21" s="82"/>
      <c r="K21" s="82"/>
      <c r="L21" s="82"/>
      <c r="M21" s="82"/>
      <c r="N21" s="49"/>
      <c r="O21" s="49"/>
      <c r="P21" s="49"/>
      <c r="Q21" s="49"/>
      <c r="R21" s="82"/>
      <c r="S21" s="82"/>
      <c r="T21" s="75"/>
      <c r="U21" s="75"/>
      <c r="V21" s="75"/>
      <c r="W21" s="75"/>
      <c r="X21" s="75"/>
      <c r="Y21" s="75"/>
      <c r="Z21" s="506"/>
      <c r="AA21" s="500"/>
    </row>
    <row r="22" spans="1:27" ht="19.5" customHeight="1">
      <c r="A22" s="799"/>
      <c r="B22" s="800"/>
      <c r="C22" s="801"/>
      <c r="D22" s="802" t="s">
        <v>855</v>
      </c>
      <c r="E22" s="803">
        <f>MAX(Vout_eff*Nps,Vout2_actual*Nps/Nsec1sec2)*1.2</f>
        <v>18.48</v>
      </c>
      <c r="F22" s="804" t="s">
        <v>0</v>
      </c>
      <c r="G22" s="90"/>
      <c r="H22" s="834"/>
      <c r="I22" s="584"/>
      <c r="J22" s="584"/>
      <c r="K22" s="850" t="s">
        <v>848</v>
      </c>
      <c r="L22" s="728">
        <v>20</v>
      </c>
      <c r="M22" s="729" t="s">
        <v>20</v>
      </c>
      <c r="N22" s="49"/>
      <c r="O22" s="49"/>
      <c r="P22" s="49"/>
      <c r="Q22" s="49"/>
      <c r="R22" s="82"/>
      <c r="S22" s="82"/>
      <c r="T22" s="75"/>
      <c r="U22" s="75"/>
      <c r="V22" s="75"/>
      <c r="W22" s="75"/>
      <c r="X22" s="75"/>
      <c r="Y22" s="75"/>
      <c r="Z22" s="506"/>
      <c r="AA22" s="500"/>
    </row>
    <row r="23" spans="1:27" ht="19.5" customHeight="1" thickBot="1">
      <c r="A23" s="805"/>
      <c r="B23" s="92"/>
      <c r="C23" s="93"/>
      <c r="D23" s="86" t="s">
        <v>856</v>
      </c>
      <c r="E23" s="817">
        <v>24</v>
      </c>
      <c r="F23" s="752" t="s">
        <v>0</v>
      </c>
      <c r="G23" s="90"/>
      <c r="H23" s="88"/>
      <c r="I23" s="49"/>
      <c r="J23" s="814"/>
      <c r="K23" s="835" t="s">
        <v>857</v>
      </c>
      <c r="L23" s="840">
        <f>0.00000005*1*1000000000</f>
        <v>50</v>
      </c>
      <c r="M23" s="851" t="s">
        <v>31</v>
      </c>
      <c r="N23" s="49"/>
      <c r="O23" s="49"/>
      <c r="P23" s="49"/>
      <c r="Q23" s="49"/>
      <c r="R23" s="82"/>
      <c r="S23" s="82"/>
      <c r="T23" s="75"/>
      <c r="U23" s="75"/>
      <c r="V23" s="75"/>
      <c r="W23" s="75"/>
      <c r="X23" s="75"/>
      <c r="Y23" s="75"/>
      <c r="Z23" s="506"/>
      <c r="AA23" s="500"/>
    </row>
    <row r="24" spans="1:27" ht="19.5" customHeight="1">
      <c r="A24" s="425"/>
      <c r="B24" s="92"/>
      <c r="C24" s="790"/>
      <c r="D24" s="87" t="s">
        <v>851</v>
      </c>
      <c r="E24" s="791">
        <f>E8+E23*1.25</f>
        <v>115</v>
      </c>
      <c r="F24" s="453" t="s">
        <v>0</v>
      </c>
      <c r="G24" s="832"/>
      <c r="H24" s="798"/>
      <c r="I24" s="49"/>
      <c r="J24" s="49"/>
      <c r="K24" s="100" t="s">
        <v>858</v>
      </c>
      <c r="L24" s="143">
        <v>25</v>
      </c>
      <c r="M24" s="852" t="s">
        <v>31</v>
      </c>
      <c r="N24" s="49"/>
      <c r="O24" s="49"/>
      <c r="P24" s="49"/>
      <c r="Q24" s="49"/>
      <c r="R24" s="82"/>
      <c r="S24" s="82"/>
      <c r="T24" s="75"/>
      <c r="U24" s="75"/>
      <c r="V24" s="75"/>
      <c r="W24" s="75"/>
      <c r="X24" s="75"/>
      <c r="Y24" s="75"/>
      <c r="Z24" s="506"/>
      <c r="AA24" s="500"/>
    </row>
    <row r="25" spans="1:27" ht="19.5" customHeight="1" thickBot="1">
      <c r="A25" s="425"/>
      <c r="B25" s="92"/>
      <c r="C25" s="93"/>
      <c r="D25" s="87" t="s">
        <v>852</v>
      </c>
      <c r="E25" s="807" t="s">
        <v>854</v>
      </c>
      <c r="F25" s="752"/>
      <c r="G25" s="833"/>
      <c r="H25" s="88"/>
      <c r="I25" s="49"/>
      <c r="J25" s="49"/>
      <c r="K25" s="149" t="s">
        <v>859</v>
      </c>
      <c r="L25" s="143">
        <v>150</v>
      </c>
      <c r="M25" s="852" t="s">
        <v>15</v>
      </c>
      <c r="N25" s="49"/>
      <c r="O25" s="49"/>
      <c r="P25" s="49"/>
      <c r="Q25" s="49"/>
      <c r="R25" s="82"/>
      <c r="S25" s="82"/>
      <c r="T25" s="75"/>
      <c r="U25" s="75"/>
      <c r="V25" s="75"/>
      <c r="W25" s="75"/>
      <c r="X25" s="75"/>
      <c r="Y25" s="75"/>
      <c r="Z25" s="506"/>
      <c r="AA25" s="500"/>
    </row>
    <row r="26" spans="1:27" ht="19.5" customHeight="1" thickBot="1">
      <c r="A26" s="806"/>
      <c r="B26" s="754"/>
      <c r="C26" s="755"/>
      <c r="D26" s="208" t="s">
        <v>853</v>
      </c>
      <c r="E26" s="808" t="str">
        <f>IF(VIN_min&lt;7, "No", "Yes")</f>
        <v>Yes</v>
      </c>
      <c r="F26" s="756"/>
      <c r="G26" s="90"/>
      <c r="H26" s="853"/>
      <c r="I26" s="504"/>
      <c r="J26" s="854"/>
      <c r="K26" s="855" t="s">
        <v>887</v>
      </c>
      <c r="L26" s="857">
        <f>'Variable Mgmt'!L112</f>
        <v>3.3551482120660272</v>
      </c>
      <c r="M26" s="856" t="s">
        <v>45</v>
      </c>
      <c r="N26" s="49"/>
      <c r="O26" s="49"/>
      <c r="P26" s="49"/>
      <c r="Q26" s="49"/>
      <c r="R26" s="82"/>
      <c r="S26" s="82"/>
      <c r="T26" s="75"/>
      <c r="U26" s="75"/>
      <c r="V26" s="75"/>
      <c r="W26" s="75"/>
      <c r="X26" s="75"/>
      <c r="Y26" s="75"/>
      <c r="Z26" s="506"/>
      <c r="AA26" s="500"/>
    </row>
    <row r="27" spans="1:27" ht="19.5" customHeight="1">
      <c r="A27" s="75"/>
      <c r="B27" s="92"/>
      <c r="C27" s="93"/>
      <c r="D27" s="87"/>
      <c r="E27" s="797"/>
      <c r="F27" s="93"/>
      <c r="G27" s="90"/>
      <c r="H27" s="82"/>
      <c r="I27" s="82"/>
      <c r="J27" s="82"/>
      <c r="K27" s="82"/>
      <c r="L27" s="82"/>
      <c r="M27" s="82"/>
      <c r="N27" s="49"/>
      <c r="O27" s="49"/>
      <c r="P27" s="49"/>
      <c r="Q27" s="49"/>
      <c r="R27" s="82"/>
      <c r="S27" s="82"/>
      <c r="T27" s="75"/>
      <c r="U27" s="75"/>
      <c r="V27" s="75"/>
      <c r="W27" s="75"/>
      <c r="X27" s="75"/>
      <c r="Y27" s="75"/>
      <c r="Z27" s="506"/>
      <c r="AA27" s="500"/>
    </row>
    <row r="28" spans="1:27" ht="19.5" customHeight="1" thickBot="1">
      <c r="A28" s="106" t="s">
        <v>861</v>
      </c>
      <c r="B28" s="92"/>
      <c r="C28" s="93"/>
      <c r="D28" s="93"/>
      <c r="E28" s="94"/>
      <c r="F28" s="93"/>
      <c r="G28" s="90"/>
      <c r="H28" s="831" t="s">
        <v>874</v>
      </c>
      <c r="I28" s="82"/>
      <c r="J28" s="82"/>
      <c r="K28" s="82"/>
      <c r="L28" s="82"/>
      <c r="M28" s="82"/>
      <c r="N28" s="49"/>
      <c r="O28" s="49"/>
      <c r="P28" s="49"/>
      <c r="Q28" s="49"/>
      <c r="R28" s="82"/>
      <c r="S28" s="82"/>
      <c r="T28" s="75"/>
      <c r="U28" s="75"/>
      <c r="V28" s="75"/>
      <c r="W28" s="75"/>
      <c r="X28" s="75"/>
      <c r="Y28" s="75"/>
      <c r="Z28" s="506"/>
      <c r="AA28" s="500"/>
    </row>
    <row r="29" spans="1:27" ht="15.75" customHeight="1" thickBot="1">
      <c r="A29" s="385"/>
      <c r="B29" s="574"/>
      <c r="C29" s="575"/>
      <c r="D29" s="206" t="s">
        <v>314</v>
      </c>
      <c r="E29" s="609">
        <f>'Variable Mgmt'!B151</f>
        <v>17.665221279751346</v>
      </c>
      <c r="F29" s="428" t="s">
        <v>97</v>
      </c>
      <c r="G29" s="90"/>
      <c r="H29" s="566"/>
      <c r="I29" s="501"/>
      <c r="J29" s="501"/>
      <c r="K29" s="837" t="str">
        <f>CHOOSE(MODE, "Min Diode Voltage Rating","Min Diode Voltage Rating, Output #1")</f>
        <v>Min Diode Voltage Rating</v>
      </c>
      <c r="L29" s="859">
        <f>(VIN_max/Nps+Vout)*1.3</f>
        <v>130</v>
      </c>
      <c r="M29" s="860" t="s">
        <v>0</v>
      </c>
      <c r="N29" s="49"/>
      <c r="O29" s="566"/>
      <c r="P29" s="501"/>
      <c r="Q29" s="501"/>
      <c r="R29" s="837" t="s">
        <v>877</v>
      </c>
      <c r="S29" s="859">
        <f>(VIN_max/Npri_sec2+Vout2)*1.3</f>
        <v>70.224840764331219</v>
      </c>
      <c r="T29" s="860" t="s">
        <v>0</v>
      </c>
      <c r="U29" s="75"/>
      <c r="V29" s="75"/>
      <c r="W29" s="75"/>
      <c r="X29" s="75"/>
      <c r="Y29" s="75"/>
      <c r="Z29" s="506"/>
      <c r="AA29" s="500"/>
    </row>
    <row r="30" spans="1:27" ht="15.75" customHeight="1" thickBot="1">
      <c r="A30" s="97"/>
      <c r="B30" s="89"/>
      <c r="C30" s="96"/>
      <c r="D30" s="100" t="s">
        <v>141</v>
      </c>
      <c r="E30" s="98">
        <v>22</v>
      </c>
      <c r="F30" s="429" t="s">
        <v>97</v>
      </c>
      <c r="G30" s="90"/>
      <c r="H30" s="425"/>
      <c r="I30" s="82"/>
      <c r="J30" s="82"/>
      <c r="K30" s="836" t="str">
        <f>CHOOSE(MODE, "Min Diode DC Current Rating","Min Diode DC Current Rating, Output #1")</f>
        <v>Min Diode DC Current Rating</v>
      </c>
      <c r="L30" s="861">
        <f>MAX(E11*3,0.5)</f>
        <v>30</v>
      </c>
      <c r="M30" s="862" t="s">
        <v>1</v>
      </c>
      <c r="N30" s="841"/>
      <c r="O30" s="425"/>
      <c r="P30" s="82"/>
      <c r="Q30" s="82"/>
      <c r="R30" s="836" t="s">
        <v>878</v>
      </c>
      <c r="S30" s="861">
        <f>MAX(E13*3,0.5)</f>
        <v>0.75</v>
      </c>
      <c r="T30" s="862" t="s">
        <v>1</v>
      </c>
      <c r="U30" s="75"/>
      <c r="V30" s="75"/>
      <c r="W30" s="75"/>
      <c r="X30" s="75"/>
      <c r="Y30" s="75"/>
      <c r="Z30" s="506"/>
      <c r="AA30" s="500"/>
    </row>
    <row r="31" spans="1:27" ht="15.75" customHeight="1" thickBot="1">
      <c r="A31" s="97"/>
      <c r="B31" s="89"/>
      <c r="C31" s="148"/>
      <c r="D31" s="142" t="s">
        <v>104</v>
      </c>
      <c r="E31" s="147">
        <v>3</v>
      </c>
      <c r="F31" s="430" t="s">
        <v>20</v>
      </c>
      <c r="G31" s="90"/>
      <c r="H31" s="806"/>
      <c r="I31" s="503"/>
      <c r="J31" s="503"/>
      <c r="K31" s="839" t="str">
        <f>CHOOSE(MODE, "Select  Diode Forward Drop VF","Select  Diode Forward Drop VF, Output #1")</f>
        <v>Select  Diode Forward Drop VF</v>
      </c>
      <c r="L31" s="863">
        <v>0.7</v>
      </c>
      <c r="M31" s="864" t="s">
        <v>0</v>
      </c>
      <c r="N31" s="49"/>
      <c r="O31" s="806"/>
      <c r="P31" s="503"/>
      <c r="Q31" s="503"/>
      <c r="R31" s="839" t="s">
        <v>923</v>
      </c>
      <c r="S31" s="863">
        <v>0.5</v>
      </c>
      <c r="T31" s="864" t="s">
        <v>0</v>
      </c>
      <c r="U31" s="75"/>
      <c r="V31" s="75"/>
      <c r="W31" s="75"/>
      <c r="X31" s="75"/>
      <c r="Y31" s="75"/>
      <c r="Z31" s="506"/>
      <c r="AA31" s="500"/>
    </row>
    <row r="32" spans="1:27" ht="15.75" customHeight="1" thickBot="1">
      <c r="A32" s="101"/>
      <c r="B32" s="102"/>
      <c r="C32" s="108"/>
      <c r="D32" s="208" t="s">
        <v>496</v>
      </c>
      <c r="E32" s="209">
        <f>Vinripple2*1000</f>
        <v>2379.6312242952285</v>
      </c>
      <c r="F32" s="105" t="s">
        <v>103</v>
      </c>
      <c r="G32" s="90"/>
      <c r="H32" s="902" t="s">
        <v>926</v>
      </c>
      <c r="I32" s="49"/>
      <c r="J32" s="49"/>
      <c r="K32" s="49"/>
      <c r="L32" s="49"/>
      <c r="M32" s="49"/>
      <c r="N32" s="49"/>
      <c r="O32" s="49"/>
      <c r="P32" s="49"/>
      <c r="Q32" s="49"/>
      <c r="R32" s="82"/>
      <c r="S32" s="82"/>
      <c r="T32" s="75"/>
      <c r="U32" s="75"/>
      <c r="V32" s="75"/>
      <c r="W32" s="75"/>
      <c r="X32" s="75"/>
      <c r="Y32" s="75"/>
      <c r="Z32" s="506"/>
      <c r="AA32" s="500"/>
    </row>
    <row r="33" spans="1:27" ht="15.75" customHeight="1" thickBot="1">
      <c r="A33" s="422"/>
      <c r="B33" s="423"/>
      <c r="C33" s="424"/>
      <c r="D33" s="424" t="str">
        <f>CHOOSE(MODE, "Minimum Output Capacitance", "Minimum Output Capacitance, Output #1")</f>
        <v>Minimum Output Capacitance</v>
      </c>
      <c r="E33" s="621">
        <f>'Variable Mgmt'!B126</f>
        <v>1485.0523437781055</v>
      </c>
      <c r="F33" s="428" t="s">
        <v>97</v>
      </c>
      <c r="G33" s="585"/>
      <c r="H33" s="575"/>
      <c r="I33" s="584"/>
      <c r="J33" s="501"/>
      <c r="K33" s="424" t="str">
        <f>CHOOSE(MODE, "", "Minimum Output Capacitance, Output #2")</f>
        <v/>
      </c>
      <c r="L33" s="621">
        <f>'Variable Mgmt'!B136</f>
        <v>15.846799634301085</v>
      </c>
      <c r="M33" s="428" t="s">
        <v>97</v>
      </c>
      <c r="N33" s="49"/>
      <c r="O33" s="49"/>
      <c r="P33" s="49"/>
      <c r="Q33" s="49"/>
      <c r="R33" s="82"/>
      <c r="S33" s="82"/>
      <c r="T33" s="75"/>
      <c r="U33" s="75"/>
      <c r="V33" s="75"/>
      <c r="W33" s="75"/>
      <c r="X33" s="75"/>
      <c r="Y33" s="75"/>
      <c r="Z33" s="506"/>
      <c r="AA33" s="500"/>
    </row>
    <row r="34" spans="1:27" ht="15.75" customHeight="1">
      <c r="A34" s="88"/>
      <c r="B34" s="89"/>
      <c r="C34" s="135"/>
      <c r="D34" s="149" t="s">
        <v>140</v>
      </c>
      <c r="E34" s="143">
        <v>110</v>
      </c>
      <c r="F34" s="427" t="s">
        <v>97</v>
      </c>
      <c r="G34" s="586"/>
      <c r="H34" s="89"/>
      <c r="I34" s="49"/>
      <c r="J34" s="75"/>
      <c r="K34" s="149" t="s">
        <v>532</v>
      </c>
      <c r="L34" s="143">
        <v>55</v>
      </c>
      <c r="M34" s="427" t="s">
        <v>97</v>
      </c>
      <c r="N34" s="49"/>
      <c r="O34" s="902" t="s">
        <v>922</v>
      </c>
      <c r="P34" s="49"/>
      <c r="Q34" s="49"/>
      <c r="R34" s="82"/>
      <c r="S34" s="82"/>
      <c r="T34" s="75"/>
      <c r="U34" s="75"/>
      <c r="V34" s="75"/>
      <c r="W34" s="75"/>
      <c r="X34" s="75"/>
      <c r="Y34" s="75"/>
      <c r="Z34" s="506"/>
      <c r="AA34" s="500"/>
    </row>
    <row r="35" spans="1:27" ht="16.5" customHeight="1" thickBot="1">
      <c r="A35" s="88"/>
      <c r="B35" s="89"/>
      <c r="C35" s="148"/>
      <c r="D35" s="142" t="s">
        <v>533</v>
      </c>
      <c r="E35" s="147">
        <v>2</v>
      </c>
      <c r="F35" s="430" t="s">
        <v>20</v>
      </c>
      <c r="G35" s="587"/>
      <c r="H35" s="89"/>
      <c r="I35" s="49"/>
      <c r="J35" s="75"/>
      <c r="K35" s="142" t="s">
        <v>533</v>
      </c>
      <c r="L35" s="147">
        <v>8</v>
      </c>
      <c r="M35" s="430" t="s">
        <v>20</v>
      </c>
      <c r="N35" s="49"/>
      <c r="O35" s="49"/>
      <c r="P35" s="49"/>
      <c r="Q35" s="49"/>
      <c r="R35" s="82"/>
      <c r="S35" s="82"/>
      <c r="T35" s="75"/>
      <c r="U35" s="75"/>
      <c r="V35" s="75"/>
      <c r="W35" s="75"/>
      <c r="X35" s="75"/>
      <c r="Y35" s="75"/>
      <c r="Z35" s="506"/>
      <c r="AA35" s="500"/>
    </row>
    <row r="36" spans="1:27" ht="15.75" customHeight="1" thickBot="1">
      <c r="A36" s="101"/>
      <c r="B36" s="104"/>
      <c r="C36" s="104"/>
      <c r="D36" s="208" t="str">
        <f>CHOOSE(MODE, "Resulting Output Voltage Ripple", "Resulting Output Voltage Ripple, Output #1")</f>
        <v>Resulting Output Voltage Ripple</v>
      </c>
      <c r="E36" s="209">
        <f>Vripple1_actual</f>
        <v>504.95531781868254</v>
      </c>
      <c r="F36" s="105" t="s">
        <v>103</v>
      </c>
      <c r="G36" s="585"/>
      <c r="H36" s="104"/>
      <c r="I36" s="504"/>
      <c r="J36" s="503"/>
      <c r="K36" s="208" t="str">
        <f>CHOOSE(MODE, "", "Resulting Output Voltage Ripple, Output #2")</f>
        <v/>
      </c>
      <c r="L36" s="209">
        <f>Vripple2_actual</f>
        <v>108.07718369686626</v>
      </c>
      <c r="M36" s="105" t="s">
        <v>103</v>
      </c>
      <c r="N36" s="49"/>
      <c r="O36" s="49"/>
      <c r="P36" s="49"/>
      <c r="Q36" s="49"/>
      <c r="R36" s="82"/>
      <c r="S36" s="82"/>
      <c r="T36" s="75"/>
      <c r="U36" s="75"/>
      <c r="V36" s="75"/>
      <c r="W36" s="75"/>
      <c r="X36" s="75"/>
      <c r="Y36" s="75"/>
      <c r="Z36" s="506"/>
      <c r="AA36" s="500"/>
    </row>
    <row r="37" spans="1:27" ht="13.5" customHeight="1">
      <c r="A37" s="425"/>
      <c r="B37" s="75"/>
      <c r="C37" s="75"/>
      <c r="D37" s="75"/>
      <c r="E37" s="75"/>
      <c r="F37" s="75"/>
      <c r="G37" s="75"/>
      <c r="H37" s="75"/>
      <c r="I37" s="75"/>
      <c r="J37" s="75"/>
      <c r="K37" s="75"/>
      <c r="L37" s="75"/>
      <c r="M37" s="75"/>
      <c r="N37" s="49"/>
      <c r="O37" s="49"/>
      <c r="P37" s="49"/>
      <c r="Q37" s="49"/>
      <c r="R37" s="82"/>
      <c r="S37" s="82"/>
      <c r="T37" s="75"/>
      <c r="U37" s="75"/>
      <c r="V37" s="75"/>
      <c r="W37" s="75"/>
      <c r="X37" s="75"/>
      <c r="Y37" s="75"/>
      <c r="Z37" s="506"/>
      <c r="AA37" s="500"/>
    </row>
    <row r="38" spans="1:27" ht="19.5" customHeight="1" thickBot="1">
      <c r="A38" s="106" t="s">
        <v>879</v>
      </c>
      <c r="B38" s="95"/>
      <c r="C38" s="89"/>
      <c r="D38" s="87"/>
      <c r="E38" s="89"/>
      <c r="F38" s="89"/>
      <c r="G38" s="89"/>
      <c r="H38" s="89"/>
      <c r="I38" s="49"/>
      <c r="J38" s="49"/>
      <c r="K38" s="49"/>
      <c r="L38" s="49"/>
      <c r="M38" s="49"/>
      <c r="N38" s="49"/>
      <c r="O38" s="49"/>
      <c r="P38" s="49"/>
      <c r="Q38" s="49"/>
      <c r="R38" s="82"/>
      <c r="S38" s="82"/>
      <c r="T38" s="75"/>
      <c r="U38" s="75"/>
      <c r="V38" s="75"/>
      <c r="W38" s="75"/>
      <c r="X38" s="75"/>
      <c r="Y38" s="75"/>
      <c r="Z38" s="506"/>
      <c r="AA38" s="500"/>
    </row>
    <row r="39" spans="1:27" ht="15.75" customHeight="1">
      <c r="A39" s="140"/>
      <c r="B39" s="141"/>
      <c r="C39" s="206"/>
      <c r="D39" s="206" t="s">
        <v>370</v>
      </c>
      <c r="E39" s="578">
        <f>Rfb_recommend</f>
        <v>154</v>
      </c>
      <c r="F39" s="513" t="s">
        <v>21</v>
      </c>
      <c r="G39" s="89"/>
      <c r="H39" s="89"/>
      <c r="I39" s="49"/>
      <c r="J39" s="49"/>
      <c r="K39" s="49"/>
      <c r="L39" s="49"/>
      <c r="M39" s="49"/>
      <c r="N39" s="49"/>
      <c r="O39" s="49"/>
      <c r="P39" s="49"/>
      <c r="Q39" s="49"/>
      <c r="R39" s="82"/>
      <c r="S39" s="82"/>
      <c r="T39" s="75"/>
      <c r="U39" s="75"/>
      <c r="V39" s="75"/>
      <c r="W39" s="75"/>
      <c r="X39" s="75"/>
      <c r="Y39" s="75"/>
      <c r="Z39" s="506"/>
      <c r="AA39" s="500"/>
    </row>
    <row r="40" spans="1:27" ht="15.75" customHeight="1" thickBot="1">
      <c r="A40" s="134"/>
      <c r="B40" s="133"/>
      <c r="C40" s="135"/>
      <c r="D40" s="149" t="s">
        <v>369</v>
      </c>
      <c r="E40" s="150">
        <v>168</v>
      </c>
      <c r="F40" s="144" t="str">
        <f>IF(Vout=Vref,"","kΩ")</f>
        <v>kΩ</v>
      </c>
      <c r="G40" s="89"/>
      <c r="H40" s="89"/>
      <c r="I40" s="49"/>
      <c r="J40" s="49"/>
      <c r="K40" s="49"/>
      <c r="L40" s="49"/>
      <c r="M40" s="49"/>
      <c r="N40" s="49"/>
      <c r="O40" s="49"/>
      <c r="P40" s="49"/>
      <c r="Q40" s="49"/>
      <c r="R40" s="82"/>
      <c r="S40" s="82"/>
      <c r="T40" s="75"/>
      <c r="U40" s="75"/>
      <c r="V40" s="75"/>
      <c r="W40" s="75"/>
      <c r="X40" s="75"/>
      <c r="Y40" s="75"/>
      <c r="Z40" s="506"/>
      <c r="AA40" s="500"/>
    </row>
    <row r="41" spans="1:27" ht="14.15" customHeight="1">
      <c r="A41" s="389"/>
      <c r="B41" s="390"/>
      <c r="C41" s="391"/>
      <c r="D41" s="392" t="s">
        <v>292</v>
      </c>
      <c r="E41" s="393" t="s">
        <v>682</v>
      </c>
      <c r="F41" s="394"/>
      <c r="G41" s="90"/>
      <c r="H41" s="89"/>
      <c r="I41" s="49"/>
      <c r="J41" s="49"/>
      <c r="K41" s="49"/>
      <c r="L41" s="49"/>
      <c r="M41" s="49"/>
      <c r="N41" s="49"/>
      <c r="O41" s="49"/>
      <c r="P41" s="49"/>
      <c r="Q41" s="49"/>
      <c r="R41" s="82"/>
      <c r="S41" s="82"/>
      <c r="T41" s="75"/>
      <c r="U41" s="75"/>
      <c r="V41" s="75"/>
      <c r="W41" s="75"/>
      <c r="X41" s="75"/>
      <c r="Y41" s="75"/>
      <c r="Z41" s="506"/>
      <c r="AA41" s="500"/>
    </row>
    <row r="42" spans="1:27" ht="16.5" customHeight="1">
      <c r="A42" s="134"/>
      <c r="B42" s="133"/>
      <c r="C42" s="133"/>
      <c r="D42" s="146" t="str">
        <f>CHOOSE(MODE_SS,"Soft-Start Time","*Leave SS Pin Open or Supply by Ext. Bias")</f>
        <v>*Leave SS Pin Open or Supply by Ext. Bias</v>
      </c>
      <c r="E42" s="147">
        <v>10</v>
      </c>
      <c r="F42" s="144" t="s">
        <v>63</v>
      </c>
      <c r="G42" s="90"/>
      <c r="H42" s="89"/>
      <c r="I42" s="49"/>
      <c r="J42" s="49"/>
      <c r="K42" s="49"/>
      <c r="L42" s="49"/>
      <c r="M42" s="49"/>
      <c r="N42" s="49"/>
      <c r="O42" s="49"/>
      <c r="P42" s="49"/>
      <c r="Q42" s="49"/>
      <c r="R42" s="82"/>
      <c r="S42" s="82"/>
      <c r="T42" s="75"/>
      <c r="U42" s="75"/>
      <c r="V42" s="75"/>
      <c r="W42" s="75"/>
      <c r="X42" s="75"/>
      <c r="Y42" s="75"/>
      <c r="Z42" s="506"/>
      <c r="AA42" s="500"/>
    </row>
    <row r="43" spans="1:27" ht="16.5" customHeight="1" thickBot="1">
      <c r="A43" s="137"/>
      <c r="B43" s="138"/>
      <c r="C43" s="138"/>
      <c r="D43" s="373" t="s">
        <v>142</v>
      </c>
      <c r="E43" s="388">
        <f>IF(Tss&gt;0.0001,Css_u*1000000000,"N/A")</f>
        <v>47</v>
      </c>
      <c r="F43" s="139" t="s">
        <v>56</v>
      </c>
      <c r="G43" s="90"/>
      <c r="H43" s="89"/>
      <c r="I43" s="49"/>
      <c r="J43" s="49"/>
      <c r="K43" s="49"/>
      <c r="L43" s="49"/>
      <c r="M43" s="49"/>
      <c r="N43" s="49"/>
      <c r="O43" s="49"/>
      <c r="P43" s="49"/>
      <c r="Q43" s="49"/>
      <c r="R43" s="82"/>
      <c r="S43" s="82"/>
      <c r="T43" s="75"/>
      <c r="U43" s="75"/>
      <c r="V43" s="75"/>
      <c r="W43" s="75"/>
      <c r="X43" s="75"/>
      <c r="Y43" s="75"/>
      <c r="Z43" s="506"/>
      <c r="AA43" s="500"/>
    </row>
    <row r="44" spans="1:27" ht="15.75" customHeight="1">
      <c r="A44" s="134"/>
      <c r="B44" s="133"/>
      <c r="C44" s="133"/>
      <c r="D44" s="86" t="s">
        <v>381</v>
      </c>
      <c r="E44" s="145"/>
      <c r="F44" s="136"/>
      <c r="G44" s="89"/>
      <c r="H44" s="89"/>
      <c r="I44" s="49"/>
      <c r="J44" s="49"/>
      <c r="K44" s="49"/>
      <c r="L44" s="49"/>
      <c r="M44" s="49"/>
      <c r="N44" s="49"/>
      <c r="O44" s="49"/>
      <c r="P44" s="49"/>
      <c r="Q44" s="49"/>
      <c r="R44" s="82"/>
      <c r="S44" s="82"/>
      <c r="T44" s="75"/>
      <c r="U44" s="75"/>
      <c r="V44" s="75"/>
      <c r="W44" s="75"/>
      <c r="X44" s="75"/>
      <c r="Y44" s="75"/>
      <c r="Z44" s="506"/>
      <c r="AA44" s="500"/>
    </row>
    <row r="45" spans="1:27" ht="15.75" customHeight="1">
      <c r="A45" s="134"/>
      <c r="B45" s="133"/>
      <c r="C45" s="133"/>
      <c r="D45" s="86" t="str">
        <f>CHOOSE(TC,"Diode Voltage Drop Thermal Coefficient","*Leave TC Pin Open")</f>
        <v>*Leave TC Pin Open</v>
      </c>
      <c r="E45" s="582">
        <f>(450-300)/(-55-25)</f>
        <v>-1.875</v>
      </c>
      <c r="F45" s="136" t="s">
        <v>380</v>
      </c>
      <c r="G45" s="89"/>
      <c r="H45" s="89"/>
      <c r="I45" s="49"/>
      <c r="J45" s="49"/>
      <c r="K45" s="49"/>
      <c r="L45" s="49"/>
      <c r="M45" s="49"/>
      <c r="N45" s="49"/>
      <c r="O45" s="49"/>
      <c r="P45" s="49"/>
      <c r="Q45" s="49"/>
      <c r="R45" s="82"/>
      <c r="S45" s="82"/>
      <c r="T45" s="75"/>
      <c r="U45" s="75"/>
      <c r="V45" s="75"/>
      <c r="W45" s="75"/>
      <c r="X45" s="75"/>
      <c r="Y45" s="75"/>
      <c r="Z45" s="506"/>
      <c r="AA45" s="500"/>
    </row>
    <row r="46" spans="1:27" ht="15.75" customHeight="1" thickBot="1">
      <c r="A46" s="137"/>
      <c r="B46" s="151"/>
      <c r="C46" s="151"/>
      <c r="D46" s="507" t="s">
        <v>382</v>
      </c>
      <c r="E46" s="522">
        <f>RTC</f>
        <v>357</v>
      </c>
      <c r="F46" s="523" t="s">
        <v>21</v>
      </c>
      <c r="G46" s="89"/>
      <c r="H46" s="89"/>
      <c r="I46" s="49"/>
      <c r="J46" s="49"/>
      <c r="K46" s="73"/>
      <c r="L46" s="49"/>
      <c r="M46" s="49"/>
      <c r="N46" s="49"/>
      <c r="O46" s="49"/>
      <c r="P46" s="49"/>
      <c r="Q46" s="49"/>
      <c r="R46" s="82"/>
      <c r="S46" s="82"/>
      <c r="T46" s="75"/>
      <c r="U46" s="75"/>
      <c r="V46" s="75"/>
      <c r="W46" s="75"/>
      <c r="X46" s="75"/>
      <c r="Y46" s="75"/>
      <c r="Z46" s="506"/>
      <c r="AA46" s="500"/>
    </row>
    <row r="47" spans="1:27" ht="16.5" customHeight="1">
      <c r="A47" s="454"/>
      <c r="B47" s="508"/>
      <c r="C47" s="508"/>
      <c r="D47" s="818" t="s">
        <v>303</v>
      </c>
      <c r="E47" s="819"/>
      <c r="F47" s="809"/>
      <c r="G47" s="89"/>
      <c r="H47" s="89"/>
      <c r="I47" s="49"/>
      <c r="J47" s="49"/>
      <c r="K47" s="49"/>
      <c r="L47" s="49"/>
      <c r="M47" s="49"/>
      <c r="N47" s="49"/>
      <c r="O47" s="49"/>
      <c r="P47" s="49"/>
      <c r="Q47" s="49"/>
      <c r="R47" s="82"/>
      <c r="S47" s="82"/>
      <c r="T47" s="75"/>
      <c r="U47" s="75"/>
      <c r="V47" s="75"/>
      <c r="W47" s="75"/>
      <c r="X47" s="75"/>
      <c r="Y47" s="75"/>
      <c r="Z47" s="506"/>
      <c r="AA47" s="500"/>
    </row>
    <row r="48" spans="1:27" ht="15.75" customHeight="1">
      <c r="A48" s="134"/>
      <c r="B48" s="133"/>
      <c r="C48" s="148"/>
      <c r="D48" s="149" t="str">
        <f>CHOOSE(MODE_UVLO, "Input UVLO Turn-On Threshold", "*Connect EN pin to VIN or Logic HIGH")</f>
        <v>Input UVLO Turn-On Threshold</v>
      </c>
      <c r="E48" s="150">
        <v>18.8</v>
      </c>
      <c r="F48" s="144" t="s">
        <v>0</v>
      </c>
      <c r="G48" s="89"/>
      <c r="H48" s="89"/>
      <c r="I48" s="82"/>
      <c r="J48" s="82"/>
      <c r="K48" s="82"/>
      <c r="L48" s="210"/>
      <c r="M48" s="49"/>
      <c r="N48" s="49"/>
      <c r="O48" s="49"/>
      <c r="P48" s="49"/>
      <c r="Q48" s="49"/>
      <c r="R48" s="82"/>
      <c r="S48" s="82"/>
      <c r="T48" s="75"/>
      <c r="U48" s="75"/>
      <c r="V48" s="75"/>
      <c r="W48" s="75"/>
      <c r="X48" s="75"/>
      <c r="Y48" s="75"/>
      <c r="Z48" s="506"/>
      <c r="AA48" s="500"/>
    </row>
    <row r="49" spans="1:27" ht="15.75" customHeight="1">
      <c r="A49" s="134"/>
      <c r="B49" s="133"/>
      <c r="C49" s="133"/>
      <c r="D49" s="149" t="str">
        <f>CHOOSE(MODE_UVLO, "Input UVLO Turn-Off Threshold", "")</f>
        <v>Input UVLO Turn-Off Threshold</v>
      </c>
      <c r="E49" s="150">
        <v>17.2</v>
      </c>
      <c r="F49" s="144" t="s">
        <v>0</v>
      </c>
      <c r="G49" s="89"/>
      <c r="H49" s="135"/>
      <c r="I49" s="211"/>
      <c r="J49" s="213"/>
      <c r="K49" s="82"/>
      <c r="L49" s="82"/>
      <c r="M49" s="49"/>
      <c r="N49" s="49"/>
      <c r="O49" s="49"/>
      <c r="P49" s="49"/>
      <c r="Q49" s="49"/>
      <c r="R49" s="82"/>
      <c r="S49" s="82"/>
      <c r="T49" s="75"/>
      <c r="U49" s="75"/>
      <c r="V49" s="75"/>
      <c r="W49" s="75"/>
      <c r="X49" s="75"/>
      <c r="Y49" s="75"/>
      <c r="Z49" s="506"/>
      <c r="AA49" s="500"/>
    </row>
    <row r="50" spans="1:27" ht="15.75" customHeight="1">
      <c r="A50" s="820"/>
      <c r="B50" s="821"/>
      <c r="C50" s="822"/>
      <c r="D50" s="823" t="s">
        <v>821</v>
      </c>
      <c r="E50" s="824">
        <f>'Variable Mgmt'!F181</f>
        <v>196</v>
      </c>
      <c r="F50" s="825" t="s">
        <v>21</v>
      </c>
      <c r="G50" s="89"/>
      <c r="H50" s="135"/>
      <c r="I50" s="211"/>
      <c r="J50" s="213"/>
      <c r="K50" s="82"/>
      <c r="L50" s="82"/>
      <c r="M50" s="49"/>
      <c r="N50" s="49"/>
      <c r="O50" s="49"/>
      <c r="P50" s="49"/>
      <c r="Q50" s="49"/>
      <c r="R50" s="82"/>
      <c r="S50" s="82"/>
      <c r="T50" s="75"/>
      <c r="U50" s="75"/>
      <c r="V50" s="75"/>
      <c r="W50" s="75"/>
      <c r="X50" s="75"/>
      <c r="Y50" s="75"/>
      <c r="Z50" s="506"/>
      <c r="AA50" s="500"/>
    </row>
    <row r="51" spans="1:27" ht="15.75" customHeight="1">
      <c r="A51" s="826"/>
      <c r="B51" s="827"/>
      <c r="C51" s="827"/>
      <c r="D51" s="828" t="s">
        <v>822</v>
      </c>
      <c r="E51" s="829">
        <f>'Variable Mgmt'!F182</f>
        <v>16.900000000000002</v>
      </c>
      <c r="F51" s="830" t="s">
        <v>21</v>
      </c>
      <c r="G51" s="89"/>
      <c r="H51" s="215"/>
      <c r="I51" s="146"/>
      <c r="J51" s="580"/>
      <c r="K51" s="214"/>
      <c r="L51" s="82"/>
      <c r="M51" s="49"/>
      <c r="N51" s="49"/>
      <c r="O51" s="49"/>
      <c r="P51" s="49"/>
      <c r="Q51" s="49"/>
      <c r="R51" s="82"/>
      <c r="S51" s="82"/>
      <c r="T51" s="75"/>
      <c r="U51" s="75"/>
      <c r="V51" s="75"/>
      <c r="W51" s="75"/>
      <c r="X51" s="75"/>
      <c r="Y51" s="75"/>
      <c r="Z51" s="506"/>
      <c r="AA51" s="500"/>
    </row>
    <row r="52" spans="1:27" ht="15.75" customHeight="1">
      <c r="A52" s="134"/>
      <c r="B52" s="133"/>
      <c r="C52" s="133"/>
      <c r="D52" s="135"/>
      <c r="E52" s="777"/>
      <c r="F52" s="75"/>
      <c r="G52" s="89"/>
      <c r="H52" s="215"/>
      <c r="I52" s="146"/>
      <c r="J52" s="580"/>
      <c r="K52" s="214"/>
      <c r="L52" s="82"/>
      <c r="M52" s="49"/>
      <c r="N52" s="49"/>
      <c r="O52" s="49"/>
      <c r="P52" s="49"/>
      <c r="Q52" s="49"/>
      <c r="R52" s="82"/>
      <c r="S52" s="82"/>
      <c r="T52" s="75"/>
      <c r="U52" s="75"/>
      <c r="V52" s="75"/>
      <c r="W52" s="75"/>
      <c r="X52" s="75"/>
      <c r="Y52" s="75"/>
      <c r="Z52" s="506"/>
      <c r="AA52" s="500"/>
    </row>
    <row r="53" spans="1:27" ht="15.75" customHeight="1" thickBot="1">
      <c r="A53" s="106" t="s">
        <v>889</v>
      </c>
      <c r="B53" s="133"/>
      <c r="C53" s="133"/>
      <c r="D53" s="149" t="s">
        <v>862</v>
      </c>
      <c r="E53" s="777"/>
      <c r="F53" s="89"/>
      <c r="G53" s="89"/>
      <c r="H53" s="89"/>
      <c r="I53" s="82"/>
      <c r="J53" s="212"/>
      <c r="K53" s="82"/>
      <c r="L53" s="82"/>
      <c r="M53" s="49"/>
      <c r="N53" s="49"/>
      <c r="O53" s="49"/>
      <c r="P53" s="49"/>
      <c r="Q53" s="49" t="s">
        <v>78</v>
      </c>
      <c r="R53" s="82"/>
      <c r="S53" s="82"/>
      <c r="T53" s="75"/>
      <c r="U53" s="75"/>
      <c r="V53" s="75"/>
      <c r="W53" s="75"/>
      <c r="X53" s="75"/>
      <c r="Y53" s="75"/>
      <c r="Z53" s="506"/>
      <c r="AA53" s="500"/>
    </row>
    <row r="54" spans="1:27" ht="15.75" hidden="1" customHeight="1">
      <c r="A54" s="454"/>
      <c r="B54" s="508"/>
      <c r="C54" s="206"/>
      <c r="D54" s="206" t="s">
        <v>800</v>
      </c>
      <c r="E54" s="578">
        <f>pole1/1000</f>
        <v>1.1366418230965492</v>
      </c>
      <c r="F54" s="809" t="s">
        <v>2</v>
      </c>
      <c r="G54" s="89"/>
      <c r="H54" s="89"/>
      <c r="I54" s="82"/>
      <c r="J54" s="212"/>
      <c r="K54" s="82"/>
      <c r="L54" s="82"/>
      <c r="M54" s="49"/>
      <c r="N54" s="49"/>
      <c r="O54" s="49"/>
      <c r="P54" s="49"/>
      <c r="Q54" s="49"/>
      <c r="R54" s="82"/>
      <c r="S54" s="82"/>
      <c r="T54" s="75"/>
      <c r="U54" s="75"/>
      <c r="V54" s="75"/>
      <c r="W54" s="75"/>
      <c r="X54" s="75"/>
      <c r="Y54" s="75"/>
      <c r="Z54" s="506"/>
      <c r="AA54" s="500"/>
    </row>
    <row r="55" spans="1:27" ht="15.75" hidden="1" customHeight="1">
      <c r="A55" s="134"/>
      <c r="B55" s="133"/>
      <c r="C55" s="135"/>
      <c r="D55" s="135" t="s">
        <v>797</v>
      </c>
      <c r="E55" s="759">
        <f>Zero1/1000</f>
        <v>723.43156033525634</v>
      </c>
      <c r="F55" s="136" t="s">
        <v>2</v>
      </c>
      <c r="G55" s="89"/>
      <c r="H55" s="135"/>
      <c r="I55" s="211"/>
      <c r="J55" s="213"/>
      <c r="K55" s="82"/>
      <c r="L55" s="82"/>
      <c r="M55" s="49"/>
      <c r="N55" s="49"/>
      <c r="O55" s="49"/>
      <c r="P55" s="49"/>
      <c r="Q55" s="49"/>
      <c r="R55" s="82"/>
      <c r="S55" s="82"/>
      <c r="T55" s="75"/>
      <c r="U55" s="75"/>
      <c r="V55" s="75"/>
      <c r="W55" s="75"/>
      <c r="X55" s="75"/>
      <c r="Y55" s="75"/>
      <c r="Z55" s="506"/>
      <c r="AA55" s="500"/>
    </row>
    <row r="56" spans="1:27" ht="15.75" hidden="1" customHeight="1">
      <c r="A56" s="134"/>
      <c r="B56" s="133"/>
      <c r="C56" s="135"/>
      <c r="D56" s="135" t="s">
        <v>798</v>
      </c>
      <c r="E56" s="759">
        <f>z_RHP/1000</f>
        <v>60.785334828896048</v>
      </c>
      <c r="F56" s="136" t="s">
        <v>2</v>
      </c>
      <c r="G56" s="89"/>
      <c r="H56" s="135"/>
      <c r="I56" s="211"/>
      <c r="J56" s="213"/>
      <c r="K56" s="82"/>
      <c r="L56" s="82"/>
      <c r="M56" s="49"/>
      <c r="N56" s="49"/>
      <c r="O56" s="49"/>
      <c r="P56" s="49"/>
      <c r="Q56" s="49"/>
      <c r="R56" s="82"/>
      <c r="S56" s="82"/>
      <c r="T56" s="75"/>
      <c r="U56" s="75"/>
      <c r="V56" s="75"/>
      <c r="W56" s="75"/>
      <c r="X56" s="75"/>
      <c r="Y56" s="75"/>
      <c r="Z56" s="506"/>
      <c r="AA56" s="500"/>
    </row>
    <row r="57" spans="1:27" ht="15.75" customHeight="1">
      <c r="A57" s="454"/>
      <c r="B57" s="508"/>
      <c r="C57" s="206"/>
      <c r="D57" s="206" t="s">
        <v>799</v>
      </c>
      <c r="E57" s="578">
        <f>MIN(E56/10,'Calculations - Single'!DC212/10)*0+MIN(E56/10,CHOOSE(MODE,'Calculations - Single'!DC212/10,'Calculations - Dual'!DQ212/10))</f>
        <v>2.0096908614265976</v>
      </c>
      <c r="F57" s="809" t="s">
        <v>2</v>
      </c>
      <c r="G57" s="89"/>
      <c r="H57" s="89"/>
      <c r="I57" s="49"/>
      <c r="J57" s="49"/>
      <c r="K57" s="49"/>
      <c r="L57" s="49"/>
      <c r="M57" s="49"/>
      <c r="N57" s="49"/>
      <c r="O57" s="49"/>
      <c r="P57" s="49"/>
      <c r="Q57" s="49"/>
      <c r="R57" s="82"/>
      <c r="S57" s="82"/>
      <c r="T57" s="75"/>
      <c r="U57" s="75"/>
      <c r="V57" s="75"/>
      <c r="W57" s="75"/>
      <c r="X57" s="75"/>
      <c r="Y57" s="75"/>
      <c r="Z57" s="506"/>
      <c r="AA57" s="500"/>
    </row>
    <row r="58" spans="1:27" ht="15.75" customHeight="1">
      <c r="A58" s="134"/>
      <c r="B58" s="133"/>
      <c r="C58" s="133"/>
      <c r="D58" s="149" t="s">
        <v>864</v>
      </c>
      <c r="E58" s="582">
        <v>1</v>
      </c>
      <c r="F58" s="866" t="s">
        <v>2</v>
      </c>
      <c r="G58" s="89"/>
      <c r="H58" s="89"/>
      <c r="I58" s="49"/>
      <c r="J58" s="49"/>
      <c r="K58" s="49"/>
      <c r="L58" s="49"/>
      <c r="M58" s="49"/>
      <c r="N58" s="49"/>
      <c r="O58" s="49"/>
      <c r="P58" s="49"/>
      <c r="Q58" s="49"/>
      <c r="R58" s="82"/>
      <c r="S58" s="82"/>
      <c r="T58" s="75"/>
      <c r="U58" s="75"/>
      <c r="V58" s="75"/>
      <c r="W58" s="75"/>
      <c r="X58" s="75"/>
      <c r="Y58" s="75"/>
      <c r="Z58" s="506"/>
      <c r="AA58" s="500"/>
    </row>
    <row r="59" spans="1:27" ht="15.75" customHeight="1">
      <c r="A59" s="134"/>
      <c r="B59" s="133"/>
      <c r="C59" s="135"/>
      <c r="D59" s="135" t="s">
        <v>815</v>
      </c>
      <c r="E59" s="759">
        <f>'Stability Calculations'!D64</f>
        <v>1.476429682959689</v>
      </c>
      <c r="F59" s="867" t="s">
        <v>813</v>
      </c>
      <c r="G59" s="89"/>
      <c r="H59" s="89"/>
      <c r="I59" s="49"/>
      <c r="J59" s="49"/>
      <c r="K59" s="49"/>
      <c r="L59" s="49"/>
      <c r="M59" s="49"/>
      <c r="N59" s="49"/>
      <c r="O59" s="49"/>
      <c r="P59" s="49"/>
      <c r="Q59" s="49"/>
      <c r="R59" s="82"/>
      <c r="S59" s="82"/>
      <c r="T59" s="75"/>
      <c r="U59" s="75"/>
      <c r="V59" s="75"/>
      <c r="W59" s="75"/>
      <c r="X59" s="75"/>
      <c r="Y59" s="75"/>
      <c r="Z59" s="506"/>
      <c r="AA59" s="500"/>
    </row>
    <row r="60" spans="1:27" ht="15.75" customHeight="1">
      <c r="A60" s="134"/>
      <c r="B60" s="133"/>
      <c r="C60" s="135"/>
      <c r="D60" s="149" t="s">
        <v>816</v>
      </c>
      <c r="E60" s="778">
        <v>1.5</v>
      </c>
      <c r="F60" s="866" t="s">
        <v>814</v>
      </c>
      <c r="G60" s="89"/>
      <c r="H60" s="89"/>
      <c r="I60" s="49"/>
      <c r="J60" s="49"/>
      <c r="K60" s="49"/>
      <c r="L60" s="49"/>
      <c r="M60" s="49"/>
      <c r="N60" s="49"/>
      <c r="O60" s="49"/>
      <c r="P60" s="49"/>
      <c r="Q60" s="49"/>
      <c r="R60" s="82"/>
      <c r="S60" s="82"/>
      <c r="T60" s="75"/>
      <c r="U60" s="75"/>
      <c r="V60" s="75"/>
      <c r="W60" s="75"/>
      <c r="X60" s="75"/>
      <c r="Y60" s="75"/>
      <c r="Z60" s="506"/>
      <c r="AA60" s="500"/>
    </row>
    <row r="61" spans="1:27" ht="16.5" customHeight="1">
      <c r="A61" s="134"/>
      <c r="B61" s="133"/>
      <c r="C61" s="135"/>
      <c r="D61" s="135" t="s">
        <v>817</v>
      </c>
      <c r="E61" s="759">
        <f>'Stability Calculations'!D65</f>
        <v>47.44319853387784</v>
      </c>
      <c r="F61" s="868" t="s">
        <v>56</v>
      </c>
      <c r="G61" s="89"/>
      <c r="H61" s="89"/>
      <c r="I61" s="49"/>
      <c r="J61" s="49"/>
      <c r="K61" s="49"/>
      <c r="L61" s="49"/>
      <c r="M61" s="49"/>
      <c r="N61" s="49"/>
      <c r="O61" s="49"/>
      <c r="P61" s="49"/>
      <c r="Q61" s="49"/>
      <c r="R61" s="82"/>
      <c r="S61" s="82"/>
      <c r="T61" s="75"/>
      <c r="U61" s="75"/>
      <c r="V61" s="75"/>
      <c r="W61" s="75"/>
      <c r="X61" s="75"/>
      <c r="Y61" s="75"/>
      <c r="Z61" s="506"/>
      <c r="AA61" s="500"/>
    </row>
    <row r="62" spans="1:27" ht="15.75" customHeight="1">
      <c r="A62" s="134"/>
      <c r="B62" s="133"/>
      <c r="C62" s="135"/>
      <c r="D62" s="149" t="s">
        <v>818</v>
      </c>
      <c r="E62" s="778">
        <v>47.4</v>
      </c>
      <c r="F62" s="866" t="s">
        <v>56</v>
      </c>
      <c r="G62" s="89"/>
      <c r="H62" s="89"/>
      <c r="I62" s="49"/>
      <c r="J62" s="49"/>
      <c r="K62" s="49"/>
      <c r="L62" s="49"/>
      <c r="M62" s="49"/>
      <c r="N62" s="49"/>
      <c r="O62" s="49"/>
      <c r="P62" s="49"/>
      <c r="Q62" s="49"/>
      <c r="R62" s="82"/>
      <c r="S62" s="82"/>
      <c r="T62" s="75"/>
      <c r="U62" s="75"/>
      <c r="V62" s="75"/>
      <c r="W62" s="75"/>
      <c r="X62" s="75"/>
      <c r="Y62" s="75"/>
      <c r="Z62" s="506"/>
      <c r="AA62" s="500"/>
    </row>
    <row r="63" spans="1:27" ht="15.75" customHeight="1">
      <c r="A63" s="134"/>
      <c r="B63" s="133"/>
      <c r="C63" s="135"/>
      <c r="D63" s="135" t="s">
        <v>819</v>
      </c>
      <c r="E63" s="776">
        <f>'Stability Calculations'!D66</f>
        <v>316.28799022585224</v>
      </c>
      <c r="F63" s="868" t="s">
        <v>15</v>
      </c>
      <c r="G63" s="89"/>
      <c r="H63" s="89"/>
      <c r="I63" s="49"/>
      <c r="J63" s="49"/>
      <c r="K63" s="49"/>
      <c r="L63" s="49"/>
      <c r="M63" s="49"/>
      <c r="N63" s="49"/>
      <c r="O63" s="49"/>
      <c r="P63" s="49"/>
      <c r="Q63" s="49"/>
      <c r="R63" s="82"/>
      <c r="S63" s="82"/>
      <c r="T63" s="75"/>
      <c r="U63" s="75"/>
      <c r="V63" s="812" t="s">
        <v>863</v>
      </c>
      <c r="W63" s="813">
        <f>Vin</f>
        <v>58</v>
      </c>
      <c r="X63" s="734" t="s">
        <v>0</v>
      </c>
      <c r="Y63" s="75"/>
      <c r="Z63" s="506"/>
      <c r="AA63" s="500"/>
    </row>
    <row r="64" spans="1:27" ht="15.75" customHeight="1" thickBot="1">
      <c r="A64" s="787"/>
      <c r="B64" s="151"/>
      <c r="C64" s="151"/>
      <c r="D64" s="510" t="s">
        <v>820</v>
      </c>
      <c r="E64" s="810">
        <v>316</v>
      </c>
      <c r="F64" s="811" t="s">
        <v>15</v>
      </c>
      <c r="G64" s="89"/>
      <c r="H64" s="89"/>
      <c r="I64" s="49"/>
      <c r="J64" s="49"/>
      <c r="K64" s="49"/>
      <c r="L64" s="49"/>
      <c r="M64" s="49"/>
      <c r="N64" s="49"/>
      <c r="O64" s="49"/>
      <c r="P64" s="49"/>
      <c r="Q64" s="49"/>
      <c r="R64" s="82"/>
      <c r="S64" s="82"/>
      <c r="T64" s="75"/>
      <c r="U64" s="75"/>
      <c r="V64" s="75"/>
      <c r="W64" s="75"/>
      <c r="X64" s="75"/>
      <c r="Y64" s="75"/>
      <c r="Z64" s="506"/>
      <c r="AA64" s="500"/>
    </row>
    <row r="65" spans="1:27" ht="15.75" customHeight="1">
      <c r="A65" s="134"/>
      <c r="B65" s="133"/>
      <c r="C65" s="133"/>
      <c r="D65" s="135"/>
      <c r="E65" s="777"/>
      <c r="F65" s="75"/>
      <c r="G65" s="89"/>
      <c r="H65" s="89"/>
      <c r="I65" s="49"/>
      <c r="J65" s="49"/>
      <c r="K65" s="49"/>
      <c r="L65" s="49"/>
      <c r="M65" s="49"/>
      <c r="N65" s="49"/>
      <c r="O65" s="49"/>
      <c r="P65" s="49"/>
      <c r="Q65" s="49"/>
      <c r="R65" s="82"/>
      <c r="S65" s="82"/>
      <c r="T65" s="75"/>
      <c r="U65" s="75"/>
      <c r="V65" s="75"/>
      <c r="W65" s="75"/>
      <c r="X65" s="75"/>
      <c r="Y65" s="75"/>
      <c r="Z65" s="506"/>
      <c r="AA65" s="500"/>
    </row>
    <row r="66" spans="1:27" ht="15.75" customHeight="1" thickBot="1">
      <c r="A66" s="106" t="s">
        <v>894</v>
      </c>
      <c r="B66" s="133"/>
      <c r="C66" s="133"/>
      <c r="D66" s="135"/>
      <c r="E66" s="777"/>
      <c r="F66" s="75"/>
      <c r="G66" s="903" t="s">
        <v>945</v>
      </c>
      <c r="H66" s="89"/>
      <c r="I66" s="49"/>
      <c r="J66" s="49"/>
      <c r="K66" s="49"/>
      <c r="L66" s="49"/>
      <c r="M66" s="49"/>
      <c r="N66" s="49"/>
      <c r="O66" s="49"/>
      <c r="P66" s="49"/>
      <c r="Q66" s="49"/>
      <c r="R66" s="82"/>
      <c r="S66" s="82"/>
      <c r="T66" s="75"/>
      <c r="U66" s="75"/>
      <c r="V66" s="75"/>
      <c r="W66" s="75"/>
      <c r="X66" s="75"/>
      <c r="Y66" s="75"/>
      <c r="Z66" s="506"/>
      <c r="AA66" s="500"/>
    </row>
    <row r="67" spans="1:27" ht="15.75" customHeight="1" thickBot="1">
      <c r="A67" s="454"/>
      <c r="B67" s="508"/>
      <c r="C67" s="508"/>
      <c r="D67" s="206" t="str">
        <f>CHOOSE(MODE, "Initial Csnb", "Inisitial Csnb1")</f>
        <v>Initial Csnb</v>
      </c>
      <c r="E67" s="869">
        <v>22</v>
      </c>
      <c r="F67" s="860" t="s">
        <v>15</v>
      </c>
      <c r="G67" s="89"/>
      <c r="H67" s="872"/>
      <c r="I67" s="873"/>
      <c r="J67" s="874"/>
      <c r="K67" s="875" t="s">
        <v>892</v>
      </c>
      <c r="L67" s="875">
        <v>22</v>
      </c>
      <c r="M67" s="815" t="s">
        <v>15</v>
      </c>
      <c r="N67" s="733"/>
      <c r="O67" s="49"/>
      <c r="P67" s="734"/>
      <c r="Q67" s="49"/>
      <c r="R67" s="82"/>
      <c r="S67" s="82"/>
      <c r="T67" s="75"/>
      <c r="U67" s="75"/>
      <c r="V67" s="75"/>
      <c r="W67" s="75"/>
      <c r="X67" s="75"/>
      <c r="Y67" s="75"/>
      <c r="Z67" s="506"/>
      <c r="AA67" s="500"/>
    </row>
    <row r="68" spans="1:27" ht="15.75" customHeight="1">
      <c r="A68" s="134"/>
      <c r="B68" s="133"/>
      <c r="C68" s="133"/>
      <c r="D68" s="135" t="s">
        <v>890</v>
      </c>
      <c r="E68" s="777">
        <f>(VIN_max/Npri_sec1+E10)*1.3</f>
        <v>130</v>
      </c>
      <c r="F68" s="867" t="s">
        <v>0</v>
      </c>
      <c r="G68" s="881"/>
      <c r="H68" s="876"/>
      <c r="I68" s="211"/>
      <c r="J68" s="213"/>
      <c r="K68" s="135" t="s">
        <v>890</v>
      </c>
      <c r="L68" s="865">
        <f>E8/Nps*Nsec1sec2+Vout</f>
        <v>61.019108280254777</v>
      </c>
      <c r="M68" s="877" t="s">
        <v>0</v>
      </c>
      <c r="N68" s="49"/>
      <c r="O68" s="49"/>
      <c r="P68" s="49"/>
      <c r="Q68" s="49"/>
      <c r="R68" s="82"/>
      <c r="S68" s="82"/>
      <c r="T68" s="75"/>
      <c r="U68" s="75"/>
      <c r="V68" s="75"/>
      <c r="W68" s="75"/>
      <c r="X68" s="75"/>
      <c r="Y68" s="75"/>
      <c r="Z68" s="506"/>
      <c r="AA68" s="500"/>
    </row>
    <row r="69" spans="1:27" ht="16.5" customHeight="1" thickBot="1">
      <c r="A69" s="134"/>
      <c r="B69" s="133"/>
      <c r="C69" s="133"/>
      <c r="D69" s="135" t="str">
        <f>CHOOSE(MODE, "Initial Rsnb", "Inisitial Rsnb1")</f>
        <v>Initial Rsnb</v>
      </c>
      <c r="E69" s="777">
        <v>100</v>
      </c>
      <c r="F69" s="867" t="s">
        <v>136</v>
      </c>
      <c r="G69" s="882"/>
      <c r="H69" s="88"/>
      <c r="I69" s="49"/>
      <c r="J69" s="74"/>
      <c r="K69" s="89" t="s">
        <v>893</v>
      </c>
      <c r="L69" s="89">
        <v>100</v>
      </c>
      <c r="M69" s="867" t="s">
        <v>136</v>
      </c>
      <c r="N69" s="49"/>
      <c r="O69" s="49"/>
      <c r="P69" s="49"/>
      <c r="Q69" s="49"/>
      <c r="R69" s="82"/>
      <c r="S69" s="82"/>
      <c r="T69" s="75"/>
      <c r="U69" s="75"/>
      <c r="V69" s="75"/>
      <c r="W69" s="75"/>
      <c r="X69" s="75"/>
      <c r="Y69" s="75"/>
      <c r="Z69" s="506"/>
      <c r="AA69" s="500"/>
    </row>
    <row r="70" spans="1:27" ht="15.75" customHeight="1" thickBot="1">
      <c r="A70" s="787"/>
      <c r="B70" s="151"/>
      <c r="C70" s="151"/>
      <c r="D70" s="507" t="s">
        <v>891</v>
      </c>
      <c r="E70" s="880">
        <f>E68*E68*E67*0.000000000001*350000*3</f>
        <v>0.39039000000000001</v>
      </c>
      <c r="F70" s="871" t="s">
        <v>45</v>
      </c>
      <c r="G70" s="89"/>
      <c r="H70" s="853"/>
      <c r="I70" s="504"/>
      <c r="J70" s="878"/>
      <c r="K70" s="507" t="s">
        <v>891</v>
      </c>
      <c r="L70" s="879">
        <f>L68*L68*L67*0.000000000001*350000*3</f>
        <v>8.6008959389833259E-2</v>
      </c>
      <c r="M70" s="105" t="s">
        <v>45</v>
      </c>
      <c r="N70" s="49"/>
      <c r="O70" s="49"/>
      <c r="P70" s="49"/>
      <c r="Q70" s="49"/>
      <c r="R70" s="82"/>
      <c r="S70" s="82"/>
      <c r="T70" s="75"/>
      <c r="U70" s="75"/>
      <c r="V70" s="75"/>
      <c r="W70" s="75"/>
      <c r="X70" s="75"/>
      <c r="Y70" s="75"/>
      <c r="Z70" s="506"/>
      <c r="AA70" s="500"/>
    </row>
    <row r="71" spans="1:27" ht="15.75" customHeight="1">
      <c r="A71" s="134"/>
      <c r="B71" s="133"/>
      <c r="C71" s="133"/>
      <c r="D71" s="135"/>
      <c r="E71" s="777"/>
      <c r="F71" s="75"/>
      <c r="G71" s="89"/>
      <c r="H71" s="89"/>
      <c r="I71" s="49"/>
      <c r="J71" s="74"/>
      <c r="K71" s="49"/>
      <c r="L71" s="49"/>
      <c r="M71" s="49"/>
      <c r="N71" s="49"/>
      <c r="O71" s="49"/>
      <c r="P71" s="49"/>
      <c r="Q71" s="49"/>
      <c r="R71" s="82"/>
      <c r="S71" s="82"/>
      <c r="T71" s="75"/>
      <c r="U71" s="75"/>
      <c r="V71" s="75"/>
      <c r="W71" s="75"/>
      <c r="X71" s="75"/>
      <c r="Y71" s="75"/>
      <c r="Z71" s="506"/>
      <c r="AA71" s="500"/>
    </row>
    <row r="72" spans="1:27" ht="15.75" customHeight="1" thickBot="1">
      <c r="A72" s="106" t="s">
        <v>895</v>
      </c>
      <c r="B72" s="133"/>
      <c r="C72" s="133"/>
      <c r="D72" s="135"/>
      <c r="E72" s="777"/>
      <c r="F72" s="75"/>
      <c r="G72" s="89"/>
      <c r="H72" s="89"/>
      <c r="I72" s="49"/>
      <c r="J72" s="74"/>
      <c r="K72" s="49"/>
      <c r="L72" s="49"/>
      <c r="M72" s="49"/>
      <c r="N72" s="49"/>
      <c r="O72" s="49"/>
      <c r="P72" s="49"/>
      <c r="Q72" s="49"/>
      <c r="R72" s="82"/>
      <c r="S72" s="82"/>
      <c r="T72" s="75"/>
      <c r="U72" s="75"/>
      <c r="V72" s="75"/>
      <c r="W72" s="75"/>
      <c r="X72" s="75"/>
      <c r="Y72" s="75"/>
      <c r="Z72" s="506"/>
      <c r="AA72" s="500"/>
    </row>
    <row r="73" spans="1:27" ht="15.75" customHeight="1" thickBot="1">
      <c r="A73" s="454"/>
      <c r="B73" s="508"/>
      <c r="C73" s="508"/>
      <c r="D73" s="818" t="str">
        <f>CHOOSE(MODE, "Min Load Current, IOUT_min ", "Min Load Current, IOUT1_min")</f>
        <v xml:space="preserve">Min Load Current, IOUT_min </v>
      </c>
      <c r="E73" s="886">
        <v>5.0000000000000001E-4</v>
      </c>
      <c r="F73" s="887" t="s">
        <v>1</v>
      </c>
      <c r="G73" s="89"/>
      <c r="H73" s="422"/>
      <c r="I73" s="584"/>
      <c r="J73" s="584"/>
      <c r="K73" s="788" t="str">
        <f>CHOOSE(MODE, " ", "Min Load Current, IOUT2min")</f>
        <v xml:space="preserve"> </v>
      </c>
      <c r="L73" s="897">
        <v>5.0000000000000001E-4</v>
      </c>
      <c r="M73" s="890" t="str">
        <f>CHOOSE(MODE, "", "A")</f>
        <v/>
      </c>
      <c r="N73" s="49"/>
      <c r="O73" s="49"/>
      <c r="P73" s="49"/>
      <c r="Q73" s="49"/>
      <c r="R73" s="82"/>
      <c r="S73" s="82"/>
      <c r="T73" s="75"/>
      <c r="U73" s="75"/>
      <c r="V73" s="75"/>
      <c r="W73" s="75"/>
      <c r="X73" s="75"/>
      <c r="Y73" s="75"/>
      <c r="Z73" s="506"/>
      <c r="AA73" s="500"/>
    </row>
    <row r="74" spans="1:27" ht="15.75" customHeight="1">
      <c r="A74" s="134"/>
      <c r="B74" s="133"/>
      <c r="C74" s="133"/>
      <c r="D74" s="149" t="str">
        <f>CHOOSE(MODE, "Max VOUT Limit","Max VOUT1 Limit")</f>
        <v>Max VOUT Limit</v>
      </c>
      <c r="E74" s="883">
        <v>18</v>
      </c>
      <c r="F74" s="888" t="s">
        <v>0</v>
      </c>
      <c r="G74" s="881"/>
      <c r="H74" s="88"/>
      <c r="I74" s="49"/>
      <c r="J74" s="49"/>
      <c r="K74" s="86" t="str">
        <f>CHOOSE(MODE,"","Max Output Voltage Limit, VOUT2max")</f>
        <v/>
      </c>
      <c r="L74" s="898">
        <v>31</v>
      </c>
      <c r="M74" s="891" t="str">
        <f>CHOOSE(MODE,"","V")</f>
        <v/>
      </c>
      <c r="N74" s="49"/>
      <c r="O74" s="49"/>
      <c r="P74" s="49"/>
      <c r="Q74" s="49"/>
      <c r="R74" s="82"/>
      <c r="S74" s="82"/>
      <c r="T74" s="75"/>
      <c r="U74" s="75"/>
      <c r="V74" s="75"/>
      <c r="W74" s="75"/>
      <c r="X74" s="75"/>
      <c r="Y74" s="75"/>
      <c r="Z74" s="506"/>
      <c r="AA74" s="500"/>
    </row>
    <row r="75" spans="1:27" ht="15.75" customHeight="1">
      <c r="A75" s="134"/>
      <c r="B75" s="133"/>
      <c r="C75" s="133"/>
      <c r="D75" s="135" t="str">
        <f>CHOOSE(MODE," Zener Clamp Dz or Dymmy Load Rdmy","Zener Clamp Dz1 or Dummy Load Rdmy1")</f>
        <v xml:space="preserve"> Zener Clamp Dz or Dymmy Load Rdmy</v>
      </c>
      <c r="E75" s="889" t="str">
        <f>CHOOSE(MODE, IF('Calculations - Single'!G329="Yes",IF(E74&gt;ROUND(Vout*11.25,0)/10, IF(E74/E10&gt;1.4,"None", "Dz"), "Rdmy"), "None"), IF('Calculations - Dual'!G329="Yes",IF(E74&gt;ROUND(Vout*11.25,0)/10, IF(E74/E10&gt;1.4,"None","Dz1"), "Rdmy1"), "None"))</f>
        <v>Dz</v>
      </c>
      <c r="F75" s="867"/>
      <c r="G75" s="896"/>
      <c r="H75" s="88"/>
      <c r="I75" s="49"/>
      <c r="J75" s="49"/>
      <c r="K75" s="87" t="str">
        <f>CHOOSE(MODE,"","Zener Clamp Dz2 or Dummy Load Rdmy2")</f>
        <v/>
      </c>
      <c r="L75" s="899" t="str">
        <f>CHOOSE(MODE, "", IF('Calculations - Dual'!N329="Yes",IF(ABS(L74)&gt;ROUND(Vout2*11.25,0)/10, IF(L74/Vout2&gt;1.4,"None","Dz2"), "Rdmy2"), "None"))</f>
        <v/>
      </c>
      <c r="M75" s="892"/>
      <c r="N75" s="49"/>
      <c r="O75" s="49"/>
      <c r="P75" s="49"/>
      <c r="Q75" s="49"/>
      <c r="R75" s="82"/>
      <c r="S75" s="82"/>
      <c r="T75" s="75"/>
      <c r="U75" s="75"/>
      <c r="V75" s="75"/>
      <c r="W75" s="75"/>
      <c r="X75" s="75"/>
      <c r="Y75" s="75"/>
      <c r="Z75" s="506"/>
      <c r="AA75" s="500"/>
    </row>
    <row r="76" spans="1:27" ht="15.75" customHeight="1" thickBot="1">
      <c r="A76" s="134"/>
      <c r="B76" s="133"/>
      <c r="C76" s="133"/>
      <c r="D76" s="135" t="s">
        <v>959</v>
      </c>
      <c r="E76" s="916">
        <f>CHOOSE(MODE,IF(OR(E75="Rdmy",E75="Rdmy1"),'Standard Value Calculator'!J23,IF(E75="None","None",ROUND(E74/0.0105,0)/100)),IF(OR(E75="Rdmy",E75="Rdmy1"),'Standard Value Calculator'!J24,IF(E75="None","None",ROUND(E74/0.0105,0)/100)))</f>
        <v>17.14</v>
      </c>
      <c r="F76" s="867" t="str">
        <f>IF(OR(E75="DZ", E75="DZ1"), "V", IF(OR(E75="Rdmy", E75="Rdmy1"),"Ohm", ""))</f>
        <v>V</v>
      </c>
      <c r="G76" s="882"/>
      <c r="H76" s="876"/>
      <c r="I76" s="211"/>
      <c r="J76" s="213"/>
      <c r="K76" s="87" t="str">
        <f>CHOOSE(MODE, "", "Selection "&amp;IF(L75="Dz", "Zener Clamp (5%)", IF(L75="Rdym", "Dummy Load (1%)", "")))</f>
        <v/>
      </c>
      <c r="L76" s="858" t="str">
        <f>CHOOSE(MODE,"",IF(L75="Rdmy2",'Standard Value Calculator'!J25,IF(L75="None","None",ROUND(ABS(L74)/0.0105,0)/100)))</f>
        <v/>
      </c>
      <c r="M76" s="838" t="str">
        <f>IF(L75="DZ2", "V", IF(L75="Rdmy2","Ohm", ""))</f>
        <v/>
      </c>
      <c r="N76" s="49"/>
      <c r="O76" s="49"/>
      <c r="P76" s="49"/>
      <c r="Q76" s="49"/>
      <c r="R76" s="82"/>
      <c r="S76" s="82"/>
      <c r="T76" s="75"/>
      <c r="U76" s="75"/>
      <c r="V76" s="75"/>
      <c r="W76" s="75"/>
      <c r="X76" s="75"/>
      <c r="Y76" s="75"/>
      <c r="Z76" s="506"/>
      <c r="AA76" s="500"/>
    </row>
    <row r="77" spans="1:27" ht="15.75" customHeight="1" thickBot="1">
      <c r="A77" s="787"/>
      <c r="B77" s="151"/>
      <c r="C77" s="151"/>
      <c r="D77" s="507" t="s">
        <v>897</v>
      </c>
      <c r="E77" s="870">
        <f>IF(OR(E75="Rdmy",E75="Rdmy1"),(Vout*1.08)^2/E76*4, IF(OR(E75="Dz",E75="Dz1"), E76*1.065*E73*4*1*0+'Standard Value Calculator'!I27*5, "N/A"))</f>
        <v>1.0034722222222219</v>
      </c>
      <c r="F77" s="871" t="s">
        <v>45</v>
      </c>
      <c r="G77" s="89"/>
      <c r="H77" s="893"/>
      <c r="I77" s="894"/>
      <c r="J77" s="895"/>
      <c r="K77" s="208" t="str">
        <f>CHOOSE(MODE, "", "Selected Device Min Power Rating&gt;")</f>
        <v/>
      </c>
      <c r="L77" s="560" t="str">
        <f>CHOOSE(MODE, "", IF(L75="Rdmy2",(Vout2*1.08)^2/L76*4, IF(L75="Dz2", ABS(L60*1.065*L73*4*0+'Standard Value Calculator'!I29*5), "")))</f>
        <v/>
      </c>
      <c r="M77" s="816" t="str">
        <f>CHOOSE(MODE, "", "W")</f>
        <v/>
      </c>
      <c r="N77" s="49"/>
      <c r="O77" s="49"/>
      <c r="P77" s="49"/>
      <c r="Q77" s="49"/>
      <c r="R77" s="82"/>
      <c r="S77" s="82"/>
      <c r="T77" s="75"/>
      <c r="U77" s="75"/>
      <c r="V77" s="75"/>
      <c r="W77" s="75"/>
      <c r="X77" s="75"/>
      <c r="Y77" s="75"/>
      <c r="Z77" s="506"/>
      <c r="AA77" s="500"/>
    </row>
    <row r="78" spans="1:27" ht="15.75" customHeight="1">
      <c r="A78" s="134"/>
      <c r="B78" s="133"/>
      <c r="C78" s="133"/>
      <c r="D78" s="135"/>
      <c r="E78" s="777"/>
      <c r="F78" s="75"/>
      <c r="G78" s="89"/>
      <c r="H78" s="135"/>
      <c r="I78" s="211"/>
      <c r="J78" s="213"/>
      <c r="K78" s="82"/>
      <c r="L78" s="82"/>
      <c r="M78" s="49"/>
      <c r="N78" s="49"/>
      <c r="O78" s="49"/>
      <c r="P78" s="49"/>
      <c r="Q78" s="49"/>
      <c r="R78" s="82"/>
      <c r="S78" s="82"/>
      <c r="T78" s="75"/>
      <c r="U78" s="75"/>
      <c r="V78" s="75"/>
      <c r="W78" s="75"/>
      <c r="X78" s="75"/>
      <c r="Y78" s="75"/>
      <c r="Z78" s="506"/>
      <c r="AA78" s="500"/>
    </row>
    <row r="79" spans="1:27" ht="15.75" customHeight="1" thickBot="1">
      <c r="A79" s="455" t="s">
        <v>896</v>
      </c>
      <c r="B79" s="89"/>
      <c r="C79" s="89"/>
      <c r="D79" s="87"/>
      <c r="E79" s="99"/>
      <c r="F79" s="89"/>
      <c r="G79" s="89"/>
      <c r="H79" s="135"/>
      <c r="I79" s="211"/>
      <c r="J79" s="213"/>
      <c r="K79" s="82"/>
      <c r="L79" s="82"/>
      <c r="M79" s="49"/>
      <c r="N79" s="49"/>
      <c r="O79" s="49"/>
      <c r="P79" s="49"/>
      <c r="Q79" s="49"/>
      <c r="R79" s="82"/>
      <c r="S79" s="82"/>
      <c r="T79" s="75"/>
      <c r="U79" s="75"/>
      <c r="V79" s="75"/>
      <c r="W79" s="75"/>
      <c r="X79" s="75"/>
      <c r="Y79" s="75"/>
      <c r="Z79" s="506"/>
      <c r="AA79" s="500"/>
    </row>
    <row r="80" spans="1:27" ht="15.75" customHeight="1">
      <c r="A80" s="566"/>
      <c r="B80" s="501"/>
      <c r="C80" s="501"/>
      <c r="D80" s="567" t="s">
        <v>924</v>
      </c>
      <c r="E80" s="570">
        <v>0.4</v>
      </c>
      <c r="F80" s="568" t="s">
        <v>0</v>
      </c>
      <c r="G80" s="89"/>
      <c r="H80" s="135"/>
      <c r="I80" s="211"/>
      <c r="J80" s="213"/>
      <c r="K80" s="82"/>
      <c r="L80" s="82"/>
      <c r="M80" s="49"/>
      <c r="N80" s="49"/>
      <c r="O80" s="49"/>
      <c r="P80" s="49"/>
      <c r="Q80" s="49"/>
      <c r="R80" s="82"/>
      <c r="S80" s="82"/>
      <c r="T80" s="75"/>
      <c r="U80" s="75"/>
      <c r="V80" s="75"/>
      <c r="W80" s="75"/>
      <c r="X80" s="75"/>
      <c r="Y80" s="75"/>
      <c r="Z80" s="506"/>
      <c r="AA80" s="500"/>
    </row>
    <row r="81" spans="1:35" ht="15.75" customHeight="1">
      <c r="A81" s="425"/>
      <c r="B81" s="75"/>
      <c r="C81" s="75"/>
      <c r="D81" s="842" t="s">
        <v>925</v>
      </c>
      <c r="E81" s="844">
        <f>L31</f>
        <v>0.7</v>
      </c>
      <c r="F81" s="843" t="s">
        <v>0</v>
      </c>
      <c r="G81" s="89"/>
      <c r="H81" s="135"/>
      <c r="I81" s="211"/>
      <c r="J81" s="213"/>
      <c r="K81" s="82"/>
      <c r="L81" s="82"/>
      <c r="M81" s="49"/>
      <c r="N81" s="49"/>
      <c r="O81" s="49"/>
      <c r="P81" s="49"/>
      <c r="Q81" s="49"/>
      <c r="R81" s="82"/>
      <c r="S81" s="82"/>
      <c r="T81" s="75"/>
      <c r="U81" s="75"/>
      <c r="V81" s="75"/>
      <c r="W81" s="75"/>
      <c r="X81" s="75"/>
      <c r="Y81" s="75"/>
      <c r="Z81" s="506"/>
      <c r="AA81" s="500"/>
    </row>
    <row r="82" spans="1:35" ht="15.75" customHeight="1">
      <c r="A82" s="88"/>
      <c r="B82" s="133"/>
      <c r="C82" s="133"/>
      <c r="D82" s="135" t="s">
        <v>958</v>
      </c>
      <c r="E82" s="915">
        <v>52.8</v>
      </c>
      <c r="F82" s="914" t="s">
        <v>84</v>
      </c>
      <c r="G82" s="89"/>
      <c r="H82" s="135"/>
      <c r="I82" s="211"/>
      <c r="J82" s="213"/>
      <c r="K82" s="82"/>
      <c r="L82" s="82"/>
      <c r="M82" s="49"/>
      <c r="N82" s="49"/>
      <c r="O82" s="49"/>
      <c r="P82" s="49"/>
      <c r="Q82" s="49"/>
      <c r="R82" s="82"/>
      <c r="S82" s="82"/>
      <c r="T82" s="75"/>
      <c r="U82" s="75"/>
      <c r="V82" s="75"/>
      <c r="W82" s="75"/>
      <c r="X82" s="75"/>
      <c r="Y82" s="75"/>
      <c r="Z82" s="506"/>
      <c r="AA82" s="500"/>
    </row>
    <row r="83" spans="1:35" ht="15.75" customHeight="1">
      <c r="A83" s="88"/>
      <c r="B83" s="89"/>
      <c r="C83" s="89"/>
      <c r="D83" s="86" t="s">
        <v>505</v>
      </c>
      <c r="E83" s="565">
        <v>85</v>
      </c>
      <c r="F83" s="430" t="s">
        <v>102</v>
      </c>
      <c r="G83" s="89"/>
      <c r="H83" s="135"/>
      <c r="I83" s="211"/>
      <c r="J83" s="213"/>
      <c r="K83" s="82"/>
      <c r="L83" s="82"/>
      <c r="M83" s="49"/>
      <c r="N83" s="49"/>
      <c r="O83" s="49"/>
      <c r="P83" s="49"/>
      <c r="Q83" s="49"/>
      <c r="R83" s="82"/>
      <c r="S83" s="82"/>
      <c r="T83" s="75"/>
      <c r="U83" s="75"/>
      <c r="V83" s="75"/>
      <c r="W83" s="75"/>
      <c r="X83" s="75"/>
      <c r="Y83" s="75"/>
      <c r="Z83" s="506"/>
      <c r="AA83" s="500"/>
    </row>
    <row r="84" spans="1:35" ht="15.75" customHeight="1">
      <c r="A84" s="88"/>
      <c r="B84" s="89"/>
      <c r="C84" s="89"/>
      <c r="D84" s="87" t="s">
        <v>779</v>
      </c>
      <c r="E84" s="370">
        <f>CHOOSE(MODE, 'Calculations - Single'!BL105, 'Calculations - Dual'!BJ105)</f>
        <v>83.349392932948774</v>
      </c>
      <c r="F84" s="103" t="s">
        <v>293</v>
      </c>
      <c r="G84" s="89"/>
      <c r="H84" s="135"/>
      <c r="I84" s="211"/>
      <c r="J84" s="213"/>
      <c r="K84" s="82"/>
      <c r="L84" s="82"/>
      <c r="M84" s="49"/>
      <c r="N84" s="49"/>
      <c r="O84" s="49"/>
      <c r="P84" s="49"/>
      <c r="Q84" s="49"/>
      <c r="R84" s="82"/>
      <c r="S84" s="82"/>
      <c r="T84" s="75"/>
      <c r="U84" s="75"/>
      <c r="V84" s="75"/>
      <c r="W84" s="75"/>
      <c r="X84" s="75"/>
      <c r="Y84" s="75"/>
      <c r="Z84" s="506"/>
      <c r="AA84" s="500"/>
    </row>
    <row r="85" spans="1:35" ht="15.75" customHeight="1" thickBot="1">
      <c r="A85" s="101"/>
      <c r="B85" s="102"/>
      <c r="C85" s="102"/>
      <c r="D85" s="373" t="s">
        <v>780</v>
      </c>
      <c r="E85" s="512">
        <f>E83+E84/1000*ThetaJA</f>
        <v>89.400847946859699</v>
      </c>
      <c r="F85" s="431" t="s">
        <v>102</v>
      </c>
      <c r="G85" s="89"/>
      <c r="H85" s="135"/>
      <c r="I85" s="211"/>
      <c r="J85" s="213"/>
      <c r="K85" s="82"/>
      <c r="L85" s="82"/>
      <c r="M85" s="49"/>
      <c r="N85" s="49"/>
      <c r="O85" s="49"/>
      <c r="P85" s="49"/>
      <c r="Q85" s="49"/>
      <c r="R85" s="82"/>
      <c r="S85" s="82"/>
      <c r="T85" s="75"/>
      <c r="U85" s="75"/>
      <c r="V85" s="75"/>
      <c r="W85" s="75"/>
      <c r="X85" s="75"/>
      <c r="Y85" s="75"/>
      <c r="Z85" s="506"/>
      <c r="AA85" s="500"/>
    </row>
    <row r="86" spans="1:35" ht="15.75" customHeight="1" thickBot="1">
      <c r="A86" s="101"/>
      <c r="B86" s="104"/>
      <c r="C86" s="104"/>
      <c r="D86" s="104"/>
      <c r="E86" s="560"/>
      <c r="F86" s="104"/>
      <c r="G86" s="104"/>
      <c r="H86" s="104"/>
      <c r="I86" s="504"/>
      <c r="J86" s="504"/>
      <c r="K86" s="504"/>
      <c r="L86" s="504"/>
      <c r="M86" s="504"/>
      <c r="N86" s="504"/>
      <c r="O86" s="504"/>
      <c r="P86" s="504"/>
      <c r="Q86" s="504"/>
      <c r="R86" s="502"/>
      <c r="S86" s="502"/>
      <c r="T86" s="502"/>
      <c r="U86" s="503"/>
      <c r="V86" s="503"/>
      <c r="W86" s="502"/>
      <c r="X86" s="502"/>
      <c r="Y86" s="502"/>
      <c r="Z86" s="561"/>
      <c r="AA86" s="500"/>
      <c r="AB86" s="23"/>
      <c r="AC86" s="23"/>
      <c r="AD86" s="23"/>
      <c r="AG86" s="23"/>
      <c r="AH86" s="23"/>
      <c r="AI86" s="23"/>
    </row>
    <row r="87" spans="1:35">
      <c r="A87" s="415"/>
      <c r="B87" s="416"/>
      <c r="C87" s="417"/>
      <c r="D87" s="417"/>
      <c r="E87" s="417"/>
      <c r="F87" s="417"/>
      <c r="G87" s="417"/>
      <c r="H87" s="417"/>
      <c r="I87" s="417"/>
      <c r="J87" s="417"/>
      <c r="K87" s="417"/>
      <c r="L87" s="417"/>
      <c r="M87" s="417"/>
      <c r="N87" s="417"/>
      <c r="O87" s="417"/>
      <c r="P87" s="417"/>
      <c r="Q87" s="417"/>
      <c r="R87" s="414"/>
      <c r="S87" s="414"/>
      <c r="T87" s="414"/>
      <c r="U87" s="500"/>
      <c r="V87" s="500"/>
      <c r="W87" s="414"/>
      <c r="X87" s="414"/>
      <c r="Y87" s="414"/>
      <c r="Z87" s="500"/>
      <c r="AA87" s="500"/>
      <c r="AB87" s="23"/>
      <c r="AC87" s="23"/>
      <c r="AD87" s="23"/>
      <c r="AG87" s="23"/>
      <c r="AH87" s="23"/>
      <c r="AI87" s="23"/>
    </row>
    <row r="88" spans="1:35">
      <c r="A88" s="45"/>
      <c r="B88" s="45"/>
      <c r="C88" s="45"/>
      <c r="D88" s="45"/>
      <c r="E88" s="45"/>
      <c r="F88" s="45"/>
      <c r="G88" s="45"/>
      <c r="H88" s="45"/>
      <c r="I88" s="45"/>
      <c r="J88" s="45"/>
      <c r="K88" s="45" t="s">
        <v>849</v>
      </c>
      <c r="L88" s="45"/>
      <c r="M88" s="45"/>
      <c r="N88" s="45"/>
      <c r="O88" s="45"/>
      <c r="P88" s="45"/>
      <c r="Q88" s="45"/>
      <c r="R88" s="23"/>
      <c r="S88" s="23"/>
      <c r="T88" s="23"/>
      <c r="W88" s="23"/>
      <c r="X88" s="23"/>
      <c r="Y88" s="23"/>
      <c r="AB88" s="23"/>
      <c r="AC88" s="23"/>
      <c r="AD88" s="23"/>
      <c r="AG88" s="23"/>
      <c r="AH88" s="23"/>
      <c r="AI88" s="23"/>
    </row>
    <row r="89" spans="1:35">
      <c r="B89" s="45"/>
      <c r="C89" s="45"/>
      <c r="D89" s="45"/>
      <c r="E89" s="45"/>
      <c r="F89" s="45"/>
      <c r="G89" s="45"/>
      <c r="H89" s="45"/>
      <c r="I89" s="45"/>
      <c r="J89" s="45"/>
      <c r="K89" s="45"/>
      <c r="L89" s="45"/>
      <c r="R89" s="23"/>
      <c r="S89" s="23"/>
      <c r="T89" s="23"/>
      <c r="W89" s="23"/>
      <c r="X89" s="23"/>
      <c r="Y89" s="23"/>
      <c r="AB89" s="23"/>
      <c r="AC89" s="23"/>
      <c r="AD89" s="23"/>
      <c r="AG89" s="23"/>
      <c r="AH89" s="23"/>
      <c r="AI89" s="23"/>
    </row>
    <row r="90" spans="1:35">
      <c r="B90" s="45"/>
      <c r="C90" s="45"/>
      <c r="D90" s="45"/>
      <c r="E90" s="45"/>
      <c r="F90" s="45"/>
      <c r="G90" s="45"/>
      <c r="H90" s="45"/>
      <c r="I90" s="45"/>
      <c r="J90" s="45"/>
      <c r="K90" s="45"/>
      <c r="L90" s="45"/>
      <c r="R90" s="23"/>
      <c r="S90" s="23"/>
      <c r="T90" s="23"/>
      <c r="W90" s="23"/>
      <c r="X90" s="23"/>
      <c r="Y90" s="23"/>
      <c r="AB90" s="23"/>
      <c r="AC90" s="23"/>
      <c r="AD90" s="23"/>
      <c r="AG90" s="23"/>
      <c r="AH90" s="23"/>
      <c r="AI90" s="23"/>
    </row>
    <row r="91" spans="1:35">
      <c r="B91" s="45"/>
      <c r="C91" s="45"/>
      <c r="D91" s="45"/>
      <c r="E91" s="45"/>
      <c r="F91" s="45"/>
      <c r="G91" s="45"/>
      <c r="H91" s="45"/>
      <c r="I91" s="45"/>
      <c r="J91" s="45"/>
      <c r="K91" s="45"/>
      <c r="L91" s="45"/>
      <c r="R91" s="23"/>
      <c r="S91" s="23"/>
      <c r="T91" s="23"/>
      <c r="W91" s="23"/>
      <c r="X91" s="23"/>
      <c r="Y91" s="23"/>
      <c r="AB91" s="23"/>
      <c r="AC91" s="23"/>
      <c r="AD91" s="23"/>
      <c r="AG91" s="23"/>
      <c r="AH91" s="23"/>
      <c r="AI91" s="23"/>
    </row>
    <row r="92" spans="1:35">
      <c r="B92" s="45"/>
      <c r="C92" s="45"/>
      <c r="D92" s="45"/>
      <c r="E92" s="45"/>
      <c r="F92" s="45"/>
      <c r="G92" s="45"/>
      <c r="H92" s="45"/>
      <c r="I92" s="45"/>
      <c r="J92" s="45"/>
      <c r="K92" s="45"/>
      <c r="L92" s="45"/>
      <c r="R92" s="23"/>
      <c r="S92" s="23"/>
      <c r="T92" s="23"/>
      <c r="W92" s="23"/>
      <c r="X92" s="23"/>
      <c r="Y92" s="23"/>
      <c r="AB92" s="23"/>
      <c r="AC92" s="23"/>
      <c r="AD92" s="23"/>
      <c r="AG92" s="23"/>
      <c r="AH92" s="23"/>
      <c r="AI92" s="23"/>
    </row>
  </sheetData>
  <sheetProtection algorithmName="SHA-512" hashValue="Sk+SkT6Lk/8Q0+YFQX3UcaCptwzFF7tlQ+F707yXLSKW4rcu2tVjAJdyknIe/5s49J+/wLoSSRxN4R5P9KvPOA==" saltValue="ggJkC+AbmD1efsCHBmxP4Q==" spinCount="100000" sheet="1" selectLockedCells="1"/>
  <phoneticPr fontId="6" type="noConversion"/>
  <conditionalFormatting sqref="E10">
    <cfRule type="cellIs" dxfId="78" priority="148" stopIfTrue="1" operator="notBetween">
      <formula>-200</formula>
      <formula>200</formula>
    </cfRule>
  </conditionalFormatting>
  <conditionalFormatting sqref="E34">
    <cfRule type="cellIs" dxfId="77" priority="145" stopIfTrue="1" operator="lessThan">
      <formula>$E$33</formula>
    </cfRule>
  </conditionalFormatting>
  <conditionalFormatting sqref="E30">
    <cfRule type="cellIs" dxfId="76" priority="141" stopIfTrue="1" operator="lessThan">
      <formula>$E$29</formula>
    </cfRule>
  </conditionalFormatting>
  <conditionalFormatting sqref="E31">
    <cfRule type="cellIs" dxfId="75" priority="140" stopIfTrue="1" operator="equal">
      <formula>0</formula>
    </cfRule>
  </conditionalFormatting>
  <conditionalFormatting sqref="E48">
    <cfRule type="cellIs" dxfId="74" priority="137" operator="notBetween">
      <formula>100</formula>
      <formula>4.5</formula>
    </cfRule>
    <cfRule type="cellIs" dxfId="73" priority="3" operator="greaterThanOrEqual">
      <formula>$E$6</formula>
    </cfRule>
  </conditionalFormatting>
  <conditionalFormatting sqref="E42">
    <cfRule type="cellIs" dxfId="72" priority="135" operator="lessThan">
      <formula>6</formula>
    </cfRule>
  </conditionalFormatting>
  <conditionalFormatting sqref="E42:F42">
    <cfRule type="expression" dxfId="71" priority="119">
      <formula>OR(MODE_SS=2,MODE_SS=3)</formula>
    </cfRule>
  </conditionalFormatting>
  <conditionalFormatting sqref="D42">
    <cfRule type="expression" dxfId="70" priority="118">
      <formula>OR(MODE_SS=2,MODE_SS=3)</formula>
    </cfRule>
  </conditionalFormatting>
  <conditionalFormatting sqref="D43:F43">
    <cfRule type="expression" dxfId="69" priority="117">
      <formula>OR(MODE_SS=2,MODE_SS=3)</formula>
    </cfRule>
  </conditionalFormatting>
  <conditionalFormatting sqref="D48">
    <cfRule type="expression" dxfId="68" priority="115">
      <formula>MODE_UVLO=2</formula>
    </cfRule>
  </conditionalFormatting>
  <conditionalFormatting sqref="E85">
    <cfRule type="cellIs" dxfId="67" priority="97" operator="notBetween">
      <formula>-40</formula>
      <formula>150</formula>
    </cfRule>
  </conditionalFormatting>
  <conditionalFormatting sqref="E83">
    <cfRule type="cellIs" dxfId="66" priority="96" operator="notBetween">
      <formula>-40</formula>
      <formula>150</formula>
    </cfRule>
  </conditionalFormatting>
  <conditionalFormatting sqref="F33">
    <cfRule type="cellIs" dxfId="65" priority="95" stopIfTrue="1" operator="lessThanOrEqual">
      <formula>0</formula>
    </cfRule>
  </conditionalFormatting>
  <conditionalFormatting sqref="F50:F51">
    <cfRule type="expression" dxfId="64" priority="87">
      <formula>MODE_UVLO=2</formula>
    </cfRule>
  </conditionalFormatting>
  <conditionalFormatting sqref="F29">
    <cfRule type="cellIs" dxfId="63" priority="77" stopIfTrue="1" operator="lessThanOrEqual">
      <formula>0</formula>
    </cfRule>
  </conditionalFormatting>
  <conditionalFormatting sqref="J51:J52">
    <cfRule type="cellIs" dxfId="62" priority="159" stopIfTrue="1" operator="notBetween">
      <formula>600</formula>
      <formula>50</formula>
    </cfRule>
    <cfRule type="cellIs" dxfId="61" priority="160" stopIfTrue="1" operator="greaterThan">
      <formula>$E$9</formula>
    </cfRule>
  </conditionalFormatting>
  <conditionalFormatting sqref="E12">
    <cfRule type="cellIs" dxfId="60" priority="75" operator="notBetween">
      <formula>-200</formula>
      <formula>200</formula>
    </cfRule>
  </conditionalFormatting>
  <conditionalFormatting sqref="E13">
    <cfRule type="expression" dxfId="59" priority="74">
      <formula>($E$12*$E$13)&lt;0</formula>
    </cfRule>
  </conditionalFormatting>
  <conditionalFormatting sqref="E35">
    <cfRule type="cellIs" dxfId="58" priority="69" stopIfTrue="1" operator="equal">
      <formula>0</formula>
    </cfRule>
  </conditionalFormatting>
  <conditionalFormatting sqref="D45">
    <cfRule type="expression" dxfId="57" priority="64">
      <formula>OR(TC=2)</formula>
    </cfRule>
  </conditionalFormatting>
  <conditionalFormatting sqref="D46:F46 E45:F45">
    <cfRule type="expression" dxfId="56" priority="63">
      <formula>OR(TC=2)</formula>
    </cfRule>
  </conditionalFormatting>
  <conditionalFormatting sqref="L35">
    <cfRule type="cellIs" dxfId="55" priority="57" stopIfTrue="1" operator="equal">
      <formula>0</formula>
    </cfRule>
  </conditionalFormatting>
  <conditionalFormatting sqref="L34">
    <cfRule type="cellIs" dxfId="54" priority="59" stopIfTrue="1" operator="lessThan">
      <formula>$L$33</formula>
    </cfRule>
  </conditionalFormatting>
  <conditionalFormatting sqref="M33">
    <cfRule type="cellIs" dxfId="53" priority="58" stopIfTrue="1" operator="lessThanOrEqual">
      <formula>0</formula>
    </cfRule>
  </conditionalFormatting>
  <conditionalFormatting sqref="W63">
    <cfRule type="cellIs" dxfId="52" priority="44" stopIfTrue="1" operator="notBetween">
      <formula>100</formula>
      <formula>4.5</formula>
    </cfRule>
  </conditionalFormatting>
  <conditionalFormatting sqref="E7">
    <cfRule type="cellIs" dxfId="51" priority="7" operator="notBetween">
      <formula>$E$6</formula>
      <formula>100</formula>
    </cfRule>
  </conditionalFormatting>
  <conditionalFormatting sqref="E8">
    <cfRule type="cellIs" dxfId="50" priority="41" operator="notBetween">
      <formula>$E$7</formula>
      <formula>100</formula>
    </cfRule>
  </conditionalFormatting>
  <conditionalFormatting sqref="E17">
    <cfRule type="cellIs" dxfId="49" priority="38" stopIfTrue="1" operator="greaterThan">
      <formula>$E$16</formula>
    </cfRule>
  </conditionalFormatting>
  <conditionalFormatting sqref="E58">
    <cfRule type="cellIs" dxfId="48" priority="25" operator="greaterThan">
      <formula>$E$57</formula>
    </cfRule>
  </conditionalFormatting>
  <conditionalFormatting sqref="E23">
    <cfRule type="cellIs" dxfId="47" priority="198" stopIfTrue="1" operator="lessThan">
      <formula>$E$22</formula>
    </cfRule>
  </conditionalFormatting>
  <conditionalFormatting sqref="E48:F49">
    <cfRule type="expression" dxfId="46" priority="21">
      <formula>OR(MODE_UVLO=2)</formula>
    </cfRule>
  </conditionalFormatting>
  <conditionalFormatting sqref="C50:E50">
    <cfRule type="expression" dxfId="45" priority="20">
      <formula>OR(MODE_UVLO=2)</formula>
    </cfRule>
  </conditionalFormatting>
  <conditionalFormatting sqref="C51:E51">
    <cfRule type="expression" dxfId="44" priority="19">
      <formula>OR(MODE_UVLO=2)</formula>
    </cfRule>
  </conditionalFormatting>
  <conditionalFormatting sqref="S31">
    <cfRule type="cellIs" dxfId="43" priority="13" operator="notBetween">
      <formula>0.3</formula>
      <formula>1.5</formula>
    </cfRule>
  </conditionalFormatting>
  <conditionalFormatting sqref="E80">
    <cfRule type="cellIs" dxfId="42" priority="12" operator="greaterThan">
      <formula>$E$81</formula>
    </cfRule>
  </conditionalFormatting>
  <conditionalFormatting sqref="E6">
    <cfRule type="cellIs" dxfId="41" priority="8" operator="notBetween">
      <formula>4.5</formula>
      <formula>100</formula>
    </cfRule>
  </conditionalFormatting>
  <conditionalFormatting sqref="E74">
    <cfRule type="cellIs" dxfId="40" priority="6" operator="lessThan">
      <formula>$E$10*1.03</formula>
    </cfRule>
  </conditionalFormatting>
  <conditionalFormatting sqref="L74">
    <cfRule type="cellIs" dxfId="39" priority="5" operator="lessThan">
      <formula>$E$12*1.03</formula>
    </cfRule>
  </conditionalFormatting>
  <conditionalFormatting sqref="E40">
    <cfRule type="cellIs" dxfId="38" priority="4" operator="notBetween">
      <formula>$E$39*0.969</formula>
      <formula>$E$39*1.031</formula>
    </cfRule>
  </conditionalFormatting>
  <conditionalFormatting sqref="E49">
    <cfRule type="cellIs" dxfId="37" priority="2" operator="greaterThanOrEqual">
      <formula>$E$48</formula>
    </cfRule>
    <cfRule type="cellIs" dxfId="36" priority="1" operator="notBetween">
      <formula>4.5</formula>
      <formula>100</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87"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1583" r:id="rId6" name="Drop Down 6111">
              <controlPr defaultSize="0" autoLine="0" autoPict="0">
                <anchor moveWithCells="1">
                  <from>
                    <xdr:col>24</xdr:col>
                    <xdr:colOff>304800</xdr:colOff>
                    <xdr:row>0</xdr:row>
                    <xdr:rowOff>412750</xdr:rowOff>
                  </from>
                  <to>
                    <xdr:col>25</xdr:col>
                    <xdr:colOff>222250</xdr:colOff>
                    <xdr:row>1</xdr:row>
                    <xdr:rowOff>63500</xdr:rowOff>
                  </to>
                </anchor>
              </controlPr>
            </control>
          </mc:Choice>
        </mc:AlternateContent>
        <mc:AlternateContent xmlns:mc="http://schemas.openxmlformats.org/markup-compatibility/2006">
          <mc:Choice Requires="x14">
            <control shapeId="672935" r:id="rId7" name="Drop Down 167">
              <controlPr defaultSize="0" autoLine="0" autoPict="0">
                <anchor moveWithCells="1">
                  <from>
                    <xdr:col>4</xdr:col>
                    <xdr:colOff>12700</xdr:colOff>
                    <xdr:row>40</xdr:row>
                    <xdr:rowOff>0</xdr:rowOff>
                  </from>
                  <to>
                    <xdr:col>5</xdr:col>
                    <xdr:colOff>279400</xdr:colOff>
                    <xdr:row>41</xdr:row>
                    <xdr:rowOff>31750</xdr:rowOff>
                  </to>
                </anchor>
              </controlPr>
            </control>
          </mc:Choice>
        </mc:AlternateContent>
        <mc:AlternateContent xmlns:mc="http://schemas.openxmlformats.org/markup-compatibility/2006">
          <mc:Choice Requires="x14">
            <control shapeId="673043" r:id="rId8" name="Drop Down 275">
              <controlPr defaultSize="0" autoLine="0" autoPict="0">
                <anchor moveWithCells="1">
                  <from>
                    <xdr:col>4</xdr:col>
                    <xdr:colOff>12700</xdr:colOff>
                    <xdr:row>46</xdr:row>
                    <xdr:rowOff>0</xdr:rowOff>
                  </from>
                  <to>
                    <xdr:col>5</xdr:col>
                    <xdr:colOff>260350</xdr:colOff>
                    <xdr:row>46</xdr:row>
                    <xdr:rowOff>203200</xdr:rowOff>
                  </to>
                </anchor>
              </controlPr>
            </control>
          </mc:Choice>
        </mc:AlternateContent>
        <mc:AlternateContent xmlns:mc="http://schemas.openxmlformats.org/markup-compatibility/2006">
          <mc:Choice Requires="x14">
            <control shapeId="697343" r:id="rId9" name="Drop Down 3071">
              <controlPr defaultSize="0" autoLine="0" autoPict="0">
                <anchor moveWithCells="1">
                  <from>
                    <xdr:col>11</xdr:col>
                    <xdr:colOff>12700</xdr:colOff>
                    <xdr:row>12</xdr:row>
                    <xdr:rowOff>0</xdr:rowOff>
                  </from>
                  <to>
                    <xdr:col>12</xdr:col>
                    <xdr:colOff>69850</xdr:colOff>
                    <xdr:row>13</xdr:row>
                    <xdr:rowOff>6350</xdr:rowOff>
                  </to>
                </anchor>
              </controlPr>
            </control>
          </mc:Choice>
        </mc:AlternateContent>
        <mc:AlternateContent xmlns:mc="http://schemas.openxmlformats.org/markup-compatibility/2006">
          <mc:Choice Requires="x14">
            <control shapeId="714798" r:id="rId10" name="Drop Down 3118">
              <controlPr defaultSize="0" autoLine="0" autoPict="0">
                <anchor moveWithCells="1">
                  <from>
                    <xdr:col>4</xdr:col>
                    <xdr:colOff>0</xdr:colOff>
                    <xdr:row>43</xdr:row>
                    <xdr:rowOff>12700</xdr:rowOff>
                  </from>
                  <to>
                    <xdr:col>5</xdr:col>
                    <xdr:colOff>266700</xdr:colOff>
                    <xdr:row>44</xdr:row>
                    <xdr:rowOff>12700</xdr:rowOff>
                  </to>
                </anchor>
              </controlPr>
            </control>
          </mc:Choice>
        </mc:AlternateContent>
        <mc:AlternateContent xmlns:mc="http://schemas.openxmlformats.org/markup-compatibility/2006">
          <mc:Choice Requires="x14">
            <control shapeId="715085" r:id="rId11"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672895" r:id="rId12" name="Spinner 127">
              <controlPr defaultSize="0" autoPict="0">
                <anchor moveWithCells="1" sizeWithCells="1">
                  <from>
                    <xdr:col>5</xdr:col>
                    <xdr:colOff>127000</xdr:colOff>
                    <xdr:row>6</xdr:row>
                    <xdr:rowOff>12700</xdr:rowOff>
                  </from>
                  <to>
                    <xdr:col>5</xdr:col>
                    <xdr:colOff>304800</xdr:colOff>
                    <xdr:row>7</xdr:row>
                    <xdr:rowOff>31750</xdr:rowOff>
                  </to>
                </anchor>
              </controlPr>
            </control>
          </mc:Choice>
        </mc:AlternateContent>
        <mc:AlternateContent xmlns:mc="http://schemas.openxmlformats.org/markup-compatibility/2006">
          <mc:Choice Requires="x14">
            <control shapeId="751280" r:id="rId13" name="Spinner 5808">
              <controlPr defaultSize="0" autoPict="0">
                <anchor moveWithCells="1" sizeWithCells="1">
                  <from>
                    <xdr:col>23</xdr:col>
                    <xdr:colOff>127000</xdr:colOff>
                    <xdr:row>62</xdr:row>
                    <xdr:rowOff>12700</xdr:rowOff>
                  </from>
                  <to>
                    <xdr:col>23</xdr:col>
                    <xdr:colOff>304800</xdr:colOff>
                    <xdr:row>63</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2F97F2FF-95A0-40C5-B045-6ADA68EA7C2F}">
            <xm:f>'Variable Mgmt'!$B$74</xm:f>
            <x14:dxf>
              <font>
                <strike val="0"/>
                <color theme="0"/>
              </font>
              <fill>
                <patternFill>
                  <bgColor theme="0"/>
                </patternFill>
              </fill>
            </x14:dxf>
          </x14:cfRule>
          <xm:sqref>E12:E13</xm:sqref>
        </x14:conditionalFormatting>
        <x14:conditionalFormatting xmlns:xm="http://schemas.microsoft.com/office/excel/2006/main">
          <x14:cfRule type="expression" priority="191" id="{9B976DD7-FFA8-454F-A63D-186A721FDF9C}">
            <xm:f>'Variable Mgmt'!$B$74</xm:f>
            <x14:dxf>
              <border>
                <bottom/>
                <vertical/>
                <horizontal/>
              </border>
            </x14:dxf>
          </x14:cfRule>
          <xm:sqref>A12:F13 A14:D14 F14</xm:sqref>
        </x14:conditionalFormatting>
        <x14:conditionalFormatting xmlns:xm="http://schemas.microsoft.com/office/excel/2006/main">
          <x14:cfRule type="expression" priority="192" id="{25C53C6F-CE07-4419-8FCF-F6B8FCD8434A}">
            <xm:f>'Variable Mgmt'!$B$74</xm:f>
            <x14:dxf>
              <border>
                <right/>
                <vertical/>
                <horizontal/>
              </border>
            </x14:dxf>
          </x14:cfRule>
          <xm:sqref>F12:F14</xm:sqref>
        </x14:conditionalFormatting>
        <x14:conditionalFormatting xmlns:xm="http://schemas.microsoft.com/office/excel/2006/main">
          <x14:cfRule type="expression" priority="62" id="{56BB0655-3B2C-4E9D-AD05-7700A46C30F4}">
            <xm:f>'Variable Mgmt'!$B$74=FALSE</xm:f>
            <x14:dxf>
              <border>
                <bottom/>
                <vertical/>
                <horizontal/>
              </border>
            </x14:dxf>
          </x14:cfRule>
          <xm:sqref>A12:F12</xm:sqref>
        </x14:conditionalFormatting>
        <x14:conditionalFormatting xmlns:xm="http://schemas.microsoft.com/office/excel/2006/main">
          <x14:cfRule type="expression" priority="61" id="{7DE853EF-1754-4C48-A140-FF26B3EC5CF8}">
            <xm:f>'Variable Mgmt'!$B$74=FALSE</xm:f>
            <x14:dxf>
              <border>
                <bottom/>
                <vertical/>
                <horizontal/>
              </border>
            </x14:dxf>
          </x14:cfRule>
          <xm:sqref>A11:F11</xm:sqref>
        </x14:conditionalFormatting>
        <x14:conditionalFormatting xmlns:xm="http://schemas.microsoft.com/office/excel/2006/main">
          <x14:cfRule type="expression" priority="56" id="{18CE8F81-B526-43C7-B5F1-BAA9C73809CD}">
            <xm:f>'Variable Mgmt'!$B$74=TRUE</xm:f>
            <x14:dxf>
              <font>
                <color theme="0"/>
              </font>
              <fill>
                <patternFill>
                  <bgColor theme="0"/>
                </patternFill>
              </fill>
              <border>
                <right/>
                <top/>
                <bottom/>
              </border>
            </x14:dxf>
          </x14:cfRule>
          <xm:sqref>K33:M36</xm:sqref>
        </x14:conditionalFormatting>
        <x14:conditionalFormatting xmlns:xm="http://schemas.microsoft.com/office/excel/2006/main">
          <x14:cfRule type="expression" priority="55" id="{B42E45EE-F49B-4512-9DB9-8B85B95C6919}">
            <xm:f>'Variable Mgmt'!$B$74=TRUE</xm:f>
            <x14:dxf>
              <border>
                <left/>
                <right/>
                <top/>
                <bottom/>
                <vertical/>
                <horizontal/>
              </border>
            </x14:dxf>
          </x14:cfRule>
          <xm:sqref>H33:J36</xm:sqref>
        </x14:conditionalFormatting>
        <x14:conditionalFormatting xmlns:xm="http://schemas.microsoft.com/office/excel/2006/main">
          <x14:cfRule type="expression" priority="54" id="{8076779E-531E-4945-9FF1-9C72CDB0D6DC}">
            <xm:f>'Variable Mgmt'!$B$74=TRUE</xm:f>
            <x14:dxf>
              <border>
                <top/>
                <bottom/>
                <vertical/>
                <horizontal/>
              </border>
            </x14:dxf>
          </x14:cfRule>
          <xm:sqref>G34:G35</xm:sqref>
        </x14:conditionalFormatting>
        <x14:conditionalFormatting xmlns:xm="http://schemas.microsoft.com/office/excel/2006/main">
          <x14:cfRule type="expression" priority="195" id="{2E385B5D-C8C9-48C7-B4AE-E1A8F27EB6E6}">
            <xm:f>Lmin_abs*0.000001&gt;'Variable Mgmt'!$B$96</xm:f>
            <x14:dxf>
              <font>
                <strike/>
                <color rgb="FFFF0000"/>
              </font>
            </x14:dxf>
          </x14:cfRule>
          <xm:sqref>L7</xm:sqref>
        </x14:conditionalFormatting>
        <x14:conditionalFormatting xmlns:xm="http://schemas.microsoft.com/office/excel/2006/main">
          <x14:cfRule type="expression" priority="196" id="{EE277573-B7FD-4D2F-97C3-CC46EAD89E7B}">
            <xm:f>AND('Variable Mgmt'!#REF!&gt;'Variable Mgmt'!$B$78*1/1000, MODE=1)</xm:f>
            <x14:dxf>
              <font>
                <b/>
                <i val="0"/>
                <color rgb="FFFF0000"/>
              </font>
            </x14:dxf>
          </x14:cfRule>
          <xm:sqref>L13</xm:sqref>
        </x14:conditionalFormatting>
        <x14:conditionalFormatting xmlns:xm="http://schemas.microsoft.com/office/excel/2006/main">
          <x14:cfRule type="expression" priority="53" id="{DA50B535-B6B5-4DFB-9CBC-C505A48C7EB5}">
            <xm:f>'Variable Mgmt'!$B$74=TRUE</xm:f>
            <x14:dxf>
              <font>
                <color theme="0"/>
              </font>
              <fill>
                <patternFill>
                  <bgColor theme="0"/>
                </patternFill>
              </fill>
            </x14:dxf>
          </x14:cfRule>
          <xm:sqref>L10</xm:sqref>
        </x14:conditionalFormatting>
        <x14:conditionalFormatting xmlns:xm="http://schemas.microsoft.com/office/excel/2006/main">
          <x14:cfRule type="expression" priority="51" id="{2E35C64D-1122-4B17-B495-E52D781938E1}">
            <xm:f>'Variable Mgmt'!$D$83=TRUE</xm:f>
            <x14:dxf>
              <font>
                <strike val="0"/>
                <color theme="0"/>
              </font>
              <fill>
                <patternFill>
                  <bgColor rgb="FFFF0000"/>
                </patternFill>
              </fill>
            </x14:dxf>
          </x14:cfRule>
          <xm:sqref>L15:M16</xm:sqref>
        </x14:conditionalFormatting>
        <x14:conditionalFormatting xmlns:xm="http://schemas.microsoft.com/office/excel/2006/main">
          <x14:cfRule type="expression" priority="49" id="{961AC190-666C-40F1-AF0E-45247CECAC28}">
            <xm:f>AND('Variable Mgmt'!#REF!&gt;'Variable Mgmt'!$B$78*1/1000, MODE=1)</xm:f>
            <x14:dxf>
              <font>
                <color rgb="FFFF0000"/>
              </font>
            </x14:dxf>
          </x14:cfRule>
          <xm:sqref>L24</xm:sqref>
        </x14:conditionalFormatting>
        <x14:conditionalFormatting xmlns:xm="http://schemas.microsoft.com/office/excel/2006/main">
          <x14:cfRule type="expression" priority="48" id="{461050CF-E84A-487F-98EC-3FE96E53D0D0}">
            <xm:f>AND('Variable Mgmt'!#REF!&gt;'Variable Mgmt'!$B$78*1/1000, MODE=1)</xm:f>
            <x14:dxf>
              <font>
                <color rgb="FFFF0000"/>
              </font>
            </x14:dxf>
          </x14:cfRule>
          <xm:sqref>L22</xm:sqref>
        </x14:conditionalFormatting>
        <x14:conditionalFormatting xmlns:xm="http://schemas.microsoft.com/office/excel/2006/main">
          <x14:cfRule type="expression" priority="47" id="{901FFC11-0194-41BF-B5C0-646916E32353}">
            <xm:f>AND('Variable Mgmt'!#REF!&gt;'Variable Mgmt'!$B$78*1/1000, MODE=1)</xm:f>
            <x14:dxf>
              <font>
                <color rgb="FFFF0000"/>
              </font>
            </x14:dxf>
          </x14:cfRule>
          <xm:sqref>L25</xm:sqref>
        </x14:conditionalFormatting>
        <x14:conditionalFormatting xmlns:xm="http://schemas.microsoft.com/office/excel/2006/main">
          <x14:cfRule type="expression" priority="197" id="{FB76FAF3-E114-4E5D-9585-0FED8547CF75}">
            <xm:f>'Variable Mgmt'!$D$48=TRUE</xm:f>
            <x14:dxf>
              <font>
                <b/>
                <i val="0"/>
                <color theme="0"/>
              </font>
              <fill>
                <patternFill patternType="solid">
                  <fgColor auto="1"/>
                  <bgColor rgb="FFFF0000"/>
                </patternFill>
              </fill>
            </x14:dxf>
          </x14:cfRule>
          <xm:sqref>L16:M16</xm:sqref>
        </x14:conditionalFormatting>
        <x14:conditionalFormatting xmlns:xm="http://schemas.microsoft.com/office/excel/2006/main">
          <x14:cfRule type="expression" priority="36" id="{FDC5A767-D495-475A-B6AD-F3FAFB5256A1}">
            <xm:f>AND('Variable Mgmt'!#REF!&gt;'Variable Mgmt'!$B$78*1/1000, MODE=1)</xm:f>
            <x14:dxf>
              <font>
                <color rgb="FFFF0000"/>
              </font>
            </x14:dxf>
          </x14:cfRule>
          <xm:sqref>L11</xm:sqref>
        </x14:conditionalFormatting>
        <x14:conditionalFormatting xmlns:xm="http://schemas.microsoft.com/office/excel/2006/main">
          <x14:cfRule type="expression" priority="35" id="{004998DE-C112-4A16-9357-8F0E103D9C84}">
            <xm:f>'Variable Mgmt'!$D$83=TRUE</xm:f>
            <x14:dxf>
              <font>
                <strike val="0"/>
                <color theme="0"/>
              </font>
              <fill>
                <patternFill>
                  <bgColor rgb="FFFF0000"/>
                </patternFill>
              </fill>
            </x14:dxf>
          </x14:cfRule>
          <xm:sqref>L12:M12</xm:sqref>
        </x14:conditionalFormatting>
        <x14:conditionalFormatting xmlns:xm="http://schemas.microsoft.com/office/excel/2006/main">
          <x14:cfRule type="expression" priority="28" id="{F1CB057B-DEBD-4CC6-A39A-8CCF4EB9AEA4}">
            <xm:f>AND('Variable Mgmt'!#REF!&gt;'Variable Mgmt'!$B$78*1/1000, MODE=1)</xm:f>
            <x14:dxf>
              <font>
                <color rgb="FFFF0000"/>
              </font>
            </x14:dxf>
          </x14:cfRule>
          <xm:sqref>L23</xm:sqref>
        </x14:conditionalFormatting>
        <x14:conditionalFormatting xmlns:xm="http://schemas.microsoft.com/office/excel/2006/main">
          <x14:cfRule type="expression" priority="14" id="{3BB56539-2E3C-47E6-AE6B-0D4CFCA3E58F}">
            <xm:f>'Variable Mgmt'!$B$74=TRUE</xm:f>
            <x14:dxf>
              <font>
                <color theme="0"/>
              </font>
              <fill>
                <patternFill>
                  <bgColor theme="0"/>
                </patternFill>
              </fill>
              <border>
                <right/>
                <top/>
                <bottom/>
                <vertical/>
                <horizontal/>
              </border>
            </x14:dxf>
          </x14:cfRule>
          <xm:sqref>N29:T31</xm:sqref>
        </x14:conditionalFormatting>
        <x14:conditionalFormatting xmlns:xm="http://schemas.microsoft.com/office/excel/2006/main">
          <x14:cfRule type="expression" priority="11" id="{39327DC7-FED1-4A11-B0EB-9DA33BE59322}">
            <xm:f>AND('Variable Mgmt'!#REF!&gt;'Variable Mgmt'!$B$78*1/1000, MODE=1)</xm:f>
            <x14:dxf>
              <font>
                <color rgb="FFFF0000"/>
              </font>
            </x14:dxf>
          </x14:cfRule>
          <xm:sqref>L26</xm:sqref>
        </x14:conditionalFormatting>
        <x14:conditionalFormatting xmlns:xm="http://schemas.microsoft.com/office/excel/2006/main">
          <x14:cfRule type="expression" priority="10" id="{0343908F-1CE4-4778-868E-05BB939E0494}">
            <xm:f>'Variable Mgmt'!$B$74=TRUE</xm:f>
            <x14:dxf>
              <font>
                <color theme="0"/>
              </font>
              <fill>
                <patternFill>
                  <bgColor theme="0"/>
                </patternFill>
              </fill>
              <border>
                <right/>
                <top/>
                <bottom/>
                <vertical/>
                <horizontal/>
              </border>
            </x14:dxf>
          </x14:cfRule>
          <xm:sqref>G67:M70</xm:sqref>
        </x14:conditionalFormatting>
        <x14:conditionalFormatting xmlns:xm="http://schemas.microsoft.com/office/excel/2006/main">
          <x14:cfRule type="expression" priority="9" id="{1E57FB43-6A30-4541-BAF2-E52CAF5FFFA7}">
            <xm:f>'Variable Mgmt'!$B$74=TRUE</xm:f>
            <x14:dxf>
              <font>
                <color theme="0"/>
              </font>
              <fill>
                <patternFill>
                  <bgColor theme="0"/>
                </patternFill>
              </fill>
              <border>
                <right/>
                <top/>
                <bottom/>
                <vertical/>
                <horizontal/>
              </border>
            </x14:dxf>
          </x14:cfRule>
          <xm:sqref>G73:M77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Selection is out of reasonable range!" xr:uid="{00000000-0002-0000-0000-000000000000}">
          <x14:formula1>
            <xm:f>'Stability Calculations'!$A$49:$A$96</xm:f>
          </x14:formula1>
          <xm:sqref>E58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R687"/>
  <sheetViews>
    <sheetView zoomScaleNormal="100" workbookViewId="0">
      <pane ySplit="11" topLeftCell="A19" activePane="bottomLeft" state="frozen"/>
      <selection activeCell="A93" sqref="A93"/>
      <selection pane="bottomLeft" activeCell="B19" sqref="B19"/>
    </sheetView>
  </sheetViews>
  <sheetFormatPr defaultColWidth="9.1796875" defaultRowHeight="12.5"/>
  <cols>
    <col min="1" max="1" width="14.7265625" style="170" bestFit="1" customWidth="1"/>
    <col min="2" max="2" width="10.7265625" style="170" customWidth="1"/>
    <col min="3" max="3" width="10" style="170" customWidth="1"/>
    <col min="4" max="4" width="13.81640625" style="170" customWidth="1"/>
    <col min="5" max="5" width="10.1796875" style="170" customWidth="1"/>
    <col min="6" max="6" width="3.26953125" style="170" customWidth="1"/>
    <col min="7" max="7" width="16.1796875" style="170" customWidth="1"/>
    <col min="8" max="8" width="15.7265625" style="170" customWidth="1"/>
    <col min="9" max="9" width="10" style="170" customWidth="1"/>
    <col min="10" max="10" width="10.81640625" style="170" customWidth="1"/>
    <col min="11" max="11" width="10.1796875" style="170" customWidth="1"/>
    <col min="12" max="14" width="11.81640625" style="170" customWidth="1"/>
    <col min="15" max="15" width="14.26953125" style="170" customWidth="1"/>
    <col min="16" max="16" width="11" style="170" customWidth="1"/>
    <col min="17" max="17" width="12" style="170" customWidth="1"/>
    <col min="18" max="18" width="11.453125" style="170" customWidth="1"/>
    <col min="19" max="19" width="10.81640625" style="170" customWidth="1"/>
    <col min="20" max="20" width="11.453125" style="170" customWidth="1"/>
    <col min="21" max="21" width="11.81640625" style="170" customWidth="1"/>
    <col min="22" max="22" width="13.54296875" style="170" customWidth="1"/>
    <col min="23" max="23" width="9.453125" style="170" customWidth="1"/>
    <col min="24" max="24" width="16.26953125" style="170" bestFit="1" customWidth="1"/>
    <col min="25" max="25" width="16.1796875" style="172" customWidth="1"/>
    <col min="26" max="26" width="8.81640625" style="170" bestFit="1" customWidth="1"/>
    <col min="27" max="27" width="13.54296875" style="170" bestFit="1" customWidth="1"/>
    <col min="28" max="28" width="10.7265625" style="170" bestFit="1" customWidth="1"/>
    <col min="29" max="29" width="9.1796875" style="170"/>
    <col min="30" max="30" width="13.54296875" style="170" customWidth="1"/>
    <col min="31" max="31" width="10.54296875" style="170" customWidth="1"/>
    <col min="32" max="32" width="9.1796875" style="170"/>
    <col min="33" max="33" width="9.453125" style="170" bestFit="1" customWidth="1"/>
    <col min="34" max="34" width="11.453125" style="170" bestFit="1" customWidth="1"/>
    <col min="35" max="35" width="5.81640625" style="170" customWidth="1"/>
    <col min="36" max="36" width="12.26953125" style="170" customWidth="1"/>
    <col min="37" max="37" width="8.81640625" style="170" customWidth="1"/>
    <col min="38" max="38" width="18.1796875" style="170" customWidth="1"/>
    <col min="39" max="39" width="45.26953125" style="170" customWidth="1"/>
    <col min="40" max="40" width="19.26953125" style="170" bestFit="1" customWidth="1"/>
    <col min="41" max="41" width="40.7265625" style="170" bestFit="1" customWidth="1"/>
    <col min="42" max="42" width="40.1796875" style="170" bestFit="1" customWidth="1"/>
    <col min="43" max="43" width="40.7265625" style="170" bestFit="1" customWidth="1"/>
    <col min="44" max="44" width="40.1796875" style="170" bestFit="1" customWidth="1"/>
    <col min="45" max="45" width="28.453125" style="170" customWidth="1"/>
    <col min="46" max="16384" width="9.1796875" style="170"/>
  </cols>
  <sheetData>
    <row r="1" spans="1:44" ht="13" thickBot="1"/>
    <row r="2" spans="1:44" s="189" customFormat="1" ht="13">
      <c r="A2" s="724" t="s">
        <v>770</v>
      </c>
      <c r="G2" s="927" t="s">
        <v>764</v>
      </c>
      <c r="H2" s="928"/>
      <c r="I2" s="929"/>
      <c r="J2" s="930"/>
      <c r="K2" s="927" t="s">
        <v>683</v>
      </c>
      <c r="L2" s="928"/>
      <c r="M2" s="928"/>
      <c r="N2" s="636"/>
      <c r="O2" s="637"/>
      <c r="P2" s="927" t="s">
        <v>684</v>
      </c>
      <c r="Q2" s="929"/>
      <c r="R2" s="930"/>
      <c r="S2" s="927" t="s">
        <v>765</v>
      </c>
      <c r="T2" s="929"/>
      <c r="U2" s="930"/>
      <c r="V2" s="927" t="s">
        <v>685</v>
      </c>
      <c r="W2" s="928"/>
      <c r="X2" s="931"/>
      <c r="Y2" s="536"/>
      <c r="AA2" s="724" t="s">
        <v>796</v>
      </c>
    </row>
    <row r="3" spans="1:44">
      <c r="B3" s="338"/>
      <c r="H3" s="638" t="s">
        <v>757</v>
      </c>
      <c r="I3" s="735">
        <f>Vref/(Vout_eff*Npri_sec)</f>
        <v>6.4935064935064929E-2</v>
      </c>
      <c r="J3" s="639" t="s">
        <v>686</v>
      </c>
      <c r="K3" s="640" t="s">
        <v>687</v>
      </c>
      <c r="L3" s="269">
        <f>1/Rcs_gain</f>
        <v>50</v>
      </c>
      <c r="M3" s="639" t="s">
        <v>688</v>
      </c>
      <c r="N3" s="194" t="s">
        <v>689</v>
      </c>
      <c r="O3" s="641">
        <f>gmEA</f>
        <v>5.9999999999999995E-4</v>
      </c>
      <c r="P3" s="642" t="s">
        <v>690</v>
      </c>
      <c r="Q3" s="643">
        <f>1/(2*Pi*D25*D26)</f>
        <v>723431.56033525639</v>
      </c>
      <c r="R3" s="639" t="s">
        <v>8</v>
      </c>
      <c r="S3" s="642"/>
      <c r="T3" s="643"/>
      <c r="U3" s="639"/>
      <c r="V3" s="644" t="s">
        <v>692</v>
      </c>
      <c r="W3" s="643">
        <f>Am*Afb*Aea</f>
        <v>293918.91891891882</v>
      </c>
      <c r="X3" s="645" t="s">
        <v>686</v>
      </c>
      <c r="AA3" s="170">
        <f>MIN(z_RHP/10,'Calculations - Single'!Y212/10)</f>
        <v>1.3577018868451494</v>
      </c>
      <c r="AB3" s="170" t="s">
        <v>2</v>
      </c>
    </row>
    <row r="4" spans="1:44" ht="13">
      <c r="B4" s="170">
        <f>BODE_TYPE*0+IF('Variable Mgmt'!Y17="BCM",2, 1)</f>
        <v>2</v>
      </c>
      <c r="H4" s="646" t="s">
        <v>693</v>
      </c>
      <c r="I4" s="643">
        <f>1/(2*Pi*Rcomp*Ccomp)</f>
        <v>2238.4661501231553</v>
      </c>
      <c r="J4" s="639" t="s">
        <v>8</v>
      </c>
      <c r="K4" s="642" t="s">
        <v>694</v>
      </c>
      <c r="L4" s="269">
        <f>CHOOSE(BODE_TYPE, Rload_pri/Rcs_gain*(Lmag/(2*Vout_eff*Npri_sec)*Fsw_DCM)*SQRT(Iout_eff/(Lmag/(2*Vout_eff*Npri_sec)*Fsw_DCM*Npri_sec)), Rload_pri/(Rcs_gain*2*(2*M+1)))</f>
        <v>25.146396396396398</v>
      </c>
      <c r="M4" s="639" t="s">
        <v>686</v>
      </c>
      <c r="N4" s="647" t="s">
        <v>755</v>
      </c>
      <c r="O4" s="713">
        <f>REAout</f>
        <v>300000000</v>
      </c>
      <c r="P4" s="642" t="s">
        <v>695</v>
      </c>
      <c r="Q4" s="643">
        <f>CHOOSE(BODE_TYPE, 2/(2*Pi*D25*Rload_sec), 1/(2*Pi*D25*[0]!Rload_sec)*(2*M+1)/(M+1))</f>
        <v>1136.6418230965492</v>
      </c>
      <c r="R4" s="639" t="s">
        <v>8</v>
      </c>
      <c r="S4" s="648"/>
      <c r="T4" s="649"/>
      <c r="U4" s="645"/>
      <c r="V4" s="719" t="s">
        <v>696</v>
      </c>
      <c r="W4" s="720">
        <f>AK7</f>
        <v>2.0893000000000002</v>
      </c>
      <c r="X4" s="721" t="s">
        <v>2</v>
      </c>
    </row>
    <row r="5" spans="1:44" ht="13">
      <c r="H5" s="638" t="s">
        <v>697</v>
      </c>
      <c r="I5" s="190">
        <f>1/(2*Pi*REAout*Ccomp)</f>
        <v>1.1192330750615778E-2</v>
      </c>
      <c r="J5" s="639" t="s">
        <v>8</v>
      </c>
      <c r="K5" s="642"/>
      <c r="L5" s="190"/>
      <c r="M5" s="639"/>
      <c r="N5" s="647"/>
      <c r="O5" s="647"/>
      <c r="P5" s="648" t="s">
        <v>712</v>
      </c>
      <c r="Q5" s="650">
        <f>Rload_pri/(2*Pi*Lmag*M*(M+1))</f>
        <v>60785.334828896048</v>
      </c>
      <c r="R5" s="645" t="s">
        <v>8</v>
      </c>
      <c r="S5" s="648"/>
      <c r="T5" s="188"/>
      <c r="U5" s="645"/>
      <c r="V5" s="719" t="s">
        <v>698</v>
      </c>
      <c r="W5" s="722">
        <f>AK9</f>
        <v>56.400427709399963</v>
      </c>
      <c r="X5" s="723" t="s">
        <v>699</v>
      </c>
    </row>
    <row r="6" spans="1:44">
      <c r="H6" s="638" t="s">
        <v>700</v>
      </c>
      <c r="I6" s="171">
        <f>gmEA*REAout</f>
        <v>179999.99999999997</v>
      </c>
      <c r="J6" s="639" t="s">
        <v>686</v>
      </c>
      <c r="K6" s="648"/>
      <c r="L6" s="651"/>
      <c r="M6" s="652"/>
      <c r="N6" s="725"/>
      <c r="O6" s="645"/>
      <c r="P6" s="648"/>
      <c r="Q6" s="188"/>
      <c r="R6" s="645"/>
      <c r="S6" s="648"/>
      <c r="T6" s="651"/>
      <c r="U6" s="645"/>
      <c r="V6" s="726" t="s">
        <v>701</v>
      </c>
      <c r="W6" s="188">
        <v>57.295779578552292</v>
      </c>
      <c r="X6" s="645"/>
      <c r="AJ6" s="653" t="s">
        <v>702</v>
      </c>
      <c r="AK6" s="653"/>
    </row>
    <row r="7" spans="1:44" ht="13" thickBot="1">
      <c r="H7" s="654" t="s">
        <v>703</v>
      </c>
      <c r="I7" s="655">
        <f>1/(2*Pi*Rcomp*Chf)</f>
        <v>335769.92251847335</v>
      </c>
      <c r="J7" s="656" t="s">
        <v>8</v>
      </c>
      <c r="K7" s="657"/>
      <c r="L7" s="658"/>
      <c r="M7" s="658"/>
      <c r="N7" s="659"/>
      <c r="O7" s="656"/>
      <c r="P7" s="657"/>
      <c r="Q7" s="657"/>
      <c r="R7" s="656"/>
      <c r="S7" s="657"/>
      <c r="T7" s="657"/>
      <c r="U7" s="656"/>
      <c r="V7" s="657"/>
      <c r="W7" s="657"/>
      <c r="X7" s="656"/>
      <c r="AJ7" s="170" t="s">
        <v>704</v>
      </c>
      <c r="AK7" s="170">
        <f>SUM(AJ12:AJ613)/1000</f>
        <v>2.0893000000000002</v>
      </c>
      <c r="AL7" s="197">
        <f>AK7*1000</f>
        <v>2089.3000000000002</v>
      </c>
    </row>
    <row r="8" spans="1:44">
      <c r="H8" s="660"/>
      <c r="I8" s="661"/>
      <c r="J8" s="662"/>
      <c r="K8" s="662"/>
      <c r="L8" s="663"/>
      <c r="M8" s="663"/>
      <c r="N8" s="663"/>
      <c r="O8" s="662"/>
      <c r="P8" s="662"/>
      <c r="Q8" s="662"/>
      <c r="R8" s="662"/>
      <c r="S8" s="662"/>
      <c r="T8" s="662"/>
      <c r="U8" s="662"/>
      <c r="V8" s="662"/>
      <c r="W8" s="662"/>
      <c r="X8" s="662"/>
      <c r="AL8" s="170">
        <v>0</v>
      </c>
    </row>
    <row r="9" spans="1:44" ht="13" thickBot="1">
      <c r="A9" s="711"/>
      <c r="B9" s="716" t="s">
        <v>758</v>
      </c>
      <c r="AJ9" s="170" t="s">
        <v>705</v>
      </c>
      <c r="AK9" s="172">
        <f>SUM(AK13:AK613)</f>
        <v>56.400427709399963</v>
      </c>
      <c r="AL9" s="443">
        <f>AK9</f>
        <v>56.400427709399963</v>
      </c>
    </row>
    <row r="10" spans="1:44" ht="14">
      <c r="A10" s="714"/>
      <c r="B10" s="259" t="s">
        <v>762</v>
      </c>
      <c r="G10" s="917" t="s">
        <v>706</v>
      </c>
      <c r="H10" s="920" t="s">
        <v>756</v>
      </c>
      <c r="I10" s="922" t="s">
        <v>707</v>
      </c>
      <c r="J10" s="923"/>
      <c r="K10" s="923"/>
      <c r="L10" s="923"/>
      <c r="M10" s="923"/>
      <c r="N10" s="924"/>
      <c r="O10" s="922" t="s">
        <v>708</v>
      </c>
      <c r="P10" s="923"/>
      <c r="Q10" s="923"/>
      <c r="R10" s="923"/>
      <c r="S10" s="923"/>
      <c r="T10" s="924"/>
      <c r="U10" s="925" t="s">
        <v>760</v>
      </c>
      <c r="V10" s="926"/>
      <c r="W10" s="925" t="s">
        <v>709</v>
      </c>
      <c r="X10" s="932"/>
      <c r="Y10" s="933"/>
      <c r="AD10" s="934" t="s">
        <v>710</v>
      </c>
      <c r="AE10" s="935"/>
      <c r="AG10" s="934" t="s">
        <v>711</v>
      </c>
      <c r="AH10" s="935"/>
      <c r="AM10" s="333" t="s">
        <v>761</v>
      </c>
    </row>
    <row r="11" spans="1:44" ht="13">
      <c r="G11" s="918"/>
      <c r="H11" s="921"/>
      <c r="I11" s="936" t="s">
        <v>695</v>
      </c>
      <c r="J11" s="937"/>
      <c r="K11" s="937" t="s">
        <v>690</v>
      </c>
      <c r="L11" s="938"/>
      <c r="M11" s="939" t="s">
        <v>712</v>
      </c>
      <c r="N11" s="940"/>
      <c r="O11" s="936" t="s">
        <v>713</v>
      </c>
      <c r="P11" s="937"/>
      <c r="Q11" s="937" t="s">
        <v>714</v>
      </c>
      <c r="R11" s="938"/>
      <c r="S11" s="939" t="s">
        <v>715</v>
      </c>
      <c r="T11" s="940"/>
      <c r="U11" s="936" t="s">
        <v>691</v>
      </c>
      <c r="V11" s="938"/>
      <c r="W11" s="642"/>
      <c r="X11" s="171"/>
      <c r="Y11" s="664"/>
      <c r="AD11" s="642"/>
      <c r="AE11" s="639"/>
      <c r="AG11" s="642"/>
      <c r="AH11" s="639"/>
    </row>
    <row r="12" spans="1:44" ht="13.5" thickBot="1">
      <c r="A12" s="662"/>
      <c r="B12" s="662"/>
      <c r="C12" s="662"/>
      <c r="D12" s="662"/>
      <c r="E12" s="662"/>
      <c r="F12" s="707"/>
      <c r="G12" s="919"/>
      <c r="H12" s="665"/>
      <c r="I12" s="666" t="s">
        <v>716</v>
      </c>
      <c r="J12" s="667" t="s">
        <v>717</v>
      </c>
      <c r="K12" s="667" t="s">
        <v>716</v>
      </c>
      <c r="L12" s="668" t="s">
        <v>717</v>
      </c>
      <c r="M12" s="667" t="s">
        <v>716</v>
      </c>
      <c r="N12" s="668" t="s">
        <v>717</v>
      </c>
      <c r="O12" s="666" t="s">
        <v>716</v>
      </c>
      <c r="P12" s="667" t="s">
        <v>717</v>
      </c>
      <c r="Q12" s="667" t="s">
        <v>716</v>
      </c>
      <c r="R12" s="668" t="s">
        <v>717</v>
      </c>
      <c r="S12" s="666" t="s">
        <v>716</v>
      </c>
      <c r="T12" s="667" t="s">
        <v>717</v>
      </c>
      <c r="U12" s="666" t="s">
        <v>716</v>
      </c>
      <c r="V12" s="668" t="s">
        <v>717</v>
      </c>
      <c r="W12" s="669" t="s">
        <v>718</v>
      </c>
      <c r="X12" s="670" t="s">
        <v>719</v>
      </c>
      <c r="Y12" s="671" t="s">
        <v>720</v>
      </c>
      <c r="AB12" s="672" t="s">
        <v>721</v>
      </c>
      <c r="AD12" s="673" t="s">
        <v>722</v>
      </c>
      <c r="AE12" s="674" t="s">
        <v>723</v>
      </c>
      <c r="AG12" s="673" t="s">
        <v>722</v>
      </c>
      <c r="AH12" s="674" t="s">
        <v>723</v>
      </c>
    </row>
    <row r="13" spans="1:44" ht="13">
      <c r="A13" s="333" t="s">
        <v>739</v>
      </c>
      <c r="B13" s="710" t="str">
        <f>Nps</f>
        <v>1</v>
      </c>
      <c r="D13" s="170" t="s">
        <v>766</v>
      </c>
      <c r="G13" s="675">
        <v>1</v>
      </c>
      <c r="H13" s="676">
        <f>G13/1000</f>
        <v>1E-3</v>
      </c>
      <c r="I13" s="677">
        <f t="shared" ref="I13:I76" si="0">SQRT(1+(G13/pole1)^2)</f>
        <v>1.0000003870104182</v>
      </c>
      <c r="J13" s="678">
        <f t="shared" ref="J13:J76" si="1">ATAN(G13/pole1)</f>
        <v>8.7978439792830141E-4</v>
      </c>
      <c r="K13" s="678">
        <f t="shared" ref="K13:K76" si="2">SQRT(1+(G13/Zero1)^2)</f>
        <v>1.0000000000009552</v>
      </c>
      <c r="L13" s="679">
        <f t="shared" ref="L13:L76" si="3">ATAN(G13/Zero1)</f>
        <v>1.3823007659991194E-6</v>
      </c>
      <c r="M13" s="678">
        <f t="shared" ref="M13:M76" si="4">SQRT(1+(G13/z_RHP)^2)</f>
        <v>1.0000000001353233</v>
      </c>
      <c r="N13" s="679">
        <f t="shared" ref="N13:N76" si="5">-ATAN(G13/z_RHP)</f>
        <v>-1.6451336539062808E-5</v>
      </c>
      <c r="O13" s="677">
        <f t="shared" ref="O13:O76" si="6">SQRT(1+(G13/Pole2)^2)</f>
        <v>89.352490956130808</v>
      </c>
      <c r="P13" s="680">
        <f t="shared" ref="P13:P76" si="7">ATAN(G13/Pole2)</f>
        <v>1.5596044633571189</v>
      </c>
      <c r="Q13" s="678">
        <f t="shared" ref="Q13:Q76" si="8">SQRT(1+(G13/Zero2)^2)</f>
        <v>1.0000000997858405</v>
      </c>
      <c r="R13" s="679">
        <f t="shared" ref="R13:R76" si="9">ATAN(G13/Zero2)</f>
        <v>4.4673444511148549E-4</v>
      </c>
      <c r="S13" s="677">
        <f t="shared" ref="S13:S76" si="10">SQRT(1+(G13/pole4)^2)</f>
        <v>1.0000000000044349</v>
      </c>
      <c r="T13" s="680">
        <f t="shared" ref="T13:T76" si="11">ATAN(G13/pole4)</f>
        <v>2.9782298321911952E-6</v>
      </c>
      <c r="U13" s="681">
        <f>IMABS(IMPRODUCT(AO13, AR13))</f>
        <v>0.99959999603605942</v>
      </c>
      <c r="V13" s="682">
        <f>IMARGUMENT(IMPRODUCT(AO13, AR13))</f>
        <v>-1.0963221563689816E-4</v>
      </c>
      <c r="W13" s="683">
        <f t="shared" ref="W13:W76" si="12">20*LOG10(((K13*Q13*M13*U13)/(I13*O13*S13))*Adc)</f>
        <v>70.338939967968642</v>
      </c>
      <c r="X13" s="684">
        <f t="shared" ref="X13:X76" si="13">((L13+R13+N13+V13)-(J13+P13+T13))*radconv</f>
        <v>-89.390880992292864</v>
      </c>
      <c r="Y13" s="685">
        <f t="shared" ref="Y13:Y76" si="14">IF(X13&gt;0,X13,X13+180)</f>
        <v>90.609119007707136</v>
      </c>
      <c r="AA13" s="170">
        <f t="shared" ref="AA13:AA76" si="15">IF(W13&lt;0,G13,1000000000)</f>
        <v>1000000000</v>
      </c>
      <c r="AB13" s="170">
        <f t="shared" ref="AB13:AB76" si="16">G13^2</f>
        <v>1</v>
      </c>
      <c r="AD13" s="686">
        <f t="shared" ref="AD13:AD76" si="17">20*LOG10((Q13/(O13*S13))*Aea)</f>
        <v>66.083317684542479</v>
      </c>
      <c r="AE13" s="687">
        <f t="shared" ref="AE13:AE76" si="18">(R13-(P13+T13))*radconv</f>
        <v>-89.333328203938549</v>
      </c>
      <c r="AG13" s="686">
        <f t="shared" ref="AG13:AG76" si="19">20*LOG10((K13*M13/(I13*U13))*Acs*Am)</f>
        <v>61.99238695758757</v>
      </c>
      <c r="AH13" s="687">
        <f t="shared" ref="AH13:AH76" si="20">(L13+N13-(J13+V13))*radconv</f>
        <v>-4.4989861830624041E-2</v>
      </c>
      <c r="AJ13" s="170">
        <f t="shared" ref="AJ13:AJ76" si="21">SUM((W14&lt;0)*(W13&gt;0))*G13</f>
        <v>0</v>
      </c>
      <c r="AK13" s="170">
        <f t="shared" ref="AK13:AK44" si="22">IF(AJ13&gt;0,Y11,0)</f>
        <v>0</v>
      </c>
      <c r="AM13" s="170" t="str">
        <f>IMSUB(1,IMEXP(COMPLEX(0,-2*Pi*G13*Tsw)))</f>
        <v>1.2264512960769E-08+0.000156617450001292i</v>
      </c>
      <c r="AN13" s="170" t="str">
        <f>COMPLEX(0, 2*Pi*G13*Tsw)</f>
        <v>0.000156617450641571i</v>
      </c>
      <c r="AO13" s="170" t="str">
        <f>IMDIV(AM13, AN13)</f>
        <v>0.999999995911828-0.0000783087255636482i</v>
      </c>
      <c r="AP13" s="170" t="str">
        <f>IMDIV(IMEXP(COMPLEX(0,-2*Pi*G13*Tsw)),6)</f>
        <v>0.166666664622581-0.0000261029083335487i</v>
      </c>
      <c r="AQ13" s="170" t="str">
        <f>IMSUB(1, AP13)</f>
        <v>0.833333335377419+0.0000261029083335487i</v>
      </c>
      <c r="AR13" s="170" t="str">
        <f>IMDIV(0.833, AQ13)</f>
        <v>0.99959999656731-0.0000313109604199318i</v>
      </c>
    </row>
    <row r="14" spans="1:44" ht="13">
      <c r="A14" s="333" t="s">
        <v>736</v>
      </c>
      <c r="B14" s="711">
        <f>Vout+Vfwd1</f>
        <v>15.4</v>
      </c>
      <c r="C14" s="170" t="s">
        <v>0</v>
      </c>
      <c r="D14" s="170" t="s">
        <v>763</v>
      </c>
      <c r="G14" s="688">
        <v>1.0965</v>
      </c>
      <c r="H14" s="676">
        <f t="shared" ref="H14:H77" si="23">G14/1000</f>
        <v>1.0965E-3</v>
      </c>
      <c r="I14" s="677">
        <f t="shared" si="0"/>
        <v>1.0000004653073484</v>
      </c>
      <c r="J14" s="678">
        <f t="shared" si="1"/>
        <v>9.6468354197389039E-4</v>
      </c>
      <c r="K14" s="678">
        <f t="shared" si="2"/>
        <v>1.0000000000011486</v>
      </c>
      <c r="L14" s="679">
        <f t="shared" si="3"/>
        <v>1.5156927899178391E-6</v>
      </c>
      <c r="M14" s="678">
        <f t="shared" si="4"/>
        <v>1.0000000001627007</v>
      </c>
      <c r="N14" s="679">
        <f t="shared" si="5"/>
        <v>-1.8038890514753124E-5</v>
      </c>
      <c r="O14" s="677">
        <f t="shared" si="6"/>
        <v>97.973973859281983</v>
      </c>
      <c r="P14" s="680">
        <f t="shared" si="7"/>
        <v>1.5605893572853022</v>
      </c>
      <c r="Q14" s="689">
        <f t="shared" si="8"/>
        <v>1.0000001199737372</v>
      </c>
      <c r="R14" s="690">
        <f t="shared" si="9"/>
        <v>4.8984431247212665E-4</v>
      </c>
      <c r="S14" s="677">
        <f t="shared" si="10"/>
        <v>1.0000000000053322</v>
      </c>
      <c r="T14" s="680">
        <f t="shared" si="11"/>
        <v>3.265629010995692E-6</v>
      </c>
      <c r="U14" s="681">
        <f t="shared" ref="U14:U77" si="24">IMABS(IMPRODUCT(AO14, AR14))</f>
        <v>0.99959999523410914</v>
      </c>
      <c r="V14" s="682">
        <f t="shared" ref="V14:V77" si="25">IMARGUMENT(IMPRODUCT(AO14, AR14))</f>
        <v>-1.2021172369550045E-4</v>
      </c>
      <c r="W14" s="683">
        <f t="shared" si="12"/>
        <v>69.5388582698167</v>
      </c>
      <c r="X14" s="684">
        <f t="shared" si="13"/>
        <v>-89.450411552160432</v>
      </c>
      <c r="Y14" s="687">
        <f t="shared" si="14"/>
        <v>90.549588447839568</v>
      </c>
      <c r="AA14" s="170">
        <f t="shared" si="15"/>
        <v>1000000000</v>
      </c>
      <c r="AB14" s="170">
        <f t="shared" si="16"/>
        <v>1.2023122500000001</v>
      </c>
      <c r="AD14" s="686">
        <f t="shared" si="17"/>
        <v>65.283236673197692</v>
      </c>
      <c r="AE14" s="687">
        <f t="shared" si="18"/>
        <v>-89.38730492265806</v>
      </c>
      <c r="AG14" s="686">
        <f t="shared" si="19"/>
        <v>61.99238628471727</v>
      </c>
      <c r="AH14" s="687">
        <f t="shared" si="20"/>
        <v>-4.9331380655152898E-2</v>
      </c>
      <c r="AJ14" s="170">
        <f t="shared" si="21"/>
        <v>0</v>
      </c>
      <c r="AK14" s="170">
        <f t="shared" si="22"/>
        <v>0</v>
      </c>
      <c r="AM14" s="170" t="str">
        <f t="shared" ref="AM14:AM77" si="26">IMSUB(1,IMEXP(COMPLEX(0,-2*Pi*G14*Tsw)))</f>
        <v>1.47457740462542E-08+0.000171731033784381i</v>
      </c>
      <c r="AN14" s="170" t="str">
        <f t="shared" ref="AN14:AN77" si="27">COMPLEX(0, 2*Pi*G14*Tsw)</f>
        <v>0.000171731034628483i</v>
      </c>
      <c r="AO14" s="170" t="str">
        <f t="shared" ref="AO14:AO77" si="28">IMDIV(AM14, AN14)</f>
        <v>0.999999995084744-0.0000858655168423966i</v>
      </c>
      <c r="AP14" s="170" t="str">
        <f t="shared" ref="AP14:AP77" si="29">IMDIV(IMEXP(COMPLEX(0,-2*Pi*G14*Tsw)),6)</f>
        <v>0.166666664209038-0.0000286218389640635i</v>
      </c>
      <c r="AQ14" s="170" t="str">
        <f t="shared" ref="AQ14:AQ77" si="30">IMSUB(1, AP14)</f>
        <v>0.833333335790962+0.0000286218389640635i</v>
      </c>
      <c r="AR14" s="170" t="str">
        <f t="shared" ref="AR14:AR77" si="31">IMDIV(0.833, AQ14)</f>
        <v>0.999599995872835-0.0000343324680311692i</v>
      </c>
    </row>
    <row r="15" spans="1:44" ht="13">
      <c r="A15" s="333" t="s">
        <v>735</v>
      </c>
      <c r="B15" s="711">
        <f>'Design Converter'!E11+IF(MODE=2,ABS('Design Converter'!E13*'Design Converter'!L14),0)</f>
        <v>10</v>
      </c>
      <c r="C15" s="170" t="s">
        <v>1</v>
      </c>
      <c r="G15" s="688">
        <v>1.2022999999999999</v>
      </c>
      <c r="H15" s="676">
        <f t="shared" si="23"/>
        <v>1.2022999999999999E-3</v>
      </c>
      <c r="I15" s="677">
        <f>SQRT(1+(G15/pole1)^2)</f>
        <v>1.0000005594332988</v>
      </c>
      <c r="J15" s="678">
        <f t="shared" si="1"/>
        <v>1.0577646600406789E-3</v>
      </c>
      <c r="K15" s="678">
        <f t="shared" si="2"/>
        <v>1.0000000000013811</v>
      </c>
      <c r="L15" s="679">
        <f t="shared" si="3"/>
        <v>1.6619402109602695E-6</v>
      </c>
      <c r="M15" s="678">
        <f t="shared" si="4"/>
        <v>1.0000000001956133</v>
      </c>
      <c r="N15" s="679">
        <f t="shared" si="5"/>
        <v>-1.977944192012021E-5</v>
      </c>
      <c r="O15" s="677">
        <f t="shared" si="6"/>
        <v>107.42642626671152</v>
      </c>
      <c r="P15" s="680">
        <f t="shared" si="7"/>
        <v>1.5614874958369329</v>
      </c>
      <c r="Q15" s="689">
        <f t="shared" si="8"/>
        <v>1.0000001442429529</v>
      </c>
      <c r="R15" s="690">
        <f t="shared" si="9"/>
        <v>5.371088074386691E-4</v>
      </c>
      <c r="S15" s="677">
        <f t="shared" si="10"/>
        <v>1.0000000000064109</v>
      </c>
      <c r="T15" s="680">
        <f t="shared" si="11"/>
        <v>3.5807257272387567E-6</v>
      </c>
      <c r="U15" s="681">
        <f t="shared" si="24"/>
        <v>0.99959999427002455</v>
      </c>
      <c r="V15" s="682">
        <f t="shared" si="25"/>
        <v>-1.3181081456724612E-4</v>
      </c>
      <c r="W15" s="683">
        <f t="shared" si="12"/>
        <v>68.738849558155053</v>
      </c>
      <c r="X15" s="684">
        <f t="shared" si="13"/>
        <v>-89.505270179339433</v>
      </c>
      <c r="Y15" s="687">
        <f t="shared" si="14"/>
        <v>90.494729820660567</v>
      </c>
      <c r="AA15" s="170">
        <f t="shared" si="15"/>
        <v>1000000000</v>
      </c>
      <c r="AB15" s="170">
        <f t="shared" si="16"/>
        <v>1.4455252899999997</v>
      </c>
      <c r="AD15" s="686">
        <f t="shared" si="17"/>
        <v>64.483228787192644</v>
      </c>
      <c r="AE15" s="687">
        <f t="shared" si="18"/>
        <v>-89.436074468769789</v>
      </c>
      <c r="AG15" s="686">
        <f t="shared" si="19"/>
        <v>61.992385475815254</v>
      </c>
      <c r="AH15" s="687">
        <f t="shared" si="20"/>
        <v>-5.4091303814600741E-2</v>
      </c>
      <c r="AJ15" s="170">
        <f t="shared" si="21"/>
        <v>0</v>
      </c>
      <c r="AK15" s="170">
        <f t="shared" si="22"/>
        <v>0</v>
      </c>
      <c r="AM15" s="170" t="str">
        <f t="shared" si="26"/>
        <v>1.7728663981309E-08+0.000188301159793585i</v>
      </c>
      <c r="AN15" s="170" t="str">
        <f t="shared" si="27"/>
        <v>0.000188301160906361i</v>
      </c>
      <c r="AO15" s="170" t="str">
        <f t="shared" si="28"/>
        <v>0.999999994090445-0.0000941505824816723i</v>
      </c>
      <c r="AP15" s="170" t="str">
        <f t="shared" si="29"/>
        <v>0.166666663711889-0.0000313835266322642i</v>
      </c>
      <c r="AQ15" s="170" t="str">
        <f t="shared" si="30"/>
        <v>0.833333336288111+0.0000313835266322642i</v>
      </c>
      <c r="AR15" s="170" t="str">
        <f t="shared" si="31"/>
        <v>0.999599995037959-0.0000376451675455822i</v>
      </c>
    </row>
    <row r="16" spans="1:44" ht="13">
      <c r="A16" s="333" t="s">
        <v>3</v>
      </c>
      <c r="B16" s="711">
        <f>VIN_nom</f>
        <v>58</v>
      </c>
      <c r="C16" s="170" t="s">
        <v>0</v>
      </c>
      <c r="G16" s="688">
        <v>1.3183</v>
      </c>
      <c r="H16" s="676">
        <f t="shared" si="23"/>
        <v>1.3183000000000001E-3</v>
      </c>
      <c r="I16" s="677">
        <f t="shared" si="0"/>
        <v>1.0000006725910724</v>
      </c>
      <c r="J16" s="678">
        <f t="shared" si="1"/>
        <v>1.1598195509742607E-3</v>
      </c>
      <c r="K16" s="678">
        <f t="shared" si="2"/>
        <v>1.0000000000016604</v>
      </c>
      <c r="L16" s="679">
        <f t="shared" si="3"/>
        <v>1.8222870998157825E-6</v>
      </c>
      <c r="M16" s="678">
        <f t="shared" si="4"/>
        <v>1.0000000002351803</v>
      </c>
      <c r="N16" s="679">
        <f t="shared" si="5"/>
        <v>-2.1687796958002708E-5</v>
      </c>
      <c r="O16" s="677">
        <f t="shared" si="6"/>
        <v>117.79025654343778</v>
      </c>
      <c r="P16" s="680">
        <f t="shared" si="7"/>
        <v>1.5623065582678437</v>
      </c>
      <c r="Q16" s="689">
        <f t="shared" si="8"/>
        <v>1.0000001734192916</v>
      </c>
      <c r="R16" s="690">
        <f t="shared" si="9"/>
        <v>5.8892999008050844E-4</v>
      </c>
      <c r="S16" s="677">
        <f t="shared" si="10"/>
        <v>1.0000000000077076</v>
      </c>
      <c r="T16" s="680">
        <f t="shared" si="11"/>
        <v>3.9262003877690869E-6</v>
      </c>
      <c r="U16" s="681">
        <f t="shared" si="24"/>
        <v>0.99959999311100844</v>
      </c>
      <c r="V16" s="682">
        <f t="shared" si="25"/>
        <v>-1.4452815140849831E-4</v>
      </c>
      <c r="W16" s="683">
        <f t="shared" si="12"/>
        <v>67.938884033400569</v>
      </c>
      <c r="X16" s="684">
        <f t="shared" si="13"/>
        <v>-89.555925776777755</v>
      </c>
      <c r="Y16" s="687">
        <f t="shared" si="14"/>
        <v>90.444074223222245</v>
      </c>
      <c r="AA16" s="170">
        <f t="shared" si="15"/>
        <v>1000000000</v>
      </c>
      <c r="AB16" s="170">
        <f t="shared" si="16"/>
        <v>1.7379148900000001</v>
      </c>
      <c r="AD16" s="686">
        <f t="shared" si="17"/>
        <v>63.683264255038509</v>
      </c>
      <c r="AE16" s="687">
        <f t="shared" si="18"/>
        <v>-89.48005394845417</v>
      </c>
      <c r="AG16" s="686">
        <f t="shared" si="19"/>
        <v>61.992384503357137</v>
      </c>
      <c r="AH16" s="687">
        <f t="shared" si="20"/>
        <v>-5.9310122111570017E-2</v>
      </c>
      <c r="AJ16" s="170">
        <f t="shared" si="21"/>
        <v>0</v>
      </c>
      <c r="AK16" s="170">
        <f t="shared" si="22"/>
        <v>0</v>
      </c>
      <c r="AM16" s="170" t="str">
        <f t="shared" si="26"/>
        <v>2.13146800209785E-08+0.000206468783713844i</v>
      </c>
      <c r="AN16" s="170" t="str">
        <f t="shared" si="27"/>
        <v>0.000206468785180783i</v>
      </c>
      <c r="AO16" s="170" t="str">
        <f t="shared" si="28"/>
        <v>0.999999992895105-0.000103234394498498i</v>
      </c>
      <c r="AP16" s="170" t="str">
        <f t="shared" si="29"/>
        <v>0.16666666311422-0.0000344114639523073i</v>
      </c>
      <c r="AQ16" s="170" t="str">
        <f t="shared" si="30"/>
        <v>0.83333333688578+0.0000344114639523073i</v>
      </c>
      <c r="AR16" s="170" t="str">
        <f t="shared" si="31"/>
        <v>0.999599994034277-0.0000412772388177623i</v>
      </c>
    </row>
    <row r="17" spans="1:44">
      <c r="G17" s="688">
        <v>1.4454</v>
      </c>
      <c r="H17" s="676">
        <f t="shared" si="23"/>
        <v>1.4454000000000001E-3</v>
      </c>
      <c r="I17" s="677">
        <f t="shared" si="0"/>
        <v>1.0000008085347041</v>
      </c>
      <c r="J17" s="678">
        <f t="shared" si="1"/>
        <v>1.2716400114142414E-3</v>
      </c>
      <c r="K17" s="678">
        <f t="shared" si="2"/>
        <v>1.000000000001996</v>
      </c>
      <c r="L17" s="679">
        <f t="shared" si="3"/>
        <v>1.9979775271737414E-6</v>
      </c>
      <c r="M17" s="678">
        <f t="shared" si="4"/>
        <v>1.0000000002827147</v>
      </c>
      <c r="N17" s="679">
        <f t="shared" si="5"/>
        <v>-2.3778761831224853E-5</v>
      </c>
      <c r="O17" s="677">
        <f t="shared" si="6"/>
        <v>129.14587363287447</v>
      </c>
      <c r="P17" s="680">
        <f t="shared" si="7"/>
        <v>1.5630530674483105</v>
      </c>
      <c r="Q17" s="689">
        <f t="shared" si="8"/>
        <v>1.0000002084706867</v>
      </c>
      <c r="R17" s="690">
        <f t="shared" si="9"/>
        <v>6.4570992017822242E-4</v>
      </c>
      <c r="S17" s="677">
        <f t="shared" si="10"/>
        <v>1.0000000000092655</v>
      </c>
      <c r="T17" s="680">
        <f t="shared" si="11"/>
        <v>4.3047333994352904E-6</v>
      </c>
      <c r="U17" s="681">
        <f t="shared" si="24"/>
        <v>0.99959999171861136</v>
      </c>
      <c r="V17" s="682">
        <f t="shared" si="25"/>
        <v>-1.5846240257237838E-4</v>
      </c>
      <c r="W17" s="683">
        <f t="shared" si="12"/>
        <v>67.139459808703961</v>
      </c>
      <c r="X17" s="684">
        <f t="shared" si="13"/>
        <v>-89.602780991599289</v>
      </c>
      <c r="Y17" s="687">
        <f t="shared" si="14"/>
        <v>90.397219008400711</v>
      </c>
      <c r="AA17" s="170">
        <f t="shared" si="15"/>
        <v>1000000000</v>
      </c>
      <c r="AB17" s="170">
        <f t="shared" si="16"/>
        <v>2.0891811599999999</v>
      </c>
      <c r="AD17" s="686">
        <f t="shared" si="17"/>
        <v>62.883841222815647</v>
      </c>
      <c r="AE17" s="687">
        <f t="shared" si="18"/>
        <v>-89.519594211896219</v>
      </c>
      <c r="AG17" s="686">
        <f t="shared" si="19"/>
        <v>61.992383335081477</v>
      </c>
      <c r="AH17" s="687">
        <f t="shared" si="20"/>
        <v>-6.5028325924516198E-2</v>
      </c>
      <c r="AJ17" s="170">
        <f t="shared" si="21"/>
        <v>0</v>
      </c>
      <c r="AK17" s="170">
        <f t="shared" si="22"/>
        <v>0</v>
      </c>
      <c r="AM17" s="170" t="str">
        <f t="shared" si="26"/>
        <v>2.56227890016447E-08+0.000226374861223875i</v>
      </c>
      <c r="AN17" s="170" t="str">
        <f t="shared" si="27"/>
        <v>0.000226374863157327i</v>
      </c>
      <c r="AO17" s="170" t="str">
        <f t="shared" si="28"/>
        <v>0.999999991459069-0.00011318743010719i</v>
      </c>
      <c r="AP17" s="170" t="str">
        <f t="shared" si="29"/>
        <v>0.166666662396202-0.0000377291435373125i</v>
      </c>
      <c r="AQ17" s="170" t="str">
        <f t="shared" si="30"/>
        <v>0.833333337603798+0.0000377291435373125i</v>
      </c>
      <c r="AR17" s="170" t="str">
        <f t="shared" si="31"/>
        <v>0.999599992828489-0.0000452568616992657i</v>
      </c>
    </row>
    <row r="18" spans="1:44">
      <c r="A18" s="170" t="s">
        <v>742</v>
      </c>
      <c r="B18" s="715">
        <f>Vout_eff*Npri_sec/Vin_eff</f>
        <v>0.26551724137931038</v>
      </c>
      <c r="C18" s="170" t="s">
        <v>686</v>
      </c>
      <c r="G18" s="688">
        <v>1.5849</v>
      </c>
      <c r="H18" s="676">
        <f t="shared" si="23"/>
        <v>1.5849E-3</v>
      </c>
      <c r="I18" s="677">
        <f t="shared" si="0"/>
        <v>1.0000009721342851</v>
      </c>
      <c r="J18" s="678">
        <f t="shared" si="1"/>
        <v>1.394369748357384E-3</v>
      </c>
      <c r="K18" s="678">
        <f t="shared" si="2"/>
        <v>1.0000000000023999</v>
      </c>
      <c r="L18" s="679">
        <f t="shared" si="3"/>
        <v>2.1908084840298945E-6</v>
      </c>
      <c r="M18" s="678">
        <f t="shared" si="4"/>
        <v>1.0000000003399194</v>
      </c>
      <c r="N18" s="679">
        <f t="shared" si="5"/>
        <v>-2.6073723277204248E-5</v>
      </c>
      <c r="O18" s="677">
        <f t="shared" si="6"/>
        <v>141.60942471407111</v>
      </c>
      <c r="P18" s="680">
        <f t="shared" si="7"/>
        <v>1.5637345912259608</v>
      </c>
      <c r="Q18" s="689">
        <f t="shared" si="8"/>
        <v>1.0000002506528332</v>
      </c>
      <c r="R18" s="690">
        <f t="shared" si="9"/>
        <v>7.0802935084502631E-4</v>
      </c>
      <c r="S18" s="677">
        <f t="shared" si="10"/>
        <v>1.00000000001114</v>
      </c>
      <c r="T18" s="680">
        <f t="shared" si="11"/>
        <v>4.7201964610187253E-6</v>
      </c>
      <c r="U18" s="681">
        <f t="shared" si="24"/>
        <v>0.99959999004294919</v>
      </c>
      <c r="V18" s="682">
        <f t="shared" si="25"/>
        <v>-1.7375609712996752E-4</v>
      </c>
      <c r="W18" s="683">
        <f t="shared" si="12"/>
        <v>66.339226260442601</v>
      </c>
      <c r="X18" s="684">
        <f t="shared" si="13"/>
        <v>-89.646311194971219</v>
      </c>
      <c r="Y18" s="687">
        <f t="shared" si="14"/>
        <v>90.353688805028781</v>
      </c>
      <c r="AA18" s="170">
        <f t="shared" si="15"/>
        <v>1000000000</v>
      </c>
      <c r="AB18" s="170">
        <f t="shared" si="16"/>
        <v>2.51190801</v>
      </c>
      <c r="AD18" s="686">
        <f t="shared" si="17"/>
        <v>62.083609109620987</v>
      </c>
      <c r="AE18" s="687">
        <f t="shared" si="18"/>
        <v>-89.555095811955056</v>
      </c>
      <c r="AG18" s="686">
        <f t="shared" si="19"/>
        <v>61.992381929135654</v>
      </c>
      <c r="AH18" s="687">
        <f t="shared" si="20"/>
        <v>-7.130440093298103E-2</v>
      </c>
      <c r="AJ18" s="170">
        <f t="shared" si="21"/>
        <v>0</v>
      </c>
      <c r="AK18" s="170">
        <f t="shared" si="22"/>
        <v>0</v>
      </c>
      <c r="AM18" s="170" t="str">
        <f t="shared" si="26"/>
        <v>3.08073280219645E-08+0.000248222994972797i</v>
      </c>
      <c r="AN18" s="170" t="str">
        <f t="shared" si="27"/>
        <v>0.000248222997521826i</v>
      </c>
      <c r="AO18" s="170" t="str">
        <f t="shared" si="28"/>
        <v>0.999999989730891-0.000124111497844819i</v>
      </c>
      <c r="AP18" s="170" t="str">
        <f t="shared" si="29"/>
        <v>0.166666661532112-0.0000413704991621328i</v>
      </c>
      <c r="AQ18" s="170" t="str">
        <f t="shared" si="30"/>
        <v>0.833333338467888+0.0000413704991621328i</v>
      </c>
      <c r="AR18" s="170" t="str">
        <f t="shared" si="31"/>
        <v>0.999599991377399-0.0000496247404211348i</v>
      </c>
    </row>
    <row r="19" spans="1:44">
      <c r="A19" s="170" t="s">
        <v>759</v>
      </c>
      <c r="B19" s="170">
        <f>1/'Calculations - Single'!AQ105/1000*0+1/CHOOSE(MODE, 'Calculations - Single'!AQ105,'Calculations - Dual'!AP105)/1000</f>
        <v>2.4926441472539594E-5</v>
      </c>
      <c r="C19" s="170" t="s">
        <v>51</v>
      </c>
      <c r="G19" s="688">
        <v>1.7378</v>
      </c>
      <c r="H19" s="676">
        <f t="shared" si="23"/>
        <v>1.7378000000000001E-3</v>
      </c>
      <c r="I19" s="677">
        <f t="shared" si="0"/>
        <v>1.0000011687512069</v>
      </c>
      <c r="J19" s="678">
        <f t="shared" si="1"/>
        <v>1.5288885299236991E-3</v>
      </c>
      <c r="K19" s="678">
        <f t="shared" si="2"/>
        <v>1.0000000000028852</v>
      </c>
      <c r="L19" s="679">
        <f t="shared" si="3"/>
        <v>2.402162271150179E-6</v>
      </c>
      <c r="M19" s="678">
        <f t="shared" si="4"/>
        <v>1.0000000004086691</v>
      </c>
      <c r="N19" s="679">
        <f t="shared" si="5"/>
        <v>-2.8589132632373526E-5</v>
      </c>
      <c r="O19" s="677">
        <f t="shared" si="6"/>
        <v>155.27025429710983</v>
      </c>
      <c r="P19" s="680">
        <f t="shared" si="7"/>
        <v>1.5643558986668813</v>
      </c>
      <c r="Q19" s="689">
        <f t="shared" si="8"/>
        <v>1.0000003013481029</v>
      </c>
      <c r="R19" s="690">
        <f t="shared" si="9"/>
        <v>7.7633501439485322E-4</v>
      </c>
      <c r="S19" s="677">
        <f t="shared" si="10"/>
        <v>1.0000000000133933</v>
      </c>
      <c r="T19" s="680">
        <f t="shared" si="11"/>
        <v>5.1755678023509494E-6</v>
      </c>
      <c r="U19" s="681">
        <f t="shared" si="24"/>
        <v>0.99959998802910444</v>
      </c>
      <c r="V19" s="682">
        <f t="shared" si="25"/>
        <v>-1.9051886142768611E-4</v>
      </c>
      <c r="W19" s="683">
        <f t="shared" si="12"/>
        <v>65.539302859958383</v>
      </c>
      <c r="X19" s="684">
        <f t="shared" si="13"/>
        <v>-89.686821760536077</v>
      </c>
      <c r="Y19" s="687">
        <f t="shared" si="14"/>
        <v>90.313178239463923</v>
      </c>
      <c r="AA19" s="170">
        <f t="shared" si="15"/>
        <v>1000000000</v>
      </c>
      <c r="AB19" s="170">
        <f t="shared" si="16"/>
        <v>3.0199488400000001</v>
      </c>
      <c r="AD19" s="686">
        <f t="shared" si="17"/>
        <v>61.283687433825492</v>
      </c>
      <c r="AE19" s="687">
        <f t="shared" si="18"/>
        <v>-89.586806570753836</v>
      </c>
      <c r="AG19" s="686">
        <f t="shared" si="19"/>
        <v>61.992380239445012</v>
      </c>
      <c r="AH19" s="687">
        <f t="shared" si="20"/>
        <v>-7.81833364024144E-2</v>
      </c>
      <c r="AJ19" s="170">
        <f t="shared" si="21"/>
        <v>0</v>
      </c>
      <c r="AK19" s="170">
        <f t="shared" si="22"/>
        <v>0</v>
      </c>
      <c r="AM19" s="170" t="str">
        <f t="shared" si="26"/>
        <v>3.70382009506898E-08+0.000272169802364695i</v>
      </c>
      <c r="AN19" s="170" t="str">
        <f t="shared" si="27"/>
        <v>0.000272169805724922i</v>
      </c>
      <c r="AO19" s="170" t="str">
        <f t="shared" si="28"/>
        <v>0.999999987653932-0.000136084900571681i</v>
      </c>
      <c r="AP19" s="170" t="str">
        <f t="shared" si="29"/>
        <v>0.166666660493633-0.0000453616337274492i</v>
      </c>
      <c r="AQ19" s="170" t="str">
        <f t="shared" si="30"/>
        <v>0.833333339506367+0.0000453616337274492i</v>
      </c>
      <c r="AR19" s="170" t="str">
        <f t="shared" si="31"/>
        <v>0.999599989633452-0.0000544121859213917i</v>
      </c>
    </row>
    <row r="20" spans="1:44">
      <c r="G20" s="688">
        <v>1.9055</v>
      </c>
      <c r="H20" s="676">
        <f t="shared" si="23"/>
        <v>1.9055000000000001E-3</v>
      </c>
      <c r="I20" s="677">
        <f t="shared" si="0"/>
        <v>1.0000014052071193</v>
      </c>
      <c r="J20" s="678">
        <f t="shared" si="1"/>
        <v>1.6764280322970786E-3</v>
      </c>
      <c r="K20" s="678">
        <f t="shared" si="2"/>
        <v>1.0000000000034688</v>
      </c>
      <c r="L20" s="679">
        <f t="shared" si="3"/>
        <v>2.6339741096069081E-6</v>
      </c>
      <c r="M20" s="678">
        <f t="shared" si="4"/>
        <v>1.0000000004913492</v>
      </c>
      <c r="N20" s="679">
        <f t="shared" si="5"/>
        <v>-3.13480217677437E-5</v>
      </c>
      <c r="O20" s="677">
        <f t="shared" si="6"/>
        <v>170.25344518117603</v>
      </c>
      <c r="P20" s="680">
        <f t="shared" si="7"/>
        <v>1.5649226967553951</v>
      </c>
      <c r="Q20" s="689">
        <f t="shared" si="8"/>
        <v>1.0000003623153793</v>
      </c>
      <c r="R20" s="690">
        <f t="shared" si="9"/>
        <v>8.5125233617402562E-4</v>
      </c>
      <c r="S20" s="677">
        <f t="shared" si="10"/>
        <v>1.0000000000161029</v>
      </c>
      <c r="T20" s="680">
        <f t="shared" si="11"/>
        <v>5.6750169451961777E-6</v>
      </c>
      <c r="U20" s="681">
        <f t="shared" si="24"/>
        <v>0.99959998560721086</v>
      </c>
      <c r="V20" s="682">
        <f t="shared" si="25"/>
        <v>-2.0890418614931798E-4</v>
      </c>
      <c r="W20" s="683">
        <f t="shared" si="12"/>
        <v>64.739148423249361</v>
      </c>
      <c r="X20" s="684">
        <f t="shared" si="13"/>
        <v>-89.724684652037467</v>
      </c>
      <c r="Y20" s="687">
        <f t="shared" si="14"/>
        <v>90.275315347962533</v>
      </c>
      <c r="AA20" s="170">
        <f t="shared" si="15"/>
        <v>1000000000</v>
      </c>
      <c r="AB20" s="170">
        <f t="shared" si="16"/>
        <v>3.63093025</v>
      </c>
      <c r="AD20" s="686">
        <f t="shared" si="17"/>
        <v>60.483535071265287</v>
      </c>
      <c r="AE20" s="687">
        <f t="shared" si="18"/>
        <v>-89.615017879071587</v>
      </c>
      <c r="AG20" s="686">
        <f t="shared" si="19"/>
        <v>61.992378207385627</v>
      </c>
      <c r="AH20" s="687">
        <f t="shared" si="20"/>
        <v>-8.5728116560580034E-2</v>
      </c>
      <c r="AJ20" s="170">
        <f t="shared" si="21"/>
        <v>0</v>
      </c>
      <c r="AK20" s="170">
        <f t="shared" si="22"/>
        <v>0</v>
      </c>
      <c r="AM20" s="170" t="str">
        <f t="shared" si="26"/>
        <v>4.4531590970287E-08+0.000298434547767592i</v>
      </c>
      <c r="AN20" s="170" t="str">
        <f t="shared" si="27"/>
        <v>0.000298434552197514i</v>
      </c>
      <c r="AO20" s="170" t="str">
        <f t="shared" si="28"/>
        <v>0.999999985156136-0.000149217276090788i</v>
      </c>
      <c r="AP20" s="170" t="str">
        <f t="shared" si="29"/>
        <v>0.166666659244735-0.0000497390912945987i</v>
      </c>
      <c r="AQ20" s="170" t="str">
        <f t="shared" si="30"/>
        <v>0.833333340755265+0.0000497390912945987i</v>
      </c>
      <c r="AR20" s="170" t="str">
        <f t="shared" si="31"/>
        <v>0.999599987536142-0.0000596630335143899i</v>
      </c>
    </row>
    <row r="21" spans="1:44" ht="13">
      <c r="A21" s="333" t="s">
        <v>738</v>
      </c>
      <c r="B21" s="718">
        <f>Vout_eff/Iout_eff</f>
        <v>1.54</v>
      </c>
      <c r="C21" s="706" t="s">
        <v>45</v>
      </c>
      <c r="D21" s="706"/>
      <c r="E21" s="706"/>
      <c r="G21" s="688">
        <v>2.0893000000000002</v>
      </c>
      <c r="H21" s="676">
        <f t="shared" si="23"/>
        <v>2.0893000000000001E-3</v>
      </c>
      <c r="I21" s="677">
        <f t="shared" si="0"/>
        <v>1.0000016893669048</v>
      </c>
      <c r="J21" s="678">
        <f t="shared" si="1"/>
        <v>1.8381319466567463E-3</v>
      </c>
      <c r="K21" s="678">
        <f t="shared" si="2"/>
        <v>1.0000000000041704</v>
      </c>
      <c r="L21" s="679">
        <f t="shared" si="3"/>
        <v>2.8880409903957706E-6</v>
      </c>
      <c r="M21" s="678">
        <f t="shared" si="4"/>
        <v>1.0000000005907095</v>
      </c>
      <c r="N21" s="679">
        <f t="shared" si="5"/>
        <v>-3.4371777420628964E-5</v>
      </c>
      <c r="O21" s="677">
        <f t="shared" si="6"/>
        <v>186.67514612143782</v>
      </c>
      <c r="P21" s="680">
        <f t="shared" si="7"/>
        <v>1.5654394016574711</v>
      </c>
      <c r="Q21" s="689">
        <f t="shared" si="8"/>
        <v>1.0000004355825323</v>
      </c>
      <c r="R21" s="690">
        <f t="shared" si="9"/>
        <v>9.3336206722484795E-4</v>
      </c>
      <c r="S21" s="677">
        <f t="shared" si="10"/>
        <v>1.0000000000193592</v>
      </c>
      <c r="T21" s="680">
        <f t="shared" si="11"/>
        <v>6.2224155883351541E-6</v>
      </c>
      <c r="U21" s="681">
        <f t="shared" si="24"/>
        <v>0.99959998269671035</v>
      </c>
      <c r="V21" s="682">
        <f t="shared" si="25"/>
        <v>-2.2905458448569961E-4</v>
      </c>
      <c r="W21" s="683">
        <f t="shared" si="12"/>
        <v>63.93933474574812</v>
      </c>
      <c r="X21" s="684">
        <f t="shared" si="13"/>
        <v>-89.76019466088745</v>
      </c>
      <c r="Y21" s="687">
        <f t="shared" si="14"/>
        <v>90.23980533911255</v>
      </c>
      <c r="AA21" s="170">
        <f t="shared" si="15"/>
        <v>1000000000</v>
      </c>
      <c r="AB21" s="170">
        <f t="shared" si="16"/>
        <v>4.3651744900000002</v>
      </c>
      <c r="AD21" s="686">
        <f t="shared" si="17"/>
        <v>59.683723886362039</v>
      </c>
      <c r="AE21" s="687">
        <f t="shared" si="18"/>
        <v>-89.63994971182855</v>
      </c>
      <c r="AG21" s="686">
        <f t="shared" si="19"/>
        <v>61.992375765368443</v>
      </c>
      <c r="AH21" s="687">
        <f t="shared" si="20"/>
        <v>-9.3997227090606511E-2</v>
      </c>
      <c r="AJ21" s="170">
        <f t="shared" si="21"/>
        <v>0</v>
      </c>
      <c r="AK21" s="170">
        <f t="shared" si="22"/>
        <v>0</v>
      </c>
      <c r="AM21" s="170" t="str">
        <f t="shared" si="26"/>
        <v>5.35367380427587E-08+0.000327220833785989i</v>
      </c>
      <c r="AN21" s="170" t="str">
        <f t="shared" si="27"/>
        <v>0.000327220839625435i</v>
      </c>
      <c r="AO21" s="170" t="str">
        <f t="shared" si="28"/>
        <v>0.999999982154419-0.000163610417062805i</v>
      </c>
      <c r="AP21" s="170" t="str">
        <f t="shared" si="29"/>
        <v>0.166666657743877-0.0000545368056309982i</v>
      </c>
      <c r="AQ21" s="170" t="str">
        <f t="shared" si="30"/>
        <v>0.833333342256123+0.0000545368056309982i</v>
      </c>
      <c r="AR21" s="170" t="str">
        <f t="shared" si="31"/>
        <v>0.99959998501571-0.0000654179874094074i</v>
      </c>
    </row>
    <row r="22" spans="1:44">
      <c r="A22" s="170" t="s">
        <v>737</v>
      </c>
      <c r="B22" s="718">
        <f>Rload_sec*(Npri_sec^2)</f>
        <v>1.54</v>
      </c>
      <c r="C22" s="706" t="s">
        <v>45</v>
      </c>
      <c r="D22" s="706"/>
      <c r="E22" s="706"/>
      <c r="G22" s="688">
        <v>2.2909000000000002</v>
      </c>
      <c r="H22" s="676">
        <f t="shared" si="23"/>
        <v>2.2909000000000002E-3</v>
      </c>
      <c r="I22" s="677">
        <f t="shared" si="0"/>
        <v>1.0000020311152349</v>
      </c>
      <c r="J22" s="678">
        <f t="shared" si="1"/>
        <v>2.0154958680903838E-3</v>
      </c>
      <c r="K22" s="678">
        <f t="shared" si="2"/>
        <v>1.000000000005014</v>
      </c>
      <c r="L22" s="679">
        <f t="shared" si="3"/>
        <v>3.1667128248188145E-6</v>
      </c>
      <c r="M22" s="678">
        <f t="shared" si="4"/>
        <v>1.0000000007102063</v>
      </c>
      <c r="N22" s="679">
        <f t="shared" si="5"/>
        <v>-3.7688366862894707E-5</v>
      </c>
      <c r="O22" s="677">
        <f t="shared" si="6"/>
        <v>204.68724444332702</v>
      </c>
      <c r="P22" s="680">
        <f>ATAN(G22/Pole2)</f>
        <v>1.5659108050771928</v>
      </c>
      <c r="Q22" s="689">
        <f t="shared" si="8"/>
        <v>1.0000005236982132</v>
      </c>
      <c r="R22" s="690">
        <f t="shared" si="9"/>
        <v>1.023423651077962E-3</v>
      </c>
      <c r="S22" s="677">
        <f t="shared" si="10"/>
        <v>1.0000000000232756</v>
      </c>
      <c r="T22" s="680">
        <f t="shared" si="11"/>
        <v>6.8228267224811116E-6</v>
      </c>
      <c r="U22" s="681">
        <f t="shared" si="24"/>
        <v>0.99959997919636112</v>
      </c>
      <c r="V22" s="682">
        <f t="shared" si="25"/>
        <v>-2.5115644048612093E-4</v>
      </c>
      <c r="W22" s="683">
        <f t="shared" si="12"/>
        <v>63.139246923366564</v>
      </c>
      <c r="X22" s="684">
        <f t="shared" si="13"/>
        <v>-89.793680946758428</v>
      </c>
      <c r="Y22" s="687">
        <f t="shared" si="14"/>
        <v>90.206319053241572</v>
      </c>
      <c r="AA22" s="170">
        <f t="shared" si="15"/>
        <v>1000000000</v>
      </c>
      <c r="AB22" s="170">
        <f t="shared" si="16"/>
        <v>5.2482228100000006</v>
      </c>
      <c r="AD22" s="686">
        <f t="shared" si="17"/>
        <v>58.883639061733803</v>
      </c>
      <c r="AE22" s="687">
        <f t="shared" si="18"/>
        <v>-89.661833390624551</v>
      </c>
      <c r="AG22" s="686">
        <f t="shared" si="19"/>
        <v>61.992372828446761</v>
      </c>
      <c r="AH22" s="687">
        <f t="shared" si="20"/>
        <v>-0.10306714802621561</v>
      </c>
      <c r="AJ22" s="170">
        <f t="shared" si="21"/>
        <v>0</v>
      </c>
      <c r="AK22" s="170">
        <f t="shared" si="22"/>
        <v>0</v>
      </c>
      <c r="AM22" s="170" t="str">
        <f t="shared" si="26"/>
        <v>6.43668960353949E-08+0.000358794909976603i</v>
      </c>
      <c r="AN22" s="170" t="str">
        <f t="shared" si="27"/>
        <v>0.000358794917674775i</v>
      </c>
      <c r="AO22" s="170" t="str">
        <f t="shared" si="28"/>
        <v>0.999999978544367-0.000179397457613208i</v>
      </c>
      <c r="AP22" s="170" t="str">
        <f t="shared" si="29"/>
        <v>0.166666655938851-0.0000597991516627672i</v>
      </c>
      <c r="AQ22" s="170" t="str">
        <f t="shared" si="30"/>
        <v>0.833333344061149+0.0000597991516627672i</v>
      </c>
      <c r="AR22" s="170" t="str">
        <f t="shared" si="31"/>
        <v>0.999599981984479-0.000071730276186336i</v>
      </c>
    </row>
    <row r="23" spans="1:44">
      <c r="B23" s="633"/>
      <c r="G23" s="688">
        <v>2.5118999999999998</v>
      </c>
      <c r="H23" s="676">
        <f t="shared" si="23"/>
        <v>2.5118999999999996E-3</v>
      </c>
      <c r="I23" s="677">
        <f t="shared" si="0"/>
        <v>1.0000024418945295</v>
      </c>
      <c r="J23" s="678">
        <f t="shared" si="1"/>
        <v>2.2099274017273632E-3</v>
      </c>
      <c r="K23" s="678">
        <f t="shared" si="2"/>
        <v>1.0000000000060281</v>
      </c>
      <c r="L23" s="679">
        <f t="shared" si="3"/>
        <v>3.4722012941014451E-6</v>
      </c>
      <c r="M23" s="678">
        <f t="shared" si="4"/>
        <v>1.000000000853841</v>
      </c>
      <c r="N23" s="679">
        <f t="shared" si="5"/>
        <v>-4.1324112232677117E-5</v>
      </c>
      <c r="O23" s="677">
        <f t="shared" si="6"/>
        <v>224.43269331556706</v>
      </c>
      <c r="P23" s="680">
        <f t="shared" si="7"/>
        <v>1.5663406332232426</v>
      </c>
      <c r="Q23" s="689">
        <f t="shared" si="8"/>
        <v>1.0000006296127246</v>
      </c>
      <c r="R23" s="690">
        <f t="shared" si="9"/>
        <v>1.1221518563114287E-3</v>
      </c>
      <c r="S23" s="677">
        <f t="shared" si="10"/>
        <v>1.0000000000279829</v>
      </c>
      <c r="T23" s="680">
        <f t="shared" si="11"/>
        <v>7.4810155153636207E-6</v>
      </c>
      <c r="U23" s="681">
        <f t="shared" si="24"/>
        <v>0.99959997498896214</v>
      </c>
      <c r="V23" s="682">
        <f t="shared" si="25"/>
        <v>-2.7538515840329662E-4</v>
      </c>
      <c r="W23" s="683">
        <f t="shared" si="12"/>
        <v>62.339337403590619</v>
      </c>
      <c r="X23" s="684">
        <f t="shared" si="13"/>
        <v>-89.825408406666838</v>
      </c>
      <c r="Y23" s="687">
        <f t="shared" si="14"/>
        <v>90.174591593333162</v>
      </c>
      <c r="AA23" s="170">
        <f t="shared" si="15"/>
        <v>1000000000</v>
      </c>
      <c r="AB23" s="170">
        <f t="shared" si="16"/>
        <v>6.309641609999999</v>
      </c>
      <c r="AD23" s="686">
        <f t="shared" si="17"/>
        <v>58.083733145236707</v>
      </c>
      <c r="AE23" s="687">
        <f t="shared" si="18"/>
        <v>-89.680841731292034</v>
      </c>
      <c r="AG23" s="686">
        <f t="shared" si="19"/>
        <v>61.992369298287151</v>
      </c>
      <c r="AH23" s="687">
        <f t="shared" si="20"/>
        <v>-0.11300986070465742</v>
      </c>
      <c r="AJ23" s="170">
        <f t="shared" si="21"/>
        <v>0</v>
      </c>
      <c r="AK23" s="170">
        <f t="shared" si="22"/>
        <v>0</v>
      </c>
      <c r="AM23" s="170" t="str">
        <f t="shared" si="26"/>
        <v>7.73846799972944E-08+0.000393407364118662i</v>
      </c>
      <c r="AN23" s="170" t="str">
        <f t="shared" si="27"/>
        <v>0.000393407374266563i</v>
      </c>
      <c r="AO23" s="170" t="str">
        <f t="shared" si="28"/>
        <v>0.999999974205107-0.000196703684422703i</v>
      </c>
      <c r="AP23" s="170" t="str">
        <f t="shared" si="29"/>
        <v>0.16666665376922-0.000065567894019777i</v>
      </c>
      <c r="AQ23" s="170" t="str">
        <f t="shared" si="30"/>
        <v>0.83333334623078+0.000065567894019777i</v>
      </c>
      <c r="AR23" s="170" t="str">
        <f t="shared" si="31"/>
        <v>0.999599978340957-0.0000786499973131766i</v>
      </c>
    </row>
    <row r="24" spans="1:44">
      <c r="D24" s="712"/>
      <c r="E24" s="189"/>
      <c r="G24" s="688">
        <v>2.7542</v>
      </c>
      <c r="H24" s="676">
        <f t="shared" si="23"/>
        <v>2.7542000000000001E-3</v>
      </c>
      <c r="I24" s="677">
        <f t="shared" si="0"/>
        <v>1.0000029357093143</v>
      </c>
      <c r="J24" s="678">
        <f t="shared" si="1"/>
        <v>2.4230980716107263E-3</v>
      </c>
      <c r="K24" s="678">
        <f t="shared" si="2"/>
        <v>1.0000000000072471</v>
      </c>
      <c r="L24" s="679">
        <f t="shared" si="3"/>
        <v>3.8071327696988057E-6</v>
      </c>
      <c r="M24" s="678">
        <f t="shared" si="4"/>
        <v>1.0000000010265102</v>
      </c>
      <c r="N24" s="679">
        <f t="shared" si="5"/>
        <v>-4.5310271068966825E-5</v>
      </c>
      <c r="O24" s="677">
        <f t="shared" si="6"/>
        <v>246.08124997298262</v>
      </c>
      <c r="P24" s="680">
        <f t="shared" si="7"/>
        <v>1.5667326171363816</v>
      </c>
      <c r="Q24" s="689">
        <f t="shared" si="8"/>
        <v>1.0000007569369833</v>
      </c>
      <c r="R24" s="690">
        <f t="shared" si="9"/>
        <v>1.2303954696889117E-3</v>
      </c>
      <c r="S24" s="677">
        <f t="shared" si="10"/>
        <v>1.0000000000336415</v>
      </c>
      <c r="T24" s="680">
        <f t="shared" si="11"/>
        <v>8.2026406036612736E-6</v>
      </c>
      <c r="U24" s="681">
        <f t="shared" si="24"/>
        <v>0.99959996993107192</v>
      </c>
      <c r="V24" s="682">
        <f t="shared" si="25"/>
        <v>-3.0194904305163325E-4</v>
      </c>
      <c r="W24" s="683">
        <f t="shared" si="12"/>
        <v>61.539486120517005</v>
      </c>
      <c r="X24" s="684">
        <f t="shared" si="13"/>
        <v>-89.855651852523394</v>
      </c>
      <c r="Y24" s="687">
        <f t="shared" si="14"/>
        <v>90.144348147476606</v>
      </c>
      <c r="AA24" s="170">
        <f t="shared" si="15"/>
        <v>1000000000</v>
      </c>
      <c r="AB24" s="170">
        <f t="shared" si="16"/>
        <v>7.5856176399999997</v>
      </c>
      <c r="AD24" s="686">
        <f t="shared" si="17"/>
        <v>57.283886193811774</v>
      </c>
      <c r="AE24" s="687">
        <f t="shared" si="18"/>
        <v>-89.697140199036724</v>
      </c>
      <c r="AG24" s="686">
        <f t="shared" si="19"/>
        <v>61.99236505453819</v>
      </c>
      <c r="AH24" s="687">
        <f t="shared" si="20"/>
        <v>-0.12391084185739515</v>
      </c>
      <c r="AJ24" s="170">
        <f t="shared" si="21"/>
        <v>0</v>
      </c>
      <c r="AK24" s="170">
        <f t="shared" si="22"/>
        <v>0</v>
      </c>
      <c r="AM24" s="170" t="str">
        <f t="shared" si="26"/>
        <v>9.30339040250416E-08+0.000431355769180111i</v>
      </c>
      <c r="AN24" s="170" t="str">
        <f t="shared" si="27"/>
        <v>0.000431355782557015i</v>
      </c>
      <c r="AO24" s="170" t="str">
        <f t="shared" si="28"/>
        <v>0.999999968988699-0.000215677887690644i</v>
      </c>
      <c r="AP24" s="170" t="str">
        <f t="shared" si="29"/>
        <v>0.166666651161016-0.0000718926281966852i</v>
      </c>
      <c r="AQ24" s="170" t="str">
        <f t="shared" si="30"/>
        <v>0.833333348838984+0.0000718926281966852i</v>
      </c>
      <c r="AR24" s="170" t="str">
        <f t="shared" si="31"/>
        <v>0.999599973960928-0.0000862366415234807i</v>
      </c>
    </row>
    <row r="25" spans="1:44" ht="13">
      <c r="A25" s="333" t="s">
        <v>751</v>
      </c>
      <c r="B25" s="711">
        <f>'Design Converter'!E34+'Design Converter'!E34*0+IF(MODE=2,ABS('Design Converter'!L34*('Design Converter'!L14)^2),0)</f>
        <v>110</v>
      </c>
      <c r="C25" s="170" t="s">
        <v>749</v>
      </c>
      <c r="D25" s="709">
        <f>Cout_sec*0.000001</f>
        <v>1.0999999999999999E-4</v>
      </c>
      <c r="E25" s="170" t="s">
        <v>13</v>
      </c>
      <c r="G25" s="688">
        <v>3.02</v>
      </c>
      <c r="H25" s="676">
        <f t="shared" si="23"/>
        <v>3.0200000000000001E-3</v>
      </c>
      <c r="I25" s="677">
        <f t="shared" si="0"/>
        <v>1.0000035296842722</v>
      </c>
      <c r="J25" s="678">
        <f t="shared" si="1"/>
        <v>2.6569433151414413E-3</v>
      </c>
      <c r="K25" s="678">
        <f t="shared" si="2"/>
        <v>1.0000000000087135</v>
      </c>
      <c r="L25" s="679">
        <f t="shared" si="3"/>
        <v>4.1745483132957498E-6</v>
      </c>
      <c r="M25" s="678">
        <f t="shared" si="4"/>
        <v>1.0000000012342021</v>
      </c>
      <c r="N25" s="679">
        <f t="shared" si="5"/>
        <v>-4.9683036311572583E-5</v>
      </c>
      <c r="O25" s="677">
        <f t="shared" si="6"/>
        <v>269.82947582584973</v>
      </c>
      <c r="P25" s="680">
        <f t="shared" si="7"/>
        <v>1.5670902739773498</v>
      </c>
      <c r="Q25" s="689">
        <f t="shared" si="8"/>
        <v>1.0000009100864111</v>
      </c>
      <c r="R25" s="690">
        <f t="shared" si="9"/>
        <v>1.3491372954322789E-3</v>
      </c>
      <c r="S25" s="677">
        <f t="shared" si="10"/>
        <v>1.0000000000404483</v>
      </c>
      <c r="T25" s="680">
        <f t="shared" si="11"/>
        <v>8.9942540930014669E-6</v>
      </c>
      <c r="U25" s="681">
        <f t="shared" si="24"/>
        <v>0.999599963847288</v>
      </c>
      <c r="V25" s="682">
        <f t="shared" si="25"/>
        <v>-3.3108928564685102E-4</v>
      </c>
      <c r="W25" s="683">
        <f t="shared" si="12"/>
        <v>60.739264929105197</v>
      </c>
      <c r="X25" s="684">
        <f t="shared" si="13"/>
        <v>-89.884683478764657</v>
      </c>
      <c r="Y25" s="687">
        <f t="shared" si="14"/>
        <v>90.115316521235343</v>
      </c>
      <c r="AA25" s="170">
        <f t="shared" si="15"/>
        <v>1000000000</v>
      </c>
      <c r="AB25" s="170">
        <f t="shared" si="16"/>
        <v>9.1204000000000001</v>
      </c>
      <c r="AD25" s="686">
        <f t="shared" si="17"/>
        <v>56.483670212631708</v>
      </c>
      <c r="AE25" s="687">
        <f t="shared" si="18"/>
        <v>-89.710874377199062</v>
      </c>
      <c r="AG25" s="686">
        <f t="shared" si="19"/>
        <v>61.992359950034881</v>
      </c>
      <c r="AH25" s="687">
        <f t="shared" si="20"/>
        <v>-0.13586906410311217</v>
      </c>
      <c r="AJ25" s="170">
        <f t="shared" si="21"/>
        <v>0</v>
      </c>
      <c r="AK25" s="170">
        <f t="shared" si="22"/>
        <v>0</v>
      </c>
      <c r="AM25" s="170" t="str">
        <f t="shared" si="26"/>
        <v>1.11857262008463E-07+0.000472984683301954i</v>
      </c>
      <c r="AN25" s="170" t="str">
        <f t="shared" si="27"/>
        <v>0.000472984700937545i</v>
      </c>
      <c r="AO25" s="170" t="str">
        <f t="shared" si="28"/>
        <v>0.999999962714246-0.000236492346976003i</v>
      </c>
      <c r="AP25" s="170" t="str">
        <f t="shared" si="29"/>
        <v>0.16666664802379-0.0000788307805503257i</v>
      </c>
      <c r="AQ25" s="170" t="str">
        <f t="shared" si="30"/>
        <v>0.83333335197621+0.0000788307805503257i</v>
      </c>
      <c r="AR25" s="170" t="str">
        <f t="shared" si="31"/>
        <v>0.999599968692497-0.0000945590928087086i</v>
      </c>
    </row>
    <row r="26" spans="1:44" ht="13">
      <c r="A26" s="333" t="s">
        <v>746</v>
      </c>
      <c r="B26" s="711">
        <f>IF(MODE=2,('Design Converter'!E35*'Design Converter'!E34+'Design Converter'!L34*'Design Converter'!L35)/Cout_sec,'Design Converter'!E35)</f>
        <v>2</v>
      </c>
      <c r="C26" s="170" t="s">
        <v>748</v>
      </c>
      <c r="D26" s="189">
        <f>B26*0.001</f>
        <v>2E-3</v>
      </c>
      <c r="E26" s="706" t="s">
        <v>45</v>
      </c>
      <c r="G26" s="688">
        <v>3.3113000000000001</v>
      </c>
      <c r="H26" s="676">
        <f t="shared" si="23"/>
        <v>3.3113000000000001E-3</v>
      </c>
      <c r="I26" s="677">
        <f t="shared" si="0"/>
        <v>1.0000042434479266</v>
      </c>
      <c r="J26" s="678">
        <f t="shared" si="1"/>
        <v>2.9132225870891698E-3</v>
      </c>
      <c r="K26" s="678">
        <f t="shared" si="2"/>
        <v>1.0000000000104754</v>
      </c>
      <c r="L26" s="679">
        <f t="shared" si="3"/>
        <v>4.577212526423834E-6</v>
      </c>
      <c r="M26" s="678">
        <f t="shared" si="4"/>
        <v>1.0000000014837798</v>
      </c>
      <c r="N26" s="679">
        <f t="shared" si="5"/>
        <v>-5.4475310632826945E-5</v>
      </c>
      <c r="O26" s="677">
        <f t="shared" si="6"/>
        <v>295.85606331673796</v>
      </c>
      <c r="P26" s="680">
        <f t="shared" si="7"/>
        <v>1.5674162983686053</v>
      </c>
      <c r="Q26" s="689">
        <f t="shared" si="8"/>
        <v>1.000001094122029</v>
      </c>
      <c r="R26" s="690">
        <f t="shared" si="9"/>
        <v>1.4792707875027817E-3</v>
      </c>
      <c r="S26" s="677">
        <f t="shared" si="10"/>
        <v>1.0000000000486278</v>
      </c>
      <c r="T26" s="680">
        <f t="shared" si="11"/>
        <v>9.861812443044158E-6</v>
      </c>
      <c r="U26" s="681">
        <f t="shared" si="24"/>
        <v>0.99959995653656364</v>
      </c>
      <c r="V26" s="682">
        <f t="shared" si="25"/>
        <v>-3.630251469898419E-4</v>
      </c>
      <c r="W26" s="683">
        <f t="shared" si="12"/>
        <v>59.939438576587598</v>
      </c>
      <c r="X26" s="684">
        <f t="shared" si="13"/>
        <v>-89.912721924859198</v>
      </c>
      <c r="Y26" s="687">
        <f t="shared" si="14"/>
        <v>90.087278075140802</v>
      </c>
      <c r="AA26" s="170">
        <f t="shared" si="15"/>
        <v>1000000000</v>
      </c>
      <c r="AB26" s="170">
        <f t="shared" si="16"/>
        <v>10.964707690000001</v>
      </c>
      <c r="AD26" s="686">
        <f t="shared" si="17"/>
        <v>55.683850121104797</v>
      </c>
      <c r="AE26" s="687">
        <f t="shared" si="18"/>
        <v>-89.722147806412195</v>
      </c>
      <c r="AG26" s="686">
        <f t="shared" si="19"/>
        <v>61.992353816095317</v>
      </c>
      <c r="AH26" s="687">
        <f t="shared" si="20"/>
        <v>-0.14897450084021285</v>
      </c>
      <c r="AJ26" s="170">
        <f t="shared" si="21"/>
        <v>0</v>
      </c>
      <c r="AK26" s="170">
        <f t="shared" si="22"/>
        <v>0</v>
      </c>
      <c r="AM26" s="170" t="str">
        <f t="shared" si="26"/>
        <v>1.34476796032068E-07+0.000518607341062549i</v>
      </c>
      <c r="AN26" s="170" t="str">
        <f t="shared" si="27"/>
        <v>0.000518607364309435i</v>
      </c>
      <c r="AO26" s="170" t="str">
        <f t="shared" si="28"/>
        <v>0.999999955174401-0.000259303676127187i</v>
      </c>
      <c r="AP26" s="170" t="str">
        <f t="shared" si="29"/>
        <v>0.166666644253867-0.0000864345568437582i</v>
      </c>
      <c r="AQ26" s="170" t="str">
        <f t="shared" si="30"/>
        <v>0.833333355746133+0.0000864345568437582i</v>
      </c>
      <c r="AR26" s="170" t="str">
        <f t="shared" si="31"/>
        <v>0.999599962361561-0.0001036799729328i</v>
      </c>
    </row>
    <row r="27" spans="1:44">
      <c r="A27" s="170" t="s">
        <v>740</v>
      </c>
      <c r="B27" s="717">
        <f>Cout_sec/Npri_sec^2</f>
        <v>110</v>
      </c>
      <c r="C27" s="170" t="s">
        <v>749</v>
      </c>
      <c r="D27" s="709">
        <f>Cout_pri*0.000001</f>
        <v>1.0999999999999999E-4</v>
      </c>
      <c r="E27" s="170" t="s">
        <v>13</v>
      </c>
      <c r="G27" s="688">
        <v>3.6307999999999998</v>
      </c>
      <c r="H27" s="676">
        <f t="shared" si="23"/>
        <v>3.6308E-3</v>
      </c>
      <c r="I27" s="677">
        <f t="shared" si="0"/>
        <v>1.0000051018335572</v>
      </c>
      <c r="J27" s="678">
        <f t="shared" si="1"/>
        <v>3.1943111515944172E-3</v>
      </c>
      <c r="K27" s="678">
        <f t="shared" si="2"/>
        <v>1.0000000000125944</v>
      </c>
      <c r="L27" s="679">
        <f t="shared" si="3"/>
        <v>5.018857621150659E-6</v>
      </c>
      <c r="M27" s="678">
        <f t="shared" si="4"/>
        <v>1.0000000017839268</v>
      </c>
      <c r="N27" s="679">
        <f t="shared" si="5"/>
        <v>-5.9731512640380173E-5</v>
      </c>
      <c r="O27" s="677">
        <f t="shared" si="6"/>
        <v>324.40224754256411</v>
      </c>
      <c r="P27" s="680">
        <f t="shared" si="7"/>
        <v>1.5677137292133088</v>
      </c>
      <c r="Q27" s="689">
        <f t="shared" si="8"/>
        <v>1.0000013154468623</v>
      </c>
      <c r="R27" s="690">
        <f t="shared" si="9"/>
        <v>1.6220021087744369E-3</v>
      </c>
      <c r="S27" s="677">
        <f t="shared" si="10"/>
        <v>1.0000000000584643</v>
      </c>
      <c r="T27" s="680">
        <f t="shared" si="11"/>
        <v>1.0813356874330297E-5</v>
      </c>
      <c r="U27" s="681">
        <f t="shared" si="24"/>
        <v>0.99959994774454253</v>
      </c>
      <c r="V27" s="682">
        <f t="shared" si="25"/>
        <v>-3.9805263737671687E-4</v>
      </c>
      <c r="W27" s="683">
        <f t="shared" si="12"/>
        <v>59.139365364202391</v>
      </c>
      <c r="X27" s="684">
        <f t="shared" si="13"/>
        <v>-89.940028043728645</v>
      </c>
      <c r="Y27" s="687">
        <f t="shared" si="14"/>
        <v>90.059971956271355</v>
      </c>
      <c r="AA27" s="170">
        <f t="shared" si="15"/>
        <v>1000000000</v>
      </c>
      <c r="AB27" s="170">
        <f t="shared" si="16"/>
        <v>13.182708639999998</v>
      </c>
      <c r="AD27" s="686">
        <f t="shared" si="17"/>
        <v>54.883784438299244</v>
      </c>
      <c r="AE27" s="687">
        <f t="shared" si="18"/>
        <v>-89.73106595568764</v>
      </c>
      <c r="AG27" s="686">
        <f t="shared" si="19"/>
        <v>61.992346439309841</v>
      </c>
      <c r="AH27" s="687">
        <f t="shared" si="20"/>
        <v>-0.16334861569740664</v>
      </c>
      <c r="AJ27" s="170">
        <f t="shared" si="21"/>
        <v>0</v>
      </c>
      <c r="AK27" s="170">
        <f t="shared" si="22"/>
        <v>0</v>
      </c>
      <c r="AM27" s="170" t="str">
        <f t="shared" si="26"/>
        <v>1.61679496013534E-07+0.000568646609143248i</v>
      </c>
      <c r="AN27" s="170" t="str">
        <f t="shared" si="27"/>
        <v>0.000568646639789416i</v>
      </c>
      <c r="AO27" s="170" t="str">
        <f t="shared" si="28"/>
        <v>0.999999946106834-0.000284323312054403i</v>
      </c>
      <c r="AP27" s="170" t="str">
        <f t="shared" si="29"/>
        <v>0.166666639720084-0.000094774434857208i</v>
      </c>
      <c r="AQ27" s="170" t="str">
        <f t="shared" si="30"/>
        <v>0.833333360279916+0.000094774434857208i</v>
      </c>
      <c r="AR27" s="170" t="str">
        <f t="shared" si="31"/>
        <v>0.999599954747853-0.000113683821277354i</v>
      </c>
    </row>
    <row r="28" spans="1:44">
      <c r="B28" s="633"/>
      <c r="D28" s="189"/>
      <c r="G28" s="688">
        <v>3.9811000000000001</v>
      </c>
      <c r="H28" s="676">
        <f t="shared" si="23"/>
        <v>3.9811000000000004E-3</v>
      </c>
      <c r="I28" s="677">
        <f t="shared" si="0"/>
        <v>1.0000061337713357</v>
      </c>
      <c r="J28" s="678">
        <f t="shared" si="1"/>
        <v>3.502496247926372E-3</v>
      </c>
      <c r="K28" s="678">
        <f t="shared" si="2"/>
        <v>1.0000000000151419</v>
      </c>
      <c r="L28" s="679">
        <f t="shared" si="3"/>
        <v>5.503077579467048E-6</v>
      </c>
      <c r="M28" s="678">
        <f t="shared" si="4"/>
        <v>1.0000000021447593</v>
      </c>
      <c r="N28" s="679">
        <f t="shared" si="5"/>
        <v>-6.5494415807925045E-5</v>
      </c>
      <c r="O28" s="677">
        <f t="shared" si="6"/>
        <v>355.70032922956204</v>
      </c>
      <c r="P28" s="680">
        <f t="shared" si="7"/>
        <v>1.5679849678078046</v>
      </c>
      <c r="Q28" s="689">
        <f t="shared" si="8"/>
        <v>1.0000015815203021</v>
      </c>
      <c r="R28" s="690">
        <f t="shared" si="9"/>
        <v>1.7784927425975594E-3</v>
      </c>
      <c r="S28" s="677">
        <f t="shared" si="10"/>
        <v>1.00000000007029</v>
      </c>
      <c r="T28" s="680">
        <f t="shared" si="11"/>
        <v>1.1856630784415821E-5</v>
      </c>
      <c r="U28" s="681">
        <f t="shared" si="24"/>
        <v>0.99959993717490236</v>
      </c>
      <c r="V28" s="682">
        <f t="shared" si="25"/>
        <v>-4.3645679918028727E-4</v>
      </c>
      <c r="W28" s="683">
        <f t="shared" si="12"/>
        <v>58.339350369108097</v>
      </c>
      <c r="X28" s="684">
        <f t="shared" si="13"/>
        <v>-89.966822940790479</v>
      </c>
      <c r="Y28" s="687">
        <f t="shared" si="14"/>
        <v>90.033177059209521</v>
      </c>
      <c r="AA28" s="170">
        <f t="shared" si="15"/>
        <v>1000000000</v>
      </c>
      <c r="AB28" s="170">
        <f t="shared" si="16"/>
        <v>15.849157210000001</v>
      </c>
      <c r="AD28" s="686">
        <f t="shared" si="17"/>
        <v>54.083778495139455</v>
      </c>
      <c r="AE28" s="687">
        <f t="shared" si="18"/>
        <v>-89.737700304741438</v>
      </c>
      <c r="AG28" s="686">
        <f t="shared" si="19"/>
        <v>61.992337571062279</v>
      </c>
      <c r="AH28" s="687">
        <f t="shared" si="20"/>
        <v>-0.17910837092626178</v>
      </c>
      <c r="AJ28" s="170">
        <f t="shared" si="21"/>
        <v>0</v>
      </c>
      <c r="AK28" s="170">
        <f t="shared" si="22"/>
        <v>0</v>
      </c>
      <c r="AM28" s="170" t="str">
        <f t="shared" si="26"/>
        <v>1.94382187013176E-07+0.00062350969234943i</v>
      </c>
      <c r="AN28" s="170" t="str">
        <f t="shared" si="27"/>
        <v>0.000623509732749159i</v>
      </c>
      <c r="AO28" s="170" t="str">
        <f t="shared" si="28"/>
        <v>0.999999935205937-0.000311754856104831i</v>
      </c>
      <c r="AP28" s="170" t="str">
        <f t="shared" si="29"/>
        <v>0.166666634269635-0.000103918282058238i</v>
      </c>
      <c r="AQ28" s="170" t="str">
        <f t="shared" si="30"/>
        <v>0.833333365730365+0.000103918282058238i</v>
      </c>
      <c r="AR28" s="170" t="str">
        <f t="shared" si="31"/>
        <v>0.999599945594763-0.000124652046064032i</v>
      </c>
    </row>
    <row r="29" spans="1:44">
      <c r="B29" s="633"/>
      <c r="D29" s="189"/>
      <c r="G29" s="688">
        <v>4.3651999999999997</v>
      </c>
      <c r="H29" s="676">
        <f t="shared" si="23"/>
        <v>4.3651999999999996E-3</v>
      </c>
      <c r="I29" s="677">
        <f t="shared" si="0"/>
        <v>1.0000073744465474</v>
      </c>
      <c r="J29" s="678">
        <f t="shared" si="1"/>
        <v>3.8404169640670347E-3</v>
      </c>
      <c r="K29" s="678">
        <f t="shared" si="2"/>
        <v>1.0000000000182045</v>
      </c>
      <c r="L29" s="679">
        <f t="shared" si="3"/>
        <v>6.0340193036699671E-6</v>
      </c>
      <c r="M29" s="678">
        <f t="shared" si="4"/>
        <v>1.0000000025785802</v>
      </c>
      <c r="N29" s="679">
        <f t="shared" si="5"/>
        <v>-7.1813374143344587E-5</v>
      </c>
      <c r="O29" s="677">
        <f t="shared" si="6"/>
        <v>390.01834789865984</v>
      </c>
      <c r="P29" s="680">
        <f t="shared" si="7"/>
        <v>1.5682323420463373</v>
      </c>
      <c r="Q29" s="689">
        <f t="shared" si="8"/>
        <v>1.0000019014145884</v>
      </c>
      <c r="R29" s="690">
        <f t="shared" si="9"/>
        <v>1.9500828575840768E-3</v>
      </c>
      <c r="S29" s="677">
        <f t="shared" si="10"/>
        <v>1.0000000000845075</v>
      </c>
      <c r="T29" s="680">
        <f t="shared" si="11"/>
        <v>1.3000568862787011E-5</v>
      </c>
      <c r="U29" s="681">
        <f t="shared" si="24"/>
        <v>0.99959992446725288</v>
      </c>
      <c r="V29" s="682">
        <f t="shared" si="25"/>
        <v>-4.7856652825909634E-4</v>
      </c>
      <c r="W29" s="683">
        <f t="shared" si="12"/>
        <v>57.539326841479259</v>
      </c>
      <c r="X29" s="684">
        <f t="shared" si="13"/>
        <v>-89.993336363599113</v>
      </c>
      <c r="Y29" s="687">
        <f t="shared" si="14"/>
        <v>90.006663636400887</v>
      </c>
      <c r="AA29" s="170">
        <f t="shared" si="15"/>
        <v>1000000000</v>
      </c>
      <c r="AB29" s="170">
        <f t="shared" si="16"/>
        <v>19.054971039999998</v>
      </c>
      <c r="AD29" s="686">
        <f t="shared" si="17"/>
        <v>53.283765850432488</v>
      </c>
      <c r="AE29" s="687">
        <f t="shared" si="18"/>
        <v>-89.742107958003672</v>
      </c>
      <c r="AG29" s="686">
        <f t="shared" si="19"/>
        <v>61.992326908983244</v>
      </c>
      <c r="AH29" s="687">
        <f t="shared" si="20"/>
        <v>-0.19638872096182497</v>
      </c>
      <c r="AJ29" s="170">
        <f t="shared" si="21"/>
        <v>0</v>
      </c>
      <c r="AK29" s="170">
        <f t="shared" si="22"/>
        <v>0</v>
      </c>
      <c r="AM29" s="170" t="str">
        <f t="shared" si="26"/>
        <v>2.3369992896427E-07+0.000683666442282981i</v>
      </c>
      <c r="AN29" s="170" t="str">
        <f t="shared" si="27"/>
        <v>0.000683666495540586i</v>
      </c>
      <c r="AO29" s="170" t="str">
        <f t="shared" si="28"/>
        <v>0.999999922100022-0.000341833233731133i</v>
      </c>
      <c r="AP29" s="170" t="str">
        <f t="shared" si="29"/>
        <v>0.166666627716679-0.000113944407047163i</v>
      </c>
      <c r="AQ29" s="170" t="str">
        <f t="shared" si="30"/>
        <v>0.833333372283321+0.000113944407047163i</v>
      </c>
      <c r="AR29" s="170" t="str">
        <f t="shared" si="31"/>
        <v>0.999599934590202-0.000136678579809161i</v>
      </c>
    </row>
    <row r="30" spans="1:44">
      <c r="A30" s="170" t="s">
        <v>18</v>
      </c>
      <c r="B30" s="714">
        <f>Vref</f>
        <v>1</v>
      </c>
      <c r="C30" s="170" t="s">
        <v>0</v>
      </c>
      <c r="D30" s="189"/>
      <c r="G30" s="688">
        <v>4.7862999999999998</v>
      </c>
      <c r="H30" s="676">
        <f t="shared" si="23"/>
        <v>4.7862999999999994E-3</v>
      </c>
      <c r="I30" s="677">
        <f t="shared" si="0"/>
        <v>1.0000088658554778</v>
      </c>
      <c r="J30" s="678">
        <f t="shared" si="1"/>
        <v>4.2108882615049569E-3</v>
      </c>
      <c r="K30" s="678">
        <f t="shared" si="2"/>
        <v>1.0000000000218865</v>
      </c>
      <c r="L30" s="679">
        <f t="shared" si="3"/>
        <v>6.6161061562092637E-6</v>
      </c>
      <c r="M30" s="678">
        <f t="shared" si="4"/>
        <v>1.0000000031000751</v>
      </c>
      <c r="N30" s="679">
        <f t="shared" si="5"/>
        <v>-7.8741031921284555E-5</v>
      </c>
      <c r="O30" s="677">
        <f t="shared" si="6"/>
        <v>427.64221257905962</v>
      </c>
      <c r="P30" s="680">
        <f t="shared" si="7"/>
        <v>1.5684579212728449</v>
      </c>
      <c r="Q30" s="689">
        <f t="shared" si="8"/>
        <v>1.0000022859581619</v>
      </c>
      <c r="R30" s="690">
        <f t="shared" si="9"/>
        <v>2.1382019583189322E-3</v>
      </c>
      <c r="S30" s="677">
        <f t="shared" si="10"/>
        <v>1.0000000001015983</v>
      </c>
      <c r="T30" s="680">
        <f t="shared" si="11"/>
        <v>1.4254701444893358E-5</v>
      </c>
      <c r="U30" s="681">
        <f t="shared" si="24"/>
        <v>0.99959990919143615</v>
      </c>
      <c r="V30" s="682">
        <f t="shared" si="25"/>
        <v>-5.2473264955134324E-4</v>
      </c>
      <c r="W30" s="683">
        <f t="shared" si="12"/>
        <v>56.739406507954151</v>
      </c>
      <c r="X30" s="684">
        <f t="shared" si="13"/>
        <v>-90.019789667353137</v>
      </c>
      <c r="Y30" s="687">
        <f t="shared" si="14"/>
        <v>89.980210332646863</v>
      </c>
      <c r="AA30" s="170">
        <f t="shared" si="15"/>
        <v>1000000000</v>
      </c>
      <c r="AB30" s="170">
        <f t="shared" si="16"/>
        <v>22.908667689999998</v>
      </c>
      <c r="AD30" s="686">
        <f t="shared" si="17"/>
        <v>52.483858599191095</v>
      </c>
      <c r="AE30" s="687">
        <f t="shared" si="18"/>
        <v>-89.744326121616908</v>
      </c>
      <c r="AG30" s="686">
        <f t="shared" si="19"/>
        <v>61.992314092173842</v>
      </c>
      <c r="AH30" s="687">
        <f t="shared" si="20"/>
        <v>-0.21533361328349299</v>
      </c>
      <c r="AJ30" s="170">
        <f t="shared" si="21"/>
        <v>0</v>
      </c>
      <c r="AK30" s="170">
        <f t="shared" si="22"/>
        <v>0</v>
      </c>
      <c r="AM30" s="170" t="str">
        <f t="shared" si="26"/>
        <v>2.80963638021881E-07+0.000749618033800608i</v>
      </c>
      <c r="AN30" s="170" t="str">
        <f t="shared" si="27"/>
        <v>0.000749618104005752i</v>
      </c>
      <c r="AO30" s="170" t="str">
        <f t="shared" si="28"/>
        <v>0.999999906345453-0.000374809034787833i</v>
      </c>
      <c r="AP30" s="170" t="str">
        <f t="shared" si="29"/>
        <v>0.166666619839394-0.000124936338966768i</v>
      </c>
      <c r="AQ30" s="170" t="str">
        <f t="shared" si="30"/>
        <v>0.833333380160606+0.000124936338966768i</v>
      </c>
      <c r="AR30" s="170" t="str">
        <f t="shared" si="31"/>
        <v>0.99959992136166-0.000149863617106429i</v>
      </c>
    </row>
    <row r="31" spans="1:44">
      <c r="A31" s="170" t="s">
        <v>745</v>
      </c>
      <c r="B31" s="714">
        <v>600</v>
      </c>
      <c r="C31" s="170" t="s">
        <v>753</v>
      </c>
      <c r="D31" s="708">
        <f>B31*0.000001</f>
        <v>5.9999999999999995E-4</v>
      </c>
      <c r="E31" s="170" t="s">
        <v>754</v>
      </c>
      <c r="G31" s="688">
        <v>5.2481</v>
      </c>
      <c r="H31" s="676">
        <f t="shared" si="23"/>
        <v>5.2481000000000003E-3</v>
      </c>
      <c r="I31" s="677">
        <f t="shared" si="0"/>
        <v>1.0000106592004452</v>
      </c>
      <c r="J31" s="678">
        <f t="shared" si="1"/>
        <v>4.6171648798572973E-3</v>
      </c>
      <c r="K31" s="678">
        <f t="shared" si="2"/>
        <v>1.0000000000263136</v>
      </c>
      <c r="L31" s="679">
        <f t="shared" si="3"/>
        <v>7.2544526499173395E-6</v>
      </c>
      <c r="M31" s="678">
        <f t="shared" si="4"/>
        <v>1.0000000037271475</v>
      </c>
      <c r="N31" s="679">
        <f t="shared" si="5"/>
        <v>-8.6338259083914274E-5</v>
      </c>
      <c r="O31" s="677">
        <f t="shared" si="6"/>
        <v>468.9025057920212</v>
      </c>
      <c r="P31" s="680">
        <f t="shared" si="7"/>
        <v>1.5686636856900307</v>
      </c>
      <c r="Q31" s="689">
        <f t="shared" si="8"/>
        <v>1.0000027483532226</v>
      </c>
      <c r="R31" s="690">
        <f t="shared" si="9"/>
        <v>2.3445029016743138E-3</v>
      </c>
      <c r="S31" s="677">
        <f t="shared" si="10"/>
        <v>1.0000000001221492</v>
      </c>
      <c r="T31" s="680">
        <f t="shared" si="11"/>
        <v>1.5630047981096023E-5</v>
      </c>
      <c r="U31" s="681">
        <f t="shared" si="24"/>
        <v>0.99959989082299805</v>
      </c>
      <c r="V31" s="682">
        <f t="shared" si="25"/>
        <v>-5.7536079917096662E-4</v>
      </c>
      <c r="W31" s="683">
        <f t="shared" si="12"/>
        <v>55.939355078989067</v>
      </c>
      <c r="X31" s="684">
        <f t="shared" si="13"/>
        <v>-90.046415157586992</v>
      </c>
      <c r="Y31" s="687">
        <f t="shared" si="14"/>
        <v>89.953584842413008</v>
      </c>
      <c r="AA31" s="170">
        <f t="shared" si="15"/>
        <v>1000000000</v>
      </c>
      <c r="AB31" s="170">
        <f t="shared" si="16"/>
        <v>27.542553609999999</v>
      </c>
      <c r="AD31" s="686">
        <f t="shared" si="17"/>
        <v>51.683822900995366</v>
      </c>
      <c r="AE31" s="687">
        <f t="shared" si="18"/>
        <v>-89.744374182483753</v>
      </c>
      <c r="AG31" s="686">
        <f t="shared" si="19"/>
        <v>61.992298680624671</v>
      </c>
      <c r="AH31" s="687">
        <f t="shared" si="20"/>
        <v>-0.23610948404837234</v>
      </c>
      <c r="AJ31" s="170">
        <f t="shared" si="21"/>
        <v>0</v>
      </c>
      <c r="AK31" s="170">
        <f t="shared" si="22"/>
        <v>0</v>
      </c>
      <c r="AM31" s="170" t="str">
        <f t="shared" si="26"/>
        <v>3.37795985960732E-07+0.000821943950162228i</v>
      </c>
      <c r="AN31" s="170" t="str">
        <f t="shared" si="27"/>
        <v>0.000821944042712029i</v>
      </c>
      <c r="AO31" s="170" t="str">
        <f t="shared" si="28"/>
        <v>0.999999887401336-0.000410971998587841i</v>
      </c>
      <c r="AP31" s="170" t="str">
        <f t="shared" si="29"/>
        <v>0.166666610367336-0.000136990658360371i</v>
      </c>
      <c r="AQ31" s="170" t="str">
        <f t="shared" si="30"/>
        <v>0.833333389632664+0.000136990658360371i</v>
      </c>
      <c r="AR31" s="170" t="str">
        <f t="shared" si="31"/>
        <v>0.999599905454973-0.000164323007872759i</v>
      </c>
    </row>
    <row r="32" spans="1:44">
      <c r="A32" s="170" t="s">
        <v>741</v>
      </c>
      <c r="B32" s="714">
        <v>300</v>
      </c>
      <c r="C32" s="706" t="s">
        <v>747</v>
      </c>
      <c r="D32" s="708">
        <f>B32*1000000</f>
        <v>300000000</v>
      </c>
      <c r="E32" s="706" t="s">
        <v>45</v>
      </c>
      <c r="G32" s="688">
        <v>5.7544000000000004</v>
      </c>
      <c r="H32" s="676">
        <f t="shared" si="23"/>
        <v>5.7544000000000007E-3</v>
      </c>
      <c r="I32" s="677">
        <f t="shared" si="0"/>
        <v>1.0000128150425396</v>
      </c>
      <c r="J32" s="678">
        <f t="shared" si="1"/>
        <v>5.0625893941188271E-3</v>
      </c>
      <c r="K32" s="678">
        <f t="shared" si="2"/>
        <v>1.0000000000316356</v>
      </c>
      <c r="L32" s="679">
        <f t="shared" si="3"/>
        <v>7.9543115277026403E-6</v>
      </c>
      <c r="M32" s="678">
        <f t="shared" si="4"/>
        <v>1.0000000044809745</v>
      </c>
      <c r="N32" s="679">
        <f t="shared" si="5"/>
        <v>-9.4667570706121514E-5</v>
      </c>
      <c r="O32" s="677">
        <f t="shared" si="6"/>
        <v>514.13874489340753</v>
      </c>
      <c r="P32" s="680">
        <f t="shared" si="7"/>
        <v>1.5688513252939638</v>
      </c>
      <c r="Q32" s="689">
        <f t="shared" si="8"/>
        <v>1.0000033042151535</v>
      </c>
      <c r="R32" s="690">
        <f t="shared" si="9"/>
        <v>2.5706831992354556E-3</v>
      </c>
      <c r="S32" s="677">
        <f t="shared" si="10"/>
        <v>1.0000000001468541</v>
      </c>
      <c r="T32" s="680">
        <f t="shared" si="11"/>
        <v>1.7137925744733833E-5</v>
      </c>
      <c r="U32" s="681">
        <f t="shared" si="24"/>
        <v>0.99959986874161821</v>
      </c>
      <c r="V32" s="682">
        <f t="shared" si="25"/>
        <v>-6.3086757974913565E-4</v>
      </c>
      <c r="W32" s="683">
        <f t="shared" si="12"/>
        <v>55.139385407847648</v>
      </c>
      <c r="X32" s="684">
        <f t="shared" si="13"/>
        <v>-90.073431718027948</v>
      </c>
      <c r="Y32" s="687">
        <f t="shared" si="14"/>
        <v>89.926568281972052</v>
      </c>
      <c r="AA32" s="170">
        <f t="shared" si="15"/>
        <v>1000000000</v>
      </c>
      <c r="AB32" s="170">
        <f t="shared" si="16"/>
        <v>33.113119360000006</v>
      </c>
      <c r="AD32" s="686">
        <f t="shared" si="17"/>
        <v>50.883872140319994</v>
      </c>
      <c r="AE32" s="687">
        <f t="shared" si="18"/>
        <v>-89.742252358428814</v>
      </c>
      <c r="AG32" s="686">
        <f t="shared" si="19"/>
        <v>61.992280153905021</v>
      </c>
      <c r="AH32" s="687">
        <f t="shared" si="20"/>
        <v>-0.25888726001401219</v>
      </c>
      <c r="AJ32" s="170">
        <f t="shared" si="21"/>
        <v>0</v>
      </c>
      <c r="AK32" s="170">
        <f t="shared" si="22"/>
        <v>0</v>
      </c>
      <c r="AM32" s="170" t="str">
        <f t="shared" si="26"/>
        <v>4.06116252960054E-07+0.00090123933596919i</v>
      </c>
      <c r="AN32" s="170" t="str">
        <f t="shared" si="27"/>
        <v>0.000901239457971857i</v>
      </c>
      <c r="AO32" s="170" t="str">
        <f t="shared" si="28"/>
        <v>0.999999864627912-0.000450619698646989i</v>
      </c>
      <c r="AP32" s="170" t="str">
        <f t="shared" si="29"/>
        <v>0.166666598980624-0.000150206555994865i</v>
      </c>
      <c r="AQ32" s="170" t="str">
        <f t="shared" si="30"/>
        <v>0.833333401019376+0.000150206555994865i</v>
      </c>
      <c r="AR32" s="170" t="str">
        <f t="shared" si="31"/>
        <v>0.999599886332956-0.000180175732924259i</v>
      </c>
    </row>
    <row r="33" spans="1:44">
      <c r="A33" s="170" t="s">
        <v>771</v>
      </c>
      <c r="B33" s="633">
        <f>RCS/1000</f>
        <v>2E-3</v>
      </c>
      <c r="C33" s="706" t="s">
        <v>45</v>
      </c>
      <c r="D33" s="189"/>
      <c r="G33" s="688">
        <v>6.3095999999999997</v>
      </c>
      <c r="H33" s="676">
        <f t="shared" si="23"/>
        <v>6.3095999999999994E-3</v>
      </c>
      <c r="I33" s="677">
        <f t="shared" si="0"/>
        <v>1.0000154071762375</v>
      </c>
      <c r="J33" s="678">
        <f t="shared" si="1"/>
        <v>5.5510320522640863E-3</v>
      </c>
      <c r="K33" s="678">
        <f t="shared" si="2"/>
        <v>1.0000000000380345</v>
      </c>
      <c r="L33" s="679">
        <f t="shared" si="3"/>
        <v>8.7217649129324459E-6</v>
      </c>
      <c r="M33" s="678">
        <f t="shared" si="4"/>
        <v>1.0000000053873603</v>
      </c>
      <c r="N33" s="679">
        <f t="shared" si="5"/>
        <v>-1.0380135266342497E-4</v>
      </c>
      <c r="O33" s="677">
        <f t="shared" si="6"/>
        <v>563.74405540548389</v>
      </c>
      <c r="P33" s="680">
        <f t="shared" si="7"/>
        <v>1.5690224712396337</v>
      </c>
      <c r="Q33" s="689">
        <f t="shared" si="8"/>
        <v>1.0000039725716094</v>
      </c>
      <c r="R33" s="690">
        <f t="shared" si="9"/>
        <v>2.8187083773744404E-3</v>
      </c>
      <c r="S33" s="677">
        <f t="shared" si="10"/>
        <v>1.0000000001765592</v>
      </c>
      <c r="T33" s="680">
        <f t="shared" si="11"/>
        <v>1.8791438947037253E-5</v>
      </c>
      <c r="U33" s="681">
        <f t="shared" si="24"/>
        <v>0.99959984219142706</v>
      </c>
      <c r="V33" s="682">
        <f t="shared" si="25"/>
        <v>-6.9173537265178374E-4</v>
      </c>
      <c r="W33" s="683">
        <f t="shared" si="12"/>
        <v>54.339335629034224</v>
      </c>
      <c r="X33" s="684">
        <f t="shared" si="13"/>
        <v>-90.101074127639393</v>
      </c>
      <c r="Y33" s="687">
        <f t="shared" si="14"/>
        <v>89.898925872360607</v>
      </c>
      <c r="AA33" s="170">
        <f t="shared" si="15"/>
        <v>1000000000</v>
      </c>
      <c r="AB33" s="170">
        <f t="shared" si="16"/>
        <v>39.811052159999996</v>
      </c>
      <c r="AD33" s="686">
        <f t="shared" si="17"/>
        <v>50.083845098952082</v>
      </c>
      <c r="AE33" s="687">
        <f t="shared" si="18"/>
        <v>-89.737942242199068</v>
      </c>
      <c r="AG33" s="686">
        <f t="shared" si="19"/>
        <v>61.992257877868191</v>
      </c>
      <c r="AH33" s="687">
        <f t="shared" si="20"/>
        <v>-0.28386485056402944</v>
      </c>
      <c r="AJ33" s="170">
        <f t="shared" si="21"/>
        <v>0</v>
      </c>
      <c r="AK33" s="170">
        <f t="shared" si="22"/>
        <v>0</v>
      </c>
      <c r="AM33" s="170" t="str">
        <f t="shared" si="26"/>
        <v>4.88263124043264E-07+0.000988193305735242i</v>
      </c>
      <c r="AN33" s="170" t="str">
        <f t="shared" si="27"/>
        <v>0.000988193466568057i</v>
      </c>
      <c r="AO33" s="170" t="str">
        <f t="shared" si="28"/>
        <v>0.99999983724562-0.000494096693169786i</v>
      </c>
      <c r="AP33" s="170" t="str">
        <f t="shared" si="29"/>
        <v>0.166666585289479-0.000164698884289207i</v>
      </c>
      <c r="AQ33" s="170" t="str">
        <f t="shared" si="30"/>
        <v>0.833333414710521+0.000164698884289207i</v>
      </c>
      <c r="AR33" s="170" t="str">
        <f t="shared" si="31"/>
        <v>0.999599863341042-0.000197559559381287i</v>
      </c>
    </row>
    <row r="34" spans="1:44">
      <c r="A34" s="170" t="s">
        <v>752</v>
      </c>
      <c r="B34" s="715">
        <f>10*B33</f>
        <v>0.02</v>
      </c>
      <c r="C34" s="706" t="s">
        <v>45</v>
      </c>
      <c r="D34" s="189"/>
      <c r="E34" s="706"/>
      <c r="G34" s="688">
        <v>6.9183000000000003</v>
      </c>
      <c r="H34" s="676">
        <f t="shared" si="23"/>
        <v>6.9183000000000005E-3</v>
      </c>
      <c r="I34" s="677">
        <f t="shared" si="0"/>
        <v>1.0000185232632579</v>
      </c>
      <c r="J34" s="678">
        <f t="shared" si="1"/>
        <v>6.0865388089149054E-3</v>
      </c>
      <c r="K34" s="678">
        <f t="shared" si="2"/>
        <v>1.000000000045727</v>
      </c>
      <c r="L34" s="679">
        <f t="shared" si="3"/>
        <v>9.5631713891262694E-6</v>
      </c>
      <c r="M34" s="678">
        <f t="shared" si="4"/>
        <v>1.0000000064769592</v>
      </c>
      <c r="N34" s="679">
        <f t="shared" si="5"/>
        <v>-1.1381528109701483E-4</v>
      </c>
      <c r="O34" s="677">
        <f t="shared" si="6"/>
        <v>618.12943233588351</v>
      </c>
      <c r="P34" s="680">
        <f t="shared" si="7"/>
        <v>1.5691785419364312</v>
      </c>
      <c r="Q34" s="689">
        <f t="shared" si="8"/>
        <v>1.0000047760260338</v>
      </c>
      <c r="R34" s="690">
        <f t="shared" si="9"/>
        <v>3.0906332765879632E-3</v>
      </c>
      <c r="S34" s="677">
        <f t="shared" si="10"/>
        <v>1.0000000002122684</v>
      </c>
      <c r="T34" s="680">
        <f t="shared" si="11"/>
        <v>2.0604287445193503E-5</v>
      </c>
      <c r="U34" s="681">
        <f t="shared" si="24"/>
        <v>0.99959981027450406</v>
      </c>
      <c r="V34" s="682">
        <f t="shared" si="25"/>
        <v>-7.5846848474047594E-4</v>
      </c>
      <c r="W34" s="683">
        <f t="shared" si="12"/>
        <v>53.539366319139688</v>
      </c>
      <c r="X34" s="684">
        <f t="shared" si="13"/>
        <v>-90.129571388931424</v>
      </c>
      <c r="Y34" s="687">
        <f t="shared" si="14"/>
        <v>89.870428611068576</v>
      </c>
      <c r="AA34" s="170">
        <f t="shared" si="15"/>
        <v>1000000000</v>
      </c>
      <c r="AB34" s="170">
        <f t="shared" si="16"/>
        <v>47.862874890000008</v>
      </c>
      <c r="AD34" s="686">
        <f t="shared" si="17"/>
        <v>49.283903122393255</v>
      </c>
      <c r="AE34" s="687">
        <f t="shared" si="18"/>
        <v>-89.731408153922146</v>
      </c>
      <c r="AG34" s="686">
        <f t="shared" si="19"/>
        <v>61.992231099208219</v>
      </c>
      <c r="AH34" s="687">
        <f t="shared" si="20"/>
        <v>-0.31124914877134602</v>
      </c>
      <c r="AJ34" s="170">
        <f t="shared" si="21"/>
        <v>0</v>
      </c>
      <c r="AK34" s="170">
        <f t="shared" si="22"/>
        <v>0</v>
      </c>
      <c r="AM34" s="170" t="str">
        <f t="shared" si="26"/>
        <v>5.87014789998896E-07+0.00108352629675821i</v>
      </c>
      <c r="AN34" s="170" t="str">
        <f t="shared" si="27"/>
        <v>0.00108352650877358i</v>
      </c>
      <c r="AO34" s="170" t="str">
        <f t="shared" si="28"/>
        <v>0.999999804328396-0.000541763201219069i</v>
      </c>
      <c r="AP34" s="170" t="str">
        <f t="shared" si="29"/>
        <v>0.166666568830868-0.000180587716126368i</v>
      </c>
      <c r="AQ34" s="170" t="str">
        <f t="shared" si="30"/>
        <v>0.833333431169132+0.000180587716126368i</v>
      </c>
      <c r="AR34" s="170" t="str">
        <f t="shared" si="31"/>
        <v>0.99959983570165-0.00021661851621193i</v>
      </c>
    </row>
    <row r="35" spans="1:44">
      <c r="B35" s="633"/>
      <c r="D35" s="189"/>
      <c r="G35" s="688">
        <v>7.5857999999999999</v>
      </c>
      <c r="H35" s="676">
        <f t="shared" si="23"/>
        <v>7.5858000000000002E-3</v>
      </c>
      <c r="I35" s="677">
        <f t="shared" si="0"/>
        <v>1.0000222700237977</v>
      </c>
      <c r="J35" s="678">
        <f t="shared" si="1"/>
        <v>6.6737711244212869E-3</v>
      </c>
      <c r="K35" s="678">
        <f t="shared" si="2"/>
        <v>1.0000000000549765</v>
      </c>
      <c r="L35" s="679">
        <f t="shared" si="3"/>
        <v>1.0485857150338482E-5</v>
      </c>
      <c r="M35" s="678">
        <f t="shared" si="4"/>
        <v>1.0000000077870892</v>
      </c>
      <c r="N35" s="679">
        <f t="shared" si="5"/>
        <v>-1.2479654808141331E-4</v>
      </c>
      <c r="O35" s="677">
        <f t="shared" si="6"/>
        <v>677.76841354859471</v>
      </c>
      <c r="P35" s="680">
        <f t="shared" si="7"/>
        <v>1.5693208960388654</v>
      </c>
      <c r="Q35" s="689">
        <f t="shared" si="8"/>
        <v>1.0000057420962942</v>
      </c>
      <c r="R35" s="690">
        <f t="shared" si="9"/>
        <v>3.3888254065266919E-3</v>
      </c>
      <c r="S35" s="677">
        <f t="shared" si="10"/>
        <v>1.000000000255205</v>
      </c>
      <c r="T35" s="680">
        <f t="shared" si="11"/>
        <v>2.259225585725899E-5</v>
      </c>
      <c r="U35" s="681">
        <f t="shared" si="24"/>
        <v>0.99959977189770133</v>
      </c>
      <c r="V35" s="682">
        <f t="shared" si="25"/>
        <v>-8.3164796607533618E-4</v>
      </c>
      <c r="W35" s="683">
        <f t="shared" si="12"/>
        <v>52.739303800682642</v>
      </c>
      <c r="X35" s="684">
        <f t="shared" si="13"/>
        <v>-90.159171552853053</v>
      </c>
      <c r="Y35" s="687">
        <f t="shared" si="14"/>
        <v>89.840828447146947</v>
      </c>
      <c r="AA35" s="170">
        <f t="shared" si="15"/>
        <v>1000000000</v>
      </c>
      <c r="AB35" s="170">
        <f t="shared" si="16"/>
        <v>57.544361639999998</v>
      </c>
      <c r="AD35" s="686">
        <f t="shared" si="17"/>
        <v>48.483873469231121</v>
      </c>
      <c r="AE35" s="687">
        <f t="shared" si="18"/>
        <v>-89.72259319484823</v>
      </c>
      <c r="AG35" s="686">
        <f t="shared" si="19"/>
        <v>61.992198900853552</v>
      </c>
      <c r="AH35" s="687">
        <f t="shared" si="20"/>
        <v>-0.34127852090240418</v>
      </c>
      <c r="AJ35" s="170">
        <f t="shared" si="21"/>
        <v>0</v>
      </c>
      <c r="AK35" s="170">
        <f t="shared" si="22"/>
        <v>0</v>
      </c>
      <c r="AM35" s="170" t="str">
        <f t="shared" si="26"/>
        <v>7.05753483987159E-07+0.00118806837758229i</v>
      </c>
      <c r="AN35" s="170" t="str">
        <f t="shared" si="27"/>
        <v>0.00118806865707683i</v>
      </c>
      <c r="AO35" s="170" t="str">
        <f t="shared" si="28"/>
        <v>0.999999764748831-0.000594034258696481i</v>
      </c>
      <c r="AP35" s="170" t="str">
        <f t="shared" si="29"/>
        <v>0.166666549041086-0.000198011396263715i</v>
      </c>
      <c r="AQ35" s="170" t="str">
        <f t="shared" si="30"/>
        <v>0.833333450958914+0.000198011396263715i</v>
      </c>
      <c r="AR35" s="170" t="str">
        <f t="shared" si="31"/>
        <v>0.999599802468136-0.00023751854958407i</v>
      </c>
    </row>
    <row r="36" spans="1:44">
      <c r="B36" s="633"/>
      <c r="D36" s="189"/>
      <c r="G36" s="688">
        <v>8.3176000000000005</v>
      </c>
      <c r="H36" s="676">
        <f t="shared" si="23"/>
        <v>8.3176000000000014E-3</v>
      </c>
      <c r="I36" s="677">
        <f t="shared" si="0"/>
        <v>1.000026773983314</v>
      </c>
      <c r="J36" s="678">
        <f t="shared" si="1"/>
        <v>7.3175659827480269E-3</v>
      </c>
      <c r="K36" s="678">
        <f t="shared" si="2"/>
        <v>1.0000000000660954</v>
      </c>
      <c r="L36" s="679">
        <f t="shared" si="3"/>
        <v>1.1497424850774981E-5</v>
      </c>
      <c r="M36" s="678">
        <f t="shared" si="4"/>
        <v>1.0000000093619956</v>
      </c>
      <c r="N36" s="679">
        <f t="shared" si="5"/>
        <v>-1.3683563595561705E-4</v>
      </c>
      <c r="O36" s="677">
        <f t="shared" si="6"/>
        <v>743.15240637900763</v>
      </c>
      <c r="P36" s="680">
        <f t="shared" si="7"/>
        <v>1.5694507073860131</v>
      </c>
      <c r="Q36" s="689">
        <f t="shared" si="8"/>
        <v>1.0000069034074104</v>
      </c>
      <c r="R36" s="690">
        <f t="shared" si="9"/>
        <v>3.7157415669980321E-3</v>
      </c>
      <c r="S36" s="677">
        <f t="shared" si="10"/>
        <v>1.000000000306819</v>
      </c>
      <c r="T36" s="680">
        <f t="shared" si="11"/>
        <v>2.4771724447239763E-5</v>
      </c>
      <c r="U36" s="681">
        <f t="shared" si="24"/>
        <v>0.99959972576497025</v>
      </c>
      <c r="V36" s="682">
        <f t="shared" si="25"/>
        <v>-9.1187679113544627E-4</v>
      </c>
      <c r="W36" s="683">
        <f t="shared" si="12"/>
        <v>51.939343117727759</v>
      </c>
      <c r="X36" s="684">
        <f t="shared" si="13"/>
        <v>-90.190118485005073</v>
      </c>
      <c r="Y36" s="687">
        <f t="shared" si="14"/>
        <v>89.809881514994927</v>
      </c>
      <c r="AA36" s="170">
        <f t="shared" si="15"/>
        <v>1000000000</v>
      </c>
      <c r="AB36" s="170">
        <f t="shared" si="16"/>
        <v>69.182469760000004</v>
      </c>
      <c r="AD36" s="686">
        <f t="shared" si="17"/>
        <v>47.683952293300457</v>
      </c>
      <c r="AE36" s="687">
        <f t="shared" si="18"/>
        <v>-89.711424795262104</v>
      </c>
      <c r="AG36" s="686">
        <f t="shared" si="19"/>
        <v>61.992160195557851</v>
      </c>
      <c r="AH36" s="687">
        <f t="shared" si="20"/>
        <v>-0.37420030648758235</v>
      </c>
      <c r="AJ36" s="170">
        <f t="shared" si="21"/>
        <v>0</v>
      </c>
      <c r="AK36" s="170">
        <f t="shared" si="22"/>
        <v>0</v>
      </c>
      <c r="AM36" s="170" t="str">
        <f t="shared" si="26"/>
        <v>8.48489174032352E-07+0.00130268093901931i</v>
      </c>
      <c r="AN36" s="170" t="str">
        <f t="shared" si="27"/>
        <v>0.00130268130745633i</v>
      </c>
      <c r="AO36" s="170" t="str">
        <f t="shared" si="28"/>
        <v>0.999999717170257-0.00065134056132973i</v>
      </c>
      <c r="AP36" s="170" t="str">
        <f t="shared" si="29"/>
        <v>0.166666525251804-0.000217113489836552i</v>
      </c>
      <c r="AQ36" s="170" t="str">
        <f t="shared" si="30"/>
        <v>0.833333474748196+0.000217113489836552i</v>
      </c>
      <c r="AR36" s="170" t="str">
        <f t="shared" si="31"/>
        <v>0.999599762518158-0.000260431867261403i</v>
      </c>
    </row>
    <row r="37" spans="1:44">
      <c r="A37" s="189" t="s">
        <v>743</v>
      </c>
      <c r="B37" s="714">
        <f>'Design Converter'!E60*0.001</f>
        <v>1.5E-3</v>
      </c>
      <c r="C37" s="706" t="s">
        <v>747</v>
      </c>
      <c r="D37" s="189">
        <f>B37*1000000</f>
        <v>1500</v>
      </c>
      <c r="E37" s="706" t="s">
        <v>45</v>
      </c>
      <c r="G37" s="688">
        <v>9.1201000000000008</v>
      </c>
      <c r="H37" s="676">
        <f t="shared" si="23"/>
        <v>9.1201000000000008E-3</v>
      </c>
      <c r="I37" s="677">
        <f t="shared" si="0"/>
        <v>1.0000321895533866</v>
      </c>
      <c r="J37" s="678">
        <f t="shared" si="1"/>
        <v>8.0235515748787005E-3</v>
      </c>
      <c r="K37" s="678">
        <f t="shared" si="2"/>
        <v>1.0000000000794647</v>
      </c>
      <c r="L37" s="679">
        <f t="shared" si="3"/>
        <v>1.260672121532874E-5</v>
      </c>
      <c r="M37" s="678">
        <f t="shared" si="4"/>
        <v>1.0000000112556757</v>
      </c>
      <c r="N37" s="679">
        <f t="shared" si="5"/>
        <v>-1.5003783325759096E-4</v>
      </c>
      <c r="O37" s="677">
        <f t="shared" si="6"/>
        <v>814.85323038708202</v>
      </c>
      <c r="P37" s="680">
        <f t="shared" si="7"/>
        <v>1.5695691116183248</v>
      </c>
      <c r="Q37" s="689">
        <f t="shared" si="8"/>
        <v>1.0000082997753952</v>
      </c>
      <c r="R37" s="690">
        <f t="shared" si="9"/>
        <v>4.074240540382394E-3</v>
      </c>
      <c r="S37" s="677">
        <f t="shared" si="10"/>
        <v>1.0000000003688805</v>
      </c>
      <c r="T37" s="680">
        <f t="shared" si="11"/>
        <v>2.7161753885967599E-5</v>
      </c>
      <c r="U37" s="681">
        <f t="shared" si="24"/>
        <v>0.99959967029462116</v>
      </c>
      <c r="V37" s="682">
        <f t="shared" si="25"/>
        <v>-9.9985660508130941E-4</v>
      </c>
      <c r="W37" s="683">
        <f t="shared" si="12"/>
        <v>51.139277678927442</v>
      </c>
      <c r="X37" s="684">
        <f t="shared" si="13"/>
        <v>-90.222682747328662</v>
      </c>
      <c r="Y37" s="687">
        <f t="shared" si="14"/>
        <v>89.777317252671338</v>
      </c>
      <c r="AA37" s="170">
        <f t="shared" si="15"/>
        <v>1000000000</v>
      </c>
      <c r="AB37" s="170">
        <f t="shared" si="16"/>
        <v>83.176224010000013</v>
      </c>
      <c r="AD37" s="686">
        <f t="shared" si="17"/>
        <v>46.883934357595216</v>
      </c>
      <c r="AE37" s="687">
        <f t="shared" si="18"/>
        <v>-89.697805318499547</v>
      </c>
      <c r="AG37" s="686">
        <f t="shared" si="19"/>
        <v>61.992113656467325</v>
      </c>
      <c r="AH37" s="687">
        <f t="shared" si="20"/>
        <v>-0.41030230151930658</v>
      </c>
      <c r="AJ37" s="170">
        <f t="shared" si="21"/>
        <v>0</v>
      </c>
      <c r="AK37" s="170">
        <f t="shared" si="22"/>
        <v>0</v>
      </c>
      <c r="AM37" s="170" t="str">
        <f t="shared" si="26"/>
        <v>1.02011570102256E-06+0.00142836632589635i</v>
      </c>
      <c r="AN37" s="170" t="str">
        <f t="shared" si="27"/>
        <v>0.00142836681159619i</v>
      </c>
      <c r="AO37" s="170" t="str">
        <f t="shared" si="28"/>
        <v>0.999999659961408-0.000714183284532205i</v>
      </c>
      <c r="AP37" s="170" t="str">
        <f t="shared" si="29"/>
        <v>0.166666496647383-0.000238061054316058i</v>
      </c>
      <c r="AQ37" s="170" t="str">
        <f t="shared" si="30"/>
        <v>0.833333503352617+0.000238061054316058i</v>
      </c>
      <c r="AR37" s="170" t="str">
        <f t="shared" si="31"/>
        <v>0.999599714481996-0.000285558856047723i</v>
      </c>
    </row>
    <row r="38" spans="1:44">
      <c r="A38" s="189" t="s">
        <v>744</v>
      </c>
      <c r="B38" s="714">
        <f>'Design Converter'!E62*1000</f>
        <v>47400</v>
      </c>
      <c r="C38" s="170" t="s">
        <v>15</v>
      </c>
      <c r="D38" s="189">
        <f>B38*0.000000000001</f>
        <v>4.7400000000000001E-8</v>
      </c>
      <c r="E38" s="170" t="s">
        <v>13</v>
      </c>
      <c r="G38" s="688">
        <v>10</v>
      </c>
      <c r="H38" s="676">
        <f t="shared" si="23"/>
        <v>0.01</v>
      </c>
      <c r="I38" s="677">
        <f t="shared" si="0"/>
        <v>1.0000387003004556</v>
      </c>
      <c r="J38" s="678">
        <f t="shared" si="1"/>
        <v>8.7976192691412956E-3</v>
      </c>
      <c r="K38" s="678">
        <f t="shared" si="2"/>
        <v>1.0000000000955378</v>
      </c>
      <c r="L38" s="679">
        <f t="shared" si="3"/>
        <v>1.3823007659119586E-5</v>
      </c>
      <c r="M38" s="678">
        <f t="shared" si="4"/>
        <v>1.0000000135323237</v>
      </c>
      <c r="N38" s="679">
        <f t="shared" si="5"/>
        <v>-1.6451336392130433E-4</v>
      </c>
      <c r="O38" s="677">
        <f t="shared" si="6"/>
        <v>893.46950927636249</v>
      </c>
      <c r="P38" s="680">
        <f t="shared" si="7"/>
        <v>1.5696770941871827</v>
      </c>
      <c r="Q38" s="689">
        <f t="shared" si="8"/>
        <v>1.0000099785347645</v>
      </c>
      <c r="R38" s="690">
        <f t="shared" si="9"/>
        <v>4.4673150301376644E-3</v>
      </c>
      <c r="S38" s="677">
        <f t="shared" si="10"/>
        <v>1.0000000004434926</v>
      </c>
      <c r="T38" s="680">
        <f t="shared" si="11"/>
        <v>2.9782298313194517E-5</v>
      </c>
      <c r="U38" s="681">
        <f t="shared" si="24"/>
        <v>0.99959960360625888</v>
      </c>
      <c r="V38" s="682">
        <f t="shared" si="25"/>
        <v>-1.0963219395940852E-3</v>
      </c>
      <c r="W38" s="683">
        <f t="shared" si="12"/>
        <v>50.33922825693346</v>
      </c>
      <c r="X38" s="684">
        <f t="shared" si="13"/>
        <v>-90.25713589687193</v>
      </c>
      <c r="Y38" s="687">
        <f t="shared" si="14"/>
        <v>89.74286410312807</v>
      </c>
      <c r="AA38" s="170">
        <f t="shared" si="15"/>
        <v>1000000000</v>
      </c>
      <c r="AB38" s="170">
        <f t="shared" si="16"/>
        <v>100</v>
      </c>
      <c r="AD38" s="686">
        <f t="shared" si="17"/>
        <v>46.083942044792764</v>
      </c>
      <c r="AE38" s="687">
        <f t="shared" si="18"/>
        <v>-89.681620900776053</v>
      </c>
      <c r="AG38" s="686">
        <f t="shared" si="19"/>
        <v>61.9920577062353</v>
      </c>
      <c r="AH38" s="687">
        <f t="shared" si="20"/>
        <v>-0.44988575569964201</v>
      </c>
      <c r="AJ38" s="170">
        <f t="shared" si="21"/>
        <v>0</v>
      </c>
      <c r="AK38" s="170">
        <f t="shared" si="22"/>
        <v>0</v>
      </c>
      <c r="AM38" s="170" t="str">
        <f t="shared" si="26"/>
        <v>1.22645104194685E-06+0.00156617386613687i</v>
      </c>
      <c r="AN38" s="170" t="str">
        <f t="shared" si="27"/>
        <v>0.00156617450641571i</v>
      </c>
      <c r="AO38" s="170" t="str">
        <f t="shared" si="28"/>
        <v>0.999999591182951-0.000783087093374838i</v>
      </c>
      <c r="AP38" s="170" t="str">
        <f t="shared" si="29"/>
        <v>0.16666646225816-0.000261028977689478i</v>
      </c>
      <c r="AQ38" s="170" t="str">
        <f t="shared" si="30"/>
        <v>0.83333353774184+0.000261028977689478i</v>
      </c>
      <c r="AR38" s="170" t="str">
        <f t="shared" si="31"/>
        <v>0.999599656731273-0.000313109294991737i</v>
      </c>
    </row>
    <row r="39" spans="1:44">
      <c r="A39" s="189" t="s">
        <v>750</v>
      </c>
      <c r="B39" s="714">
        <f>'Design Converter'!E64</f>
        <v>316</v>
      </c>
      <c r="C39" s="170" t="s">
        <v>15</v>
      </c>
      <c r="D39" s="189">
        <f>B39*0.000000000001</f>
        <v>3.1599999999999999E-10</v>
      </c>
      <c r="E39" s="170" t="s">
        <v>13</v>
      </c>
      <c r="G39" s="688">
        <v>10.965</v>
      </c>
      <c r="H39" s="676">
        <f t="shared" si="23"/>
        <v>1.0964999999999999E-2</v>
      </c>
      <c r="I39" s="677">
        <f t="shared" si="0"/>
        <v>1.0000465296631711</v>
      </c>
      <c r="J39" s="678">
        <f t="shared" si="1"/>
        <v>9.6465391792193711E-3</v>
      </c>
      <c r="K39" s="678">
        <f t="shared" si="2"/>
        <v>1.0000000001148663</v>
      </c>
      <c r="L39" s="679">
        <f t="shared" si="3"/>
        <v>1.5156927898029319E-5</v>
      </c>
      <c r="M39" s="678">
        <f t="shared" si="4"/>
        <v>1.0000000162700784</v>
      </c>
      <c r="N39" s="679">
        <f t="shared" si="5"/>
        <v>-1.8038890321046979E-4</v>
      </c>
      <c r="O39" s="677">
        <f t="shared" si="6"/>
        <v>979.68921366825646</v>
      </c>
      <c r="P39" s="680">
        <f t="shared" si="7"/>
        <v>1.5697755947507979</v>
      </c>
      <c r="Q39" s="689">
        <f t="shared" si="8"/>
        <v>1.0000119973024746</v>
      </c>
      <c r="R39" s="690">
        <f t="shared" si="9"/>
        <v>4.8984043381009607E-3</v>
      </c>
      <c r="S39" s="677">
        <f t="shared" si="10"/>
        <v>1.0000000005332166</v>
      </c>
      <c r="T39" s="680">
        <f t="shared" si="11"/>
        <v>3.2656290098464416E-5</v>
      </c>
      <c r="U39" s="681">
        <f t="shared" si="24"/>
        <v>0.99959952341100766</v>
      </c>
      <c r="V39" s="682">
        <f t="shared" si="25"/>
        <v>-1.2021169585995409E-3</v>
      </c>
      <c r="W39" s="683">
        <f t="shared" si="12"/>
        <v>49.539005310942969</v>
      </c>
      <c r="X39" s="684">
        <f t="shared" si="13"/>
        <v>-90.293778942622239</v>
      </c>
      <c r="Y39" s="687">
        <f t="shared" si="14"/>
        <v>89.706221057377761</v>
      </c>
      <c r="AA39" s="170">
        <f t="shared" si="15"/>
        <v>1000000000</v>
      </c>
      <c r="AB39" s="170">
        <f t="shared" si="16"/>
        <v>120.23122499999999</v>
      </c>
      <c r="AD39" s="686">
        <f t="shared" si="17"/>
        <v>45.283787773783274</v>
      </c>
      <c r="AE39" s="687">
        <f t="shared" si="18"/>
        <v>-89.662729636989411</v>
      </c>
      <c r="AG39" s="686">
        <f t="shared" si="19"/>
        <v>61.991990424946593</v>
      </c>
      <c r="AH39" s="687">
        <f t="shared" si="20"/>
        <v>-0.49329684905769322</v>
      </c>
      <c r="AJ39" s="170">
        <f t="shared" si="21"/>
        <v>0</v>
      </c>
      <c r="AK39" s="170">
        <f t="shared" si="22"/>
        <v>0</v>
      </c>
      <c r="AM39" s="170" t="str">
        <f t="shared" si="26"/>
        <v>1.47457705002019E-06+0.00171730950218261i</v>
      </c>
      <c r="AN39" s="170" t="str">
        <f t="shared" si="27"/>
        <v>0.00171731034628483i</v>
      </c>
      <c r="AO39" s="170" t="str">
        <f t="shared" si="28"/>
        <v>0.999999508474271-0.000858654961935237i</v>
      </c>
      <c r="AP39" s="170" t="str">
        <f t="shared" si="29"/>
        <v>0.166666420903825-0.000286218250363768i</v>
      </c>
      <c r="AQ39" s="170" t="str">
        <f t="shared" si="30"/>
        <v>0.833333579096175+0.000286218250363768i</v>
      </c>
      <c r="AR39" s="170" t="str">
        <f t="shared" si="31"/>
        <v>0.999599587283871-0.000343324272672462i</v>
      </c>
    </row>
    <row r="40" spans="1:44">
      <c r="B40" s="633"/>
      <c r="D40" s="189"/>
      <c r="G40" s="688">
        <v>12.023</v>
      </c>
      <c r="H40" s="676">
        <f t="shared" si="23"/>
        <v>1.2022999999999999E-2</v>
      </c>
      <c r="I40" s="677">
        <f t="shared" si="0"/>
        <v>1.0000559417807888</v>
      </c>
      <c r="J40" s="678">
        <f t="shared" si="1"/>
        <v>1.0577256072440389E-2</v>
      </c>
      <c r="K40" s="678">
        <f t="shared" si="2"/>
        <v>1.0000000001381024</v>
      </c>
      <c r="L40" s="679">
        <f t="shared" si="3"/>
        <v>1.661940210808788E-5</v>
      </c>
      <c r="M40" s="678">
        <f t="shared" si="4"/>
        <v>1.0000000195613159</v>
      </c>
      <c r="N40" s="679">
        <f t="shared" si="5"/>
        <v>-1.9779441664758351E-4</v>
      </c>
      <c r="O40" s="677">
        <f t="shared" si="6"/>
        <v>1074.2181836311097</v>
      </c>
      <c r="P40" s="680">
        <f t="shared" si="7"/>
        <v>1.5698654170787234</v>
      </c>
      <c r="Q40" s="689">
        <f t="shared" si="8"/>
        <v>1.000014424192297</v>
      </c>
      <c r="R40" s="690">
        <f t="shared" si="9"/>
        <v>5.3710369423261304E-3</v>
      </c>
      <c r="S40" s="677">
        <f t="shared" si="10"/>
        <v>1.0000000006410799</v>
      </c>
      <c r="T40" s="680">
        <f t="shared" si="11"/>
        <v>3.5807257257237063E-5</v>
      </c>
      <c r="U40" s="681">
        <f t="shared" si="24"/>
        <v>0.99959942700296756</v>
      </c>
      <c r="V40" s="682">
        <f t="shared" si="25"/>
        <v>-1.3181077524166188E-3</v>
      </c>
      <c r="W40" s="683">
        <f t="shared" si="12"/>
        <v>48.738860371497452</v>
      </c>
      <c r="X40" s="684">
        <f t="shared" si="13"/>
        <v>-90.332911468311821</v>
      </c>
      <c r="Y40" s="687">
        <f t="shared" si="14"/>
        <v>89.667088531688179</v>
      </c>
      <c r="AA40" s="170">
        <f t="shared" si="15"/>
        <v>1000000000</v>
      </c>
      <c r="AB40" s="170">
        <f t="shared" si="16"/>
        <v>144.55252899999999</v>
      </c>
      <c r="AD40" s="686">
        <f t="shared" si="17"/>
        <v>44.48372539170019</v>
      </c>
      <c r="AE40" s="687">
        <f t="shared" si="18"/>
        <v>-89.640976760897942</v>
      </c>
      <c r="AG40" s="686">
        <f t="shared" si="19"/>
        <v>61.991909543034424</v>
      </c>
      <c r="AH40" s="687">
        <f t="shared" si="20"/>
        <v>-0.54089068492740056</v>
      </c>
      <c r="AJ40" s="170">
        <f t="shared" si="21"/>
        <v>0</v>
      </c>
      <c r="AK40" s="170">
        <f t="shared" si="22"/>
        <v>0</v>
      </c>
      <c r="AM40" s="170" t="str">
        <f t="shared" si="26"/>
        <v>1.77286583602498E-06+0.00188301049628783i</v>
      </c>
      <c r="AN40" s="170" t="str">
        <f t="shared" si="27"/>
        <v>0.00188301160906361i</v>
      </c>
      <c r="AO40" s="170" t="str">
        <f t="shared" si="28"/>
        <v>0.999999409044652-0.000941505526302409i</v>
      </c>
      <c r="AP40" s="170" t="str">
        <f t="shared" si="29"/>
        <v>0.166666371189027-0.000313835082714638i</v>
      </c>
      <c r="AQ40" s="170" t="str">
        <f t="shared" si="30"/>
        <v>0.833333628810973+0.000313835082714638i</v>
      </c>
      <c r="AR40" s="170" t="str">
        <f t="shared" si="31"/>
        <v>0.999599503796549-0.000376451138067129i</v>
      </c>
    </row>
    <row r="41" spans="1:44" ht="13">
      <c r="A41" s="333" t="str">
        <f>V3</f>
        <v>Adc</v>
      </c>
      <c r="B41" s="170">
        <f>Adc</f>
        <v>293918.91891891882</v>
      </c>
      <c r="C41" s="170" t="str">
        <f>X3</f>
        <v>V/V</v>
      </c>
      <c r="D41" s="172">
        <f>10*LOG10(B41)</f>
        <v>54.682275415596791</v>
      </c>
      <c r="E41" s="170" t="s">
        <v>781</v>
      </c>
      <c r="G41" s="688">
        <v>13.183</v>
      </c>
      <c r="H41" s="676">
        <f t="shared" si="23"/>
        <v>1.3183E-2</v>
      </c>
      <c r="I41" s="677">
        <f t="shared" si="0"/>
        <v>1.000067256868115</v>
      </c>
      <c r="J41" s="678">
        <f t="shared" si="1"/>
        <v>1.1597680695682759E-2</v>
      </c>
      <c r="K41" s="678">
        <f t="shared" si="2"/>
        <v>1.0000000001660365</v>
      </c>
      <c r="L41" s="679">
        <f t="shared" si="3"/>
        <v>1.822287099616089E-5</v>
      </c>
      <c r="M41" s="678">
        <f t="shared" si="4"/>
        <v>1.0000000235180266</v>
      </c>
      <c r="N41" s="679">
        <f t="shared" si="5"/>
        <v>-2.1687796621366954E-4</v>
      </c>
      <c r="O41" s="677">
        <f t="shared" si="6"/>
        <v>1177.8605408353269</v>
      </c>
      <c r="P41" s="680">
        <f t="shared" si="7"/>
        <v>1.569947329748588</v>
      </c>
      <c r="Q41" s="689">
        <f t="shared" si="8"/>
        <v>1.000017341780302</v>
      </c>
      <c r="R41" s="690">
        <f t="shared" si="9"/>
        <v>5.8892324952058627E-3</v>
      </c>
      <c r="S41" s="677">
        <f t="shared" si="10"/>
        <v>1.0000000007707524</v>
      </c>
      <c r="T41" s="680">
        <f t="shared" si="11"/>
        <v>3.9262003857718416E-5</v>
      </c>
      <c r="U41" s="681">
        <f t="shared" si="24"/>
        <v>0.99959931110169997</v>
      </c>
      <c r="V41" s="682">
        <f t="shared" si="25"/>
        <v>-1.4452810035914892E-3</v>
      </c>
      <c r="W41" s="683">
        <f t="shared" si="12"/>
        <v>47.93875899755642</v>
      </c>
      <c r="X41" s="684">
        <f t="shared" si="13"/>
        <v>-90.374866292519386</v>
      </c>
      <c r="Y41" s="687">
        <f t="shared" si="14"/>
        <v>89.625133707480614</v>
      </c>
      <c r="AA41" s="170">
        <f t="shared" si="15"/>
        <v>1000000000</v>
      </c>
      <c r="AB41" s="170">
        <f t="shared" si="16"/>
        <v>173.79148899999998</v>
      </c>
      <c r="AD41" s="686">
        <f t="shared" si="17"/>
        <v>43.683723265804126</v>
      </c>
      <c r="AE41" s="687">
        <f t="shared" si="18"/>
        <v>-89.616177535398535</v>
      </c>
      <c r="AG41" s="686">
        <f t="shared" si="19"/>
        <v>61.991812309207646</v>
      </c>
      <c r="AH41" s="687">
        <f t="shared" si="20"/>
        <v>-0.59307175349916219</v>
      </c>
      <c r="AJ41" s="170">
        <f t="shared" si="21"/>
        <v>0</v>
      </c>
      <c r="AK41" s="170">
        <f t="shared" si="22"/>
        <v>0</v>
      </c>
      <c r="AM41" s="170" t="str">
        <f t="shared" si="26"/>
        <v>2.13146720595692E-06+0.00206468638486947i</v>
      </c>
      <c r="AN41" s="170" t="str">
        <f t="shared" si="27"/>
        <v>0.00206468785180783i</v>
      </c>
      <c r="AO41" s="170" t="str">
        <f t="shared" si="28"/>
        <v>0.999999289510829-0.00103234355938629i</v>
      </c>
      <c r="AP41" s="170" t="str">
        <f t="shared" si="29"/>
        <v>0.166666311422132-0.000344114397478245i</v>
      </c>
      <c r="AQ41" s="170" t="str">
        <f t="shared" si="30"/>
        <v>0.833333688577868+0.000344114397478245i</v>
      </c>
      <c r="AR41" s="170" t="str">
        <f t="shared" si="31"/>
        <v>0.999599403428516-0.000412771679754641i</v>
      </c>
    </row>
    <row r="42" spans="1:44" ht="13">
      <c r="A42" s="333" t="str">
        <f>V4</f>
        <v>Crossover</v>
      </c>
      <c r="B42" s="332">
        <f>W4</f>
        <v>2.0893000000000002</v>
      </c>
      <c r="C42" s="170" t="str">
        <f>X4</f>
        <v>kHz</v>
      </c>
      <c r="G42" s="688">
        <v>14.454000000000001</v>
      </c>
      <c r="H42" s="676">
        <f t="shared" si="23"/>
        <v>1.4454E-2</v>
      </c>
      <c r="I42" s="677">
        <f t="shared" si="0"/>
        <v>1.0000808502347152</v>
      </c>
      <c r="J42" s="678">
        <f t="shared" si="1"/>
        <v>1.2715721591039619E-2</v>
      </c>
      <c r="K42" s="678">
        <f t="shared" si="2"/>
        <v>1.0000000001995957</v>
      </c>
      <c r="L42" s="679">
        <f t="shared" si="3"/>
        <v>1.9979775269105413E-5</v>
      </c>
      <c r="M42" s="678">
        <f t="shared" si="4"/>
        <v>1.0000000282714754</v>
      </c>
      <c r="N42" s="679">
        <f t="shared" si="5"/>
        <v>-2.3778761387532817E-4</v>
      </c>
      <c r="O42" s="677">
        <f t="shared" si="6"/>
        <v>1291.4204070092114</v>
      </c>
      <c r="P42" s="680">
        <f t="shared" si="7"/>
        <v>1.5700219855389381</v>
      </c>
      <c r="Q42" s="689">
        <f t="shared" si="8"/>
        <v>1.0000208468535499</v>
      </c>
      <c r="R42" s="690">
        <f t="shared" si="9"/>
        <v>6.4570103603556117E-3</v>
      </c>
      <c r="S42" s="677">
        <f t="shared" si="10"/>
        <v>1.0000000009265364</v>
      </c>
      <c r="T42" s="680">
        <f t="shared" si="11"/>
        <v>4.304733396802886E-5</v>
      </c>
      <c r="U42" s="681">
        <f t="shared" si="24"/>
        <v>0.99959917186217606</v>
      </c>
      <c r="V42" s="682">
        <f t="shared" si="25"/>
        <v>-1.5846233923518718E-3</v>
      </c>
      <c r="W42" s="683">
        <f t="shared" si="12"/>
        <v>47.139194770487762</v>
      </c>
      <c r="X42" s="684">
        <f t="shared" si="13"/>
        <v>-90.419969489112049</v>
      </c>
      <c r="Y42" s="687">
        <f t="shared" si="14"/>
        <v>89.580030510887951</v>
      </c>
      <c r="AA42" s="170">
        <f t="shared" si="15"/>
        <v>1000000000</v>
      </c>
      <c r="AB42" s="170">
        <f t="shared" si="16"/>
        <v>208.91811600000003</v>
      </c>
      <c r="AD42" s="686">
        <f t="shared" si="17"/>
        <v>42.884278268799264</v>
      </c>
      <c r="AE42" s="687">
        <f t="shared" si="18"/>
        <v>-89.588140605135123</v>
      </c>
      <c r="AG42" s="686">
        <f t="shared" si="19"/>
        <v>61.991695498951877</v>
      </c>
      <c r="AH42" s="687">
        <f t="shared" si="20"/>
        <v>-0.65024441877049666</v>
      </c>
      <c r="AJ42" s="170">
        <f t="shared" si="21"/>
        <v>0</v>
      </c>
      <c r="AK42" s="170">
        <f t="shared" si="22"/>
        <v>0</v>
      </c>
      <c r="AM42" s="170" t="str">
        <f t="shared" si="26"/>
        <v>0.0000025622778390133+0.00226374669812196i</v>
      </c>
      <c r="AN42" s="170" t="str">
        <f t="shared" si="27"/>
        <v>0.00226374863157327i</v>
      </c>
      <c r="AO42" s="170" t="str">
        <f t="shared" si="28"/>
        <v>0.999999145907243-0.00113187383231351i</v>
      </c>
      <c r="AP42" s="170" t="str">
        <f t="shared" si="29"/>
        <v>0.16666623962036-0.00037729111635366i</v>
      </c>
      <c r="AQ42" s="170" t="str">
        <f t="shared" si="30"/>
        <v>0.83333376037964+0.00037729111635366i</v>
      </c>
      <c r="AR42" s="170" t="str">
        <f t="shared" si="31"/>
        <v>0.999599282850062-0.000452567683278552i</v>
      </c>
    </row>
    <row r="43" spans="1:44" ht="13">
      <c r="A43" s="333" t="str">
        <f>V5</f>
        <v>Phase Margin</v>
      </c>
      <c r="B43" s="531">
        <f>W5</f>
        <v>56.400427709399963</v>
      </c>
      <c r="C43" s="170" t="str">
        <f>X5</f>
        <v>°</v>
      </c>
      <c r="G43" s="688">
        <v>15.849</v>
      </c>
      <c r="H43" s="676">
        <f t="shared" si="23"/>
        <v>1.5848999999999999E-2</v>
      </c>
      <c r="I43" s="677">
        <f t="shared" si="0"/>
        <v>1.0000972087509921</v>
      </c>
      <c r="J43" s="678">
        <f t="shared" si="1"/>
        <v>1.3942802948292145E-2</v>
      </c>
      <c r="K43" s="678">
        <f t="shared" si="2"/>
        <v>1.0000000002399823</v>
      </c>
      <c r="L43" s="679">
        <f t="shared" si="3"/>
        <v>2.1908084836828966E-5</v>
      </c>
      <c r="M43" s="678">
        <f t="shared" si="4"/>
        <v>1.0000000339919517</v>
      </c>
      <c r="N43" s="679">
        <f t="shared" si="5"/>
        <v>-2.6073722692248409E-4</v>
      </c>
      <c r="O43" s="677">
        <f t="shared" si="6"/>
        <v>1416.0592914087379</v>
      </c>
      <c r="P43" s="680">
        <f t="shared" si="7"/>
        <v>1.5700901416166464</v>
      </c>
      <c r="Q43" s="689">
        <f t="shared" si="8"/>
        <v>1.0000250649723335</v>
      </c>
      <c r="R43" s="690">
        <f t="shared" si="9"/>
        <v>7.080176382062763E-3</v>
      </c>
      <c r="S43" s="677">
        <f t="shared" si="10"/>
        <v>1.0000000011140127</v>
      </c>
      <c r="T43" s="680">
        <f t="shared" si="11"/>
        <v>4.720196457548208E-5</v>
      </c>
      <c r="U43" s="681">
        <f t="shared" si="24"/>
        <v>0.99959900429623627</v>
      </c>
      <c r="V43" s="682">
        <f t="shared" si="25"/>
        <v>-1.7375601261324872E-3</v>
      </c>
      <c r="W43" s="683">
        <f>20*LOG10(((K43*Q43*M43*U43)/(I43*O43*S43))*Adc)</f>
        <v>46.338812062250426</v>
      </c>
      <c r="X43" s="684">
        <f t="shared" si="13"/>
        <v>-90.468681448825151</v>
      </c>
      <c r="Y43" s="687">
        <f t="shared" si="14"/>
        <v>89.531318551174849</v>
      </c>
      <c r="AA43" s="170">
        <f t="shared" si="15"/>
        <v>1000000000</v>
      </c>
      <c r="AB43" s="170">
        <f t="shared" si="16"/>
        <v>251.19080099999999</v>
      </c>
      <c r="AD43" s="686">
        <f t="shared" si="17"/>
        <v>42.084039042184841</v>
      </c>
      <c r="AE43" s="687">
        <f t="shared" si="18"/>
        <v>-89.556578920519371</v>
      </c>
      <c r="AG43" s="686">
        <f t="shared" si="19"/>
        <v>61.991554929414995</v>
      </c>
      <c r="AH43" s="687">
        <f t="shared" si="20"/>
        <v>-0.71299280432304168</v>
      </c>
      <c r="AJ43" s="170">
        <f t="shared" si="21"/>
        <v>0</v>
      </c>
      <c r="AK43" s="170">
        <f t="shared" si="22"/>
        <v>0</v>
      </c>
      <c r="AM43" s="170" t="str">
        <f t="shared" si="26"/>
        <v>3.08073124299924E-06+0.00248222742618992i</v>
      </c>
      <c r="AN43" s="170" t="str">
        <f t="shared" si="27"/>
        <v>0.00248222997521826i</v>
      </c>
      <c r="AO43" s="170" t="str">
        <f t="shared" si="28"/>
        <v>0.999998973089373-0.00124111435030445i</v>
      </c>
      <c r="AP43" s="170" t="str">
        <f t="shared" si="29"/>
        <v>0.16666615321146-0.000413704571031653i</v>
      </c>
      <c r="AQ43" s="170" t="str">
        <f t="shared" si="30"/>
        <v>0.83333384678854+0.000413704571031653i</v>
      </c>
      <c r="AR43" s="170" t="str">
        <f t="shared" si="31"/>
        <v>0.99959913774157-0.000496246173219366i</v>
      </c>
    </row>
    <row r="44" spans="1:44">
      <c r="G44" s="688">
        <v>17.378</v>
      </c>
      <c r="H44" s="676">
        <f t="shared" si="23"/>
        <v>1.7378000000000001E-2</v>
      </c>
      <c r="I44" s="677">
        <f t="shared" si="0"/>
        <v>1.0001168683598702</v>
      </c>
      <c r="J44" s="678">
        <f t="shared" si="1"/>
        <v>1.5287706117051552E-2</v>
      </c>
      <c r="K44" s="678">
        <f t="shared" si="2"/>
        <v>1.0000000002885192</v>
      </c>
      <c r="L44" s="679">
        <f t="shared" si="3"/>
        <v>2.4021622706927532E-5</v>
      </c>
      <c r="M44" s="678">
        <f t="shared" si="4"/>
        <v>1.0000000408669245</v>
      </c>
      <c r="N44" s="679">
        <f t="shared" si="5"/>
        <v>-2.8589131861262601E-4</v>
      </c>
      <c r="O44" s="677">
        <f t="shared" si="6"/>
        <v>1552.6706627449737</v>
      </c>
      <c r="P44" s="680">
        <f t="shared" si="7"/>
        <v>1.5701522751662236</v>
      </c>
      <c r="Q44" s="689">
        <f t="shared" si="8"/>
        <v>1.0000301343607969</v>
      </c>
      <c r="R44" s="690">
        <f t="shared" si="9"/>
        <v>7.7631957444580625E-3</v>
      </c>
      <c r="S44" s="677">
        <f t="shared" si="10"/>
        <v>1.0000000013393251</v>
      </c>
      <c r="T44" s="680">
        <f t="shared" si="11"/>
        <v>5.1755677977759818E-5</v>
      </c>
      <c r="U44" s="681">
        <f t="shared" si="24"/>
        <v>0.99959880291254799</v>
      </c>
      <c r="V44" s="682">
        <f t="shared" si="25"/>
        <v>-1.9051875110112988E-3</v>
      </c>
      <c r="W44" s="683">
        <f t="shared" si="12"/>
        <v>45.53872547329442</v>
      </c>
      <c r="X44" s="684">
        <f t="shared" si="13"/>
        <v>-90.52134996440995</v>
      </c>
      <c r="Y44" s="687">
        <f t="shared" si="14"/>
        <v>89.47865003559005</v>
      </c>
      <c r="AA44" s="170">
        <f t="shared" si="15"/>
        <v>1000000000</v>
      </c>
      <c r="AB44" s="170">
        <f t="shared" si="16"/>
        <v>301.99488400000001</v>
      </c>
      <c r="AD44" s="686">
        <f t="shared" si="17"/>
        <v>41.284124885907325</v>
      </c>
      <c r="AE44" s="687">
        <f t="shared" si="18"/>
        <v>-89.521265692404057</v>
      </c>
      <c r="AG44" s="686">
        <f t="shared" si="19"/>
        <v>61.991385996533232</v>
      </c>
      <c r="AH44" s="687">
        <f t="shared" si="20"/>
        <v>-0.78176586463247266</v>
      </c>
      <c r="AJ44" s="170">
        <f t="shared" si="21"/>
        <v>0</v>
      </c>
      <c r="AK44" s="170">
        <f t="shared" si="22"/>
        <v>0</v>
      </c>
      <c r="AM44" s="170" t="str">
        <f t="shared" si="26"/>
        <v>3.70381787095919E-06+0.00272169469702376i</v>
      </c>
      <c r="AN44" s="170" t="str">
        <f t="shared" si="27"/>
        <v>0.00272169805724922i</v>
      </c>
      <c r="AO44" s="170" t="str">
        <f t="shared" si="28"/>
        <v>0.99999876539374-0.00136084818853954i</v>
      </c>
      <c r="AP44" s="170" t="str">
        <f t="shared" si="29"/>
        <v>0.166666049363688-0.000453615782837293i</v>
      </c>
      <c r="AQ44" s="170" t="str">
        <f t="shared" si="30"/>
        <v>0.833333950636312+0.000453615782837293i</v>
      </c>
      <c r="AR44" s="170" t="str">
        <f t="shared" si="31"/>
        <v>0.999598963347667-0.000544120236474307i</v>
      </c>
    </row>
    <row r="45" spans="1:44">
      <c r="G45" s="688">
        <v>19.055</v>
      </c>
      <c r="H45" s="676">
        <f t="shared" si="23"/>
        <v>1.9054999999999999E-2</v>
      </c>
      <c r="I45" s="677">
        <f t="shared" si="0"/>
        <v>1.0001405109389923</v>
      </c>
      <c r="J45" s="678">
        <f t="shared" si="1"/>
        <v>1.6762725804285901E-2</v>
      </c>
      <c r="K45" s="678">
        <f t="shared" si="2"/>
        <v>1.000000000346891</v>
      </c>
      <c r="L45" s="679">
        <f t="shared" si="3"/>
        <v>2.633974109003865E-5</v>
      </c>
      <c r="M45" s="678">
        <f t="shared" si="4"/>
        <v>1.0000000491349224</v>
      </c>
      <c r="N45" s="679">
        <f t="shared" si="5"/>
        <v>-3.1348020751157215E-4</v>
      </c>
      <c r="O45" s="677">
        <f t="shared" si="6"/>
        <v>1702.5053772619842</v>
      </c>
      <c r="P45" s="680">
        <f t="shared" si="7"/>
        <v>1.5702089571038189</v>
      </c>
      <c r="Q45" s="689">
        <f t="shared" si="8"/>
        <v>1.0000362308881565</v>
      </c>
      <c r="R45" s="690">
        <f t="shared" si="9"/>
        <v>8.5123198121959086E-3</v>
      </c>
      <c r="S45" s="677">
        <f t="shared" si="10"/>
        <v>1.0000000016102908</v>
      </c>
      <c r="T45" s="680">
        <f t="shared" si="11"/>
        <v>5.6750169391648153E-5</v>
      </c>
      <c r="U45" s="681">
        <f t="shared" si="24"/>
        <v>0.99959856072411135</v>
      </c>
      <c r="V45" s="682">
        <f t="shared" si="25"/>
        <v>-2.0890403768786944E-3</v>
      </c>
      <c r="W45" s="683">
        <f t="shared" si="12"/>
        <v>44.738388159102243</v>
      </c>
      <c r="X45" s="684">
        <f t="shared" si="13"/>
        <v>-90.578456420678251</v>
      </c>
      <c r="Y45" s="687">
        <f t="shared" si="14"/>
        <v>89.421543579321749</v>
      </c>
      <c r="AA45" s="170">
        <f t="shared" si="15"/>
        <v>1000000000</v>
      </c>
      <c r="AB45" s="170">
        <f t="shared" si="16"/>
        <v>363.09302500000001</v>
      </c>
      <c r="AD45" s="686">
        <f t="shared" si="17"/>
        <v>40.483994934268935</v>
      </c>
      <c r="AE45" s="687">
        <f t="shared" si="18"/>
        <v>-89.481877844023657</v>
      </c>
      <c r="AG45" s="686">
        <f t="shared" si="19"/>
        <v>61.991182842912622</v>
      </c>
      <c r="AH45" s="687">
        <f t="shared" si="20"/>
        <v>-0.85719218272590902</v>
      </c>
      <c r="AJ45" s="170">
        <f t="shared" si="21"/>
        <v>0</v>
      </c>
      <c r="AK45" s="170">
        <f t="shared" ref="AK45:AK53" si="32">IF(AJ45&gt;0,Y43,0)</f>
        <v>0</v>
      </c>
      <c r="AM45" s="170" t="str">
        <f t="shared" si="26"/>
        <v>4.45315579200578E-06+0.00298434109205531i</v>
      </c>
      <c r="AN45" s="170" t="str">
        <f t="shared" si="27"/>
        <v>0.00298434552197514i</v>
      </c>
      <c r="AO45" s="170" t="str">
        <f t="shared" si="28"/>
        <v>0.999998515614296-0.0014921716534547i</v>
      </c>
      <c r="AP45" s="170" t="str">
        <f t="shared" si="29"/>
        <v>0.166665924474035-0.000497390182009218i</v>
      </c>
      <c r="AQ45" s="170" t="str">
        <f t="shared" si="30"/>
        <v>0.833334075525965+0.000497390182009218i</v>
      </c>
      <c r="AR45" s="170" t="str">
        <f t="shared" si="31"/>
        <v>0.999598753617796-0.000596628195822111i</v>
      </c>
    </row>
    <row r="46" spans="1:44">
      <c r="G46" s="688">
        <v>20.893000000000001</v>
      </c>
      <c r="H46" s="676">
        <f t="shared" si="23"/>
        <v>2.0893000000000002E-2</v>
      </c>
      <c r="I46" s="677">
        <f t="shared" si="0"/>
        <v>1.0001689225657771</v>
      </c>
      <c r="J46" s="678">
        <f t="shared" si="1"/>
        <v>1.8379270397739282E-2</v>
      </c>
      <c r="K46" s="678">
        <f t="shared" si="2"/>
        <v>1.0000000004170391</v>
      </c>
      <c r="L46" s="679">
        <f t="shared" si="3"/>
        <v>2.8880409896008491E-5</v>
      </c>
      <c r="M46" s="678">
        <f t="shared" si="4"/>
        <v>1.0000000590709526</v>
      </c>
      <c r="N46" s="679">
        <f t="shared" si="5"/>
        <v>-3.4371776080582421E-4</v>
      </c>
      <c r="O46" s="677">
        <f t="shared" si="6"/>
        <v>1866.7249443734379</v>
      </c>
      <c r="P46" s="680">
        <f t="shared" si="7"/>
        <v>1.5702606292081456</v>
      </c>
      <c r="Q46" s="689">
        <f t="shared" si="8"/>
        <v>1.0000435573141044</v>
      </c>
      <c r="R46" s="690">
        <f t="shared" si="9"/>
        <v>9.3333523591764434E-3</v>
      </c>
      <c r="S46" s="677">
        <f t="shared" si="10"/>
        <v>1.0000000019359228</v>
      </c>
      <c r="T46" s="680">
        <f t="shared" si="11"/>
        <v>6.2224155803847165E-5</v>
      </c>
      <c r="U46" s="681">
        <f t="shared" si="24"/>
        <v>0.99959826967543575</v>
      </c>
      <c r="V46" s="682">
        <f t="shared" si="25"/>
        <v>-2.2905439152475985E-3</v>
      </c>
      <c r="W46" s="683">
        <f t="shared" si="12"/>
        <v>43.93836583495883</v>
      </c>
      <c r="X46" s="684">
        <f t="shared" si="13"/>
        <v>-90.64044235027113</v>
      </c>
      <c r="Y46" s="687">
        <f t="shared" si="14"/>
        <v>89.35955764972887</v>
      </c>
      <c r="AA46" s="170">
        <f t="shared" si="15"/>
        <v>1000000000</v>
      </c>
      <c r="AB46" s="170">
        <f t="shared" si="16"/>
        <v>436.51744900000006</v>
      </c>
      <c r="AD46" s="686">
        <f t="shared" si="17"/>
        <v>39.684221794324841</v>
      </c>
      <c r="AE46" s="687">
        <f t="shared" si="18"/>
        <v>-89.438110374003799</v>
      </c>
      <c r="AG46" s="686">
        <f t="shared" si="19"/>
        <v>61.990938716777897</v>
      </c>
      <c r="AH46" s="687">
        <f t="shared" si="20"/>
        <v>-0.93985497770128457</v>
      </c>
      <c r="AJ46" s="170">
        <f t="shared" si="21"/>
        <v>0</v>
      </c>
      <c r="AK46" s="170">
        <f t="shared" si="32"/>
        <v>0</v>
      </c>
      <c r="AM46" s="170" t="str">
        <f t="shared" si="26"/>
        <v>5.35366911702528E-06+0.00327220255681192i</v>
      </c>
      <c r="AN46" s="170" t="str">
        <f t="shared" si="27"/>
        <v>0.00327220839625435i</v>
      </c>
      <c r="AO46" s="170" t="str">
        <f t="shared" si="28"/>
        <v>0.999998215442991-0.00163610273818549i</v>
      </c>
      <c r="AP46" s="170" t="str">
        <f t="shared" si="29"/>
        <v>0.16666577438848-0.000545367092801987i</v>
      </c>
      <c r="AQ46" s="170" t="str">
        <f t="shared" si="30"/>
        <v>0.83333422561152+0.000545367092801987i</v>
      </c>
      <c r="AR46" s="170" t="str">
        <f t="shared" si="31"/>
        <v>0.999598501576108-0.000654177054079042i</v>
      </c>
    </row>
    <row r="47" spans="1:44">
      <c r="G47" s="688">
        <v>22.909000000000002</v>
      </c>
      <c r="H47" s="676">
        <f t="shared" si="23"/>
        <v>2.2909000000000002E-2</v>
      </c>
      <c r="I47" s="677">
        <f t="shared" si="0"/>
        <v>1.0002030911067723</v>
      </c>
      <c r="J47" s="678">
        <f t="shared" si="1"/>
        <v>2.0152257494546987E-2</v>
      </c>
      <c r="K47" s="678">
        <f t="shared" si="2"/>
        <v>1.0000000005014034</v>
      </c>
      <c r="L47" s="679">
        <f t="shared" si="3"/>
        <v>3.166712823770866E-5</v>
      </c>
      <c r="M47" s="678">
        <f t="shared" si="4"/>
        <v>1.0000000710206474</v>
      </c>
      <c r="N47" s="679">
        <f t="shared" si="5"/>
        <v>-3.768836509630434E-4</v>
      </c>
      <c r="O47" s="677">
        <f t="shared" si="6"/>
        <v>2046.8482610541093</v>
      </c>
      <c r="P47" s="680">
        <f t="shared" si="7"/>
        <v>1.5703077707749862</v>
      </c>
      <c r="Q47" s="689">
        <f t="shared" si="8"/>
        <v>1.0000523684638194</v>
      </c>
      <c r="R47" s="690">
        <f t="shared" si="9"/>
        <v>1.0233882796023514E-2</v>
      </c>
      <c r="S47" s="677">
        <f t="shared" si="10"/>
        <v>1.0000000023275482</v>
      </c>
      <c r="T47" s="680">
        <f t="shared" si="11"/>
        <v>6.8228267120000094E-5</v>
      </c>
      <c r="U47" s="681">
        <f t="shared" si="24"/>
        <v>0.99959791964230849</v>
      </c>
      <c r="V47" s="682">
        <f t="shared" si="25"/>
        <v>-2.511561837067521E-3</v>
      </c>
      <c r="W47" s="683">
        <f t="shared" si="12"/>
        <v>43.138036344944403</v>
      </c>
      <c r="X47" s="684">
        <f t="shared" si="13"/>
        <v>-90.70787945027692</v>
      </c>
      <c r="Y47" s="687">
        <f t="shared" si="14"/>
        <v>89.29212054972308</v>
      </c>
      <c r="AA47" s="170">
        <f t="shared" si="15"/>
        <v>1000000000</v>
      </c>
      <c r="AB47" s="170">
        <f t="shared" si="16"/>
        <v>524.82228100000009</v>
      </c>
      <c r="AD47" s="686">
        <f t="shared" si="17"/>
        <v>38.884191970338037</v>
      </c>
      <c r="AE47" s="687">
        <f t="shared" si="18"/>
        <v>-89.389558803651653</v>
      </c>
      <c r="AG47" s="686">
        <f t="shared" si="19"/>
        <v>61.990645133893352</v>
      </c>
      <c r="AH47" s="687">
        <f t="shared" si="20"/>
        <v>-1.0305168597962131</v>
      </c>
      <c r="AJ47" s="170">
        <f t="shared" si="21"/>
        <v>0</v>
      </c>
      <c r="AK47" s="170">
        <f t="shared" si="32"/>
        <v>0</v>
      </c>
      <c r="AM47" s="170" t="str">
        <f t="shared" si="26"/>
        <v>6.43668274202813E-06+0.00358794147858093i</v>
      </c>
      <c r="AN47" s="170" t="str">
        <f t="shared" si="27"/>
        <v>0.00358794917674775i</v>
      </c>
      <c r="AO47" s="170" t="str">
        <f t="shared" si="28"/>
        <v>0.999997854438165-0.00179397266375511i</v>
      </c>
      <c r="AP47" s="170" t="str">
        <f t="shared" si="29"/>
        <v>0.16666559388621-0.000597990246430155i</v>
      </c>
      <c r="AQ47" s="170" t="str">
        <f t="shared" si="30"/>
        <v>0.83333440611379+0.000597990246430155i</v>
      </c>
      <c r="AR47" s="170" t="str">
        <f t="shared" si="31"/>
        <v>0.999598198455307-0.000717299044225238i</v>
      </c>
    </row>
    <row r="48" spans="1:44">
      <c r="A48" s="170" t="s">
        <v>802</v>
      </c>
      <c r="G48" s="688">
        <v>25.119</v>
      </c>
      <c r="H48" s="676">
        <f t="shared" si="23"/>
        <v>2.5118999999999999E-2</v>
      </c>
      <c r="I48" s="677">
        <f t="shared" si="0"/>
        <v>1.0002441599440517</v>
      </c>
      <c r="J48" s="678">
        <f t="shared" si="1"/>
        <v>2.209571343049763E-2</v>
      </c>
      <c r="K48" s="678">
        <f t="shared" si="2"/>
        <v>1.0000000006028091</v>
      </c>
      <c r="L48" s="679">
        <f t="shared" si="3"/>
        <v>3.4722012927200167E-5</v>
      </c>
      <c r="M48" s="678">
        <f t="shared" si="4"/>
        <v>1.0000000853841091</v>
      </c>
      <c r="N48" s="679">
        <f t="shared" si="5"/>
        <v>-4.1324109903918404E-4</v>
      </c>
      <c r="O48" s="677">
        <f t="shared" si="6"/>
        <v>2244.3048774370959</v>
      </c>
      <c r="P48" s="680">
        <f t="shared" si="7"/>
        <v>1.5703507545185351</v>
      </c>
      <c r="Q48" s="689">
        <f t="shared" si="8"/>
        <v>1.0000629593103487</v>
      </c>
      <c r="R48" s="690">
        <f t="shared" si="9"/>
        <v>1.1221052294433915E-2</v>
      </c>
      <c r="S48" s="677">
        <f t="shared" si="10"/>
        <v>1.0000000027982796</v>
      </c>
      <c r="T48" s="680">
        <f t="shared" si="11"/>
        <v>7.4810155015471986E-5</v>
      </c>
      <c r="U48" s="681">
        <f t="shared" si="24"/>
        <v>0.99959749890504335</v>
      </c>
      <c r="V48" s="682">
        <f t="shared" si="25"/>
        <v>-2.7538482102419048E-3</v>
      </c>
      <c r="W48" s="683">
        <f t="shared" si="12"/>
        <v>42.33784405693531</v>
      </c>
      <c r="X48" s="684">
        <f t="shared" si="13"/>
        <v>-90.781300611673572</v>
      </c>
      <c r="Y48" s="687">
        <f t="shared" si="14"/>
        <v>89.218699388326428</v>
      </c>
      <c r="AA48" s="170">
        <f t="shared" si="15"/>
        <v>1000000000</v>
      </c>
      <c r="AB48" s="170">
        <f t="shared" si="16"/>
        <v>630.96416099999999</v>
      </c>
      <c r="AD48" s="686">
        <f t="shared" si="17"/>
        <v>38.084359852271419</v>
      </c>
      <c r="AE48" s="687">
        <f t="shared" si="18"/>
        <v>-89.335838059157979</v>
      </c>
      <c r="AG48" s="686">
        <f t="shared" si="19"/>
        <v>61.990292275847295</v>
      </c>
      <c r="AH48" s="687">
        <f t="shared" si="20"/>
        <v>-1.1298947924219862</v>
      </c>
      <c r="AJ48" s="170">
        <f t="shared" si="21"/>
        <v>0</v>
      </c>
      <c r="AK48" s="170">
        <f t="shared" si="32"/>
        <v>0</v>
      </c>
      <c r="AM48" s="170" t="str">
        <f t="shared" si="26"/>
        <v>7.73845812596097E-06+0.00393406359477208i</v>
      </c>
      <c r="AN48" s="170" t="str">
        <f t="shared" si="27"/>
        <v>0.00393407374266562i</v>
      </c>
      <c r="AO48" s="170" t="str">
        <f t="shared" si="28"/>
        <v>0.999997420512628-0.00196703433441937i</v>
      </c>
      <c r="AP48" s="170" t="str">
        <f t="shared" si="29"/>
        <v>0.166665376923646-0.000655677265795347i</v>
      </c>
      <c r="AQ48" s="170" t="str">
        <f t="shared" si="30"/>
        <v>0.833334623076354+0.000655677265795347i</v>
      </c>
      <c r="AR48" s="170" t="str">
        <f t="shared" si="31"/>
        <v>0.999597834106478-0.000786495072462427i</v>
      </c>
    </row>
    <row r="49" spans="1:44" ht="13">
      <c r="A49" s="170">
        <v>0.1</v>
      </c>
      <c r="C49" s="333" t="s">
        <v>803</v>
      </c>
      <c r="D49" s="761">
        <f>Fco_desire*1000</f>
        <v>1000</v>
      </c>
      <c r="E49" s="761" t="s">
        <v>8</v>
      </c>
      <c r="G49" s="688">
        <v>27.542000000000002</v>
      </c>
      <c r="H49" s="676">
        <f t="shared" si="23"/>
        <v>2.7542000000000001E-2</v>
      </c>
      <c r="I49" s="677">
        <f t="shared" si="0"/>
        <v>1.0002935282829226</v>
      </c>
      <c r="J49" s="678">
        <f t="shared" si="1"/>
        <v>2.4226287452182468E-2</v>
      </c>
      <c r="K49" s="678">
        <f t="shared" si="2"/>
        <v>1.000000000724713</v>
      </c>
      <c r="L49" s="679">
        <f t="shared" si="3"/>
        <v>3.8071327678778143E-5</v>
      </c>
      <c r="M49" s="678">
        <f t="shared" si="4"/>
        <v>1.0000001026510281</v>
      </c>
      <c r="N49" s="679">
        <f t="shared" si="5"/>
        <v>-4.5310267999210753E-4</v>
      </c>
      <c r="O49" s="677">
        <f t="shared" si="6"/>
        <v>2460.7923843401654</v>
      </c>
      <c r="P49" s="680">
        <f t="shared" si="7"/>
        <v>1.5703899536144987</v>
      </c>
      <c r="Q49" s="689">
        <f t="shared" si="8"/>
        <v>1.000075690862432</v>
      </c>
      <c r="R49" s="690">
        <f t="shared" si="9"/>
        <v>1.2303340073720172E-2</v>
      </c>
      <c r="S49" s="677">
        <f t="shared" si="10"/>
        <v>1.0000000033641656</v>
      </c>
      <c r="T49" s="680">
        <f t="shared" si="11"/>
        <v>8.2026405854485467E-5</v>
      </c>
      <c r="U49" s="681">
        <f t="shared" si="24"/>
        <v>0.99959699311980321</v>
      </c>
      <c r="V49" s="682">
        <f t="shared" si="25"/>
        <v>-3.0194859833369962E-3</v>
      </c>
      <c r="W49" s="683">
        <f t="shared" si="12"/>
        <v>41.53765927710927</v>
      </c>
      <c r="X49" s="684">
        <f t="shared" si="13"/>
        <v>-90.86133431468393</v>
      </c>
      <c r="Y49" s="687">
        <f t="shared" si="14"/>
        <v>89.13866568531607</v>
      </c>
      <c r="AA49" s="170">
        <f t="shared" si="15"/>
        <v>1000000000</v>
      </c>
      <c r="AB49" s="170">
        <f t="shared" si="16"/>
        <v>758.56176400000004</v>
      </c>
      <c r="AD49" s="686">
        <f t="shared" si="17"/>
        <v>37.284608009064478</v>
      </c>
      <c r="AE49" s="687">
        <f t="shared" si="18"/>
        <v>-89.276486940594893</v>
      </c>
      <c r="AG49" s="686">
        <f t="shared" si="19"/>
        <v>61.989868129157912</v>
      </c>
      <c r="AH49" s="687">
        <f t="shared" si="20"/>
        <v>-1.2388397674054221</v>
      </c>
      <c r="AJ49" s="170">
        <f t="shared" si="21"/>
        <v>0</v>
      </c>
      <c r="AK49" s="170">
        <f t="shared" si="32"/>
        <v>0</v>
      </c>
      <c r="AM49" s="170" t="str">
        <f t="shared" si="26"/>
        <v>9.30337613203047E-06+0.00431354444867821i</v>
      </c>
      <c r="AN49" s="170" t="str">
        <f t="shared" si="27"/>
        <v>0.00431355782557015i</v>
      </c>
      <c r="AO49" s="170" t="str">
        <f t="shared" si="28"/>
        <v>0.999996898872698-0.00215677556862259i</v>
      </c>
      <c r="AP49" s="170" t="str">
        <f t="shared" si="29"/>
        <v>0.166665116103978-0.000718924074779702i</v>
      </c>
      <c r="AQ49" s="170" t="str">
        <f t="shared" si="30"/>
        <v>0.833334883896022+0.000718924074779702i</v>
      </c>
      <c r="AR49" s="170" t="str">
        <f t="shared" si="31"/>
        <v>0.999597396108289-0.000862359955207416i</v>
      </c>
    </row>
    <row r="50" spans="1:44">
      <c r="A50" s="170">
        <v>0.2</v>
      </c>
      <c r="C50" s="760" t="s">
        <v>810</v>
      </c>
      <c r="D50" s="170">
        <f>SQRT(1+(D49/Zero1)^2)*SQRT(1+(D49/z_RHP)^2)/SQRT(1+(D49/pole1)^2)/D58</f>
        <v>0.75417044013389145</v>
      </c>
      <c r="G50" s="688">
        <v>30.2</v>
      </c>
      <c r="H50" s="676">
        <f t="shared" si="23"/>
        <v>3.0199999999999998E-2</v>
      </c>
      <c r="I50" s="677">
        <f t="shared" si="0"/>
        <v>1.0003529067785495</v>
      </c>
      <c r="J50" s="678">
        <f t="shared" si="1"/>
        <v>2.6563246179619936E-2</v>
      </c>
      <c r="K50" s="678">
        <f t="shared" si="2"/>
        <v>1.0000000008713426</v>
      </c>
      <c r="L50" s="679">
        <f t="shared" si="3"/>
        <v>4.1745483108950245E-5</v>
      </c>
      <c r="M50" s="678">
        <f t="shared" si="4"/>
        <v>1.0000001234201974</v>
      </c>
      <c r="N50" s="679">
        <f t="shared" si="5"/>
        <v>-4.9683032264525434E-4</v>
      </c>
      <c r="O50" s="677">
        <f t="shared" si="6"/>
        <v>2698.2764132766829</v>
      </c>
      <c r="P50" s="680">
        <f t="shared" si="7"/>
        <v>1.5704257198333669</v>
      </c>
      <c r="Q50" s="689">
        <f t="shared" si="8"/>
        <v>1.0000910045416171</v>
      </c>
      <c r="R50" s="690">
        <f t="shared" si="9"/>
        <v>1.3490562674033769E-2</v>
      </c>
      <c r="S50" s="677">
        <f t="shared" si="10"/>
        <v>1.0000000040448302</v>
      </c>
      <c r="T50" s="680">
        <f t="shared" si="11"/>
        <v>8.9942540689905135E-5</v>
      </c>
      <c r="U50" s="681">
        <f t="shared" si="24"/>
        <v>0.99959638474706625</v>
      </c>
      <c r="V50" s="682">
        <f t="shared" si="25"/>
        <v>-3.3108869810928817E-3</v>
      </c>
      <c r="W50" s="683">
        <f t="shared" si="12"/>
        <v>40.737042320530044</v>
      </c>
      <c r="X50" s="684">
        <f t="shared" si="13"/>
        <v>-90.948703100018065</v>
      </c>
      <c r="Y50" s="687">
        <f t="shared" si="14"/>
        <v>89.051296899981935</v>
      </c>
      <c r="AA50" s="170">
        <f t="shared" si="15"/>
        <v>1000000000</v>
      </c>
      <c r="AB50" s="170">
        <f t="shared" si="16"/>
        <v>912.04</v>
      </c>
      <c r="AD50" s="686">
        <f t="shared" si="17"/>
        <v>36.484511745616302</v>
      </c>
      <c r="AE50" s="687">
        <f t="shared" si="18"/>
        <v>-89.210966910685926</v>
      </c>
      <c r="AG50" s="686">
        <f t="shared" si="19"/>
        <v>61.989358008807898</v>
      </c>
      <c r="AH50" s="687">
        <f t="shared" si="20"/>
        <v>-1.3583364879757418</v>
      </c>
      <c r="AJ50" s="170">
        <f t="shared" si="21"/>
        <v>0</v>
      </c>
      <c r="AK50" s="170">
        <f t="shared" si="32"/>
        <v>0</v>
      </c>
      <c r="AM50" s="170" t="str">
        <f t="shared" si="26"/>
        <v>0.0000111857055129505+0.00472982937380371i</v>
      </c>
      <c r="AN50" s="170" t="str">
        <f t="shared" si="27"/>
        <v>0.00472984700937545i</v>
      </c>
      <c r="AO50" s="170" t="str">
        <f t="shared" si="28"/>
        <v>0.999996271428715-0.00236491909585623i</v>
      </c>
      <c r="AP50" s="170" t="str">
        <f t="shared" si="29"/>
        <v>0.166664802382415-0.000788304895633952i</v>
      </c>
      <c r="AQ50" s="170" t="str">
        <f t="shared" si="30"/>
        <v>0.833335197617585+0.000788304895633952i</v>
      </c>
      <c r="AR50" s="170" t="str">
        <f t="shared" si="31"/>
        <v>0.999596869272065-0.000945582411447771i</v>
      </c>
    </row>
    <row r="51" spans="1:44" ht="13">
      <c r="A51" s="170">
        <v>0.3</v>
      </c>
      <c r="C51" s="333" t="s">
        <v>811</v>
      </c>
      <c r="D51" s="761">
        <f>20*LOG(D50*Acs*Am)</f>
        <v>59.53830535540321</v>
      </c>
      <c r="E51" s="333" t="s">
        <v>781</v>
      </c>
      <c r="G51" s="688">
        <v>33.113</v>
      </c>
      <c r="H51" s="676">
        <f t="shared" si="23"/>
        <v>3.3112999999999997E-2</v>
      </c>
      <c r="I51" s="677">
        <f t="shared" si="0"/>
        <v>1.0004242556965564</v>
      </c>
      <c r="J51" s="678">
        <f t="shared" si="1"/>
        <v>2.9124071032694709E-2</v>
      </c>
      <c r="K51" s="678">
        <f t="shared" si="2"/>
        <v>1.0000000010475436</v>
      </c>
      <c r="L51" s="679">
        <f t="shared" si="3"/>
        <v>4.5772125232592459E-5</v>
      </c>
      <c r="M51" s="678">
        <f t="shared" si="4"/>
        <v>1.0000001483779626</v>
      </c>
      <c r="N51" s="679">
        <f t="shared" si="5"/>
        <v>-5.4475305298089997E-4</v>
      </c>
      <c r="O51" s="677">
        <f t="shared" si="6"/>
        <v>2958.5439020112181</v>
      </c>
      <c r="P51" s="680">
        <f t="shared" si="7"/>
        <v>1.570458322677952</v>
      </c>
      <c r="Q51" s="689">
        <f t="shared" si="8"/>
        <v>1.0001094062778848</v>
      </c>
      <c r="R51" s="690">
        <f t="shared" si="9"/>
        <v>1.4791639803476815E-2</v>
      </c>
      <c r="S51" s="677">
        <f t="shared" si="10"/>
        <v>1.0000000048627671</v>
      </c>
      <c r="T51" s="680">
        <f t="shared" si="11"/>
        <v>9.8618124113933957E-5</v>
      </c>
      <c r="U51" s="681">
        <f t="shared" si="24"/>
        <v>0.99959565368290126</v>
      </c>
      <c r="V51" s="682">
        <f t="shared" si="25"/>
        <v>-3.6302437392809906E-3</v>
      </c>
      <c r="W51" s="683">
        <f t="shared" si="12"/>
        <v>39.936744887656587</v>
      </c>
      <c r="X51" s="684">
        <f t="shared" si="13"/>
        <v>-91.044059262647025</v>
      </c>
      <c r="Y51" s="687">
        <f t="shared" si="14"/>
        <v>88.955940737352975</v>
      </c>
      <c r="AA51" s="170">
        <f t="shared" si="15"/>
        <v>1000000000</v>
      </c>
      <c r="AB51" s="170">
        <f t="shared" si="16"/>
        <v>1096.470769</v>
      </c>
      <c r="AD51" s="686">
        <f t="shared" si="17"/>
        <v>35.684839935047371</v>
      </c>
      <c r="AE51" s="687">
        <f t="shared" si="18"/>
        <v>-89.138785761975214</v>
      </c>
      <c r="AG51" s="686">
        <f t="shared" si="19"/>
        <v>61.988745091521267</v>
      </c>
      <c r="AH51" s="687">
        <f t="shared" si="20"/>
        <v>-1.4892782104672815</v>
      </c>
      <c r="AJ51" s="170">
        <f t="shared" si="21"/>
        <v>0</v>
      </c>
      <c r="AK51" s="170">
        <f t="shared" si="32"/>
        <v>0</v>
      </c>
      <c r="AM51" s="170" t="str">
        <f t="shared" si="26"/>
        <v>0.000013447649775955+0.00518605039623949i</v>
      </c>
      <c r="AN51" s="170" t="str">
        <f t="shared" si="27"/>
        <v>0.00518607364309435i</v>
      </c>
      <c r="AO51" s="170" t="str">
        <f t="shared" si="28"/>
        <v>0.999995517446057-0.00259303100985879i</v>
      </c>
      <c r="AP51" s="170" t="str">
        <f t="shared" si="29"/>
        <v>0.166664425391704-0.000864341732706582i</v>
      </c>
      <c r="AQ51" s="170" t="str">
        <f t="shared" si="30"/>
        <v>0.833335574608296+0.000864341732706582i</v>
      </c>
      <c r="AR51" s="170" t="str">
        <f t="shared" si="31"/>
        <v>0.999596236188494-0.00103678850287923i</v>
      </c>
    </row>
    <row r="52" spans="1:44">
      <c r="A52" s="170">
        <v>0.4</v>
      </c>
      <c r="C52" s="170" t="s">
        <v>694</v>
      </c>
      <c r="D52" s="170" t="str">
        <f>IMSUB(1,IMEXP(COMPLEX(0,-2*Pi*D49*Tsw)))</f>
        <v>0.012239463698739+0.155977956538241i</v>
      </c>
      <c r="G52" s="688">
        <v>36.308</v>
      </c>
      <c r="H52" s="676">
        <f t="shared" si="23"/>
        <v>3.6308E-2</v>
      </c>
      <c r="I52" s="677">
        <f t="shared" si="0"/>
        <v>1.0005100545793078</v>
      </c>
      <c r="J52" s="678">
        <f t="shared" si="1"/>
        <v>3.1932362181049008E-2</v>
      </c>
      <c r="K52" s="678">
        <f t="shared" si="2"/>
        <v>1.0000000012594465</v>
      </c>
      <c r="L52" s="679">
        <f t="shared" si="3"/>
        <v>5.0188576169788103E-5</v>
      </c>
      <c r="M52" s="678">
        <f t="shared" si="4"/>
        <v>1.0000001783926646</v>
      </c>
      <c r="N52" s="679">
        <f t="shared" si="5"/>
        <v>-5.9731505607643013E-4</v>
      </c>
      <c r="O52" s="677">
        <f t="shared" si="6"/>
        <v>3244.0072165558922</v>
      </c>
      <c r="P52" s="680">
        <f t="shared" si="7"/>
        <v>1.5704880660700948</v>
      </c>
      <c r="Q52" s="689">
        <f t="shared" si="8"/>
        <v>1.0001315361218877</v>
      </c>
      <c r="R52" s="690">
        <f t="shared" si="9"/>
        <v>1.6218613096050105E-2</v>
      </c>
      <c r="S52" s="677">
        <f t="shared" si="10"/>
        <v>1.0000000058464342</v>
      </c>
      <c r="T52" s="680">
        <f t="shared" si="11"/>
        <v>1.0813356832605374E-4</v>
      </c>
      <c r="U52" s="681">
        <f t="shared" si="24"/>
        <v>0.99959477449267264</v>
      </c>
      <c r="V52" s="682">
        <f t="shared" si="25"/>
        <v>-3.9805161814468219E-3</v>
      </c>
      <c r="W52" s="683">
        <f t="shared" si="12"/>
        <v>39.136108934987639</v>
      </c>
      <c r="X52" s="684">
        <f t="shared" si="13"/>
        <v>-91.148279981257005</v>
      </c>
      <c r="Y52" s="687">
        <f t="shared" si="14"/>
        <v>88.851720018742995</v>
      </c>
      <c r="AA52" s="170">
        <f t="shared" si="15"/>
        <v>1000000000</v>
      </c>
      <c r="AB52" s="170">
        <f t="shared" si="16"/>
        <v>1318.2708640000001</v>
      </c>
      <c r="AD52" s="686">
        <f t="shared" si="17"/>
        <v>34.884956251122368</v>
      </c>
      <c r="AE52" s="687">
        <f t="shared" si="18"/>
        <v>-89.059275580373765</v>
      </c>
      <c r="AG52" s="686">
        <f t="shared" si="19"/>
        <v>61.988008102060746</v>
      </c>
      <c r="AH52" s="687">
        <f t="shared" si="20"/>
        <v>-1.6328708454011656</v>
      </c>
      <c r="AJ52" s="170">
        <f t="shared" si="21"/>
        <v>0</v>
      </c>
      <c r="AK52" s="170">
        <f t="shared" si="32"/>
        <v>0</v>
      </c>
      <c r="AM52" s="170" t="str">
        <f t="shared" si="26"/>
        <v>0.000016167906479958+0.00568643575177549i</v>
      </c>
      <c r="AN52" s="170" t="str">
        <f t="shared" si="27"/>
        <v>0.00568646639789416i</v>
      </c>
      <c r="AO52" s="170" t="str">
        <f t="shared" si="28"/>
        <v>0.999994610692032-0.00284322553738212i</v>
      </c>
      <c r="AP52" s="170" t="str">
        <f t="shared" si="29"/>
        <v>0.166663972015587-0.000947739291962582i</v>
      </c>
      <c r="AQ52" s="170" t="str">
        <f t="shared" si="30"/>
        <v>0.833336027984413+0.000947739291962582i</v>
      </c>
      <c r="AR52" s="170" t="str">
        <f t="shared" si="31"/>
        <v>0.99959547483211-0.00113682341306874i</v>
      </c>
    </row>
    <row r="53" spans="1:44">
      <c r="A53" s="170">
        <v>0.5</v>
      </c>
      <c r="C53" s="170" t="s">
        <v>804</v>
      </c>
      <c r="D53" s="170" t="str">
        <f>COMPLEX(0, 2*Pi*D49*Tsw)</f>
        <v>0.156617450641571i</v>
      </c>
      <c r="G53" s="688">
        <v>39.811</v>
      </c>
      <c r="H53" s="676">
        <f t="shared" si="23"/>
        <v>3.9810999999999999E-2</v>
      </c>
      <c r="I53" s="677">
        <f t="shared" si="0"/>
        <v>1.0006131910131313</v>
      </c>
      <c r="J53" s="678">
        <f t="shared" si="1"/>
        <v>3.5010793792298205E-2</v>
      </c>
      <c r="K53" s="678">
        <f t="shared" si="2"/>
        <v>1.000000001514193</v>
      </c>
      <c r="L53" s="679">
        <f t="shared" si="3"/>
        <v>5.503077573967451E-5</v>
      </c>
      <c r="M53" s="678">
        <f t="shared" si="4"/>
        <v>1.0000002144759026</v>
      </c>
      <c r="N53" s="679">
        <f t="shared" si="5"/>
        <v>-6.5494406536923636E-4</v>
      </c>
      <c r="O53" s="677">
        <f t="shared" si="6"/>
        <v>3556.9893760597433</v>
      </c>
      <c r="P53" s="680">
        <f t="shared" si="7"/>
        <v>1.5705151901629169</v>
      </c>
      <c r="Q53" s="689">
        <f t="shared" si="8"/>
        <v>1.0001581396511929</v>
      </c>
      <c r="R53" s="690">
        <f t="shared" si="9"/>
        <v>1.7783071381535041E-2</v>
      </c>
      <c r="S53" s="677">
        <f t="shared" si="10"/>
        <v>1.0000000070289847</v>
      </c>
      <c r="T53" s="680">
        <f t="shared" si="11"/>
        <v>1.1856630729411371E-4</v>
      </c>
      <c r="U53" s="681">
        <f t="shared" si="24"/>
        <v>0.99959371754583703</v>
      </c>
      <c r="V53" s="682">
        <f t="shared" si="25"/>
        <v>-4.3645545550838978E-3</v>
      </c>
      <c r="W53" s="683">
        <f t="shared" si="12"/>
        <v>38.335420641446674</v>
      </c>
      <c r="X53" s="684">
        <f t="shared" si="13"/>
        <v>-91.262204350593862</v>
      </c>
      <c r="Y53" s="687">
        <f t="shared" si="14"/>
        <v>88.737795649406138</v>
      </c>
      <c r="AA53" s="170">
        <f t="shared" si="15"/>
        <v>1000000000</v>
      </c>
      <c r="AB53" s="170">
        <f t="shared" si="16"/>
        <v>1584.9157210000001</v>
      </c>
      <c r="AD53" s="686">
        <f t="shared" si="17"/>
        <v>34.08517215504942</v>
      </c>
      <c r="AE53" s="687">
        <f t="shared" si="18"/>
        <v>-88.971790571244696</v>
      </c>
      <c r="AG53" s="686">
        <f t="shared" si="19"/>
        <v>61.987122273092965</v>
      </c>
      <c r="AH53" s="687">
        <f t="shared" si="20"/>
        <v>-1.7902726678558709</v>
      </c>
      <c r="AJ53" s="170">
        <f t="shared" si="21"/>
        <v>0</v>
      </c>
      <c r="AK53" s="170">
        <f t="shared" si="32"/>
        <v>0</v>
      </c>
      <c r="AM53" s="170" t="str">
        <f t="shared" si="26"/>
        <v>0.0000194381563679569+0.0062350569278403i</v>
      </c>
      <c r="AN53" s="170" t="str">
        <f t="shared" si="27"/>
        <v>0.00623509732749159i</v>
      </c>
      <c r="AO53" s="170" t="str">
        <f t="shared" si="28"/>
        <v>0.999993520606148-0.00311753856387306i</v>
      </c>
      <c r="AP53" s="170" t="str">
        <f t="shared" si="29"/>
        <v>0.166663426973939-0.00103917615464005i</v>
      </c>
      <c r="AQ53" s="170" t="str">
        <f t="shared" si="30"/>
        <v>0.833336573026061+0.00103917615464005i</v>
      </c>
      <c r="AR53" s="170" t="str">
        <f t="shared" si="31"/>
        <v>0.999594559544052-0.00124650095076724i</v>
      </c>
    </row>
    <row r="54" spans="1:44">
      <c r="A54" s="170">
        <v>0.6</v>
      </c>
      <c r="C54" s="170" t="s">
        <v>805</v>
      </c>
      <c r="D54" s="170" t="str">
        <f>IMDIV(D52, D53)</f>
        <v>0.995916840041066-0.0781487864130147i</v>
      </c>
      <c r="G54" s="688">
        <v>43.652000000000001</v>
      </c>
      <c r="H54" s="676">
        <f t="shared" si="23"/>
        <v>4.3652000000000003E-2</v>
      </c>
      <c r="I54" s="677">
        <f t="shared" si="0"/>
        <v>1.0007371756598842</v>
      </c>
      <c r="J54" s="678">
        <f t="shared" si="1"/>
        <v>3.8385494342163436E-2</v>
      </c>
      <c r="K54" s="678">
        <f t="shared" si="2"/>
        <v>1.0000000018204693</v>
      </c>
      <c r="L54" s="679">
        <f t="shared" si="3"/>
        <v>6.0340192964200345E-5</v>
      </c>
      <c r="M54" s="678">
        <f t="shared" si="4"/>
        <v>1.0000002578580029</v>
      </c>
      <c r="N54" s="679">
        <f t="shared" si="5"/>
        <v>-7.1813361921695682E-4</v>
      </c>
      <c r="O54" s="677">
        <f t="shared" si="6"/>
        <v>3900.1707872553484</v>
      </c>
      <c r="P54" s="680">
        <f t="shared" si="7"/>
        <v>1.5705399277638017</v>
      </c>
      <c r="Q54" s="689">
        <f t="shared" si="8"/>
        <v>1.0001901235661368</v>
      </c>
      <c r="R54" s="690">
        <f t="shared" si="9"/>
        <v>1.9498381909670907E-2</v>
      </c>
      <c r="S54" s="677">
        <f t="shared" si="10"/>
        <v>1.0000000084507394</v>
      </c>
      <c r="T54" s="680">
        <f t="shared" si="11"/>
        <v>1.3000568790276496E-4</v>
      </c>
      <c r="U54" s="681">
        <f t="shared" si="24"/>
        <v>0.99959244680556791</v>
      </c>
      <c r="V54" s="682">
        <f t="shared" si="25"/>
        <v>-4.785647574354371E-3</v>
      </c>
      <c r="W54" s="683">
        <f t="shared" si="12"/>
        <v>37.534590396304544</v>
      </c>
      <c r="X54" s="684">
        <f t="shared" si="13"/>
        <v>-91.386796324235334</v>
      </c>
      <c r="Y54" s="687">
        <f t="shared" si="14"/>
        <v>88.613203675764666</v>
      </c>
      <c r="AA54" s="170">
        <f t="shared" si="15"/>
        <v>1000000000</v>
      </c>
      <c r="AB54" s="170">
        <f t="shared" si="16"/>
        <v>1905.497104</v>
      </c>
      <c r="AD54" s="686">
        <f t="shared" si="17"/>
        <v>33.285428762771986</v>
      </c>
      <c r="AE54" s="687">
        <f t="shared" si="18"/>
        <v>-88.875583305673317</v>
      </c>
      <c r="AG54" s="686">
        <f t="shared" si="19"/>
        <v>61.986057504234111</v>
      </c>
      <c r="AH54" s="687">
        <f t="shared" si="20"/>
        <v>-1.9628182014403195</v>
      </c>
      <c r="AJ54" s="170">
        <f t="shared" si="21"/>
        <v>0</v>
      </c>
      <c r="AK54" s="170">
        <f t="shared" ref="AK54:AK85" si="33">IF(AJ54&gt;0,Y54,0)</f>
        <v>0</v>
      </c>
      <c r="AM54" s="170" t="str">
        <f t="shared" si="26"/>
        <v>0.0000233699028300283+0.00683661169792432i</v>
      </c>
      <c r="AN54" s="170" t="str">
        <f t="shared" si="27"/>
        <v>0.00683666495540586i</v>
      </c>
      <c r="AO54" s="170" t="str">
        <f t="shared" si="28"/>
        <v>0.999992210020253-0.0034183191632858i</v>
      </c>
      <c r="AP54" s="170" t="str">
        <f t="shared" si="29"/>
        <v>0.166662771682862-0.00113943528298739i</v>
      </c>
      <c r="AQ54" s="170" t="str">
        <f t="shared" si="30"/>
        <v>0.833337228317138+0.00113943528298739i</v>
      </c>
      <c r="AR54" s="170" t="str">
        <f t="shared" si="31"/>
        <v>0.99959345911801-0.00136676007894492i</v>
      </c>
    </row>
    <row r="55" spans="1:44">
      <c r="A55" s="170">
        <v>0.7</v>
      </c>
      <c r="C55" s="170" t="s">
        <v>806</v>
      </c>
      <c r="D55" s="170" t="str">
        <f>IMDIV(IMEXP(COMPLEX(0,-2*Pi*D49*Tsw)),6)</f>
        <v>0.16462675605021-0.0259963260897068i</v>
      </c>
      <c r="G55" s="688">
        <v>47.863</v>
      </c>
      <c r="H55" s="676">
        <f t="shared" si="23"/>
        <v>4.7863000000000003E-2</v>
      </c>
      <c r="I55" s="677">
        <f t="shared" si="0"/>
        <v>1.0008861968055578</v>
      </c>
      <c r="J55" s="678">
        <f t="shared" si="1"/>
        <v>4.2084268939985417E-2</v>
      </c>
      <c r="K55" s="678">
        <f t="shared" si="2"/>
        <v>1.000000002188643</v>
      </c>
      <c r="L55" s="679">
        <f t="shared" si="3"/>
        <v>6.6161061466522687E-5</v>
      </c>
      <c r="M55" s="678">
        <f t="shared" si="4"/>
        <v>1.0000003100074586</v>
      </c>
      <c r="N55" s="679">
        <f t="shared" si="5"/>
        <v>-7.8741015810485332E-4</v>
      </c>
      <c r="O55" s="677">
        <f t="shared" si="6"/>
        <v>4276.4105506781461</v>
      </c>
      <c r="P55" s="680">
        <f t="shared" si="7"/>
        <v>1.5705624858207285</v>
      </c>
      <c r="Q55" s="689">
        <f t="shared" si="8"/>
        <v>1.0002285699553621</v>
      </c>
      <c r="R55" s="690">
        <f t="shared" si="9"/>
        <v>2.1378794493535663E-2</v>
      </c>
      <c r="S55" s="677">
        <f t="shared" si="10"/>
        <v>1.0000000101598256</v>
      </c>
      <c r="T55" s="680">
        <f t="shared" si="11"/>
        <v>1.4254701349308675E-4</v>
      </c>
      <c r="U55" s="681">
        <f t="shared" si="24"/>
        <v>0.99959091925958166</v>
      </c>
      <c r="V55" s="682">
        <f t="shared" si="25"/>
        <v>-5.2473031393243438E-3</v>
      </c>
      <c r="W55" s="683">
        <f t="shared" si="12"/>
        <v>36.733702757921868</v>
      </c>
      <c r="X55" s="684">
        <f t="shared" si="13"/>
        <v>-91.523078497460219</v>
      </c>
      <c r="Y55" s="687">
        <f t="shared" si="14"/>
        <v>88.476921502539781</v>
      </c>
      <c r="AA55" s="170">
        <f t="shared" si="15"/>
        <v>1000000000</v>
      </c>
      <c r="AB55" s="170">
        <f t="shared" si="16"/>
        <v>2290.8667689999997</v>
      </c>
      <c r="AD55" s="686">
        <f t="shared" si="17"/>
        <v>32.485847273190885</v>
      </c>
      <c r="AE55" s="687">
        <f t="shared" si="18"/>
        <v>-88.769854647235505</v>
      </c>
      <c r="AG55" s="686">
        <f t="shared" si="19"/>
        <v>61.984777902463854</v>
      </c>
      <c r="AH55" s="687">
        <f t="shared" si="20"/>
        <v>-2.1519272021195657</v>
      </c>
      <c r="AJ55" s="170">
        <f t="shared" si="21"/>
        <v>0</v>
      </c>
      <c r="AK55" s="170">
        <f t="shared" si="33"/>
        <v>0</v>
      </c>
      <c r="AM55" s="170" t="str">
        <f t="shared" si="26"/>
        <v>0.0000280962335249546+0.00749611083510834i</v>
      </c>
      <c r="AN55" s="170" t="str">
        <f t="shared" si="27"/>
        <v>0.00749618104005752i</v>
      </c>
      <c r="AO55" s="170" t="str">
        <f t="shared" si="28"/>
        <v>0.999990634571283-0.00374807296873116i</v>
      </c>
      <c r="AP55" s="170" t="str">
        <f t="shared" si="29"/>
        <v>0.166661983961079-0.00124935180585139i</v>
      </c>
      <c r="AQ55" s="170" t="str">
        <f t="shared" si="30"/>
        <v>0.833338016038921+0.00124935180585139i</v>
      </c>
      <c r="AR55" s="170" t="str">
        <f t="shared" si="31"/>
        <v>0.999592136307442-0.00149860226771681i</v>
      </c>
    </row>
    <row r="56" spans="1:44">
      <c r="A56" s="170">
        <v>0.8</v>
      </c>
      <c r="C56" s="170" t="s">
        <v>807</v>
      </c>
      <c r="D56" s="170" t="str">
        <f>IMSUB(1, D55)</f>
        <v>0.83537324394979+0.0259963260897068i</v>
      </c>
      <c r="G56" s="688">
        <v>52.481000000000002</v>
      </c>
      <c r="H56" s="676">
        <f t="shared" si="23"/>
        <v>5.2481E-2</v>
      </c>
      <c r="I56" s="677">
        <f t="shared" si="0"/>
        <v>1.0010653582313633</v>
      </c>
      <c r="J56" s="678">
        <f t="shared" si="1"/>
        <v>4.6139208206305994E-2</v>
      </c>
      <c r="K56" s="678">
        <f t="shared" si="2"/>
        <v>1.000000002631354</v>
      </c>
      <c r="L56" s="679">
        <f t="shared" si="3"/>
        <v>7.2544526373185777E-5</v>
      </c>
      <c r="M56" s="678">
        <f t="shared" si="4"/>
        <v>1.0000003727146816</v>
      </c>
      <c r="N56" s="679">
        <f t="shared" si="5"/>
        <v>-8.6338237845425621E-4</v>
      </c>
      <c r="O56" s="677">
        <f t="shared" si="6"/>
        <v>4689.0145013428628</v>
      </c>
      <c r="P56" s="680">
        <f t="shared" si="7"/>
        <v>1.5705830623643231</v>
      </c>
      <c r="Q56" s="689">
        <f t="shared" si="8"/>
        <v>1.0002747979429678</v>
      </c>
      <c r="R56" s="690">
        <f t="shared" si="9"/>
        <v>2.3440777694552644E-2</v>
      </c>
      <c r="S56" s="677">
        <f t="shared" si="10"/>
        <v>1.00000001221492</v>
      </c>
      <c r="T56" s="680">
        <f t="shared" si="11"/>
        <v>1.5630047855088968E-4</v>
      </c>
      <c r="U56" s="681">
        <f t="shared" si="24"/>
        <v>0.99958908246736766</v>
      </c>
      <c r="V56" s="682">
        <f t="shared" si="25"/>
        <v>-5.753577202659654E-3</v>
      </c>
      <c r="W56" s="683">
        <f t="shared" si="12"/>
        <v>35.932490428852979</v>
      </c>
      <c r="X56" s="684">
        <f t="shared" si="13"/>
        <v>-91.672227942628467</v>
      </c>
      <c r="Y56" s="687">
        <f t="shared" si="14"/>
        <v>88.327772057371533</v>
      </c>
      <c r="AA56" s="170">
        <f t="shared" si="15"/>
        <v>1000000000</v>
      </c>
      <c r="AB56" s="170">
        <f t="shared" si="16"/>
        <v>2754.255361</v>
      </c>
      <c r="AD56" s="686">
        <f t="shared" si="17"/>
        <v>31.686205015701596</v>
      </c>
      <c r="AE56" s="687">
        <f t="shared" si="18"/>
        <v>-88.653678676864047</v>
      </c>
      <c r="AG56" s="686">
        <f t="shared" si="19"/>
        <v>61.983239752320927</v>
      </c>
      <c r="AH56" s="687">
        <f t="shared" si="20"/>
        <v>-2.3592378833808807</v>
      </c>
      <c r="AJ56" s="170">
        <f t="shared" si="21"/>
        <v>0</v>
      </c>
      <c r="AK56" s="170">
        <f t="shared" si="33"/>
        <v>0</v>
      </c>
      <c r="AM56" s="170" t="str">
        <f t="shared" si="26"/>
        <v>0.0000337794102910349+0.00821934787762836i</v>
      </c>
      <c r="AN56" s="170" t="str">
        <f t="shared" si="27"/>
        <v>0.0082194404271203i</v>
      </c>
      <c r="AO56" s="170" t="str">
        <f t="shared" si="28"/>
        <v>0.999988740171212-0.00410969707616332i</v>
      </c>
      <c r="AP56" s="170" t="str">
        <f t="shared" si="29"/>
        <v>0.166661036764952-0.00136989131293806i</v>
      </c>
      <c r="AQ56" s="170" t="str">
        <f t="shared" si="30"/>
        <v>0.833338963235048+0.00136989131293806i</v>
      </c>
      <c r="AR56" s="170" t="str">
        <f t="shared" si="31"/>
        <v>0.999590545701706-0.00164318538489548i</v>
      </c>
    </row>
    <row r="57" spans="1:44">
      <c r="A57" s="170">
        <v>0.9</v>
      </c>
      <c r="C57" s="170" t="s">
        <v>808</v>
      </c>
      <c r="D57" s="170" t="str">
        <f>IMDIV(0.833,D56)</f>
        <v>0.996194329105225-0.0310009840699335i</v>
      </c>
      <c r="G57" s="688">
        <v>57.544000000000004</v>
      </c>
      <c r="H57" s="676">
        <f t="shared" si="23"/>
        <v>5.7544000000000005E-2</v>
      </c>
      <c r="I57" s="677">
        <f t="shared" si="0"/>
        <v>1.0012806923787467</v>
      </c>
      <c r="J57" s="678">
        <f t="shared" si="1"/>
        <v>5.0583140669699017E-2</v>
      </c>
      <c r="K57" s="678">
        <f t="shared" si="2"/>
        <v>1.0000000031635536</v>
      </c>
      <c r="L57" s="679">
        <f t="shared" si="3"/>
        <v>7.9543115110944723E-5</v>
      </c>
      <c r="M57" s="678">
        <f t="shared" si="4"/>
        <v>1.0000004480973494</v>
      </c>
      <c r="N57" s="679">
        <f t="shared" si="5"/>
        <v>-9.4667542708740603E-4</v>
      </c>
      <c r="O57" s="677">
        <f t="shared" si="6"/>
        <v>5141.3778211737017</v>
      </c>
      <c r="P57" s="680">
        <f t="shared" si="7"/>
        <v>1.570601826401989</v>
      </c>
      <c r="Q57" s="689">
        <f t="shared" si="8"/>
        <v>1.0003303674899116</v>
      </c>
      <c r="R57" s="690">
        <f t="shared" si="9"/>
        <v>2.5701228115124059E-2</v>
      </c>
      <c r="S57" s="677">
        <f t="shared" si="10"/>
        <v>1.0000000146854249</v>
      </c>
      <c r="T57" s="680">
        <f t="shared" si="11"/>
        <v>1.7137925578626536E-4</v>
      </c>
      <c r="U57" s="681">
        <f t="shared" si="24"/>
        <v>0.9995868744041646</v>
      </c>
      <c r="V57" s="682">
        <f t="shared" si="25"/>
        <v>-6.3086352135595233E-3</v>
      </c>
      <c r="W57" s="683">
        <f t="shared" si="12"/>
        <v>35.131127349322171</v>
      </c>
      <c r="X57" s="684">
        <f t="shared" si="13"/>
        <v>-91.835445130933664</v>
      </c>
      <c r="Y57" s="687">
        <f t="shared" si="14"/>
        <v>88.164554869066336</v>
      </c>
      <c r="AA57" s="170">
        <f t="shared" si="15"/>
        <v>1000000000</v>
      </c>
      <c r="AB57" s="170">
        <f t="shared" si="16"/>
        <v>3311.3119360000005</v>
      </c>
      <c r="AD57" s="686">
        <f t="shared" si="17"/>
        <v>30.886728640909134</v>
      </c>
      <c r="AE57" s="687">
        <f t="shared" si="18"/>
        <v>-88.526103458281639</v>
      </c>
      <c r="AG57" s="686">
        <f t="shared" si="19"/>
        <v>61.981391421380003</v>
      </c>
      <c r="AH57" s="687">
        <f t="shared" si="20"/>
        <v>-2.5864253273768227</v>
      </c>
      <c r="AJ57" s="170">
        <f t="shared" si="21"/>
        <v>0</v>
      </c>
      <c r="AK57" s="170">
        <f t="shared" si="33"/>
        <v>0</v>
      </c>
      <c r="AM57" s="170" t="str">
        <f t="shared" si="26"/>
        <v>0.0000406113531470353+0.00901227257754193i</v>
      </c>
      <c r="AN57" s="170" t="str">
        <f t="shared" si="27"/>
        <v>0.00901239457971857i</v>
      </c>
      <c r="AO57" s="170" t="str">
        <f t="shared" si="28"/>
        <v>0.999986462845633-0.00450616678928226i</v>
      </c>
      <c r="AP57" s="170" t="str">
        <f t="shared" si="29"/>
        <v>0.166659898107809-0.00150204542959032i</v>
      </c>
      <c r="AQ57" s="170" t="str">
        <f t="shared" si="30"/>
        <v>0.833340101892191+0.00150204542959032i</v>
      </c>
      <c r="AR57" s="170" t="str">
        <f t="shared" si="31"/>
        <v>0.999588633591161-0.00180169841238515i</v>
      </c>
    </row>
    <row r="58" spans="1:44">
      <c r="A58" s="170">
        <v>1</v>
      </c>
      <c r="C58" s="170" t="s">
        <v>809</v>
      </c>
      <c r="D58" s="170">
        <f>IMABS(IMPRODUCT(D54, D57))</f>
        <v>0.99565824483200005</v>
      </c>
      <c r="G58" s="688">
        <v>63.095999999999997</v>
      </c>
      <c r="H58" s="676">
        <f t="shared" si="23"/>
        <v>6.3095999999999999E-2</v>
      </c>
      <c r="I58" s="677">
        <f t="shared" si="0"/>
        <v>1.0015395443943427</v>
      </c>
      <c r="J58" s="678">
        <f t="shared" si="1"/>
        <v>5.5453977704260075E-2</v>
      </c>
      <c r="K58" s="678">
        <f t="shared" si="2"/>
        <v>1.0000000038034591</v>
      </c>
      <c r="L58" s="679">
        <f t="shared" si="3"/>
        <v>8.7217648910383478E-5</v>
      </c>
      <c r="M58" s="678">
        <f t="shared" si="4"/>
        <v>1.0000005387358994</v>
      </c>
      <c r="N58" s="679">
        <f t="shared" si="5"/>
        <v>-1.0380131575523904E-3</v>
      </c>
      <c r="O58" s="677">
        <f t="shared" si="6"/>
        <v>5637.4317734676069</v>
      </c>
      <c r="P58" s="680">
        <f t="shared" si="7"/>
        <v>1.570618941055179</v>
      </c>
      <c r="Q58" s="689">
        <f t="shared" si="8"/>
        <v>1.0003971790743977</v>
      </c>
      <c r="R58" s="690">
        <f t="shared" si="9"/>
        <v>2.817969693200055E-2</v>
      </c>
      <c r="S58" s="677">
        <f t="shared" si="10"/>
        <v>1.0000000176559087</v>
      </c>
      <c r="T58" s="680">
        <f t="shared" si="11"/>
        <v>1.8791438728062501E-4</v>
      </c>
      <c r="U58" s="681">
        <f t="shared" si="24"/>
        <v>0.99958421949307874</v>
      </c>
      <c r="V58" s="682">
        <f t="shared" si="25"/>
        <v>-6.9173002271886849E-3</v>
      </c>
      <c r="W58" s="683">
        <f t="shared" si="12"/>
        <v>34.329404376624822</v>
      </c>
      <c r="X58" s="684">
        <f t="shared" si="13"/>
        <v>-92.014113208184042</v>
      </c>
      <c r="Y58" s="687">
        <f t="shared" si="14"/>
        <v>87.985886791815958</v>
      </c>
      <c r="AA58" s="170">
        <f t="shared" si="15"/>
        <v>1000000000</v>
      </c>
      <c r="AB58" s="170">
        <f t="shared" si="16"/>
        <v>3981.1052159999995</v>
      </c>
      <c r="AD58" s="686">
        <f t="shared" si="17"/>
        <v>30.087273139266784</v>
      </c>
      <c r="AE58" s="687">
        <f t="shared" si="18"/>
        <v>-88.386025645903715</v>
      </c>
      <c r="AG58" s="686">
        <f t="shared" si="19"/>
        <v>61.979170089977103</v>
      </c>
      <c r="AH58" s="687">
        <f t="shared" si="20"/>
        <v>-2.835423344088996</v>
      </c>
      <c r="AJ58" s="170">
        <f t="shared" si="21"/>
        <v>0</v>
      </c>
      <c r="AK58" s="170">
        <f t="shared" si="33"/>
        <v>0</v>
      </c>
      <c r="AM58" s="170" t="str">
        <f t="shared" si="26"/>
        <v>0.0000488259190349893+0.00988177383364308i</v>
      </c>
      <c r="AN58" s="170" t="str">
        <f t="shared" si="27"/>
        <v>0.00988193466568057i</v>
      </c>
      <c r="AO58" s="170" t="str">
        <f t="shared" si="28"/>
        <v>0.999983724640677-0.00494092712478247i</v>
      </c>
      <c r="AP58" s="170" t="str">
        <f t="shared" si="29"/>
        <v>0.166658529013494-0.00164696230560718i</v>
      </c>
      <c r="AQ58" s="170" t="str">
        <f t="shared" si="30"/>
        <v>0.833341470986506+0.00164696230560718i</v>
      </c>
      <c r="AR58" s="170" t="str">
        <f t="shared" si="31"/>
        <v>0.999586334531443-0.00197551792571234i</v>
      </c>
    </row>
    <row r="59" spans="1:44">
      <c r="A59" s="170">
        <v>1.2</v>
      </c>
      <c r="G59" s="688">
        <v>69.183000000000007</v>
      </c>
      <c r="H59" s="676">
        <f t="shared" si="23"/>
        <v>6.9183000000000008E-2</v>
      </c>
      <c r="I59" s="677">
        <f t="shared" si="0"/>
        <v>1.0018506310636734</v>
      </c>
      <c r="J59" s="678">
        <f t="shared" si="1"/>
        <v>6.0791143007470481E-2</v>
      </c>
      <c r="K59" s="678">
        <f t="shared" si="2"/>
        <v>1.0000000045727122</v>
      </c>
      <c r="L59" s="679">
        <f t="shared" si="3"/>
        <v>9.5631713602647113E-5</v>
      </c>
      <c r="M59" s="678">
        <f t="shared" si="4"/>
        <v>1.0000006476957064</v>
      </c>
      <c r="N59" s="679">
        <f t="shared" si="5"/>
        <v>-1.138152324433756E-3</v>
      </c>
      <c r="O59" s="677">
        <f t="shared" si="6"/>
        <v>6181.2863153220924</v>
      </c>
      <c r="P59" s="680">
        <f t="shared" si="7"/>
        <v>1.5706345481693242</v>
      </c>
      <c r="Q59" s="689">
        <f t="shared" si="8"/>
        <v>1.0004774897456712</v>
      </c>
      <c r="R59" s="690">
        <f t="shared" si="9"/>
        <v>3.0896596123430573E-2</v>
      </c>
      <c r="S59" s="677">
        <f t="shared" si="10"/>
        <v>1.0000000212268327</v>
      </c>
      <c r="T59" s="680">
        <f t="shared" si="11"/>
        <v>2.0604287156533423E-4</v>
      </c>
      <c r="U59" s="681">
        <f t="shared" si="24"/>
        <v>0.99958102795674786</v>
      </c>
      <c r="V59" s="682">
        <f t="shared" si="25"/>
        <v>-7.5846143258442326E-3</v>
      </c>
      <c r="W59" s="683">
        <f t="shared" si="12"/>
        <v>33.527426107647273</v>
      </c>
      <c r="X59" s="684">
        <f t="shared" si="13"/>
        <v>-92.209666047916443</v>
      </c>
      <c r="Y59" s="687">
        <f t="shared" si="14"/>
        <v>87.790333952083557</v>
      </c>
      <c r="AA59" s="170">
        <f t="shared" si="15"/>
        <v>1000000000</v>
      </c>
      <c r="AB59" s="170">
        <f t="shared" si="16"/>
        <v>4786.2874890000012</v>
      </c>
      <c r="AD59" s="686">
        <f t="shared" si="17"/>
        <v>29.288019142116475</v>
      </c>
      <c r="AE59" s="687">
        <f t="shared" si="18"/>
        <v>-88.232291696105975</v>
      </c>
      <c r="AG59" s="686">
        <f t="shared" si="19"/>
        <v>61.976501283964673</v>
      </c>
      <c r="AH59" s="687">
        <f t="shared" si="20"/>
        <v>-3.1082415706066548</v>
      </c>
      <c r="AJ59" s="170">
        <f t="shared" si="21"/>
        <v>0</v>
      </c>
      <c r="AK59" s="170">
        <f t="shared" si="33"/>
        <v>0</v>
      </c>
      <c r="AM59" s="170" t="str">
        <f t="shared" si="26"/>
        <v>0.0000587009104520142+0.0108350530735975i</v>
      </c>
      <c r="AN59" s="170" t="str">
        <f t="shared" si="27"/>
        <v>0.0108352650877358i</v>
      </c>
      <c r="AO59" s="170" t="str">
        <f t="shared" si="28"/>
        <v>0.99998043295327-0.00541757954020493i</v>
      </c>
      <c r="AP59" s="170" t="str">
        <f t="shared" si="29"/>
        <v>0.166656883181591-0.00180584217893292i</v>
      </c>
      <c r="AQ59" s="170" t="str">
        <f t="shared" si="30"/>
        <v>0.833343116818409+0.00180584217893292i</v>
      </c>
      <c r="AR59" s="170" t="str">
        <f t="shared" si="31"/>
        <v>0.999583570782492-0.00216608277797865i</v>
      </c>
    </row>
    <row r="60" spans="1:44">
      <c r="A60" s="170">
        <v>1.5</v>
      </c>
      <c r="C60" s="170" t="s">
        <v>743</v>
      </c>
      <c r="D60" s="170">
        <f>10^(-D51/20)/O3*'Design Converter'!E40/10*Acs</f>
        <v>1476.429682959689</v>
      </c>
      <c r="G60" s="688">
        <v>75.858000000000004</v>
      </c>
      <c r="H60" s="676">
        <f t="shared" si="23"/>
        <v>7.5858000000000009E-2</v>
      </c>
      <c r="I60" s="677">
        <f t="shared" si="0"/>
        <v>1.0022245528597544</v>
      </c>
      <c r="J60" s="678">
        <f t="shared" si="1"/>
        <v>6.6639880102485463E-2</v>
      </c>
      <c r="K60" s="678">
        <f t="shared" si="2"/>
        <v>1.0000000054976599</v>
      </c>
      <c r="L60" s="679">
        <f t="shared" si="3"/>
        <v>1.0485857112291015E-4</v>
      </c>
      <c r="M60" s="678">
        <f t="shared" si="4"/>
        <v>1.0000007787086256</v>
      </c>
      <c r="N60" s="679">
        <f t="shared" si="5"/>
        <v>-1.2479648394255057E-3</v>
      </c>
      <c r="O60" s="677">
        <f t="shared" si="6"/>
        <v>6777.6768321024201</v>
      </c>
      <c r="P60" s="680">
        <f t="shared" si="7"/>
        <v>1.5706487836133021</v>
      </c>
      <c r="Q60" s="689">
        <f t="shared" si="8"/>
        <v>1.0005740465133055</v>
      </c>
      <c r="R60" s="690">
        <f t="shared" si="9"/>
        <v>3.3875419995121218E-2</v>
      </c>
      <c r="S60" s="677">
        <f t="shared" si="10"/>
        <v>1.000000025520501</v>
      </c>
      <c r="T60" s="680">
        <f t="shared" si="11"/>
        <v>2.2592255476725648E-4</v>
      </c>
      <c r="U60" s="681">
        <f t="shared" si="24"/>
        <v>0.99957719050167193</v>
      </c>
      <c r="V60" s="682">
        <f t="shared" si="25"/>
        <v>-8.316386691895248E-3</v>
      </c>
      <c r="W60" s="683">
        <f t="shared" si="12"/>
        <v>32.724950935002624</v>
      </c>
      <c r="X60" s="684">
        <f t="shared" si="13"/>
        <v>-92.423745218022972</v>
      </c>
      <c r="Y60" s="687">
        <f t="shared" si="14"/>
        <v>87.576254781977028</v>
      </c>
      <c r="AA60" s="170">
        <f t="shared" si="15"/>
        <v>1000000000</v>
      </c>
      <c r="AB60" s="170">
        <f t="shared" si="16"/>
        <v>5754.4361640000006</v>
      </c>
      <c r="AD60" s="686">
        <f t="shared" si="17"/>
        <v>28.488817408389927</v>
      </c>
      <c r="AE60" s="687">
        <f t="shared" si="18"/>
        <v>-88.063572312957447</v>
      </c>
      <c r="AG60" s="686">
        <f t="shared" si="19"/>
        <v>61.973294536538965</v>
      </c>
      <c r="AH60" s="687">
        <f t="shared" si="20"/>
        <v>-3.4071851874878512</v>
      </c>
      <c r="AJ60" s="170">
        <f t="shared" si="21"/>
        <v>0</v>
      </c>
      <c r="AK60" s="170">
        <f t="shared" si="33"/>
        <v>0</v>
      </c>
      <c r="AM60" s="170" t="str">
        <f t="shared" si="26"/>
        <v>0.0000705745265530133+0.0118804070781767i</v>
      </c>
      <c r="AN60" s="170" t="str">
        <f t="shared" si="27"/>
        <v>0.0118806865707683i</v>
      </c>
      <c r="AO60" s="170" t="str">
        <f t="shared" si="28"/>
        <v>0.999976475047133-0.00594027341203139i</v>
      </c>
      <c r="AP60" s="170" t="str">
        <f t="shared" si="29"/>
        <v>0.166654904245574-0.00198006784636278i</v>
      </c>
      <c r="AQ60" s="170" t="str">
        <f t="shared" si="30"/>
        <v>0.833345095754426+0.00198006784636278i</v>
      </c>
      <c r="AR60" s="170" t="str">
        <f t="shared" si="31"/>
        <v>0.999580247706036-0.00237505052639719i</v>
      </c>
    </row>
    <row r="61" spans="1:44">
      <c r="A61" s="170">
        <v>1.8</v>
      </c>
      <c r="C61" s="170" t="s">
        <v>744</v>
      </c>
      <c r="D61" s="170">
        <f>1/(6.28*D60*pole1*2)</f>
        <v>4.7443198533877839E-8</v>
      </c>
      <c r="G61" s="688">
        <v>83.176000000000002</v>
      </c>
      <c r="H61" s="676">
        <f t="shared" si="23"/>
        <v>8.3176E-2</v>
      </c>
      <c r="I61" s="677">
        <f t="shared" si="0"/>
        <v>1.0026738594116431</v>
      </c>
      <c r="J61" s="678">
        <f t="shared" si="1"/>
        <v>7.304676635505912E-2</v>
      </c>
      <c r="K61" s="678">
        <f t="shared" si="2"/>
        <v>1.0000000066095389</v>
      </c>
      <c r="L61" s="679">
        <f t="shared" si="3"/>
        <v>1.1497424800619814E-4</v>
      </c>
      <c r="M61" s="678">
        <f t="shared" si="4"/>
        <v>1.0000009361991369</v>
      </c>
      <c r="N61" s="679">
        <f t="shared" si="5"/>
        <v>-1.3683555140610608E-3</v>
      </c>
      <c r="O61" s="677">
        <f t="shared" si="6"/>
        <v>7431.5174029730279</v>
      </c>
      <c r="P61" s="680">
        <f t="shared" si="7"/>
        <v>1.5706617647736036</v>
      </c>
      <c r="Q61" s="689">
        <f t="shared" si="8"/>
        <v>1.0006901050014272</v>
      </c>
      <c r="R61" s="690">
        <f t="shared" si="9"/>
        <v>3.71404998415222E-2</v>
      </c>
      <c r="S61" s="677">
        <f t="shared" si="10"/>
        <v>1.0000000306819161</v>
      </c>
      <c r="T61" s="680">
        <f t="shared" si="11"/>
        <v>2.477172394561075E-4</v>
      </c>
      <c r="U61" s="681">
        <f t="shared" si="24"/>
        <v>0.99957257755511286</v>
      </c>
      <c r="V61" s="682">
        <f t="shared" si="25"/>
        <v>-9.1186453613843078E-3</v>
      </c>
      <c r="W61" s="683">
        <f t="shared" si="12"/>
        <v>31.922093688488857</v>
      </c>
      <c r="X61" s="684">
        <f t="shared" si="13"/>
        <v>-92.658034302355034</v>
      </c>
      <c r="Y61" s="687">
        <f t="shared" si="14"/>
        <v>87.341965697644966</v>
      </c>
      <c r="AA61" s="170">
        <f t="shared" si="15"/>
        <v>1000000000</v>
      </c>
      <c r="AB61" s="170">
        <f t="shared" si="16"/>
        <v>6918.2469760000004</v>
      </c>
      <c r="AD61" s="686">
        <f t="shared" si="17"/>
        <v>27.689891961063179</v>
      </c>
      <c r="AE61" s="687">
        <f t="shared" si="18"/>
        <v>-87.878489526920916</v>
      </c>
      <c r="AG61" s="686">
        <f t="shared" si="19"/>
        <v>61.96944290652258</v>
      </c>
      <c r="AH61" s="687">
        <f t="shared" si="20"/>
        <v>-3.7346249860723795</v>
      </c>
      <c r="AJ61" s="170">
        <f t="shared" si="21"/>
        <v>0</v>
      </c>
      <c r="AK61" s="170">
        <f t="shared" si="33"/>
        <v>0</v>
      </c>
      <c r="AM61" s="170" t="str">
        <f t="shared" si="26"/>
        <v>0.0000848477295559702+0.0130264446406416i</v>
      </c>
      <c r="AN61" s="170" t="str">
        <f t="shared" si="27"/>
        <v>0.0130268130745633i</v>
      </c>
      <c r="AO61" s="170" t="str">
        <f t="shared" si="28"/>
        <v>0.999971717263494-0.00651331442850342i</v>
      </c>
      <c r="AP61" s="170" t="str">
        <f t="shared" si="29"/>
        <v>0.166652525378407-0.0021710741067736i</v>
      </c>
      <c r="AQ61" s="170" t="str">
        <f t="shared" si="30"/>
        <v>0.833347474621593+0.0021710741067736i</v>
      </c>
      <c r="AR61" s="170" t="str">
        <f t="shared" si="31"/>
        <v>0.999576253105807-0.00260414075395047i</v>
      </c>
    </row>
    <row r="62" spans="1:44">
      <c r="A62" s="170">
        <v>2</v>
      </c>
      <c r="C62" s="170" t="s">
        <v>812</v>
      </c>
      <c r="D62" s="170">
        <f>D61/150</f>
        <v>3.1628799022585225E-10</v>
      </c>
      <c r="G62" s="688">
        <v>91.201000000000008</v>
      </c>
      <c r="H62" s="676">
        <f t="shared" si="23"/>
        <v>9.1201000000000004E-2</v>
      </c>
      <c r="I62" s="677">
        <f t="shared" si="0"/>
        <v>1.0032138427543866</v>
      </c>
      <c r="J62" s="678">
        <f t="shared" si="1"/>
        <v>8.00657101746855E-2</v>
      </c>
      <c r="K62" s="678">
        <f t="shared" si="2"/>
        <v>1.000000007946471</v>
      </c>
      <c r="L62" s="679">
        <f t="shared" si="3"/>
        <v>1.2606721149210638E-4</v>
      </c>
      <c r="M62" s="678">
        <f t="shared" si="4"/>
        <v>1.0000011255669539</v>
      </c>
      <c r="N62" s="679">
        <f t="shared" si="5"/>
        <v>-1.5003772179844567E-3</v>
      </c>
      <c r="O62" s="677">
        <f t="shared" si="6"/>
        <v>8148.526229154957</v>
      </c>
      <c r="P62" s="680">
        <f t="shared" si="7"/>
        <v>1.5706736052162469</v>
      </c>
      <c r="Q62" s="689">
        <f t="shared" si="8"/>
        <v>1.0008296368352012</v>
      </c>
      <c r="R62" s="690">
        <f t="shared" si="9"/>
        <v>4.0720109526214056E-2</v>
      </c>
      <c r="S62" s="677">
        <f t="shared" si="10"/>
        <v>1.0000000368880431</v>
      </c>
      <c r="T62" s="680">
        <f t="shared" si="11"/>
        <v>2.7161753224684608E-4</v>
      </c>
      <c r="U62" s="681">
        <f t="shared" si="24"/>
        <v>0.99956703099136734</v>
      </c>
      <c r="V62" s="682">
        <f t="shared" si="25"/>
        <v>-9.9984044924504092E-3</v>
      </c>
      <c r="W62" s="683">
        <f t="shared" si="12"/>
        <v>31.118550288765494</v>
      </c>
      <c r="X62" s="684">
        <f t="shared" si="13"/>
        <v>-92.914476617859222</v>
      </c>
      <c r="Y62" s="687">
        <f t="shared" si="14"/>
        <v>87.085523382140778</v>
      </c>
      <c r="AA62" s="170">
        <f t="shared" si="15"/>
        <v>1000000000</v>
      </c>
      <c r="AB62" s="170">
        <f t="shared" si="16"/>
        <v>8317.6224010000005</v>
      </c>
      <c r="AD62" s="686">
        <f t="shared" si="17"/>
        <v>26.89107157148247</v>
      </c>
      <c r="AE62" s="687">
        <f t="shared" si="18"/>
        <v>-87.675440792748958</v>
      </c>
      <c r="AG62" s="686">
        <f t="shared" si="19"/>
        <v>61.964816291529836</v>
      </c>
      <c r="AH62" s="687">
        <f t="shared" si="20"/>
        <v>-4.0933030652369711</v>
      </c>
      <c r="AJ62" s="170">
        <f t="shared" si="21"/>
        <v>0</v>
      </c>
      <c r="AK62" s="170">
        <f t="shared" si="33"/>
        <v>0</v>
      </c>
      <c r="AM62" s="170" t="str">
        <f t="shared" si="26"/>
        <v>0.000102009853040985+0.0142831824210303i</v>
      </c>
      <c r="AN62" s="170" t="str">
        <f t="shared" si="27"/>
        <v>0.0142836681159619i</v>
      </c>
      <c r="AO62" s="170" t="str">
        <f t="shared" si="28"/>
        <v>0.9999659964844-0.00714171263381496i</v>
      </c>
      <c r="AP62" s="170" t="str">
        <f t="shared" si="29"/>
        <v>0.166649665024493-0.00238053040350505i</v>
      </c>
      <c r="AQ62" s="170" t="str">
        <f t="shared" si="30"/>
        <v>0.833350334975507+0.00238053040350505i</v>
      </c>
      <c r="AR62" s="170" t="str">
        <f t="shared" si="31"/>
        <v>0.999571450064192-0.00285535401797537i</v>
      </c>
    </row>
    <row r="63" spans="1:44">
      <c r="A63" s="170">
        <v>2.5</v>
      </c>
      <c r="G63" s="688">
        <v>100</v>
      </c>
      <c r="H63" s="676">
        <f t="shared" si="23"/>
        <v>0.1</v>
      </c>
      <c r="I63" s="677">
        <f t="shared" si="0"/>
        <v>1.0038626449183348</v>
      </c>
      <c r="J63" s="678">
        <f t="shared" si="1"/>
        <v>8.7752520283700591E-2</v>
      </c>
      <c r="K63" s="678">
        <f t="shared" si="2"/>
        <v>1.0000000095537769</v>
      </c>
      <c r="L63" s="679">
        <f t="shared" si="3"/>
        <v>1.382300757195871E-4</v>
      </c>
      <c r="M63" s="678">
        <f t="shared" si="4"/>
        <v>1.0000013532314542</v>
      </c>
      <c r="N63" s="679">
        <f t="shared" si="5"/>
        <v>-1.6451321698916983E-3</v>
      </c>
      <c r="O63" s="677">
        <f t="shared" si="6"/>
        <v>8934.6895525616546</v>
      </c>
      <c r="P63" s="680">
        <f t="shared" si="7"/>
        <v>1.5706844034878578</v>
      </c>
      <c r="Q63" s="689">
        <f t="shared" si="8"/>
        <v>1.0009973610904359</v>
      </c>
      <c r="R63" s="690">
        <f t="shared" si="9"/>
        <v>4.4643764500009959E-2</v>
      </c>
      <c r="S63" s="677">
        <f t="shared" si="10"/>
        <v>1.0000000443492638</v>
      </c>
      <c r="T63" s="680">
        <f t="shared" si="11"/>
        <v>2.9782297441451365E-4</v>
      </c>
      <c r="U63" s="681">
        <f t="shared" si="24"/>
        <v>0.99956036283607796</v>
      </c>
      <c r="V63" s="682">
        <f t="shared" si="25"/>
        <v>-1.0963006421461653E-2</v>
      </c>
      <c r="W63" s="683">
        <f t="shared" si="12"/>
        <v>30.314326238096726</v>
      </c>
      <c r="X63" s="684">
        <f t="shared" si="13"/>
        <v>-93.195074268170117</v>
      </c>
      <c r="Y63" s="687">
        <f t="shared" si="14"/>
        <v>86.804925731829883</v>
      </c>
      <c r="AA63" s="170">
        <f t="shared" si="15"/>
        <v>1000000000</v>
      </c>
      <c r="AB63" s="170">
        <f t="shared" si="16"/>
        <v>10000</v>
      </c>
      <c r="AD63" s="686">
        <f t="shared" si="17"/>
        <v>26.092519028515152</v>
      </c>
      <c r="AE63" s="687">
        <f t="shared" si="18"/>
        <v>-87.452752078856307</v>
      </c>
      <c r="AG63" s="686">
        <f t="shared" si="19"/>
        <v>61.95926067211267</v>
      </c>
      <c r="AH63" s="687">
        <f t="shared" si="20"/>
        <v>-4.4860541904291713</v>
      </c>
      <c r="AJ63" s="170">
        <f t="shared" si="21"/>
        <v>0</v>
      </c>
      <c r="AK63" s="170">
        <f t="shared" si="33"/>
        <v>0</v>
      </c>
      <c r="AM63" s="170" t="str">
        <f t="shared" si="26"/>
        <v>0.000122642622277014+0.015661104793094i</v>
      </c>
      <c r="AN63" s="170" t="str">
        <f t="shared" si="27"/>
        <v>0.0156617450641571i</v>
      </c>
      <c r="AO63" s="170" t="str">
        <f t="shared" si="28"/>
        <v>0.999959118791649-0.00783071246368896i</v>
      </c>
      <c r="AP63" s="170" t="str">
        <f t="shared" si="29"/>
        <v>0.16664622622962-0.00261018413218233i</v>
      </c>
      <c r="AQ63" s="170" t="str">
        <f t="shared" si="30"/>
        <v>0.83335377377038+0.00261018413218233i</v>
      </c>
      <c r="AR63" s="170" t="str">
        <f t="shared" si="31"/>
        <v>0.999565675822347-0.00313078376582055i</v>
      </c>
    </row>
    <row r="64" spans="1:44">
      <c r="A64" s="170">
        <v>3</v>
      </c>
      <c r="C64" s="170" t="s">
        <v>743</v>
      </c>
      <c r="D64" s="172">
        <f>D60/1000</f>
        <v>1.476429682959689</v>
      </c>
      <c r="G64" s="688">
        <v>109.65</v>
      </c>
      <c r="H64" s="676">
        <f t="shared" si="23"/>
        <v>0.10965000000000001</v>
      </c>
      <c r="I64" s="677">
        <f t="shared" si="0"/>
        <v>1.0046422990971344</v>
      </c>
      <c r="J64" s="678">
        <f t="shared" si="1"/>
        <v>9.6170794289499636E-2</v>
      </c>
      <c r="K64" s="678">
        <f t="shared" si="2"/>
        <v>1.0000000114866232</v>
      </c>
      <c r="L64" s="679">
        <f t="shared" si="3"/>
        <v>1.5156927783122057E-4</v>
      </c>
      <c r="M64" s="678">
        <f t="shared" si="4"/>
        <v>1.0000016270065317</v>
      </c>
      <c r="N64" s="679">
        <f t="shared" si="5"/>
        <v>-1.803887095047024E-3</v>
      </c>
      <c r="O64" s="677">
        <f t="shared" si="6"/>
        <v>9796.8870840585223</v>
      </c>
      <c r="P64" s="680">
        <f t="shared" si="7"/>
        <v>1.5706942535553914</v>
      </c>
      <c r="Q64" s="689">
        <f t="shared" si="8"/>
        <v>1.0011990186213953</v>
      </c>
      <c r="R64" s="690">
        <f t="shared" si="9"/>
        <v>4.8945312499959967E-2</v>
      </c>
      <c r="S64" s="677">
        <f t="shared" si="10"/>
        <v>1.0000000533216629</v>
      </c>
      <c r="T64" s="680">
        <f t="shared" si="11"/>
        <v>3.2656288949214592E-4</v>
      </c>
      <c r="U64" s="681">
        <f t="shared" si="24"/>
        <v>0.99955234429524387</v>
      </c>
      <c r="V64" s="682">
        <f t="shared" si="25"/>
        <v>-1.2020888821814617E-2</v>
      </c>
      <c r="W64" s="683">
        <f t="shared" si="12"/>
        <v>29.509092503615257</v>
      </c>
      <c r="X64" s="684">
        <f t="shared" si="13"/>
        <v>-93.502100241169586</v>
      </c>
      <c r="Y64" s="687">
        <f t="shared" si="14"/>
        <v>86.497899758830414</v>
      </c>
      <c r="AA64" s="170">
        <f t="shared" si="15"/>
        <v>1000000000</v>
      </c>
      <c r="AB64" s="170">
        <f t="shared" si="16"/>
        <v>12023.122500000001</v>
      </c>
      <c r="AD64" s="686">
        <f t="shared" si="17"/>
        <v>25.294095893078136</v>
      </c>
      <c r="AE64" s="687">
        <f t="shared" si="18"/>
        <v>-87.208502575942248</v>
      </c>
      <c r="AG64" s="686">
        <f t="shared" si="19"/>
        <v>61.952589431215443</v>
      </c>
      <c r="AH64" s="687">
        <f t="shared" si="20"/>
        <v>-4.9161052726814054</v>
      </c>
      <c r="AJ64" s="170">
        <f t="shared" si="21"/>
        <v>0</v>
      </c>
      <c r="AK64" s="170">
        <f t="shared" si="33"/>
        <v>0</v>
      </c>
      <c r="AM64" s="170" t="str">
        <f t="shared" si="26"/>
        <v>0.000147454117343959+0.0171722593729461i</v>
      </c>
      <c r="AN64" s="170" t="str">
        <f t="shared" si="27"/>
        <v>0.0171731034628483i</v>
      </c>
      <c r="AO64" s="170" t="str">
        <f t="shared" si="28"/>
        <v>0.999950848144366-0.0085863407078957i</v>
      </c>
      <c r="AP64" s="170" t="str">
        <f t="shared" si="29"/>
        <v>0.166642090980443-0.00286204322882435i</v>
      </c>
      <c r="AQ64" s="170" t="str">
        <f t="shared" si="30"/>
        <v>0.833357909019557+0.00286204322882435i</v>
      </c>
      <c r="AR64" s="170" t="str">
        <f t="shared" si="31"/>
        <v>0.999558732282851-0.0034328351247162i</v>
      </c>
    </row>
    <row r="65" spans="1:44">
      <c r="A65" s="170">
        <v>4</v>
      </c>
      <c r="C65" s="170" t="s">
        <v>744</v>
      </c>
      <c r="D65" s="172">
        <f>D61*1000000000</f>
        <v>47.44319853387784</v>
      </c>
      <c r="G65" s="688">
        <v>120.23</v>
      </c>
      <c r="H65" s="676">
        <f t="shared" si="23"/>
        <v>0.12023</v>
      </c>
      <c r="I65" s="677">
        <f t="shared" si="0"/>
        <v>1.0055787731978321</v>
      </c>
      <c r="J65" s="678">
        <f t="shared" si="1"/>
        <v>0.10538463338574532</v>
      </c>
      <c r="K65" s="678">
        <f t="shared" si="2"/>
        <v>1.0000000138102263</v>
      </c>
      <c r="L65" s="679">
        <f t="shared" si="3"/>
        <v>1.66194019566062E-4</v>
      </c>
      <c r="M65" s="678">
        <f t="shared" si="4"/>
        <v>1.0000019561297007</v>
      </c>
      <c r="N65" s="679">
        <f t="shared" si="5"/>
        <v>-1.9779416128632402E-3</v>
      </c>
      <c r="O65" s="677">
        <f t="shared" si="6"/>
        <v>10742.177228307681</v>
      </c>
      <c r="P65" s="680">
        <f t="shared" si="7"/>
        <v>1.5707032357966575</v>
      </c>
      <c r="Q65" s="689">
        <f t="shared" si="8"/>
        <v>1.001441390828794</v>
      </c>
      <c r="R65" s="690">
        <f t="shared" si="9"/>
        <v>5.3659325676887089E-2</v>
      </c>
      <c r="S65" s="677">
        <f t="shared" si="10"/>
        <v>1.0000000641079816</v>
      </c>
      <c r="T65" s="680">
        <f t="shared" si="11"/>
        <v>3.5807255742186683E-4</v>
      </c>
      <c r="U65" s="681">
        <f t="shared" si="24"/>
        <v>0.9995427049147152</v>
      </c>
      <c r="V65" s="682">
        <f t="shared" si="25"/>
        <v>-1.3180707396425177E-2</v>
      </c>
      <c r="W65" s="683">
        <f t="shared" si="12"/>
        <v>28.702936999691143</v>
      </c>
      <c r="X65" s="684">
        <f t="shared" si="13"/>
        <v>-93.837828653399342</v>
      </c>
      <c r="Y65" s="687">
        <f t="shared" si="14"/>
        <v>86.162171346600658</v>
      </c>
      <c r="AA65" s="170">
        <f t="shared" si="15"/>
        <v>1000000000</v>
      </c>
      <c r="AB65" s="170">
        <f t="shared" si="16"/>
        <v>14455.252900000001</v>
      </c>
      <c r="AD65" s="686">
        <f t="shared" si="17"/>
        <v>24.496114027715304</v>
      </c>
      <c r="AE65" s="687">
        <f t="shared" si="18"/>
        <v>-86.940729531530636</v>
      </c>
      <c r="AG65" s="686">
        <f t="shared" si="19"/>
        <v>61.944583321647819</v>
      </c>
      <c r="AH65" s="687">
        <f t="shared" si="20"/>
        <v>-5.386701310518764</v>
      </c>
      <c r="AJ65" s="170">
        <f t="shared" si="21"/>
        <v>0</v>
      </c>
      <c r="AK65" s="170">
        <f t="shared" si="33"/>
        <v>0</v>
      </c>
      <c r="AM65" s="170" t="str">
        <f t="shared" si="26"/>
        <v>0.000177281397629958+0.0188290033343849i</v>
      </c>
      <c r="AN65" s="170" t="str">
        <f t="shared" si="27"/>
        <v>0.0188301160906361i</v>
      </c>
      <c r="AO65" s="170" t="str">
        <f t="shared" si="28"/>
        <v>0.999940905502343-0.00941477985460308i</v>
      </c>
      <c r="AP65" s="170" t="str">
        <f t="shared" si="29"/>
        <v>0.166637119767062-0.00313816722239748i</v>
      </c>
      <c r="AQ65" s="170" t="str">
        <f t="shared" si="30"/>
        <v>0.833362880232938+0.00313816722239748i</v>
      </c>
      <c r="AR65" s="170" t="str">
        <f t="shared" si="31"/>
        <v>0.999550385286148-0.00376397405097164i</v>
      </c>
    </row>
    <row r="66" spans="1:44">
      <c r="A66" s="170">
        <v>5</v>
      </c>
      <c r="C66" s="170" t="s">
        <v>812</v>
      </c>
      <c r="D66" s="172">
        <f>D62*1000000000000</f>
        <v>316.28799022585224</v>
      </c>
      <c r="G66" s="688">
        <v>131.83000000000001</v>
      </c>
      <c r="H66" s="676">
        <f t="shared" si="23"/>
        <v>0.13183</v>
      </c>
      <c r="I66" s="677">
        <f t="shared" si="0"/>
        <v>1.0067034448990677</v>
      </c>
      <c r="J66" s="678">
        <f t="shared" si="1"/>
        <v>0.11546610802432627</v>
      </c>
      <c r="K66" s="678">
        <f t="shared" si="2"/>
        <v>1.0000000166036511</v>
      </c>
      <c r="L66" s="679">
        <f t="shared" si="3"/>
        <v>1.8222870796467204E-4</v>
      </c>
      <c r="M66" s="678">
        <f t="shared" si="4"/>
        <v>1.0000023517999197</v>
      </c>
      <c r="N66" s="679">
        <f t="shared" si="5"/>
        <v>-2.1687762957886283E-3</v>
      </c>
      <c r="O66" s="677">
        <f t="shared" si="6"/>
        <v>11778.601205817646</v>
      </c>
      <c r="P66" s="680">
        <f t="shared" si="7"/>
        <v>1.5707114270700713</v>
      </c>
      <c r="Q66" s="689">
        <f t="shared" si="8"/>
        <v>1.0017326919563634</v>
      </c>
      <c r="R66" s="690">
        <f t="shared" si="9"/>
        <v>5.8825059264892191E-2</v>
      </c>
      <c r="S66" s="677">
        <f t="shared" si="10"/>
        <v>1.0000000770752444</v>
      </c>
      <c r="T66" s="680">
        <f t="shared" si="11"/>
        <v>3.9262001860473688E-4</v>
      </c>
      <c r="U66" s="681">
        <f t="shared" si="24"/>
        <v>0.99953111684524187</v>
      </c>
      <c r="V66" s="682">
        <f t="shared" si="25"/>
        <v>-1.445232211203876E-2</v>
      </c>
      <c r="W66" s="683">
        <f t="shared" si="12"/>
        <v>27.895628605603346</v>
      </c>
      <c r="X66" s="684">
        <f t="shared" si="13"/>
        <v>-94.204802076626649</v>
      </c>
      <c r="Y66" s="687">
        <f t="shared" si="14"/>
        <v>85.795197923373351</v>
      </c>
      <c r="AA66" s="170">
        <f t="shared" si="15"/>
        <v>1000000000</v>
      </c>
      <c r="AB66" s="170">
        <f t="shared" si="16"/>
        <v>17379.148900000004</v>
      </c>
      <c r="AD66" s="686">
        <f t="shared" si="17"/>
        <v>23.698612022291137</v>
      </c>
      <c r="AE66" s="687">
        <f t="shared" si="18"/>
        <v>-86.647203547627669</v>
      </c>
      <c r="AG66" s="686">
        <f t="shared" si="19"/>
        <v>61.934978331634845</v>
      </c>
      <c r="AH66" s="687">
        <f t="shared" si="20"/>
        <v>-5.9014844047397625</v>
      </c>
      <c r="AJ66" s="170">
        <f t="shared" si="21"/>
        <v>0</v>
      </c>
      <c r="AK66" s="170">
        <f t="shared" si="33"/>
        <v>0</v>
      </c>
      <c r="AM66" s="170" t="str">
        <f t="shared" si="26"/>
        <v>0.000213139224451986+0.0206454116106756i</v>
      </c>
      <c r="AN66" s="170" t="str">
        <f t="shared" si="27"/>
        <v>0.0206468785180783i</v>
      </c>
      <c r="AO66" s="170" t="str">
        <f t="shared" si="28"/>
        <v>0.999928952582279-0.0103230725296011i</v>
      </c>
      <c r="AP66" s="170" t="str">
        <f t="shared" si="29"/>
        <v>0.166631143462591-0.0034409019351126i</v>
      </c>
      <c r="AQ66" s="170" t="str">
        <f t="shared" si="30"/>
        <v>0.833368856537409+0.0034409019351126i</v>
      </c>
      <c r="AR66" s="170" t="str">
        <f t="shared" si="31"/>
        <v>0.999540350991247-0.00412700846806185i</v>
      </c>
    </row>
    <row r="67" spans="1:44">
      <c r="A67" s="170">
        <v>6</v>
      </c>
      <c r="G67" s="688">
        <v>144.54</v>
      </c>
      <c r="H67" s="676">
        <f t="shared" si="23"/>
        <v>0.14454</v>
      </c>
      <c r="I67" s="677">
        <f t="shared" si="0"/>
        <v>1.0080529255049286</v>
      </c>
      <c r="J67" s="678">
        <f t="shared" si="1"/>
        <v>0.12648520025576362</v>
      </c>
      <c r="K67" s="678">
        <f t="shared" si="2"/>
        <v>1.0000000199595709</v>
      </c>
      <c r="L67" s="679">
        <f t="shared" si="3"/>
        <v>1.9979775005905508E-4</v>
      </c>
      <c r="M67" s="678">
        <f t="shared" si="4"/>
        <v>1.0000028271435757</v>
      </c>
      <c r="N67" s="679">
        <f t="shared" si="5"/>
        <v>-2.3778717018479441E-3</v>
      </c>
      <c r="O67" s="677">
        <f t="shared" si="6"/>
        <v>12914.200237102712</v>
      </c>
      <c r="P67" s="680">
        <f t="shared" si="7"/>
        <v>1.570718892653979</v>
      </c>
      <c r="Q67" s="689">
        <f t="shared" si="8"/>
        <v>1.0020825386010375</v>
      </c>
      <c r="R67" s="690">
        <f t="shared" si="9"/>
        <v>6.4481483743985879E-2</v>
      </c>
      <c r="S67" s="677">
        <f t="shared" si="10"/>
        <v>1.0000000926536439</v>
      </c>
      <c r="T67" s="680">
        <f t="shared" si="11"/>
        <v>4.3047331335624071E-4</v>
      </c>
      <c r="U67" s="681">
        <f t="shared" si="24"/>
        <v>0.99951719586309806</v>
      </c>
      <c r="V67" s="682">
        <f t="shared" si="25"/>
        <v>-1.5845590845773489E-2</v>
      </c>
      <c r="W67" s="683">
        <f t="shared" si="12"/>
        <v>27.087433045592167</v>
      </c>
      <c r="X67" s="684">
        <f t="shared" si="13"/>
        <v>-94.605458957195339</v>
      </c>
      <c r="Y67" s="687">
        <f t="shared" si="14"/>
        <v>85.394541042804661</v>
      </c>
      <c r="AA67" s="170">
        <f t="shared" si="15"/>
        <v>1000000000</v>
      </c>
      <c r="AB67" s="170">
        <f t="shared" si="16"/>
        <v>20891.811599999997</v>
      </c>
      <c r="AD67" s="686">
        <f t="shared" si="17"/>
        <v>22.902168869850826</v>
      </c>
      <c r="AE67" s="687">
        <f t="shared" si="18"/>
        <v>-86.325710877953199</v>
      </c>
      <c r="AG67" s="686">
        <f t="shared" si="19"/>
        <v>61.923467871422197</v>
      </c>
      <c r="AH67" s="687">
        <f t="shared" si="20"/>
        <v>-6.4639771184593977</v>
      </c>
      <c r="AJ67" s="170">
        <f t="shared" si="21"/>
        <v>0</v>
      </c>
      <c r="AK67" s="170">
        <f t="shared" si="33"/>
        <v>0</v>
      </c>
      <c r="AM67" s="170" t="str">
        <f t="shared" si="26"/>
        <v>0.000256216951411981+0.0226355529134627i</v>
      </c>
      <c r="AN67" s="170" t="str">
        <f t="shared" si="27"/>
        <v>0.0226374863157327i</v>
      </c>
      <c r="AO67" s="170" t="str">
        <f t="shared" si="28"/>
        <v>0.999914592890614-0.0113182598031617i</v>
      </c>
      <c r="AP67" s="170" t="str">
        <f t="shared" si="29"/>
        <v>0.166623963841431-0.00377259215224378i</v>
      </c>
      <c r="AQ67" s="170" t="str">
        <f t="shared" si="30"/>
        <v>0.833376036158569+0.00377259215224378i</v>
      </c>
      <c r="AR67" s="170" t="str">
        <f t="shared" si="31"/>
        <v>0.999528296768263-0.0045247432668151i</v>
      </c>
    </row>
    <row r="68" spans="1:44">
      <c r="A68" s="170">
        <v>7</v>
      </c>
      <c r="G68" s="688">
        <v>158.49</v>
      </c>
      <c r="H68" s="676">
        <f t="shared" si="23"/>
        <v>0.15849000000000002</v>
      </c>
      <c r="I68" s="677">
        <f t="shared" si="0"/>
        <v>1.0096745491258712</v>
      </c>
      <c r="J68" s="678">
        <f t="shared" si="1"/>
        <v>0.13854378548431839</v>
      </c>
      <c r="K68" s="678">
        <f t="shared" si="2"/>
        <v>1.0000000239982088</v>
      </c>
      <c r="L68" s="679">
        <f t="shared" si="3"/>
        <v>2.1908084489830808E-4</v>
      </c>
      <c r="M68" s="678">
        <f t="shared" si="4"/>
        <v>1.0000033991894519</v>
      </c>
      <c r="N68" s="679">
        <f t="shared" si="5"/>
        <v>-2.6073664196903379E-3</v>
      </c>
      <c r="O68" s="677">
        <f t="shared" si="6"/>
        <v>14160.589418470609</v>
      </c>
      <c r="P68" s="680">
        <f t="shared" si="7"/>
        <v>1.57072570826545</v>
      </c>
      <c r="Q68" s="689">
        <f t="shared" si="8"/>
        <v>1.0025033951523368</v>
      </c>
      <c r="R68" s="690">
        <f t="shared" si="9"/>
        <v>7.068498843618079E-2</v>
      </c>
      <c r="S68" s="677">
        <f t="shared" si="10"/>
        <v>1.0000001114012671</v>
      </c>
      <c r="T68" s="680">
        <f t="shared" si="11"/>
        <v>4.7201961104965641E-4</v>
      </c>
      <c r="U68" s="681">
        <f t="shared" si="24"/>
        <v>0.99950044356734191</v>
      </c>
      <c r="V68" s="682">
        <f t="shared" si="25"/>
        <v>-1.737475345509688E-2</v>
      </c>
      <c r="W68" s="683">
        <f t="shared" si="12"/>
        <v>26.276701665343765</v>
      </c>
      <c r="X68" s="684">
        <f t="shared" si="13"/>
        <v>-95.043360096928765</v>
      </c>
      <c r="Y68" s="687">
        <f t="shared" si="14"/>
        <v>84.956639903071235</v>
      </c>
      <c r="AA68" s="170">
        <f t="shared" si="15"/>
        <v>1000000000</v>
      </c>
      <c r="AB68" s="170">
        <f t="shared" si="16"/>
        <v>25119.080100000003</v>
      </c>
      <c r="AD68" s="686">
        <f t="shared" si="17"/>
        <v>22.105539561716828</v>
      </c>
      <c r="AE68" s="687">
        <f t="shared" si="18"/>
        <v>-85.973047173782177</v>
      </c>
      <c r="AG68" s="686">
        <f t="shared" si="19"/>
        <v>61.90965695950419</v>
      </c>
      <c r="AH68" s="687">
        <f t="shared" si="20"/>
        <v>-7.0793128347567382</v>
      </c>
      <c r="AJ68" s="170">
        <f t="shared" si="21"/>
        <v>0</v>
      </c>
      <c r="AK68" s="170">
        <f t="shared" si="33"/>
        <v>0</v>
      </c>
      <c r="AM68" s="170" t="str">
        <f t="shared" si="26"/>
        <v>0.000308057464627032+0.024819750801589i</v>
      </c>
      <c r="AN68" s="170" t="str">
        <f t="shared" si="27"/>
        <v>0.0248222997521826i</v>
      </c>
      <c r="AO68" s="170" t="str">
        <f t="shared" si="28"/>
        <v>0.999897312069428-0.0124105126318904i</v>
      </c>
      <c r="AP68" s="170" t="str">
        <f t="shared" si="29"/>
        <v>0.166615323755895-0.00413662513359817i</v>
      </c>
      <c r="AQ68" s="170" t="str">
        <f t="shared" si="30"/>
        <v>0.833384676244105+0.00413662513359817i</v>
      </c>
      <c r="AR68" s="170" t="str">
        <f t="shared" si="31"/>
        <v>0.999513791159833-0.00496123097502059i</v>
      </c>
    </row>
    <row r="69" spans="1:44">
      <c r="A69" s="170">
        <v>8</v>
      </c>
      <c r="G69" s="688">
        <v>173.78</v>
      </c>
      <c r="H69" s="676">
        <f t="shared" si="23"/>
        <v>0.17377999999999999</v>
      </c>
      <c r="I69" s="677">
        <f t="shared" si="0"/>
        <v>1.011620006620775</v>
      </c>
      <c r="J69" s="678">
        <f t="shared" si="1"/>
        <v>0.15171414377955941</v>
      </c>
      <c r="K69" s="678">
        <f t="shared" si="2"/>
        <v>1.0000000288519175</v>
      </c>
      <c r="L69" s="679">
        <f t="shared" si="3"/>
        <v>2.4021622249501424E-4</v>
      </c>
      <c r="M69" s="678">
        <f t="shared" si="4"/>
        <v>1.0000040866841751</v>
      </c>
      <c r="N69" s="679">
        <f t="shared" si="5"/>
        <v>-2.8589054750548051E-3</v>
      </c>
      <c r="O69" s="677">
        <f t="shared" si="6"/>
        <v>15526.703439394068</v>
      </c>
      <c r="P69" s="680">
        <f t="shared" si="7"/>
        <v>1.5707319216232132</v>
      </c>
      <c r="Q69" s="689">
        <f t="shared" si="8"/>
        <v>1.0030089545798544</v>
      </c>
      <c r="R69" s="690">
        <f t="shared" si="9"/>
        <v>7.7478113838255397E-2</v>
      </c>
      <c r="S69" s="677">
        <f t="shared" si="10"/>
        <v>1.0000001339325015</v>
      </c>
      <c r="T69" s="680">
        <f t="shared" si="11"/>
        <v>5.1755673402793757E-4</v>
      </c>
      <c r="U69" s="681">
        <f t="shared" si="24"/>
        <v>0.99948031140828675</v>
      </c>
      <c r="V69" s="682">
        <f t="shared" si="25"/>
        <v>-1.9050757526797663E-2</v>
      </c>
      <c r="W69" s="683">
        <f t="shared" si="12"/>
        <v>25.464233134486438</v>
      </c>
      <c r="X69" s="684">
        <f t="shared" si="13"/>
        <v>-95.520942829434759</v>
      </c>
      <c r="Y69" s="687">
        <f t="shared" si="14"/>
        <v>84.479057170565241</v>
      </c>
      <c r="AA69" s="170">
        <f t="shared" si="15"/>
        <v>1000000000</v>
      </c>
      <c r="AB69" s="170">
        <f t="shared" si="16"/>
        <v>30199.488400000002</v>
      </c>
      <c r="AD69" s="686">
        <f t="shared" si="17"/>
        <v>21.309959983796031</v>
      </c>
      <c r="AE69" s="687">
        <f t="shared" si="18"/>
        <v>-85.58679484223309</v>
      </c>
      <c r="AG69" s="686">
        <f t="shared" si="19"/>
        <v>61.893117916313017</v>
      </c>
      <c r="AH69" s="687">
        <f t="shared" si="20"/>
        <v>-7.7510919790819708</v>
      </c>
      <c r="AJ69" s="170">
        <f t="shared" si="21"/>
        <v>0</v>
      </c>
      <c r="AK69" s="170">
        <f t="shared" si="33"/>
        <v>0</v>
      </c>
      <c r="AM69" s="170" t="str">
        <f t="shared" si="26"/>
        <v>0.000370359152500055+0.0272136204702378i</v>
      </c>
      <c r="AN69" s="170" t="str">
        <f t="shared" si="27"/>
        <v>0.0272169805724922i</v>
      </c>
      <c r="AO69" s="170" t="str">
        <f t="shared" si="28"/>
        <v>0.999876543900766-0.0136076502503136i</v>
      </c>
      <c r="AP69" s="170" t="str">
        <f t="shared" si="29"/>
        <v>0.16660494014125-0.0045356034117063i</v>
      </c>
      <c r="AQ69" s="170" t="str">
        <f t="shared" si="30"/>
        <v>0.83339505985875+0.0045356034117063i</v>
      </c>
      <c r="AR69" s="170" t="str">
        <f t="shared" si="31"/>
        <v>0.999496359341973-0.00543957999725583i</v>
      </c>
    </row>
    <row r="70" spans="1:44">
      <c r="A70" s="170">
        <v>9</v>
      </c>
      <c r="G70" s="688">
        <v>190.55</v>
      </c>
      <c r="H70" s="676">
        <f t="shared" si="23"/>
        <v>0.19055000000000002</v>
      </c>
      <c r="I70" s="677">
        <f t="shared" si="0"/>
        <v>1.0139547140434149</v>
      </c>
      <c r="J70" s="678">
        <f t="shared" si="1"/>
        <v>0.16609843406332783</v>
      </c>
      <c r="K70" s="678">
        <f t="shared" si="2"/>
        <v>1.0000000346890974</v>
      </c>
      <c r="L70" s="679">
        <f t="shared" si="3"/>
        <v>2.6339740486995452E-4</v>
      </c>
      <c r="M70" s="678">
        <f t="shared" si="4"/>
        <v>1.0000049134802758</v>
      </c>
      <c r="N70" s="679">
        <f t="shared" si="5"/>
        <v>-3.1347919093107639E-3</v>
      </c>
      <c r="O70" s="677">
        <f t="shared" si="6"/>
        <v>17025.05086513979</v>
      </c>
      <c r="P70" s="680">
        <f t="shared" si="7"/>
        <v>1.5707375898191016</v>
      </c>
      <c r="Q70" s="689">
        <f t="shared" si="8"/>
        <v>1.0036166144992893</v>
      </c>
      <c r="R70" s="690">
        <f t="shared" si="9"/>
        <v>8.4920528916966789E-2</v>
      </c>
      <c r="S70" s="677">
        <f t="shared" si="10"/>
        <v>1.0000001610290736</v>
      </c>
      <c r="T70" s="680">
        <f t="shared" si="11"/>
        <v>5.6750163360286894E-4</v>
      </c>
      <c r="U70" s="681">
        <f t="shared" si="24"/>
        <v>0.99945610154330766</v>
      </c>
      <c r="V70" s="682">
        <f t="shared" si="25"/>
        <v>-2.0888930457243157E-2</v>
      </c>
      <c r="W70" s="683">
        <f t="shared" si="12"/>
        <v>24.649084194608445</v>
      </c>
      <c r="X70" s="684">
        <f t="shared" si="13"/>
        <v>-96.04166787216505</v>
      </c>
      <c r="Y70" s="687">
        <f t="shared" si="14"/>
        <v>83.95833212783495</v>
      </c>
      <c r="AA70" s="170">
        <f t="shared" si="15"/>
        <v>1000000000</v>
      </c>
      <c r="AB70" s="170">
        <f t="shared" si="16"/>
        <v>36309.302500000005</v>
      </c>
      <c r="AD70" s="686">
        <f t="shared" si="17"/>
        <v>20.515037186836143</v>
      </c>
      <c r="AE70" s="687">
        <f t="shared" si="18"/>
        <v>-85.163562264010508</v>
      </c>
      <c r="AG70" s="686">
        <f t="shared" si="19"/>
        <v>61.87331256560023</v>
      </c>
      <c r="AH70" s="687">
        <f t="shared" si="20"/>
        <v>-8.4844104979347286</v>
      </c>
      <c r="AJ70" s="170">
        <f t="shared" si="21"/>
        <v>0</v>
      </c>
      <c r="AK70" s="170">
        <f t="shared" si="33"/>
        <v>0</v>
      </c>
      <c r="AM70" s="170" t="str">
        <f t="shared" si="26"/>
        <v>0.000445282859665053+0.0298390254952152i</v>
      </c>
      <c r="AN70" s="170" t="str">
        <f t="shared" si="27"/>
        <v>0.0298434552197514i</v>
      </c>
      <c r="AO70" s="170" t="str">
        <f t="shared" si="28"/>
        <v>0.999851567973494-0.0149206201623179i</v>
      </c>
      <c r="AP70" s="170" t="str">
        <f t="shared" si="29"/>
        <v>0.166592452856723-0.0049731709158692i</v>
      </c>
      <c r="AQ70" s="170" t="str">
        <f t="shared" si="30"/>
        <v>0.833407547143277+0.0049731709158692i</v>
      </c>
      <c r="AR70" s="170" t="str">
        <f t="shared" si="31"/>
        <v>0.999475397303028-0.00596414322624284i</v>
      </c>
    </row>
    <row r="71" spans="1:44">
      <c r="A71" s="170">
        <v>10</v>
      </c>
      <c r="G71" s="688">
        <v>208.93</v>
      </c>
      <c r="H71" s="676">
        <f t="shared" si="23"/>
        <v>0.20893</v>
      </c>
      <c r="I71" s="677">
        <f t="shared" si="0"/>
        <v>1.0167533460179745</v>
      </c>
      <c r="J71" s="678">
        <f t="shared" si="1"/>
        <v>0.18178419224363981</v>
      </c>
      <c r="K71" s="678">
        <f t="shared" si="2"/>
        <v>1.000000041703903</v>
      </c>
      <c r="L71" s="679">
        <f t="shared" si="3"/>
        <v>2.8880409101087482E-4</v>
      </c>
      <c r="M71" s="678">
        <f t="shared" si="4"/>
        <v>1.0000059070779732</v>
      </c>
      <c r="N71" s="679">
        <f t="shared" si="5"/>
        <v>-3.437164207687823E-3</v>
      </c>
      <c r="O71" s="677">
        <f t="shared" si="6"/>
        <v>18667.246792031263</v>
      </c>
      <c r="P71" s="680">
        <f t="shared" si="7"/>
        <v>1.5707427570311485</v>
      </c>
      <c r="Q71" s="689">
        <f t="shared" si="8"/>
        <v>1.0043463807595789</v>
      </c>
      <c r="R71" s="690">
        <f t="shared" si="9"/>
        <v>9.3066604168227596E-2</v>
      </c>
      <c r="S71" s="677">
        <f t="shared" si="10"/>
        <v>1.00000019359226</v>
      </c>
      <c r="T71" s="680">
        <f t="shared" si="11"/>
        <v>6.2224147853412383E-4</v>
      </c>
      <c r="U71" s="681">
        <f t="shared" si="24"/>
        <v>0.99942700964745534</v>
      </c>
      <c r="V71" s="682">
        <f t="shared" si="25"/>
        <v>-2.29034971275426E-2</v>
      </c>
      <c r="W71" s="683">
        <f t="shared" si="12"/>
        <v>23.831375251770481</v>
      </c>
      <c r="X71" s="684">
        <f t="shared" si="13"/>
        <v>-96.608387433449266</v>
      </c>
      <c r="Y71" s="687">
        <f t="shared" si="14"/>
        <v>83.391612566550734</v>
      </c>
      <c r="AA71" s="170">
        <f t="shared" si="15"/>
        <v>1000000000</v>
      </c>
      <c r="AB71" s="170">
        <f t="shared" si="16"/>
        <v>43651.744900000005</v>
      </c>
      <c r="AD71" s="686">
        <f t="shared" si="17"/>
        <v>19.721513415549573</v>
      </c>
      <c r="AE71" s="687">
        <f t="shared" si="18"/>
        <v>-84.700258953515785</v>
      </c>
      <c r="AG71" s="686">
        <f t="shared" si="19"/>
        <v>61.849633054425546</v>
      </c>
      <c r="AH71" s="687">
        <f t="shared" si="20"/>
        <v>-9.283581033938102</v>
      </c>
      <c r="AJ71" s="170">
        <f t="shared" si="21"/>
        <v>0</v>
      </c>
      <c r="AK71" s="170">
        <f t="shared" si="33"/>
        <v>0</v>
      </c>
      <c r="AM71" s="170" t="str">
        <f t="shared" si="26"/>
        <v>0.000535319621423946+0.0327162448296045i</v>
      </c>
      <c r="AN71" s="170" t="str">
        <f t="shared" si="27"/>
        <v>0.0327220839625435i</v>
      </c>
      <c r="AO71" s="170" t="str">
        <f t="shared" si="28"/>
        <v>0.999821553757221-0.0163595821719888i</v>
      </c>
      <c r="AP71" s="170" t="str">
        <f t="shared" si="29"/>
        <v>0.166577446729763-0.00545270747160075i</v>
      </c>
      <c r="AQ71" s="170" t="str">
        <f t="shared" si="30"/>
        <v>0.833422553270237+0.00545270747160075i</v>
      </c>
      <c r="AR71" s="170" t="str">
        <f t="shared" si="31"/>
        <v>0.999450208951121-0.0065389514604048i</v>
      </c>
    </row>
    <row r="72" spans="1:44">
      <c r="A72" s="170">
        <v>11</v>
      </c>
      <c r="G72" s="688">
        <v>229.09</v>
      </c>
      <c r="H72" s="676">
        <f t="shared" si="23"/>
        <v>0.22909000000000002</v>
      </c>
      <c r="I72" s="677">
        <f t="shared" si="0"/>
        <v>1.0201089872921509</v>
      </c>
      <c r="J72" s="678">
        <f t="shared" si="1"/>
        <v>0.19888536444446711</v>
      </c>
      <c r="K72" s="678">
        <f t="shared" si="2"/>
        <v>1.0000000501403492</v>
      </c>
      <c r="L72" s="679">
        <f t="shared" si="3"/>
        <v>3.166712718976012E-4</v>
      </c>
      <c r="M72" s="678">
        <f t="shared" si="4"/>
        <v>1.0000071020397712</v>
      </c>
      <c r="N72" s="679">
        <f t="shared" si="5"/>
        <v>-3.7688188438772499E-3</v>
      </c>
      <c r="O72" s="677">
        <f t="shared" si="6"/>
        <v>20468.480192188745</v>
      </c>
      <c r="P72" s="680">
        <f t="shared" si="7"/>
        <v>1.5707474711890574</v>
      </c>
      <c r="Q72" s="689">
        <f t="shared" si="8"/>
        <v>1.0052233418546599</v>
      </c>
      <c r="R72" s="690">
        <f t="shared" si="9"/>
        <v>0.10198731933901883</v>
      </c>
      <c r="S72" s="677">
        <f t="shared" si="10"/>
        <v>1.0000002327547954</v>
      </c>
      <c r="T72" s="680">
        <f t="shared" si="11"/>
        <v>6.8228256638900621E-4</v>
      </c>
      <c r="U72" s="681">
        <f t="shared" si="24"/>
        <v>0.99939202508886216</v>
      </c>
      <c r="V72" s="682">
        <f t="shared" si="25"/>
        <v>-2.5113058297328298E-2</v>
      </c>
      <c r="W72" s="683">
        <f t="shared" si="12"/>
        <v>23.009936399918992</v>
      </c>
      <c r="X72" s="684">
        <f t="shared" si="13"/>
        <v>-97.224807567408988</v>
      </c>
      <c r="Y72" s="687">
        <f t="shared" si="14"/>
        <v>82.775192432591012</v>
      </c>
      <c r="AA72" s="170">
        <f t="shared" si="15"/>
        <v>1000000000</v>
      </c>
      <c r="AB72" s="170">
        <f t="shared" si="16"/>
        <v>52482.2281</v>
      </c>
      <c r="AD72" s="686">
        <f t="shared" si="17"/>
        <v>18.928987432347263</v>
      </c>
      <c r="AE72" s="687">
        <f t="shared" si="18"/>
        <v>-84.192849825694921</v>
      </c>
      <c r="AG72" s="686">
        <f t="shared" si="19"/>
        <v>61.821328288880707</v>
      </c>
      <c r="AH72" s="687">
        <f t="shared" si="20"/>
        <v>-10.154213236219954</v>
      </c>
      <c r="AJ72" s="170">
        <f t="shared" si="21"/>
        <v>0</v>
      </c>
      <c r="AK72" s="170">
        <f t="shared" si="33"/>
        <v>0</v>
      </c>
      <c r="AM72" s="170" t="str">
        <f t="shared" si="26"/>
        <v>0.000643599916086979+0.0358717940911959i</v>
      </c>
      <c r="AN72" s="170" t="str">
        <f t="shared" si="27"/>
        <v>0.0358794917674775i</v>
      </c>
      <c r="AO72" s="170" t="str">
        <f t="shared" si="28"/>
        <v>0.99978545748832-0.0179378214233893i</v>
      </c>
      <c r="AP72" s="170" t="str">
        <f t="shared" si="29"/>
        <v>0.166559400013986-0.00597863234853265i</v>
      </c>
      <c r="AQ72" s="170" t="str">
        <f t="shared" si="30"/>
        <v>0.833440599986014+0.00597863234853265i</v>
      </c>
      <c r="AR72" s="170" t="str">
        <f t="shared" si="31"/>
        <v>0.999419919738515-0.00716927428543421i</v>
      </c>
    </row>
    <row r="73" spans="1:44">
      <c r="A73" s="170">
        <v>12</v>
      </c>
      <c r="G73" s="688">
        <v>251.19</v>
      </c>
      <c r="H73" s="676">
        <f t="shared" si="23"/>
        <v>0.25119000000000002</v>
      </c>
      <c r="I73" s="677">
        <f t="shared" si="0"/>
        <v>1.0241278973927774</v>
      </c>
      <c r="J73" s="678">
        <f t="shared" si="1"/>
        <v>0.21749736022401964</v>
      </c>
      <c r="K73" s="678">
        <f t="shared" si="2"/>
        <v>1.0000000602809074</v>
      </c>
      <c r="L73" s="679">
        <f t="shared" si="3"/>
        <v>3.4722011545771091E-4</v>
      </c>
      <c r="M73" s="678">
        <f t="shared" si="4"/>
        <v>1.000008538374817</v>
      </c>
      <c r="N73" s="679">
        <f t="shared" si="5"/>
        <v>-4.1323877030432906E-3</v>
      </c>
      <c r="O73" s="677">
        <f t="shared" si="6"/>
        <v>22443.046568788159</v>
      </c>
      <c r="P73" s="680">
        <f t="shared" si="7"/>
        <v>1.5707517695643411</v>
      </c>
      <c r="Q73" s="689">
        <f t="shared" si="8"/>
        <v>1.0062764324266069</v>
      </c>
      <c r="R73" s="690">
        <f t="shared" si="9"/>
        <v>0.1117477453109932</v>
      </c>
      <c r="S73" s="677">
        <f t="shared" si="10"/>
        <v>1.0000002798279266</v>
      </c>
      <c r="T73" s="680">
        <f t="shared" si="11"/>
        <v>7.4810141199054133E-4</v>
      </c>
      <c r="U73" s="681">
        <f t="shared" si="24"/>
        <v>0.99934997846174911</v>
      </c>
      <c r="V73" s="682">
        <f t="shared" si="25"/>
        <v>-2.7535107527199818E-2</v>
      </c>
      <c r="W73" s="683">
        <f t="shared" si="12"/>
        <v>22.184601120581448</v>
      </c>
      <c r="X73" s="684">
        <f t="shared" si="13"/>
        <v>-97.893836421073175</v>
      </c>
      <c r="Y73" s="687">
        <f t="shared" si="14"/>
        <v>82.106163578926825</v>
      </c>
      <c r="AA73" s="170">
        <f t="shared" si="15"/>
        <v>1000000000</v>
      </c>
      <c r="AB73" s="170">
        <f t="shared" si="16"/>
        <v>63096.416100000002</v>
      </c>
      <c r="AD73" s="686">
        <f t="shared" si="17"/>
        <v>18.138157486861122</v>
      </c>
      <c r="AE73" s="687">
        <f t="shared" si="18"/>
        <v>-83.637636031444401</v>
      </c>
      <c r="AG73" s="686">
        <f t="shared" si="19"/>
        <v>61.787553839479948</v>
      </c>
      <c r="AH73" s="687">
        <f t="shared" si="20"/>
        <v>-11.100909486528423</v>
      </c>
      <c r="AJ73" s="170">
        <f t="shared" si="21"/>
        <v>0</v>
      </c>
      <c r="AK73" s="170">
        <f t="shared" si="33"/>
        <v>0</v>
      </c>
      <c r="AM73" s="170" t="str">
        <f t="shared" si="26"/>
        <v>0.000773747009303993+0.0393305903105242i</v>
      </c>
      <c r="AN73" s="170" t="str">
        <f t="shared" si="27"/>
        <v>0.0393407374266563i</v>
      </c>
      <c r="AO73" s="170" t="str">
        <f t="shared" si="28"/>
        <v>0.999742071023681-0.0196678318688485i</v>
      </c>
      <c r="AP73" s="170" t="str">
        <f t="shared" si="29"/>
        <v>0.166537708831783-0.00655509838508737i</v>
      </c>
      <c r="AQ73" s="170" t="str">
        <f t="shared" si="30"/>
        <v>0.833462291168217+0.00655509838508737i</v>
      </c>
      <c r="AR73" s="170" t="str">
        <f t="shared" si="31"/>
        <v>0.999383517898202-0.00786005240270102i</v>
      </c>
    </row>
    <row r="74" spans="1:44">
      <c r="A74" s="170">
        <v>13</v>
      </c>
      <c r="G74" s="688">
        <v>275.42</v>
      </c>
      <c r="H74" s="676">
        <f t="shared" si="23"/>
        <v>0.27542</v>
      </c>
      <c r="I74" s="677">
        <f t="shared" si="0"/>
        <v>1.0289384201543783</v>
      </c>
      <c r="J74" s="678">
        <f t="shared" si="1"/>
        <v>0.23772828929735254</v>
      </c>
      <c r="K74" s="678">
        <f t="shared" si="2"/>
        <v>1.000000072471297</v>
      </c>
      <c r="L74" s="679">
        <f t="shared" si="3"/>
        <v>3.8071325857786428E-4</v>
      </c>
      <c r="M74" s="678">
        <f t="shared" si="4"/>
        <v>1.0000102650506502</v>
      </c>
      <c r="N74" s="679">
        <f t="shared" si="5"/>
        <v>-4.5309961027383966E-3</v>
      </c>
      <c r="O74" s="677">
        <f t="shared" si="6"/>
        <v>24607.921831854386</v>
      </c>
      <c r="P74" s="680">
        <f t="shared" si="7"/>
        <v>1.5707556894746422</v>
      </c>
      <c r="Q74" s="689">
        <f t="shared" si="8"/>
        <v>1.0075409398119097</v>
      </c>
      <c r="R74" s="690">
        <f t="shared" si="9"/>
        <v>0.12242430002763495</v>
      </c>
      <c r="S74" s="677">
        <f t="shared" si="10"/>
        <v>1.0000003364165078</v>
      </c>
      <c r="T74" s="680">
        <f t="shared" si="11"/>
        <v>8.2026387641765362E-4</v>
      </c>
      <c r="U74" s="681">
        <f t="shared" si="24"/>
        <v>0.99929943909930097</v>
      </c>
      <c r="V74" s="682">
        <f t="shared" si="25"/>
        <v>-3.0190411760882906E-2</v>
      </c>
      <c r="W74" s="683">
        <f t="shared" si="12"/>
        <v>21.354518163203942</v>
      </c>
      <c r="X74" s="684">
        <f t="shared" si="13"/>
        <v>-98.618678236545946</v>
      </c>
      <c r="Y74" s="687">
        <f t="shared" si="14"/>
        <v>81.381321763454054</v>
      </c>
      <c r="AA74" s="170">
        <f t="shared" si="15"/>
        <v>1000000000</v>
      </c>
      <c r="AB74" s="170">
        <f t="shared" si="16"/>
        <v>75856.176400000011</v>
      </c>
      <c r="AD74" s="686">
        <f t="shared" si="17"/>
        <v>17.349202449273157</v>
      </c>
      <c r="AE74" s="687">
        <f t="shared" si="18"/>
        <v>-83.030273704713565</v>
      </c>
      <c r="AG74" s="686">
        <f t="shared" si="19"/>
        <v>61.747304471618193</v>
      </c>
      <c r="AH74" s="687">
        <f t="shared" si="20"/>
        <v>-12.128838176557812</v>
      </c>
      <c r="AJ74" s="170">
        <f t="shared" si="21"/>
        <v>0</v>
      </c>
      <c r="AK74" s="170">
        <f t="shared" si="33"/>
        <v>0</v>
      </c>
      <c r="AM74" s="170" t="str">
        <f t="shared" si="26"/>
        <v>0.000930194809547036+0.0431222025957711i</v>
      </c>
      <c r="AN74" s="170" t="str">
        <f t="shared" si="27"/>
        <v>0.0431355782557015i</v>
      </c>
      <c r="AO74" s="170" t="str">
        <f t="shared" si="28"/>
        <v>0.99968991583117-0.021564445109162i</v>
      </c>
      <c r="AP74" s="170" t="str">
        <f t="shared" si="29"/>
        <v>0.166511634198409-0.00718703376596185i</v>
      </c>
      <c r="AQ74" s="170" t="str">
        <f t="shared" si="30"/>
        <v>0.833488365801591+0.00718703376596185i</v>
      </c>
      <c r="AR74" s="170" t="str">
        <f t="shared" si="31"/>
        <v>0.999339765828014-0.0086171432444254i</v>
      </c>
    </row>
    <row r="75" spans="1:44">
      <c r="A75" s="170">
        <v>14</v>
      </c>
      <c r="G75" s="688">
        <v>302</v>
      </c>
      <c r="H75" s="676">
        <f t="shared" si="23"/>
        <v>0.30199999999999999</v>
      </c>
      <c r="I75" s="677">
        <f t="shared" si="0"/>
        <v>1.0346950323787927</v>
      </c>
      <c r="J75" s="678">
        <f t="shared" si="1"/>
        <v>0.2596949743965199</v>
      </c>
      <c r="K75" s="678">
        <f t="shared" si="2"/>
        <v>1.0000000871342642</v>
      </c>
      <c r="L75" s="679">
        <f t="shared" si="3"/>
        <v>4.1745480708225497E-4</v>
      </c>
      <c r="M75" s="678">
        <f t="shared" si="4"/>
        <v>1.0000123419443443</v>
      </c>
      <c r="N75" s="679">
        <f t="shared" si="5"/>
        <v>-4.9682627565803827E-3</v>
      </c>
      <c r="O75" s="677">
        <f t="shared" si="6"/>
        <v>26982.762298262354</v>
      </c>
      <c r="P75" s="680">
        <f t="shared" si="7"/>
        <v>1.570759266097064</v>
      </c>
      <c r="Q75" s="689">
        <f t="shared" si="8"/>
        <v>1.0090598280112597</v>
      </c>
      <c r="R75" s="690">
        <f t="shared" si="9"/>
        <v>0.1341040810560668</v>
      </c>
      <c r="S75" s="677">
        <f t="shared" si="10"/>
        <v>1.0000004044829518</v>
      </c>
      <c r="T75" s="680">
        <f t="shared" si="11"/>
        <v>8.994251667896392E-4</v>
      </c>
      <c r="U75" s="681">
        <f t="shared" si="24"/>
        <v>0.99923865845052018</v>
      </c>
      <c r="V75" s="682">
        <f t="shared" si="25"/>
        <v>-3.3103006077347744E-2</v>
      </c>
      <c r="W75" s="683">
        <f t="shared" si="12"/>
        <v>20.518402730612596</v>
      </c>
      <c r="X75" s="684">
        <f t="shared" si="13"/>
        <v>-99.402642718051752</v>
      </c>
      <c r="Y75" s="687">
        <f t="shared" si="14"/>
        <v>80.597357281948248</v>
      </c>
      <c r="AA75" s="170">
        <f t="shared" si="15"/>
        <v>1000000000</v>
      </c>
      <c r="AB75" s="170">
        <f t="shared" si="16"/>
        <v>91204</v>
      </c>
      <c r="AD75" s="686">
        <f t="shared" si="17"/>
        <v>16.562056772306651</v>
      </c>
      <c r="AE75" s="687">
        <f t="shared" si="18"/>
        <v>-82.365812078597003</v>
      </c>
      <c r="AG75" s="686">
        <f t="shared" si="19"/>
        <v>61.69939135636114</v>
      </c>
      <c r="AH75" s="687">
        <f t="shared" si="20"/>
        <v>-13.243505560264362</v>
      </c>
      <c r="AJ75" s="170">
        <f t="shared" si="21"/>
        <v>0</v>
      </c>
      <c r="AK75" s="170">
        <f t="shared" si="33"/>
        <v>0</v>
      </c>
      <c r="AM75" s="170" t="str">
        <f t="shared" si="26"/>
        <v>0.00111836411803101+0.0472808364748517i</v>
      </c>
      <c r="AN75" s="170" t="str">
        <f t="shared" si="27"/>
        <v>0.0472984700937545i</v>
      </c>
      <c r="AO75" s="170" t="str">
        <f t="shared" si="28"/>
        <v>0.999627184159068-0.023644826477774i</v>
      </c>
      <c r="AP75" s="170" t="str">
        <f t="shared" si="29"/>
        <v>0.166480272646995-0.00788013941247528i</v>
      </c>
      <c r="AQ75" s="170" t="str">
        <f t="shared" si="30"/>
        <v>0.833519727353005+0.00788013941247528i</v>
      </c>
      <c r="AR75" s="170" t="str">
        <f t="shared" si="31"/>
        <v>0.999287151245567-0.0094473133706353i</v>
      </c>
    </row>
    <row r="76" spans="1:44">
      <c r="A76" s="170">
        <v>15</v>
      </c>
      <c r="G76" s="688">
        <v>331.13</v>
      </c>
      <c r="H76" s="676">
        <f t="shared" si="23"/>
        <v>0.33112999999999998</v>
      </c>
      <c r="I76" s="677">
        <f t="shared" si="0"/>
        <v>1.0415705154241135</v>
      </c>
      <c r="J76" s="678">
        <f t="shared" si="1"/>
        <v>0.28347743312615581</v>
      </c>
      <c r="K76" s="678">
        <f t="shared" si="2"/>
        <v>1.000000104754367</v>
      </c>
      <c r="L76" s="679">
        <f t="shared" si="3"/>
        <v>4.5772122068004885E-4</v>
      </c>
      <c r="M76" s="678">
        <f t="shared" si="4"/>
        <v>1.0000148376872937</v>
      </c>
      <c r="N76" s="679">
        <f t="shared" si="5"/>
        <v>-5.4474771833893116E-3</v>
      </c>
      <c r="O76" s="677">
        <f t="shared" si="6"/>
        <v>29585.437346991792</v>
      </c>
      <c r="P76" s="680">
        <f t="shared" si="7"/>
        <v>1.5707625263819278</v>
      </c>
      <c r="Q76" s="689">
        <f t="shared" si="8"/>
        <v>1.0108820171267858</v>
      </c>
      <c r="R76" s="690">
        <f t="shared" si="9"/>
        <v>0.14686213244985774</v>
      </c>
      <c r="S76" s="677">
        <f t="shared" si="10"/>
        <v>1.0000004862766052</v>
      </c>
      <c r="T76" s="680">
        <f t="shared" si="11"/>
        <v>9.8618092463191652E-4</v>
      </c>
      <c r="U76" s="681">
        <f t="shared" si="24"/>
        <v>0.99916563382879564</v>
      </c>
      <c r="V76" s="682">
        <f t="shared" si="25"/>
        <v>-3.6294708621015956E-2</v>
      </c>
      <c r="W76" s="683">
        <f t="shared" si="12"/>
        <v>19.676102151831202</v>
      </c>
      <c r="X76" s="684">
        <f t="shared" si="13"/>
        <v>-100.24747322412564</v>
      </c>
      <c r="Y76" s="687">
        <f t="shared" si="14"/>
        <v>79.752526775874358</v>
      </c>
      <c r="AA76" s="170">
        <f t="shared" si="15"/>
        <v>1000000000</v>
      </c>
      <c r="AB76" s="170">
        <f t="shared" si="16"/>
        <v>109647.0769</v>
      </c>
      <c r="AD76" s="686">
        <f t="shared" si="17"/>
        <v>15.777895422324056</v>
      </c>
      <c r="AE76" s="687">
        <f t="shared" si="18"/>
        <v>-81.639987117427935</v>
      </c>
      <c r="AG76" s="686">
        <f t="shared" si="19"/>
        <v>61.642521708112966</v>
      </c>
      <c r="AH76" s="687">
        <f t="shared" si="20"/>
        <v>-14.448418856662666</v>
      </c>
      <c r="AJ76" s="170">
        <f t="shared" si="21"/>
        <v>0</v>
      </c>
      <c r="AK76" s="170">
        <f t="shared" si="33"/>
        <v>0</v>
      </c>
      <c r="AM76" s="170" t="str">
        <f t="shared" si="26"/>
        <v>0.00134446661844101+0.0518374926707861i</v>
      </c>
      <c r="AN76" s="170" t="str">
        <f t="shared" si="27"/>
        <v>0.0518607364309435i</v>
      </c>
      <c r="AO76" s="170" t="str">
        <f t="shared" si="28"/>
        <v>0.999551804278978-0.0259245570149446i</v>
      </c>
      <c r="AP76" s="170" t="str">
        <f t="shared" si="29"/>
        <v>0.166442588896927-0.00863958211179768i</v>
      </c>
      <c r="AQ76" s="170" t="str">
        <f t="shared" si="30"/>
        <v>0.833557411103073+0.00863958211179768i</v>
      </c>
      <c r="AR76" s="170" t="str">
        <f t="shared" si="31"/>
        <v>0.999223942613468-0.0103566679214802i</v>
      </c>
    </row>
    <row r="77" spans="1:44">
      <c r="A77" s="170">
        <v>16</v>
      </c>
      <c r="G77" s="688">
        <v>363.08</v>
      </c>
      <c r="H77" s="676">
        <f t="shared" si="23"/>
        <v>0.36307999999999996</v>
      </c>
      <c r="I77" s="677">
        <f t="shared" ref="I77:I140" si="34">SQRT(1+(G77/pole1)^2)</f>
        <v>1.0497794679974137</v>
      </c>
      <c r="J77" s="678">
        <f t="shared" ref="J77:J140" si="35">ATAN(G77/pole1)</f>
        <v>0.30918780309367472</v>
      </c>
      <c r="K77" s="678">
        <f t="shared" ref="K77:K140" si="36">SQRT(1+(G77/Zero1)^2)</f>
        <v>1.0000001259446512</v>
      </c>
      <c r="L77" s="679">
        <f t="shared" ref="L77:L140" si="37">ATAN(G77/Zero1)</f>
        <v>5.0188571997939878E-4</v>
      </c>
      <c r="M77" s="678">
        <f t="shared" ref="M77:M140" si="38">SQRT(1+(G77/z_RHP)^2)</f>
        <v>1.0000178391089372</v>
      </c>
      <c r="N77" s="679">
        <f t="shared" ref="N77:N140" si="39">-ATAN(G77/z_RHP)</f>
        <v>-5.9730802348980346E-3</v>
      </c>
      <c r="O77" s="677">
        <f t="shared" ref="O77:O140" si="40">SQRT(1+(G77/Pole2)^2)</f>
        <v>32440.07063966832</v>
      </c>
      <c r="P77" s="680">
        <f t="shared" ref="P77:P140" si="41">ATAN(G77/Pole2)</f>
        <v>1.5707655007214498</v>
      </c>
      <c r="Q77" s="689">
        <f t="shared" ref="Q77:Q140" si="42">SQRT(1+(G77/Zero2)^2)</f>
        <v>1.0130690768909427</v>
      </c>
      <c r="R77" s="690">
        <f t="shared" ref="R77:R140" si="43">ATAN(G77/Zero2)</f>
        <v>0.16079995280199402</v>
      </c>
      <c r="S77" s="677">
        <f t="shared" ref="S77:S140" si="44">SQRT(1+(G77/pole4)^2)</f>
        <v>1.0000005846432636</v>
      </c>
      <c r="T77" s="680">
        <f t="shared" ref="T77:T140" si="45">ATAN(G77/pole4)</f>
        <v>1.0813352660115983E-3</v>
      </c>
      <c r="U77" s="681">
        <f t="shared" si="24"/>
        <v>0.99907783304597575</v>
      </c>
      <c r="V77" s="682">
        <f t="shared" si="25"/>
        <v>-3.9794974127654266E-2</v>
      </c>
      <c r="W77" s="683">
        <f t="shared" ref="W77:W140" si="46">20*LOG10(((K77*Q77*M77*U77)/(I77*O77*S77))*Adc)</f>
        <v>18.825872126766491</v>
      </c>
      <c r="X77" s="684">
        <f t="shared" ref="X77:X140" si="47">((L77+R77+N77+V77)-(J77+P77+T77))*radconv</f>
        <v>-101.15574782934021</v>
      </c>
      <c r="Y77" s="687">
        <f t="shared" ref="Y77:Y140" si="48">IF(X77&gt;0,X77,X77+180)</f>
        <v>78.844252170659786</v>
      </c>
      <c r="AA77" s="170">
        <f t="shared" ref="AA77:AA140" si="49">IF(W77&lt;0,G77,1000000000)</f>
        <v>1000000000</v>
      </c>
      <c r="AB77" s="170">
        <f t="shared" ref="AB77:AB140" si="50">G77^2</f>
        <v>131827.0864</v>
      </c>
      <c r="AD77" s="686">
        <f t="shared" ref="AD77:AD140" si="51">20*LOG10((Q77/(O77*S77))*Aea)</f>
        <v>14.996590380650241</v>
      </c>
      <c r="AE77" s="687">
        <f t="shared" ref="AE77:AE140" si="52">(R77-(P77+T77))*radconv</f>
        <v>-80.847031193997751</v>
      </c>
      <c r="AG77" s="686">
        <f t="shared" ref="AG77:AG140" si="53">20*LOG10((K77*M77/(I77*U77))*Acs*Am)</f>
        <v>61.575123321301206</v>
      </c>
      <c r="AH77" s="687">
        <f t="shared" ref="AH77:AH140" si="54">(L77+N77-(J77+V77))*radconv</f>
        <v>-15.748548503437908</v>
      </c>
      <c r="AJ77" s="170">
        <f t="shared" ref="AJ77:AJ140" si="55">SUM((W78&lt;0)*(W77&gt;0))*G77</f>
        <v>0</v>
      </c>
      <c r="AK77" s="170">
        <f t="shared" si="33"/>
        <v>0</v>
      </c>
      <c r="AM77" s="170" t="str">
        <f t="shared" si="26"/>
        <v>0.00161635938066096+0.0568340227651953i</v>
      </c>
      <c r="AN77" s="170" t="str">
        <f t="shared" si="27"/>
        <v>0.0568646639789416i</v>
      </c>
      <c r="AO77" s="170" t="str">
        <f t="shared" si="28"/>
        <v>0.999461155459256-0.0284246712731748i</v>
      </c>
      <c r="AP77" s="170" t="str">
        <f t="shared" si="29"/>
        <v>0.166397273436556-0.00947233712753255i</v>
      </c>
      <c r="AQ77" s="170" t="str">
        <f t="shared" si="30"/>
        <v>0.833602726563444+0.00947233712753255i</v>
      </c>
      <c r="AR77" s="170" t="str">
        <f t="shared" si="31"/>
        <v>0.999147951128913-0.0113534492292189i</v>
      </c>
    </row>
    <row r="78" spans="1:44">
      <c r="A78" s="170">
        <v>17</v>
      </c>
      <c r="G78" s="688">
        <v>398.11</v>
      </c>
      <c r="H78" s="676">
        <f t="shared" ref="H78:H141" si="56">G78/1000</f>
        <v>0.39811000000000002</v>
      </c>
      <c r="I78" s="677">
        <f t="shared" si="34"/>
        <v>1.059563968313439</v>
      </c>
      <c r="J78" s="678">
        <f t="shared" si="35"/>
        <v>0.33689846069708673</v>
      </c>
      <c r="K78" s="678">
        <f t="shared" si="36"/>
        <v>1.0000001514193027</v>
      </c>
      <c r="L78" s="679">
        <f t="shared" si="37"/>
        <v>5.503077024007878E-4</v>
      </c>
      <c r="M78" s="678">
        <f t="shared" si="38"/>
        <v>1.0000214473625768</v>
      </c>
      <c r="N78" s="679">
        <f t="shared" si="39"/>
        <v>-6.5493479460640739E-3</v>
      </c>
      <c r="O78" s="677">
        <f t="shared" si="40"/>
        <v>35569.892368971094</v>
      </c>
      <c r="P78" s="680">
        <f t="shared" si="41"/>
        <v>1.5707682131309655</v>
      </c>
      <c r="Q78" s="689">
        <f t="shared" si="42"/>
        <v>1.0156920946101258</v>
      </c>
      <c r="R78" s="690">
        <f t="shared" si="43"/>
        <v>0.17600911243198011</v>
      </c>
      <c r="S78" s="677">
        <f t="shared" si="44"/>
        <v>1.0000007028982207</v>
      </c>
      <c r="T78" s="680">
        <f t="shared" si="45"/>
        <v>1.1856625228971033E-3</v>
      </c>
      <c r="U78" s="681">
        <f t="shared" ref="U78:U141" si="57">IMABS(IMPRODUCT(AO78, AR78))</f>
        <v>0.99897230922176006</v>
      </c>
      <c r="V78" s="682">
        <f t="shared" ref="V78:V141" si="58">IMARGUMENT(IMPRODUCT(AO78, AR78))</f>
        <v>-4.3632117212183415E-2</v>
      </c>
      <c r="W78" s="683">
        <f t="shared" si="46"/>
        <v>17.966848129733513</v>
      </c>
      <c r="X78" s="684">
        <f t="shared" si="47"/>
        <v>-102.12825925966781</v>
      </c>
      <c r="Y78" s="687">
        <f t="shared" si="48"/>
        <v>77.871740740332186</v>
      </c>
      <c r="AA78" s="170">
        <f t="shared" si="49"/>
        <v>1000000000</v>
      </c>
      <c r="AB78" s="170">
        <f t="shared" si="50"/>
        <v>158491.57210000002</v>
      </c>
      <c r="AD78" s="686">
        <f t="shared" si="51"/>
        <v>14.219034420487315</v>
      </c>
      <c r="AE78" s="687">
        <f t="shared" si="52"/>
        <v>-79.981743457395353</v>
      </c>
      <c r="AG78" s="686">
        <f t="shared" si="53"/>
        <v>61.495490209937351</v>
      </c>
      <c r="AH78" s="687">
        <f t="shared" si="54"/>
        <v>-17.146643461602821</v>
      </c>
      <c r="AJ78" s="170">
        <f t="shared" si="55"/>
        <v>0</v>
      </c>
      <c r="AK78" s="170">
        <f t="shared" si="33"/>
        <v>0</v>
      </c>
      <c r="AM78" s="170" t="str">
        <f t="shared" ref="AM78:AM141" si="59">IMSUB(1,IMEXP(COMPLEX(0,-2*Pi*G78*Tsw)))</f>
        <v>0.00194319227514705+0.0623105813973544i</v>
      </c>
      <c r="AN78" s="170" t="str">
        <f t="shared" ref="AN78:AN141" si="60">COMPLEX(0, 2*Pi*G78*Tsw)</f>
        <v>0.0623509732749159i</v>
      </c>
      <c r="AO78" s="170" t="str">
        <f t="shared" ref="AO78:AO141" si="61">IMDIV(AM78, AN78)</f>
        <v>0.999352185291745-0.0311653880137394i</v>
      </c>
      <c r="AP78" s="170" t="str">
        <f t="shared" ref="AP78:AP141" si="62">IMDIV(IMEXP(COMPLEX(0,-2*Pi*G78*Tsw)),6)</f>
        <v>0.166342801287476-0.0103850968995591i</v>
      </c>
      <c r="AQ78" s="170" t="str">
        <f t="shared" ref="AQ78:AQ141" si="63">IMSUB(1, AP78)</f>
        <v>0.833657198712524+0.0103850968995591i</v>
      </c>
      <c r="AR78" s="170" t="str">
        <f t="shared" ref="AR78:AR141" si="64">IMDIV(0.833, AQ78)</f>
        <v>0.999056630618663-0.0124455230916798i</v>
      </c>
    </row>
    <row r="79" spans="1:44">
      <c r="A79" s="170">
        <v>18</v>
      </c>
      <c r="G79" s="688">
        <v>436.52</v>
      </c>
      <c r="H79" s="676">
        <f t="shared" si="56"/>
        <v>0.43651999999999996</v>
      </c>
      <c r="I79" s="677">
        <f t="shared" si="34"/>
        <v>1.071209351514548</v>
      </c>
      <c r="J79" s="678">
        <f t="shared" si="35"/>
        <v>0.36667562385107616</v>
      </c>
      <c r="K79" s="678">
        <f t="shared" si="36"/>
        <v>1.0000001820469282</v>
      </c>
      <c r="L79" s="679">
        <f t="shared" si="37"/>
        <v>6.0340185714268402E-4</v>
      </c>
      <c r="M79" s="678">
        <f t="shared" si="38"/>
        <v>1.0000257854711727</v>
      </c>
      <c r="N79" s="679">
        <f t="shared" si="39"/>
        <v>-7.1812139794616313E-3</v>
      </c>
      <c r="O79" s="677">
        <f t="shared" si="40"/>
        <v>39001.706603378276</v>
      </c>
      <c r="P79" s="680">
        <f t="shared" si="41"/>
        <v>1.5707706868912308</v>
      </c>
      <c r="Q79" s="689">
        <f t="shared" si="42"/>
        <v>1.0188367523427881</v>
      </c>
      <c r="R79" s="690">
        <f t="shared" si="43"/>
        <v>0.19259149781984569</v>
      </c>
      <c r="S79" s="677">
        <f t="shared" si="44"/>
        <v>1.0000008450735969</v>
      </c>
      <c r="T79" s="680">
        <f t="shared" si="45"/>
        <v>1.3000561539232114E-3</v>
      </c>
      <c r="U79" s="681">
        <f t="shared" si="57"/>
        <v>0.99884548209549007</v>
      </c>
      <c r="V79" s="682">
        <f t="shared" si="58"/>
        <v>-4.7838776341416346E-2</v>
      </c>
      <c r="W79" s="683">
        <f t="shared" si="46"/>
        <v>17.097667961365257</v>
      </c>
      <c r="X79" s="684">
        <f t="shared" si="47"/>
        <v>-103.16514534665133</v>
      </c>
      <c r="Y79" s="687">
        <f t="shared" si="48"/>
        <v>76.834854653348671</v>
      </c>
      <c r="AA79" s="170">
        <f t="shared" si="49"/>
        <v>1000000000</v>
      </c>
      <c r="AB79" s="170">
        <f t="shared" si="50"/>
        <v>190549.71039999998</v>
      </c>
      <c r="AD79" s="686">
        <f t="shared" si="51"/>
        <v>13.445862599519963</v>
      </c>
      <c r="AE79" s="687">
        <f t="shared" si="52"/>
        <v>-79.038338767616935</v>
      </c>
      <c r="AG79" s="686">
        <f t="shared" si="53"/>
        <v>61.401687481944094</v>
      </c>
      <c r="AH79" s="687">
        <f t="shared" si="54"/>
        <v>-18.644886609903473</v>
      </c>
      <c r="AJ79" s="170">
        <f t="shared" si="55"/>
        <v>0</v>
      </c>
      <c r="AK79" s="170">
        <f t="shared" si="33"/>
        <v>0</v>
      </c>
      <c r="AM79" s="170" t="str">
        <f t="shared" si="59"/>
        <v>0.00233608926640905+0.0683134043929712i</v>
      </c>
      <c r="AN79" s="170" t="str">
        <f t="shared" si="60"/>
        <v>0.0683666495540586i</v>
      </c>
      <c r="AO79" s="170" t="str">
        <f t="shared" si="61"/>
        <v>0.999221182236738-0.0341700124497379i</v>
      </c>
      <c r="AP79" s="170" t="str">
        <f t="shared" si="62"/>
        <v>0.166277318455598-0.0113855673988285i</v>
      </c>
      <c r="AQ79" s="170" t="str">
        <f t="shared" si="63"/>
        <v>0.833722681544402+0.0113855673988285i</v>
      </c>
      <c r="AR79" s="170" t="str">
        <f t="shared" si="64"/>
        <v>0.998946888995694-0.0136419188109911i</v>
      </c>
    </row>
    <row r="80" spans="1:44">
      <c r="A80" s="170">
        <v>19</v>
      </c>
      <c r="G80" s="688">
        <v>478.63</v>
      </c>
      <c r="H80" s="676">
        <f t="shared" si="56"/>
        <v>0.47863</v>
      </c>
      <c r="I80" s="677">
        <f t="shared" si="34"/>
        <v>1.0850428081828756</v>
      </c>
      <c r="J80" s="678">
        <f t="shared" si="35"/>
        <v>0.39855530338589357</v>
      </c>
      <c r="K80" s="678">
        <f t="shared" si="36"/>
        <v>1.0000002188642794</v>
      </c>
      <c r="L80" s="679">
        <f t="shared" si="37"/>
        <v>6.6161051909530762E-4</v>
      </c>
      <c r="M80" s="678">
        <f t="shared" si="38"/>
        <v>1.00003100027016</v>
      </c>
      <c r="N80" s="679">
        <f t="shared" si="39"/>
        <v>-7.8739404790487671E-3</v>
      </c>
      <c r="O80" s="677">
        <f t="shared" si="40"/>
        <v>42764.104349268637</v>
      </c>
      <c r="P80" s="680">
        <f t="shared" si="41"/>
        <v>1.5707729426970578</v>
      </c>
      <c r="Q80" s="689">
        <f t="shared" si="42"/>
        <v>1.022604134303631</v>
      </c>
      <c r="R80" s="690">
        <f t="shared" si="43"/>
        <v>0.21064852134989023</v>
      </c>
      <c r="S80" s="677">
        <f t="shared" si="44"/>
        <v>1.0000010159820505</v>
      </c>
      <c r="T80" s="680">
        <f t="shared" si="45"/>
        <v>1.4254691790851859E-3</v>
      </c>
      <c r="U80" s="681">
        <f t="shared" si="57"/>
        <v>0.99869308420234604</v>
      </c>
      <c r="V80" s="682">
        <f t="shared" si="58"/>
        <v>-5.2449704034409649E-2</v>
      </c>
      <c r="W80" s="683">
        <f t="shared" si="46"/>
        <v>16.217079834917524</v>
      </c>
      <c r="X80" s="684">
        <f t="shared" si="47"/>
        <v>-104.26498197440449</v>
      </c>
      <c r="Y80" s="687">
        <f t="shared" si="48"/>
        <v>75.735018025595508</v>
      </c>
      <c r="AA80" s="170">
        <f t="shared" si="49"/>
        <v>1000000000</v>
      </c>
      <c r="AB80" s="170">
        <f t="shared" si="50"/>
        <v>229086.67689999999</v>
      </c>
      <c r="AD80" s="686">
        <f t="shared" si="51"/>
        <v>12.678004549503434</v>
      </c>
      <c r="AE80" s="687">
        <f t="shared" si="52"/>
        <v>-78.011062412794175</v>
      </c>
      <c r="AG80" s="686">
        <f t="shared" si="53"/>
        <v>61.291608090322342</v>
      </c>
      <c r="AH80" s="687">
        <f t="shared" si="54"/>
        <v>-20.243626198978639</v>
      </c>
      <c r="AJ80" s="170">
        <f t="shared" si="55"/>
        <v>0</v>
      </c>
      <c r="AK80" s="170">
        <f t="shared" si="33"/>
        <v>0</v>
      </c>
      <c r="AM80" s="170" t="str">
        <f t="shared" si="59"/>
        <v>0.00280832107946005+0.0748916249765966i</v>
      </c>
      <c r="AN80" s="170" t="str">
        <f t="shared" si="60"/>
        <v>0.0749618104005752i</v>
      </c>
      <c r="AO80" s="170" t="str">
        <f t="shared" si="61"/>
        <v>0.999063717596953-0.0374633572008621i</v>
      </c>
      <c r="AP80" s="170" t="str">
        <f t="shared" si="62"/>
        <v>0.166198613153423-0.0124819374960994i</v>
      </c>
      <c r="AQ80" s="170" t="str">
        <f t="shared" si="63"/>
        <v>0.833801386846577+0.0124819374960994i</v>
      </c>
      <c r="AR80" s="170" t="str">
        <f t="shared" si="64"/>
        <v>0.998815042747471-0.0149521782170312i</v>
      </c>
    </row>
    <row r="81" spans="1:44">
      <c r="A81" s="170">
        <v>20</v>
      </c>
      <c r="G81" s="688">
        <v>524.80999999999995</v>
      </c>
      <c r="H81" s="676">
        <f t="shared" si="56"/>
        <v>0.52481</v>
      </c>
      <c r="I81" s="677">
        <f t="shared" si="34"/>
        <v>1.1014468416990275</v>
      </c>
      <c r="J81" s="678">
        <f t="shared" si="35"/>
        <v>0.43255723336446616</v>
      </c>
      <c r="K81" s="678">
        <f t="shared" si="36"/>
        <v>1.0000002631353817</v>
      </c>
      <c r="L81" s="679">
        <f t="shared" si="37"/>
        <v>7.2544513774427217E-4</v>
      </c>
      <c r="M81" s="678">
        <f t="shared" si="38"/>
        <v>1.0000372707805378</v>
      </c>
      <c r="N81" s="679">
        <f t="shared" si="39"/>
        <v>-8.6336114091535715E-3</v>
      </c>
      <c r="O81" s="677">
        <f t="shared" si="40"/>
        <v>46890.14395776968</v>
      </c>
      <c r="P81" s="680">
        <f t="shared" si="41"/>
        <v>1.5707750003515191</v>
      </c>
      <c r="Q81" s="689">
        <f t="shared" si="42"/>
        <v>1.0271159330788853</v>
      </c>
      <c r="R81" s="690">
        <f t="shared" si="43"/>
        <v>0.23029136298125566</v>
      </c>
      <c r="S81" s="677">
        <f t="shared" si="44"/>
        <v>1.0000012214912537</v>
      </c>
      <c r="T81" s="680">
        <f t="shared" si="45"/>
        <v>1.5630035254401767E-3</v>
      </c>
      <c r="U81" s="681">
        <f t="shared" si="57"/>
        <v>0.99850992044479014</v>
      </c>
      <c r="V81" s="682">
        <f t="shared" si="58"/>
        <v>-5.7505026951441801E-2</v>
      </c>
      <c r="W81" s="683">
        <f t="shared" si="46"/>
        <v>15.323401076015752</v>
      </c>
      <c r="X81" s="684">
        <f t="shared" si="47"/>
        <v>-105.42521231928134</v>
      </c>
      <c r="Y81" s="687">
        <f t="shared" si="48"/>
        <v>74.574787680718657</v>
      </c>
      <c r="AA81" s="170">
        <f t="shared" si="49"/>
        <v>1000000000</v>
      </c>
      <c r="AB81" s="170">
        <f t="shared" si="50"/>
        <v>275425.53609999997</v>
      </c>
      <c r="AD81" s="686">
        <f t="shared" si="51"/>
        <v>11.916197495718251</v>
      </c>
      <c r="AE81" s="687">
        <f t="shared" si="52"/>
        <v>-76.893608520896748</v>
      </c>
      <c r="AG81" s="686">
        <f t="shared" si="53"/>
        <v>61.162922721666462</v>
      </c>
      <c r="AH81" s="687">
        <f t="shared" si="54"/>
        <v>-21.94201310064755</v>
      </c>
      <c r="AJ81" s="170">
        <f t="shared" si="55"/>
        <v>0</v>
      </c>
      <c r="AK81" s="170">
        <f t="shared" si="33"/>
        <v>0</v>
      </c>
      <c r="AM81" s="170" t="str">
        <f t="shared" si="59"/>
        <v>0.00337605870595803+0.082101885724564i</v>
      </c>
      <c r="AN81" s="170" t="str">
        <f t="shared" si="60"/>
        <v>0.0821944042712029i</v>
      </c>
      <c r="AO81" s="170" t="str">
        <f t="shared" si="61"/>
        <v>0.998874393610377-0.0410740698943279i</v>
      </c>
      <c r="AP81" s="170" t="str">
        <f t="shared" si="62"/>
        <v>0.166103990215674-0.0136836476207607i</v>
      </c>
      <c r="AQ81" s="170" t="str">
        <f t="shared" si="63"/>
        <v>0.833896009784326+0.0136836476207607i</v>
      </c>
      <c r="AR81" s="170" t="str">
        <f t="shared" si="64"/>
        <v>0.998656610451387-0.0163872533160272i</v>
      </c>
    </row>
    <row r="82" spans="1:44">
      <c r="A82" s="170">
        <v>21</v>
      </c>
      <c r="G82" s="688">
        <v>575.44000000000005</v>
      </c>
      <c r="H82" s="676">
        <f t="shared" si="56"/>
        <v>0.57544000000000006</v>
      </c>
      <c r="I82" s="677">
        <f t="shared" si="34"/>
        <v>1.1208490054624907</v>
      </c>
      <c r="J82" s="678">
        <f t="shared" si="35"/>
        <v>0.46864565728935026</v>
      </c>
      <c r="K82" s="678">
        <f t="shared" si="36"/>
        <v>1.0000003163553095</v>
      </c>
      <c r="L82" s="679">
        <f t="shared" si="37"/>
        <v>7.9543098502783151E-4</v>
      </c>
      <c r="M82" s="678">
        <f t="shared" si="38"/>
        <v>1.0000448087410729</v>
      </c>
      <c r="N82" s="679">
        <f t="shared" si="39"/>
        <v>-9.4664743121171627E-3</v>
      </c>
      <c r="O82" s="677">
        <f t="shared" si="40"/>
        <v>51413.777248960076</v>
      </c>
      <c r="P82" s="680">
        <f t="shared" si="41"/>
        <v>1.5707768767553629</v>
      </c>
      <c r="Q82" s="689">
        <f t="shared" si="42"/>
        <v>1.0325136378034636</v>
      </c>
      <c r="R82" s="690">
        <f t="shared" si="43"/>
        <v>0.25162058735829762</v>
      </c>
      <c r="S82" s="677">
        <f t="shared" si="44"/>
        <v>1.0000014685414162</v>
      </c>
      <c r="T82" s="680">
        <f t="shared" si="45"/>
        <v>1.7137908967926436E-3</v>
      </c>
      <c r="U82" s="681">
        <f t="shared" si="57"/>
        <v>0.99828985875012466</v>
      </c>
      <c r="V82" s="682">
        <f t="shared" si="58"/>
        <v>-6.3045833637879758E-2</v>
      </c>
      <c r="W82" s="683">
        <f t="shared" si="46"/>
        <v>14.41544668952462</v>
      </c>
      <c r="X82" s="684">
        <f t="shared" si="47"/>
        <v>-106.64077362756495</v>
      </c>
      <c r="Y82" s="687">
        <f t="shared" si="48"/>
        <v>73.359226372435046</v>
      </c>
      <c r="AA82" s="170">
        <f t="shared" si="49"/>
        <v>1000000000</v>
      </c>
      <c r="AB82" s="170">
        <f t="shared" si="50"/>
        <v>331131.19360000006</v>
      </c>
      <c r="AD82" s="686">
        <f t="shared" si="51"/>
        <v>11.161763047490394</v>
      </c>
      <c r="AE82" s="687">
        <f t="shared" si="52"/>
        <v>-75.680280972421556</v>
      </c>
      <c r="AG82" s="686">
        <f t="shared" si="53"/>
        <v>61.013231773412258</v>
      </c>
      <c r="AH82" s="687">
        <f t="shared" si="54"/>
        <v>-23.735972280219322</v>
      </c>
      <c r="AJ82" s="170">
        <f t="shared" si="55"/>
        <v>0</v>
      </c>
      <c r="AK82" s="170">
        <f t="shared" si="33"/>
        <v>0</v>
      </c>
      <c r="AM82" s="170" t="str">
        <f t="shared" si="59"/>
        <v>0.00405841470659996+0.0900019926627651i</v>
      </c>
      <c r="AN82" s="170" t="str">
        <f t="shared" si="60"/>
        <v>0.0901239457971857i</v>
      </c>
      <c r="AO82" s="170" t="str">
        <f t="shared" si="61"/>
        <v>0.998646828727461-0.0450314804872502i</v>
      </c>
      <c r="AP82" s="170" t="str">
        <f t="shared" si="62"/>
        <v>0.165990264215567-0.0150003321104608i</v>
      </c>
      <c r="AQ82" s="170" t="str">
        <f t="shared" si="63"/>
        <v>0.834009735784433+0.0150003321104608i</v>
      </c>
      <c r="AR82" s="170" t="str">
        <f t="shared" si="64"/>
        <v>0.998466306903034-0.0179582150687531i</v>
      </c>
    </row>
    <row r="83" spans="1:44">
      <c r="A83" s="170">
        <v>22</v>
      </c>
      <c r="G83" s="688">
        <v>630.96</v>
      </c>
      <c r="H83" s="676">
        <f t="shared" si="56"/>
        <v>0.63096000000000008</v>
      </c>
      <c r="I83" s="677">
        <f t="shared" si="34"/>
        <v>1.1437420594534156</v>
      </c>
      <c r="J83" s="678">
        <f t="shared" si="35"/>
        <v>0.50675713271451739</v>
      </c>
      <c r="K83" s="678">
        <f t="shared" si="36"/>
        <v>1.0000003803458437</v>
      </c>
      <c r="L83" s="679">
        <f t="shared" si="37"/>
        <v>8.7217627016294985E-4</v>
      </c>
      <c r="M83" s="678">
        <f t="shared" si="38"/>
        <v>1.0000538721533563</v>
      </c>
      <c r="N83" s="679">
        <f t="shared" si="39"/>
        <v>-1.037976251752082E-2</v>
      </c>
      <c r="O83" s="677">
        <f t="shared" si="40"/>
        <v>56374.316856616657</v>
      </c>
      <c r="P83" s="680">
        <f t="shared" si="41"/>
        <v>1.5707785882207406</v>
      </c>
      <c r="Q83" s="689">
        <f t="shared" si="42"/>
        <v>1.0389665971537561</v>
      </c>
      <c r="R83" s="690">
        <f t="shared" si="43"/>
        <v>0.27474337789778919</v>
      </c>
      <c r="S83" s="677">
        <f t="shared" si="44"/>
        <v>1.0000017655893303</v>
      </c>
      <c r="T83" s="680">
        <f t="shared" si="45"/>
        <v>1.8791416830633721E-3</v>
      </c>
      <c r="U83" s="681">
        <f t="shared" si="57"/>
        <v>0.99802544341930832</v>
      </c>
      <c r="V83" s="682">
        <f t="shared" si="58"/>
        <v>-6.9119604986494693E-2</v>
      </c>
      <c r="W83" s="683">
        <f t="shared" si="46"/>
        <v>13.491683000485999</v>
      </c>
      <c r="X83" s="684">
        <f t="shared" si="47"/>
        <v>-107.90506581806179</v>
      </c>
      <c r="Y83" s="687">
        <f t="shared" si="48"/>
        <v>72.094934181938214</v>
      </c>
      <c r="AA83" s="170">
        <f t="shared" si="49"/>
        <v>1000000000</v>
      </c>
      <c r="AB83" s="170">
        <f t="shared" si="50"/>
        <v>398110.52160000004</v>
      </c>
      <c r="AD83" s="686">
        <f t="shared" si="51"/>
        <v>10.415840627221648</v>
      </c>
      <c r="AE83" s="687">
        <f t="shared" si="52"/>
        <v>-74.365014624376158</v>
      </c>
      <c r="AG83" s="686">
        <f t="shared" si="53"/>
        <v>60.83999234763386</v>
      </c>
      <c r="AH83" s="687">
        <f t="shared" si="54"/>
        <v>-25.619527889960047</v>
      </c>
      <c r="AJ83" s="170">
        <f t="shared" si="55"/>
        <v>0</v>
      </c>
      <c r="AK83" s="170">
        <f t="shared" si="33"/>
        <v>0</v>
      </c>
      <c r="AM83" s="170" t="str">
        <f t="shared" si="59"/>
        <v>0.00487865958135603+0.0986585923445199i</v>
      </c>
      <c r="AN83" s="170" t="str">
        <f t="shared" si="60"/>
        <v>0.0988193466568057i</v>
      </c>
      <c r="AO83" s="170" t="str">
        <f t="shared" si="61"/>
        <v>0.998373250606037-0.0493694782085471i</v>
      </c>
      <c r="AP83" s="170" t="str">
        <f t="shared" si="62"/>
        <v>0.165853556736441-0.0164430987240867i</v>
      </c>
      <c r="AQ83" s="170" t="str">
        <f t="shared" si="63"/>
        <v>0.834146443263559+0.0164430987240867i</v>
      </c>
      <c r="AR83" s="170" t="str">
        <f t="shared" si="64"/>
        <v>0.998237711874302-0.0196777452916254i</v>
      </c>
    </row>
    <row r="84" spans="1:44">
      <c r="A84" s="170">
        <v>23</v>
      </c>
      <c r="G84" s="688">
        <v>691.83</v>
      </c>
      <c r="H84" s="676">
        <f t="shared" si="56"/>
        <v>0.69183000000000006</v>
      </c>
      <c r="I84" s="677">
        <f t="shared" si="34"/>
        <v>1.1706701910734993</v>
      </c>
      <c r="J84" s="678">
        <f t="shared" si="35"/>
        <v>0.54676384608615469</v>
      </c>
      <c r="K84" s="678">
        <f t="shared" si="36"/>
        <v>1.0000004572711305</v>
      </c>
      <c r="L84" s="679">
        <f t="shared" si="37"/>
        <v>9.5631684741106029E-4</v>
      </c>
      <c r="M84" s="678">
        <f t="shared" si="38"/>
        <v>1.0000647674942011</v>
      </c>
      <c r="N84" s="679">
        <f t="shared" si="39"/>
        <v>-1.1381036745753192E-2</v>
      </c>
      <c r="O84" s="677">
        <f t="shared" si="40"/>
        <v>61812.86235241672</v>
      </c>
      <c r="P84" s="680">
        <f t="shared" si="41"/>
        <v>1.5707801489321997</v>
      </c>
      <c r="Q84" s="689">
        <f t="shared" si="42"/>
        <v>1.0466712706384802</v>
      </c>
      <c r="R84" s="690">
        <f t="shared" si="43"/>
        <v>0.29975179199322427</v>
      </c>
      <c r="S84" s="677">
        <f t="shared" si="44"/>
        <v>1.0000021226810534</v>
      </c>
      <c r="T84" s="680">
        <f t="shared" si="45"/>
        <v>2.0604258290598866E-3</v>
      </c>
      <c r="U84" s="681">
        <f t="shared" si="57"/>
        <v>0.99770784348291186</v>
      </c>
      <c r="V84" s="682">
        <f t="shared" si="58"/>
        <v>-7.5775780275354823E-2</v>
      </c>
      <c r="W84" s="683">
        <f t="shared" si="46"/>
        <v>12.551104416725385</v>
      </c>
      <c r="X84" s="684">
        <f t="shared" si="47"/>
        <v>-109.2087999457917</v>
      </c>
      <c r="Y84" s="687">
        <f t="shared" si="48"/>
        <v>70.791200054208304</v>
      </c>
      <c r="AA84" s="170">
        <f t="shared" si="49"/>
        <v>1000000000</v>
      </c>
      <c r="AB84" s="170">
        <f t="shared" si="50"/>
        <v>478628.74890000006</v>
      </c>
      <c r="AD84" s="686">
        <f t="shared" si="51"/>
        <v>9.6800606418943431</v>
      </c>
      <c r="AE84" s="687">
        <f t="shared" si="52"/>
        <v>-72.942614281404801</v>
      </c>
      <c r="AG84" s="686">
        <f t="shared" si="53"/>
        <v>60.640722820721258</v>
      </c>
      <c r="AH84" s="687">
        <f t="shared" si="54"/>
        <v>-27.582920856287831</v>
      </c>
      <c r="AJ84" s="170">
        <f t="shared" si="55"/>
        <v>0</v>
      </c>
      <c r="AK84" s="170">
        <f t="shared" si="33"/>
        <v>0</v>
      </c>
      <c r="AM84" s="170" t="str">
        <f t="shared" si="59"/>
        <v>0.00586440761594198+0.108140759915943i</v>
      </c>
      <c r="AN84" s="170" t="str">
        <f t="shared" si="60"/>
        <v>0.108352650877358i</v>
      </c>
      <c r="AO84" s="170" t="str">
        <f t="shared" si="61"/>
        <v>0.998044432141722-0.0541233423313268i</v>
      </c>
      <c r="AP84" s="170" t="str">
        <f t="shared" si="62"/>
        <v>0.165689265397343-0.0180234599859905i</v>
      </c>
      <c r="AQ84" s="170" t="str">
        <f t="shared" si="63"/>
        <v>0.834310734602657+0.0180234599859905i</v>
      </c>
      <c r="AR84" s="170" t="str">
        <f t="shared" si="64"/>
        <v>0.997963230050545-0.0215588144780039i</v>
      </c>
    </row>
    <row r="85" spans="1:44">
      <c r="A85" s="170">
        <v>24</v>
      </c>
      <c r="G85" s="688">
        <v>758.58</v>
      </c>
      <c r="H85" s="676">
        <f t="shared" si="56"/>
        <v>0.75858000000000003</v>
      </c>
      <c r="I85" s="677">
        <f t="shared" si="34"/>
        <v>1.20225015512307</v>
      </c>
      <c r="J85" s="678">
        <f t="shared" si="35"/>
        <v>0.58850114444333823</v>
      </c>
      <c r="K85" s="678">
        <f t="shared" si="36"/>
        <v>1.0000005497658497</v>
      </c>
      <c r="L85" s="679">
        <f t="shared" si="37"/>
        <v>1.0485853307546833E-3</v>
      </c>
      <c r="M85" s="678">
        <f t="shared" si="38"/>
        <v>1.0000778678611717</v>
      </c>
      <c r="N85" s="679">
        <f t="shared" si="39"/>
        <v>-1.2479007065549644E-2</v>
      </c>
      <c r="O85" s="677">
        <f t="shared" si="40"/>
        <v>67776.767590685442</v>
      </c>
      <c r="P85" s="680">
        <f t="shared" si="41"/>
        <v>1.5707815724766312</v>
      </c>
      <c r="Q85" s="689">
        <f t="shared" si="42"/>
        <v>1.055860907317363</v>
      </c>
      <c r="R85" s="690">
        <f t="shared" si="43"/>
        <v>0.32673766281662148</v>
      </c>
      <c r="S85" s="677">
        <f t="shared" si="44"/>
        <v>1.0000025520468681</v>
      </c>
      <c r="T85" s="680">
        <f t="shared" si="45"/>
        <v>2.2592217423507556E-3</v>
      </c>
      <c r="U85" s="681">
        <f t="shared" si="57"/>
        <v>0.99732634207833382</v>
      </c>
      <c r="V85" s="682">
        <f t="shared" si="58"/>
        <v>-8.3071152176130425E-2</v>
      </c>
      <c r="W85" s="683">
        <f t="shared" si="46"/>
        <v>11.592575891561793</v>
      </c>
      <c r="X85" s="684">
        <f t="shared" si="47"/>
        <v>-110.54108270726705</v>
      </c>
      <c r="Y85" s="687">
        <f t="shared" si="48"/>
        <v>69.458917292732949</v>
      </c>
      <c r="AA85" s="170">
        <f t="shared" si="49"/>
        <v>1000000000</v>
      </c>
      <c r="AB85" s="170">
        <f t="shared" si="50"/>
        <v>575443.61640000006</v>
      </c>
      <c r="AD85" s="686">
        <f t="shared" si="51"/>
        <v>8.9559450959415816</v>
      </c>
      <c r="AE85" s="687">
        <f t="shared" si="52"/>
        <v>-71.407909504889133</v>
      </c>
      <c r="AG85" s="686">
        <f t="shared" si="53"/>
        <v>60.412953695858995</v>
      </c>
      <c r="AH85" s="687">
        <f t="shared" si="54"/>
        <v>-29.613920353538035</v>
      </c>
      <c r="AJ85" s="170">
        <f t="shared" si="55"/>
        <v>0</v>
      </c>
      <c r="AK85" s="170">
        <f t="shared" si="33"/>
        <v>0</v>
      </c>
      <c r="AM85" s="170" t="str">
        <f t="shared" si="59"/>
        <v>0.00704923810623004+0.118527568331513i</v>
      </c>
      <c r="AN85" s="170" t="str">
        <f t="shared" si="60"/>
        <v>0.118806865707683i</v>
      </c>
      <c r="AO85" s="170" t="str">
        <f t="shared" si="61"/>
        <v>0.997649147845907-0.0593335920802276i</v>
      </c>
      <c r="AP85" s="170" t="str">
        <f t="shared" si="62"/>
        <v>0.165491793648962-0.0197545947219188i</v>
      </c>
      <c r="AQ85" s="170" t="str">
        <f t="shared" si="63"/>
        <v>0.834508206351038+0.0197545947219188i</v>
      </c>
      <c r="AR85" s="170" t="str">
        <f t="shared" si="64"/>
        <v>0.997633656233121-0.0236161231367702i</v>
      </c>
    </row>
    <row r="86" spans="1:44">
      <c r="A86" s="170">
        <v>25</v>
      </c>
      <c r="G86" s="688">
        <v>831.76</v>
      </c>
      <c r="H86" s="676">
        <f t="shared" si="56"/>
        <v>0.83175999999999994</v>
      </c>
      <c r="I86" s="677">
        <f t="shared" si="34"/>
        <v>1.239147624274022</v>
      </c>
      <c r="J86" s="678">
        <f t="shared" si="35"/>
        <v>0.63173123670697895</v>
      </c>
      <c r="K86" s="678">
        <f t="shared" si="36"/>
        <v>1.0000006609536727</v>
      </c>
      <c r="L86" s="679">
        <f t="shared" si="37"/>
        <v>1.1497419785107155E-3</v>
      </c>
      <c r="M86" s="678">
        <f t="shared" si="38"/>
        <v>1.0000936155755675</v>
      </c>
      <c r="N86" s="679">
        <f t="shared" si="39"/>
        <v>-1.3682709740464786E-2</v>
      </c>
      <c r="O86" s="677">
        <f t="shared" si="40"/>
        <v>74315.173363648282</v>
      </c>
      <c r="P86" s="680">
        <f t="shared" si="41"/>
        <v>1.570782870592687</v>
      </c>
      <c r="Q86" s="689">
        <f t="shared" si="42"/>
        <v>1.0668029924858327</v>
      </c>
      <c r="R86" s="690">
        <f t="shared" si="43"/>
        <v>0.35576531624887942</v>
      </c>
      <c r="S86" s="677">
        <f t="shared" si="44"/>
        <v>1.0000030681869549</v>
      </c>
      <c r="T86" s="680">
        <f t="shared" si="45"/>
        <v>2.4771673782894338E-3</v>
      </c>
      <c r="U86" s="681">
        <f t="shared" si="57"/>
        <v>0.99686828735381205</v>
      </c>
      <c r="V86" s="682">
        <f t="shared" si="58"/>
        <v>-9.1064302696331881E-2</v>
      </c>
      <c r="W86" s="683">
        <f t="shared" si="46"/>
        <v>10.61577225364864</v>
      </c>
      <c r="X86" s="684">
        <f t="shared" si="47"/>
        <v>-111.88852927820705</v>
      </c>
      <c r="Y86" s="687">
        <f t="shared" si="48"/>
        <v>68.111470721792955</v>
      </c>
      <c r="AA86" s="170">
        <f t="shared" si="49"/>
        <v>1000000000</v>
      </c>
      <c r="AB86" s="170">
        <f t="shared" si="50"/>
        <v>691824.69759999996</v>
      </c>
      <c r="AD86" s="686">
        <f t="shared" si="51"/>
        <v>8.2455580521483771</v>
      </c>
      <c r="AE86" s="687">
        <f t="shared" si="52"/>
        <v>-69.757309213840131</v>
      </c>
      <c r="AG86" s="686">
        <f t="shared" si="53"/>
        <v>60.154517492011166</v>
      </c>
      <c r="AH86" s="687">
        <f t="shared" si="54"/>
        <v>-31.696019634839736</v>
      </c>
      <c r="AJ86" s="170">
        <f t="shared" si="55"/>
        <v>0</v>
      </c>
      <c r="AK86" s="170">
        <f>IF(AJ86&gt;0,Y86,0)</f>
        <v>0</v>
      </c>
      <c r="AM86" s="170" t="str">
        <f t="shared" si="59"/>
        <v>0.00847290082783902+0.129900006186447i</v>
      </c>
      <c r="AN86" s="170" t="str">
        <f t="shared" si="60"/>
        <v>0.130268130745633i</v>
      </c>
      <c r="AO86" s="170" t="str">
        <f t="shared" si="61"/>
        <v>0.997174101162894-0.0650420081975657i</v>
      </c>
      <c r="AP86" s="170" t="str">
        <f t="shared" si="62"/>
        <v>0.165254516528693-0.0216500010310745i</v>
      </c>
      <c r="AQ86" s="170" t="str">
        <f t="shared" si="63"/>
        <v>0.834745483471307+0.0216500010310745i</v>
      </c>
      <c r="AR86" s="170" t="str">
        <f t="shared" si="64"/>
        <v>0.997238142390041-0.0258644188420018i</v>
      </c>
    </row>
    <row r="87" spans="1:44">
      <c r="A87" s="170">
        <v>26</v>
      </c>
      <c r="G87" s="688">
        <v>912.01</v>
      </c>
      <c r="H87" s="676">
        <f t="shared" si="56"/>
        <v>0.91200999999999999</v>
      </c>
      <c r="I87" s="677">
        <f t="shared" si="34"/>
        <v>1.2821081972291934</v>
      </c>
      <c r="J87" s="678">
        <f t="shared" si="35"/>
        <v>0.67618583969271207</v>
      </c>
      <c r="K87" s="678">
        <f t="shared" si="36"/>
        <v>1.0000007946467835</v>
      </c>
      <c r="L87" s="679">
        <f t="shared" si="37"/>
        <v>1.2606714537406671E-3</v>
      </c>
      <c r="M87" s="678">
        <f t="shared" si="38"/>
        <v>1.0001125504249333</v>
      </c>
      <c r="N87" s="679">
        <f t="shared" si="39"/>
        <v>-1.5002657738898067E-2</v>
      </c>
      <c r="O87" s="677">
        <f t="shared" si="40"/>
        <v>81485.261684077748</v>
      </c>
      <c r="P87" s="680">
        <f t="shared" si="41"/>
        <v>1.5707840546369707</v>
      </c>
      <c r="Q87" s="689">
        <f t="shared" si="42"/>
        <v>1.0798130378764954</v>
      </c>
      <c r="R87" s="690">
        <f t="shared" si="43"/>
        <v>0.3868919279958497</v>
      </c>
      <c r="S87" s="677">
        <f t="shared" si="44"/>
        <v>1.000003688797569</v>
      </c>
      <c r="T87" s="680">
        <f t="shared" si="45"/>
        <v>2.716168709667855E-3</v>
      </c>
      <c r="U87" s="681">
        <f t="shared" si="57"/>
        <v>0.99631830887896544</v>
      </c>
      <c r="V87" s="682">
        <f t="shared" si="58"/>
        <v>-9.9823124676554312E-2</v>
      </c>
      <c r="W87" s="683">
        <f t="shared" si="46"/>
        <v>9.6203619719667337</v>
      </c>
      <c r="X87" s="684">
        <f t="shared" si="47"/>
        <v>-113.23704372714846</v>
      </c>
      <c r="Y87" s="687">
        <f t="shared" si="48"/>
        <v>66.76295627285154</v>
      </c>
      <c r="AA87" s="170">
        <f t="shared" si="49"/>
        <v>1000000000</v>
      </c>
      <c r="AB87" s="170">
        <f t="shared" si="50"/>
        <v>831762.24009999994</v>
      </c>
      <c r="AD87" s="686">
        <f t="shared" si="51"/>
        <v>7.550808108295751</v>
      </c>
      <c r="AE87" s="687">
        <f t="shared" si="52"/>
        <v>-67.987647336500473</v>
      </c>
      <c r="AG87" s="686">
        <f t="shared" si="53"/>
        <v>59.863443918343542</v>
      </c>
      <c r="AH87" s="687">
        <f t="shared" si="54"/>
        <v>-33.810508894027599</v>
      </c>
      <c r="AJ87" s="170">
        <f t="shared" si="55"/>
        <v>0</v>
      </c>
      <c r="AK87" s="170">
        <f t="shared" ref="AK87:AK150" si="65">IF(AJ87&gt;0,Y87,0)</f>
        <v>0</v>
      </c>
      <c r="AM87" s="170" t="str">
        <f t="shared" si="59"/>
        <v>0.010183826593322+0.142351476502921i</v>
      </c>
      <c r="AN87" s="170" t="str">
        <f t="shared" si="60"/>
        <v>0.142836681159619i</v>
      </c>
      <c r="AO87" s="170" t="str">
        <f t="shared" si="61"/>
        <v>0.99660308085599-0.0712969981565285i</v>
      </c>
      <c r="AP87" s="170" t="str">
        <f t="shared" si="62"/>
        <v>0.164969362234446-0.0237252460838202i</v>
      </c>
      <c r="AQ87" s="170" t="str">
        <f t="shared" si="63"/>
        <v>0.835030637765554+0.0237252460838202i</v>
      </c>
      <c r="AR87" s="170" t="str">
        <f t="shared" si="64"/>
        <v>0.996763534457594-0.0283204700197173i</v>
      </c>
    </row>
    <row r="88" spans="1:44">
      <c r="A88" s="170">
        <v>27</v>
      </c>
      <c r="G88" s="688">
        <v>1000</v>
      </c>
      <c r="H88" s="676">
        <f t="shared" si="56"/>
        <v>1</v>
      </c>
      <c r="I88" s="677">
        <f t="shared" si="34"/>
        <v>1.3319237914548583</v>
      </c>
      <c r="J88" s="678">
        <f t="shared" si="35"/>
        <v>0.72153345879555142</v>
      </c>
      <c r="K88" s="678">
        <f t="shared" si="36"/>
        <v>1.0000009553772475</v>
      </c>
      <c r="L88" s="679">
        <f t="shared" si="37"/>
        <v>1.3822998855881213E-3</v>
      </c>
      <c r="M88" s="678">
        <f t="shared" si="38"/>
        <v>1.0001353140820348</v>
      </c>
      <c r="N88" s="679">
        <f t="shared" si="39"/>
        <v>-1.6449852616101938E-2</v>
      </c>
      <c r="O88" s="677">
        <f t="shared" si="40"/>
        <v>89346.894971596179</v>
      </c>
      <c r="P88" s="680">
        <f t="shared" si="41"/>
        <v>1.5707851344641464</v>
      </c>
      <c r="Q88" s="689">
        <f t="shared" si="42"/>
        <v>1.0952496021463034</v>
      </c>
      <c r="R88" s="690">
        <f t="shared" si="43"/>
        <v>0.42013499677524602</v>
      </c>
      <c r="S88" s="677">
        <f t="shared" si="44"/>
        <v>1.0000044349166326</v>
      </c>
      <c r="T88" s="680">
        <f t="shared" si="45"/>
        <v>2.978221026759991E-3</v>
      </c>
      <c r="U88" s="681">
        <f t="shared" si="57"/>
        <v>0.99565824483200005</v>
      </c>
      <c r="V88" s="682">
        <f t="shared" si="58"/>
        <v>-0.10941809993987103</v>
      </c>
      <c r="W88" s="683">
        <f t="shared" si="46"/>
        <v>8.60698700484261</v>
      </c>
      <c r="X88" s="684">
        <f t="shared" si="47"/>
        <v>-114.57136068633449</v>
      </c>
      <c r="Y88" s="687">
        <f t="shared" si="48"/>
        <v>65.428639313665514</v>
      </c>
      <c r="AA88" s="170">
        <f t="shared" si="49"/>
        <v>1000000000</v>
      </c>
      <c r="AB88" s="170">
        <f t="shared" si="50"/>
        <v>1000000</v>
      </c>
      <c r="AD88" s="686">
        <f t="shared" si="51"/>
        <v>6.8740843771203952</v>
      </c>
      <c r="AE88" s="687">
        <f t="shared" si="52"/>
        <v>-66.098036156539521</v>
      </c>
      <c r="AG88" s="686">
        <f t="shared" si="53"/>
        <v>59.538305355403203</v>
      </c>
      <c r="AH88" s="687">
        <f t="shared" si="54"/>
        <v>-35.934933857677237</v>
      </c>
      <c r="AJ88" s="170">
        <f t="shared" si="55"/>
        <v>0</v>
      </c>
      <c r="AK88" s="170">
        <f t="shared" si="65"/>
        <v>0</v>
      </c>
      <c r="AM88" s="170" t="str">
        <f t="shared" si="59"/>
        <v>0.012239463698739+0.155977956538241i</v>
      </c>
      <c r="AN88" s="170" t="str">
        <f t="shared" si="60"/>
        <v>0.156617450641571i</v>
      </c>
      <c r="AO88" s="170" t="str">
        <f t="shared" si="61"/>
        <v>0.995916840041066-0.0781487864130147i</v>
      </c>
      <c r="AP88" s="170" t="str">
        <f t="shared" si="62"/>
        <v>0.16462675605021-0.0259963260897068i</v>
      </c>
      <c r="AQ88" s="170" t="str">
        <f t="shared" si="63"/>
        <v>0.83537324394979+0.0259963260897068i</v>
      </c>
      <c r="AR88" s="170" t="str">
        <f t="shared" si="64"/>
        <v>0.996194329105225-0.0310009840699335i</v>
      </c>
    </row>
    <row r="89" spans="1:44">
      <c r="A89" s="170">
        <v>28</v>
      </c>
      <c r="G89" s="688">
        <v>1096.5</v>
      </c>
      <c r="H89" s="676">
        <f t="shared" si="56"/>
        <v>1.0965</v>
      </c>
      <c r="I89" s="677">
        <f t="shared" si="34"/>
        <v>1.3894656935374918</v>
      </c>
      <c r="J89" s="678">
        <f t="shared" si="35"/>
        <v>0.76742460703840931</v>
      </c>
      <c r="K89" s="678">
        <f t="shared" si="36"/>
        <v>1.0000011486616569</v>
      </c>
      <c r="L89" s="679">
        <f t="shared" si="37"/>
        <v>1.5156916292411388E-3</v>
      </c>
      <c r="M89" s="678">
        <f t="shared" si="38"/>
        <v>1.0001626875519172</v>
      </c>
      <c r="N89" s="679">
        <f t="shared" si="39"/>
        <v>-1.8036934270863312E-2</v>
      </c>
      <c r="O89" s="677">
        <f t="shared" si="40"/>
        <v>97968.870335322674</v>
      </c>
      <c r="P89" s="680">
        <f t="shared" si="41"/>
        <v>1.570786119470911</v>
      </c>
      <c r="Q89" s="689">
        <f t="shared" si="42"/>
        <v>1.1135292941115118</v>
      </c>
      <c r="R89" s="690">
        <f t="shared" si="43"/>
        <v>0.45549013275219458</v>
      </c>
      <c r="S89" s="677">
        <f t="shared" si="44"/>
        <v>1.0000053321522029</v>
      </c>
      <c r="T89" s="680">
        <f t="shared" si="45"/>
        <v>3.2656174024966794E-3</v>
      </c>
      <c r="U89" s="681">
        <f t="shared" si="57"/>
        <v>0.99486613471255525</v>
      </c>
      <c r="V89" s="682">
        <f t="shared" si="58"/>
        <v>-0.11992971799709762</v>
      </c>
      <c r="W89" s="683">
        <f t="shared" si="46"/>
        <v>7.5765347807455328</v>
      </c>
      <c r="X89" s="684">
        <f t="shared" si="47"/>
        <v>-115.87711440682851</v>
      </c>
      <c r="Y89" s="687">
        <f t="shared" si="48"/>
        <v>64.122885593171489</v>
      </c>
      <c r="AA89" s="170">
        <f t="shared" si="49"/>
        <v>1000000000</v>
      </c>
      <c r="AB89" s="170">
        <f t="shared" si="50"/>
        <v>1202312.25</v>
      </c>
      <c r="AD89" s="686">
        <f t="shared" si="51"/>
        <v>6.2176747158459653</v>
      </c>
      <c r="AE89" s="687">
        <f t="shared" si="52"/>
        <v>-64.088859114760893</v>
      </c>
      <c r="AG89" s="686">
        <f t="shared" si="53"/>
        <v>59.178088659799414</v>
      </c>
      <c r="AH89" s="687">
        <f t="shared" si="54"/>
        <v>-38.045321917508332</v>
      </c>
      <c r="AJ89" s="170">
        <f t="shared" si="55"/>
        <v>0</v>
      </c>
      <c r="AK89" s="170">
        <f t="shared" si="65"/>
        <v>0</v>
      </c>
      <c r="AM89" s="170" t="str">
        <f t="shared" si="59"/>
        <v>0.014709570091533+0.170888176100008i</v>
      </c>
      <c r="AN89" s="170" t="str">
        <f t="shared" si="60"/>
        <v>0.171731034628483i</v>
      </c>
      <c r="AO89" s="170" t="str">
        <f t="shared" si="61"/>
        <v>0.995091984798797-0.0856546990668005i</v>
      </c>
      <c r="AP89" s="170" t="str">
        <f t="shared" si="62"/>
        <v>0.164215071651411-0.0284813626833347i</v>
      </c>
      <c r="AQ89" s="170" t="str">
        <f t="shared" si="63"/>
        <v>0.835784928348589+0.0284813626833347i</v>
      </c>
      <c r="AR89" s="170" t="str">
        <f t="shared" si="64"/>
        <v>0.995511832734034-0.0339244374981402i</v>
      </c>
    </row>
    <row r="90" spans="1:44">
      <c r="A90" s="170">
        <v>29</v>
      </c>
      <c r="G90" s="688">
        <v>1202.3</v>
      </c>
      <c r="H90" s="676">
        <f t="shared" si="56"/>
        <v>1.2022999999999999</v>
      </c>
      <c r="I90" s="677">
        <f t="shared" si="34"/>
        <v>1.4556328213549252</v>
      </c>
      <c r="J90" s="678">
        <f t="shared" si="35"/>
        <v>0.81346253750501019</v>
      </c>
      <c r="K90" s="678">
        <f t="shared" si="36"/>
        <v>1.0000013810216788</v>
      </c>
      <c r="L90" s="679">
        <f t="shared" si="37"/>
        <v>1.6619386808463053E-3</v>
      </c>
      <c r="M90" s="678">
        <f t="shared" si="38"/>
        <v>1.0001955940328739</v>
      </c>
      <c r="N90" s="679">
        <f t="shared" si="39"/>
        <v>-1.9776863115234338E-2</v>
      </c>
      <c r="O90" s="677">
        <f t="shared" si="40"/>
        <v>107421.77182227635</v>
      </c>
      <c r="P90" s="680">
        <f t="shared" si="41"/>
        <v>1.570787017695046</v>
      </c>
      <c r="Q90" s="689">
        <f t="shared" si="42"/>
        <v>1.1351149397796376</v>
      </c>
      <c r="R90" s="690">
        <f t="shared" si="43"/>
        <v>0.49289214009477111</v>
      </c>
      <c r="S90" s="677">
        <f t="shared" si="44"/>
        <v>1.0000064107778179</v>
      </c>
      <c r="T90" s="680">
        <f t="shared" si="45"/>
        <v>3.5807104238313589E-3</v>
      </c>
      <c r="U90" s="681">
        <f t="shared" si="57"/>
        <v>0.99391625021613084</v>
      </c>
      <c r="V90" s="682">
        <f t="shared" si="58"/>
        <v>-0.13143947175983986</v>
      </c>
      <c r="W90" s="683">
        <f t="shared" si="46"/>
        <v>6.5311154874989361</v>
      </c>
      <c r="X90" s="684">
        <f t="shared" si="47"/>
        <v>-117.14079287465928</v>
      </c>
      <c r="Y90" s="687">
        <f t="shared" si="48"/>
        <v>62.859207125340717</v>
      </c>
      <c r="AA90" s="170">
        <f t="shared" si="49"/>
        <v>1000000000</v>
      </c>
      <c r="AB90" s="170">
        <f t="shared" si="50"/>
        <v>1445525.2899999998</v>
      </c>
      <c r="AD90" s="686">
        <f t="shared" si="51"/>
        <v>5.5843449845972213</v>
      </c>
      <c r="AE90" s="687">
        <f t="shared" si="52"/>
        <v>-61.96398691101443</v>
      </c>
      <c r="AG90" s="686">
        <f t="shared" si="53"/>
        <v>58.782593356871338</v>
      </c>
      <c r="AH90" s="687">
        <f t="shared" si="54"/>
        <v>-40.114951959898583</v>
      </c>
      <c r="AJ90" s="170">
        <f t="shared" si="55"/>
        <v>0</v>
      </c>
      <c r="AK90" s="170">
        <f t="shared" si="65"/>
        <v>0</v>
      </c>
      <c r="AM90" s="170" t="str">
        <f t="shared" si="59"/>
        <v>0.017676341221505+0.187190356065772i</v>
      </c>
      <c r="AN90" s="170" t="str">
        <f t="shared" si="60"/>
        <v>0.188301160906361i</v>
      </c>
      <c r="AO90" s="170" t="str">
        <f t="shared" si="61"/>
        <v>0.994100913476888-0.0938727150508389i</v>
      </c>
      <c r="AP90" s="170" t="str">
        <f t="shared" si="62"/>
        <v>0.163720609796416-0.0311983926776287i</v>
      </c>
      <c r="AQ90" s="170" t="str">
        <f t="shared" si="63"/>
        <v>0.836279390203584+0.0311983926776287i</v>
      </c>
      <c r="AR90" s="170" t="str">
        <f t="shared" si="64"/>
        <v>0.99469422793665-0.0371082457380466i</v>
      </c>
    </row>
    <row r="91" spans="1:44">
      <c r="A91" s="170">
        <v>30</v>
      </c>
      <c r="G91" s="688">
        <v>1318.3</v>
      </c>
      <c r="H91" s="676">
        <f t="shared" si="56"/>
        <v>1.3183</v>
      </c>
      <c r="I91" s="677">
        <f t="shared" si="34"/>
        <v>1.5313989020386027</v>
      </c>
      <c r="J91" s="678">
        <f t="shared" si="35"/>
        <v>0.85926048508455466</v>
      </c>
      <c r="K91" s="678">
        <f t="shared" si="36"/>
        <v>1.0000016603637587</v>
      </c>
      <c r="L91" s="679">
        <f t="shared" si="37"/>
        <v>1.8222850827138385E-3</v>
      </c>
      <c r="M91" s="678">
        <f t="shared" si="38"/>
        <v>1.0002351526201421</v>
      </c>
      <c r="N91" s="679">
        <f t="shared" si="39"/>
        <v>-2.168439755944291E-2</v>
      </c>
      <c r="O91" s="677">
        <f t="shared" si="40"/>
        <v>117786.0116379228</v>
      </c>
      <c r="P91" s="680">
        <f t="shared" si="41"/>
        <v>1.570787836822394</v>
      </c>
      <c r="Q91" s="689">
        <f t="shared" si="42"/>
        <v>1.1605337622896725</v>
      </c>
      <c r="R91" s="690">
        <f t="shared" si="43"/>
        <v>0.53224007200836965</v>
      </c>
      <c r="S91" s="677">
        <f t="shared" si="44"/>
        <v>1.0000077074950398</v>
      </c>
      <c r="T91" s="680">
        <f t="shared" si="45"/>
        <v>3.9261802137847612E-3</v>
      </c>
      <c r="U91" s="681">
        <f t="shared" si="57"/>
        <v>0.99277770399281706</v>
      </c>
      <c r="V91" s="682">
        <f t="shared" si="58"/>
        <v>-0.14403929635356888</v>
      </c>
      <c r="W91" s="683">
        <f t="shared" si="46"/>
        <v>5.4730955138836554</v>
      </c>
      <c r="X91" s="684">
        <f t="shared" si="47"/>
        <v>-118.35221571761667</v>
      </c>
      <c r="Y91" s="687">
        <f t="shared" si="48"/>
        <v>61.647784282383327</v>
      </c>
      <c r="AA91" s="170">
        <f t="shared" si="49"/>
        <v>1000000000</v>
      </c>
      <c r="AB91" s="170">
        <f t="shared" si="50"/>
        <v>1737914.89</v>
      </c>
      <c r="AD91" s="686">
        <f t="shared" si="51"/>
        <v>4.976664418612347</v>
      </c>
      <c r="AE91" s="687">
        <f t="shared" si="52"/>
        <v>-59.729357370697187</v>
      </c>
      <c r="AG91" s="686">
        <f t="shared" si="53"/>
        <v>58.352164993728131</v>
      </c>
      <c r="AH91" s="687">
        <f t="shared" si="54"/>
        <v>-42.117170797871793</v>
      </c>
      <c r="AJ91" s="170">
        <f t="shared" si="55"/>
        <v>0</v>
      </c>
      <c r="AK91" s="170">
        <f t="shared" si="65"/>
        <v>0</v>
      </c>
      <c r="AM91" s="170" t="str">
        <f t="shared" si="59"/>
        <v>0.0212390678793331+0.205004970072151i</v>
      </c>
      <c r="AN91" s="170" t="str">
        <f t="shared" si="60"/>
        <v>0.206468785180783i</v>
      </c>
      <c r="AO91" s="170" t="str">
        <f t="shared" si="61"/>
        <v>0.992910235281569-0.102868178648585i</v>
      </c>
      <c r="AP91" s="170" t="str">
        <f t="shared" si="62"/>
        <v>0.163126822020111-0.0341674950120252i</v>
      </c>
      <c r="AQ91" s="170" t="str">
        <f t="shared" si="63"/>
        <v>0.836873177979889+0.0341674950120252i</v>
      </c>
      <c r="AR91" s="170" t="str">
        <f t="shared" si="64"/>
        <v>0.993715431489407-0.0405709824883439i</v>
      </c>
    </row>
    <row r="92" spans="1:44">
      <c r="A92" s="170">
        <v>31</v>
      </c>
      <c r="G92" s="688">
        <v>1445.4</v>
      </c>
      <c r="H92" s="676">
        <f t="shared" si="56"/>
        <v>1.4454</v>
      </c>
      <c r="I92" s="677">
        <f t="shared" si="34"/>
        <v>1.6177360915503207</v>
      </c>
      <c r="J92" s="678">
        <f t="shared" si="35"/>
        <v>0.90441212061286536</v>
      </c>
      <c r="K92" s="678">
        <f t="shared" si="36"/>
        <v>1.0000019959551076</v>
      </c>
      <c r="L92" s="679">
        <f t="shared" si="37"/>
        <v>1.9979748685978144E-3</v>
      </c>
      <c r="M92" s="678">
        <f t="shared" si="38"/>
        <v>1.0002826748046971</v>
      </c>
      <c r="N92" s="679">
        <f t="shared" si="39"/>
        <v>-2.3774281617637342E-2</v>
      </c>
      <c r="O92" s="677">
        <f t="shared" si="40"/>
        <v>129142.00198772813</v>
      </c>
      <c r="P92" s="680">
        <f t="shared" si="41"/>
        <v>1.5707885833807895</v>
      </c>
      <c r="Q92" s="689">
        <f t="shared" si="42"/>
        <v>1.1903534840163905</v>
      </c>
      <c r="R92" s="690">
        <f t="shared" si="43"/>
        <v>0.57335349610407038</v>
      </c>
      <c r="S92" s="677">
        <f t="shared" si="44"/>
        <v>1.0000092653218973</v>
      </c>
      <c r="T92" s="680">
        <f t="shared" si="45"/>
        <v>4.3047068098072492E-3</v>
      </c>
      <c r="U92" s="681">
        <f t="shared" si="57"/>
        <v>0.99141477799502098</v>
      </c>
      <c r="V92" s="682">
        <f t="shared" si="58"/>
        <v>-0.15781915039666741</v>
      </c>
      <c r="W92" s="683">
        <f t="shared" si="46"/>
        <v>4.4060655514913085</v>
      </c>
      <c r="X92" s="684">
        <f t="shared" si="47"/>
        <v>-119.50452167378155</v>
      </c>
      <c r="Y92" s="687">
        <f t="shared" si="48"/>
        <v>60.495478326218446</v>
      </c>
      <c r="AA92" s="170">
        <f t="shared" si="49"/>
        <v>1000000000</v>
      </c>
      <c r="AB92" s="170">
        <f t="shared" si="50"/>
        <v>2089181.1600000001</v>
      </c>
      <c r="AD92" s="686">
        <f t="shared" si="51"/>
        <v>4.397538280077474</v>
      </c>
      <c r="AE92" s="687">
        <f t="shared" si="52"/>
        <v>-57.395462437045978</v>
      </c>
      <c r="AG92" s="686">
        <f t="shared" si="53"/>
        <v>57.888126247016174</v>
      </c>
      <c r="AH92" s="687">
        <f t="shared" si="54"/>
        <v>-44.024316727931847</v>
      </c>
      <c r="AJ92" s="170">
        <f t="shared" si="55"/>
        <v>0</v>
      </c>
      <c r="AK92" s="170">
        <f t="shared" si="65"/>
        <v>0</v>
      </c>
      <c r="AM92" s="170" t="str">
        <f t="shared" si="59"/>
        <v>0.025513554853383+0.22444635935009i</v>
      </c>
      <c r="AN92" s="170" t="str">
        <f t="shared" si="60"/>
        <v>0.226374863157327i</v>
      </c>
      <c r="AO92" s="170" t="str">
        <f t="shared" si="61"/>
        <v>0.991480927783502-0.112704893544879i</v>
      </c>
      <c r="AP92" s="170" t="str">
        <f t="shared" si="62"/>
        <v>0.162414407524436-0.0374077265583483i</v>
      </c>
      <c r="AQ92" s="170" t="str">
        <f t="shared" si="63"/>
        <v>0.837585592475564+0.0374077265583483i</v>
      </c>
      <c r="AR92" s="170" t="str">
        <f t="shared" si="64"/>
        <v>0.992545455680853-0.0443284475477935i</v>
      </c>
    </row>
    <row r="93" spans="1:44">
      <c r="A93" s="170">
        <v>32</v>
      </c>
      <c r="G93" s="688">
        <v>1584.9</v>
      </c>
      <c r="H93" s="676">
        <f t="shared" si="56"/>
        <v>1.5849000000000002</v>
      </c>
      <c r="I93" s="677">
        <f t="shared" si="34"/>
        <v>1.7158873841989484</v>
      </c>
      <c r="J93" s="678">
        <f t="shared" si="35"/>
        <v>0.94863995924352462</v>
      </c>
      <c r="K93" s="678">
        <f t="shared" si="36"/>
        <v>1.0000023998180274</v>
      </c>
      <c r="L93" s="679">
        <f t="shared" si="37"/>
        <v>2.1908049790114919E-3</v>
      </c>
      <c r="M93" s="678">
        <f t="shared" si="38"/>
        <v>1.0003398617699109</v>
      </c>
      <c r="N93" s="679">
        <f t="shared" si="39"/>
        <v>-2.6067817047046912E-2</v>
      </c>
      <c r="O93" s="677">
        <f t="shared" si="40"/>
        <v>141605.89383514435</v>
      </c>
      <c r="P93" s="680">
        <f t="shared" si="41"/>
        <v>1.5707892649419404</v>
      </c>
      <c r="Q93" s="689">
        <f t="shared" si="42"/>
        <v>1.225277817148525</v>
      </c>
      <c r="R93" s="690">
        <f t="shared" si="43"/>
        <v>0.61609456646911165</v>
      </c>
      <c r="S93" s="677">
        <f t="shared" si="44"/>
        <v>1.0000111400652649</v>
      </c>
      <c r="T93" s="680">
        <f t="shared" si="45"/>
        <v>4.72016140579605E-3</v>
      </c>
      <c r="U93" s="681">
        <f t="shared" si="57"/>
        <v>0.98978160035753526</v>
      </c>
      <c r="V93" s="682">
        <f t="shared" si="58"/>
        <v>-0.1729097243003872</v>
      </c>
      <c r="W93" s="683">
        <f t="shared" si="46"/>
        <v>3.3315031415165581</v>
      </c>
      <c r="X93" s="684">
        <f t="shared" si="47"/>
        <v>-120.59853781116496</v>
      </c>
      <c r="Y93" s="687">
        <f t="shared" si="48"/>
        <v>59.40146218883504</v>
      </c>
      <c r="AA93" s="170">
        <f t="shared" si="49"/>
        <v>1000000000</v>
      </c>
      <c r="AB93" s="170">
        <f t="shared" si="50"/>
        <v>2511908.0100000002</v>
      </c>
      <c r="AD93" s="686">
        <f t="shared" si="51"/>
        <v>3.848418167085101</v>
      </c>
      <c r="AE93" s="687">
        <f t="shared" si="52"/>
        <v>-54.97042233599332</v>
      </c>
      <c r="AG93" s="686">
        <f t="shared" si="53"/>
        <v>57.391324430274445</v>
      </c>
      <c r="AH93" s="687">
        <f t="shared" si="54"/>
        <v>-45.814120574165173</v>
      </c>
      <c r="AJ93" s="170">
        <f t="shared" si="55"/>
        <v>0</v>
      </c>
      <c r="AK93" s="170">
        <f t="shared" si="65"/>
        <v>0</v>
      </c>
      <c r="AM93" s="170" t="str">
        <f t="shared" si="59"/>
        <v>0.030649470857317+0.245681809767839i</v>
      </c>
      <c r="AN93" s="170" t="str">
        <f t="shared" si="60"/>
        <v>0.248222997521826i</v>
      </c>
      <c r="AO93" s="170" t="str">
        <f t="shared" si="61"/>
        <v>0.989762480594637-0.123475548854501i</v>
      </c>
      <c r="AP93" s="170" t="str">
        <f t="shared" si="62"/>
        <v>0.16155842152378-0.0409469682946398i</v>
      </c>
      <c r="AQ93" s="170" t="str">
        <f t="shared" si="63"/>
        <v>0.83844157847622+0.0409469682946398i</v>
      </c>
      <c r="AR93" s="170" t="str">
        <f t="shared" si="64"/>
        <v>0.991145954668375-0.0484045913549808i</v>
      </c>
    </row>
    <row r="94" spans="1:44">
      <c r="A94" s="170">
        <v>33</v>
      </c>
      <c r="G94" s="688">
        <v>1737.8</v>
      </c>
      <c r="H94" s="676">
        <f t="shared" si="56"/>
        <v>1.7378</v>
      </c>
      <c r="I94" s="677">
        <f t="shared" si="34"/>
        <v>1.8268836250680196</v>
      </c>
      <c r="J94" s="678">
        <f t="shared" si="35"/>
        <v>0.99156567746835567</v>
      </c>
      <c r="K94" s="678">
        <f t="shared" si="36"/>
        <v>1.0000028851876264</v>
      </c>
      <c r="L94" s="679">
        <f t="shared" si="37"/>
        <v>2.4021576507048908E-3</v>
      </c>
      <c r="M94" s="678">
        <f t="shared" si="38"/>
        <v>1.000408585781388</v>
      </c>
      <c r="N94" s="679">
        <f t="shared" si="39"/>
        <v>-2.8581347458038617E-2</v>
      </c>
      <c r="O94" s="677">
        <f t="shared" si="40"/>
        <v>155267.03407513507</v>
      </c>
      <c r="P94" s="680">
        <f t="shared" si="41"/>
        <v>1.5707898862777194</v>
      </c>
      <c r="Q94" s="689">
        <f t="shared" si="42"/>
        <v>1.2659764202927435</v>
      </c>
      <c r="R94" s="690">
        <f t="shared" si="43"/>
        <v>0.6601436848637332</v>
      </c>
      <c r="S94" s="677">
        <f t="shared" si="44"/>
        <v>1.0000133931613502</v>
      </c>
      <c r="T94" s="680">
        <f t="shared" si="45"/>
        <v>5.1755215913539612E-3</v>
      </c>
      <c r="U94" s="681">
        <f t="shared" si="57"/>
        <v>0.9878288795242649</v>
      </c>
      <c r="V94" s="682">
        <f t="shared" si="58"/>
        <v>-0.18940579118777318</v>
      </c>
      <c r="W94" s="683">
        <f t="shared" si="46"/>
        <v>2.254351671654875</v>
      </c>
      <c r="X94" s="684">
        <f t="shared" si="47"/>
        <v>-121.63735761999075</v>
      </c>
      <c r="Y94" s="687">
        <f t="shared" si="48"/>
        <v>58.362642380009248</v>
      </c>
      <c r="AA94" s="170">
        <f t="shared" si="49"/>
        <v>1000000000</v>
      </c>
      <c r="AB94" s="170">
        <f t="shared" si="50"/>
        <v>3019948.84</v>
      </c>
      <c r="AD94" s="686">
        <f t="shared" si="51"/>
        <v>3.3322609625824189</v>
      </c>
      <c r="AE94" s="687">
        <f t="shared" si="52"/>
        <v>-52.472719574563946</v>
      </c>
      <c r="AG94" s="686">
        <f t="shared" si="53"/>
        <v>56.864636462007965</v>
      </c>
      <c r="AH94" s="687">
        <f t="shared" si="54"/>
        <v>-47.460333119834907</v>
      </c>
      <c r="AJ94" s="170">
        <f t="shared" si="55"/>
        <v>0</v>
      </c>
      <c r="AK94" s="170">
        <f t="shared" si="65"/>
        <v>0</v>
      </c>
      <c r="AM94" s="170" t="str">
        <f t="shared" si="59"/>
        <v>0.03681012732153+0.268822002763226i</v>
      </c>
      <c r="AN94" s="170" t="str">
        <f t="shared" si="60"/>
        <v>0.272169805724922i</v>
      </c>
      <c r="AO94" s="170" t="str">
        <f t="shared" si="61"/>
        <v>0.987699579853176-0.135246917722877i</v>
      </c>
      <c r="AP94" s="170" t="str">
        <f t="shared" si="62"/>
        <v>0.160531645446412-0.0448036671272043i</v>
      </c>
      <c r="AQ94" s="170" t="str">
        <f t="shared" si="63"/>
        <v>0.839468354553588+0.0448036671272043i</v>
      </c>
      <c r="AR94" s="170" t="str">
        <f t="shared" si="64"/>
        <v>0.989476163741036-0.0528098056705561i</v>
      </c>
    </row>
    <row r="95" spans="1:44">
      <c r="A95" s="170">
        <v>34</v>
      </c>
      <c r="G95" s="688">
        <v>1905.5</v>
      </c>
      <c r="H95" s="676">
        <f t="shared" si="56"/>
        <v>1.9055</v>
      </c>
      <c r="I95" s="677">
        <f t="shared" si="34"/>
        <v>1.9520287428945056</v>
      </c>
      <c r="J95" s="678">
        <f t="shared" si="35"/>
        <v>1.0329500441338193</v>
      </c>
      <c r="K95" s="678">
        <f t="shared" si="36"/>
        <v>1.0000034689037884</v>
      </c>
      <c r="L95" s="679">
        <f t="shared" si="37"/>
        <v>2.6339680182926122E-3</v>
      </c>
      <c r="M95" s="678">
        <f t="shared" si="38"/>
        <v>1.0004912285819376</v>
      </c>
      <c r="N95" s="679">
        <f t="shared" si="39"/>
        <v>-3.1337759277292668E-2</v>
      </c>
      <c r="O95" s="677">
        <f t="shared" si="40"/>
        <v>170250.5083606499</v>
      </c>
      <c r="P95" s="680">
        <f t="shared" si="41"/>
        <v>1.5707904530973105</v>
      </c>
      <c r="Q95" s="689">
        <f t="shared" si="42"/>
        <v>1.3132520283256726</v>
      </c>
      <c r="R95" s="690">
        <f t="shared" si="43"/>
        <v>0.7052207799824276</v>
      </c>
      <c r="S95" s="677">
        <f t="shared" si="44"/>
        <v>1.0000161027790146</v>
      </c>
      <c r="T95" s="680">
        <f t="shared" si="45"/>
        <v>5.6749560235812898E-3</v>
      </c>
      <c r="U95" s="681">
        <f t="shared" si="57"/>
        <v>0.98549490209480728</v>
      </c>
      <c r="V95" s="682">
        <f t="shared" si="58"/>
        <v>-0.20744095350078068</v>
      </c>
      <c r="W95" s="683">
        <f t="shared" si="46"/>
        <v>1.1772635397435045</v>
      </c>
      <c r="X95" s="684">
        <f t="shared" si="47"/>
        <v>-122.63241551885203</v>
      </c>
      <c r="Y95" s="687">
        <f t="shared" si="48"/>
        <v>57.367584481147972</v>
      </c>
      <c r="AA95" s="170">
        <f t="shared" si="49"/>
        <v>1000000000</v>
      </c>
      <c r="AB95" s="170">
        <f t="shared" si="50"/>
        <v>3630930.25</v>
      </c>
      <c r="AD95" s="686">
        <f t="shared" si="51"/>
        <v>2.8505034937272935</v>
      </c>
      <c r="AE95" s="687">
        <f t="shared" si="52"/>
        <v>-49.918640230114981</v>
      </c>
      <c r="AG95" s="686">
        <f t="shared" si="53"/>
        <v>56.310399267772624</v>
      </c>
      <c r="AH95" s="687">
        <f t="shared" si="54"/>
        <v>-48.942792994046172</v>
      </c>
      <c r="AJ95" s="170">
        <f t="shared" si="55"/>
        <v>0</v>
      </c>
      <c r="AK95" s="170">
        <f t="shared" si="65"/>
        <v>0</v>
      </c>
      <c r="AM95" s="170" t="str">
        <f t="shared" si="59"/>
        <v>0.044202060191611+0.294024315759835i</v>
      </c>
      <c r="AN95" s="170" t="str">
        <f t="shared" si="60"/>
        <v>0.298434552197514i</v>
      </c>
      <c r="AO95" s="170" t="str">
        <f t="shared" si="61"/>
        <v>0.985222098429272-0.148113078281755i</v>
      </c>
      <c r="AP95" s="170" t="str">
        <f t="shared" si="62"/>
        <v>0.159299656634732-0.0490040526266392i</v>
      </c>
      <c r="AQ95" s="170" t="str">
        <f t="shared" si="63"/>
        <v>0.840700343365268+0.0490040526266392i</v>
      </c>
      <c r="AR95" s="170" t="str">
        <f t="shared" si="64"/>
        <v>0.987485408921436-0.0575600894286771i</v>
      </c>
    </row>
    <row r="96" spans="1:44">
      <c r="A96" s="170">
        <v>35</v>
      </c>
      <c r="G96" s="688">
        <v>2089.3000000000002</v>
      </c>
      <c r="H96" s="676">
        <f t="shared" si="56"/>
        <v>2.0893000000000002</v>
      </c>
      <c r="I96" s="677">
        <f t="shared" si="34"/>
        <v>2.0925431092034166</v>
      </c>
      <c r="J96" s="678">
        <f t="shared" si="35"/>
        <v>1.072548181282456</v>
      </c>
      <c r="K96" s="678">
        <f t="shared" si="36"/>
        <v>1.0000041703816851</v>
      </c>
      <c r="L96" s="679">
        <f t="shared" si="37"/>
        <v>2.8880329609384052E-3</v>
      </c>
      <c r="M96" s="678">
        <f t="shared" si="38"/>
        <v>1.0005905351760949</v>
      </c>
      <c r="N96" s="679">
        <f t="shared" si="39"/>
        <v>-3.4358251196360552E-2</v>
      </c>
      <c r="O96" s="677">
        <f t="shared" si="40"/>
        <v>186672.46765514233</v>
      </c>
      <c r="P96" s="680">
        <f t="shared" si="41"/>
        <v>1.5707909698185167</v>
      </c>
      <c r="Q96" s="689">
        <f t="shared" si="42"/>
        <v>1.3679054260022891</v>
      </c>
      <c r="R96" s="690">
        <f t="shared" si="43"/>
        <v>0.75094456362027484</v>
      </c>
      <c r="S96" s="677">
        <f t="shared" si="44"/>
        <v>1.0000193590404911</v>
      </c>
      <c r="T96" s="680">
        <f t="shared" si="45"/>
        <v>6.2223352828401548E-3</v>
      </c>
      <c r="U96" s="681">
        <f t="shared" si="57"/>
        <v>0.98271063299424932</v>
      </c>
      <c r="V96" s="682">
        <f t="shared" si="58"/>
        <v>-0.22713234706377722</v>
      </c>
      <c r="W96" s="683">
        <f t="shared" si="46"/>
        <v>0.10408761690432572</v>
      </c>
      <c r="X96" s="684">
        <f t="shared" si="47"/>
        <v>-123.59957229060004</v>
      </c>
      <c r="Y96" s="687">
        <f t="shared" si="48"/>
        <v>56.400427709399963</v>
      </c>
      <c r="AA96" s="170">
        <f t="shared" si="49"/>
        <v>1000000000</v>
      </c>
      <c r="AB96" s="170">
        <f t="shared" si="50"/>
        <v>4365174.4900000012</v>
      </c>
      <c r="AD96" s="686">
        <f t="shared" si="51"/>
        <v>2.4047980276481873</v>
      </c>
      <c r="AE96" s="687">
        <f t="shared" si="52"/>
        <v>-47.330252528632172</v>
      </c>
      <c r="AG96" s="686">
        <f t="shared" si="53"/>
        <v>55.732077885803577</v>
      </c>
      <c r="AH96" s="687">
        <f t="shared" si="54"/>
        <v>-50.241869976917016</v>
      </c>
      <c r="AJ96" s="170">
        <f t="shared" si="55"/>
        <v>2089.3000000000002</v>
      </c>
      <c r="AK96" s="170">
        <f t="shared" si="65"/>
        <v>56.400427709399963</v>
      </c>
      <c r="AM96" s="170" t="str">
        <f t="shared" si="59"/>
        <v>0.053060743573327+0.321412576975605i</v>
      </c>
      <c r="AN96" s="170" t="str">
        <f t="shared" si="60"/>
        <v>0.327220839625435i</v>
      </c>
      <c r="AO96" s="170" t="str">
        <f t="shared" si="61"/>
        <v>0.982249716563044-0.162155758887682i</v>
      </c>
      <c r="AP96" s="170" t="str">
        <f t="shared" si="62"/>
        <v>0.157823209404445-0.0535687628292675i</v>
      </c>
      <c r="AQ96" s="170" t="str">
        <f t="shared" si="63"/>
        <v>0.842176790595555+0.0535687628292675i</v>
      </c>
      <c r="AR96" s="170" t="str">
        <f t="shared" si="64"/>
        <v>0.98511778442374-0.0626608825391291i</v>
      </c>
    </row>
    <row r="97" spans="1:44">
      <c r="A97" s="170" t="s">
        <v>801</v>
      </c>
      <c r="G97" s="688">
        <v>2290.9</v>
      </c>
      <c r="H97" s="676">
        <f t="shared" si="56"/>
        <v>2.2909000000000002</v>
      </c>
      <c r="I97" s="677">
        <f t="shared" si="34"/>
        <v>2.2499410204318142</v>
      </c>
      <c r="J97" s="678">
        <f t="shared" si="35"/>
        <v>1.1102293293705396</v>
      </c>
      <c r="K97" s="678">
        <f t="shared" si="36"/>
        <v>1.0000050140224872</v>
      </c>
      <c r="L97" s="679">
        <f t="shared" si="37"/>
        <v>3.1667022395536755E-3</v>
      </c>
      <c r="M97" s="678">
        <f t="shared" si="38"/>
        <v>1.0007099544813858</v>
      </c>
      <c r="N97" s="679">
        <f t="shared" si="39"/>
        <v>-3.767053772440148E-2</v>
      </c>
      <c r="O97" s="677">
        <f t="shared" si="40"/>
        <v>204684.80168005222</v>
      </c>
      <c r="P97" s="680">
        <f t="shared" si="41"/>
        <v>1.5707914412343089</v>
      </c>
      <c r="Q97" s="689">
        <f t="shared" si="42"/>
        <v>1.430872706059158</v>
      </c>
      <c r="R97" s="690">
        <f t="shared" si="43"/>
        <v>0.79697406740822174</v>
      </c>
      <c r="S97" s="677">
        <f t="shared" si="44"/>
        <v>1.0000232752113756</v>
      </c>
      <c r="T97" s="680">
        <f t="shared" si="45"/>
        <v>6.8227208558223991E-3</v>
      </c>
      <c r="U97" s="681">
        <f t="shared" si="57"/>
        <v>0.97939144308421333</v>
      </c>
      <c r="V97" s="682">
        <f t="shared" si="58"/>
        <v>-0.24863266661814476</v>
      </c>
      <c r="W97" s="683">
        <f t="shared" si="46"/>
        <v>-0.96343189036444687</v>
      </c>
      <c r="X97" s="684">
        <f t="shared" si="47"/>
        <v>-124.5613643474686</v>
      </c>
      <c r="Y97" s="687">
        <f t="shared" si="48"/>
        <v>55.438635652531403</v>
      </c>
      <c r="AA97" s="170">
        <f t="shared" si="49"/>
        <v>2290.9</v>
      </c>
      <c r="AB97" s="170">
        <f t="shared" si="50"/>
        <v>5248222.8100000005</v>
      </c>
      <c r="AD97" s="686">
        <f t="shared" si="51"/>
        <v>1.9955560002504102</v>
      </c>
      <c r="AE97" s="687">
        <f t="shared" si="52"/>
        <v>-44.727382795074888</v>
      </c>
      <c r="AG97" s="686">
        <f t="shared" si="53"/>
        <v>55.132574401635949</v>
      </c>
      <c r="AH97" s="687">
        <f t="shared" si="54"/>
        <v>-51.342776627231942</v>
      </c>
      <c r="AJ97" s="170">
        <f t="shared" si="55"/>
        <v>0</v>
      </c>
      <c r="AK97" s="170">
        <f t="shared" si="65"/>
        <v>0</v>
      </c>
      <c r="AM97" s="170" t="str">
        <f t="shared" si="59"/>
        <v>0.063679336538219+0.351146145037206i</v>
      </c>
      <c r="AN97" s="170" t="str">
        <f t="shared" si="60"/>
        <v>0.358794917674775i</v>
      </c>
      <c r="AO97" s="170" t="str">
        <f t="shared" si="61"/>
        <v>0.978682048544227-0.177481155393456i</v>
      </c>
      <c r="AP97" s="170" t="str">
        <f t="shared" si="62"/>
        <v>0.156053443910297-0.058524357506201i</v>
      </c>
      <c r="AQ97" s="170" t="str">
        <f t="shared" si="63"/>
        <v>0.843946556089703+0.058524357506201i</v>
      </c>
      <c r="AR97" s="170" t="str">
        <f t="shared" si="64"/>
        <v>0.982305541678216-0.0681190062174836i</v>
      </c>
    </row>
    <row r="98" spans="1:44">
      <c r="G98" s="688">
        <v>2511.9</v>
      </c>
      <c r="H98" s="676">
        <f t="shared" si="56"/>
        <v>2.5119000000000002</v>
      </c>
      <c r="I98" s="677">
        <f t="shared" si="34"/>
        <v>2.4256535246846633</v>
      </c>
      <c r="J98" s="678">
        <f t="shared" si="35"/>
        <v>1.1458630075012111</v>
      </c>
      <c r="K98" s="678">
        <f t="shared" si="36"/>
        <v>1.0000060280727445</v>
      </c>
      <c r="L98" s="679">
        <f t="shared" si="37"/>
        <v>3.4721873403862897E-3</v>
      </c>
      <c r="M98" s="678">
        <f t="shared" si="38"/>
        <v>1.0008534769154589</v>
      </c>
      <c r="N98" s="679">
        <f t="shared" si="39"/>
        <v>-4.1300613510821878E-2</v>
      </c>
      <c r="O98" s="677">
        <f t="shared" si="40"/>
        <v>224430.46546732332</v>
      </c>
      <c r="P98" s="680">
        <f t="shared" si="41"/>
        <v>1.5707918710718383</v>
      </c>
      <c r="Q98" s="689">
        <f t="shared" si="42"/>
        <v>1.5030721359009971</v>
      </c>
      <c r="R98" s="690">
        <f t="shared" si="43"/>
        <v>0.84289530317697836</v>
      </c>
      <c r="S98" s="677">
        <f t="shared" si="44"/>
        <v>1.000027982405064</v>
      </c>
      <c r="T98" s="680">
        <f t="shared" si="45"/>
        <v>7.480875960365777E-3</v>
      </c>
      <c r="U98" s="681">
        <f t="shared" si="57"/>
        <v>0.97544351666875451</v>
      </c>
      <c r="V98" s="682">
        <f t="shared" si="58"/>
        <v>-0.27207445730792212</v>
      </c>
      <c r="W98" s="683">
        <f t="shared" si="46"/>
        <v>-2.0228023544728138</v>
      </c>
      <c r="X98" s="684">
        <f t="shared" si="47"/>
        <v>-125.54326553770838</v>
      </c>
      <c r="Y98" s="687">
        <f t="shared" si="48"/>
        <v>54.456734462291621</v>
      </c>
      <c r="AA98" s="170">
        <f t="shared" si="49"/>
        <v>2511.9</v>
      </c>
      <c r="AB98" s="170">
        <f t="shared" si="50"/>
        <v>6309641.6100000003</v>
      </c>
      <c r="AD98" s="686">
        <f t="shared" si="51"/>
        <v>1.6231673272597273</v>
      </c>
      <c r="AE98" s="687">
        <f t="shared" si="52"/>
        <v>-42.134023930168219</v>
      </c>
      <c r="AG98" s="686">
        <f t="shared" si="53"/>
        <v>54.515759761138803</v>
      </c>
      <c r="AH98" s="687">
        <f t="shared" si="54"/>
        <v>-52.231805337802271</v>
      </c>
      <c r="AJ98" s="170">
        <f t="shared" si="55"/>
        <v>0</v>
      </c>
      <c r="AK98" s="170">
        <f t="shared" si="65"/>
        <v>0</v>
      </c>
      <c r="AM98" s="170" t="str">
        <f t="shared" si="59"/>
        <v>0.076391751042204+0.383337713324837i</v>
      </c>
      <c r="AN98" s="170" t="str">
        <f t="shared" si="60"/>
        <v>0.393407374266563i</v>
      </c>
      <c r="AO98" s="170" t="str">
        <f t="shared" si="61"/>
        <v>0.974403985282434-0.194179763876116i</v>
      </c>
      <c r="AP98" s="170" t="str">
        <f t="shared" si="62"/>
        <v>0.153934708159633-0.0638896188874728i</v>
      </c>
      <c r="AQ98" s="170" t="str">
        <f t="shared" si="63"/>
        <v>0.846065291840367+0.0638896188874728i</v>
      </c>
      <c r="AR98" s="170" t="str">
        <f t="shared" si="64"/>
        <v>0.978975138829029-0.0739261486356995i</v>
      </c>
    </row>
    <row r="99" spans="1:44">
      <c r="G99" s="688">
        <v>2754.2</v>
      </c>
      <c r="H99" s="676">
        <f t="shared" si="56"/>
        <v>2.7542</v>
      </c>
      <c r="I99" s="677">
        <f t="shared" si="34"/>
        <v>2.6213407346201247</v>
      </c>
      <c r="J99" s="678">
        <f t="shared" si="35"/>
        <v>1.1793949666075318</v>
      </c>
      <c r="K99" s="678">
        <f t="shared" si="36"/>
        <v>1.0000072471037029</v>
      </c>
      <c r="L99" s="679">
        <f t="shared" si="37"/>
        <v>3.807114376019848E-3</v>
      </c>
      <c r="M99" s="678">
        <f t="shared" si="38"/>
        <v>1.0010259840119802</v>
      </c>
      <c r="N99" s="679">
        <f t="shared" si="39"/>
        <v>-4.527930159864791E-2</v>
      </c>
      <c r="O99" s="677">
        <f t="shared" si="40"/>
        <v>246079.21811738907</v>
      </c>
      <c r="P99" s="680">
        <f t="shared" si="41"/>
        <v>1.570792263062869</v>
      </c>
      <c r="Q99" s="689">
        <f t="shared" si="42"/>
        <v>1.5855202741392616</v>
      </c>
      <c r="R99" s="690">
        <f t="shared" si="43"/>
        <v>0.88833136671954449</v>
      </c>
      <c r="S99" s="677">
        <f t="shared" si="44"/>
        <v>1.0000336410905764</v>
      </c>
      <c r="T99" s="680">
        <f t="shared" si="45"/>
        <v>8.2024566443269081E-3</v>
      </c>
      <c r="U99" s="681">
        <f t="shared" si="57"/>
        <v>0.97075666587606868</v>
      </c>
      <c r="V99" s="682">
        <f t="shared" si="58"/>
        <v>-0.29761024562697841</v>
      </c>
      <c r="W99" s="683">
        <f t="shared" si="46"/>
        <v>-3.0730960719478349</v>
      </c>
      <c r="X99" s="684">
        <f t="shared" si="47"/>
        <v>-126.57444161007382</v>
      </c>
      <c r="Y99" s="687">
        <f t="shared" si="48"/>
        <v>53.425558389926181</v>
      </c>
      <c r="AA99" s="170">
        <f t="shared" si="49"/>
        <v>2754.2</v>
      </c>
      <c r="AB99" s="170">
        <f t="shared" si="50"/>
        <v>7585617.6399999987</v>
      </c>
      <c r="AD99" s="686">
        <f t="shared" si="51"/>
        <v>1.2870951348653323</v>
      </c>
      <c r="AE99" s="687">
        <f t="shared" si="52"/>
        <v>-39.57209523576433</v>
      </c>
      <c r="AG99" s="686">
        <f t="shared" si="53"/>
        <v>53.885208041041906</v>
      </c>
      <c r="AH99" s="687">
        <f t="shared" si="54"/>
        <v>-52.898724306785169</v>
      </c>
      <c r="AJ99" s="170">
        <f t="shared" si="55"/>
        <v>0</v>
      </c>
      <c r="AK99" s="170">
        <f t="shared" si="65"/>
        <v>0</v>
      </c>
      <c r="AM99" s="170" t="str">
        <f t="shared" si="59"/>
        <v>0.091600271720334+0.41810277882529i</v>
      </c>
      <c r="AN99" s="170" t="str">
        <f t="shared" si="60"/>
        <v>0.431355782557015i</v>
      </c>
      <c r="AO99" s="170" t="str">
        <f t="shared" si="61"/>
        <v>0.969275933538753-0.212354338169158i</v>
      </c>
      <c r="AP99" s="170" t="str">
        <f t="shared" si="62"/>
        <v>0.151399954713278-0.0696837964708817i</v>
      </c>
      <c r="AQ99" s="170" t="str">
        <f t="shared" si="63"/>
        <v>0.848600045286722+0.0696837964708817i</v>
      </c>
      <c r="AR99" s="170" t="str">
        <f t="shared" si="64"/>
        <v>0.975041954496442-0.0800667234053044i</v>
      </c>
    </row>
    <row r="100" spans="1:44">
      <c r="G100" s="688">
        <v>3020</v>
      </c>
      <c r="H100" s="676">
        <f t="shared" si="56"/>
        <v>3.02</v>
      </c>
      <c r="I100" s="677">
        <f t="shared" si="34"/>
        <v>2.8389048950141107</v>
      </c>
      <c r="J100" s="678">
        <f t="shared" si="35"/>
        <v>1.210823819078084</v>
      </c>
      <c r="K100" s="678">
        <f t="shared" si="36"/>
        <v>1.0000087133888484</v>
      </c>
      <c r="L100" s="679">
        <f t="shared" si="37"/>
        <v>4.1745240638260918E-3</v>
      </c>
      <c r="M100" s="678">
        <f t="shared" si="38"/>
        <v>1.0012334413618031</v>
      </c>
      <c r="N100" s="679">
        <f t="shared" si="39"/>
        <v>-4.9642217519612765E-2</v>
      </c>
      <c r="O100" s="677">
        <f t="shared" si="40"/>
        <v>269827.62279917306</v>
      </c>
      <c r="P100" s="680">
        <f t="shared" si="41"/>
        <v>1.5707926207251117</v>
      </c>
      <c r="Q100" s="689">
        <f t="shared" si="42"/>
        <v>1.6793372652958432</v>
      </c>
      <c r="R100" s="690">
        <f t="shared" si="43"/>
        <v>0.93294204010470461</v>
      </c>
      <c r="S100" s="677">
        <f t="shared" si="44"/>
        <v>1.0000404474853475</v>
      </c>
      <c r="T100" s="680">
        <f t="shared" si="45"/>
        <v>8.9940115701368419E-3</v>
      </c>
      <c r="U100" s="681">
        <f t="shared" si="57"/>
        <v>0.96520271300278737</v>
      </c>
      <c r="V100" s="682">
        <f t="shared" si="58"/>
        <v>-0.32540880133980843</v>
      </c>
      <c r="W100" s="683">
        <f t="shared" si="46"/>
        <v>-4.1146336994801107</v>
      </c>
      <c r="X100" s="684">
        <f t="shared" si="47"/>
        <v>-127.68621771876124</v>
      </c>
      <c r="Y100" s="687">
        <f t="shared" si="48"/>
        <v>52.313782281238758</v>
      </c>
      <c r="AA100" s="170">
        <f t="shared" si="49"/>
        <v>3020</v>
      </c>
      <c r="AB100" s="170">
        <f t="shared" si="50"/>
        <v>9120400</v>
      </c>
      <c r="AD100" s="686">
        <f t="shared" si="51"/>
        <v>0.9861291482814033</v>
      </c>
      <c r="AE100" s="687">
        <f t="shared" si="52"/>
        <v>-37.061465175727953</v>
      </c>
      <c r="AG100" s="686">
        <f t="shared" si="53"/>
        <v>53.244310297354367</v>
      </c>
      <c r="AH100" s="687">
        <f t="shared" si="54"/>
        <v>-53.335650634060144</v>
      </c>
      <c r="AJ100" s="170">
        <f t="shared" si="55"/>
        <v>0</v>
      </c>
      <c r="AK100" s="170">
        <f t="shared" si="65"/>
        <v>0</v>
      </c>
      <c r="AM100" s="170" t="str">
        <f t="shared" si="59"/>
        <v>0.109787411156489+0.455545328880161i</v>
      </c>
      <c r="AN100" s="170" t="str">
        <f t="shared" si="60"/>
        <v>0.472984700937545i</v>
      </c>
      <c r="AO100" s="170" t="str">
        <f t="shared" si="61"/>
        <v>0.963129099053699-0.2321161994011i</v>
      </c>
      <c r="AP100" s="170" t="str">
        <f t="shared" si="62"/>
        <v>0.148368764807252-0.0759242214800268i</v>
      </c>
      <c r="AQ100" s="170" t="str">
        <f t="shared" si="63"/>
        <v>0.851631235192748+0.0759242214800268i</v>
      </c>
      <c r="AR100" s="170" t="str">
        <f t="shared" si="64"/>
        <v>0.970410070714898-0.0865135355430347i</v>
      </c>
    </row>
    <row r="101" spans="1:44">
      <c r="G101" s="688">
        <v>3311.3</v>
      </c>
      <c r="H101" s="676">
        <f t="shared" si="56"/>
        <v>3.3113000000000001</v>
      </c>
      <c r="I101" s="677">
        <f t="shared" si="34"/>
        <v>3.0800834177153913</v>
      </c>
      <c r="J101" s="678">
        <f t="shared" si="35"/>
        <v>1.240137187634778</v>
      </c>
      <c r="K101" s="678">
        <f t="shared" si="36"/>
        <v>1.0000104753823893</v>
      </c>
      <c r="L101" s="679">
        <f t="shared" si="37"/>
        <v>4.5771805613225311E-3</v>
      </c>
      <c r="M101" s="678">
        <f t="shared" si="38"/>
        <v>1.0014826805663759</v>
      </c>
      <c r="N101" s="679">
        <f t="shared" si="39"/>
        <v>-5.442152018873115E-2</v>
      </c>
      <c r="O101" s="677">
        <f t="shared" si="40"/>
        <v>295854.37330260588</v>
      </c>
      <c r="P101" s="680">
        <f t="shared" si="41"/>
        <v>1.5707929467535984</v>
      </c>
      <c r="Q101" s="689">
        <f t="shared" si="42"/>
        <v>1.7855658080933177</v>
      </c>
      <c r="R101" s="690">
        <f t="shared" si="43"/>
        <v>0.97635431948668694</v>
      </c>
      <c r="S101" s="677">
        <f t="shared" si="44"/>
        <v>1.0000486264900663</v>
      </c>
      <c r="T101" s="680">
        <f t="shared" si="45"/>
        <v>9.8614927573622817E-3</v>
      </c>
      <c r="U101" s="681">
        <f t="shared" si="57"/>
        <v>0.95864603790844161</v>
      </c>
      <c r="V101" s="682">
        <f t="shared" si="58"/>
        <v>-0.35559892978902785</v>
      </c>
      <c r="W101" s="683">
        <f t="shared" si="46"/>
        <v>-5.1470382601407971</v>
      </c>
      <c r="X101" s="684">
        <f t="shared" si="47"/>
        <v>-128.90866162218322</v>
      </c>
      <c r="Y101" s="687">
        <f t="shared" si="48"/>
        <v>51.091338377816783</v>
      </c>
      <c r="AA101" s="170">
        <f t="shared" si="49"/>
        <v>3311.3</v>
      </c>
      <c r="AB101" s="170">
        <f t="shared" si="50"/>
        <v>10964707.690000001</v>
      </c>
      <c r="AD101" s="686">
        <f t="shared" si="51"/>
        <v>0.71898510059077303</v>
      </c>
      <c r="AE101" s="687">
        <f t="shared" si="52"/>
        <v>-34.623846476203482</v>
      </c>
      <c r="AG101" s="686">
        <f t="shared" si="53"/>
        <v>52.597459876099578</v>
      </c>
      <c r="AH101" s="687">
        <f t="shared" si="54"/>
        <v>-53.53617934685726</v>
      </c>
      <c r="AJ101" s="170">
        <f t="shared" si="55"/>
        <v>0</v>
      </c>
      <c r="AK101" s="170">
        <f t="shared" si="65"/>
        <v>0</v>
      </c>
      <c r="AM101" s="170" t="str">
        <f t="shared" si="59"/>
        <v>0.131489689071076+0.495671100438733i</v>
      </c>
      <c r="AN101" s="170" t="str">
        <f t="shared" si="60"/>
        <v>0.518607364309435i</v>
      </c>
      <c r="AO101" s="170" t="str">
        <f t="shared" si="61"/>
        <v>0.955773354855376-0.253543813914337i</v>
      </c>
      <c r="AP101" s="170" t="str">
        <f t="shared" si="62"/>
        <v>0.144751718488154-0.0826118500731222i</v>
      </c>
      <c r="AQ101" s="170" t="str">
        <f t="shared" si="63"/>
        <v>0.855248281511846+0.0826118500731222i</v>
      </c>
      <c r="AR101" s="170" t="str">
        <f t="shared" si="64"/>
        <v>0.964982499223748-0.0932115167868418i</v>
      </c>
    </row>
    <row r="102" spans="1:44">
      <c r="G102" s="688">
        <v>3630.8</v>
      </c>
      <c r="H102" s="676">
        <f t="shared" si="56"/>
        <v>3.6308000000000002</v>
      </c>
      <c r="I102" s="677">
        <f t="shared" si="34"/>
        <v>3.3471918294136223</v>
      </c>
      <c r="J102" s="678">
        <f t="shared" si="35"/>
        <v>1.2674054818428617</v>
      </c>
      <c r="K102" s="678">
        <f t="shared" si="36"/>
        <v>1.0000125943866016</v>
      </c>
      <c r="L102" s="679">
        <f t="shared" si="37"/>
        <v>5.0188154819421817E-3</v>
      </c>
      <c r="M102" s="678">
        <f t="shared" si="38"/>
        <v>1.0017823384402393</v>
      </c>
      <c r="N102" s="679">
        <f t="shared" si="39"/>
        <v>-5.9660626631912718E-2</v>
      </c>
      <c r="O102" s="677">
        <f t="shared" si="40"/>
        <v>324400.70624409418</v>
      </c>
      <c r="P102" s="680">
        <f t="shared" si="41"/>
        <v>1.570793244187551</v>
      </c>
      <c r="Q102" s="689">
        <f t="shared" si="42"/>
        <v>1.9054908698985356</v>
      </c>
      <c r="R102" s="690">
        <f t="shared" si="43"/>
        <v>1.0183171777588795</v>
      </c>
      <c r="S102" s="677">
        <f t="shared" si="44"/>
        <v>1.0000584626345106</v>
      </c>
      <c r="T102" s="680">
        <f t="shared" si="45"/>
        <v>1.0812935440444572E-2</v>
      </c>
      <c r="U102" s="681">
        <f t="shared" si="57"/>
        <v>0.95092501912605909</v>
      </c>
      <c r="V102" s="682">
        <f t="shared" si="58"/>
        <v>-0.38835852623139755</v>
      </c>
      <c r="W102" s="683">
        <f t="shared" si="46"/>
        <v>-6.1725650979174667</v>
      </c>
      <c r="X102" s="684">
        <f t="shared" si="47"/>
        <v>-130.27311729826025</v>
      </c>
      <c r="Y102" s="687">
        <f t="shared" si="48"/>
        <v>49.726882701739754</v>
      </c>
      <c r="AA102" s="170">
        <f t="shared" si="49"/>
        <v>3630.8</v>
      </c>
      <c r="AB102" s="170">
        <f t="shared" si="50"/>
        <v>13182708.640000001</v>
      </c>
      <c r="AD102" s="686">
        <f t="shared" si="51"/>
        <v>0.48344394038489624</v>
      </c>
      <c r="AE102" s="687">
        <f t="shared" si="52"/>
        <v>-32.274082490115596</v>
      </c>
      <c r="AG102" s="686">
        <f t="shared" si="53"/>
        <v>51.947954506414192</v>
      </c>
      <c r="AH102" s="687">
        <f t="shared" si="54"/>
        <v>-53.496425775333485</v>
      </c>
      <c r="AJ102" s="170">
        <f t="shared" si="55"/>
        <v>0</v>
      </c>
      <c r="AK102" s="170">
        <f t="shared" si="65"/>
        <v>0</v>
      </c>
      <c r="AM102" s="170" t="str">
        <f t="shared" si="59"/>
        <v>0.15736947952356+0.53849215961015i</v>
      </c>
      <c r="AN102" s="170" t="str">
        <f t="shared" si="60"/>
        <v>0.568646639789417i</v>
      </c>
      <c r="AO102" s="170" t="str">
        <f t="shared" si="61"/>
        <v>0.946971496762148-0.276743883656532i</v>
      </c>
      <c r="AP102" s="170" t="str">
        <f t="shared" si="62"/>
        <v>0.140438420079407-0.0897486932683583i</v>
      </c>
      <c r="AQ102" s="170" t="str">
        <f t="shared" si="63"/>
        <v>0.859561579920593+0.0897486932683583i</v>
      </c>
      <c r="AR102" s="170" t="str">
        <f t="shared" si="64"/>
        <v>0.958647606410066-0.100094480709679i</v>
      </c>
    </row>
    <row r="103" spans="1:44">
      <c r="G103" s="688">
        <v>3981.1</v>
      </c>
      <c r="H103" s="676">
        <f t="shared" si="56"/>
        <v>3.9811000000000001</v>
      </c>
      <c r="I103" s="677">
        <f t="shared" si="34"/>
        <v>3.6424689833699668</v>
      </c>
      <c r="J103" s="678">
        <f t="shared" si="35"/>
        <v>1.2926860192164984</v>
      </c>
      <c r="K103" s="678">
        <f t="shared" si="36"/>
        <v>1.0000151418167857</v>
      </c>
      <c r="L103" s="679">
        <f t="shared" si="37"/>
        <v>5.5030220290497485E-3</v>
      </c>
      <c r="M103" s="678">
        <f t="shared" si="38"/>
        <v>1.002142464180761</v>
      </c>
      <c r="N103" s="679">
        <f t="shared" si="39"/>
        <v>-6.5401009681406483E-2</v>
      </c>
      <c r="O103" s="677">
        <f t="shared" si="40"/>
        <v>355698.92355054826</v>
      </c>
      <c r="P103" s="680">
        <f t="shared" si="41"/>
        <v>1.5707935154285027</v>
      </c>
      <c r="Q103" s="689">
        <f t="shared" si="42"/>
        <v>2.0403536716340311</v>
      </c>
      <c r="R103" s="690">
        <f t="shared" si="43"/>
        <v>1.0585791105700357</v>
      </c>
      <c r="S103" s="677">
        <f t="shared" si="44"/>
        <v>1.0000702873766278</v>
      </c>
      <c r="T103" s="680">
        <f t="shared" si="45"/>
        <v>1.1856075231322892E-2</v>
      </c>
      <c r="U103" s="681">
        <f t="shared" si="57"/>
        <v>0.94187111707980842</v>
      </c>
      <c r="V103" s="682">
        <f t="shared" si="58"/>
        <v>-0.4238255916741876</v>
      </c>
      <c r="W103" s="683">
        <f t="shared" si="46"/>
        <v>-7.1929684372735725</v>
      </c>
      <c r="X103" s="684">
        <f t="shared" si="47"/>
        <v>-131.80779951019741</v>
      </c>
      <c r="Y103" s="687">
        <f t="shared" si="48"/>
        <v>48.192200489802588</v>
      </c>
      <c r="AA103" s="170">
        <f t="shared" si="49"/>
        <v>3981.1</v>
      </c>
      <c r="AB103" s="170">
        <f t="shared" si="50"/>
        <v>15849157.209999999</v>
      </c>
      <c r="AD103" s="686">
        <f t="shared" si="51"/>
        <v>0.2772976746283331</v>
      </c>
      <c r="AE103" s="687">
        <f t="shared" si="52"/>
        <v>-30.02702671085067</v>
      </c>
      <c r="AG103" s="686">
        <f t="shared" si="53"/>
        <v>51.29988922125419</v>
      </c>
      <c r="AH103" s="687">
        <f t="shared" si="54"/>
        <v>-53.213937438719228</v>
      </c>
      <c r="AJ103" s="170">
        <f t="shared" si="55"/>
        <v>0</v>
      </c>
      <c r="AK103" s="170">
        <f t="shared" si="65"/>
        <v>0</v>
      </c>
      <c r="AM103" s="170" t="str">
        <f t="shared" si="59"/>
        <v>0.188165830045516+0.583888071889052i</v>
      </c>
      <c r="AN103" s="170" t="str">
        <f t="shared" si="60"/>
        <v>0.623509732749159i</v>
      </c>
      <c r="AO103" s="170" t="str">
        <f t="shared" si="61"/>
        <v>0.936453821361523-0.301784912347497i</v>
      </c>
      <c r="AP103" s="170" t="str">
        <f t="shared" si="62"/>
        <v>0.135305694992414-0.0973146786481753i</v>
      </c>
      <c r="AQ103" s="170" t="str">
        <f t="shared" si="63"/>
        <v>0.864694305007586+0.0973146786481753i</v>
      </c>
      <c r="AR103" s="170" t="str">
        <f t="shared" si="64"/>
        <v>0.95129732075255-0.107061180502504i</v>
      </c>
    </row>
    <row r="104" spans="1:44">
      <c r="G104" s="688">
        <v>4365.2</v>
      </c>
      <c r="H104" s="676">
        <f t="shared" si="56"/>
        <v>4.3651999999999997</v>
      </c>
      <c r="I104" s="677">
        <f t="shared" si="34"/>
        <v>3.9684943589756863</v>
      </c>
      <c r="J104" s="678">
        <f t="shared" si="35"/>
        <v>1.3160657018290975</v>
      </c>
      <c r="K104" s="678">
        <f t="shared" si="36"/>
        <v>1.0000182045287767</v>
      </c>
      <c r="L104" s="679">
        <f t="shared" si="37"/>
        <v>6.0339460736910126E-3</v>
      </c>
      <c r="M104" s="678">
        <f t="shared" si="38"/>
        <v>1.0025752643685075</v>
      </c>
      <c r="N104" s="679">
        <f t="shared" si="39"/>
        <v>-7.1690303821643361E-2</v>
      </c>
      <c r="O104" s="677">
        <f t="shared" si="40"/>
        <v>390017.06590686523</v>
      </c>
      <c r="P104" s="680">
        <f t="shared" si="41"/>
        <v>1.5707937628045294</v>
      </c>
      <c r="Q104" s="689">
        <f t="shared" si="42"/>
        <v>2.1915366281310478</v>
      </c>
      <c r="R104" s="690">
        <f t="shared" si="43"/>
        <v>1.0969627574155119</v>
      </c>
      <c r="S104" s="677">
        <f t="shared" si="44"/>
        <v>1.0000845038249393</v>
      </c>
      <c r="T104" s="680">
        <f t="shared" si="45"/>
        <v>1.2999836508309848E-2</v>
      </c>
      <c r="U104" s="681">
        <f t="shared" si="57"/>
        <v>0.93130073414490733</v>
      </c>
      <c r="V104" s="682">
        <f t="shared" si="58"/>
        <v>-0.4621434434600733</v>
      </c>
      <c r="W104" s="683">
        <f t="shared" si="46"/>
        <v>-8.2110992821762334</v>
      </c>
      <c r="X104" s="684">
        <f t="shared" si="47"/>
        <v>-133.53906404390176</v>
      </c>
      <c r="Y104" s="687">
        <f t="shared" si="48"/>
        <v>46.46093595609824</v>
      </c>
      <c r="AA104" s="170">
        <f t="shared" si="49"/>
        <v>4365.2</v>
      </c>
      <c r="AB104" s="170">
        <f t="shared" si="50"/>
        <v>19054971.039999999</v>
      </c>
      <c r="AD104" s="686">
        <f t="shared" si="51"/>
        <v>9.8018598585443359E-2</v>
      </c>
      <c r="AE104" s="687">
        <f t="shared" si="52"/>
        <v>-27.893352609390316</v>
      </c>
      <c r="AG104" s="686">
        <f t="shared" si="53"/>
        <v>50.657098810302053</v>
      </c>
      <c r="AH104" s="687">
        <f t="shared" si="54"/>
        <v>-52.687973694188443</v>
      </c>
      <c r="AJ104" s="170">
        <f t="shared" si="55"/>
        <v>0</v>
      </c>
      <c r="AK104" s="170">
        <f t="shared" si="65"/>
        <v>0</v>
      </c>
      <c r="AM104" s="170" t="str">
        <f t="shared" si="59"/>
        <v>0.224737969424988+0.631639758049403i</v>
      </c>
      <c r="AN104" s="170" t="str">
        <f t="shared" si="60"/>
        <v>0.683666495540586i</v>
      </c>
      <c r="AO104" s="170" t="str">
        <f t="shared" si="61"/>
        <v>0.923900413680438-0.328724562181863i</v>
      </c>
      <c r="AP104" s="170" t="str">
        <f t="shared" si="62"/>
        <v>0.129210338429169-0.105273293008234i</v>
      </c>
      <c r="AQ104" s="170" t="str">
        <f t="shared" si="63"/>
        <v>0.870789661570831+0.105273293008234i</v>
      </c>
      <c r="AR104" s="170" t="str">
        <f t="shared" si="64"/>
        <v>0.94282328352027-0.113981729642918i</v>
      </c>
    </row>
    <row r="105" spans="1:44">
      <c r="G105" s="688">
        <v>4786.3</v>
      </c>
      <c r="H105" s="676">
        <f t="shared" si="56"/>
        <v>4.7862999999999998</v>
      </c>
      <c r="I105" s="677">
        <f t="shared" si="34"/>
        <v>4.3280237475016312</v>
      </c>
      <c r="J105" s="678">
        <f t="shared" si="35"/>
        <v>1.3376371791721964</v>
      </c>
      <c r="K105" s="678">
        <f t="shared" si="36"/>
        <v>1.000021886190833</v>
      </c>
      <c r="L105" s="679">
        <f t="shared" si="37"/>
        <v>6.6160096235434399E-3</v>
      </c>
      <c r="M105" s="678">
        <f t="shared" si="38"/>
        <v>1.0030952846732242</v>
      </c>
      <c r="N105" s="679">
        <f t="shared" si="39"/>
        <v>-7.8578899399310495E-2</v>
      </c>
      <c r="O105" s="677">
        <f t="shared" si="40"/>
        <v>427641.04337693506</v>
      </c>
      <c r="P105" s="680">
        <f t="shared" si="41"/>
        <v>1.5707939883851123</v>
      </c>
      <c r="Q105" s="689">
        <f t="shared" si="42"/>
        <v>2.3604918024614792</v>
      </c>
      <c r="R105" s="690">
        <f t="shared" si="43"/>
        <v>1.1333357677262939</v>
      </c>
      <c r="S105" s="677">
        <f t="shared" si="44"/>
        <v>1.0001015930960766</v>
      </c>
      <c r="T105" s="680">
        <f t="shared" si="45"/>
        <v>1.4253736061676387E-2</v>
      </c>
      <c r="U105" s="681">
        <f t="shared" si="57"/>
        <v>0.91902509817927247</v>
      </c>
      <c r="V105" s="682">
        <f t="shared" si="58"/>
        <v>-0.50343302493088815</v>
      </c>
      <c r="W105" s="683">
        <f t="shared" si="46"/>
        <v>-9.2300806142915963</v>
      </c>
      <c r="X105" s="684">
        <f t="shared" si="47"/>
        <v>-135.48991117861266</v>
      </c>
      <c r="Y105" s="687">
        <f t="shared" si="48"/>
        <v>44.510088821387342</v>
      </c>
      <c r="AA105" s="170">
        <f t="shared" si="49"/>
        <v>4786.3</v>
      </c>
      <c r="AB105" s="170">
        <f t="shared" si="50"/>
        <v>22908667.690000001</v>
      </c>
      <c r="AD105" s="686">
        <f t="shared" si="51"/>
        <v>-5.6969958296334139E-2</v>
      </c>
      <c r="AE105" s="687">
        <f t="shared" si="52"/>
        <v>-25.881188705254022</v>
      </c>
      <c r="AG105" s="686">
        <f t="shared" si="53"/>
        <v>50.023608969728087</v>
      </c>
      <c r="AH105" s="687">
        <f t="shared" si="54"/>
        <v>-51.91954721535064</v>
      </c>
      <c r="AJ105" s="170">
        <f t="shared" si="55"/>
        <v>0</v>
      </c>
      <c r="AK105" s="170">
        <f t="shared" si="65"/>
        <v>0</v>
      </c>
      <c r="AM105" s="170" t="str">
        <f t="shared" si="59"/>
        <v>0.268050869376946+0.681359281275419i</v>
      </c>
      <c r="AN105" s="170" t="str">
        <f t="shared" si="60"/>
        <v>0.749618104005752i</v>
      </c>
      <c r="AO105" s="170" t="str">
        <f t="shared" si="61"/>
        <v>0.908941870046125-0.357583238644526i</v>
      </c>
      <c r="AP105" s="170" t="str">
        <f t="shared" si="62"/>
        <v>0.121991521770509-0.11355988021257i</v>
      </c>
      <c r="AQ105" s="170" t="str">
        <f t="shared" si="63"/>
        <v>0.878008478229491+0.11355988021257i</v>
      </c>
      <c r="AR105" s="170" t="str">
        <f t="shared" si="64"/>
        <v>0.933128318445986-0.120688971340418i</v>
      </c>
    </row>
    <row r="106" spans="1:44">
      <c r="G106" s="688">
        <v>5248.1</v>
      </c>
      <c r="H106" s="676">
        <f t="shared" si="56"/>
        <v>5.2481</v>
      </c>
      <c r="I106" s="677">
        <f t="shared" si="34"/>
        <v>4.7242475071566963</v>
      </c>
      <c r="J106" s="678">
        <f t="shared" si="35"/>
        <v>1.357508951474621</v>
      </c>
      <c r="K106" s="678">
        <f t="shared" si="36"/>
        <v>1.0000263131954337</v>
      </c>
      <c r="L106" s="679">
        <f t="shared" si="37"/>
        <v>7.2543253938349957E-3</v>
      </c>
      <c r="M106" s="678">
        <f t="shared" si="38"/>
        <v>1.003720227463154</v>
      </c>
      <c r="N106" s="679">
        <f t="shared" si="39"/>
        <v>-8.6124683436832938E-2</v>
      </c>
      <c r="O106" s="677">
        <f t="shared" si="40"/>
        <v>468901.43947213102</v>
      </c>
      <c r="P106" s="680">
        <f t="shared" si="41"/>
        <v>1.5707941941505585</v>
      </c>
      <c r="Q106" s="689">
        <f t="shared" si="42"/>
        <v>2.5488652374048564</v>
      </c>
      <c r="R106" s="690">
        <f t="shared" si="43"/>
        <v>1.1676314277540136</v>
      </c>
      <c r="S106" s="677">
        <f t="shared" si="44"/>
        <v>1.0001221417406632</v>
      </c>
      <c r="T106" s="680">
        <f t="shared" si="45"/>
        <v>1.5628775370330885E-2</v>
      </c>
      <c r="U106" s="681">
        <f t="shared" si="57"/>
        <v>0.90484869826526459</v>
      </c>
      <c r="V106" s="682">
        <f t="shared" si="58"/>
        <v>-0.54781454370584637</v>
      </c>
      <c r="W106" s="683">
        <f t="shared" si="46"/>
        <v>-10.253855303674996</v>
      </c>
      <c r="X106" s="684">
        <f t="shared" si="47"/>
        <v>-137.68092152184698</v>
      </c>
      <c r="Y106" s="687">
        <f t="shared" si="48"/>
        <v>42.319078478153017</v>
      </c>
      <c r="AA106" s="170">
        <f t="shared" si="49"/>
        <v>5248.1</v>
      </c>
      <c r="AB106" s="170">
        <f t="shared" si="50"/>
        <v>27542553.610000003</v>
      </c>
      <c r="AD106" s="686">
        <f t="shared" si="51"/>
        <v>-0.19030457770080739</v>
      </c>
      <c r="AE106" s="687">
        <f t="shared" si="52"/>
        <v>-23.994987866436986</v>
      </c>
      <c r="AG106" s="686">
        <f t="shared" si="53"/>
        <v>49.40322513973836</v>
      </c>
      <c r="AH106" s="687">
        <f t="shared" si="54"/>
        <v>-50.911010963219262</v>
      </c>
      <c r="AJ106" s="170">
        <f t="shared" si="55"/>
        <v>0</v>
      </c>
      <c r="AK106" s="170">
        <f t="shared" si="65"/>
        <v>0</v>
      </c>
      <c r="AM106" s="170" t="str">
        <f t="shared" si="59"/>
        <v>0.319201459698398+0.732470714447484i</v>
      </c>
      <c r="AN106" s="170" t="str">
        <f t="shared" si="60"/>
        <v>0.82194404271203i</v>
      </c>
      <c r="AO106" s="170" t="str">
        <f t="shared" si="61"/>
        <v>0.891144258471263-0.388349380385048i</v>
      </c>
      <c r="AP106" s="170" t="str">
        <f t="shared" si="62"/>
        <v>0.1134664233836-0.122078452407914i</v>
      </c>
      <c r="AQ106" s="170" t="str">
        <f t="shared" si="63"/>
        <v>0.8865335766164+0.122078452407914i</v>
      </c>
      <c r="AR106" s="170" t="str">
        <f t="shared" si="64"/>
        <v>0.922129167240377-0.126980076813958i</v>
      </c>
    </row>
    <row r="107" spans="1:44">
      <c r="G107" s="688">
        <v>5370.3</v>
      </c>
      <c r="H107" s="676">
        <f t="shared" si="56"/>
        <v>5.3703000000000003</v>
      </c>
      <c r="I107" s="677">
        <f t="shared" si="34"/>
        <v>4.8293746741668651</v>
      </c>
      <c r="J107" s="678">
        <f t="shared" si="35"/>
        <v>1.3622211723434812</v>
      </c>
      <c r="K107" s="678">
        <f t="shared" si="36"/>
        <v>1.0000275528300417</v>
      </c>
      <c r="L107" s="679">
        <f t="shared" si="37"/>
        <v>7.423233449715295E-3</v>
      </c>
      <c r="M107" s="678">
        <f t="shared" si="38"/>
        <v>1.0038951525694964</v>
      </c>
      <c r="N107" s="679">
        <f t="shared" si="39"/>
        <v>-8.8119815495796866E-2</v>
      </c>
      <c r="O107" s="677">
        <f t="shared" si="40"/>
        <v>479819.63003695192</v>
      </c>
      <c r="P107" s="680">
        <f t="shared" si="41"/>
        <v>1.5707942426784132</v>
      </c>
      <c r="Q107" s="689">
        <f t="shared" si="42"/>
        <v>2.5991675463876769</v>
      </c>
      <c r="R107" s="690">
        <f t="shared" si="43"/>
        <v>1.1758717546299142</v>
      </c>
      <c r="S107" s="677">
        <f t="shared" si="44"/>
        <v>1.0001278956421122</v>
      </c>
      <c r="T107" s="680">
        <f t="shared" si="45"/>
        <v>1.5992624082392288E-2</v>
      </c>
      <c r="U107" s="681">
        <f t="shared" si="57"/>
        <v>0.90098756275163094</v>
      </c>
      <c r="V107" s="682">
        <f t="shared" si="58"/>
        <v>-0.55939770447544057</v>
      </c>
      <c r="W107" s="683">
        <f t="shared" si="46"/>
        <v>-10.510870326078155</v>
      </c>
      <c r="X107" s="684">
        <f t="shared" si="47"/>
        <v>-138.26792686800465</v>
      </c>
      <c r="Y107" s="687">
        <f t="shared" si="48"/>
        <v>41.73207313199535</v>
      </c>
      <c r="AA107" s="170">
        <f t="shared" si="49"/>
        <v>5370.3</v>
      </c>
      <c r="AB107" s="170">
        <f t="shared" si="50"/>
        <v>28840122.090000004</v>
      </c>
      <c r="AD107" s="686">
        <f t="shared" si="51"/>
        <v>-0.22053543109349699</v>
      </c>
      <c r="AE107" s="687">
        <f t="shared" si="52"/>
        <v>-23.543701690147639</v>
      </c>
      <c r="AG107" s="686">
        <f t="shared" si="53"/>
        <v>49.250727767998015</v>
      </c>
      <c r="AH107" s="687">
        <f t="shared" si="54"/>
        <v>-50.621970033111062</v>
      </c>
      <c r="AJ107" s="170">
        <f t="shared" si="55"/>
        <v>0</v>
      </c>
      <c r="AK107" s="170">
        <f t="shared" si="65"/>
        <v>0</v>
      </c>
      <c r="AM107" s="170" t="str">
        <f t="shared" si="59"/>
        <v>0.333343786727865+0.745365342168294i</v>
      </c>
      <c r="AN107" s="170" t="str">
        <f t="shared" si="60"/>
        <v>0.84108269518043i</v>
      </c>
      <c r="AO107" s="170" t="str">
        <f t="shared" si="61"/>
        <v>0.886197452925122-0.396327006414459i</v>
      </c>
      <c r="AP107" s="170" t="str">
        <f t="shared" si="62"/>
        <v>0.111109368878689-0.124227557028049i</v>
      </c>
      <c r="AQ107" s="170" t="str">
        <f t="shared" si="63"/>
        <v>0.888890631121311+0.124227557028049i</v>
      </c>
      <c r="AR107" s="170" t="str">
        <f t="shared" si="64"/>
        <v>0.919170239471586-0.128459305728534i</v>
      </c>
    </row>
    <row r="108" spans="1:44">
      <c r="G108" s="688">
        <v>5432.85</v>
      </c>
      <c r="H108" s="676">
        <f t="shared" si="56"/>
        <v>5.4328500000000002</v>
      </c>
      <c r="I108" s="677">
        <f t="shared" si="34"/>
        <v>4.8832258178197341</v>
      </c>
      <c r="J108" s="678">
        <f t="shared" si="35"/>
        <v>1.3645546646200772</v>
      </c>
      <c r="K108" s="678">
        <f t="shared" si="36"/>
        <v>1.0000281983961405</v>
      </c>
      <c r="L108" s="679">
        <f t="shared" si="37"/>
        <v>7.5096915425244531E-3</v>
      </c>
      <c r="M108" s="678">
        <f t="shared" si="38"/>
        <v>1.0039862365579071</v>
      </c>
      <c r="N108" s="679">
        <f t="shared" si="39"/>
        <v>-8.9140784270399898E-2</v>
      </c>
      <c r="O108" s="677">
        <f t="shared" si="40"/>
        <v>485408.27831706323</v>
      </c>
      <c r="P108" s="680">
        <f t="shared" si="41"/>
        <v>1.5707942666734593</v>
      </c>
      <c r="Q108" s="689">
        <f t="shared" si="42"/>
        <v>2.6249818887838812</v>
      </c>
      <c r="R108" s="690">
        <f t="shared" si="43"/>
        <v>1.1799673534550563</v>
      </c>
      <c r="S108" s="677">
        <f t="shared" si="44"/>
        <v>1.0001308920984391</v>
      </c>
      <c r="T108" s="680">
        <f t="shared" si="45"/>
        <v>1.6178864159706749E-2</v>
      </c>
      <c r="U108" s="681">
        <f t="shared" si="57"/>
        <v>0.89899494334308594</v>
      </c>
      <c r="V108" s="682">
        <f t="shared" si="58"/>
        <v>-0.56530037377721642</v>
      </c>
      <c r="W108" s="683">
        <f t="shared" si="46"/>
        <v>-10.640394430208781</v>
      </c>
      <c r="X108" s="684">
        <f t="shared" si="47"/>
        <v>-138.56937930211615</v>
      </c>
      <c r="Y108" s="687">
        <f t="shared" si="48"/>
        <v>41.430620697883853</v>
      </c>
      <c r="AA108" s="170">
        <f t="shared" si="49"/>
        <v>5432.85</v>
      </c>
      <c r="AB108" s="170">
        <f t="shared" si="50"/>
        <v>29515859.122500002</v>
      </c>
      <c r="AD108" s="686">
        <f t="shared" si="51"/>
        <v>-0.2353040848959165</v>
      </c>
      <c r="AE108" s="687">
        <f t="shared" si="52"/>
        <v>-23.319713307853501</v>
      </c>
      <c r="AG108" s="686">
        <f t="shared" si="53"/>
        <v>49.174434201126687</v>
      </c>
      <c r="AH108" s="687">
        <f t="shared" si="54"/>
        <v>-50.471014771037389</v>
      </c>
      <c r="AJ108" s="170">
        <f t="shared" si="55"/>
        <v>0</v>
      </c>
      <c r="AK108" s="170">
        <f t="shared" si="65"/>
        <v>0</v>
      </c>
      <c r="AM108" s="170" t="str">
        <f t="shared" si="59"/>
        <v>0.340677572226773+0.751860316970658i</v>
      </c>
      <c r="AN108" s="170" t="str">
        <f t="shared" si="60"/>
        <v>0.85087911671806i</v>
      </c>
      <c r="AO108" s="170" t="str">
        <f t="shared" si="61"/>
        <v>0.8836276530921-0.400383045644376i</v>
      </c>
      <c r="AP108" s="170" t="str">
        <f t="shared" si="62"/>
        <v>0.109887071295538-0.125310052828443i</v>
      </c>
      <c r="AQ108" s="170" t="str">
        <f t="shared" si="63"/>
        <v>0.890112928704462+0.125310052828443i</v>
      </c>
      <c r="AR108" s="170" t="str">
        <f t="shared" si="64"/>
        <v>0.917649422999799-0.129186639094728i</v>
      </c>
    </row>
    <row r="109" spans="1:44">
      <c r="G109" s="688">
        <v>5495.4</v>
      </c>
      <c r="H109" s="676">
        <f t="shared" si="56"/>
        <v>5.4954000000000001</v>
      </c>
      <c r="I109" s="677">
        <f t="shared" si="34"/>
        <v>4.9371029714039354</v>
      </c>
      <c r="J109" s="678">
        <f t="shared" si="35"/>
        <v>1.3668372396700161</v>
      </c>
      <c r="K109" s="678">
        <f t="shared" si="36"/>
        <v>1.0000288514374425</v>
      </c>
      <c r="L109" s="679">
        <f t="shared" si="37"/>
        <v>7.5961495230617293E-3</v>
      </c>
      <c r="M109" s="678">
        <f t="shared" si="38"/>
        <v>1.0040783668882121</v>
      </c>
      <c r="N109" s="679">
        <f t="shared" si="39"/>
        <v>-9.0161566748624453E-2</v>
      </c>
      <c r="O109" s="677">
        <f t="shared" si="40"/>
        <v>490996.92659717478</v>
      </c>
      <c r="P109" s="680">
        <f t="shared" si="41"/>
        <v>1.5707942901222702</v>
      </c>
      <c r="Q109" s="689">
        <f t="shared" si="42"/>
        <v>2.6508394044475398</v>
      </c>
      <c r="R109" s="690">
        <f t="shared" si="43"/>
        <v>1.1839831178135327</v>
      </c>
      <c r="S109" s="677">
        <f t="shared" si="44"/>
        <v>1.0001339232444639</v>
      </c>
      <c r="T109" s="680">
        <f t="shared" si="45"/>
        <v>1.6365103114590381E-2</v>
      </c>
      <c r="U109" s="681">
        <f t="shared" si="57"/>
        <v>0.89699172323463094</v>
      </c>
      <c r="V109" s="682">
        <f t="shared" si="58"/>
        <v>-0.57118513485080391</v>
      </c>
      <c r="W109" s="683">
        <f t="shared" si="46"/>
        <v>-10.768591642091184</v>
      </c>
      <c r="X109" s="684">
        <f t="shared" si="47"/>
        <v>-138.87145174297112</v>
      </c>
      <c r="Y109" s="687">
        <f t="shared" si="48"/>
        <v>41.128548257028882</v>
      </c>
      <c r="AA109" s="170">
        <f t="shared" si="49"/>
        <v>5495.4</v>
      </c>
      <c r="AB109" s="170">
        <f t="shared" si="50"/>
        <v>30199421.159999996</v>
      </c>
      <c r="AD109" s="686">
        <f t="shared" si="51"/>
        <v>-0.24962018156698984</v>
      </c>
      <c r="AE109" s="687">
        <f t="shared" si="52"/>
        <v>-23.100299007956686</v>
      </c>
      <c r="AG109" s="686">
        <f t="shared" si="53"/>
        <v>49.099305614143333</v>
      </c>
      <c r="AH109" s="687">
        <f t="shared" si="54"/>
        <v>-50.318157565099817</v>
      </c>
      <c r="AJ109" s="170">
        <f t="shared" si="55"/>
        <v>0</v>
      </c>
      <c r="AK109" s="170">
        <f t="shared" si="65"/>
        <v>0</v>
      </c>
      <c r="AM109" s="170" t="str">
        <f t="shared" si="59"/>
        <v>0.348074632310581+0.758283136409491i</v>
      </c>
      <c r="AN109" s="170" t="str">
        <f t="shared" si="60"/>
        <v>0.86067553825569i</v>
      </c>
      <c r="AO109" s="170" t="str">
        <f t="shared" si="61"/>
        <v>0.881032517720075-0.404420268543957i</v>
      </c>
      <c r="AP109" s="170" t="str">
        <f t="shared" si="62"/>
        <v>0.108654227948236-0.126380522734915i</v>
      </c>
      <c r="AQ109" s="170" t="str">
        <f t="shared" si="63"/>
        <v>0.891345772051764+0.126380522734915i</v>
      </c>
      <c r="AR109" s="170" t="str">
        <f t="shared" si="64"/>
        <v>0.916124778659862-0.129893843722319i</v>
      </c>
    </row>
    <row r="110" spans="1:44">
      <c r="G110" s="688">
        <v>5559.4</v>
      </c>
      <c r="H110" s="676">
        <f t="shared" si="56"/>
        <v>5.5593999999999992</v>
      </c>
      <c r="I110" s="677">
        <f t="shared" si="34"/>
        <v>4.9922551187778783</v>
      </c>
      <c r="J110" s="678">
        <f t="shared" si="35"/>
        <v>1.3691217217912424</v>
      </c>
      <c r="K110" s="678">
        <f t="shared" si="36"/>
        <v>1.0000295273543169</v>
      </c>
      <c r="L110" s="679">
        <f t="shared" si="37"/>
        <v>7.6846116078161273E-3</v>
      </c>
      <c r="M110" s="678">
        <f t="shared" si="38"/>
        <v>1.0041737156398227</v>
      </c>
      <c r="N110" s="679">
        <f t="shared" si="39"/>
        <v>-9.1205817460344465E-2</v>
      </c>
      <c r="O110" s="677">
        <f t="shared" si="40"/>
        <v>496715.12787498708</v>
      </c>
      <c r="P110" s="680">
        <f t="shared" si="41"/>
        <v>1.5707943135685141</v>
      </c>
      <c r="Q110" s="689">
        <f t="shared" si="42"/>
        <v>2.6773397162989272</v>
      </c>
      <c r="R110" s="690">
        <f t="shared" si="43"/>
        <v>1.1880116210703153</v>
      </c>
      <c r="S110" s="677">
        <f t="shared" si="44"/>
        <v>1.0001370605617894</v>
      </c>
      <c r="T110" s="680">
        <f t="shared" si="45"/>
        <v>1.65556581841689E-2</v>
      </c>
      <c r="U110" s="681">
        <f t="shared" si="57"/>
        <v>0.89493140188667974</v>
      </c>
      <c r="V110" s="682">
        <f t="shared" si="58"/>
        <v>-0.57718773240001231</v>
      </c>
      <c r="W110" s="683">
        <f t="shared" si="46"/>
        <v>-10.898424729971289</v>
      </c>
      <c r="X110" s="684">
        <f t="shared" si="47"/>
        <v>-139.18113219761545</v>
      </c>
      <c r="Y110" s="687">
        <f t="shared" si="48"/>
        <v>40.818867802384545</v>
      </c>
      <c r="AA110" s="170">
        <f t="shared" si="49"/>
        <v>5559.4</v>
      </c>
      <c r="AB110" s="170">
        <f t="shared" si="50"/>
        <v>30906928.359999996</v>
      </c>
      <c r="AD110" s="686">
        <f t="shared" si="51"/>
        <v>-0.26381843982196329</v>
      </c>
      <c r="AE110" s="687">
        <f t="shared" si="52"/>
        <v>-22.880402117959548</v>
      </c>
      <c r="AG110" s="686">
        <f t="shared" si="53"/>
        <v>49.023618327986824</v>
      </c>
      <c r="AH110" s="687">
        <f t="shared" si="54"/>
        <v>-50.159887897584838</v>
      </c>
      <c r="AJ110" s="170">
        <f t="shared" si="55"/>
        <v>0</v>
      </c>
      <c r="AK110" s="170">
        <f t="shared" si="65"/>
        <v>0</v>
      </c>
      <c r="AM110" s="170" t="str">
        <f t="shared" si="59"/>
        <v>0.35570791831178+0.764779519517789i</v>
      </c>
      <c r="AN110" s="170" t="str">
        <f t="shared" si="60"/>
        <v>0.870699055096751i</v>
      </c>
      <c r="AO110" s="170" t="str">
        <f t="shared" si="61"/>
        <v>0.878351153640344-0.408531416486095i</v>
      </c>
      <c r="AP110" s="170" t="str">
        <f t="shared" si="62"/>
        <v>0.107382013614703-0.127463253252965i</v>
      </c>
      <c r="AQ110" s="170" t="str">
        <f t="shared" si="63"/>
        <v>0.892617986385297+0.127463253252965i</v>
      </c>
      <c r="AR110" s="170" t="str">
        <f t="shared" si="64"/>
        <v>0.914561140149761-0.130596671812874i</v>
      </c>
    </row>
    <row r="111" spans="1:44">
      <c r="G111" s="688">
        <v>5623.4</v>
      </c>
      <c r="H111" s="676">
        <f t="shared" si="56"/>
        <v>5.6233999999999993</v>
      </c>
      <c r="I111" s="677">
        <f t="shared" si="34"/>
        <v>5.0474327505774257</v>
      </c>
      <c r="J111" s="678">
        <f t="shared" si="35"/>
        <v>1.3713562682630784</v>
      </c>
      <c r="K111" s="678">
        <f t="shared" si="36"/>
        <v>1.0000302110969526</v>
      </c>
      <c r="L111" s="679">
        <f t="shared" si="37"/>
        <v>7.7730735722958445E-3</v>
      </c>
      <c r="M111" s="678">
        <f t="shared" si="38"/>
        <v>1.0042701591936261</v>
      </c>
      <c r="N111" s="679">
        <f t="shared" si="39"/>
        <v>-9.2249868744328459E-2</v>
      </c>
      <c r="O111" s="677">
        <f t="shared" si="40"/>
        <v>502433.32915279962</v>
      </c>
      <c r="P111" s="680">
        <f t="shared" si="41"/>
        <v>1.5707943364810739</v>
      </c>
      <c r="Q111" s="689">
        <f t="shared" si="42"/>
        <v>2.703882626162633</v>
      </c>
      <c r="R111" s="690">
        <f t="shared" si="43"/>
        <v>1.1919610950410158</v>
      </c>
      <c r="S111" s="677">
        <f t="shared" si="44"/>
        <v>1.0001402341950978</v>
      </c>
      <c r="T111" s="680">
        <f t="shared" si="45"/>
        <v>1.6746212051332393E-2</v>
      </c>
      <c r="U111" s="681">
        <f t="shared" si="57"/>
        <v>0.89286060662428135</v>
      </c>
      <c r="V111" s="682">
        <f t="shared" si="58"/>
        <v>-0.58317149398941093</v>
      </c>
      <c r="W111" s="683">
        <f t="shared" si="46"/>
        <v>-11.026943265715335</v>
      </c>
      <c r="X111" s="684">
        <f t="shared" si="47"/>
        <v>-139.49138885490589</v>
      </c>
      <c r="Y111" s="687">
        <f t="shared" si="48"/>
        <v>40.508611145094108</v>
      </c>
      <c r="AA111" s="170">
        <f t="shared" si="49"/>
        <v>5623.4</v>
      </c>
      <c r="AB111" s="170">
        <f t="shared" si="50"/>
        <v>31622627.559999995</v>
      </c>
      <c r="AD111" s="686">
        <f t="shared" si="51"/>
        <v>-0.27757998298239056</v>
      </c>
      <c r="AE111" s="687">
        <f t="shared" si="52"/>
        <v>-22.66503317304689</v>
      </c>
      <c r="AG111" s="686">
        <f t="shared" si="53"/>
        <v>48.949104735240709</v>
      </c>
      <c r="AH111" s="687">
        <f t="shared" si="54"/>
        <v>-49.999824929634343</v>
      </c>
      <c r="AJ111" s="170">
        <f t="shared" si="55"/>
        <v>0</v>
      </c>
      <c r="AK111" s="170">
        <f t="shared" si="65"/>
        <v>0</v>
      </c>
      <c r="AM111" s="170" t="str">
        <f t="shared" si="59"/>
        <v>0.36340593636978+0.771199065190541i</v>
      </c>
      <c r="AN111" s="170" t="str">
        <f t="shared" si="60"/>
        <v>0.880722571937811i</v>
      </c>
      <c r="AO111" s="170" t="str">
        <f t="shared" si="61"/>
        <v>0.875643579218947-0.412622485160333i</v>
      </c>
      <c r="AP111" s="170" t="str">
        <f t="shared" si="62"/>
        <v>0.106099010605037-0.128533177531757i</v>
      </c>
      <c r="AQ111" s="170" t="str">
        <f t="shared" si="63"/>
        <v>0.893900989394963+0.128533177531757i</v>
      </c>
      <c r="AR111" s="170" t="str">
        <f t="shared" si="64"/>
        <v>0.912994122487383-0.131278561074812i</v>
      </c>
    </row>
    <row r="112" spans="1:44">
      <c r="G112" s="688">
        <v>5688.9</v>
      </c>
      <c r="H112" s="676">
        <f t="shared" si="56"/>
        <v>5.6888999999999994</v>
      </c>
      <c r="I112" s="677">
        <f t="shared" si="34"/>
        <v>5.1039291329893368</v>
      </c>
      <c r="J112" s="678">
        <f t="shared" si="35"/>
        <v>1.3735931491215079</v>
      </c>
      <c r="K112" s="678">
        <f t="shared" si="36"/>
        <v>1.000030918967824</v>
      </c>
      <c r="L112" s="679">
        <f t="shared" si="37"/>
        <v>7.8636087380874152E-3</v>
      </c>
      <c r="M112" s="678">
        <f t="shared" si="38"/>
        <v>1.0043699964061212</v>
      </c>
      <c r="N112" s="679">
        <f t="shared" si="39"/>
        <v>-9.3318181171771014E-2</v>
      </c>
      <c r="O112" s="677">
        <f t="shared" si="40"/>
        <v>508285.55077306111</v>
      </c>
      <c r="P112" s="680">
        <f t="shared" si="41"/>
        <v>1.5707943593968494</v>
      </c>
      <c r="Q112" s="689">
        <f t="shared" si="42"/>
        <v>2.7310904467065633</v>
      </c>
      <c r="R112" s="690">
        <f t="shared" si="43"/>
        <v>1.1959235832850506</v>
      </c>
      <c r="S112" s="677">
        <f t="shared" si="44"/>
        <v>1.0001435198127671</v>
      </c>
      <c r="T112" s="680">
        <f t="shared" si="45"/>
        <v>1.6941230765311288E-2</v>
      </c>
      <c r="U112" s="681">
        <f t="shared" si="57"/>
        <v>0.89073075740212249</v>
      </c>
      <c r="V112" s="682">
        <f t="shared" si="58"/>
        <v>-0.58927595620928941</v>
      </c>
      <c r="W112" s="683">
        <f t="shared" si="46"/>
        <v>-11.157149863338871</v>
      </c>
      <c r="X112" s="684">
        <f t="shared" si="47"/>
        <v>-139.80947632898437</v>
      </c>
      <c r="Y112" s="687">
        <f t="shared" si="48"/>
        <v>40.190523671015626</v>
      </c>
      <c r="AA112" s="170">
        <f t="shared" si="49"/>
        <v>5688.9</v>
      </c>
      <c r="AB112" s="170">
        <f t="shared" si="50"/>
        <v>32363583.209999997</v>
      </c>
      <c r="AD112" s="686">
        <f t="shared" si="51"/>
        <v>-0.29123002428061245</v>
      </c>
      <c r="AE112" s="687">
        <f t="shared" si="52"/>
        <v>-22.449174382261123</v>
      </c>
      <c r="AG112" s="686">
        <f t="shared" si="53"/>
        <v>48.874036704719586</v>
      </c>
      <c r="AH112" s="687">
        <f t="shared" si="54"/>
        <v>-49.83425135090711</v>
      </c>
      <c r="AJ112" s="170">
        <f t="shared" si="55"/>
        <v>0</v>
      </c>
      <c r="AK112" s="170">
        <f t="shared" si="65"/>
        <v>0</v>
      </c>
      <c r="AM112" s="170" t="str">
        <f t="shared" si="59"/>
        <v>0.371350595179334+0.777688836115463i</v>
      </c>
      <c r="AN112" s="170" t="str">
        <f t="shared" si="60"/>
        <v>0.890981014954834i</v>
      </c>
      <c r="AO112" s="170" t="str">
        <f t="shared" si="61"/>
        <v>0.872845574779038-0.416788448851695i</v>
      </c>
      <c r="AP112" s="170" t="str">
        <f t="shared" si="62"/>
        <v>0.104774900803444-0.129614806019244i</v>
      </c>
      <c r="AQ112" s="170" t="str">
        <f t="shared" si="63"/>
        <v>0.895225099196556+0.129614806019244i</v>
      </c>
      <c r="AR112" s="170" t="str">
        <f t="shared" si="64"/>
        <v>0.911387204236811-0.131954829898752i</v>
      </c>
    </row>
    <row r="113" spans="7:44">
      <c r="G113" s="688">
        <v>5754.4</v>
      </c>
      <c r="H113" s="676">
        <f t="shared" si="56"/>
        <v>5.7543999999999995</v>
      </c>
      <c r="I113" s="677">
        <f t="shared" si="34"/>
        <v>5.1604504943488632</v>
      </c>
      <c r="J113" s="678">
        <f t="shared" si="35"/>
        <v>1.3757810405291355</v>
      </c>
      <c r="K113" s="678">
        <f t="shared" si="36"/>
        <v>1.0000316350355534</v>
      </c>
      <c r="L113" s="679">
        <f t="shared" si="37"/>
        <v>7.9541437749665444E-3</v>
      </c>
      <c r="M113" s="678">
        <f t="shared" si="38"/>
        <v>1.0044709796688718</v>
      </c>
      <c r="N113" s="679">
        <f t="shared" si="39"/>
        <v>-9.4386280015053017E-2</v>
      </c>
      <c r="O113" s="677">
        <f t="shared" si="40"/>
        <v>514137.7723933229</v>
      </c>
      <c r="P113" s="680">
        <f t="shared" si="41"/>
        <v>1.5707943817909431</v>
      </c>
      <c r="Q113" s="689">
        <f t="shared" si="42"/>
        <v>2.7583403026120998</v>
      </c>
      <c r="R113" s="690">
        <f t="shared" si="43"/>
        <v>1.1998078400655168</v>
      </c>
      <c r="S113" s="677">
        <f t="shared" si="44"/>
        <v>1.0001468434679426</v>
      </c>
      <c r="T113" s="680">
        <f t="shared" si="45"/>
        <v>1.7136248190547522E-2</v>
      </c>
      <c r="U113" s="681">
        <f t="shared" si="57"/>
        <v>0.88859059542147623</v>
      </c>
      <c r="V113" s="682">
        <f t="shared" si="58"/>
        <v>-0.5953606110487617</v>
      </c>
      <c r="W113" s="683">
        <f t="shared" si="46"/>
        <v>-11.286053290053914</v>
      </c>
      <c r="X113" s="684">
        <f t="shared" si="47"/>
        <v>-140.1280920338645</v>
      </c>
      <c r="Y113" s="687">
        <f t="shared" si="48"/>
        <v>39.871907966135495</v>
      </c>
      <c r="AA113" s="170">
        <f t="shared" si="49"/>
        <v>5754.4</v>
      </c>
      <c r="AB113" s="170">
        <f t="shared" si="50"/>
        <v>33113119.359999996</v>
      </c>
      <c r="AD113" s="686">
        <f t="shared" si="51"/>
        <v>-0.3044586009007294</v>
      </c>
      <c r="AE113" s="687">
        <f t="shared" si="52"/>
        <v>-22.237797820438395</v>
      </c>
      <c r="AG113" s="686">
        <f t="shared" si="53"/>
        <v>48.800151314873517</v>
      </c>
      <c r="AH113" s="687">
        <f t="shared" si="54"/>
        <v>-49.666993532622008</v>
      </c>
      <c r="AJ113" s="170">
        <f t="shared" si="55"/>
        <v>0</v>
      </c>
      <c r="AK113" s="170">
        <f t="shared" si="65"/>
        <v>0</v>
      </c>
      <c r="AM113" s="170" t="str">
        <f t="shared" si="59"/>
        <v>0.379361409739432+0.784096767165491i</v>
      </c>
      <c r="AN113" s="170" t="str">
        <f t="shared" si="60"/>
        <v>0.901239457971857i</v>
      </c>
      <c r="AO113" s="170" t="str">
        <f t="shared" si="61"/>
        <v>0.870020459301701-0.420932978892363i</v>
      </c>
      <c r="AP113" s="170" t="str">
        <f t="shared" si="62"/>
        <v>0.103439765043428-0.130682794527582i</v>
      </c>
      <c r="AQ113" s="170" t="str">
        <f t="shared" si="63"/>
        <v>0.896560234956572+0.130682794527582i</v>
      </c>
      <c r="AR113" s="170" t="str">
        <f t="shared" si="64"/>
        <v>0.90977740276529-0.132609331482533i</v>
      </c>
    </row>
    <row r="114" spans="7:44">
      <c r="G114" s="688">
        <v>5821.4</v>
      </c>
      <c r="H114" s="676">
        <f t="shared" si="56"/>
        <v>5.8213999999999997</v>
      </c>
      <c r="I114" s="677">
        <f t="shared" si="34"/>
        <v>5.2182912354052036</v>
      </c>
      <c r="J114" s="678">
        <f t="shared" si="35"/>
        <v>1.3779699892502315</v>
      </c>
      <c r="K114" s="678">
        <f t="shared" si="36"/>
        <v>1.0000323759823411</v>
      </c>
      <c r="L114" s="679">
        <f t="shared" si="37"/>
        <v>8.046751998379429E-3</v>
      </c>
      <c r="M114" s="678">
        <f t="shared" si="38"/>
        <v>1.0045754608840094</v>
      </c>
      <c r="N114" s="679">
        <f t="shared" si="39"/>
        <v>-9.5478615687062993E-2</v>
      </c>
      <c r="O114" s="677">
        <f t="shared" si="40"/>
        <v>520124.01435603376</v>
      </c>
      <c r="P114" s="680">
        <f t="shared" si="41"/>
        <v>1.5707944041764972</v>
      </c>
      <c r="Q114" s="689">
        <f t="shared" si="42"/>
        <v>2.7862564055953092</v>
      </c>
      <c r="R114" s="690">
        <f t="shared" si="43"/>
        <v>1.2037023825355906</v>
      </c>
      <c r="S114" s="677">
        <f t="shared" si="44"/>
        <v>1.0001502825910764</v>
      </c>
      <c r="T114" s="680">
        <f t="shared" si="45"/>
        <v>1.7335730314888692E-2</v>
      </c>
      <c r="U114" s="681">
        <f t="shared" si="57"/>
        <v>0.88639109466795807</v>
      </c>
      <c r="V114" s="682">
        <f t="shared" si="58"/>
        <v>-0.60156408124749572</v>
      </c>
      <c r="W114" s="683">
        <f t="shared" si="46"/>
        <v>-11.416597000032789</v>
      </c>
      <c r="X114" s="684">
        <f t="shared" si="47"/>
        <v>-140.45451230145864</v>
      </c>
      <c r="Y114" s="687">
        <f t="shared" si="48"/>
        <v>39.545487698541365</v>
      </c>
      <c r="AA114" s="170">
        <f t="shared" si="49"/>
        <v>5821.4</v>
      </c>
      <c r="AB114" s="170">
        <f t="shared" si="50"/>
        <v>33888697.959999993</v>
      </c>
      <c r="AD114" s="686">
        <f t="shared" si="51"/>
        <v>-0.31757165536106902</v>
      </c>
      <c r="AE114" s="687">
        <f t="shared" si="52"/>
        <v>-22.026087739937619</v>
      </c>
      <c r="AG114" s="686">
        <f t="shared" si="53"/>
        <v>48.725773792103801</v>
      </c>
      <c r="AH114" s="687">
        <f t="shared" si="54"/>
        <v>-49.494258558459343</v>
      </c>
      <c r="AJ114" s="170">
        <f t="shared" si="55"/>
        <v>0</v>
      </c>
      <c r="AK114" s="170">
        <f t="shared" si="65"/>
        <v>0</v>
      </c>
      <c r="AM114" s="170" t="str">
        <f t="shared" si="59"/>
        <v>0.387623244797294+0.790566069147548i</v>
      </c>
      <c r="AN114" s="170" t="str">
        <f t="shared" si="60"/>
        <v>0.911732827164842i</v>
      </c>
      <c r="AO114" s="170" t="str">
        <f t="shared" si="61"/>
        <v>0.867102780104914-0.425150036554745i</v>
      </c>
      <c r="AP114" s="170" t="str">
        <f t="shared" si="62"/>
        <v>0.102062792533784-0.131761011524591i</v>
      </c>
      <c r="AQ114" s="170" t="str">
        <f t="shared" si="63"/>
        <v>0.897937207466216+0.131761011524591i</v>
      </c>
      <c r="AR114" s="170" t="str">
        <f t="shared" si="64"/>
        <v>0.908128091492284-0.13325639580808i</v>
      </c>
    </row>
    <row r="115" spans="7:44">
      <c r="G115" s="688">
        <v>5888.4</v>
      </c>
      <c r="H115" s="676">
        <f t="shared" si="56"/>
        <v>5.8883999999999999</v>
      </c>
      <c r="I115" s="677">
        <f t="shared" si="34"/>
        <v>5.2761564316083929</v>
      </c>
      <c r="J115" s="678">
        <f t="shared" si="35"/>
        <v>1.3801109343235995</v>
      </c>
      <c r="K115" s="678">
        <f t="shared" si="36"/>
        <v>1.0000331255056767</v>
      </c>
      <c r="L115" s="679">
        <f t="shared" si="37"/>
        <v>8.139360083767094E-3</v>
      </c>
      <c r="M115" s="678">
        <f t="shared" si="38"/>
        <v>1.004681140505653</v>
      </c>
      <c r="N115" s="679">
        <f t="shared" si="39"/>
        <v>-9.6570722862427696E-2</v>
      </c>
      <c r="O115" s="677">
        <f t="shared" si="40"/>
        <v>526110.25631874485</v>
      </c>
      <c r="P115" s="680">
        <f t="shared" si="41"/>
        <v>1.5707944260526321</v>
      </c>
      <c r="Q115" s="689">
        <f t="shared" si="42"/>
        <v>2.8142139302244575</v>
      </c>
      <c r="R115" s="690">
        <f t="shared" si="43"/>
        <v>1.2075196020697732</v>
      </c>
      <c r="S115" s="677">
        <f t="shared" si="44"/>
        <v>1.0001537615130334</v>
      </c>
      <c r="T115" s="680">
        <f t="shared" si="45"/>
        <v>1.7535211059415676E-2</v>
      </c>
      <c r="U115" s="681">
        <f t="shared" si="57"/>
        <v>0.88418149506538757</v>
      </c>
      <c r="V115" s="682">
        <f t="shared" si="58"/>
        <v>-0.60774675988081606</v>
      </c>
      <c r="W115" s="683">
        <f t="shared" si="46"/>
        <v>-11.5458499403122</v>
      </c>
      <c r="X115" s="684">
        <f t="shared" si="47"/>
        <v>-140.78140797934549</v>
      </c>
      <c r="Y115" s="687">
        <f t="shared" si="48"/>
        <v>39.218592020654512</v>
      </c>
      <c r="AA115" s="170">
        <f t="shared" si="49"/>
        <v>5888.4</v>
      </c>
      <c r="AB115" s="170">
        <f t="shared" si="50"/>
        <v>34673254.559999995</v>
      </c>
      <c r="AD115" s="686">
        <f t="shared" si="51"/>
        <v>-0.33027854759637815</v>
      </c>
      <c r="AE115" s="687">
        <f t="shared" si="52"/>
        <v>-21.818807829082935</v>
      </c>
      <c r="AG115" s="686">
        <f t="shared" si="53"/>
        <v>48.652586256140829</v>
      </c>
      <c r="AH115" s="687">
        <f t="shared" si="54"/>
        <v>-49.319951362841365</v>
      </c>
      <c r="AJ115" s="170">
        <f t="shared" si="55"/>
        <v>0</v>
      </c>
      <c r="AK115" s="170">
        <f t="shared" si="65"/>
        <v>0</v>
      </c>
      <c r="AM115" s="170" t="str">
        <f t="shared" si="59"/>
        <v>0.395952508529026+0.796948322068391i</v>
      </c>
      <c r="AN115" s="170" t="str">
        <f t="shared" si="60"/>
        <v>0.922226196357827i</v>
      </c>
      <c r="AO115" s="170" t="str">
        <f t="shared" si="61"/>
        <v>0.864157107243104-0.429344243410968i</v>
      </c>
      <c r="AP115" s="170" t="str">
        <f t="shared" si="62"/>
        <v>0.100674581911829-0.132824720344732i</v>
      </c>
      <c r="AQ115" s="170" t="str">
        <f t="shared" si="63"/>
        <v>0.899325418088171+0.132824720344732i</v>
      </c>
      <c r="AR115" s="170" t="str">
        <f t="shared" si="64"/>
        <v>0.906476446505319-0.133880882364153i</v>
      </c>
    </row>
    <row r="116" spans="7:44">
      <c r="G116" s="688">
        <v>5957</v>
      </c>
      <c r="H116" s="676">
        <f t="shared" si="56"/>
        <v>5.9569999999999999</v>
      </c>
      <c r="I116" s="677">
        <f t="shared" si="34"/>
        <v>5.3354279903928408</v>
      </c>
      <c r="J116" s="678">
        <f t="shared" si="35"/>
        <v>1.3822548805591677</v>
      </c>
      <c r="K116" s="678">
        <f t="shared" si="36"/>
        <v>1.0000339018142701</v>
      </c>
      <c r="L116" s="679">
        <f t="shared" si="37"/>
        <v>8.2341795608548742E-3</v>
      </c>
      <c r="M116" s="678">
        <f t="shared" si="38"/>
        <v>1.0047905851010417</v>
      </c>
      <c r="N116" s="679">
        <f t="shared" si="39"/>
        <v>-9.7688670817484974E-2</v>
      </c>
      <c r="O116" s="677">
        <f t="shared" si="40"/>
        <v>532239.45331340155</v>
      </c>
      <c r="P116" s="680">
        <f t="shared" si="41"/>
        <v>1.5707944479413209</v>
      </c>
      <c r="Q116" s="689">
        <f t="shared" si="42"/>
        <v>2.8428807381877124</v>
      </c>
      <c r="R116" s="690">
        <f t="shared" si="43"/>
        <v>1.2113501323251104</v>
      </c>
      <c r="S116" s="677">
        <f t="shared" si="44"/>
        <v>1.0001573647490913</v>
      </c>
      <c r="T116" s="680">
        <f t="shared" si="45"/>
        <v>1.7739454077016419E-2</v>
      </c>
      <c r="U116" s="681">
        <f t="shared" si="57"/>
        <v>0.88190902537192117</v>
      </c>
      <c r="V116" s="682">
        <f t="shared" si="58"/>
        <v>-0.61405551385664847</v>
      </c>
      <c r="W116" s="683">
        <f t="shared" si="46"/>
        <v>-11.676888291542248</v>
      </c>
      <c r="X116" s="684">
        <f t="shared" si="47"/>
        <v>-141.11656327112337</v>
      </c>
      <c r="Y116" s="687">
        <f t="shared" si="48"/>
        <v>38.883436728876632</v>
      </c>
      <c r="AA116" s="170">
        <f t="shared" si="49"/>
        <v>5957</v>
      </c>
      <c r="AB116" s="170">
        <f t="shared" si="50"/>
        <v>35485849</v>
      </c>
      <c r="AD116" s="686">
        <f t="shared" si="51"/>
        <v>-0.34288511102442903</v>
      </c>
      <c r="AE116" s="687">
        <f t="shared" si="52"/>
        <v>-21.611038128950565</v>
      </c>
      <c r="AG116" s="686">
        <f t="shared" si="53"/>
        <v>48.578859836785675</v>
      </c>
      <c r="AH116" s="687">
        <f t="shared" si="54"/>
        <v>-49.139946400322415</v>
      </c>
      <c r="AJ116" s="170">
        <f t="shared" si="55"/>
        <v>0</v>
      </c>
      <c r="AK116" s="170">
        <f t="shared" si="65"/>
        <v>0</v>
      </c>
      <c r="AM116" s="170" t="str">
        <f t="shared" si="59"/>
        <v>0.404549585449978+0.803392061083632i</v>
      </c>
      <c r="AN116" s="170" t="str">
        <f t="shared" si="60"/>
        <v>0.932970153471839i</v>
      </c>
      <c r="AO116" s="170" t="str">
        <f t="shared" si="61"/>
        <v>0.861112285418766-0.433614713122963i</v>
      </c>
      <c r="AP116" s="170" t="str">
        <f t="shared" si="62"/>
        <v>0.099241735758337-0.133898676847272i</v>
      </c>
      <c r="AQ116" s="170" t="str">
        <f t="shared" si="63"/>
        <v>0.900758264241663+0.133898676847272i</v>
      </c>
      <c r="AR116" s="170" t="str">
        <f t="shared" si="64"/>
        <v>0.90478329399872-0.134497001814287i</v>
      </c>
    </row>
    <row r="117" spans="7:44">
      <c r="G117" s="688">
        <v>6025.6</v>
      </c>
      <c r="H117" s="676">
        <f t="shared" si="56"/>
        <v>6.0256000000000007</v>
      </c>
      <c r="I117" s="677">
        <f t="shared" si="34"/>
        <v>5.394723534541229</v>
      </c>
      <c r="J117" s="678">
        <f t="shared" si="35"/>
        <v>1.3843517063317312</v>
      </c>
      <c r="K117" s="678">
        <f t="shared" si="36"/>
        <v>1.0000346871138874</v>
      </c>
      <c r="L117" s="679">
        <f t="shared" si="37"/>
        <v>8.3289988898769176E-3</v>
      </c>
      <c r="M117" s="678">
        <f t="shared" si="38"/>
        <v>1.0049012852169157</v>
      </c>
      <c r="N117" s="679">
        <f t="shared" si="39"/>
        <v>-9.8806373862484004E-2</v>
      </c>
      <c r="O117" s="677">
        <f t="shared" si="40"/>
        <v>538368.65030805848</v>
      </c>
      <c r="P117" s="680">
        <f t="shared" si="41"/>
        <v>1.5707944693316149</v>
      </c>
      <c r="Q117" s="689">
        <f t="shared" si="42"/>
        <v>2.8715884264354483</v>
      </c>
      <c r="R117" s="690">
        <f t="shared" si="43"/>
        <v>1.2151041280100621</v>
      </c>
      <c r="S117" s="677">
        <f t="shared" si="44"/>
        <v>1.0001610097066225</v>
      </c>
      <c r="T117" s="680">
        <f t="shared" si="45"/>
        <v>1.7943695614462529E-2</v>
      </c>
      <c r="U117" s="681">
        <f t="shared" si="57"/>
        <v>0.87962669621530409</v>
      </c>
      <c r="V117" s="682">
        <f t="shared" si="58"/>
        <v>-0.6203424181348689</v>
      </c>
      <c r="W117" s="683">
        <f t="shared" si="46"/>
        <v>-11.806645450803162</v>
      </c>
      <c r="X117" s="684">
        <f t="shared" si="47"/>
        <v>-141.45213783446434</v>
      </c>
      <c r="Y117" s="687">
        <f t="shared" si="48"/>
        <v>38.547862165535662</v>
      </c>
      <c r="AA117" s="170">
        <f t="shared" si="49"/>
        <v>6025.6</v>
      </c>
      <c r="AB117" s="170">
        <f t="shared" si="50"/>
        <v>36307855.360000007</v>
      </c>
      <c r="AD117" s="686">
        <f t="shared" si="51"/>
        <v>-0.35509966381923835</v>
      </c>
      <c r="AE117" s="687">
        <f t="shared" si="52"/>
        <v>-21.407653423330604</v>
      </c>
      <c r="AG117" s="686">
        <f t="shared" si="53"/>
        <v>48.506332656398271</v>
      </c>
      <c r="AH117" s="687">
        <f t="shared" si="54"/>
        <v>-48.958479505770576</v>
      </c>
      <c r="AJ117" s="170">
        <f t="shared" si="55"/>
        <v>0</v>
      </c>
      <c r="AK117" s="170">
        <f t="shared" si="65"/>
        <v>0</v>
      </c>
      <c r="AM117" s="170" t="str">
        <f t="shared" si="59"/>
        <v>0.413215396107886+0.809743063344895i</v>
      </c>
      <c r="AN117" s="170" t="str">
        <f t="shared" si="60"/>
        <v>0.943714110585851i</v>
      </c>
      <c r="AO117" s="170" t="str">
        <f t="shared" si="61"/>
        <v>0.858038524868736-0.437860779522905i</v>
      </c>
      <c r="AP117" s="170" t="str">
        <f t="shared" si="62"/>
        <v>0.097797433982019-0.134957177224149i</v>
      </c>
      <c r="AQ117" s="170" t="str">
        <f t="shared" si="63"/>
        <v>0.902202566017981+0.134957177224149i</v>
      </c>
      <c r="AR117" s="170" t="str">
        <f t="shared" si="64"/>
        <v>0.903088405962564-0.135089686776766i</v>
      </c>
    </row>
    <row r="118" spans="7:44">
      <c r="G118" s="688">
        <v>6095.8</v>
      </c>
      <c r="H118" s="676">
        <f t="shared" si="56"/>
        <v>6.0958000000000006</v>
      </c>
      <c r="I118" s="677">
        <f t="shared" si="34"/>
        <v>5.4554260801989756</v>
      </c>
      <c r="J118" s="678">
        <f t="shared" si="35"/>
        <v>1.3864502399463383</v>
      </c>
      <c r="K118" s="678">
        <f t="shared" si="36"/>
        <v>1.0000355000375329</v>
      </c>
      <c r="L118" s="679">
        <f t="shared" si="37"/>
        <v>8.4260295933742228E-3</v>
      </c>
      <c r="M118" s="678">
        <f t="shared" si="38"/>
        <v>1.0050158666137137</v>
      </c>
      <c r="N118" s="679">
        <f t="shared" si="39"/>
        <v>-9.994988940961512E-2</v>
      </c>
      <c r="O118" s="677">
        <f t="shared" si="40"/>
        <v>544640.8023346609</v>
      </c>
      <c r="P118" s="680">
        <f t="shared" si="41"/>
        <v>1.5707944907223959</v>
      </c>
      <c r="Q118" s="689">
        <f t="shared" si="42"/>
        <v>2.901006737180833</v>
      </c>
      <c r="R118" s="690">
        <f t="shared" si="43"/>
        <v>1.218868709260033</v>
      </c>
      <c r="S118" s="677">
        <f t="shared" si="44"/>
        <v>1.0001647828697289</v>
      </c>
      <c r="T118" s="680">
        <f t="shared" si="45"/>
        <v>1.8152699252826081E-2</v>
      </c>
      <c r="U118" s="681">
        <f t="shared" si="57"/>
        <v>0.87728130568882579</v>
      </c>
      <c r="V118" s="682">
        <f t="shared" si="58"/>
        <v>-0.62675331472972029</v>
      </c>
      <c r="W118" s="683">
        <f t="shared" si="46"/>
        <v>-11.938138370672554</v>
      </c>
      <c r="X118" s="684">
        <f t="shared" si="47"/>
        <v>-141.79593307151004</v>
      </c>
      <c r="Y118" s="687">
        <f t="shared" si="48"/>
        <v>38.204066928489965</v>
      </c>
      <c r="AA118" s="170">
        <f t="shared" si="49"/>
        <v>6095.8</v>
      </c>
      <c r="AB118" s="170">
        <f t="shared" si="50"/>
        <v>37158777.640000001</v>
      </c>
      <c r="AD118" s="686">
        <f t="shared" si="51"/>
        <v>-0.3672097949564026</v>
      </c>
      <c r="AE118" s="687">
        <f t="shared" si="52"/>
        <v>-21.203935057822978</v>
      </c>
      <c r="AG118" s="686">
        <f t="shared" si="53"/>
        <v>48.43333093110391</v>
      </c>
      <c r="AH118" s="687">
        <f t="shared" si="54"/>
        <v>-48.771358471924927</v>
      </c>
      <c r="AJ118" s="170">
        <f t="shared" si="55"/>
        <v>0</v>
      </c>
      <c r="AK118" s="170">
        <f t="shared" si="65"/>
        <v>0</v>
      </c>
      <c r="AM118" s="170" t="str">
        <f t="shared" si="59"/>
        <v>0.422153438235055+0.816145422738149i</v>
      </c>
      <c r="AN118" s="170" t="str">
        <f t="shared" si="60"/>
        <v>0.954708655620889i</v>
      </c>
      <c r="AO118" s="170" t="str">
        <f t="shared" si="61"/>
        <v>0.854863332319297-0.442180382203103i</v>
      </c>
      <c r="AP118" s="170" t="str">
        <f t="shared" si="62"/>
        <v>0.0963077602941575-0.136024237123025i</v>
      </c>
      <c r="AQ118" s="170" t="str">
        <f t="shared" si="63"/>
        <v>0.903692239705842+0.136024237123025i</v>
      </c>
      <c r="AR118" s="170" t="str">
        <f t="shared" si="64"/>
        <v>0.901352556577751-0.135672066772739i</v>
      </c>
    </row>
    <row r="119" spans="7:44">
      <c r="G119" s="688">
        <v>6166</v>
      </c>
      <c r="H119" s="676">
        <f t="shared" si="56"/>
        <v>6.1660000000000004</v>
      </c>
      <c r="I119" s="677">
        <f t="shared" si="34"/>
        <v>5.5161521218743967</v>
      </c>
      <c r="J119" s="678">
        <f t="shared" si="35"/>
        <v>1.3885025778925761</v>
      </c>
      <c r="K119" s="678">
        <f t="shared" si="36"/>
        <v>1.0000363223764548</v>
      </c>
      <c r="L119" s="679">
        <f t="shared" si="37"/>
        <v>8.5230601382066135E-3</v>
      </c>
      <c r="M119" s="678">
        <f t="shared" si="38"/>
        <v>1.0051317618965774</v>
      </c>
      <c r="N119" s="679">
        <f t="shared" si="39"/>
        <v>-0.10109314274855494</v>
      </c>
      <c r="O119" s="677">
        <f t="shared" si="40"/>
        <v>550912.95436126366</v>
      </c>
      <c r="P119" s="680">
        <f t="shared" si="41"/>
        <v>1.5707945116261079</v>
      </c>
      <c r="Q119" s="689">
        <f t="shared" si="42"/>
        <v>2.9304653354120056</v>
      </c>
      <c r="R119" s="690">
        <f t="shared" si="43"/>
        <v>1.222557654766889</v>
      </c>
      <c r="S119" s="677">
        <f t="shared" si="44"/>
        <v>1.0001685997222234</v>
      </c>
      <c r="T119" s="680">
        <f t="shared" si="45"/>
        <v>1.8361701305116145E-2</v>
      </c>
      <c r="U119" s="681">
        <f t="shared" si="57"/>
        <v>0.87492635351934722</v>
      </c>
      <c r="V119" s="682">
        <f t="shared" si="58"/>
        <v>-0.6331412927815393</v>
      </c>
      <c r="W119" s="683">
        <f t="shared" si="46"/>
        <v>-12.068360713248206</v>
      </c>
      <c r="X119" s="684">
        <f t="shared" si="47"/>
        <v>-142.14008683168512</v>
      </c>
      <c r="Y119" s="687">
        <f t="shared" si="48"/>
        <v>37.859913168314876</v>
      </c>
      <c r="AA119" s="170">
        <f t="shared" si="49"/>
        <v>6166</v>
      </c>
      <c r="AB119" s="170">
        <f t="shared" si="50"/>
        <v>38019556</v>
      </c>
      <c r="AD119" s="686">
        <f t="shared" si="51"/>
        <v>-0.3789421367769259</v>
      </c>
      <c r="AE119" s="687">
        <f t="shared" si="52"/>
        <v>-21.004550182398816</v>
      </c>
      <c r="AG119" s="686">
        <f t="shared" si="53"/>
        <v>48.361536005228714</v>
      </c>
      <c r="AH119" s="687">
        <f t="shared" si="54"/>
        <v>-48.582888742704853</v>
      </c>
      <c r="AJ119" s="170">
        <f t="shared" si="55"/>
        <v>0</v>
      </c>
      <c r="AK119" s="170">
        <f t="shared" si="65"/>
        <v>0</v>
      </c>
      <c r="AM119" s="170" t="str">
        <f t="shared" si="59"/>
        <v>0.431161329762853+0.822449127449737i</v>
      </c>
      <c r="AN119" s="170" t="str">
        <f t="shared" si="60"/>
        <v>0.965703200655928i</v>
      </c>
      <c r="AO119" s="170" t="str">
        <f t="shared" si="61"/>
        <v>0.851658280609519-0.446473957495427i</v>
      </c>
      <c r="AP119" s="170" t="str">
        <f t="shared" si="62"/>
        <v>0.0948064450395245-0.137074854574956i</v>
      </c>
      <c r="AQ119" s="170" t="str">
        <f t="shared" si="63"/>
        <v>0.905193554960475+0.137074854574956i</v>
      </c>
      <c r="AR119" s="170" t="str">
        <f t="shared" si="64"/>
        <v>0.899615627364606-0.136230180405721i</v>
      </c>
    </row>
    <row r="120" spans="7:44">
      <c r="G120" s="688">
        <v>6237.8</v>
      </c>
      <c r="H120" s="676">
        <f t="shared" si="56"/>
        <v>6.2378</v>
      </c>
      <c r="I120" s="677">
        <f t="shared" si="34"/>
        <v>5.5782857384699822</v>
      </c>
      <c r="J120" s="678">
        <f t="shared" si="35"/>
        <v>1.3905554605522381</v>
      </c>
      <c r="K120" s="678">
        <f t="shared" si="36"/>
        <v>1.0000371731977316</v>
      </c>
      <c r="L120" s="679">
        <f t="shared" si="37"/>
        <v>8.6223020393938216E-3</v>
      </c>
      <c r="M120" s="678">
        <f t="shared" si="38"/>
        <v>1.0052516573401942</v>
      </c>
      <c r="N120" s="679">
        <f t="shared" si="39"/>
        <v>-0.10226217888310463</v>
      </c>
      <c r="O120" s="677">
        <f t="shared" si="40"/>
        <v>557328.06141981203</v>
      </c>
      <c r="P120" s="680">
        <f t="shared" si="41"/>
        <v>1.5707945325195511</v>
      </c>
      <c r="Q120" s="689">
        <f t="shared" si="42"/>
        <v>2.9606357765054701</v>
      </c>
      <c r="R120" s="690">
        <f t="shared" si="43"/>
        <v>1.2262546877982743</v>
      </c>
      <c r="S120" s="677">
        <f t="shared" si="44"/>
        <v>1.000172548762376</v>
      </c>
      <c r="T120" s="680">
        <f t="shared" si="45"/>
        <v>1.8575465277222755E-2</v>
      </c>
      <c r="U120" s="681">
        <f t="shared" si="57"/>
        <v>0.87250823155131785</v>
      </c>
      <c r="V120" s="682">
        <f t="shared" si="58"/>
        <v>-0.6396511454196665</v>
      </c>
      <c r="W120" s="683">
        <f t="shared" si="46"/>
        <v>-12.200271966933025</v>
      </c>
      <c r="X120" s="684">
        <f t="shared" si="47"/>
        <v>-142.49241470135877</v>
      </c>
      <c r="Y120" s="687">
        <f t="shared" si="48"/>
        <v>37.507585298641231</v>
      </c>
      <c r="AA120" s="170">
        <f t="shared" si="49"/>
        <v>6237.8</v>
      </c>
      <c r="AB120" s="170">
        <f t="shared" si="50"/>
        <v>38910148.840000004</v>
      </c>
      <c r="AD120" s="686">
        <f t="shared" si="51"/>
        <v>-0.39056705655728019</v>
      </c>
      <c r="AE120" s="687">
        <f t="shared" si="52"/>
        <v>-20.804974763271719</v>
      </c>
      <c r="AG120" s="686">
        <f t="shared" si="53"/>
        <v>48.289328275540903</v>
      </c>
      <c r="AH120" s="687">
        <f t="shared" si="54"/>
        <v>-48.388817867819625</v>
      </c>
      <c r="AJ120" s="170">
        <f t="shared" si="55"/>
        <v>0</v>
      </c>
      <c r="AK120" s="170">
        <f t="shared" si="65"/>
        <v>0</v>
      </c>
      <c r="AM120" s="170" t="str">
        <f t="shared" si="59"/>
        <v>0.440445649937534+0.828793659076957i</v>
      </c>
      <c r="AN120" s="170" t="str">
        <f t="shared" si="60"/>
        <v>0.976948333611993i</v>
      </c>
      <c r="AO120" s="170" t="str">
        <f t="shared" si="61"/>
        <v>0.848349529409324-0.450838222231374i</v>
      </c>
      <c r="AP120" s="170" t="str">
        <f t="shared" si="62"/>
        <v>0.0932590583437443-0.138132276512826i</v>
      </c>
      <c r="AQ120" s="170" t="str">
        <f t="shared" si="63"/>
        <v>0.906740941656256+0.138132276512826i</v>
      </c>
      <c r="AR120" s="170" t="str">
        <f t="shared" si="64"/>
        <v>0.897838371830116-0.136776065294821i</v>
      </c>
    </row>
    <row r="121" spans="7:44">
      <c r="G121" s="688">
        <v>6309.6</v>
      </c>
      <c r="H121" s="676">
        <f t="shared" si="56"/>
        <v>6.3096000000000005</v>
      </c>
      <c r="I121" s="677">
        <f t="shared" si="34"/>
        <v>5.6404423457982462</v>
      </c>
      <c r="J121" s="678">
        <f t="shared" si="35"/>
        <v>1.3925631067611948</v>
      </c>
      <c r="K121" s="678">
        <f t="shared" si="36"/>
        <v>1.0000380338683126</v>
      </c>
      <c r="L121" s="679">
        <f t="shared" si="37"/>
        <v>8.7215437707357825E-3</v>
      </c>
      <c r="M121" s="678">
        <f t="shared" si="38"/>
        <v>1.0053729262776838</v>
      </c>
      <c r="N121" s="679">
        <f t="shared" si="39"/>
        <v>-0.10343093459434381</v>
      </c>
      <c r="O121" s="677">
        <f t="shared" si="40"/>
        <v>563743.16847836063</v>
      </c>
      <c r="P121" s="680">
        <f t="shared" si="41"/>
        <v>1.5707945529374809</v>
      </c>
      <c r="Q121" s="689">
        <f t="shared" si="42"/>
        <v>2.9908458669957461</v>
      </c>
      <c r="R121" s="690">
        <f t="shared" si="43"/>
        <v>1.2298770831465111</v>
      </c>
      <c r="S121" s="677">
        <f t="shared" si="44"/>
        <v>1.0001765435050871</v>
      </c>
      <c r="T121" s="680">
        <f t="shared" si="45"/>
        <v>1.8789227551534497E-2</v>
      </c>
      <c r="U121" s="681">
        <f t="shared" si="57"/>
        <v>0.87008090483419231</v>
      </c>
      <c r="V121" s="682">
        <f t="shared" si="58"/>
        <v>-0.64613700298512644</v>
      </c>
      <c r="W121" s="683">
        <f t="shared" si="46"/>
        <v>-12.33092413397392</v>
      </c>
      <c r="X121" s="684">
        <f t="shared" si="47"/>
        <v>-142.84503613930912</v>
      </c>
      <c r="Y121" s="687">
        <f t="shared" si="48"/>
        <v>37.154963860690884</v>
      </c>
      <c r="AA121" s="170">
        <f t="shared" si="49"/>
        <v>6309.6</v>
      </c>
      <c r="AB121" s="170">
        <f t="shared" si="50"/>
        <v>39811052.160000004</v>
      </c>
      <c r="AD121" s="686">
        <f t="shared" si="51"/>
        <v>-0.40182839594991021</v>
      </c>
      <c r="AE121" s="687">
        <f t="shared" si="52"/>
        <v>-20.609675643865145</v>
      </c>
      <c r="AG121" s="686">
        <f t="shared" si="53"/>
        <v>48.218333263466803</v>
      </c>
      <c r="AH121" s="687">
        <f t="shared" si="54"/>
        <v>-48.193513894279619</v>
      </c>
      <c r="AJ121" s="170">
        <f t="shared" si="55"/>
        <v>0</v>
      </c>
      <c r="AK121" s="170">
        <f t="shared" si="65"/>
        <v>0</v>
      </c>
      <c r="AM121" s="170" t="str">
        <f t="shared" si="59"/>
        <v>0.449800726701327+0.835033388351395i</v>
      </c>
      <c r="AN121" s="170" t="str">
        <f t="shared" si="60"/>
        <v>0.988193466568057i</v>
      </c>
      <c r="AO121" s="170" t="str">
        <f t="shared" si="61"/>
        <v>0.845010027491298-0.455174762755173i</v>
      </c>
      <c r="AP121" s="170" t="str">
        <f t="shared" si="62"/>
        <v>0.0916998788831122-0.139172231391899i</v>
      </c>
      <c r="AQ121" s="170" t="str">
        <f t="shared" si="63"/>
        <v>0.908300121116888+0.139172231391899i</v>
      </c>
      <c r="AR121" s="170" t="str">
        <f t="shared" si="64"/>
        <v>0.89606074881013-0.137296881256887i</v>
      </c>
    </row>
    <row r="122" spans="7:44">
      <c r="G122" s="688">
        <v>6383.05</v>
      </c>
      <c r="H122" s="676">
        <f t="shared" si="56"/>
        <v>6.3830499999999999</v>
      </c>
      <c r="I122" s="677">
        <f t="shared" si="34"/>
        <v>5.7040503487891971</v>
      </c>
      <c r="J122" s="678">
        <f t="shared" si="35"/>
        <v>1.3945716072668011</v>
      </c>
      <c r="K122" s="678">
        <f t="shared" si="36"/>
        <v>1.0000389245089265</v>
      </c>
      <c r="L122" s="679">
        <f t="shared" si="37"/>
        <v>8.8230659490404952E-3</v>
      </c>
      <c r="M122" s="678">
        <f t="shared" si="38"/>
        <v>1.0054984027198854</v>
      </c>
      <c r="N122" s="679">
        <f t="shared" si="39"/>
        <v>-0.10462625551126541</v>
      </c>
      <c r="O122" s="677">
        <f t="shared" si="40"/>
        <v>570305.69791360316</v>
      </c>
      <c r="P122" s="680">
        <f t="shared" si="41"/>
        <v>1.5707945733493258</v>
      </c>
      <c r="Q122" s="689">
        <f t="shared" si="42"/>
        <v>3.0217899872084177</v>
      </c>
      <c r="R122" s="690">
        <f t="shared" si="43"/>
        <v>1.2335077292042969</v>
      </c>
      <c r="S122" s="677">
        <f t="shared" si="44"/>
        <v>1.000180677338445</v>
      </c>
      <c r="T122" s="680">
        <f t="shared" si="45"/>
        <v>1.9007900412973833E-2</v>
      </c>
      <c r="U122" s="681">
        <f t="shared" si="57"/>
        <v>0.86758868517656562</v>
      </c>
      <c r="V122" s="682">
        <f t="shared" si="58"/>
        <v>-0.65274707777605179</v>
      </c>
      <c r="W122" s="683">
        <f t="shared" si="46"/>
        <v>-12.463310656039408</v>
      </c>
      <c r="X122" s="684">
        <f t="shared" si="47"/>
        <v>-143.20602368653823</v>
      </c>
      <c r="Y122" s="687">
        <f t="shared" si="48"/>
        <v>36.793976313461769</v>
      </c>
      <c r="AA122" s="170">
        <f t="shared" si="49"/>
        <v>6383.05</v>
      </c>
      <c r="AB122" s="170">
        <f t="shared" si="50"/>
        <v>40743327.302500002</v>
      </c>
      <c r="AD122" s="686">
        <f t="shared" si="51"/>
        <v>-0.41298775595599019</v>
      </c>
      <c r="AE122" s="687">
        <f t="shared" si="52"/>
        <v>-20.414185149191916</v>
      </c>
      <c r="AG122" s="686">
        <f t="shared" si="53"/>
        <v>48.146936425577849</v>
      </c>
      <c r="AH122" s="687">
        <f t="shared" si="54"/>
        <v>-47.992533159744731</v>
      </c>
      <c r="AJ122" s="170">
        <f t="shared" si="55"/>
        <v>0</v>
      </c>
      <c r="AK122" s="170">
        <f t="shared" si="65"/>
        <v>0</v>
      </c>
      <c r="AM122" s="170" t="str">
        <f t="shared" si="59"/>
        <v>0.45944276864047+0.841307244486174i</v>
      </c>
      <c r="AN122" s="170" t="str">
        <f t="shared" si="60"/>
        <v>0.999697018317681i</v>
      </c>
      <c r="AO122" s="170" t="str">
        <f t="shared" si="61"/>
        <v>0.8415622224241-0.459582013572106i</v>
      </c>
      <c r="AP122" s="170" t="str">
        <f t="shared" si="62"/>
        <v>0.090092871893255-0.140217874081029i</v>
      </c>
      <c r="AQ122" s="170" t="str">
        <f t="shared" si="63"/>
        <v>0.909907128106745+0.140217874081029i</v>
      </c>
      <c r="AR122" s="170" t="str">
        <f t="shared" si="64"/>
        <v>0.894242285576657-0.137803901435322i</v>
      </c>
    </row>
    <row r="123" spans="7:44">
      <c r="G123" s="688">
        <v>6456.5</v>
      </c>
      <c r="H123" s="676">
        <f t="shared" si="56"/>
        <v>6.4565000000000001</v>
      </c>
      <c r="I123" s="677">
        <f t="shared" si="34"/>
        <v>5.7676808547524336</v>
      </c>
      <c r="J123" s="678">
        <f t="shared" si="35"/>
        <v>1.3965357989855025</v>
      </c>
      <c r="K123" s="678">
        <f t="shared" si="36"/>
        <v>1.0000398254566758</v>
      </c>
      <c r="L123" s="679">
        <f t="shared" si="37"/>
        <v>8.9245879454664979E-3</v>
      </c>
      <c r="M123" s="678">
        <f t="shared" si="38"/>
        <v>1.0056253154505443</v>
      </c>
      <c r="N123" s="679">
        <f t="shared" si="39"/>
        <v>-0.10582127642957267</v>
      </c>
      <c r="O123" s="677">
        <f t="shared" si="40"/>
        <v>576868.2273488458</v>
      </c>
      <c r="P123" s="680">
        <f t="shared" si="41"/>
        <v>1.5707945932967551</v>
      </c>
      <c r="Q123" s="689">
        <f t="shared" si="42"/>
        <v>3.0527731316116489</v>
      </c>
      <c r="R123" s="690">
        <f t="shared" si="43"/>
        <v>1.2370647251978621</v>
      </c>
      <c r="S123" s="677">
        <f t="shared" si="44"/>
        <v>1.0001848589978664</v>
      </c>
      <c r="T123" s="680">
        <f t="shared" si="45"/>
        <v>1.9226571456376618E-2</v>
      </c>
      <c r="U123" s="681">
        <f t="shared" si="57"/>
        <v>0.86508766531658454</v>
      </c>
      <c r="V123" s="682">
        <f t="shared" si="58"/>
        <v>-0.65933204229956177</v>
      </c>
      <c r="W123" s="683">
        <f t="shared" si="46"/>
        <v>-12.594448630613659</v>
      </c>
      <c r="X123" s="684">
        <f t="shared" si="47"/>
        <v>-143.56723634376954</v>
      </c>
      <c r="Y123" s="687">
        <f t="shared" si="48"/>
        <v>36.432763656230463</v>
      </c>
      <c r="AA123" s="170">
        <f t="shared" si="49"/>
        <v>6456.5</v>
      </c>
      <c r="AB123" s="170">
        <f t="shared" si="50"/>
        <v>41686392.25</v>
      </c>
      <c r="AD123" s="686">
        <f t="shared" si="51"/>
        <v>-0.42379719311463276</v>
      </c>
      <c r="AE123" s="687">
        <f t="shared" si="52"/>
        <v>-20.222914361589339</v>
      </c>
      <c r="AG123" s="686">
        <f t="shared" si="53"/>
        <v>48.076758275607581</v>
      </c>
      <c r="AH123" s="687">
        <f t="shared" si="54"/>
        <v>-47.790435252835351</v>
      </c>
      <c r="AJ123" s="170">
        <f t="shared" si="55"/>
        <v>0</v>
      </c>
      <c r="AK123" s="170">
        <f t="shared" si="65"/>
        <v>0</v>
      </c>
      <c r="AM123" s="170" t="str">
        <f t="shared" si="59"/>
        <v>0.469156342649689+0.847469770228382i</v>
      </c>
      <c r="AN123" s="170" t="str">
        <f t="shared" si="60"/>
        <v>1.0112005700673i</v>
      </c>
      <c r="AO123" s="170" t="str">
        <f t="shared" si="61"/>
        <v>0.8380827654913-0.463959729194441i</v>
      </c>
      <c r="AP123" s="170" t="str">
        <f t="shared" si="62"/>
        <v>0.0884739428917185-0.14124496170473i</v>
      </c>
      <c r="AQ123" s="170" t="str">
        <f t="shared" si="63"/>
        <v>0.911526057108281+0.14124496170473i</v>
      </c>
      <c r="AR123" s="170" t="str">
        <f t="shared" si="64"/>
        <v>0.892424223356094-0.138285048758986i</v>
      </c>
    </row>
    <row r="124" spans="7:44">
      <c r="G124" s="688">
        <v>6531.7</v>
      </c>
      <c r="H124" s="676">
        <f t="shared" si="56"/>
        <v>6.5316999999999998</v>
      </c>
      <c r="I124" s="677">
        <f t="shared" si="34"/>
        <v>5.8328499486243457</v>
      </c>
      <c r="J124" s="678">
        <f t="shared" si="35"/>
        <v>1.3985023828108267</v>
      </c>
      <c r="K124" s="678">
        <f t="shared" si="36"/>
        <v>1.0000407585485589</v>
      </c>
      <c r="L124" s="679">
        <f t="shared" si="37"/>
        <v>9.0285285871349371E-3</v>
      </c>
      <c r="M124" s="678">
        <f t="shared" si="38"/>
        <v>1.0057567394291251</v>
      </c>
      <c r="N124" s="679">
        <f t="shared" si="39"/>
        <v>-0.10704445534558275</v>
      </c>
      <c r="O124" s="677">
        <f t="shared" si="40"/>
        <v>583587.11385027901</v>
      </c>
      <c r="P124" s="680">
        <f t="shared" si="41"/>
        <v>1.570794613254662</v>
      </c>
      <c r="Q124" s="689">
        <f t="shared" si="42"/>
        <v>3.0845336740385032</v>
      </c>
      <c r="R124" s="690">
        <f t="shared" si="43"/>
        <v>1.2406323911520571</v>
      </c>
      <c r="S124" s="677">
        <f t="shared" si="44"/>
        <v>1.0001891898366313</v>
      </c>
      <c r="T124" s="680">
        <f t="shared" si="45"/>
        <v>1.9450450592069367E-2</v>
      </c>
      <c r="U124" s="681">
        <f t="shared" si="57"/>
        <v>0.86251837036569812</v>
      </c>
      <c r="V124" s="682">
        <f t="shared" si="58"/>
        <v>-0.66604789222671623</v>
      </c>
      <c r="W124" s="683">
        <f t="shared" si="46"/>
        <v>-12.727451819451744</v>
      </c>
      <c r="X124" s="684">
        <f t="shared" si="47"/>
        <v>-143.93724705471271</v>
      </c>
      <c r="Y124" s="687">
        <f t="shared" si="48"/>
        <v>36.062752945287286</v>
      </c>
      <c r="AA124" s="170">
        <f t="shared" si="49"/>
        <v>6531.7</v>
      </c>
      <c r="AB124" s="170">
        <f t="shared" si="50"/>
        <v>42663104.890000001</v>
      </c>
      <c r="AD124" s="686">
        <f t="shared" si="51"/>
        <v>-0.43451658202739818</v>
      </c>
      <c r="AE124" s="687">
        <f t="shared" si="52"/>
        <v>-20.031330632582602</v>
      </c>
      <c r="AG124" s="686">
        <f t="shared" si="53"/>
        <v>48.006145119065394</v>
      </c>
      <c r="AH124" s="687">
        <f t="shared" si="54"/>
        <v>-47.582449978567553</v>
      </c>
      <c r="AJ124" s="170">
        <f t="shared" si="55"/>
        <v>0</v>
      </c>
      <c r="AK124" s="170">
        <f t="shared" si="65"/>
        <v>0</v>
      </c>
      <c r="AM124" s="170" t="str">
        <f t="shared" si="59"/>
        <v>0.479174116159961+0.853662930390117i</v>
      </c>
      <c r="AN124" s="170" t="str">
        <f t="shared" si="60"/>
        <v>1.02297820235555i</v>
      </c>
      <c r="AO124" s="170" t="str">
        <f t="shared" si="61"/>
        <v>0.83448789859299-0.468410876259725i</v>
      </c>
      <c r="AP124" s="170" t="str">
        <f t="shared" si="62"/>
        <v>0.0868043139733398-0.14227715506502i</v>
      </c>
      <c r="AQ124" s="170" t="str">
        <f t="shared" si="63"/>
        <v>0.91319568602666+0.14227715506502i</v>
      </c>
      <c r="AR124" s="170" t="str">
        <f t="shared" si="64"/>
        <v>0.890563662490768-0.138751054393146i</v>
      </c>
    </row>
    <row r="125" spans="7:44">
      <c r="G125" s="688">
        <v>6606.9</v>
      </c>
      <c r="H125" s="676">
        <f t="shared" si="56"/>
        <v>6.6068999999999996</v>
      </c>
      <c r="I125" s="677">
        <f t="shared" si="34"/>
        <v>5.8980411022077845</v>
      </c>
      <c r="J125" s="678">
        <f t="shared" si="35"/>
        <v>1.4004255005650801</v>
      </c>
      <c r="K125" s="678">
        <f t="shared" si="36"/>
        <v>1.0000417024445192</v>
      </c>
      <c r="L125" s="679">
        <f t="shared" si="37"/>
        <v>9.1324690337161903E-3</v>
      </c>
      <c r="M125" s="678">
        <f t="shared" si="38"/>
        <v>1.0058896677928826</v>
      </c>
      <c r="N125" s="679">
        <f t="shared" si="39"/>
        <v>-0.10826731280449559</v>
      </c>
      <c r="O125" s="677">
        <f t="shared" si="40"/>
        <v>590306.00035171246</v>
      </c>
      <c r="P125" s="680">
        <f t="shared" si="41"/>
        <v>1.5707946327582454</v>
      </c>
      <c r="Q125" s="689">
        <f t="shared" si="42"/>
        <v>3.1163326766017621</v>
      </c>
      <c r="R125" s="690">
        <f t="shared" si="43"/>
        <v>1.2441272920387476</v>
      </c>
      <c r="S125" s="677">
        <f t="shared" si="44"/>
        <v>1.0001935708063106</v>
      </c>
      <c r="T125" s="680">
        <f t="shared" si="45"/>
        <v>1.96743277777474E-2</v>
      </c>
      <c r="U125" s="681">
        <f t="shared" si="57"/>
        <v>0.85994071972673791</v>
      </c>
      <c r="V125" s="682">
        <f t="shared" si="58"/>
        <v>-0.67273744424991311</v>
      </c>
      <c r="W125" s="683">
        <f t="shared" si="46"/>
        <v>-12.859214479146061</v>
      </c>
      <c r="X125" s="684">
        <f t="shared" si="47"/>
        <v>-144.30741117087319</v>
      </c>
      <c r="Y125" s="687">
        <f t="shared" si="48"/>
        <v>35.692588829126805</v>
      </c>
      <c r="AA125" s="170">
        <f t="shared" si="49"/>
        <v>6606.9</v>
      </c>
      <c r="AB125" s="170">
        <f t="shared" si="50"/>
        <v>43651127.609999992</v>
      </c>
      <c r="AD125" s="686">
        <f t="shared" si="51"/>
        <v>-0.44489875445704075</v>
      </c>
      <c r="AE125" s="687">
        <f t="shared" si="52"/>
        <v>-19.843915897086184</v>
      </c>
      <c r="AG125" s="686">
        <f t="shared" si="53"/>
        <v>47.9367582165954</v>
      </c>
      <c r="AH125" s="687">
        <f t="shared" si="54"/>
        <v>-47.373462633823749</v>
      </c>
      <c r="AJ125" s="170">
        <f t="shared" si="55"/>
        <v>0</v>
      </c>
      <c r="AK125" s="170">
        <f t="shared" si="65"/>
        <v>0</v>
      </c>
      <c r="AM125" s="170" t="str">
        <f t="shared" si="59"/>
        <v>0.489264133959246+0.859737678096988i</v>
      </c>
      <c r="AN125" s="170" t="str">
        <f t="shared" si="60"/>
        <v>1.0347558346438i</v>
      </c>
      <c r="AO125" s="170" t="str">
        <f t="shared" si="61"/>
        <v>0.830860430367073-0.472830514773244i</v>
      </c>
      <c r="AP125" s="170" t="str">
        <f t="shared" si="62"/>
        <v>0.0851226443401257-0.143289613016165i</v>
      </c>
      <c r="AQ125" s="170" t="str">
        <f t="shared" si="63"/>
        <v>0.914877355659874+0.143289613016165i</v>
      </c>
      <c r="AR125" s="170" t="str">
        <f t="shared" si="64"/>
        <v>0.888704331268787-0.139190350406526i</v>
      </c>
    </row>
    <row r="126" spans="7:44">
      <c r="G126" s="688">
        <v>6683.85</v>
      </c>
      <c r="H126" s="676">
        <f t="shared" si="56"/>
        <v>6.6838500000000005</v>
      </c>
      <c r="I126" s="677">
        <f t="shared" si="34"/>
        <v>5.9647714183299403</v>
      </c>
      <c r="J126" s="678">
        <f t="shared" si="35"/>
        <v>1.4023498487748061</v>
      </c>
      <c r="K126" s="678">
        <f t="shared" si="36"/>
        <v>1.0000426794902513</v>
      </c>
      <c r="L126" s="679">
        <f t="shared" si="37"/>
        <v>9.2388281028870957E-3</v>
      </c>
      <c r="M126" s="678">
        <f t="shared" si="38"/>
        <v>1.006027246253195</v>
      </c>
      <c r="N126" s="679">
        <f t="shared" si="39"/>
        <v>-0.1095182912707884</v>
      </c>
      <c r="O126" s="677">
        <f t="shared" si="40"/>
        <v>597181.24391933647</v>
      </c>
      <c r="P126" s="680">
        <f t="shared" si="41"/>
        <v>1.570794652261394</v>
      </c>
      <c r="Q126" s="689">
        <f t="shared" si="42"/>
        <v>3.1489102801129718</v>
      </c>
      <c r="R126" s="690">
        <f t="shared" si="43"/>
        <v>1.2476304109606258</v>
      </c>
      <c r="S126" s="677">
        <f t="shared" si="44"/>
        <v>1.0001981056204639</v>
      </c>
      <c r="T126" s="680">
        <f t="shared" si="45"/>
        <v>1.9903412829340442E-2</v>
      </c>
      <c r="U126" s="681">
        <f t="shared" si="57"/>
        <v>0.85729488284466404</v>
      </c>
      <c r="V126" s="682">
        <f t="shared" si="58"/>
        <v>-0.67955546879052642</v>
      </c>
      <c r="W126" s="683">
        <f t="shared" si="46"/>
        <v>-12.992793087007916</v>
      </c>
      <c r="X126" s="684">
        <f t="shared" si="47"/>
        <v>-144.68630688813255</v>
      </c>
      <c r="Y126" s="687">
        <f t="shared" si="48"/>
        <v>35.313693111867451</v>
      </c>
      <c r="AA126" s="170">
        <f t="shared" si="49"/>
        <v>6683.85</v>
      </c>
      <c r="AB126" s="170">
        <f t="shared" si="50"/>
        <v>44673850.822500005</v>
      </c>
      <c r="AD126" s="686">
        <f t="shared" si="51"/>
        <v>-0.45518789796682313</v>
      </c>
      <c r="AE126" s="687">
        <f t="shared" si="52"/>
        <v>-19.656328691569726</v>
      </c>
      <c r="AG126" s="686">
        <f t="shared" si="53"/>
        <v>47.86700005641385</v>
      </c>
      <c r="AH126" s="687">
        <f t="shared" si="54"/>
        <v>-47.158657494119282</v>
      </c>
      <c r="AJ126" s="170">
        <f t="shared" si="55"/>
        <v>0</v>
      </c>
      <c r="AK126" s="170">
        <f t="shared" si="65"/>
        <v>0</v>
      </c>
      <c r="AM126" s="170" t="str">
        <f t="shared" si="59"/>
        <v>0.499662284900064+0.865830336063929i</v>
      </c>
      <c r="AN126" s="170" t="str">
        <f t="shared" si="60"/>
        <v>1.04680754747067i</v>
      </c>
      <c r="AO126" s="170" t="str">
        <f t="shared" si="61"/>
        <v>0.827115106454836-0.477320101586356i</v>
      </c>
      <c r="AP126" s="170" t="str">
        <f t="shared" si="62"/>
        <v>0.0833896191833227-0.144305056010655i</v>
      </c>
      <c r="AQ126" s="170" t="str">
        <f t="shared" si="63"/>
        <v>0.916610380816677+0.144305056010655i</v>
      </c>
      <c r="AR126" s="170" t="str">
        <f t="shared" si="64"/>
        <v>0.886803417509282-0.139612445497398i</v>
      </c>
    </row>
    <row r="127" spans="7:44">
      <c r="G127" s="688">
        <v>6760.8</v>
      </c>
      <c r="H127" s="676">
        <f t="shared" si="56"/>
        <v>6.7608000000000006</v>
      </c>
      <c r="I127" s="677">
        <f t="shared" si="34"/>
        <v>6.0315233338950884</v>
      </c>
      <c r="J127" s="678">
        <f t="shared" si="35"/>
        <v>1.4042316096337122</v>
      </c>
      <c r="K127" s="678">
        <f t="shared" si="36"/>
        <v>1.0000436678486953</v>
      </c>
      <c r="L127" s="679">
        <f t="shared" si="37"/>
        <v>9.3451869630285702E-3</v>
      </c>
      <c r="M127" s="678">
        <f t="shared" si="38"/>
        <v>1.0061663986609686</v>
      </c>
      <c r="N127" s="679">
        <f t="shared" si="39"/>
        <v>-0.11076892567417279</v>
      </c>
      <c r="O127" s="677">
        <f t="shared" si="40"/>
        <v>604056.4874869606</v>
      </c>
      <c r="P127" s="680">
        <f t="shared" si="41"/>
        <v>1.5707946713205814</v>
      </c>
      <c r="Q127" s="689">
        <f t="shared" si="42"/>
        <v>3.1815257349033215</v>
      </c>
      <c r="R127" s="690">
        <f t="shared" si="43"/>
        <v>1.2510617467316392</v>
      </c>
      <c r="S127" s="677">
        <f t="shared" si="44"/>
        <v>1.0002026929244971</v>
      </c>
      <c r="T127" s="680">
        <f t="shared" si="45"/>
        <v>2.0132495791616016E-2</v>
      </c>
      <c r="U127" s="681">
        <f t="shared" si="57"/>
        <v>0.85464120091296625</v>
      </c>
      <c r="V127" s="682">
        <f t="shared" si="58"/>
        <v>-0.68634600603705309</v>
      </c>
      <c r="W127" s="683">
        <f t="shared" si="46"/>
        <v>-13.125140058699689</v>
      </c>
      <c r="X127" s="684">
        <f t="shared" si="47"/>
        <v>-145.06528064905044</v>
      </c>
      <c r="Y127" s="687">
        <f t="shared" si="48"/>
        <v>34.934719350949564</v>
      </c>
      <c r="AA127" s="170">
        <f t="shared" si="49"/>
        <v>6760.8</v>
      </c>
      <c r="AB127" s="170">
        <f t="shared" si="50"/>
        <v>45708416.640000001</v>
      </c>
      <c r="AD127" s="686">
        <f t="shared" si="51"/>
        <v>-0.46515253633590986</v>
      </c>
      <c r="AE127" s="687">
        <f t="shared" si="52"/>
        <v>-19.472854212496479</v>
      </c>
      <c r="AG127" s="686">
        <f t="shared" si="53"/>
        <v>47.798473955396481</v>
      </c>
      <c r="AH127" s="687">
        <f t="shared" si="54"/>
        <v>-46.942967483516547</v>
      </c>
      <c r="AJ127" s="170">
        <f t="shared" si="55"/>
        <v>0</v>
      </c>
      <c r="AK127" s="170">
        <f t="shared" si="65"/>
        <v>0</v>
      </c>
      <c r="AM127" s="170" t="str">
        <f t="shared" si="59"/>
        <v>0.510133105903344+0.871797239080335i</v>
      </c>
      <c r="AN127" s="170" t="str">
        <f t="shared" si="60"/>
        <v>1.05885926029753i</v>
      </c>
      <c r="AO127" s="170" t="str">
        <f t="shared" si="61"/>
        <v>0.823336274960062-0.481776119859405i</v>
      </c>
      <c r="AP127" s="170" t="str">
        <f t="shared" si="62"/>
        <v>0.0816444823494427-0.145299539846723i</v>
      </c>
      <c r="AQ127" s="170" t="str">
        <f t="shared" si="63"/>
        <v>0.918355517650557+0.145299539846723i</v>
      </c>
      <c r="AR127" s="170" t="str">
        <f t="shared" si="64"/>
        <v>0.884904621817358-0.140007036367832i</v>
      </c>
    </row>
    <row r="128" spans="7:44">
      <c r="G128" s="688">
        <v>6839.55</v>
      </c>
      <c r="H128" s="676">
        <f t="shared" si="56"/>
        <v>6.83955</v>
      </c>
      <c r="I128" s="677">
        <f t="shared" si="34"/>
        <v>6.0998583211039517</v>
      </c>
      <c r="J128" s="678">
        <f t="shared" si="35"/>
        <v>1.4061147401746454</v>
      </c>
      <c r="K128" s="678">
        <f t="shared" si="36"/>
        <v>1.0000446910393448</v>
      </c>
      <c r="L128" s="679">
        <f t="shared" si="37"/>
        <v>9.4540335307919006E-3</v>
      </c>
      <c r="M128" s="678">
        <f t="shared" si="38"/>
        <v>1.0063104350187861</v>
      </c>
      <c r="N128" s="679">
        <f t="shared" si="39"/>
        <v>-0.11204845452176175</v>
      </c>
      <c r="O128" s="677">
        <f t="shared" si="40"/>
        <v>611092.5554655235</v>
      </c>
      <c r="P128" s="680">
        <f t="shared" si="41"/>
        <v>1.5707946903815726</v>
      </c>
      <c r="Q128" s="689">
        <f t="shared" si="42"/>
        <v>3.2149421120153319</v>
      </c>
      <c r="R128" s="690">
        <f t="shared" si="43"/>
        <v>1.2545012227789394</v>
      </c>
      <c r="S128" s="677">
        <f t="shared" si="44"/>
        <v>1.0002074418791247</v>
      </c>
      <c r="T128" s="680">
        <f t="shared" si="45"/>
        <v>2.0366935231419105E-2</v>
      </c>
      <c r="U128" s="681">
        <f t="shared" si="57"/>
        <v>0.85191778807722651</v>
      </c>
      <c r="V128" s="682">
        <f t="shared" si="58"/>
        <v>-0.69326696206534411</v>
      </c>
      <c r="W128" s="683">
        <f t="shared" si="46"/>
        <v>-13.259341045046042</v>
      </c>
      <c r="X128" s="684">
        <f t="shared" si="47"/>
        <v>-145.45315882748264</v>
      </c>
      <c r="Y128" s="687">
        <f t="shared" si="48"/>
        <v>34.546841172517361</v>
      </c>
      <c r="AA128" s="170">
        <f t="shared" si="49"/>
        <v>6839.55</v>
      </c>
      <c r="AB128" s="170">
        <f t="shared" si="50"/>
        <v>46779444.202500001</v>
      </c>
      <c r="AD128" s="686">
        <f t="shared" si="51"/>
        <v>-0.47502823976752317</v>
      </c>
      <c r="AE128" s="687">
        <f t="shared" si="52"/>
        <v>-19.289220233606482</v>
      </c>
      <c r="AG128" s="686">
        <f t="shared" si="53"/>
        <v>47.729594241170609</v>
      </c>
      <c r="AH128" s="687">
        <f t="shared" si="54"/>
        <v>-46.721396498699086</v>
      </c>
      <c r="AJ128" s="170">
        <f t="shared" si="55"/>
        <v>0</v>
      </c>
      <c r="AK128" s="170">
        <f t="shared" si="65"/>
        <v>0</v>
      </c>
      <c r="AM128" s="170" t="str">
        <f t="shared" si="59"/>
        <v>0.520922511241425+0.877772612790338i</v>
      </c>
      <c r="AN128" s="170" t="str">
        <f t="shared" si="60"/>
        <v>1.07119288453556i</v>
      </c>
      <c r="AO128" s="170" t="str">
        <f t="shared" si="61"/>
        <v>0.819434693286743-0.486301317682186i</v>
      </c>
      <c r="AP128" s="170" t="str">
        <f t="shared" si="62"/>
        <v>0.0798462481264292-0.146295435465056i</v>
      </c>
      <c r="AQ128" s="170" t="str">
        <f t="shared" si="63"/>
        <v>0.920153751873571+0.146295435465056i</v>
      </c>
      <c r="AR128" s="170" t="str">
        <f t="shared" si="64"/>
        <v>0.882964026258152-0.14038263329188i</v>
      </c>
    </row>
    <row r="129" spans="7:44">
      <c r="G129" s="688">
        <v>6918.3</v>
      </c>
      <c r="H129" s="676">
        <f t="shared" si="56"/>
        <v>6.9183000000000003</v>
      </c>
      <c r="I129" s="677">
        <f t="shared" si="34"/>
        <v>6.1682144601826492</v>
      </c>
      <c r="J129" s="678">
        <f t="shared" si="35"/>
        <v>1.4079561394284321</v>
      </c>
      <c r="K129" s="678">
        <f t="shared" si="36"/>
        <v>1.0000457260780746</v>
      </c>
      <c r="L129" s="679">
        <f t="shared" si="37"/>
        <v>9.5628798745342712E-3</v>
      </c>
      <c r="M129" s="678">
        <f t="shared" si="38"/>
        <v>1.0064561184289467</v>
      </c>
      <c r="N129" s="679">
        <f t="shared" si="39"/>
        <v>-0.11332761504231065</v>
      </c>
      <c r="O129" s="677">
        <f t="shared" si="40"/>
        <v>618128.62344408676</v>
      </c>
      <c r="P129" s="680">
        <f t="shared" si="41"/>
        <v>1.5707947090086267</v>
      </c>
      <c r="Q129" s="689">
        <f t="shared" si="42"/>
        <v>3.2483957391298621</v>
      </c>
      <c r="R129" s="690">
        <f t="shared" si="43"/>
        <v>1.2578698950586449</v>
      </c>
      <c r="S129" s="677">
        <f t="shared" si="44"/>
        <v>1.000212245806481</v>
      </c>
      <c r="T129" s="680">
        <f t="shared" si="45"/>
        <v>2.0601372432125092E-2</v>
      </c>
      <c r="U129" s="681">
        <f t="shared" si="57"/>
        <v>0.84918709752876798</v>
      </c>
      <c r="V129" s="682">
        <f t="shared" si="58"/>
        <v>-0.70015920730444137</v>
      </c>
      <c r="W129" s="683">
        <f t="shared" si="46"/>
        <v>-13.392318483158727</v>
      </c>
      <c r="X129" s="684">
        <f t="shared" si="47"/>
        <v>-145.8410364853942</v>
      </c>
      <c r="Y129" s="687">
        <f t="shared" si="48"/>
        <v>34.158963514605801</v>
      </c>
      <c r="AA129" s="170">
        <f t="shared" si="49"/>
        <v>6918.3</v>
      </c>
      <c r="AB129" s="170">
        <f t="shared" si="50"/>
        <v>47862874.890000001</v>
      </c>
      <c r="AD129" s="686">
        <f t="shared" si="51"/>
        <v>-0.48459169804214386</v>
      </c>
      <c r="AE129" s="687">
        <f t="shared" si="52"/>
        <v>-19.109642858624344</v>
      </c>
      <c r="AG129" s="686">
        <f t="shared" si="53"/>
        <v>47.661952241797792</v>
      </c>
      <c r="AH129" s="687">
        <f t="shared" si="54"/>
        <v>-46.49905840355148</v>
      </c>
      <c r="AJ129" s="170">
        <f t="shared" si="55"/>
        <v>0</v>
      </c>
      <c r="AK129" s="170">
        <f t="shared" si="65"/>
        <v>0</v>
      </c>
      <c r="AM129" s="170" t="str">
        <f t="shared" si="59"/>
        <v>0.531784792102537+0.883614462926867i</v>
      </c>
      <c r="AN129" s="170" t="str">
        <f t="shared" si="60"/>
        <v>1.08352650877358i</v>
      </c>
      <c r="AO129" s="170" t="str">
        <f t="shared" si="61"/>
        <v>0.815498703328459-0.490790753891617i</v>
      </c>
      <c r="AP129" s="170" t="str">
        <f t="shared" si="62"/>
        <v>0.0780358679829105-0.147269077154478i</v>
      </c>
      <c r="AQ129" s="170" t="str">
        <f t="shared" si="63"/>
        <v>0.921964132017089+0.147269077154478i</v>
      </c>
      <c r="AR129" s="170" t="str">
        <f t="shared" si="64"/>
        <v>0.881026498765403-0.140729942647505i</v>
      </c>
    </row>
    <row r="130" spans="7:44">
      <c r="G130" s="688">
        <v>6998.9</v>
      </c>
      <c r="H130" s="676">
        <f t="shared" si="56"/>
        <v>6.9988999999999999</v>
      </c>
      <c r="I130" s="677">
        <f t="shared" si="34"/>
        <v>6.2381976034194366</v>
      </c>
      <c r="J130" s="678">
        <f t="shared" si="35"/>
        <v>1.4097990024810318</v>
      </c>
      <c r="K130" s="678">
        <f t="shared" si="36"/>
        <v>1.0000467977008152</v>
      </c>
      <c r="L130" s="679">
        <f t="shared" si="37"/>
        <v>9.6742830088269692E-3</v>
      </c>
      <c r="M130" s="678">
        <f t="shared" si="38"/>
        <v>1.0066069290424786</v>
      </c>
      <c r="N130" s="679">
        <f t="shared" si="39"/>
        <v>-0.11463644007443999</v>
      </c>
      <c r="O130" s="677">
        <f t="shared" si="40"/>
        <v>625329.98317833699</v>
      </c>
      <c r="P130" s="680">
        <f t="shared" si="41"/>
        <v>1.5707947276392078</v>
      </c>
      <c r="Q130" s="689">
        <f t="shared" si="42"/>
        <v>3.2826726453486774</v>
      </c>
      <c r="R130" s="690">
        <f t="shared" si="43"/>
        <v>1.2612465666758124</v>
      </c>
      <c r="S130" s="677">
        <f t="shared" si="44"/>
        <v>1.0002172195122088</v>
      </c>
      <c r="T130" s="680">
        <f t="shared" si="45"/>
        <v>2.0841314700958499E-2</v>
      </c>
      <c r="U130" s="681">
        <f t="shared" si="57"/>
        <v>0.84638520435724784</v>
      </c>
      <c r="V130" s="682">
        <f t="shared" si="58"/>
        <v>-0.7071836858410343</v>
      </c>
      <c r="W130" s="683">
        <f t="shared" si="46"/>
        <v>-13.527185749144518</v>
      </c>
      <c r="X130" s="684">
        <f t="shared" si="47"/>
        <v>-146.23798466977121</v>
      </c>
      <c r="Y130" s="687">
        <f t="shared" si="48"/>
        <v>33.762015330228792</v>
      </c>
      <c r="AA130" s="170">
        <f t="shared" si="49"/>
        <v>6998.9</v>
      </c>
      <c r="AB130" s="170">
        <f t="shared" si="50"/>
        <v>48984601.209999993</v>
      </c>
      <c r="AD130" s="686">
        <f t="shared" si="51"/>
        <v>-0.49406996682772175</v>
      </c>
      <c r="AE130" s="687">
        <f t="shared" si="52"/>
        <v>-18.929922572738292</v>
      </c>
      <c r="AG130" s="686">
        <f t="shared" si="53"/>
        <v>47.593976206558672</v>
      </c>
      <c r="AH130" s="687">
        <f t="shared" si="54"/>
        <v>-46.270780926040771</v>
      </c>
      <c r="AJ130" s="170">
        <f t="shared" si="55"/>
        <v>0</v>
      </c>
      <c r="AK130" s="170">
        <f t="shared" si="65"/>
        <v>0</v>
      </c>
      <c r="AM130" s="170" t="str">
        <f t="shared" si="59"/>
        <v>0.542975989505497+0.889454357362715i</v>
      </c>
      <c r="AN130" s="170" t="str">
        <f t="shared" si="60"/>
        <v>1.09614987529529i</v>
      </c>
      <c r="AO130" s="170" t="str">
        <f t="shared" si="61"/>
        <v>0.811434984767121-0.495348311159754i</v>
      </c>
      <c r="AP130" s="170" t="str">
        <f t="shared" si="62"/>
        <v>0.0761706684157505-0.148242392893786i</v>
      </c>
      <c r="AQ130" s="170" t="str">
        <f t="shared" si="63"/>
        <v>0.92382933158425+0.148242392893786i</v>
      </c>
      <c r="AR130" s="170" t="str">
        <f t="shared" si="64"/>
        <v>0.879047064088236-0.14105640056181i</v>
      </c>
    </row>
    <row r="131" spans="7:44">
      <c r="G131" s="688">
        <v>7079.5</v>
      </c>
      <c r="H131" s="676">
        <f t="shared" si="56"/>
        <v>7.0795000000000003</v>
      </c>
      <c r="I131" s="677">
        <f t="shared" si="34"/>
        <v>6.3082014623629501</v>
      </c>
      <c r="J131" s="678">
        <f t="shared" si="35"/>
        <v>1.4116009700172005</v>
      </c>
      <c r="K131" s="678">
        <f t="shared" si="36"/>
        <v>1.0000478817347682</v>
      </c>
      <c r="L131" s="679">
        <f t="shared" si="37"/>
        <v>9.7856859029842539E-3</v>
      </c>
      <c r="M131" s="678">
        <f t="shared" si="38"/>
        <v>1.0067594634784678</v>
      </c>
      <c r="N131" s="679">
        <f t="shared" si="39"/>
        <v>-0.11594487074641165</v>
      </c>
      <c r="O131" s="677">
        <f t="shared" si="40"/>
        <v>632531.34291258757</v>
      </c>
      <c r="P131" s="680">
        <f t="shared" si="41"/>
        <v>1.5707947458455711</v>
      </c>
      <c r="Q131" s="689">
        <f t="shared" si="42"/>
        <v>3.3169862065050917</v>
      </c>
      <c r="R131" s="690">
        <f t="shared" si="43"/>
        <v>1.2645534133606109</v>
      </c>
      <c r="S131" s="677">
        <f t="shared" si="44"/>
        <v>1.0002222508021603</v>
      </c>
      <c r="T131" s="680">
        <f t="shared" si="45"/>
        <v>2.1081254569703931E-2</v>
      </c>
      <c r="U131" s="681">
        <f t="shared" si="57"/>
        <v>0.84357666014614541</v>
      </c>
      <c r="V131" s="682">
        <f t="shared" si="58"/>
        <v>-0.71417819820454342</v>
      </c>
      <c r="W131" s="683">
        <f t="shared" si="46"/>
        <v>-13.660836787565561</v>
      </c>
      <c r="X131" s="684">
        <f t="shared" si="47"/>
        <v>-146.6348507091046</v>
      </c>
      <c r="Y131" s="687">
        <f t="shared" si="48"/>
        <v>33.365149290895403</v>
      </c>
      <c r="AA131" s="170">
        <f t="shared" si="49"/>
        <v>7079.5</v>
      </c>
      <c r="AB131" s="170">
        <f t="shared" si="50"/>
        <v>50119320.25</v>
      </c>
      <c r="AD131" s="686">
        <f t="shared" si="51"/>
        <v>-0.50324782565979898</v>
      </c>
      <c r="AE131" s="687">
        <f t="shared" si="52"/>
        <v>-18.75420279896553</v>
      </c>
      <c r="AG131" s="686">
        <f t="shared" si="53"/>
        <v>47.527243329948881</v>
      </c>
      <c r="AH131" s="687">
        <f t="shared" si="54"/>
        <v>-46.041854661868776</v>
      </c>
      <c r="AJ131" s="170">
        <f t="shared" si="55"/>
        <v>0</v>
      </c>
      <c r="AK131" s="170">
        <f t="shared" si="65"/>
        <v>0</v>
      </c>
      <c r="AM131" s="170" t="str">
        <f t="shared" si="59"/>
        <v>0.554240012435178+0.895152519678189i</v>
      </c>
      <c r="AN131" s="170" t="str">
        <f t="shared" si="60"/>
        <v>1.108773241817i</v>
      </c>
      <c r="AO131" s="170" t="str">
        <f t="shared" si="61"/>
        <v>0.80733596908531-0.499867774159952i</v>
      </c>
      <c r="AP131" s="170" t="str">
        <f t="shared" si="62"/>
        <v>0.0742933312608037-0.149192086613031i</v>
      </c>
      <c r="AQ131" s="170" t="str">
        <f t="shared" si="63"/>
        <v>0.925706668739196+0.149192086613031i</v>
      </c>
      <c r="AR131" s="170" t="str">
        <f t="shared" si="64"/>
        <v>0.877071710210664-0.141353803504309i</v>
      </c>
    </row>
    <row r="132" spans="7:44">
      <c r="G132" s="688">
        <v>7161.95</v>
      </c>
      <c r="H132" s="676">
        <f t="shared" si="56"/>
        <v>7.16195</v>
      </c>
      <c r="I132" s="677">
        <f t="shared" si="34"/>
        <v>6.3798328330449747</v>
      </c>
      <c r="J132" s="678">
        <f t="shared" si="35"/>
        <v>1.4134033751233246</v>
      </c>
      <c r="K132" s="678">
        <f t="shared" si="36"/>
        <v>1.0000490034921428</v>
      </c>
      <c r="L132" s="679">
        <f t="shared" si="37"/>
        <v>9.8996455601130066E-3</v>
      </c>
      <c r="M132" s="678">
        <f t="shared" si="38"/>
        <v>1.0069172818247019</v>
      </c>
      <c r="N132" s="679">
        <f t="shared" si="39"/>
        <v>-0.11728292111150905</v>
      </c>
      <c r="O132" s="677">
        <f t="shared" si="40"/>
        <v>639897.99440252513</v>
      </c>
      <c r="P132" s="680">
        <f t="shared" si="41"/>
        <v>1.5707947640458197</v>
      </c>
      <c r="Q132" s="689">
        <f t="shared" si="42"/>
        <v>3.3521241147941336</v>
      </c>
      <c r="R132" s="690">
        <f t="shared" si="43"/>
        <v>1.267866075674406</v>
      </c>
      <c r="S132" s="677">
        <f t="shared" si="44"/>
        <v>1.0002274571556431</v>
      </c>
      <c r="T132" s="680">
        <f t="shared" si="45"/>
        <v>2.1326699231009077E-2</v>
      </c>
      <c r="U132" s="681">
        <f t="shared" si="57"/>
        <v>0.84069726928849275</v>
      </c>
      <c r="V132" s="682">
        <f t="shared" si="58"/>
        <v>-0.72130231666517308</v>
      </c>
      <c r="W132" s="683">
        <f t="shared" si="46"/>
        <v>-13.796329512398922</v>
      </c>
      <c r="X132" s="684">
        <f t="shared" si="47"/>
        <v>-147.04070048343692</v>
      </c>
      <c r="Y132" s="687">
        <f t="shared" si="48"/>
        <v>32.959299516563078</v>
      </c>
      <c r="AA132" s="170">
        <f t="shared" si="49"/>
        <v>7161.95</v>
      </c>
      <c r="AB132" s="170">
        <f t="shared" si="50"/>
        <v>51293527.802499995</v>
      </c>
      <c r="AD132" s="686">
        <f t="shared" si="51"/>
        <v>-0.51233851434428712</v>
      </c>
      <c r="AE132" s="687">
        <f t="shared" si="52"/>
        <v>-18.578465215226455</v>
      </c>
      <c r="AG132" s="686">
        <f t="shared" si="53"/>
        <v>47.460238034775593</v>
      </c>
      <c r="AH132" s="687">
        <f t="shared" si="54"/>
        <v>-45.807078177916715</v>
      </c>
      <c r="AJ132" s="170">
        <f t="shared" si="55"/>
        <v>0</v>
      </c>
      <c r="AK132" s="170">
        <f t="shared" si="65"/>
        <v>0</v>
      </c>
      <c r="AM132" s="170" t="str">
        <f t="shared" si="59"/>
        <v>0.565836057436776+0.900833875349921i</v>
      </c>
      <c r="AN132" s="170" t="str">
        <f t="shared" si="60"/>
        <v>1.1216863506224i</v>
      </c>
      <c r="AO132" s="170" t="str">
        <f t="shared" si="61"/>
        <v>0.803106746239773-0.504451228387334i</v>
      </c>
      <c r="AP132" s="170" t="str">
        <f t="shared" si="62"/>
        <v>0.0723606570938707-0.150138979224987i</v>
      </c>
      <c r="AQ132" s="170" t="str">
        <f t="shared" si="63"/>
        <v>0.927639342906129+0.150138979224987i</v>
      </c>
      <c r="AR132" s="170" t="str">
        <f t="shared" si="64"/>
        <v>0.875055678205813-0.141628281826921i</v>
      </c>
    </row>
    <row r="133" spans="7:44">
      <c r="G133" s="688">
        <v>7244.4</v>
      </c>
      <c r="H133" s="676">
        <f t="shared" si="56"/>
        <v>7.2443999999999997</v>
      </c>
      <c r="I133" s="677">
        <f t="shared" si="34"/>
        <v>6.4514844693789914</v>
      </c>
      <c r="J133" s="678">
        <f t="shared" si="35"/>
        <v>1.4151657500170061</v>
      </c>
      <c r="K133" s="678">
        <f t="shared" si="36"/>
        <v>1.0000501382369278</v>
      </c>
      <c r="L133" s="679">
        <f t="shared" si="37"/>
        <v>1.0013604960104441E-2</v>
      </c>
      <c r="M133" s="678">
        <f t="shared" si="38"/>
        <v>1.0070769023673678</v>
      </c>
      <c r="N133" s="679">
        <f t="shared" si="39"/>
        <v>-0.11862054971191942</v>
      </c>
      <c r="O133" s="677">
        <f t="shared" si="40"/>
        <v>647264.64589246293</v>
      </c>
      <c r="P133" s="680">
        <f t="shared" si="41"/>
        <v>1.5707947818317871</v>
      </c>
      <c r="Q133" s="689">
        <f t="shared" si="42"/>
        <v>3.3872980449810419</v>
      </c>
      <c r="R133" s="690">
        <f t="shared" si="43"/>
        <v>1.2711099751571491</v>
      </c>
      <c r="S133" s="677">
        <f t="shared" si="44"/>
        <v>1.0002327237652808</v>
      </c>
      <c r="T133" s="680">
        <f t="shared" si="45"/>
        <v>2.1572141322379376E-2</v>
      </c>
      <c r="U133" s="681">
        <f t="shared" si="57"/>
        <v>0.83781192271441773</v>
      </c>
      <c r="V133" s="682">
        <f t="shared" si="58"/>
        <v>-0.72839522209841456</v>
      </c>
      <c r="W133" s="683">
        <f t="shared" si="46"/>
        <v>-13.930614042565912</v>
      </c>
      <c r="X133" s="684">
        <f t="shared" si="47"/>
        <v>-147.44638381922795</v>
      </c>
      <c r="Y133" s="687">
        <f t="shared" si="48"/>
        <v>32.553616180772053</v>
      </c>
      <c r="AA133" s="170">
        <f t="shared" si="49"/>
        <v>7244.4</v>
      </c>
      <c r="AB133" s="170">
        <f t="shared" si="50"/>
        <v>52481331.359999992</v>
      </c>
      <c r="AD133" s="686">
        <f t="shared" si="51"/>
        <v>-0.52114056954526633</v>
      </c>
      <c r="AE133" s="687">
        <f t="shared" si="52"/>
        <v>-18.406667280515542</v>
      </c>
      <c r="AG133" s="686">
        <f t="shared" si="53"/>
        <v>47.394479573749564</v>
      </c>
      <c r="AH133" s="687">
        <f t="shared" si="54"/>
        <v>-45.571772355869612</v>
      </c>
      <c r="AJ133" s="170">
        <f t="shared" si="55"/>
        <v>0</v>
      </c>
      <c r="AK133" s="170">
        <f t="shared" si="65"/>
        <v>0</v>
      </c>
      <c r="AM133" s="170" t="str">
        <f t="shared" si="59"/>
        <v>0.577504497566037+0.90636502052047i</v>
      </c>
      <c r="AN133" s="170" t="str">
        <f t="shared" si="60"/>
        <v>1.1345994594278i</v>
      </c>
      <c r="AO133" s="170" t="str">
        <f t="shared" si="61"/>
        <v>0.798841399922372-0.508994158923082i</v>
      </c>
      <c r="AP133" s="170" t="str">
        <f t="shared" si="62"/>
        <v>0.0704159170723272-0.151060836753412i</v>
      </c>
      <c r="AQ133" s="170" t="str">
        <f t="shared" si="63"/>
        <v>0.929584082927673+0.151060836753412i</v>
      </c>
      <c r="AR133" s="170" t="str">
        <f t="shared" si="64"/>
        <v>0.873044796740229-0.141872994536905i</v>
      </c>
    </row>
    <row r="134" spans="7:44">
      <c r="G134" s="688">
        <v>7328.75</v>
      </c>
      <c r="H134" s="676">
        <f t="shared" si="56"/>
        <v>7.3287500000000003</v>
      </c>
      <c r="I134" s="677">
        <f t="shared" si="34"/>
        <v>6.5248075406568473</v>
      </c>
      <c r="J134" s="678">
        <f t="shared" si="35"/>
        <v>1.4169286769703402</v>
      </c>
      <c r="K134" s="678">
        <f t="shared" si="36"/>
        <v>1.0000513125708184</v>
      </c>
      <c r="L134" s="679">
        <f t="shared" si="37"/>
        <v>1.0130190202013771E-2</v>
      </c>
      <c r="M134" s="678">
        <f t="shared" si="38"/>
        <v>1.0072420653256864</v>
      </c>
      <c r="N134" s="679">
        <f t="shared" si="39"/>
        <v>-0.11998856174925839</v>
      </c>
      <c r="O134" s="677">
        <f t="shared" si="40"/>
        <v>654801.05648283614</v>
      </c>
      <c r="P134" s="680">
        <f t="shared" si="41"/>
        <v>1.5707947996134877</v>
      </c>
      <c r="Q134" s="689">
        <f t="shared" si="42"/>
        <v>3.423318651433279</v>
      </c>
      <c r="R134" s="690">
        <f t="shared" si="43"/>
        <v>1.2743596101459846</v>
      </c>
      <c r="S134" s="677">
        <f t="shared" si="44"/>
        <v>1.0002381740940893</v>
      </c>
      <c r="T134" s="680">
        <f t="shared" si="45"/>
        <v>2.1823236757144596E-2</v>
      </c>
      <c r="U134" s="681">
        <f t="shared" si="57"/>
        <v>0.83485443668339421</v>
      </c>
      <c r="V134" s="682">
        <f t="shared" si="58"/>
        <v>-0.73561936488215041</v>
      </c>
      <c r="W134" s="683">
        <f t="shared" si="46"/>
        <v>-14.06677472889826</v>
      </c>
      <c r="X134" s="684">
        <f t="shared" si="47"/>
        <v>-147.86120381723865</v>
      </c>
      <c r="Y134" s="687">
        <f t="shared" si="48"/>
        <v>32.138796182761354</v>
      </c>
      <c r="AA134" s="170">
        <f t="shared" si="49"/>
        <v>7328.75</v>
      </c>
      <c r="AB134" s="170">
        <f t="shared" si="50"/>
        <v>53710576.5625</v>
      </c>
      <c r="AD134" s="686">
        <f t="shared" si="51"/>
        <v>-0.52985930882423882</v>
      </c>
      <c r="AE134" s="687">
        <f t="shared" si="52"/>
        <v>-18.234864637984362</v>
      </c>
      <c r="AG134" s="686">
        <f t="shared" si="53"/>
        <v>47.328468703843043</v>
      </c>
      <c r="AH134" s="687">
        <f t="shared" si="54"/>
        <v>-45.330569211249646</v>
      </c>
      <c r="AJ134" s="170">
        <f t="shared" si="55"/>
        <v>0</v>
      </c>
      <c r="AK134" s="170">
        <f t="shared" si="65"/>
        <v>0</v>
      </c>
      <c r="AM134" s="170" t="str">
        <f t="shared" si="59"/>
        <v>0.589514716185815+0.911867222665662i</v>
      </c>
      <c r="AN134" s="170" t="str">
        <f t="shared" si="60"/>
        <v>1.14781014138941i</v>
      </c>
      <c r="AO134" s="170" t="str">
        <f t="shared" si="61"/>
        <v>0.794440813671378-0.513599501283561i</v>
      </c>
      <c r="AP134" s="170" t="str">
        <f t="shared" si="62"/>
        <v>0.0684142139690308-0.151977870444277i</v>
      </c>
      <c r="AQ134" s="170" t="str">
        <f t="shared" si="63"/>
        <v>0.931585786030969+0.151977870444277i</v>
      </c>
      <c r="AR134" s="170" t="str">
        <f t="shared" si="64"/>
        <v>0.870993350972649-0.142092887887351i</v>
      </c>
    </row>
    <row r="135" spans="7:44">
      <c r="G135" s="688">
        <v>7413.1</v>
      </c>
      <c r="H135" s="676">
        <f t="shared" si="56"/>
        <v>7.4131</v>
      </c>
      <c r="I135" s="677">
        <f t="shared" si="34"/>
        <v>6.5981504397253303</v>
      </c>
      <c r="J135" s="678">
        <f t="shared" si="35"/>
        <v>1.4186524169342871</v>
      </c>
      <c r="K135" s="678">
        <f t="shared" si="36"/>
        <v>1.0000525004974929</v>
      </c>
      <c r="L135" s="679">
        <f t="shared" si="37"/>
        <v>1.0246775168532837E-2</v>
      </c>
      <c r="M135" s="678">
        <f t="shared" si="38"/>
        <v>1.007409112674007</v>
      </c>
      <c r="N135" s="679">
        <f t="shared" si="39"/>
        <v>-0.12135612266105553</v>
      </c>
      <c r="O135" s="677">
        <f t="shared" si="40"/>
        <v>662337.4670732097</v>
      </c>
      <c r="P135" s="680">
        <f t="shared" si="41"/>
        <v>1.5707948169905299</v>
      </c>
      <c r="Q135" s="689">
        <f t="shared" si="42"/>
        <v>3.4593746555120157</v>
      </c>
      <c r="R135" s="690">
        <f t="shared" si="43"/>
        <v>1.2775415382520243</v>
      </c>
      <c r="S135" s="677">
        <f t="shared" si="44"/>
        <v>1.0002436874861425</v>
      </c>
      <c r="T135" s="680">
        <f t="shared" si="45"/>
        <v>2.2074329439640199E-2</v>
      </c>
      <c r="U135" s="681">
        <f t="shared" si="57"/>
        <v>0.83189175135450455</v>
      </c>
      <c r="V135" s="682">
        <f t="shared" si="58"/>
        <v>-0.74281102268490418</v>
      </c>
      <c r="W135" s="683">
        <f t="shared" si="46"/>
        <v>-14.201734429271454</v>
      </c>
      <c r="X135" s="684">
        <f t="shared" si="47"/>
        <v>-148.27577061977615</v>
      </c>
      <c r="Y135" s="687">
        <f t="shared" si="48"/>
        <v>31.724229380223846</v>
      </c>
      <c r="AA135" s="170">
        <f t="shared" si="49"/>
        <v>7413.1</v>
      </c>
      <c r="AB135" s="170">
        <f t="shared" si="50"/>
        <v>54954051.610000007</v>
      </c>
      <c r="AD135" s="686">
        <f t="shared" si="51"/>
        <v>-0.53830075427269852</v>
      </c>
      <c r="AE135" s="687">
        <f t="shared" si="52"/>
        <v>-18.066941133207141</v>
      </c>
      <c r="AG135" s="686">
        <f t="shared" si="53"/>
        <v>47.263708106050203</v>
      </c>
      <c r="AH135" s="687">
        <f t="shared" si="54"/>
        <v>-45.088956238022455</v>
      </c>
      <c r="AJ135" s="170">
        <f t="shared" si="55"/>
        <v>0</v>
      </c>
      <c r="AK135" s="170">
        <f t="shared" si="65"/>
        <v>0</v>
      </c>
      <c r="AM135" s="170" t="str">
        <f t="shared" si="59"/>
        <v>0.601596572524825+0.917210286126378i</v>
      </c>
      <c r="AN135" s="170" t="str">
        <f t="shared" si="60"/>
        <v>1.16102082335103i</v>
      </c>
      <c r="AO135" s="170" t="str">
        <f t="shared" si="61"/>
        <v>0.790003303712549-0.518161742171385i</v>
      </c>
      <c r="AP135" s="170" t="str">
        <f t="shared" si="62"/>
        <v>0.0664005712458625-0.152868381021063i</v>
      </c>
      <c r="AQ135" s="170" t="str">
        <f t="shared" si="63"/>
        <v>0.933599428754137+0.152868381021063i</v>
      </c>
      <c r="AR135" s="170" t="str">
        <f t="shared" si="64"/>
        <v>0.868948186455875-0.142282330476533i</v>
      </c>
    </row>
    <row r="136" spans="7:44">
      <c r="G136" s="688">
        <v>7499.45</v>
      </c>
      <c r="H136" s="676">
        <f t="shared" si="56"/>
        <v>7.4994499999999995</v>
      </c>
      <c r="I136" s="677">
        <f t="shared" si="34"/>
        <v>6.673252208421383</v>
      </c>
      <c r="J136" s="678">
        <f t="shared" si="35"/>
        <v>1.4203777747406325</v>
      </c>
      <c r="K136" s="678">
        <f t="shared" si="36"/>
        <v>1.0000537306707715</v>
      </c>
      <c r="L136" s="679">
        <f t="shared" si="37"/>
        <v>1.0366124161040728E-2</v>
      </c>
      <c r="M136" s="678">
        <f t="shared" si="38"/>
        <v>1.0075820717982689</v>
      </c>
      <c r="N136" s="679">
        <f t="shared" si="39"/>
        <v>-0.12275563703716658</v>
      </c>
      <c r="O136" s="677">
        <f t="shared" si="40"/>
        <v>670052.57145351497</v>
      </c>
      <c r="P136" s="680">
        <f t="shared" si="41"/>
        <v>1.5707948343746858</v>
      </c>
      <c r="Q136" s="689">
        <f t="shared" si="42"/>
        <v>3.4963210969191167</v>
      </c>
      <c r="R136" s="690">
        <f t="shared" si="43"/>
        <v>1.2807308989392052</v>
      </c>
      <c r="S136" s="677">
        <f t="shared" si="44"/>
        <v>1.0002493969275366</v>
      </c>
      <c r="T136" s="680">
        <f t="shared" si="45"/>
        <v>2.2331372828771987E-2</v>
      </c>
      <c r="U136" s="681">
        <f t="shared" si="57"/>
        <v>0.82885396228913144</v>
      </c>
      <c r="V136" s="682">
        <f t="shared" si="58"/>
        <v>-0.75013965808856409</v>
      </c>
      <c r="W136" s="683">
        <f t="shared" si="46"/>
        <v>-14.338681587206029</v>
      </c>
      <c r="X136" s="684">
        <f t="shared" si="47"/>
        <v>-148.69986588316073</v>
      </c>
      <c r="Y136" s="687">
        <f t="shared" si="48"/>
        <v>31.300134116839274</v>
      </c>
      <c r="AA136" s="170">
        <f t="shared" si="49"/>
        <v>7499.45</v>
      </c>
      <c r="AB136" s="170">
        <f t="shared" si="50"/>
        <v>56241750.302499995</v>
      </c>
      <c r="AD136" s="686">
        <f t="shared" si="51"/>
        <v>-0.54666721136111718</v>
      </c>
      <c r="AE136" s="687">
        <f t="shared" si="52"/>
        <v>-17.89893272368251</v>
      </c>
      <c r="AG136" s="686">
        <f t="shared" si="53"/>
        <v>47.198679410250371</v>
      </c>
      <c r="AH136" s="687">
        <f t="shared" si="54"/>
        <v>-44.841260153532303</v>
      </c>
      <c r="AJ136" s="170">
        <f t="shared" si="55"/>
        <v>0</v>
      </c>
      <c r="AK136" s="170">
        <f t="shared" si="65"/>
        <v>0</v>
      </c>
      <c r="AM136" s="170" t="str">
        <f t="shared" si="59"/>
        <v>0.614036902774124+0.922514220800855i</v>
      </c>
      <c r="AN136" s="170" t="str">
        <f t="shared" si="60"/>
        <v>1.17454474021393i</v>
      </c>
      <c r="AO136" s="170" t="str">
        <f t="shared" si="61"/>
        <v>0.785422801887333-0.522787154674316i</v>
      </c>
      <c r="AP136" s="170" t="str">
        <f t="shared" si="62"/>
        <v>0.0643271828709793-0.153752370133476i</v>
      </c>
      <c r="AQ136" s="170" t="str">
        <f t="shared" si="63"/>
        <v>0.935672817129021+0.153752370133476i</v>
      </c>
      <c r="AR136" s="170" t="str">
        <f t="shared" si="64"/>
        <v>0.866861485570374-0.142445099979315i</v>
      </c>
    </row>
    <row r="137" spans="7:44">
      <c r="G137" s="688">
        <v>7585.8</v>
      </c>
      <c r="H137" s="676">
        <f t="shared" si="56"/>
        <v>7.5857999999999999</v>
      </c>
      <c r="I137" s="677">
        <f t="shared" si="34"/>
        <v>6.7483734002605811</v>
      </c>
      <c r="J137" s="678">
        <f t="shared" si="35"/>
        <v>1.4220647249795624</v>
      </c>
      <c r="K137" s="678">
        <f t="shared" si="36"/>
        <v>1.0000549750889625</v>
      </c>
      <c r="L137" s="679">
        <f t="shared" si="37"/>
        <v>1.0485472858224857E-2</v>
      </c>
      <c r="M137" s="678">
        <f t="shared" si="38"/>
        <v>1.0077570037339061</v>
      </c>
      <c r="N137" s="679">
        <f t="shared" si="39"/>
        <v>-0.12415466828207083</v>
      </c>
      <c r="O137" s="677">
        <f t="shared" si="40"/>
        <v>677767.6758338206</v>
      </c>
      <c r="P137" s="680">
        <f t="shared" si="41"/>
        <v>1.5707948513630701</v>
      </c>
      <c r="Q137" s="689">
        <f t="shared" si="42"/>
        <v>3.5333023589985157</v>
      </c>
      <c r="R137" s="690">
        <f t="shared" si="43"/>
        <v>1.2838535280359971</v>
      </c>
      <c r="S137" s="677">
        <f t="shared" si="44"/>
        <v>1.0002551724559556</v>
      </c>
      <c r="T137" s="680">
        <f t="shared" si="45"/>
        <v>2.2588413266521258E-2</v>
      </c>
      <c r="U137" s="681">
        <f t="shared" si="57"/>
        <v>0.82581178833591184</v>
      </c>
      <c r="V137" s="682">
        <f t="shared" si="58"/>
        <v>-0.75743447563563759</v>
      </c>
      <c r="W137" s="683">
        <f t="shared" si="46"/>
        <v>-14.474432810545927</v>
      </c>
      <c r="X137" s="684">
        <f t="shared" si="47"/>
        <v>-149.1236185168294</v>
      </c>
      <c r="Y137" s="687">
        <f t="shared" si="48"/>
        <v>30.876381483170604</v>
      </c>
      <c r="AA137" s="170">
        <f t="shared" si="49"/>
        <v>7585.8</v>
      </c>
      <c r="AB137" s="170">
        <f t="shared" si="50"/>
        <v>57544361.640000001</v>
      </c>
      <c r="AD137" s="686">
        <f t="shared" si="51"/>
        <v>-0.55476699927785245</v>
      </c>
      <c r="AE137" s="687">
        <f t="shared" si="52"/>
        <v>-17.734747560873931</v>
      </c>
      <c r="AG137" s="686">
        <f t="shared" si="53"/>
        <v>47.134905569394398</v>
      </c>
      <c r="AH137" s="687">
        <f t="shared" si="54"/>
        <v>-44.593273433523827</v>
      </c>
      <c r="AJ137" s="170">
        <f t="shared" si="55"/>
        <v>0</v>
      </c>
      <c r="AK137" s="170">
        <f t="shared" si="65"/>
        <v>0</v>
      </c>
      <c r="AM137" s="170" t="str">
        <f t="shared" si="59"/>
        <v>0.626547823180485+0.927649433584027i</v>
      </c>
      <c r="AN137" s="170" t="str">
        <f t="shared" si="60"/>
        <v>1.18806865707683i</v>
      </c>
      <c r="AO137" s="170" t="str">
        <f t="shared" si="61"/>
        <v>0.78080456719265-0.527366679903893i</v>
      </c>
      <c r="AP137" s="170" t="str">
        <f t="shared" si="62"/>
        <v>0.0622420294699192-0.154608238930671i</v>
      </c>
      <c r="AQ137" s="170" t="str">
        <f t="shared" si="63"/>
        <v>0.937757970530081+0.154608238930671i</v>
      </c>
      <c r="AR137" s="170" t="str">
        <f t="shared" si="64"/>
        <v>0.864782266455352-0.142576728193053i</v>
      </c>
    </row>
    <row r="138" spans="7:44">
      <c r="G138" s="688">
        <v>7674.15</v>
      </c>
      <c r="H138" s="676">
        <f t="shared" si="56"/>
        <v>7.67415</v>
      </c>
      <c r="I138" s="677">
        <f t="shared" si="34"/>
        <v>6.8252539497223852</v>
      </c>
      <c r="J138" s="678">
        <f t="shared" si="35"/>
        <v>1.42375230823704</v>
      </c>
      <c r="K138" s="678">
        <f t="shared" si="36"/>
        <v>1.0000562630733889</v>
      </c>
      <c r="L138" s="679">
        <f t="shared" si="37"/>
        <v>1.0607585547235645E-2</v>
      </c>
      <c r="M138" s="678">
        <f t="shared" si="38"/>
        <v>1.0079380281738266</v>
      </c>
      <c r="N138" s="679">
        <f t="shared" si="39"/>
        <v>-0.1255855977675758</v>
      </c>
      <c r="O138" s="677">
        <f t="shared" si="40"/>
        <v>685661.47400405817</v>
      </c>
      <c r="P138" s="680">
        <f t="shared" si="41"/>
        <v>1.5707948683492381</v>
      </c>
      <c r="Q138" s="689">
        <f t="shared" si="42"/>
        <v>3.5711750759813561</v>
      </c>
      <c r="R138" s="690">
        <f t="shared" si="43"/>
        <v>1.286981513926353</v>
      </c>
      <c r="S138" s="677">
        <f t="shared" si="44"/>
        <v>1.0002611501541498</v>
      </c>
      <c r="T138" s="680">
        <f t="shared" si="45"/>
        <v>2.2851404069606132E-2</v>
      </c>
      <c r="U138" s="681">
        <f t="shared" si="57"/>
        <v>0.82269515766866119</v>
      </c>
      <c r="V138" s="682">
        <f t="shared" si="58"/>
        <v>-0.76486338106344809</v>
      </c>
      <c r="W138" s="683">
        <f t="shared" si="46"/>
        <v>-14.612121494984535</v>
      </c>
      <c r="X138" s="684">
        <f t="shared" si="47"/>
        <v>-149.55679336797448</v>
      </c>
      <c r="Y138" s="687">
        <f t="shared" si="48"/>
        <v>30.443206632025522</v>
      </c>
      <c r="AA138" s="170">
        <f t="shared" si="49"/>
        <v>7674.15</v>
      </c>
      <c r="AB138" s="170">
        <f t="shared" si="50"/>
        <v>58892578.222499996</v>
      </c>
      <c r="AD138" s="686">
        <f t="shared" si="51"/>
        <v>-0.56279004494597107</v>
      </c>
      <c r="AE138" s="687">
        <f t="shared" si="52"/>
        <v>-17.570596407095753</v>
      </c>
      <c r="AG138" s="686">
        <f t="shared" si="53"/>
        <v>47.070925410049604</v>
      </c>
      <c r="AH138" s="687">
        <f t="shared" si="54"/>
        <v>-44.339309582643622</v>
      </c>
      <c r="AJ138" s="170">
        <f t="shared" si="55"/>
        <v>0</v>
      </c>
      <c r="AK138" s="170">
        <f t="shared" si="65"/>
        <v>0</v>
      </c>
      <c r="AM138" s="170" t="str">
        <f t="shared" si="59"/>
        <v>0.639419190839182+0.932727977528781i</v>
      </c>
      <c r="AN138" s="170" t="str">
        <f t="shared" si="60"/>
        <v>1.20190580884101i</v>
      </c>
      <c r="AO138" s="170" t="str">
        <f t="shared" si="61"/>
        <v>0.776040826716866-0.532004410109116i</v>
      </c>
      <c r="AP138" s="170" t="str">
        <f t="shared" si="62"/>
        <v>0.060096801526803-0.155454662921464i</v>
      </c>
      <c r="AQ138" s="170" t="str">
        <f t="shared" si="63"/>
        <v>0.939903198473197+0.155454662921464i</v>
      </c>
      <c r="AR138" s="170" t="str">
        <f t="shared" si="64"/>
        <v>0.862663085290265-0.142679585893986i</v>
      </c>
    </row>
    <row r="139" spans="7:44">
      <c r="G139" s="688">
        <v>7762.5</v>
      </c>
      <c r="H139" s="676">
        <f t="shared" si="56"/>
        <v>7.7625000000000002</v>
      </c>
      <c r="I139" s="677">
        <f t="shared" si="34"/>
        <v>6.9021535040241666</v>
      </c>
      <c r="J139" s="678">
        <f t="shared" si="35"/>
        <v>1.4254022920747882</v>
      </c>
      <c r="K139" s="678">
        <f t="shared" si="36"/>
        <v>1.0000575659701245</v>
      </c>
      <c r="L139" s="679">
        <f t="shared" si="37"/>
        <v>1.0729697919885175E-2</v>
      </c>
      <c r="M139" s="678">
        <f t="shared" si="38"/>
        <v>1.008121115682876</v>
      </c>
      <c r="N139" s="679">
        <f t="shared" si="39"/>
        <v>-0.12701601043137045</v>
      </c>
      <c r="O139" s="677">
        <f t="shared" si="40"/>
        <v>693555.27217429597</v>
      </c>
      <c r="P139" s="680">
        <f t="shared" si="41"/>
        <v>1.5707948849487452</v>
      </c>
      <c r="Q139" s="689">
        <f t="shared" si="42"/>
        <v>3.6090820008686486</v>
      </c>
      <c r="R139" s="690">
        <f t="shared" si="43"/>
        <v>1.2900438215086525</v>
      </c>
      <c r="S139" s="677">
        <f t="shared" si="44"/>
        <v>1.0002671970337391</v>
      </c>
      <c r="T139" s="680">
        <f t="shared" si="45"/>
        <v>2.3114391711182312E-2</v>
      </c>
      <c r="U139" s="681">
        <f t="shared" si="57"/>
        <v>0.81957502709730068</v>
      </c>
      <c r="V139" s="682">
        <f t="shared" si="58"/>
        <v>-0.77225715623484725</v>
      </c>
      <c r="W139" s="683">
        <f t="shared" si="46"/>
        <v>-14.748619974436641</v>
      </c>
      <c r="X139" s="684">
        <f t="shared" si="47"/>
        <v>-149.98953440861629</v>
      </c>
      <c r="Y139" s="687">
        <f t="shared" si="48"/>
        <v>30.010465591383706</v>
      </c>
      <c r="AA139" s="170">
        <f t="shared" si="49"/>
        <v>7762.5</v>
      </c>
      <c r="AB139" s="170">
        <f t="shared" si="50"/>
        <v>60256406.25</v>
      </c>
      <c r="AD139" s="686">
        <f t="shared" si="51"/>
        <v>-0.57055698776541652</v>
      </c>
      <c r="AE139" s="687">
        <f t="shared" si="52"/>
        <v>-17.410208139883917</v>
      </c>
      <c r="AG139" s="686">
        <f t="shared" si="53"/>
        <v>47.008202847235026</v>
      </c>
      <c r="AH139" s="687">
        <f t="shared" si="54"/>
        <v>-44.085174665549559</v>
      </c>
      <c r="AJ139" s="170">
        <f t="shared" si="55"/>
        <v>0</v>
      </c>
      <c r="AK139" s="170">
        <f t="shared" si="65"/>
        <v>0</v>
      </c>
      <c r="AM139" s="170" t="str">
        <f t="shared" si="59"/>
        <v>0.652359596638809+0.937627937910805i</v>
      </c>
      <c r="AN139" s="170" t="str">
        <f t="shared" si="60"/>
        <v>1.2157429606052i</v>
      </c>
      <c r="AO139" s="170" t="str">
        <f t="shared" si="61"/>
        <v>0.771238632090497-0.536593357130411i</v>
      </c>
      <c r="AP139" s="170" t="str">
        <f t="shared" si="62"/>
        <v>0.0579400672268652-0.156271322985134i</v>
      </c>
      <c r="AQ139" s="170" t="str">
        <f t="shared" si="63"/>
        <v>0.942059932773135+0.156271322985134i</v>
      </c>
      <c r="AR139" s="170" t="str">
        <f t="shared" si="64"/>
        <v>0.860552639591768-0.142750683697467i</v>
      </c>
    </row>
    <row r="140" spans="7:44">
      <c r="G140" s="688">
        <v>7852.9</v>
      </c>
      <c r="H140" s="676">
        <f t="shared" si="56"/>
        <v>7.8529</v>
      </c>
      <c r="I140" s="677">
        <f t="shared" si="34"/>
        <v>6.9808563879949075</v>
      </c>
      <c r="J140" s="678">
        <f t="shared" si="35"/>
        <v>1.4270529294638885</v>
      </c>
      <c r="K140" s="678">
        <f t="shared" si="36"/>
        <v>1.0000589145334755</v>
      </c>
      <c r="L140" s="679">
        <f t="shared" si="37"/>
        <v>1.0854643355325716E-2</v>
      </c>
      <c r="M140" s="678">
        <f t="shared" si="38"/>
        <v>1.0083105856591676</v>
      </c>
      <c r="N140" s="679">
        <f t="shared" si="39"/>
        <v>-0.12847907244333087</v>
      </c>
      <c r="O140" s="677">
        <f t="shared" si="40"/>
        <v>701632.23147921404</v>
      </c>
      <c r="P140" s="680">
        <f t="shared" si="41"/>
        <v>1.5707949015468035</v>
      </c>
      <c r="Q140" s="689">
        <f t="shared" si="42"/>
        <v>3.647902781906001</v>
      </c>
      <c r="R140" s="690">
        <f t="shared" si="43"/>
        <v>1.2931112791539074</v>
      </c>
      <c r="S140" s="677">
        <f t="shared" si="44"/>
        <v>1.0002734558266495</v>
      </c>
      <c r="T140" s="680">
        <f t="shared" si="45"/>
        <v>2.3383478189226987E-2</v>
      </c>
      <c r="U140" s="681">
        <f t="shared" si="57"/>
        <v>0.81637943237288213</v>
      </c>
      <c r="V140" s="682">
        <f t="shared" si="58"/>
        <v>-0.77978628319245202</v>
      </c>
      <c r="W140" s="683">
        <f t="shared" si="46"/>
        <v>-14.887084302336834</v>
      </c>
      <c r="X140" s="684">
        <f t="shared" si="47"/>
        <v>-150.43183068905009</v>
      </c>
      <c r="Y140" s="687">
        <f t="shared" si="48"/>
        <v>29.568169310949912</v>
      </c>
      <c r="AA140" s="170">
        <f t="shared" si="49"/>
        <v>7852.9</v>
      </c>
      <c r="AB140" s="170">
        <f t="shared" si="50"/>
        <v>61668038.409999996</v>
      </c>
      <c r="AD140" s="686">
        <f t="shared" si="51"/>
        <v>-0.57825029410683937</v>
      </c>
      <c r="AE140" s="687">
        <f t="shared" si="52"/>
        <v>-17.249874233307153</v>
      </c>
      <c r="AG140" s="686">
        <f t="shared" si="53"/>
        <v>46.945298307524098</v>
      </c>
      <c r="AH140" s="687">
        <f t="shared" si="54"/>
        <v>-43.825030455396401</v>
      </c>
      <c r="AJ140" s="170">
        <f t="shared" si="55"/>
        <v>0</v>
      </c>
      <c r="AK140" s="170">
        <f t="shared" si="65"/>
        <v>0</v>
      </c>
      <c r="AM140" s="170" t="str">
        <f t="shared" si="59"/>
        <v>0.665669136014262+0.942455767336882i</v>
      </c>
      <c r="AN140" s="170" t="str">
        <f t="shared" si="60"/>
        <v>1.22990117814319i</v>
      </c>
      <c r="AO140" s="170" t="str">
        <f t="shared" si="61"/>
        <v>0.766285766763578-0.541237904186122i</v>
      </c>
      <c r="AP140" s="170" t="str">
        <f t="shared" si="62"/>
        <v>0.0557218106642897-0.157075961222814i</v>
      </c>
      <c r="AQ140" s="170" t="str">
        <f t="shared" si="63"/>
        <v>0.94427818933571+0.157075961222814i</v>
      </c>
      <c r="AR140" s="170" t="str">
        <f t="shared" si="64"/>
        <v>0.858402719336213-0.142791005636663i</v>
      </c>
    </row>
    <row r="141" spans="7:44">
      <c r="G141" s="688">
        <v>7943.3</v>
      </c>
      <c r="H141" s="676">
        <f t="shared" si="56"/>
        <v>7.9432999999999998</v>
      </c>
      <c r="I141" s="677">
        <f t="shared" ref="I141:I204" si="66">SQRT(1+(G141/pole1)^2)</f>
        <v>7.0595778679175574</v>
      </c>
      <c r="J141" s="678">
        <f t="shared" ref="J141:J204" si="67">ATAN(G141/pole1)</f>
        <v>1.4286667585941917</v>
      </c>
      <c r="K141" s="678">
        <f t="shared" ref="K141:K204" si="68">SQRT(1+(G141/Zero1)^2)</f>
        <v>1.0000602787090658</v>
      </c>
      <c r="L141" s="679">
        <f t="shared" ref="L141:L204" si="69">ATAN(G141/Zero1)</f>
        <v>1.0979588451842338E-2</v>
      </c>
      <c r="M141" s="678">
        <f t="shared" ref="M141:M204" si="70">SQRT(1+(G141/z_RHP)^2)</f>
        <v>1.0085022131614578</v>
      </c>
      <c r="N141" s="679">
        <f t="shared" ref="N141:N204" si="71">-ATAN(G141/z_RHP)</f>
        <v>-0.12994158158626026</v>
      </c>
      <c r="O141" s="677">
        <f t="shared" ref="O141:O204" si="72">SQRT(1+(G141/Pole2)^2)</f>
        <v>709709.19078413246</v>
      </c>
      <c r="P141" s="680">
        <f t="shared" ref="P141:P204" si="73">ATAN(G141/Pole2)</f>
        <v>1.5707949177670681</v>
      </c>
      <c r="Q141" s="689">
        <f t="shared" ref="Q141:Q147" si="74">SQRT(1+(G141/Zero2)^2)</f>
        <v>3.6867571641025809</v>
      </c>
      <c r="R141" s="690">
        <f t="shared" ref="R141:R147" si="75">ATAN(G141/Zero2)</f>
        <v>1.2961141092724342</v>
      </c>
      <c r="S141" s="677">
        <f t="shared" ref="S141:S204" si="76">SQRT(1+(G141/pole4)^2)</f>
        <v>1.0002797870459836</v>
      </c>
      <c r="T141" s="680">
        <f t="shared" ref="T141:T204" si="77">ATAN(G141/pole4)</f>
        <v>2.3652561280417126E-2</v>
      </c>
      <c r="U141" s="681">
        <f t="shared" si="57"/>
        <v>0.81318128773600518</v>
      </c>
      <c r="V141" s="682">
        <f t="shared" si="58"/>
        <v>-0.78727895345897336</v>
      </c>
      <c r="W141" s="683">
        <f t="shared" ref="W141:W204" si="78">20*LOG10(((K141*Q141*M141*U141)/(I141*O141*S141))*Adc)</f>
        <v>-15.024363418085327</v>
      </c>
      <c r="X141" s="684">
        <f t="shared" ref="X141:X204" si="79">((L141+R141+N141+V141)-(J141+P141+T141))*radconv</f>
        <v>-150.87360020824917</v>
      </c>
      <c r="Y141" s="687">
        <f t="shared" ref="Y141:Y204" si="80">IF(X141&gt;0,X141,X141+180)</f>
        <v>29.126399791750828</v>
      </c>
      <c r="AA141" s="170">
        <f t="shared" ref="AA141:AA204" si="81">IF(W141&lt;0,G141,1000000000)</f>
        <v>7943.3</v>
      </c>
      <c r="AB141" s="170">
        <f t="shared" ref="AB141:AB204" si="82">G141^2</f>
        <v>63096014.890000001</v>
      </c>
      <c r="AD141" s="686">
        <f t="shared" ref="AD141:AD204" si="83">20*LOG10((Q141/(O141*S141))*Aea)</f>
        <v>-0.58569768877173978</v>
      </c>
      <c r="AE141" s="687">
        <f t="shared" ref="AE141:AE204" si="84">(R141-(P141+T141))*radconv</f>
        <v>-17.093242995558057</v>
      </c>
      <c r="AG141" s="686">
        <f t="shared" ref="AG141:AG204" si="85">20*LOG10((K141*M141/(I141*U141))*Acs*Am)</f>
        <v>46.883653716100923</v>
      </c>
      <c r="AH141" s="687">
        <f t="shared" ref="AH141:AH204" si="86">(L141+N141-(J141+V141))*radconv</f>
        <v>-43.564834444253776</v>
      </c>
      <c r="AJ141" s="170">
        <f t="shared" ref="AJ141:AJ204" si="87">SUM((W142&lt;0)*(W141&gt;0))*G141</f>
        <v>0</v>
      </c>
      <c r="AK141" s="170">
        <f t="shared" si="65"/>
        <v>0</v>
      </c>
      <c r="AM141" s="170" t="str">
        <f t="shared" si="59"/>
        <v>0.679045692604966+0.947094679831206i</v>
      </c>
      <c r="AN141" s="170" t="str">
        <f t="shared" si="60"/>
        <v>1.24405939568119i</v>
      </c>
      <c r="AO141" s="170" t="str">
        <f t="shared" si="61"/>
        <v>0.761293779958649-0.545830605003511i</v>
      </c>
      <c r="AP141" s="170" t="str">
        <f t="shared" si="62"/>
        <v>0.053492384565839-0.157849113305201i</v>
      </c>
      <c r="AQ141" s="170" t="str">
        <f t="shared" si="63"/>
        <v>0.946507615434161+0.157849113305201i</v>
      </c>
      <c r="AR141" s="170" t="str">
        <f t="shared" si="64"/>
        <v>0.856262847625169-0.142798989727961i</v>
      </c>
    </row>
    <row r="142" spans="7:44">
      <c r="G142" s="688">
        <v>8035.8</v>
      </c>
      <c r="H142" s="676">
        <f t="shared" ref="H142:H205" si="88">G142/1000</f>
        <v>8.0358000000000001</v>
      </c>
      <c r="I142" s="677">
        <f t="shared" si="66"/>
        <v>7.1401466621323761</v>
      </c>
      <c r="J142" s="678">
        <f t="shared" si="67"/>
        <v>1.4302812376819629</v>
      </c>
      <c r="K142" s="678">
        <f t="shared" si="68"/>
        <v>1.0000616907349715</v>
      </c>
      <c r="L142" s="679">
        <f t="shared" si="69"/>
        <v>1.1107435679115006E-2</v>
      </c>
      <c r="M142" s="678">
        <f t="shared" si="70"/>
        <v>1.0087005241922593</v>
      </c>
      <c r="N142" s="679">
        <f t="shared" si="71"/>
        <v>-0.13143748646739303</v>
      </c>
      <c r="O142" s="677">
        <f t="shared" si="72"/>
        <v>717973.77856847935</v>
      </c>
      <c r="P142" s="680">
        <f t="shared" si="73"/>
        <v>1.5707949339863709</v>
      </c>
      <c r="Q142" s="689">
        <f t="shared" si="74"/>
        <v>3.7265478217476957</v>
      </c>
      <c r="R142" s="690">
        <f t="shared" si="75"/>
        <v>1.2991218515784417</v>
      </c>
      <c r="S142" s="677">
        <f t="shared" si="76"/>
        <v>1.0002863403083422</v>
      </c>
      <c r="T142" s="680">
        <f t="shared" si="77"/>
        <v>2.3927891649265065E-2</v>
      </c>
      <c r="U142" s="681">
        <f t="shared" ref="U142:U205" si="89">IMABS(IMPRODUCT(AO142, AR142))</f>
        <v>0.8099067767908924</v>
      </c>
      <c r="V142" s="682">
        <f t="shared" ref="V142:V205" si="90">IMARGUMENT(IMPRODUCT(AO142, AR142))</f>
        <v>-0.7949081243123014</v>
      </c>
      <c r="W142" s="683">
        <f t="shared" si="78"/>
        <v>-15.163634866335187</v>
      </c>
      <c r="X142" s="684">
        <f t="shared" si="79"/>
        <v>-151.32505152479033</v>
      </c>
      <c r="Y142" s="687">
        <f t="shared" si="80"/>
        <v>28.674948475209675</v>
      </c>
      <c r="AA142" s="170">
        <f t="shared" si="81"/>
        <v>8035.8</v>
      </c>
      <c r="AB142" s="170">
        <f t="shared" si="82"/>
        <v>64574081.640000001</v>
      </c>
      <c r="AD142" s="686">
        <f t="shared" si="83"/>
        <v>-0.59307435609934356</v>
      </c>
      <c r="AE142" s="687">
        <f t="shared" si="84"/>
        <v>-16.936688252786361</v>
      </c>
      <c r="AG142" s="686">
        <f t="shared" si="85"/>
        <v>46.821852677834357</v>
      </c>
      <c r="AH142" s="687">
        <f t="shared" si="86"/>
        <v>-43.298601920407819</v>
      </c>
      <c r="AJ142" s="170">
        <f t="shared" si="87"/>
        <v>0</v>
      </c>
      <c r="AK142" s="170">
        <f t="shared" si="65"/>
        <v>0</v>
      </c>
      <c r="AM142" s="170" t="str">
        <f t="shared" ref="AM142:AM205" si="91">IMSUB(1,IMEXP(COMPLEX(0,-2*Pi*G142*Tsw)))</f>
        <v>0.692799561229834+0.951644834178916i</v>
      </c>
      <c r="AN142" s="170" t="str">
        <f t="shared" ref="AN142:AN205" si="92">COMPLEX(0, 2*Pi*G142*Tsw)</f>
        <v>1.25854650986554i</v>
      </c>
      <c r="AO142" s="170" t="str">
        <f t="shared" ref="AO142:AO205" si="93">IMDIV(AM142, AN142)</f>
        <v>0.756145940351928-0.55047593060653i</v>
      </c>
      <c r="AP142" s="170" t="str">
        <f t="shared" ref="AP142:AP205" si="94">IMDIV(IMEXP(COMPLEX(0,-2*Pi*G142*Tsw)),6)</f>
        <v>0.051200073128361-0.158607472363153i</v>
      </c>
      <c r="AQ142" s="170" t="str">
        <f t="shared" ref="AQ142:AQ205" si="95">IMSUB(1, AP142)</f>
        <v>0.948799926871639+0.158607472363153i</v>
      </c>
      <c r="AR142" s="170" t="str">
        <f t="shared" ref="AR142:AR205" si="96">IMDIV(0.833, AQ142)</f>
        <v>0.854084118917988-0.142774171298412i</v>
      </c>
    </row>
    <row r="143" spans="7:44">
      <c r="G143" s="688">
        <v>8128.3</v>
      </c>
      <c r="H143" s="676">
        <f t="shared" si="88"/>
        <v>8.1282999999999994</v>
      </c>
      <c r="I143" s="677">
        <f t="shared" si="66"/>
        <v>7.2207336520921412</v>
      </c>
      <c r="J143" s="678">
        <f t="shared" si="67"/>
        <v>1.4318596840236857</v>
      </c>
      <c r="K143" s="678">
        <f t="shared" si="68"/>
        <v>1.0000631191067528</v>
      </c>
      <c r="L143" s="679">
        <f t="shared" si="69"/>
        <v>1.1235282543273623E-2</v>
      </c>
      <c r="M143" s="678">
        <f t="shared" si="70"/>
        <v>1.0089010915336074</v>
      </c>
      <c r="N143" s="679">
        <f t="shared" si="71"/>
        <v>-0.13293279992826304</v>
      </c>
      <c r="O143" s="677">
        <f t="shared" si="72"/>
        <v>726238.36635282636</v>
      </c>
      <c r="P143" s="680">
        <f t="shared" si="73"/>
        <v>1.5707949498365228</v>
      </c>
      <c r="Q143" s="689">
        <f t="shared" si="74"/>
        <v>3.7663714791620801</v>
      </c>
      <c r="R143" s="690">
        <f t="shared" si="75"/>
        <v>1.3020660154391865</v>
      </c>
      <c r="S143" s="677">
        <f t="shared" si="76"/>
        <v>1.0002929693982223</v>
      </c>
      <c r="T143" s="680">
        <f t="shared" si="77"/>
        <v>2.4203218389674028E-2</v>
      </c>
      <c r="U143" s="681">
        <f t="shared" si="89"/>
        <v>0.80663073140246111</v>
      </c>
      <c r="V143" s="682">
        <f t="shared" si="90"/>
        <v>-0.80249950248690605</v>
      </c>
      <c r="W143" s="683">
        <f t="shared" si="78"/>
        <v>-15.301725383912117</v>
      </c>
      <c r="X143" s="684">
        <f t="shared" si="79"/>
        <v>-151.77588163852698</v>
      </c>
      <c r="Y143" s="687">
        <f t="shared" si="80"/>
        <v>28.224118361473018</v>
      </c>
      <c r="AA143" s="170">
        <f t="shared" si="81"/>
        <v>8128.3</v>
      </c>
      <c r="AB143" s="170">
        <f t="shared" si="82"/>
        <v>66069260.890000001</v>
      </c>
      <c r="AD143" s="686">
        <f t="shared" si="83"/>
        <v>-0.60021494486754845</v>
      </c>
      <c r="AE143" s="687">
        <f t="shared" si="84"/>
        <v>-16.783776057555347</v>
      </c>
      <c r="AG143" s="686">
        <f t="shared" si="85"/>
        <v>46.761313506598029</v>
      </c>
      <c r="AH143" s="687">
        <f t="shared" si="86"/>
        <v>-43.032436368196372</v>
      </c>
      <c r="AJ143" s="170">
        <f t="shared" si="87"/>
        <v>0</v>
      </c>
      <c r="AK143" s="170">
        <f t="shared" si="65"/>
        <v>0</v>
      </c>
      <c r="AM143" s="170" t="str">
        <f t="shared" si="91"/>
        <v>0.706617902873007+0.955995264154257i</v>
      </c>
      <c r="AN143" s="170" t="str">
        <f t="shared" si="92"/>
        <v>1.27303362404988i</v>
      </c>
      <c r="AO143" s="170" t="str">
        <f t="shared" si="93"/>
        <v>0.75095837697748-0.555066173841548i</v>
      </c>
      <c r="AP143" s="170" t="str">
        <f t="shared" si="94"/>
        <v>0.0488970161878322-0.159332544025709i</v>
      </c>
      <c r="AQ143" s="170" t="str">
        <f t="shared" si="95"/>
        <v>0.951102983812168+0.159332544025709i</v>
      </c>
      <c r="AR143" s="170" t="str">
        <f t="shared" si="96"/>
        <v>0.851916809764206-0.14271648276608i</v>
      </c>
    </row>
    <row r="144" spans="7:44">
      <c r="G144" s="688">
        <v>8222.9500000000007</v>
      </c>
      <c r="H144" s="676">
        <f t="shared" si="88"/>
        <v>8.2229500000000009</v>
      </c>
      <c r="I144" s="677">
        <f t="shared" si="66"/>
        <v>7.3032119517786667</v>
      </c>
      <c r="J144" s="678">
        <f t="shared" si="67"/>
        <v>1.4334387560367268</v>
      </c>
      <c r="K144" s="678">
        <f t="shared" si="68"/>
        <v>1.0000645975986415</v>
      </c>
      <c r="L144" s="679">
        <f t="shared" si="69"/>
        <v>1.1366100602963714E-2</v>
      </c>
      <c r="M144" s="678">
        <f t="shared" si="70"/>
        <v>1.0091086548929271</v>
      </c>
      <c r="N144" s="679">
        <f t="shared" si="71"/>
        <v>-0.13446225051837876</v>
      </c>
      <c r="O144" s="677">
        <f t="shared" si="72"/>
        <v>734695.04996135039</v>
      </c>
      <c r="P144" s="680">
        <f t="shared" si="73"/>
        <v>1.5707949656859574</v>
      </c>
      <c r="Q144" s="689">
        <f t="shared" si="74"/>
        <v>3.8071538464997423</v>
      </c>
      <c r="R144" s="690">
        <f t="shared" si="75"/>
        <v>1.3050148277899289</v>
      </c>
      <c r="S144" s="677">
        <f t="shared" si="76"/>
        <v>1.0002998310597992</v>
      </c>
      <c r="T144" s="680">
        <f t="shared" si="77"/>
        <v>2.4484940817089691E-2</v>
      </c>
      <c r="U144" s="681">
        <f t="shared" si="89"/>
        <v>0.80327752740182323</v>
      </c>
      <c r="V144" s="682">
        <f t="shared" si="90"/>
        <v>-0.81022841952085745</v>
      </c>
      <c r="W144" s="683">
        <f t="shared" si="78"/>
        <v>-15.441832875371439</v>
      </c>
      <c r="X144" s="684">
        <f t="shared" si="79"/>
        <v>-152.23651378020037</v>
      </c>
      <c r="Y144" s="687">
        <f t="shared" si="80"/>
        <v>27.763486219799631</v>
      </c>
      <c r="AA144" s="170">
        <f t="shared" si="81"/>
        <v>8222.9500000000007</v>
      </c>
      <c r="AB144" s="170">
        <f t="shared" si="82"/>
        <v>67616906.702500015</v>
      </c>
      <c r="AD144" s="686">
        <f t="shared" si="83"/>
        <v>-0.60728754378215777</v>
      </c>
      <c r="AE144" s="687">
        <f t="shared" si="84"/>
        <v>-16.630963969297955</v>
      </c>
      <c r="AG144" s="686">
        <f t="shared" si="85"/>
        <v>46.700644481717077</v>
      </c>
      <c r="AH144" s="687">
        <f t="shared" si="86"/>
        <v>-42.760211944610695</v>
      </c>
      <c r="AJ144" s="170">
        <f t="shared" si="87"/>
        <v>0</v>
      </c>
      <c r="AK144" s="170">
        <f t="shared" si="65"/>
        <v>0</v>
      </c>
      <c r="AM144" s="170" t="str">
        <f t="shared" si="91"/>
        <v>0.720821140542702+0.960239118361735i</v>
      </c>
      <c r="AN144" s="170" t="str">
        <f t="shared" si="92"/>
        <v>1.28785746575311i</v>
      </c>
      <c r="AO144" s="170" t="str">
        <f t="shared" si="93"/>
        <v>0.745609777398937-0.559705681498831i</v>
      </c>
      <c r="AP144" s="170" t="str">
        <f t="shared" si="94"/>
        <v>0.0465298099095497-0.160039853060289i</v>
      </c>
      <c r="AQ144" s="170" t="str">
        <f t="shared" si="95"/>
        <v>0.95347019009045+0.160039853060289i</v>
      </c>
      <c r="AR144" s="170" t="str">
        <f t="shared" si="96"/>
        <v>0.849711393303709-0.142623951898359i</v>
      </c>
    </row>
    <row r="145" spans="7:44">
      <c r="G145" s="688">
        <v>8270.2750000000015</v>
      </c>
      <c r="H145" s="676">
        <f t="shared" si="88"/>
        <v>8.2702750000000016</v>
      </c>
      <c r="I145" s="677">
        <f t="shared" si="66"/>
        <v>7.3444578154580835</v>
      </c>
      <c r="J145" s="678">
        <f t="shared" si="67"/>
        <v>1.4342149913366447</v>
      </c>
      <c r="K145" s="678">
        <f t="shared" si="68"/>
        <v>1.0000653432624977</v>
      </c>
      <c r="L145" s="679">
        <f t="shared" si="69"/>
        <v>1.1431509487198475E-2</v>
      </c>
      <c r="M145" s="678">
        <f t="shared" si="70"/>
        <v>1.0092133214962833</v>
      </c>
      <c r="N145" s="679">
        <f t="shared" si="71"/>
        <v>-0.13522673899948495</v>
      </c>
      <c r="O145" s="677">
        <f t="shared" si="72"/>
        <v>738923.39176561253</v>
      </c>
      <c r="P145" s="680">
        <f t="shared" si="73"/>
        <v>1.570794973474632</v>
      </c>
      <c r="Q145" s="689">
        <f t="shared" si="74"/>
        <v>3.8275572461342664</v>
      </c>
      <c r="R145" s="690">
        <f t="shared" si="75"/>
        <v>1.306465663116684</v>
      </c>
      <c r="S145" s="677">
        <f t="shared" si="76"/>
        <v>1.0003032916620269</v>
      </c>
      <c r="T145" s="680">
        <f t="shared" si="77"/>
        <v>2.4625800575834304E-2</v>
      </c>
      <c r="U145" s="681">
        <f t="shared" si="89"/>
        <v>0.80160072001548988</v>
      </c>
      <c r="V145" s="682">
        <f t="shared" si="90"/>
        <v>-0.81407818869183524</v>
      </c>
      <c r="W145" s="683">
        <f t="shared" si="78"/>
        <v>-15.511443336472489</v>
      </c>
      <c r="X145" s="684">
        <f t="shared" si="79"/>
        <v>-152.46656299804454</v>
      </c>
      <c r="Y145" s="687">
        <f t="shared" si="80"/>
        <v>27.533437001955463</v>
      </c>
      <c r="AA145" s="170">
        <f t="shared" si="81"/>
        <v>8270.2750000000015</v>
      </c>
      <c r="AB145" s="170">
        <f t="shared" si="82"/>
        <v>68397448.575625017</v>
      </c>
      <c r="AD145" s="686">
        <f t="shared" si="83"/>
        <v>-0.61073826002167608</v>
      </c>
      <c r="AE145" s="687">
        <f t="shared" si="84"/>
        <v>-16.555908344158127</v>
      </c>
      <c r="AG145" s="686">
        <f t="shared" si="85"/>
        <v>46.670785482348769</v>
      </c>
      <c r="AH145" s="687">
        <f t="shared" si="86"/>
        <v>-42.624165735897442</v>
      </c>
      <c r="AJ145" s="170">
        <f t="shared" si="87"/>
        <v>0</v>
      </c>
      <c r="AK145" s="170">
        <f t="shared" si="65"/>
        <v>0</v>
      </c>
      <c r="AM145" s="170" t="str">
        <f t="shared" si="91"/>
        <v>0.727945960250358+0.962281975023901i</v>
      </c>
      <c r="AN145" s="170" t="str">
        <f t="shared" si="92"/>
        <v>1.29526938660472i</v>
      </c>
      <c r="AO145" s="170" t="str">
        <f t="shared" si="93"/>
        <v>0.742920341494616-0.56200352434679i</v>
      </c>
      <c r="AP145" s="170" t="str">
        <f t="shared" si="94"/>
        <v>0.0453423399582737-0.16038032917065i</v>
      </c>
      <c r="AQ145" s="170" t="str">
        <f t="shared" si="95"/>
        <v>0.954657660041726+0.16038032917065i</v>
      </c>
      <c r="AR145" s="170" t="str">
        <f t="shared" si="96"/>
        <v>0.848613475683203-0.142565145879385i</v>
      </c>
    </row>
    <row r="146" spans="7:44">
      <c r="G146" s="688">
        <v>8317.6</v>
      </c>
      <c r="H146" s="676">
        <f t="shared" si="88"/>
        <v>8.3176000000000005</v>
      </c>
      <c r="I146" s="677">
        <f t="shared" si="66"/>
        <v>7.3857080550476182</v>
      </c>
      <c r="J146" s="678">
        <f t="shared" si="67"/>
        <v>1.434982556323624</v>
      </c>
      <c r="K146" s="678">
        <f t="shared" si="68"/>
        <v>1.0000660932049494</v>
      </c>
      <c r="L146" s="679">
        <f t="shared" si="69"/>
        <v>1.1496918273613758E-2</v>
      </c>
      <c r="M146" s="678">
        <f t="shared" si="70"/>
        <v>1.0093185778044034</v>
      </c>
      <c r="N146" s="679">
        <f t="shared" si="71"/>
        <v>-0.13599106847858472</v>
      </c>
      <c r="O146" s="677">
        <f t="shared" si="72"/>
        <v>743151.73356987466</v>
      </c>
      <c r="P146" s="680">
        <f t="shared" si="73"/>
        <v>1.5707949811746755</v>
      </c>
      <c r="Q146" s="689">
        <f t="shared" si="74"/>
        <v>3.8479686170332457</v>
      </c>
      <c r="R146" s="690">
        <f t="shared" si="75"/>
        <v>1.3079011096610123</v>
      </c>
      <c r="S146" s="677">
        <f t="shared" si="76"/>
        <v>1.0003067721116063</v>
      </c>
      <c r="T146" s="680">
        <f t="shared" si="77"/>
        <v>2.4766659357163861E-2</v>
      </c>
      <c r="U146" s="681">
        <f t="shared" si="89"/>
        <v>0.79992386990395747</v>
      </c>
      <c r="V146" s="682">
        <f t="shared" si="90"/>
        <v>-0.81791820322908337</v>
      </c>
      <c r="W146" s="683">
        <f t="shared" si="78"/>
        <v>-15.58076303018138</v>
      </c>
      <c r="X146" s="684">
        <f t="shared" si="79"/>
        <v>-152.69642909087241</v>
      </c>
      <c r="Y146" s="687">
        <f t="shared" si="80"/>
        <v>27.303570909127586</v>
      </c>
      <c r="AA146" s="170">
        <f t="shared" si="81"/>
        <v>8317.6</v>
      </c>
      <c r="AB146" s="170">
        <f t="shared" si="82"/>
        <v>69182469.760000005</v>
      </c>
      <c r="AD146" s="686">
        <f t="shared" si="83"/>
        <v>-0.61413355451942908</v>
      </c>
      <c r="AE146" s="687">
        <f t="shared" si="84"/>
        <v>-16.481734370224245</v>
      </c>
      <c r="AG146" s="686">
        <f t="shared" si="85"/>
        <v>46.641238770804598</v>
      </c>
      <c r="AH146" s="687">
        <f t="shared" si="86"/>
        <v>-42.48817254964996</v>
      </c>
      <c r="AJ146" s="170">
        <f t="shared" si="87"/>
        <v>0</v>
      </c>
      <c r="AK146" s="170">
        <f t="shared" si="65"/>
        <v>0</v>
      </c>
      <c r="AM146" s="170" t="str">
        <f t="shared" si="91"/>
        <v>0.735085725605583+0.964271967456319i</v>
      </c>
      <c r="AN146" s="170" t="str">
        <f t="shared" si="92"/>
        <v>1.30268130745633i</v>
      </c>
      <c r="AO146" s="170" t="str">
        <f t="shared" si="93"/>
        <v>0.740220928892575-0.564286691916185i</v>
      </c>
      <c r="AP146" s="170" t="str">
        <f t="shared" si="94"/>
        <v>0.0441523790657362-0.160711994576053i</v>
      </c>
      <c r="AQ146" s="170" t="str">
        <f t="shared" si="95"/>
        <v>0.955847620934264+0.160711994576053i</v>
      </c>
      <c r="AR146" s="170" t="str">
        <f t="shared" si="96"/>
        <v>0.847518823412305-0.142498069324282i</v>
      </c>
    </row>
    <row r="147" spans="7:44">
      <c r="G147" s="688">
        <v>8366.0499999999993</v>
      </c>
      <c r="H147" s="676">
        <f t="shared" si="88"/>
        <v>8.3660499999999995</v>
      </c>
      <c r="I147" s="677">
        <f t="shared" si="66"/>
        <v>7.4279433437628111</v>
      </c>
      <c r="J147" s="678">
        <f t="shared" si="67"/>
        <v>1.4357595356687294</v>
      </c>
      <c r="K147" s="678">
        <f t="shared" si="68"/>
        <v>1.0000668654072353</v>
      </c>
      <c r="L147" s="679">
        <f t="shared" si="69"/>
        <v>1.1563881842097442E-2</v>
      </c>
      <c r="M147" s="678">
        <f t="shared" si="70"/>
        <v>1.0094269469497315</v>
      </c>
      <c r="N147" s="679">
        <f t="shared" si="71"/>
        <v>-0.13677340184121387</v>
      </c>
      <c r="O147" s="677">
        <f t="shared" si="72"/>
        <v>747480.59063097322</v>
      </c>
      <c r="P147" s="680">
        <f t="shared" si="73"/>
        <v>1.5707949889675168</v>
      </c>
      <c r="Q147" s="689">
        <f t="shared" si="74"/>
        <v>3.8688733287904009</v>
      </c>
      <c r="R147" s="690">
        <f t="shared" si="75"/>
        <v>1.3093549856726023</v>
      </c>
      <c r="S147" s="677">
        <f t="shared" si="76"/>
        <v>1.000310355858159</v>
      </c>
      <c r="T147" s="680">
        <f t="shared" si="77"/>
        <v>2.4910865585607411E-2</v>
      </c>
      <c r="U147" s="681">
        <f t="shared" si="89"/>
        <v>0.79820718625611242</v>
      </c>
      <c r="V147" s="682">
        <f t="shared" si="90"/>
        <v>-0.82183942715510283</v>
      </c>
      <c r="W147" s="683">
        <f t="shared" si="78"/>
        <v>-15.651432988151532</v>
      </c>
      <c r="X147" s="684">
        <f t="shared" si="79"/>
        <v>-152.93156587523359</v>
      </c>
      <c r="Y147" s="687">
        <f t="shared" si="80"/>
        <v>27.068434124766412</v>
      </c>
      <c r="AA147" s="170">
        <f t="shared" si="81"/>
        <v>8366.0499999999993</v>
      </c>
      <c r="AB147" s="170">
        <f t="shared" si="82"/>
        <v>69990792.602499992</v>
      </c>
      <c r="AD147" s="686">
        <f t="shared" si="83"/>
        <v>-0.61755338473066845</v>
      </c>
      <c r="AE147" s="687">
        <f t="shared" si="84"/>
        <v>-16.40669626550531</v>
      </c>
      <c r="AG147" s="686">
        <f t="shared" si="85"/>
        <v>46.611309563345067</v>
      </c>
      <c r="AH147" s="687">
        <f t="shared" si="86"/>
        <v>-42.349008275243364</v>
      </c>
      <c r="AJ147" s="170">
        <f t="shared" si="87"/>
        <v>0</v>
      </c>
      <c r="AK147" s="170">
        <f t="shared" si="65"/>
        <v>0</v>
      </c>
      <c r="AM147" s="170" t="str">
        <f t="shared" si="91"/>
        <v>0.742410289212853+0.966254387258653i</v>
      </c>
      <c r="AN147" s="170" t="str">
        <f t="shared" si="92"/>
        <v>1.31026942293992i</v>
      </c>
      <c r="AO147" s="170" t="str">
        <f t="shared" si="93"/>
        <v>0.73744710083413-0.566608879223533i</v>
      </c>
      <c r="AP147" s="170" t="str">
        <f t="shared" si="94"/>
        <v>0.0429316184645245-0.161042397876442i</v>
      </c>
      <c r="AQ147" s="170" t="str">
        <f t="shared" si="95"/>
        <v>0.957068381535475+0.161042397876442i</v>
      </c>
      <c r="AR147" s="170" t="str">
        <f t="shared" si="96"/>
        <v>0.846401586603267-0.142420900849667i</v>
      </c>
    </row>
    <row r="148" spans="7:44">
      <c r="G148" s="691">
        <v>8414.5</v>
      </c>
      <c r="H148" s="676">
        <f t="shared" si="88"/>
        <v>8.4145000000000003</v>
      </c>
      <c r="I148" s="677">
        <f t="shared" si="66"/>
        <v>7.4701830659965465</v>
      </c>
      <c r="J148" s="678">
        <f t="shared" si="67"/>
        <v>1.4365277287028313</v>
      </c>
      <c r="K148" s="678">
        <f t="shared" si="68"/>
        <v>1.0000676420939336</v>
      </c>
      <c r="L148" s="679">
        <f t="shared" si="69"/>
        <v>1.1630845306869008E-2</v>
      </c>
      <c r="M148" s="678">
        <f t="shared" si="70"/>
        <v>1.0095359337774099</v>
      </c>
      <c r="N148" s="679">
        <f t="shared" si="71"/>
        <v>-0.13755556676519889</v>
      </c>
      <c r="O148" s="677">
        <f t="shared" si="72"/>
        <v>751809.44769207214</v>
      </c>
      <c r="P148" s="680">
        <f t="shared" si="73"/>
        <v>1.5707949966706169</v>
      </c>
      <c r="Q148" s="689">
        <f t="shared" ref="Q148:Q157" si="97">SQRT(1+(G148/Zero2)^2)</f>
        <v>3.8897861304898846</v>
      </c>
      <c r="R148" s="690">
        <f t="shared" ref="R148:R157" si="98">ATAN(G148/Zero2)</f>
        <v>1.3107932316418747</v>
      </c>
      <c r="S148" s="677">
        <f t="shared" si="76"/>
        <v>1.0003139604064526</v>
      </c>
      <c r="T148" s="680">
        <f t="shared" si="77"/>
        <v>2.5055070777779423E-2</v>
      </c>
      <c r="U148" s="681">
        <f t="shared" si="89"/>
        <v>0.79649060394223303</v>
      </c>
      <c r="V148" s="682">
        <f t="shared" si="90"/>
        <v>-0.8257504897905299</v>
      </c>
      <c r="W148" s="683">
        <f t="shared" si="78"/>
        <v>-15.721805485687243</v>
      </c>
      <c r="X148" s="684">
        <f t="shared" si="79"/>
        <v>-153.16650286805267</v>
      </c>
      <c r="Y148" s="687">
        <f t="shared" si="80"/>
        <v>26.833497131947325</v>
      </c>
      <c r="AA148" s="170">
        <f t="shared" si="81"/>
        <v>8414.5</v>
      </c>
      <c r="AB148" s="170">
        <f t="shared" si="82"/>
        <v>70803810.25</v>
      </c>
      <c r="AD148" s="686">
        <f t="shared" si="83"/>
        <v>-0.62091760657808703</v>
      </c>
      <c r="AE148" s="687">
        <f t="shared" si="84"/>
        <v>-16.332553631730043</v>
      </c>
      <c r="AG148" s="686">
        <f t="shared" si="85"/>
        <v>46.581700349431202</v>
      </c>
      <c r="AH148" s="687">
        <f t="shared" si="86"/>
        <v>-42.20991313648306</v>
      </c>
      <c r="AJ148" s="170">
        <f t="shared" si="87"/>
        <v>0</v>
      </c>
      <c r="AK148" s="170">
        <f t="shared" si="65"/>
        <v>0</v>
      </c>
      <c r="AM148" s="170" t="str">
        <f t="shared" si="91"/>
        <v>0.74974968463482+0.968181170886745i</v>
      </c>
      <c r="AN148" s="170" t="str">
        <f t="shared" si="92"/>
        <v>1.3178575384235i</v>
      </c>
      <c r="AO148" s="170" t="str">
        <f t="shared" si="93"/>
        <v>0.734662998585523-0.568915579093409i</v>
      </c>
      <c r="AP148" s="170" t="str">
        <f t="shared" si="94"/>
        <v>0.0417083858941967-0.161363528481124i</v>
      </c>
      <c r="AQ148" s="170" t="str">
        <f t="shared" si="95"/>
        <v>0.958291614105803+0.161363528481124i</v>
      </c>
      <c r="AR148" s="170" t="str">
        <f t="shared" si="96"/>
        <v>0.845287881951267-0.142335206951871i</v>
      </c>
    </row>
    <row r="149" spans="7:44">
      <c r="G149" s="691">
        <v>8462.9500000000007</v>
      </c>
      <c r="H149" s="676">
        <f t="shared" si="88"/>
        <v>8.4629500000000011</v>
      </c>
      <c r="I149" s="677">
        <f t="shared" si="66"/>
        <v>7.5124271469645016</v>
      </c>
      <c r="J149" s="678">
        <f t="shared" si="67"/>
        <v>1.4372872827337995</v>
      </c>
      <c r="K149" s="678">
        <f t="shared" si="68"/>
        <v>1.0000684232650336</v>
      </c>
      <c r="L149" s="679">
        <f t="shared" si="69"/>
        <v>1.1697808667328157E-2</v>
      </c>
      <c r="M149" s="678">
        <f t="shared" si="70"/>
        <v>1.0096455380874112</v>
      </c>
      <c r="N149" s="679">
        <f t="shared" si="71"/>
        <v>-0.13833756234821323</v>
      </c>
      <c r="O149" s="677">
        <f t="shared" si="72"/>
        <v>756138.30475317105</v>
      </c>
      <c r="P149" s="680">
        <f t="shared" si="73"/>
        <v>1.5707950042855174</v>
      </c>
      <c r="Q149" s="689">
        <f t="shared" si="97"/>
        <v>3.9107068923469566</v>
      </c>
      <c r="R149" s="690">
        <f t="shared" si="98"/>
        <v>1.3122160924143922</v>
      </c>
      <c r="S149" s="677">
        <f t="shared" si="76"/>
        <v>1.0003175857562625</v>
      </c>
      <c r="T149" s="680">
        <f t="shared" si="77"/>
        <v>2.5199274927693582E-2</v>
      </c>
      <c r="U149" s="681">
        <f t="shared" si="89"/>
        <v>0.79477419525739779</v>
      </c>
      <c r="V149" s="682">
        <f t="shared" si="90"/>
        <v>-0.82965142355662258</v>
      </c>
      <c r="W149" s="683">
        <f t="shared" si="78"/>
        <v>-15.791884100212057</v>
      </c>
      <c r="X149" s="684">
        <f t="shared" si="79"/>
        <v>-153.40123628651301</v>
      </c>
      <c r="Y149" s="687">
        <f t="shared" si="80"/>
        <v>26.598763713486989</v>
      </c>
      <c r="AA149" s="170">
        <f t="shared" si="81"/>
        <v>8462.9500000000007</v>
      </c>
      <c r="AB149" s="170">
        <f t="shared" si="82"/>
        <v>71621522.702500015</v>
      </c>
      <c r="AD149" s="686">
        <f t="shared" si="83"/>
        <v>-0.62422742481595539</v>
      </c>
      <c r="AE149" s="687">
        <f t="shared" si="84"/>
        <v>-16.259292440026357</v>
      </c>
      <c r="AG149" s="686">
        <f t="shared" si="85"/>
        <v>46.552407508622416</v>
      </c>
      <c r="AH149" s="687">
        <f t="shared" si="86"/>
        <v>-42.070893664221913</v>
      </c>
      <c r="AJ149" s="170">
        <f t="shared" si="87"/>
        <v>0</v>
      </c>
      <c r="AK149" s="170">
        <f t="shared" si="65"/>
        <v>0</v>
      </c>
      <c r="AM149" s="170" t="str">
        <f t="shared" si="91"/>
        <v>0.757103489274828+0.970052207397899i</v>
      </c>
      <c r="AN149" s="170" t="str">
        <f t="shared" si="92"/>
        <v>1.32544565390708i</v>
      </c>
      <c r="AO149" s="170" t="str">
        <f t="shared" si="93"/>
        <v>0.731868714902365-0.571206738686779i</v>
      </c>
      <c r="AP149" s="170" t="str">
        <f t="shared" si="94"/>
        <v>0.0404827517875287-0.16167536789965i</v>
      </c>
      <c r="AQ149" s="170" t="str">
        <f t="shared" si="95"/>
        <v>0.959517248212471+0.16167536789965i</v>
      </c>
      <c r="AR149" s="170" t="str">
        <f t="shared" si="96"/>
        <v>0.84417776315166-0.142241059954376i</v>
      </c>
    </row>
    <row r="150" spans="7:44">
      <c r="G150" s="691">
        <v>8511.4</v>
      </c>
      <c r="H150" s="676">
        <f t="shared" si="88"/>
        <v>8.5114000000000001</v>
      </c>
      <c r="I150" s="677">
        <f t="shared" si="66"/>
        <v>7.5546755135474308</v>
      </c>
      <c r="J150" s="678">
        <f t="shared" si="67"/>
        <v>1.4380383418147007</v>
      </c>
      <c r="K150" s="678">
        <f t="shared" si="68"/>
        <v>1.0000692089205252</v>
      </c>
      <c r="L150" s="679">
        <f t="shared" si="69"/>
        <v>1.176477192287459E-2</v>
      </c>
      <c r="M150" s="678">
        <f t="shared" si="70"/>
        <v>1.0097557596786602</v>
      </c>
      <c r="N150" s="679">
        <f t="shared" si="71"/>
        <v>-0.13911938768914955</v>
      </c>
      <c r="O150" s="677">
        <f t="shared" si="72"/>
        <v>760467.16181426996</v>
      </c>
      <c r="P150" s="680">
        <f t="shared" si="73"/>
        <v>1.5707950118137242</v>
      </c>
      <c r="Q150" s="689">
        <f t="shared" si="97"/>
        <v>3.9316354872904076</v>
      </c>
      <c r="R150" s="690">
        <f t="shared" si="98"/>
        <v>1.3136238078745113</v>
      </c>
      <c r="S150" s="677">
        <f t="shared" si="76"/>
        <v>1.0003212319073624</v>
      </c>
      <c r="T150" s="680">
        <f t="shared" si="77"/>
        <v>2.5343478029363858E-2</v>
      </c>
      <c r="U150" s="681">
        <f t="shared" si="89"/>
        <v>0.79305803141439335</v>
      </c>
      <c r="V150" s="682">
        <f t="shared" si="90"/>
        <v>-0.83354226135829668</v>
      </c>
      <c r="W150" s="683">
        <f t="shared" si="78"/>
        <v>-15.861672335771345</v>
      </c>
      <c r="X150" s="684">
        <f t="shared" si="79"/>
        <v>-153.63576247334703</v>
      </c>
      <c r="Y150" s="687">
        <f t="shared" si="80"/>
        <v>26.364237526652971</v>
      </c>
      <c r="AA150" s="170">
        <f t="shared" si="81"/>
        <v>8511.4</v>
      </c>
      <c r="AB150" s="170">
        <f t="shared" si="82"/>
        <v>72443929.959999993</v>
      </c>
      <c r="AD150" s="686">
        <f t="shared" si="83"/>
        <v>-0.62748401220002004</v>
      </c>
      <c r="AE150" s="687">
        <f t="shared" si="84"/>
        <v>-16.18689894577637</v>
      </c>
      <c r="AG150" s="686">
        <f t="shared" si="85"/>
        <v>46.523427474012465</v>
      </c>
      <c r="AH150" s="687">
        <f t="shared" si="86"/>
        <v>-41.931956175184645</v>
      </c>
      <c r="AJ150" s="170">
        <f t="shared" si="87"/>
        <v>0</v>
      </c>
      <c r="AK150" s="170">
        <f t="shared" si="65"/>
        <v>0</v>
      </c>
      <c r="AM150" s="170" t="str">
        <f t="shared" si="91"/>
        <v>0.764471279706549+0.971867389059294i</v>
      </c>
      <c r="AN150" s="170" t="str">
        <f t="shared" si="92"/>
        <v>1.33303376939067i</v>
      </c>
      <c r="AO150" s="170" t="str">
        <f t="shared" si="93"/>
        <v>0.729064342836217-0.573482305745329i</v>
      </c>
      <c r="AP150" s="170" t="str">
        <f t="shared" si="94"/>
        <v>0.0392547867155752-0.161977898176549i</v>
      </c>
      <c r="AQ150" s="170" t="str">
        <f t="shared" si="95"/>
        <v>0.960745213284425+0.161977898176549i</v>
      </c>
      <c r="AR150" s="170" t="str">
        <f t="shared" si="96"/>
        <v>0.843071282701147-0.142138532148493i</v>
      </c>
    </row>
    <row r="151" spans="7:44">
      <c r="G151" s="691">
        <v>8560.9500000000007</v>
      </c>
      <c r="H151" s="676">
        <f t="shared" si="88"/>
        <v>8.5609500000000001</v>
      </c>
      <c r="I151" s="677">
        <f t="shared" si="66"/>
        <v>7.5978874375371497</v>
      </c>
      <c r="J151" s="678">
        <f t="shared" si="67"/>
        <v>1.4387978131693051</v>
      </c>
      <c r="K151" s="678">
        <f t="shared" si="68"/>
        <v>1.0000700170516517</v>
      </c>
      <c r="L151" s="679">
        <f t="shared" si="69"/>
        <v>1.1833255390874162E-2</v>
      </c>
      <c r="M151" s="678">
        <f t="shared" si="70"/>
        <v>1.0098691219725573</v>
      </c>
      <c r="N151" s="679">
        <f t="shared" si="71"/>
        <v>-0.13991878642915312</v>
      </c>
      <c r="O151" s="677">
        <f t="shared" si="72"/>
        <v>764894.30045983149</v>
      </c>
      <c r="P151" s="680">
        <f t="shared" si="73"/>
        <v>1.5707950194247158</v>
      </c>
      <c r="Q151" s="689">
        <f t="shared" si="97"/>
        <v>3.9530472134637322</v>
      </c>
      <c r="R151" s="690">
        <f t="shared" si="98"/>
        <v>1.315048063772041</v>
      </c>
      <c r="S151" s="677">
        <f t="shared" si="76"/>
        <v>1.0003249823548317</v>
      </c>
      <c r="T151" s="680">
        <f t="shared" si="77"/>
        <v>2.5490954001611988E-2</v>
      </c>
      <c r="U151" s="681">
        <f t="shared" si="89"/>
        <v>0.79130323042832573</v>
      </c>
      <c r="V151" s="682">
        <f t="shared" si="90"/>
        <v>-0.83751102842986724</v>
      </c>
      <c r="W151" s="683">
        <f t="shared" si="78"/>
        <v>-15.932748264769058</v>
      </c>
      <c r="X151" s="684">
        <f t="shared" si="79"/>
        <v>-153.87539527523174</v>
      </c>
      <c r="Y151" s="687">
        <f t="shared" si="80"/>
        <v>26.124604724768261</v>
      </c>
      <c r="AA151" s="170">
        <f t="shared" si="81"/>
        <v>8560.9500000000007</v>
      </c>
      <c r="AB151" s="170">
        <f t="shared" si="82"/>
        <v>73289864.902500018</v>
      </c>
      <c r="AD151" s="686">
        <f t="shared" si="83"/>
        <v>-0.63076066886114313</v>
      </c>
      <c r="AE151" s="687">
        <f t="shared" si="84"/>
        <v>-16.113745280684817</v>
      </c>
      <c r="AG151" s="686">
        <f t="shared" si="85"/>
        <v>46.494109359481044</v>
      </c>
      <c r="AH151" s="687">
        <f t="shared" si="86"/>
        <v>-41.7899554354983</v>
      </c>
      <c r="AJ151" s="170">
        <f t="shared" si="87"/>
        <v>0</v>
      </c>
      <c r="AK151" s="170">
        <f t="shared" ref="AK151:AK214" si="99">IF(AJ151&gt;0,Y151,0)</f>
        <v>0</v>
      </c>
      <c r="AM151" s="170" t="str">
        <f t="shared" si="91"/>
        <v>0.772020370692752+0.973665901950423i</v>
      </c>
      <c r="AN151" s="170" t="str">
        <f t="shared" si="92"/>
        <v>1.34079416406996i</v>
      </c>
      <c r="AO151" s="170" t="str">
        <f t="shared" si="93"/>
        <v>0.726185963544826-0.575793355446369i</v>
      </c>
      <c r="AP151" s="170" t="str">
        <f t="shared" si="94"/>
        <v>0.0379966048845413-0.16227765032507i</v>
      </c>
      <c r="AQ151" s="170" t="str">
        <f t="shared" si="95"/>
        <v>0.962003395115459+0.16227765032507i</v>
      </c>
      <c r="AR151" s="170" t="str">
        <f t="shared" si="96"/>
        <v>0.84194349757923-0.142025083474088i</v>
      </c>
    </row>
    <row r="152" spans="7:44">
      <c r="G152" s="691">
        <v>8610.5</v>
      </c>
      <c r="H152" s="676">
        <f t="shared" si="88"/>
        <v>8.6105</v>
      </c>
      <c r="I152" s="677">
        <f t="shared" si="66"/>
        <v>7.641103694395035</v>
      </c>
      <c r="J152" s="678">
        <f t="shared" si="67"/>
        <v>1.4395486941758895</v>
      </c>
      <c r="K152" s="678">
        <f t="shared" si="68"/>
        <v>1.0000708298730843</v>
      </c>
      <c r="L152" s="679">
        <f t="shared" si="69"/>
        <v>1.190173874787314E-2</v>
      </c>
      <c r="M152" s="678">
        <f t="shared" si="70"/>
        <v>1.0099831294664376</v>
      </c>
      <c r="N152" s="679">
        <f t="shared" si="71"/>
        <v>-0.14071800520658578</v>
      </c>
      <c r="O152" s="677">
        <f t="shared" si="72"/>
        <v>769321.43910539302</v>
      </c>
      <c r="P152" s="680">
        <f t="shared" si="73"/>
        <v>1.5707950269481106</v>
      </c>
      <c r="Q152" s="689">
        <f t="shared" si="97"/>
        <v>3.9744668720036938</v>
      </c>
      <c r="R152" s="690">
        <f t="shared" si="98"/>
        <v>1.3164569709712861</v>
      </c>
      <c r="S152" s="677">
        <f t="shared" si="76"/>
        <v>1.0003287545583681</v>
      </c>
      <c r="T152" s="680">
        <f t="shared" si="77"/>
        <v>2.563842886481444E-2</v>
      </c>
      <c r="U152" s="681">
        <f t="shared" si="89"/>
        <v>0.78954883274687782</v>
      </c>
      <c r="V152" s="682">
        <f t="shared" si="90"/>
        <v>-0.84146930701425671</v>
      </c>
      <c r="W152" s="683">
        <f t="shared" si="78"/>
        <v>-16.003527666350085</v>
      </c>
      <c r="X152" s="684">
        <f t="shared" si="79"/>
        <v>-154.11480398271544</v>
      </c>
      <c r="Y152" s="687">
        <f t="shared" si="80"/>
        <v>25.885196017284557</v>
      </c>
      <c r="AA152" s="170">
        <f t="shared" si="81"/>
        <v>8610.5</v>
      </c>
      <c r="AB152" s="170">
        <f t="shared" si="82"/>
        <v>74140710.25</v>
      </c>
      <c r="AD152" s="686">
        <f t="shared" si="83"/>
        <v>-0.63398403305059847</v>
      </c>
      <c r="AE152" s="687">
        <f t="shared" si="84"/>
        <v>-16.041470962664427</v>
      </c>
      <c r="AG152" s="686">
        <f t="shared" si="85"/>
        <v>46.465111037269224</v>
      </c>
      <c r="AH152" s="687">
        <f t="shared" si="86"/>
        <v>-41.648053146439011</v>
      </c>
      <c r="AJ152" s="170">
        <f t="shared" si="87"/>
        <v>0</v>
      </c>
      <c r="AK152" s="170">
        <f t="shared" si="99"/>
        <v>0</v>
      </c>
      <c r="AM152" s="170" t="str">
        <f t="shared" si="91"/>
        <v>0.779583191392684+0.975405777347749i</v>
      </c>
      <c r="AN152" s="170" t="str">
        <f t="shared" si="92"/>
        <v>1.34855455874925i</v>
      </c>
      <c r="AO152" s="170" t="str">
        <f t="shared" si="93"/>
        <v>0.723297230371171-0.578087987864375i</v>
      </c>
      <c r="AP152" s="170" t="str">
        <f t="shared" si="94"/>
        <v>0.036736134767886-0.162567629557958i</v>
      </c>
      <c r="AQ152" s="170" t="str">
        <f t="shared" si="95"/>
        <v>0.963263865232114+0.162567629557958i</v>
      </c>
      <c r="AR152" s="170" t="str">
        <f t="shared" si="96"/>
        <v>0.840819625170672-0.141903021885773i</v>
      </c>
    </row>
    <row r="153" spans="7:44">
      <c r="G153" s="691">
        <v>8660.0499999999993</v>
      </c>
      <c r="H153" s="676">
        <f t="shared" si="88"/>
        <v>8.66005</v>
      </c>
      <c r="I153" s="677">
        <f t="shared" si="66"/>
        <v>7.6843242110175849</v>
      </c>
      <c r="J153" s="678">
        <f t="shared" si="67"/>
        <v>1.4402911289298577</v>
      </c>
      <c r="K153" s="678">
        <f t="shared" si="68"/>
        <v>1.0000716473848119</v>
      </c>
      <c r="L153" s="679">
        <f t="shared" si="69"/>
        <v>1.1970221993229429E-2</v>
      </c>
      <c r="M153" s="678">
        <f t="shared" si="70"/>
        <v>1.010097781941834</v>
      </c>
      <c r="N153" s="679">
        <f t="shared" si="71"/>
        <v>-0.14151704306155402</v>
      </c>
      <c r="O153" s="677">
        <f t="shared" si="72"/>
        <v>773748.57775095454</v>
      </c>
      <c r="P153" s="680">
        <f t="shared" si="73"/>
        <v>1.5707950343854127</v>
      </c>
      <c r="Q153" s="689">
        <f t="shared" si="97"/>
        <v>3.9958943353479239</v>
      </c>
      <c r="R153" s="690">
        <f t="shared" si="98"/>
        <v>1.3178507707495817</v>
      </c>
      <c r="S153" s="677">
        <f t="shared" si="76"/>
        <v>1.0003325485177252</v>
      </c>
      <c r="T153" s="680">
        <f t="shared" si="77"/>
        <v>2.5785902612568985E-2</v>
      </c>
      <c r="U153" s="681">
        <f t="shared" si="89"/>
        <v>0.78779491107253308</v>
      </c>
      <c r="V153" s="682">
        <f t="shared" si="90"/>
        <v>-0.84541713380791172</v>
      </c>
      <c r="W153" s="683">
        <f t="shared" si="78"/>
        <v>-16.074014063222897</v>
      </c>
      <c r="X153" s="684">
        <f t="shared" si="79"/>
        <v>-154.35398507499337</v>
      </c>
      <c r="Y153" s="687">
        <f t="shared" si="80"/>
        <v>25.646014925006625</v>
      </c>
      <c r="AA153" s="170">
        <f t="shared" si="81"/>
        <v>8660.0499999999993</v>
      </c>
      <c r="AB153" s="170">
        <f t="shared" si="82"/>
        <v>74996466.002499983</v>
      </c>
      <c r="AD153" s="686">
        <f t="shared" si="83"/>
        <v>-0.63715526179663295</v>
      </c>
      <c r="AE153" s="687">
        <f t="shared" si="84"/>
        <v>-15.970062167261567</v>
      </c>
      <c r="AG153" s="686">
        <f t="shared" si="85"/>
        <v>46.43642885941</v>
      </c>
      <c r="AH153" s="687">
        <f t="shared" si="86"/>
        <v>-41.50625540655269</v>
      </c>
      <c r="AJ153" s="170">
        <f t="shared" si="87"/>
        <v>0</v>
      </c>
      <c r="AK153" s="170">
        <f t="shared" si="99"/>
        <v>0</v>
      </c>
      <c r="AM153" s="170" t="str">
        <f t="shared" si="91"/>
        <v>0.787159286347391+0.977086910470019i</v>
      </c>
      <c r="AN153" s="170" t="str">
        <f t="shared" si="92"/>
        <v>1.35631495342854i</v>
      </c>
      <c r="AO153" s="170" t="str">
        <f t="shared" si="93"/>
        <v>0.720398243785564-0.58036614899628i</v>
      </c>
      <c r="AP153" s="170" t="str">
        <f t="shared" si="94"/>
        <v>0.0354734522754348-0.16284781841167i</v>
      </c>
      <c r="AQ153" s="170" t="str">
        <f t="shared" si="95"/>
        <v>0.964526547724565+0.16284781841167i</v>
      </c>
      <c r="AR153" s="170" t="str">
        <f t="shared" si="96"/>
        <v>0.839699717824665-0.14177242450323i</v>
      </c>
    </row>
    <row r="154" spans="7:44">
      <c r="G154" s="691">
        <v>8709.6</v>
      </c>
      <c r="H154" s="676">
        <f t="shared" si="88"/>
        <v>8.7096</v>
      </c>
      <c r="I154" s="677">
        <f t="shared" si="66"/>
        <v>7.7275489159296544</v>
      </c>
      <c r="J154" s="678">
        <f t="shared" si="67"/>
        <v>1.4410252583402978</v>
      </c>
      <c r="K154" s="678">
        <f t="shared" si="68"/>
        <v>1.0000724695868226</v>
      </c>
      <c r="L154" s="679">
        <f t="shared" si="69"/>
        <v>1.2038705126300942E-2</v>
      </c>
      <c r="M154" s="678">
        <f t="shared" si="70"/>
        <v>1.010213079179143</v>
      </c>
      <c r="N154" s="679">
        <f t="shared" si="71"/>
        <v>-0.14231589903552305</v>
      </c>
      <c r="O154" s="677">
        <f t="shared" si="72"/>
        <v>778175.71639651619</v>
      </c>
      <c r="P154" s="680">
        <f t="shared" si="73"/>
        <v>1.5707950417380914</v>
      </c>
      <c r="Q154" s="689">
        <f t="shared" si="97"/>
        <v>4.0173294786096125</v>
      </c>
      <c r="R154" s="690">
        <f t="shared" si="98"/>
        <v>1.3192296994723733</v>
      </c>
      <c r="S154" s="677">
        <f t="shared" si="76"/>
        <v>1.0003363642326562</v>
      </c>
      <c r="T154" s="680">
        <f t="shared" si="77"/>
        <v>2.593337523847369E-2</v>
      </c>
      <c r="U154" s="681">
        <f t="shared" si="89"/>
        <v>0.78604153695198875</v>
      </c>
      <c r="V154" s="682">
        <f t="shared" si="90"/>
        <v>-0.8493545459891253</v>
      </c>
      <c r="W154" s="683">
        <f t="shared" si="78"/>
        <v>-16.144210906167359</v>
      </c>
      <c r="X154" s="684">
        <f t="shared" si="79"/>
        <v>-154.59293515781258</v>
      </c>
      <c r="Y154" s="687">
        <f t="shared" si="80"/>
        <v>25.407064842187424</v>
      </c>
      <c r="AA154" s="170">
        <f t="shared" si="81"/>
        <v>8709.6</v>
      </c>
      <c r="AB154" s="170">
        <f t="shared" si="82"/>
        <v>75857132.160000011</v>
      </c>
      <c r="AD154" s="686">
        <f t="shared" si="83"/>
        <v>-0.64027548132672207</v>
      </c>
      <c r="AE154" s="687">
        <f t="shared" si="84"/>
        <v>-15.899505351451115</v>
      </c>
      <c r="AG154" s="686">
        <f t="shared" si="85"/>
        <v>46.408059232329933</v>
      </c>
      <c r="AH154" s="687">
        <f t="shared" si="86"/>
        <v>-41.3645681042929</v>
      </c>
      <c r="AJ154" s="170">
        <f t="shared" si="87"/>
        <v>0</v>
      </c>
      <c r="AK154" s="170">
        <f t="shared" si="99"/>
        <v>0</v>
      </c>
      <c r="AM154" s="170" t="str">
        <f t="shared" si="91"/>
        <v>0.7947481992985+0.978709200073644i</v>
      </c>
      <c r="AN154" s="170" t="str">
        <f t="shared" si="92"/>
        <v>1.36407534810783i</v>
      </c>
      <c r="AO154" s="170" t="str">
        <f t="shared" si="93"/>
        <v>0.717489104565415-0.582627785481888i</v>
      </c>
      <c r="AP154" s="170" t="str">
        <f t="shared" si="94"/>
        <v>0.03420863345025-0.163118200012274i</v>
      </c>
      <c r="AQ154" s="170" t="str">
        <f t="shared" si="95"/>
        <v>0.96579136654975+0.163118200012274i</v>
      </c>
      <c r="AR154" s="170" t="str">
        <f t="shared" si="96"/>
        <v>0.838583826637049-0.141633368342389i</v>
      </c>
    </row>
    <row r="155" spans="7:44">
      <c r="G155" s="691">
        <v>8760.3250000000007</v>
      </c>
      <c r="H155" s="676">
        <f t="shared" si="88"/>
        <v>8.7603249999999999</v>
      </c>
      <c r="I155" s="677">
        <f t="shared" si="66"/>
        <v>7.7718028919427509</v>
      </c>
      <c r="J155" s="678">
        <f t="shared" si="67"/>
        <v>1.4417683372296315</v>
      </c>
      <c r="K155" s="678">
        <f t="shared" si="68"/>
        <v>1.0000733161444795</v>
      </c>
      <c r="L155" s="679">
        <f t="shared" si="69"/>
        <v>1.2108812111743096E-2</v>
      </c>
      <c r="M155" s="678">
        <f t="shared" si="70"/>
        <v>1.0103317781553522</v>
      </c>
      <c r="N155" s="679">
        <f t="shared" si="71"/>
        <v>-0.14313350921636819</v>
      </c>
      <c r="O155" s="677">
        <f t="shared" si="72"/>
        <v>782707.83764366305</v>
      </c>
      <c r="P155" s="680">
        <f t="shared" si="73"/>
        <v>1.5707950491789691</v>
      </c>
      <c r="Q155" s="689">
        <f t="shared" si="97"/>
        <v>4.0392807500464079</v>
      </c>
      <c r="R155" s="690">
        <f t="shared" si="98"/>
        <v>1.3206261648541102</v>
      </c>
      <c r="S155" s="677">
        <f t="shared" si="76"/>
        <v>1.0003402929665195</v>
      </c>
      <c r="T155" s="680">
        <f t="shared" si="77"/>
        <v>2.6084343776057867E-2</v>
      </c>
      <c r="U155" s="681">
        <f t="shared" si="89"/>
        <v>0.78424722500913535</v>
      </c>
      <c r="V155" s="682">
        <f t="shared" si="90"/>
        <v>-0.8533745790018189</v>
      </c>
      <c r="W155" s="683">
        <f t="shared" si="78"/>
        <v>-16.215775950837234</v>
      </c>
      <c r="X155" s="684">
        <f t="shared" si="79"/>
        <v>-154.83730885945968</v>
      </c>
      <c r="Y155" s="687">
        <f t="shared" si="80"/>
        <v>25.162691140540318</v>
      </c>
      <c r="AA155" s="170">
        <f t="shared" si="81"/>
        <v>8760.3250000000007</v>
      </c>
      <c r="AB155" s="170">
        <f t="shared" si="82"/>
        <v>76743294.105625018</v>
      </c>
      <c r="AD155" s="686">
        <f t="shared" si="83"/>
        <v>-0.64341799847278769</v>
      </c>
      <c r="AE155" s="687">
        <f t="shared" si="84"/>
        <v>-15.82814406513365</v>
      </c>
      <c r="AG155" s="686">
        <f t="shared" si="85"/>
        <v>46.379336924721159</v>
      </c>
      <c r="AH155" s="687">
        <f t="shared" si="86"/>
        <v>-41.219641241469915</v>
      </c>
      <c r="AJ155" s="170">
        <f t="shared" si="87"/>
        <v>0</v>
      </c>
      <c r="AK155" s="170">
        <f t="shared" si="99"/>
        <v>0</v>
      </c>
      <c r="AM155" s="170" t="str">
        <f t="shared" si="91"/>
        <v>0.802529871711708+0.980308904597834i</v>
      </c>
      <c r="AN155" s="170" t="str">
        <f t="shared" si="92"/>
        <v>1.37201976829162i</v>
      </c>
      <c r="AO155" s="170" t="str">
        <f t="shared" si="93"/>
        <v>0.714500568616786-0.584925880995857i</v>
      </c>
      <c r="AP155" s="170" t="str">
        <f t="shared" si="94"/>
        <v>0.0329116880480487-0.163384817432972i</v>
      </c>
      <c r="AQ155" s="170" t="str">
        <f t="shared" si="95"/>
        <v>0.967088311951951+0.163384817432972i</v>
      </c>
      <c r="AR155" s="170" t="str">
        <f t="shared" si="96"/>
        <v>0.837445686040482-0.141482332929438i</v>
      </c>
    </row>
    <row r="156" spans="7:44">
      <c r="G156" s="691">
        <v>8811.0499999999993</v>
      </c>
      <c r="H156" s="676">
        <f t="shared" si="88"/>
        <v>8.8110499999999998</v>
      </c>
      <c r="I156" s="677">
        <f t="shared" si="66"/>
        <v>7.8160611106872473</v>
      </c>
      <c r="J156" s="678">
        <f t="shared" si="67"/>
        <v>1.4425030011955986</v>
      </c>
      <c r="K156" s="678">
        <f t="shared" si="68"/>
        <v>1.0000741676174776</v>
      </c>
      <c r="L156" s="679">
        <f t="shared" si="69"/>
        <v>1.2178918978150266E-2</v>
      </c>
      <c r="M156" s="678">
        <f t="shared" si="70"/>
        <v>1.0104511523656805</v>
      </c>
      <c r="N156" s="679">
        <f t="shared" si="71"/>
        <v>-0.143950926759396</v>
      </c>
      <c r="O156" s="677">
        <f t="shared" si="72"/>
        <v>787239.95889080944</v>
      </c>
      <c r="P156" s="680">
        <f t="shared" si="73"/>
        <v>1.5707950565341728</v>
      </c>
      <c r="Q156" s="689">
        <f t="shared" si="97"/>
        <v>4.061239813386436</v>
      </c>
      <c r="R156" s="690">
        <f t="shared" si="98"/>
        <v>1.3220075315703039</v>
      </c>
      <c r="S156" s="677">
        <f t="shared" si="76"/>
        <v>1.0003442444994586</v>
      </c>
      <c r="T156" s="680">
        <f t="shared" si="77"/>
        <v>2.623531112437907E-2</v>
      </c>
      <c r="U156" s="681">
        <f t="shared" si="89"/>
        <v>0.78245363495716647</v>
      </c>
      <c r="V156" s="682">
        <f t="shared" si="90"/>
        <v>-0.857383777959416</v>
      </c>
      <c r="W156" s="683">
        <f t="shared" si="78"/>
        <v>-16.287044642041273</v>
      </c>
      <c r="X156" s="684">
        <f t="shared" si="79"/>
        <v>-155.08143366213039</v>
      </c>
      <c r="Y156" s="687">
        <f t="shared" si="80"/>
        <v>24.918566337869606</v>
      </c>
      <c r="AA156" s="170">
        <f t="shared" si="81"/>
        <v>8811.0499999999993</v>
      </c>
      <c r="AB156" s="170">
        <f t="shared" si="82"/>
        <v>77634602.102499992</v>
      </c>
      <c r="AD156" s="686">
        <f t="shared" si="83"/>
        <v>-0.64650935230035678</v>
      </c>
      <c r="AE156" s="687">
        <f t="shared" si="84"/>
        <v>-15.757647795580578</v>
      </c>
      <c r="AG156" s="686">
        <f t="shared" si="85"/>
        <v>46.350934715964065</v>
      </c>
      <c r="AH156" s="687">
        <f t="shared" si="86"/>
        <v>-41.074841954171582</v>
      </c>
      <c r="AJ156" s="170">
        <f t="shared" si="87"/>
        <v>0</v>
      </c>
      <c r="AK156" s="170">
        <f t="shared" si="99"/>
        <v>0</v>
      </c>
      <c r="AM156" s="170" t="str">
        <f t="shared" si="91"/>
        <v>0.81032400715194+0.981846738415473i</v>
      </c>
      <c r="AN156" s="170" t="str">
        <f t="shared" si="92"/>
        <v>1.37996418847542i</v>
      </c>
      <c r="AO156" s="170" t="str">
        <f t="shared" si="93"/>
        <v>0.711501607516507-0.587206547763521i</v>
      </c>
      <c r="AP156" s="170" t="str">
        <f t="shared" si="94"/>
        <v>0.0316126654746767-0.163641123069245i</v>
      </c>
      <c r="AQ156" s="170" t="str">
        <f t="shared" si="95"/>
        <v>0.968387334525323+0.163641123069245i</v>
      </c>
      <c r="AR156" s="170" t="str">
        <f t="shared" si="96"/>
        <v>0.836311858740311-0.141322595743649i</v>
      </c>
    </row>
    <row r="157" spans="7:44">
      <c r="G157" s="691">
        <v>8861.7749999999996</v>
      </c>
      <c r="H157" s="676">
        <f t="shared" si="88"/>
        <v>8.8617749999999997</v>
      </c>
      <c r="I157" s="677">
        <f t="shared" si="66"/>
        <v>7.8603235004959719</v>
      </c>
      <c r="J157" s="678">
        <f t="shared" si="67"/>
        <v>1.4432293915946002</v>
      </c>
      <c r="K157" s="678">
        <f t="shared" si="68"/>
        <v>1.0000750240058047</v>
      </c>
      <c r="L157" s="679">
        <f t="shared" si="69"/>
        <v>1.2249025724833613E-2</v>
      </c>
      <c r="M157" s="678">
        <f t="shared" si="70"/>
        <v>1.0105712015708408</v>
      </c>
      <c r="N157" s="679">
        <f t="shared" si="71"/>
        <v>-0.14476815064071719</v>
      </c>
      <c r="O157" s="677">
        <f t="shared" si="72"/>
        <v>791772.08013795619</v>
      </c>
      <c r="P157" s="680">
        <f t="shared" si="73"/>
        <v>1.5707950638051738</v>
      </c>
      <c r="Q157" s="689">
        <f t="shared" si="97"/>
        <v>4.0832065429175461</v>
      </c>
      <c r="R157" s="690">
        <f t="shared" si="98"/>
        <v>1.3233740379884475</v>
      </c>
      <c r="S157" s="677">
        <f t="shared" si="76"/>
        <v>1.0003482188312034</v>
      </c>
      <c r="T157" s="680">
        <f t="shared" si="77"/>
        <v>2.6386277276570013E-2</v>
      </c>
      <c r="U157" s="681">
        <f t="shared" si="89"/>
        <v>0.78066083984075663</v>
      </c>
      <c r="V157" s="682">
        <f t="shared" si="90"/>
        <v>-0.86138218424178359</v>
      </c>
      <c r="W157" s="683">
        <f t="shared" si="78"/>
        <v>-16.358020460204997</v>
      </c>
      <c r="X157" s="684">
        <f t="shared" si="79"/>
        <v>-155.32530631945599</v>
      </c>
      <c r="Y157" s="687">
        <f t="shared" si="80"/>
        <v>24.67469368054401</v>
      </c>
      <c r="AA157" s="170">
        <f t="shared" si="81"/>
        <v>8861.7749999999996</v>
      </c>
      <c r="AB157" s="170">
        <f t="shared" si="82"/>
        <v>78531056.15062499</v>
      </c>
      <c r="AD157" s="686">
        <f t="shared" si="83"/>
        <v>-0.64955065697997483</v>
      </c>
      <c r="AE157" s="687">
        <f t="shared" si="84"/>
        <v>-15.688002885031356</v>
      </c>
      <c r="AG157" s="686">
        <f t="shared" si="85"/>
        <v>46.322848921442073</v>
      </c>
      <c r="AH157" s="687">
        <f t="shared" si="86"/>
        <v>-40.930175912006291</v>
      </c>
      <c r="AJ157" s="170">
        <f t="shared" si="87"/>
        <v>0</v>
      </c>
      <c r="AK157" s="170">
        <f t="shared" si="99"/>
        <v>0</v>
      </c>
      <c r="AM157" s="170" t="str">
        <f t="shared" si="91"/>
        <v>0.818130113704165+0.983322604468513i</v>
      </c>
      <c r="AN157" s="170" t="str">
        <f t="shared" si="92"/>
        <v>1.38790860865921i</v>
      </c>
      <c r="AO157" s="170" t="str">
        <f t="shared" si="93"/>
        <v>0.708492330354844-0.589469730643518i</v>
      </c>
      <c r="AP157" s="170" t="str">
        <f t="shared" si="94"/>
        <v>0.0303116477159725-0.163887100744752i</v>
      </c>
      <c r="AQ157" s="170" t="str">
        <f t="shared" si="95"/>
        <v>0.969688352284027+0.163887100744752i</v>
      </c>
      <c r="AR157" s="170" t="str">
        <f t="shared" si="96"/>
        <v>0.835182395570764-0.141154238968375i</v>
      </c>
    </row>
    <row r="158" spans="7:44">
      <c r="G158" s="688">
        <v>8912.5</v>
      </c>
      <c r="H158" s="676">
        <f t="shared" si="88"/>
        <v>8.9124999999999996</v>
      </c>
      <c r="I158" s="677">
        <f t="shared" si="66"/>
        <v>7.9045899913002895</v>
      </c>
      <c r="J158" s="678">
        <f t="shared" si="67"/>
        <v>1.4439476466519707</v>
      </c>
      <c r="K158" s="678">
        <f t="shared" si="68"/>
        <v>1.000075885309448</v>
      </c>
      <c r="L158" s="679">
        <f t="shared" si="69"/>
        <v>1.2319132351104304E-2</v>
      </c>
      <c r="M158" s="678">
        <f t="shared" si="70"/>
        <v>1.0106919255303073</v>
      </c>
      <c r="N158" s="679">
        <f t="shared" si="71"/>
        <v>-0.14558517983796213</v>
      </c>
      <c r="O158" s="677">
        <f t="shared" si="72"/>
        <v>796304.20138510293</v>
      </c>
      <c r="P158" s="680">
        <f t="shared" si="73"/>
        <v>1.57079507099341</v>
      </c>
      <c r="Q158" s="689">
        <f t="shared" ref="Q158:Q214" si="100">SQRT(1+(G158/Zero2)^2)</f>
        <v>4.1051808155748963</v>
      </c>
      <c r="R158" s="690">
        <f t="shared" ref="R158:R214" si="101">ATAN(G158/Zero2)</f>
        <v>1.3247259175969606</v>
      </c>
      <c r="S158" s="677">
        <f t="shared" si="76"/>
        <v>1.0003522159614819</v>
      </c>
      <c r="T158" s="680">
        <f t="shared" si="77"/>
        <v>2.6537242225763712E-2</v>
      </c>
      <c r="U158" s="681">
        <f t="shared" si="89"/>
        <v>0.77886891146990422</v>
      </c>
      <c r="V158" s="682">
        <f t="shared" si="90"/>
        <v>-0.86536983970735137</v>
      </c>
      <c r="W158" s="683">
        <f t="shared" si="78"/>
        <v>-16.428706815008599</v>
      </c>
      <c r="X158" s="684">
        <f t="shared" si="79"/>
        <v>-155.56892371272599</v>
      </c>
      <c r="Y158" s="687">
        <f t="shared" si="80"/>
        <v>24.43107628727401</v>
      </c>
      <c r="AA158" s="170">
        <f t="shared" si="81"/>
        <v>8912.5</v>
      </c>
      <c r="AB158" s="170">
        <f t="shared" si="82"/>
        <v>79432656.25</v>
      </c>
      <c r="AD158" s="686">
        <f t="shared" si="83"/>
        <v>-0.65254299692928908</v>
      </c>
      <c r="AE158" s="687">
        <f t="shared" si="84"/>
        <v>-15.619195955273945</v>
      </c>
      <c r="AG158" s="686">
        <f t="shared" si="85"/>
        <v>46.295075912019342</v>
      </c>
      <c r="AH158" s="687">
        <f t="shared" si="86"/>
        <v>-40.785648577852974</v>
      </c>
      <c r="AJ158" s="170">
        <f t="shared" si="87"/>
        <v>0</v>
      </c>
      <c r="AK158" s="170">
        <f t="shared" si="99"/>
        <v>0</v>
      </c>
      <c r="AM158" s="170" t="str">
        <f t="shared" si="91"/>
        <v>0.825947698697841+0.984736409609913i</v>
      </c>
      <c r="AN158" s="170" t="str">
        <f t="shared" si="92"/>
        <v>1.395853028843i</v>
      </c>
      <c r="AO158" s="170" t="str">
        <f t="shared" si="93"/>
        <v>0.705472846540402-0.59171537520856i</v>
      </c>
      <c r="AP158" s="170" t="str">
        <f t="shared" si="94"/>
        <v>0.0290087168836932-0.164122734934985i</v>
      </c>
      <c r="AQ158" s="170" t="str">
        <f t="shared" si="95"/>
        <v>0.970991283116307+0.164122734934985i</v>
      </c>
      <c r="AR158" s="170" t="str">
        <f t="shared" si="96"/>
        <v>0.83405734605623-0.140977344603996i</v>
      </c>
    </row>
    <row r="159" spans="7:44">
      <c r="G159" s="688">
        <v>8964.4</v>
      </c>
      <c r="H159" s="676">
        <f t="shared" si="88"/>
        <v>8.9643999999999995</v>
      </c>
      <c r="I159" s="677">
        <f t="shared" si="66"/>
        <v>7.9498860495591117</v>
      </c>
      <c r="J159" s="678">
        <f t="shared" si="67"/>
        <v>1.4446742602351605</v>
      </c>
      <c r="K159" s="678">
        <f t="shared" si="68"/>
        <v>1.0000767716518428</v>
      </c>
      <c r="L159" s="679">
        <f t="shared" si="69"/>
        <v>1.2390862810349393E-2</v>
      </c>
      <c r="M159" s="678">
        <f t="shared" si="70"/>
        <v>1.0108161440823906</v>
      </c>
      <c r="N159" s="679">
        <f t="shared" si="71"/>
        <v>-0.14642093223221297</v>
      </c>
      <c r="O159" s="677">
        <f t="shared" si="72"/>
        <v>800941.30523383478</v>
      </c>
      <c r="P159" s="680">
        <f t="shared" si="73"/>
        <v>1.5707950782639575</v>
      </c>
      <c r="Q159" s="689">
        <f t="shared" si="100"/>
        <v>4.127671784519328</v>
      </c>
      <c r="R159" s="690">
        <f t="shared" si="101"/>
        <v>1.326094211886877</v>
      </c>
      <c r="S159" s="677">
        <f t="shared" si="76"/>
        <v>1.0003563292782942</v>
      </c>
      <c r="T159" s="680">
        <f t="shared" si="77"/>
        <v>2.6691702892913508E-2</v>
      </c>
      <c r="U159" s="681">
        <f t="shared" si="89"/>
        <v>0.77703644536171768</v>
      </c>
      <c r="V159" s="682">
        <f t="shared" si="90"/>
        <v>-0.86943878260027807</v>
      </c>
      <c r="W159" s="683">
        <f t="shared" si="78"/>
        <v>-16.500734442401459</v>
      </c>
      <c r="X159" s="684">
        <f t="shared" si="79"/>
        <v>-155.81791696479596</v>
      </c>
      <c r="Y159" s="687">
        <f t="shared" si="80"/>
        <v>24.182083035204045</v>
      </c>
      <c r="AA159" s="170">
        <f t="shared" si="81"/>
        <v>8964.4</v>
      </c>
      <c r="AB159" s="170">
        <f t="shared" si="82"/>
        <v>80360467.359999999</v>
      </c>
      <c r="AD159" s="686">
        <f t="shared" si="83"/>
        <v>-0.65555507342838382</v>
      </c>
      <c r="AE159" s="687">
        <f t="shared" si="84"/>
        <v>-15.549648828150554</v>
      </c>
      <c r="AG159" s="686">
        <f t="shared" si="85"/>
        <v>46.266979574291305</v>
      </c>
      <c r="AH159" s="687">
        <f t="shared" si="86"/>
        <v>-40.637922446824632</v>
      </c>
      <c r="AJ159" s="170">
        <f t="shared" si="87"/>
        <v>0</v>
      </c>
      <c r="AK159" s="170">
        <f t="shared" si="99"/>
        <v>0</v>
      </c>
      <c r="AM159" s="170" t="str">
        <f t="shared" si="91"/>
        <v>0.833957736905146+0.986118637318218i</v>
      </c>
      <c r="AN159" s="170" t="str">
        <f t="shared" si="92"/>
        <v>1.4039814745313i</v>
      </c>
      <c r="AO159" s="170" t="str">
        <f t="shared" si="93"/>
        <v>0.702372969449202-0.593994829727758i</v>
      </c>
      <c r="AP159" s="170" t="str">
        <f t="shared" si="94"/>
        <v>0.027673710515809-0.164353106219703i</v>
      </c>
      <c r="AQ159" s="170" t="str">
        <f t="shared" si="95"/>
        <v>0.972326289484191+0.164353106219703i</v>
      </c>
      <c r="AR159" s="170" t="str">
        <f t="shared" si="96"/>
        <v>0.832910854254376-0.140787601426917i</v>
      </c>
    </row>
    <row r="160" spans="7:44">
      <c r="G160" s="688">
        <v>9016.2999999999993</v>
      </c>
      <c r="H160" s="676">
        <f t="shared" si="88"/>
        <v>9.0162999999999993</v>
      </c>
      <c r="I160" s="677">
        <f t="shared" si="66"/>
        <v>7.9951862575378412</v>
      </c>
      <c r="J160" s="678">
        <f t="shared" si="67"/>
        <v>1.4453926403029695</v>
      </c>
      <c r="K160" s="678">
        <f t="shared" si="68"/>
        <v>1.0000776631398822</v>
      </c>
      <c r="L160" s="679">
        <f t="shared" si="69"/>
        <v>1.2462593142079793E-2</v>
      </c>
      <c r="M160" s="678">
        <f t="shared" si="70"/>
        <v>1.0109410684976259</v>
      </c>
      <c r="N160" s="679">
        <f t="shared" si="71"/>
        <v>-0.14725647865809793</v>
      </c>
      <c r="O160" s="677">
        <f t="shared" si="72"/>
        <v>805578.4090825665</v>
      </c>
      <c r="P160" s="680">
        <f t="shared" si="73"/>
        <v>1.570795085450803</v>
      </c>
      <c r="Q160" s="689">
        <f t="shared" si="100"/>
        <v>4.1501703976433273</v>
      </c>
      <c r="R160" s="690">
        <f t="shared" si="101"/>
        <v>1.3274476732855751</v>
      </c>
      <c r="S160" s="677">
        <f t="shared" si="76"/>
        <v>1.0003604664615089</v>
      </c>
      <c r="T160" s="680">
        <f t="shared" si="77"/>
        <v>2.6846162286144764E-2</v>
      </c>
      <c r="U160" s="681">
        <f t="shared" si="89"/>
        <v>0.77520503479299496</v>
      </c>
      <c r="V160" s="682">
        <f t="shared" si="90"/>
        <v>-0.87349656097741313</v>
      </c>
      <c r="W160" s="683">
        <f t="shared" si="78"/>
        <v>-16.572466043864178</v>
      </c>
      <c r="X160" s="684">
        <f t="shared" si="79"/>
        <v>-156.06663678201539</v>
      </c>
      <c r="Y160" s="687">
        <f t="shared" si="80"/>
        <v>23.933363217984606</v>
      </c>
      <c r="AA160" s="170">
        <f t="shared" si="81"/>
        <v>9016.2999999999993</v>
      </c>
      <c r="AB160" s="170">
        <f t="shared" si="82"/>
        <v>81293665.689999983</v>
      </c>
      <c r="AD160" s="686">
        <f t="shared" si="83"/>
        <v>-0.65851809587806298</v>
      </c>
      <c r="AE160" s="687">
        <f t="shared" si="84"/>
        <v>-15.480951485307003</v>
      </c>
      <c r="AG160" s="686">
        <f t="shared" si="85"/>
        <v>46.239203167350908</v>
      </c>
      <c r="AH160" s="687">
        <f t="shared" si="86"/>
        <v>-40.490352455937725</v>
      </c>
      <c r="AJ160" s="170">
        <f t="shared" si="87"/>
        <v>0</v>
      </c>
      <c r="AK160" s="170">
        <f t="shared" si="99"/>
        <v>0</v>
      </c>
      <c r="AM160" s="170" t="str">
        <f t="shared" si="91"/>
        <v>0.841978745734904+0.987435710920203i</v>
      </c>
      <c r="AN160" s="170" t="str">
        <f t="shared" si="92"/>
        <v>1.4121099202196i</v>
      </c>
      <c r="AO160" s="170" t="str">
        <f t="shared" si="93"/>
        <v>0.699262640097199-0.596255811023526i</v>
      </c>
      <c r="AP160" s="170" t="str">
        <f t="shared" si="94"/>
        <v>0.0263368757108493-0.1645726184867i</v>
      </c>
      <c r="AQ160" s="170" t="str">
        <f t="shared" si="95"/>
        <v>0.973663124289151+0.1645726184867i</v>
      </c>
      <c r="AR160" s="170" t="str">
        <f t="shared" si="96"/>
        <v>0.831769083718958-0.1405890935675i</v>
      </c>
    </row>
    <row r="161" spans="7:44">
      <c r="G161" s="688">
        <v>9068.2000000000007</v>
      </c>
      <c r="H161" s="676">
        <f t="shared" si="88"/>
        <v>9.0682000000000009</v>
      </c>
      <c r="I161" s="677">
        <f t="shared" si="66"/>
        <v>8.0404905450977839</v>
      </c>
      <c r="J161" s="678">
        <f t="shared" si="67"/>
        <v>1.4461029252832598</v>
      </c>
      <c r="K161" s="678">
        <f t="shared" si="68"/>
        <v>1.0000785597735524</v>
      </c>
      <c r="L161" s="679">
        <f t="shared" si="69"/>
        <v>1.2534323345557707E-2</v>
      </c>
      <c r="M161" s="678">
        <f t="shared" si="70"/>
        <v>1.0110666985143704</v>
      </c>
      <c r="N161" s="679">
        <f t="shared" si="71"/>
        <v>-0.14809181802552759</v>
      </c>
      <c r="O161" s="677">
        <f t="shared" si="72"/>
        <v>810215.51293129846</v>
      </c>
      <c r="P161" s="680">
        <f t="shared" si="73"/>
        <v>1.5707950925553837</v>
      </c>
      <c r="Q161" s="689">
        <f t="shared" si="100"/>
        <v>4.1726765312971699</v>
      </c>
      <c r="R161" s="690">
        <f t="shared" si="101"/>
        <v>1.3287865368059908</v>
      </c>
      <c r="S161" s="677">
        <f t="shared" si="76"/>
        <v>1.00036462751083</v>
      </c>
      <c r="T161" s="680">
        <f t="shared" si="77"/>
        <v>2.7000620398103237E-2</v>
      </c>
      <c r="U161" s="681">
        <f t="shared" si="89"/>
        <v>0.77337475272815748</v>
      </c>
      <c r="V161" s="682">
        <f t="shared" si="90"/>
        <v>-0.87754322114875793</v>
      </c>
      <c r="W161" s="683">
        <f t="shared" si="78"/>
        <v>-16.643905053966851</v>
      </c>
      <c r="X161" s="684">
        <f t="shared" si="79"/>
        <v>-156.31508022108056</v>
      </c>
      <c r="Y161" s="687">
        <f t="shared" si="80"/>
        <v>23.684919778919436</v>
      </c>
      <c r="AA161" s="170">
        <f t="shared" si="81"/>
        <v>9068.2000000000007</v>
      </c>
      <c r="AB161" s="170">
        <f t="shared" si="82"/>
        <v>82232251.24000001</v>
      </c>
      <c r="AD161" s="686">
        <f t="shared" si="83"/>
        <v>-0.66143313511330804</v>
      </c>
      <c r="AE161" s="687">
        <f t="shared" si="84"/>
        <v>-15.413090461154889</v>
      </c>
      <c r="AG161" s="686">
        <f t="shared" si="85"/>
        <v>46.21174297776836</v>
      </c>
      <c r="AH161" s="687">
        <f t="shared" si="86"/>
        <v>-40.342943820741652</v>
      </c>
      <c r="AJ161" s="170">
        <f t="shared" si="87"/>
        <v>0</v>
      </c>
      <c r="AK161" s="170">
        <f t="shared" si="99"/>
        <v>0</v>
      </c>
      <c r="AM161" s="170" t="str">
        <f t="shared" si="91"/>
        <v>0.85001019522891+0.988687543395147i</v>
      </c>
      <c r="AN161" s="170" t="str">
        <f t="shared" si="92"/>
        <v>1.4202383659079i</v>
      </c>
      <c r="AO161" s="170" t="str">
        <f t="shared" si="93"/>
        <v>0.696141976676654-0.59849826313172i</v>
      </c>
      <c r="AP161" s="170" t="str">
        <f t="shared" si="94"/>
        <v>0.0249983007951817-0.164781257232524i</v>
      </c>
      <c r="AQ161" s="170" t="str">
        <f t="shared" si="95"/>
        <v>0.975001699204818+0.164781257232524i</v>
      </c>
      <c r="AR161" s="170" t="str">
        <f t="shared" si="96"/>
        <v>0.830632083350663-0.140381908158542i</v>
      </c>
    </row>
    <row r="162" spans="7:44">
      <c r="G162" s="688">
        <v>9120.1</v>
      </c>
      <c r="H162" s="676">
        <f t="shared" si="88"/>
        <v>9.1201000000000008</v>
      </c>
      <c r="I162" s="677">
        <f t="shared" si="66"/>
        <v>8.0857988436659269</v>
      </c>
      <c r="J162" s="678">
        <f t="shared" si="67"/>
        <v>1.4468052505342965</v>
      </c>
      <c r="K162" s="678">
        <f t="shared" si="68"/>
        <v>1.0000794615528397</v>
      </c>
      <c r="L162" s="679">
        <f t="shared" si="69"/>
        <v>1.2606053420045341E-2</v>
      </c>
      <c r="M162" s="678">
        <f t="shared" si="70"/>
        <v>1.0111930338696333</v>
      </c>
      <c r="N162" s="679">
        <f t="shared" si="71"/>
        <v>-0.14892694924610855</v>
      </c>
      <c r="O162" s="677">
        <f t="shared" si="72"/>
        <v>814852.61678003031</v>
      </c>
      <c r="P162" s="680">
        <f t="shared" si="73"/>
        <v>1.570795099579104</v>
      </c>
      <c r="Q162" s="689">
        <f t="shared" si="100"/>
        <v>4.1951900644436337</v>
      </c>
      <c r="R162" s="690">
        <f t="shared" si="101"/>
        <v>1.3301110326281393</v>
      </c>
      <c r="S162" s="677">
        <f t="shared" si="76"/>
        <v>1.0003688124259595</v>
      </c>
      <c r="T162" s="680">
        <f t="shared" si="77"/>
        <v>2.7155077221435047E-2</v>
      </c>
      <c r="U162" s="681">
        <f t="shared" si="89"/>
        <v>0.77154567082030578</v>
      </c>
      <c r="V162" s="682">
        <f t="shared" si="90"/>
        <v>-0.8815788098948294</v>
      </c>
      <c r="W162" s="683">
        <f t="shared" si="78"/>
        <v>-16.715054837889369</v>
      </c>
      <c r="X162" s="684">
        <f t="shared" si="79"/>
        <v>-156.56324446677257</v>
      </c>
      <c r="Y162" s="687">
        <f t="shared" si="80"/>
        <v>23.436755533227426</v>
      </c>
      <c r="AA162" s="170">
        <f t="shared" si="81"/>
        <v>9120.1</v>
      </c>
      <c r="AB162" s="170">
        <f t="shared" si="82"/>
        <v>83176224.010000005</v>
      </c>
      <c r="AD162" s="686">
        <f t="shared" si="83"/>
        <v>-0.66430123330222379</v>
      </c>
      <c r="AE162" s="687">
        <f t="shared" si="84"/>
        <v>-15.346052567009904</v>
      </c>
      <c r="AG162" s="686">
        <f t="shared" si="85"/>
        <v>46.184595348576288</v>
      </c>
      <c r="AH162" s="687">
        <f t="shared" si="86"/>
        <v>-40.195701554049485</v>
      </c>
      <c r="AJ162" s="170">
        <f t="shared" si="87"/>
        <v>0</v>
      </c>
      <c r="AK162" s="170">
        <f t="shared" si="99"/>
        <v>0</v>
      </c>
      <c r="AM162" s="170" t="str">
        <f t="shared" si="91"/>
        <v>0.858051554739123+0.989874052032894i</v>
      </c>
      <c r="AN162" s="170" t="str">
        <f t="shared" si="92"/>
        <v>1.42836681159619i</v>
      </c>
      <c r="AO162" s="170" t="str">
        <f t="shared" si="93"/>
        <v>0.69301109770726-0.600722130879152i</v>
      </c>
      <c r="AP162" s="170" t="str">
        <f t="shared" si="94"/>
        <v>0.0236580742101462-0.164979008672149i</v>
      </c>
      <c r="AQ162" s="170" t="str">
        <f t="shared" si="95"/>
        <v>0.976341925789854+0.164979008672149i</v>
      </c>
      <c r="AR162" s="170" t="str">
        <f t="shared" si="96"/>
        <v>0.829499900690569-0.140166132063688i</v>
      </c>
    </row>
    <row r="163" spans="7:44">
      <c r="G163" s="688">
        <v>9173.2000000000007</v>
      </c>
      <c r="H163" s="676">
        <f t="shared" si="88"/>
        <v>9.1732000000000014</v>
      </c>
      <c r="I163" s="677">
        <f t="shared" si="66"/>
        <v>8.1321588142230326</v>
      </c>
      <c r="J163" s="678">
        <f t="shared" si="67"/>
        <v>1.4475157146400557</v>
      </c>
      <c r="K163" s="678">
        <f t="shared" si="68"/>
        <v>1.000080389507954</v>
      </c>
      <c r="L163" s="679">
        <f t="shared" si="69"/>
        <v>1.2679441859097201E-2</v>
      </c>
      <c r="M163" s="678">
        <f t="shared" si="70"/>
        <v>1.0113230199875449</v>
      </c>
      <c r="N163" s="679">
        <f t="shared" si="71"/>
        <v>-0.14978117330429441</v>
      </c>
      <c r="O163" s="677">
        <f t="shared" si="72"/>
        <v>819596.93690272153</v>
      </c>
      <c r="P163" s="680">
        <f t="shared" si="73"/>
        <v>1.5707951066829673</v>
      </c>
      <c r="Q163" s="689">
        <f t="shared" si="100"/>
        <v>4.2182316762457566</v>
      </c>
      <c r="R163" s="690">
        <f t="shared" si="101"/>
        <v>1.331451517909126</v>
      </c>
      <c r="S163" s="677">
        <f t="shared" si="76"/>
        <v>1.000373118801724</v>
      </c>
      <c r="T163" s="680">
        <f t="shared" si="77"/>
        <v>2.7313103959465127E-2</v>
      </c>
      <c r="U163" s="681">
        <f t="shared" si="89"/>
        <v>0.76967561346790758</v>
      </c>
      <c r="V163" s="682">
        <f t="shared" si="90"/>
        <v>-0.88569629795479676</v>
      </c>
      <c r="W163" s="683">
        <f t="shared" si="78"/>
        <v>-16.787553807912097</v>
      </c>
      <c r="X163" s="684">
        <f t="shared" si="79"/>
        <v>-156.8168548583802</v>
      </c>
      <c r="Y163" s="687">
        <f t="shared" si="80"/>
        <v>23.183145141619804</v>
      </c>
      <c r="AA163" s="170">
        <f t="shared" si="81"/>
        <v>9173.2000000000007</v>
      </c>
      <c r="AB163" s="170">
        <f t="shared" si="82"/>
        <v>84147598.24000001</v>
      </c>
      <c r="AD163" s="686">
        <f t="shared" si="83"/>
        <v>-0.66718812208321865</v>
      </c>
      <c r="AE163" s="687">
        <f t="shared" si="84"/>
        <v>-15.278303089993276</v>
      </c>
      <c r="AG163" s="686">
        <f t="shared" si="85"/>
        <v>46.157139756909814</v>
      </c>
      <c r="AH163" s="687">
        <f t="shared" si="86"/>
        <v>-40.045232046071312</v>
      </c>
      <c r="AJ163" s="170">
        <f t="shared" si="87"/>
        <v>0</v>
      </c>
      <c r="AK163" s="170">
        <f t="shared" si="99"/>
        <v>0</v>
      </c>
      <c r="AM163" s="170" t="str">
        <f t="shared" si="91"/>
        <v>0.866288543888795+0.991020305798333i</v>
      </c>
      <c r="AN163" s="170" t="str">
        <f t="shared" si="92"/>
        <v>1.43668319822526i</v>
      </c>
      <c r="AO163" s="170" t="str">
        <f t="shared" si="93"/>
        <v>0.689797379841669-0.602978126951665i</v>
      </c>
      <c r="AP163" s="170" t="str">
        <f t="shared" si="94"/>
        <v>0.0222852426852008-0.165170050966389i</v>
      </c>
      <c r="AQ163" s="170" t="str">
        <f t="shared" si="95"/>
        <v>0.977714757314799+0.165170050966389i</v>
      </c>
      <c r="AR163" s="170" t="str">
        <f t="shared" si="96"/>
        <v>0.828346574656791-0.139936566294298i</v>
      </c>
    </row>
    <row r="164" spans="7:44">
      <c r="G164" s="688">
        <v>9226.2999999999993</v>
      </c>
      <c r="H164" s="676">
        <f t="shared" si="88"/>
        <v>9.2262999999999984</v>
      </c>
      <c r="I164" s="677">
        <f t="shared" si="66"/>
        <v>8.17852284302535</v>
      </c>
      <c r="J164" s="678">
        <f t="shared" si="67"/>
        <v>1.4482181238579763</v>
      </c>
      <c r="K164" s="678">
        <f t="shared" si="68"/>
        <v>1.0000813228493539</v>
      </c>
      <c r="L164" s="679">
        <f t="shared" si="69"/>
        <v>1.2752830161562518E-2</v>
      </c>
      <c r="M164" s="678">
        <f t="shared" si="70"/>
        <v>1.0114537438766009</v>
      </c>
      <c r="N164" s="679">
        <f t="shared" si="71"/>
        <v>-0.15063517717958444</v>
      </c>
      <c r="O164" s="677">
        <f t="shared" si="72"/>
        <v>824341.2570254124</v>
      </c>
      <c r="P164" s="680">
        <f t="shared" si="73"/>
        <v>1.5707951137050609</v>
      </c>
      <c r="Q164" s="689">
        <f t="shared" si="100"/>
        <v>4.2412807854268424</v>
      </c>
      <c r="R164" s="690">
        <f t="shared" si="101"/>
        <v>1.3327774358995701</v>
      </c>
      <c r="S164" s="677">
        <f t="shared" si="76"/>
        <v>1.0003774501590406</v>
      </c>
      <c r="T164" s="680">
        <f t="shared" si="77"/>
        <v>2.747112933301743E-2</v>
      </c>
      <c r="U164" s="681">
        <f t="shared" si="89"/>
        <v>0.7678069600008337</v>
      </c>
      <c r="V164" s="682">
        <f t="shared" si="90"/>
        <v>-0.8898022972187466</v>
      </c>
      <c r="W164" s="683">
        <f t="shared" si="78"/>
        <v>-16.859756934848495</v>
      </c>
      <c r="X164" s="684">
        <f t="shared" si="79"/>
        <v>-157.07016743306471</v>
      </c>
      <c r="Y164" s="687">
        <f t="shared" si="80"/>
        <v>22.929832566935289</v>
      </c>
      <c r="AA164" s="170">
        <f t="shared" si="81"/>
        <v>9226.2999999999993</v>
      </c>
      <c r="AB164" s="170">
        <f t="shared" si="82"/>
        <v>85124611.689999983</v>
      </c>
      <c r="AD164" s="686">
        <f t="shared" si="83"/>
        <v>-0.67002799308521432</v>
      </c>
      <c r="AE164" s="687">
        <f t="shared" si="84"/>
        <v>-15.211388174380746</v>
      </c>
      <c r="AG164" s="686">
        <f t="shared" si="85"/>
        <v>46.130003778367559</v>
      </c>
      <c r="AH164" s="687">
        <f t="shared" si="86"/>
        <v>-39.894946678814421</v>
      </c>
      <c r="AJ164" s="170">
        <f t="shared" si="87"/>
        <v>0</v>
      </c>
      <c r="AK164" s="170">
        <f t="shared" si="99"/>
        <v>0</v>
      </c>
      <c r="AM164" s="170" t="str">
        <f t="shared" si="91"/>
        <v>0.874534780775212+0.99209801872843i</v>
      </c>
      <c r="AN164" s="170" t="str">
        <f t="shared" si="92"/>
        <v>1.44499958485433i</v>
      </c>
      <c r="AO164" s="170" t="str">
        <f t="shared" si="93"/>
        <v>0.686573220592616-0.605214555036273i</v>
      </c>
      <c r="AP164" s="170" t="str">
        <f t="shared" si="94"/>
        <v>0.020910869870798-0.165349669788072i</v>
      </c>
      <c r="AQ164" s="170" t="str">
        <f t="shared" si="95"/>
        <v>0.979089130129202+0.165349669788072i</v>
      </c>
      <c r="AR164" s="170" t="str">
        <f t="shared" si="96"/>
        <v>0.827198388096585-0.139698191014486i</v>
      </c>
    </row>
    <row r="165" spans="7:44">
      <c r="G165" s="688">
        <v>9279.4</v>
      </c>
      <c r="H165" s="676">
        <f t="shared" si="88"/>
        <v>9.279399999999999</v>
      </c>
      <c r="I165" s="677">
        <f t="shared" si="66"/>
        <v>8.2248908614434324</v>
      </c>
      <c r="J165" s="678">
        <f t="shared" si="67"/>
        <v>1.4489126137178905</v>
      </c>
      <c r="K165" s="678">
        <f t="shared" si="68"/>
        <v>1.0000822615770248</v>
      </c>
      <c r="L165" s="679">
        <f t="shared" si="69"/>
        <v>1.2826218326651168E-2</v>
      </c>
      <c r="M165" s="678">
        <f t="shared" si="70"/>
        <v>1.0115852052507814</v>
      </c>
      <c r="N165" s="679">
        <f t="shared" si="71"/>
        <v>-0.15148895971189311</v>
      </c>
      <c r="O165" s="677">
        <f t="shared" si="72"/>
        <v>829085.5771481035</v>
      </c>
      <c r="P165" s="680">
        <f t="shared" si="73"/>
        <v>1.5707951206467889</v>
      </c>
      <c r="Q165" s="689">
        <f t="shared" si="100"/>
        <v>4.2643372704149591</v>
      </c>
      <c r="R165" s="690">
        <f t="shared" si="101"/>
        <v>1.3340890181871516</v>
      </c>
      <c r="S165" s="677">
        <f t="shared" si="76"/>
        <v>1.0003818064975847</v>
      </c>
      <c r="T165" s="680">
        <f t="shared" si="77"/>
        <v>2.7629153334217317E-2</v>
      </c>
      <c r="U165" s="681">
        <f t="shared" si="89"/>
        <v>0.76593978296870635</v>
      </c>
      <c r="V165" s="682">
        <f t="shared" si="90"/>
        <v>-0.89389685923133055</v>
      </c>
      <c r="W165" s="683">
        <f t="shared" si="78"/>
        <v>-16.931667609412923</v>
      </c>
      <c r="X165" s="684">
        <f t="shared" si="79"/>
        <v>-157.3231795736144</v>
      </c>
      <c r="Y165" s="687">
        <f t="shared" si="80"/>
        <v>22.676820426385603</v>
      </c>
      <c r="AA165" s="170">
        <f t="shared" si="81"/>
        <v>9279.4</v>
      </c>
      <c r="AB165" s="170">
        <f t="shared" si="82"/>
        <v>86107264.359999999</v>
      </c>
      <c r="AD165" s="686">
        <f t="shared" si="83"/>
        <v>-0.67282187508895819</v>
      </c>
      <c r="AE165" s="687">
        <f t="shared" si="84"/>
        <v>-15.145294550804927</v>
      </c>
      <c r="AG165" s="686">
        <f t="shared" si="85"/>
        <v>46.10318367324151</v>
      </c>
      <c r="AH165" s="687">
        <f t="shared" si="86"/>
        <v>-39.744850197852458</v>
      </c>
      <c r="AJ165" s="170">
        <f t="shared" si="87"/>
        <v>0</v>
      </c>
      <c r="AK165" s="170">
        <f t="shared" si="99"/>
        <v>0</v>
      </c>
      <c r="AM165" s="170" t="str">
        <f t="shared" si="91"/>
        <v>0.882789695073062+0.993107116286523i</v>
      </c>
      <c r="AN165" s="170" t="str">
        <f t="shared" si="92"/>
        <v>1.4533159714834i</v>
      </c>
      <c r="AO165" s="170" t="str">
        <f t="shared" si="93"/>
        <v>0.683338747920632-0.6074313586274i</v>
      </c>
      <c r="AP165" s="170" t="str">
        <f t="shared" si="94"/>
        <v>0.0195350508211563-0.165517852714421i</v>
      </c>
      <c r="AQ165" s="170" t="str">
        <f t="shared" si="95"/>
        <v>0.980464949178844+0.165517852714421i</v>
      </c>
      <c r="AR165" s="170" t="str">
        <f t="shared" si="96"/>
        <v>0.826055387633174-0.139451098276111i</v>
      </c>
    </row>
    <row r="166" spans="7:44">
      <c r="G166" s="688">
        <v>9332.5</v>
      </c>
      <c r="H166" s="676">
        <f t="shared" si="88"/>
        <v>9.3324999999999996</v>
      </c>
      <c r="I166" s="677">
        <f t="shared" si="66"/>
        <v>8.2712628023808996</v>
      </c>
      <c r="J166" s="678">
        <f t="shared" si="67"/>
        <v>1.4495993167412475</v>
      </c>
      <c r="K166" s="678">
        <f t="shared" si="68"/>
        <v>1.0000832056909514</v>
      </c>
      <c r="L166" s="679">
        <f t="shared" si="69"/>
        <v>1.2899606353573024E-2</v>
      </c>
      <c r="M166" s="678">
        <f t="shared" si="70"/>
        <v>1.0117174038226027</v>
      </c>
      <c r="N166" s="679">
        <f t="shared" si="71"/>
        <v>-0.15234251974302684</v>
      </c>
      <c r="O166" s="677">
        <f t="shared" si="72"/>
        <v>833829.89727079473</v>
      </c>
      <c r="P166" s="680">
        <f t="shared" si="73"/>
        <v>1.5707951275095229</v>
      </c>
      <c r="Q166" s="689">
        <f t="shared" si="100"/>
        <v>4.2874010122148141</v>
      </c>
      <c r="R166" s="690">
        <f t="shared" si="101"/>
        <v>1.3353864915760063</v>
      </c>
      <c r="S166" s="677">
        <f t="shared" si="76"/>
        <v>1.0003861878170304</v>
      </c>
      <c r="T166" s="680">
        <f t="shared" si="77"/>
        <v>2.7787175955190542E-2</v>
      </c>
      <c r="U166" s="681">
        <f t="shared" si="89"/>
        <v>0.76407415353372377</v>
      </c>
      <c r="V166" s="682">
        <f t="shared" si="90"/>
        <v>-0.89798003599564513</v>
      </c>
      <c r="W166" s="683">
        <f t="shared" si="78"/>
        <v>-17.003289154309382</v>
      </c>
      <c r="X166" s="684">
        <f t="shared" si="79"/>
        <v>-157.57588879090022</v>
      </c>
      <c r="Y166" s="687">
        <f t="shared" si="80"/>
        <v>22.424111209099777</v>
      </c>
      <c r="AA166" s="170">
        <f t="shared" si="81"/>
        <v>9332.5</v>
      </c>
      <c r="AB166" s="170">
        <f t="shared" si="82"/>
        <v>87095556.25</v>
      </c>
      <c r="AD166" s="686">
        <f t="shared" si="83"/>
        <v>-0.6755707692695434</v>
      </c>
      <c r="AE166" s="687">
        <f t="shared" si="84"/>
        <v>-15.080009223973482</v>
      </c>
      <c r="AG166" s="686">
        <f t="shared" si="85"/>
        <v>46.076675759270451</v>
      </c>
      <c r="AH166" s="687">
        <f t="shared" si="86"/>
        <v>-39.59494715023289</v>
      </c>
      <c r="AJ166" s="170">
        <f t="shared" si="87"/>
        <v>0</v>
      </c>
      <c r="AK166" s="170">
        <f t="shared" si="99"/>
        <v>0</v>
      </c>
      <c r="AM166" s="170" t="str">
        <f t="shared" si="91"/>
        <v>0.891052715856878+0.99404752868152i</v>
      </c>
      <c r="AN166" s="170" t="str">
        <f t="shared" si="92"/>
        <v>1.46163235811246i</v>
      </c>
      <c r="AO166" s="170" t="str">
        <f t="shared" si="93"/>
        <v>0.680094090120737-0.609628482094893i</v>
      </c>
      <c r="AP166" s="170" t="str">
        <f t="shared" si="94"/>
        <v>0.0181578806905203-0.165674588113587i</v>
      </c>
      <c r="AQ166" s="170" t="str">
        <f t="shared" si="95"/>
        <v>0.98184211930948+0.165674588113587i</v>
      </c>
      <c r="AR166" s="170" t="str">
        <f t="shared" si="96"/>
        <v>0.824917618485468-0.139195379768733i</v>
      </c>
    </row>
    <row r="167" spans="7:44">
      <c r="G167" s="688">
        <v>9386.85</v>
      </c>
      <c r="H167" s="676">
        <f t="shared" si="88"/>
        <v>9.3868500000000008</v>
      </c>
      <c r="I167" s="677">
        <f t="shared" si="66"/>
        <v>8.3187303551623319</v>
      </c>
      <c r="J167" s="678">
        <f t="shared" si="67"/>
        <v>1.4502942563801962</v>
      </c>
      <c r="K167" s="678">
        <f t="shared" si="68"/>
        <v>1.000084177607707</v>
      </c>
      <c r="L167" s="679">
        <f t="shared" si="69"/>
        <v>1.2974721826673995E-2</v>
      </c>
      <c r="M167" s="678">
        <f t="shared" si="70"/>
        <v>1.0118534775448413</v>
      </c>
      <c r="N167" s="679">
        <f t="shared" si="71"/>
        <v>-0.15321594136890015</v>
      </c>
      <c r="O167" s="677">
        <f t="shared" si="72"/>
        <v>838685.90101219341</v>
      </c>
      <c r="P167" s="680">
        <f t="shared" si="73"/>
        <v>1.5707951344534028</v>
      </c>
      <c r="Q167" s="689">
        <f t="shared" si="100"/>
        <v>4.3110150792929121</v>
      </c>
      <c r="R167" s="690">
        <f t="shared" si="101"/>
        <v>1.3367001289435101</v>
      </c>
      <c r="S167" s="677">
        <f t="shared" si="76"/>
        <v>1.0003906981444552</v>
      </c>
      <c r="T167" s="680">
        <f t="shared" si="77"/>
        <v>2.7948917068472093E-2</v>
      </c>
      <c r="U167" s="681">
        <f t="shared" si="89"/>
        <v>0.76216628177099333</v>
      </c>
      <c r="V167" s="682">
        <f t="shared" si="90"/>
        <v>-0.90214759705893488</v>
      </c>
      <c r="W167" s="683">
        <f t="shared" si="78"/>
        <v>-17.076300684805901</v>
      </c>
      <c r="X167" s="684">
        <f t="shared" si="79"/>
        <v>-157.83423073667745</v>
      </c>
      <c r="Y167" s="687">
        <f t="shared" si="80"/>
        <v>22.165769263322545</v>
      </c>
      <c r="AA167" s="170">
        <f t="shared" si="81"/>
        <v>9386.85</v>
      </c>
      <c r="AB167" s="170">
        <f t="shared" si="82"/>
        <v>88112952.922499999</v>
      </c>
      <c r="AD167" s="686">
        <f t="shared" si="83"/>
        <v>-0.67833880180622252</v>
      </c>
      <c r="AE167" s="687">
        <f t="shared" si="84"/>
        <v>-15.014010827949214</v>
      </c>
      <c r="AG167" s="686">
        <f t="shared" si="85"/>
        <v>46.049863353353516</v>
      </c>
      <c r="AH167" s="687">
        <f t="shared" si="86"/>
        <v>-39.44172017190953</v>
      </c>
      <c r="AJ167" s="170">
        <f t="shared" si="87"/>
        <v>0</v>
      </c>
      <c r="AK167" s="170">
        <f t="shared" si="99"/>
        <v>0</v>
      </c>
      <c r="AM167" s="170" t="str">
        <f t="shared" si="91"/>
        <v>0.8995180507027+0.994938881472332i</v>
      </c>
      <c r="AN167" s="170" t="str">
        <f t="shared" si="92"/>
        <v>1.47014451655483i</v>
      </c>
      <c r="AO167" s="170" t="str">
        <f t="shared" si="93"/>
        <v>0.676762638141109-0.611856889287763i</v>
      </c>
      <c r="AP167" s="170" t="str">
        <f t="shared" si="94"/>
        <v>0.01674699154955-0.165823146912055i</v>
      </c>
      <c r="AQ167" s="170" t="str">
        <f t="shared" si="95"/>
        <v>0.98325300845045+0.165823146912055i</v>
      </c>
      <c r="AR167" s="170" t="str">
        <f t="shared" si="96"/>
        <v>0.823758528925755-0.1389248040821i</v>
      </c>
    </row>
    <row r="168" spans="7:44">
      <c r="G168" s="688">
        <v>9441.2000000000007</v>
      </c>
      <c r="H168" s="676">
        <f t="shared" si="88"/>
        <v>9.4412000000000003</v>
      </c>
      <c r="I168" s="677">
        <f t="shared" si="66"/>
        <v>8.3662018798115287</v>
      </c>
      <c r="J168" s="678">
        <f t="shared" si="67"/>
        <v>1.4509813098911761</v>
      </c>
      <c r="K168" s="678">
        <f t="shared" si="68"/>
        <v>1.0000851551672609</v>
      </c>
      <c r="L168" s="679">
        <f t="shared" si="69"/>
        <v>1.3049837153351597E-2</v>
      </c>
      <c r="M168" s="678">
        <f t="shared" si="70"/>
        <v>1.0119903229670963</v>
      </c>
      <c r="N168" s="679">
        <f t="shared" si="71"/>
        <v>-0.15408912744554135</v>
      </c>
      <c r="O168" s="677">
        <f t="shared" si="72"/>
        <v>843541.90475359221</v>
      </c>
      <c r="P168" s="680">
        <f t="shared" si="73"/>
        <v>1.5707951413173353</v>
      </c>
      <c r="Q168" s="689">
        <f t="shared" si="100"/>
        <v>4.3346365045823578</v>
      </c>
      <c r="R168" s="690">
        <f t="shared" si="101"/>
        <v>1.3379994513060782</v>
      </c>
      <c r="S168" s="677">
        <f t="shared" si="76"/>
        <v>1.0003952346420524</v>
      </c>
      <c r="T168" s="680">
        <f t="shared" si="77"/>
        <v>2.8110656719088176E-2</v>
      </c>
      <c r="U168" s="681">
        <f t="shared" si="89"/>
        <v>0.76026017778762189</v>
      </c>
      <c r="V168" s="682">
        <f t="shared" si="90"/>
        <v>-0.90630334219057906</v>
      </c>
      <c r="W168" s="683">
        <f t="shared" si="78"/>
        <v>-17.149016146563813</v>
      </c>
      <c r="X168" s="684">
        <f t="shared" si="79"/>
        <v>-158.09225045098452</v>
      </c>
      <c r="Y168" s="687">
        <f t="shared" si="80"/>
        <v>21.907749549015477</v>
      </c>
      <c r="AA168" s="170">
        <f t="shared" si="81"/>
        <v>9441.2000000000007</v>
      </c>
      <c r="AB168" s="170">
        <f t="shared" si="82"/>
        <v>89136257.440000013</v>
      </c>
      <c r="AD168" s="686">
        <f t="shared" si="83"/>
        <v>-0.6810617410967319</v>
      </c>
      <c r="AE168" s="687">
        <f t="shared" si="84"/>
        <v>-14.948832532907195</v>
      </c>
      <c r="AG168" s="686">
        <f t="shared" si="85"/>
        <v>46.023370383551345</v>
      </c>
      <c r="AH168" s="687">
        <f t="shared" si="86"/>
        <v>-39.288704867163986</v>
      </c>
      <c r="AJ168" s="170">
        <f t="shared" si="87"/>
        <v>0</v>
      </c>
      <c r="AK168" s="170">
        <f t="shared" si="99"/>
        <v>0</v>
      </c>
      <c r="AM168" s="170" t="str">
        <f t="shared" si="91"/>
        <v>0.90799066610922+0.995758144569742i</v>
      </c>
      <c r="AN168" s="170" t="str">
        <f t="shared" si="92"/>
        <v>1.4786566749972i</v>
      </c>
      <c r="AO168" s="170" t="str">
        <f t="shared" si="93"/>
        <v>0.673420788887067-0.614064563777754i</v>
      </c>
      <c r="AP168" s="170" t="str">
        <f t="shared" si="94"/>
        <v>0.0153348889817966-0.165959690761624i</v>
      </c>
      <c r="AQ168" s="170" t="str">
        <f t="shared" si="95"/>
        <v>0.984665111018203+0.165959690761624i</v>
      </c>
      <c r="AR168" s="170" t="str">
        <f t="shared" si="96"/>
        <v>0.822605011323765-0.138645384883278i</v>
      </c>
    </row>
    <row r="169" spans="7:44">
      <c r="G169" s="688">
        <v>9495.5499999999993</v>
      </c>
      <c r="H169" s="676">
        <f t="shared" si="88"/>
        <v>9.4955499999999997</v>
      </c>
      <c r="I169" s="677">
        <f t="shared" si="66"/>
        <v>8.4136773090984533</v>
      </c>
      <c r="J169" s="678">
        <f t="shared" si="67"/>
        <v>1.451660610115959</v>
      </c>
      <c r="K169" s="678">
        <f t="shared" si="68"/>
        <v>1.0000861383695965</v>
      </c>
      <c r="L169" s="679">
        <f t="shared" si="69"/>
        <v>1.3124952332758613E-2</v>
      </c>
      <c r="M169" s="678">
        <f t="shared" si="70"/>
        <v>1.0121279397763532</v>
      </c>
      <c r="N169" s="679">
        <f t="shared" si="71"/>
        <v>-0.15496207673723603</v>
      </c>
      <c r="O169" s="677">
        <f t="shared" si="72"/>
        <v>848397.90849499078</v>
      </c>
      <c r="P169" s="680">
        <f t="shared" si="73"/>
        <v>1.5707951481026934</v>
      </c>
      <c r="Q169" s="689">
        <f t="shared" si="100"/>
        <v>4.3582651684405196</v>
      </c>
      <c r="R169" s="690">
        <f t="shared" si="101"/>
        <v>1.3392846870701767</v>
      </c>
      <c r="S169" s="677">
        <f t="shared" si="76"/>
        <v>1.0003997973094656</v>
      </c>
      <c r="T169" s="680">
        <f t="shared" si="77"/>
        <v>2.8272394898596613E-2</v>
      </c>
      <c r="U169" s="681">
        <f t="shared" si="89"/>
        <v>0.75835591345978515</v>
      </c>
      <c r="V169" s="682">
        <f t="shared" si="90"/>
        <v>-0.91044732855497545</v>
      </c>
      <c r="W169" s="683">
        <f t="shared" si="78"/>
        <v>-17.221438893185553</v>
      </c>
      <c r="X169" s="684">
        <f t="shared" si="79"/>
        <v>-158.34994566248889</v>
      </c>
      <c r="Y169" s="687">
        <f t="shared" si="80"/>
        <v>21.650054337511108</v>
      </c>
      <c r="AA169" s="170">
        <f t="shared" si="81"/>
        <v>9495.5499999999993</v>
      </c>
      <c r="AB169" s="170">
        <f t="shared" si="82"/>
        <v>90165469.80249998</v>
      </c>
      <c r="AD169" s="686">
        <f t="shared" si="83"/>
        <v>-0.68374057646632536</v>
      </c>
      <c r="AE169" s="687">
        <f t="shared" si="84"/>
        <v>-14.884461251715873</v>
      </c>
      <c r="AG169" s="686">
        <f t="shared" si="85"/>
        <v>45.997193081550414</v>
      </c>
      <c r="AH169" s="687">
        <f t="shared" si="86"/>
        <v>-39.135905501237708</v>
      </c>
      <c r="AJ169" s="170">
        <f t="shared" si="87"/>
        <v>0</v>
      </c>
      <c r="AK169" s="170">
        <f t="shared" si="99"/>
        <v>0</v>
      </c>
      <c r="AM169" s="170" t="str">
        <f t="shared" si="91"/>
        <v>0.916469948181195+0.996505258612893i</v>
      </c>
      <c r="AN169" s="170" t="str">
        <f t="shared" si="92"/>
        <v>1.48716883343957i</v>
      </c>
      <c r="AO169" s="170" t="str">
        <f t="shared" si="93"/>
        <v>0.670068680976957-0.616251448775695i</v>
      </c>
      <c r="AP169" s="170" t="str">
        <f t="shared" si="94"/>
        <v>0.0139216753031342-0.166084209768815i</v>
      </c>
      <c r="AQ169" s="170" t="str">
        <f t="shared" si="95"/>
        <v>0.986078324696866+0.166084209768815i</v>
      </c>
      <c r="AR169" s="170" t="str">
        <f t="shared" si="96"/>
        <v>0.821457109738658-0.138357219211629i</v>
      </c>
    </row>
    <row r="170" spans="7:44">
      <c r="G170" s="688">
        <v>9549.9</v>
      </c>
      <c r="H170" s="676">
        <f t="shared" si="88"/>
        <v>9.5498999999999992</v>
      </c>
      <c r="I170" s="677">
        <f t="shared" si="66"/>
        <v>8.4611565772965047</v>
      </c>
      <c r="J170" s="678">
        <f t="shared" si="67"/>
        <v>1.4523322869435724</v>
      </c>
      <c r="K170" s="678">
        <f t="shared" si="68"/>
        <v>1.0000871272146969</v>
      </c>
      <c r="L170" s="679">
        <f t="shared" si="69"/>
        <v>1.3200067364047836E-2</v>
      </c>
      <c r="M170" s="678">
        <f t="shared" si="70"/>
        <v>1.0122663276580035</v>
      </c>
      <c r="N170" s="679">
        <f t="shared" si="71"/>
        <v>-0.15583478801038364</v>
      </c>
      <c r="O170" s="677">
        <f t="shared" si="72"/>
        <v>853253.91223638935</v>
      </c>
      <c r="P170" s="680">
        <f t="shared" si="73"/>
        <v>1.5707951548108181</v>
      </c>
      <c r="Q170" s="689">
        <f t="shared" si="100"/>
        <v>4.3819009537691072</v>
      </c>
      <c r="R170" s="690">
        <f t="shared" si="101"/>
        <v>1.3405560599026358</v>
      </c>
      <c r="S170" s="677">
        <f t="shared" si="76"/>
        <v>1.0004043861463365</v>
      </c>
      <c r="T170" s="680">
        <f t="shared" si="77"/>
        <v>2.8434131598555713E-2</v>
      </c>
      <c r="U170" s="681">
        <f t="shared" si="89"/>
        <v>0.75645355919869017</v>
      </c>
      <c r="V170" s="682">
        <f t="shared" si="90"/>
        <v>-0.91457961375933294</v>
      </c>
      <c r="W170" s="683">
        <f t="shared" si="78"/>
        <v>-17.293572211546532</v>
      </c>
      <c r="X170" s="684">
        <f t="shared" si="79"/>
        <v>-158.60731422772974</v>
      </c>
      <c r="Y170" s="687">
        <f t="shared" si="80"/>
        <v>21.392685772270255</v>
      </c>
      <c r="AA170" s="170">
        <f t="shared" si="81"/>
        <v>9549.9</v>
      </c>
      <c r="AB170" s="170">
        <f t="shared" si="82"/>
        <v>91200590.00999999</v>
      </c>
      <c r="AD170" s="686">
        <f t="shared" si="83"/>
        <v>-0.68637627062310247</v>
      </c>
      <c r="AE170" s="687">
        <f t="shared" si="84"/>
        <v>-14.820884168802989</v>
      </c>
      <c r="AG170" s="686">
        <f t="shared" si="85"/>
        <v>45.971327737574867</v>
      </c>
      <c r="AH170" s="687">
        <f t="shared" si="86"/>
        <v>-38.983326144942296</v>
      </c>
      <c r="AJ170" s="170">
        <f t="shared" si="87"/>
        <v>0</v>
      </c>
      <c r="AK170" s="170">
        <f t="shared" si="99"/>
        <v>0</v>
      </c>
      <c r="AM170" s="170" t="str">
        <f t="shared" si="91"/>
        <v>0.924955282540337+0.997180169468587i</v>
      </c>
      <c r="AN170" s="170" t="str">
        <f t="shared" si="92"/>
        <v>1.49568099188194i</v>
      </c>
      <c r="AO170" s="170" t="str">
        <f t="shared" si="93"/>
        <v>0.6667064533687-0.618417488462237i</v>
      </c>
      <c r="AP170" s="170" t="str">
        <f t="shared" si="94"/>
        <v>0.0125074529099438-0.166196694911431i</v>
      </c>
      <c r="AQ170" s="170" t="str">
        <f t="shared" si="95"/>
        <v>0.987492547090056+0.166196694911431i</v>
      </c>
      <c r="AR170" s="170" t="str">
        <f t="shared" si="96"/>
        <v>0.820314866783939-0.1380604036435i</v>
      </c>
    </row>
    <row r="171" spans="7:44">
      <c r="G171" s="688">
        <v>9605.5249999999996</v>
      </c>
      <c r="H171" s="676">
        <f t="shared" si="88"/>
        <v>9.6055250000000001</v>
      </c>
      <c r="I171" s="677">
        <f t="shared" si="66"/>
        <v>8.5097535725715723</v>
      </c>
      <c r="J171" s="678">
        <f t="shared" si="67"/>
        <v>1.4530119594610862</v>
      </c>
      <c r="K171" s="678">
        <f t="shared" si="68"/>
        <v>1.0000881451000372</v>
      </c>
      <c r="L171" s="679">
        <f t="shared" si="69"/>
        <v>1.3276944369231275E-2</v>
      </c>
      <c r="M171" s="678">
        <f t="shared" si="70"/>
        <v>1.0124087600770342</v>
      </c>
      <c r="N171" s="679">
        <f t="shared" si="71"/>
        <v>-0.15672772452639205</v>
      </c>
      <c r="O171" s="677">
        <f t="shared" si="72"/>
        <v>858223.83326886978</v>
      </c>
      <c r="P171" s="680">
        <f t="shared" si="73"/>
        <v>1.5707951615977054</v>
      </c>
      <c r="Q171" s="689">
        <f t="shared" si="100"/>
        <v>4.4060984668687135</v>
      </c>
      <c r="R171" s="690">
        <f t="shared" si="101"/>
        <v>1.3418431319465689</v>
      </c>
      <c r="S171" s="677">
        <f t="shared" si="76"/>
        <v>1.0004091097301642</v>
      </c>
      <c r="T171" s="680">
        <f t="shared" si="77"/>
        <v>2.8599660948899531E-2</v>
      </c>
      <c r="U171" s="681">
        <f t="shared" si="89"/>
        <v>0.75450862725293599</v>
      </c>
      <c r="V171" s="682">
        <f t="shared" si="90"/>
        <v>-0.91879678293588207</v>
      </c>
      <c r="W171" s="683">
        <f t="shared" si="78"/>
        <v>-17.367101379353148</v>
      </c>
      <c r="X171" s="684">
        <f t="shared" si="79"/>
        <v>-158.87038008181921</v>
      </c>
      <c r="Y171" s="687">
        <f t="shared" si="80"/>
        <v>21.129619918180794</v>
      </c>
      <c r="AA171" s="170">
        <f t="shared" si="81"/>
        <v>9605.5249999999996</v>
      </c>
      <c r="AB171" s="170">
        <f t="shared" si="82"/>
        <v>92266110.52562499</v>
      </c>
      <c r="AD171" s="686">
        <f t="shared" si="83"/>
        <v>-0.68903010212767679</v>
      </c>
      <c r="AE171" s="687">
        <f t="shared" si="84"/>
        <v>-14.756624894703156</v>
      </c>
      <c r="AG171" s="686">
        <f t="shared" si="85"/>
        <v>45.945174827065415</v>
      </c>
      <c r="AH171" s="687">
        <f t="shared" si="86"/>
        <v>-38.82739928196154</v>
      </c>
      <c r="AJ171" s="170">
        <f t="shared" si="87"/>
        <v>0</v>
      </c>
      <c r="AK171" s="170">
        <f t="shared" si="99"/>
        <v>0</v>
      </c>
      <c r="AM171" s="170" t="str">
        <f t="shared" si="91"/>
        <v>0.933645300204068+0.99779609831618i</v>
      </c>
      <c r="AN171" s="170" t="str">
        <f t="shared" si="92"/>
        <v>1.50439283757388i</v>
      </c>
      <c r="AO171" s="170" t="str">
        <f t="shared" si="93"/>
        <v>0.663255017835179-0.620612699612256i</v>
      </c>
      <c r="AP171" s="170" t="str">
        <f t="shared" si="94"/>
        <v>0.0110591166326553-0.166299349719363i</v>
      </c>
      <c r="AQ171" s="170" t="str">
        <f t="shared" si="95"/>
        <v>0.988940883367345+0.166299349719363i</v>
      </c>
      <c r="AR171" s="170" t="str">
        <f t="shared" si="96"/>
        <v>0.819151730165661-0.137747768687847i</v>
      </c>
    </row>
    <row r="172" spans="7:44">
      <c r="G172" s="688">
        <v>9661.15</v>
      </c>
      <c r="H172" s="676">
        <f t="shared" si="88"/>
        <v>9.6611499999999992</v>
      </c>
      <c r="I172" s="677">
        <f t="shared" si="66"/>
        <v>8.5583544543222576</v>
      </c>
      <c r="J172" s="678">
        <f t="shared" si="67"/>
        <v>1.453683912885388</v>
      </c>
      <c r="K172" s="678">
        <f t="shared" si="68"/>
        <v>1.0000891688959601</v>
      </c>
      <c r="L172" s="679">
        <f t="shared" si="69"/>
        <v>1.3353821217470365E-2</v>
      </c>
      <c r="M172" s="678">
        <f t="shared" si="70"/>
        <v>1.0125519994981564</v>
      </c>
      <c r="N172" s="679">
        <f t="shared" si="71"/>
        <v>-0.15762040911767405</v>
      </c>
      <c r="O172" s="677">
        <f t="shared" si="72"/>
        <v>863193.75430135021</v>
      </c>
      <c r="P172" s="680">
        <f t="shared" si="73"/>
        <v>1.5707951683064403</v>
      </c>
      <c r="Q172" s="689">
        <f t="shared" si="100"/>
        <v>4.4303031991723207</v>
      </c>
      <c r="R172" s="690">
        <f t="shared" si="101"/>
        <v>1.3431161423771181</v>
      </c>
      <c r="S172" s="677">
        <f t="shared" si="76"/>
        <v>1.000413860724908</v>
      </c>
      <c r="T172" s="680">
        <f t="shared" si="77"/>
        <v>2.8765188731571294E-2</v>
      </c>
      <c r="U172" s="681">
        <f t="shared" si="89"/>
        <v>0.7525658406433352</v>
      </c>
      <c r="V172" s="682">
        <f t="shared" si="90"/>
        <v>-0.92300181897330824</v>
      </c>
      <c r="W172" s="683">
        <f t="shared" si="78"/>
        <v>-17.440334140561433</v>
      </c>
      <c r="X172" s="684">
        <f t="shared" si="79"/>
        <v>-159.1330996383515</v>
      </c>
      <c r="Y172" s="687">
        <f t="shared" si="80"/>
        <v>20.866900361648504</v>
      </c>
      <c r="AA172" s="170">
        <f t="shared" si="81"/>
        <v>9661.15</v>
      </c>
      <c r="AB172" s="170">
        <f t="shared" si="82"/>
        <v>93337819.32249999</v>
      </c>
      <c r="AD172" s="686">
        <f t="shared" si="83"/>
        <v>-0.69164070326429727</v>
      </c>
      <c r="AE172" s="687">
        <f t="shared" si="84"/>
        <v>-14.693171197405496</v>
      </c>
      <c r="AG172" s="686">
        <f t="shared" si="85"/>
        <v>45.919341003040458</v>
      </c>
      <c r="AH172" s="687">
        <f t="shared" si="86"/>
        <v>-38.671710899951016</v>
      </c>
      <c r="AJ172" s="170">
        <f t="shared" si="87"/>
        <v>0</v>
      </c>
      <c r="AK172" s="170">
        <f t="shared" si="99"/>
        <v>0</v>
      </c>
      <c r="AM172" s="170" t="str">
        <f t="shared" si="91"/>
        <v>0.942340353909178+0.998336298655258i</v>
      </c>
      <c r="AN172" s="170" t="str">
        <f t="shared" si="92"/>
        <v>1.51310468326581i</v>
      </c>
      <c r="AO172" s="170" t="str">
        <f t="shared" si="93"/>
        <v>0.659793277819019-0.622785960767286i</v>
      </c>
      <c r="AP172" s="170" t="str">
        <f t="shared" si="94"/>
        <v>0.00960994101513702-0.16638938310921i</v>
      </c>
      <c r="AQ172" s="170" t="str">
        <f t="shared" si="95"/>
        <v>0.990390058984863+0.16638938310921i</v>
      </c>
      <c r="AR172" s="170" t="str">
        <f t="shared" si="96"/>
        <v>0.81799460656935-0.137426276383712i</v>
      </c>
    </row>
    <row r="173" spans="7:44">
      <c r="G173" s="688">
        <v>9716.7749999999996</v>
      </c>
      <c r="H173" s="676">
        <f t="shared" si="88"/>
        <v>9.7167750000000002</v>
      </c>
      <c r="I173" s="677">
        <f t="shared" si="66"/>
        <v>8.6069591567113264</v>
      </c>
      <c r="J173" s="678">
        <f t="shared" si="67"/>
        <v>1.4543482773768739</v>
      </c>
      <c r="K173" s="678">
        <f t="shared" si="68"/>
        <v>1.0000901986024475</v>
      </c>
      <c r="L173" s="679">
        <f t="shared" si="69"/>
        <v>1.3430697907856897E-2</v>
      </c>
      <c r="M173" s="678">
        <f t="shared" si="70"/>
        <v>1.0126960455789351</v>
      </c>
      <c r="N173" s="679">
        <f t="shared" si="71"/>
        <v>-0.15851284046869699</v>
      </c>
      <c r="O173" s="677">
        <f t="shared" si="72"/>
        <v>868163.67533383064</v>
      </c>
      <c r="P173" s="680">
        <f t="shared" si="73"/>
        <v>1.5707951749383648</v>
      </c>
      <c r="Q173" s="689">
        <f t="shared" si="100"/>
        <v>4.4545150329978265</v>
      </c>
      <c r="R173" s="690">
        <f t="shared" si="101"/>
        <v>1.344375316323563</v>
      </c>
      <c r="S173" s="677">
        <f t="shared" si="76"/>
        <v>1.0004186391301773</v>
      </c>
      <c r="T173" s="680">
        <f t="shared" si="77"/>
        <v>2.8930714937522667E-2</v>
      </c>
      <c r="U173" s="681">
        <f t="shared" si="89"/>
        <v>0.75062527018508307</v>
      </c>
      <c r="V173" s="682">
        <f t="shared" si="90"/>
        <v>-0.92719478497461361</v>
      </c>
      <c r="W173" s="683">
        <f t="shared" si="78"/>
        <v>-17.513273813583719</v>
      </c>
      <c r="X173" s="684">
        <f t="shared" si="79"/>
        <v>-159.39547099578212</v>
      </c>
      <c r="Y173" s="687">
        <f t="shared" si="80"/>
        <v>20.604529004217881</v>
      </c>
      <c r="AA173" s="170">
        <f t="shared" si="81"/>
        <v>9716.7749999999996</v>
      </c>
      <c r="AB173" s="170">
        <f t="shared" si="82"/>
        <v>94415716.40062499</v>
      </c>
      <c r="AD173" s="686">
        <f t="shared" si="83"/>
        <v>-0.69420902491833691</v>
      </c>
      <c r="AE173" s="687">
        <f t="shared" si="84"/>
        <v>-14.630510177510889</v>
      </c>
      <c r="AG173" s="686">
        <f t="shared" si="85"/>
        <v>45.893822471989395</v>
      </c>
      <c r="AH173" s="687">
        <f t="shared" si="86"/>
        <v>-38.51626476569394</v>
      </c>
      <c r="AJ173" s="170">
        <f t="shared" si="87"/>
        <v>0</v>
      </c>
      <c r="AK173" s="170">
        <f t="shared" si="99"/>
        <v>0</v>
      </c>
      <c r="AM173" s="170" t="str">
        <f t="shared" si="91"/>
        <v>0.951039783737844+0.9988007294869i</v>
      </c>
      <c r="AN173" s="170" t="str">
        <f t="shared" si="92"/>
        <v>1.52181652895775i</v>
      </c>
      <c r="AO173" s="170" t="str">
        <f t="shared" si="93"/>
        <v>0.65632138334767-0.624937215256286i</v>
      </c>
      <c r="AP173" s="170" t="str">
        <f t="shared" si="94"/>
        <v>0.00816003604369272-0.166466788247817i</v>
      </c>
      <c r="AQ173" s="170" t="str">
        <f t="shared" si="95"/>
        <v>0.991839963956307+0.166466788247817i</v>
      </c>
      <c r="AR173" s="170" t="str">
        <f t="shared" si="96"/>
        <v>0.816843537132046-0.137096028662693i</v>
      </c>
    </row>
    <row r="174" spans="7:44">
      <c r="G174" s="688">
        <v>9772.4</v>
      </c>
      <c r="H174" s="676">
        <f t="shared" si="88"/>
        <v>9.7723999999999993</v>
      </c>
      <c r="I174" s="677">
        <f t="shared" si="66"/>
        <v>8.655567615375233</v>
      </c>
      <c r="J174" s="678">
        <f t="shared" si="67"/>
        <v>1.455005180199233</v>
      </c>
      <c r="K174" s="678">
        <f t="shared" si="68"/>
        <v>1.0000912342194814</v>
      </c>
      <c r="L174" s="679">
        <f t="shared" si="69"/>
        <v>1.3507574439482681E-2</v>
      </c>
      <c r="M174" s="678">
        <f t="shared" si="70"/>
        <v>1.0128408979752002</v>
      </c>
      <c r="N174" s="679">
        <f t="shared" si="71"/>
        <v>-0.15940501726628797</v>
      </c>
      <c r="O174" s="677">
        <f t="shared" si="72"/>
        <v>873133.59636631107</v>
      </c>
      <c r="P174" s="680">
        <f t="shared" si="73"/>
        <v>1.5707951814947911</v>
      </c>
      <c r="Q174" s="689">
        <f t="shared" si="100"/>
        <v>4.4787338531737086</v>
      </c>
      <c r="R174" s="690">
        <f t="shared" si="101"/>
        <v>1.3456208742232776</v>
      </c>
      <c r="S174" s="677">
        <f t="shared" si="76"/>
        <v>1.0004234449455793</v>
      </c>
      <c r="T174" s="680">
        <f t="shared" si="77"/>
        <v>2.9096239557705822E-2</v>
      </c>
      <c r="U174" s="681">
        <f t="shared" si="89"/>
        <v>0.74868698515275511</v>
      </c>
      <c r="V174" s="682">
        <f t="shared" si="90"/>
        <v>-0.93137574446525118</v>
      </c>
      <c r="W174" s="683">
        <f t="shared" si="78"/>
        <v>-17.585923651425507</v>
      </c>
      <c r="X174" s="684">
        <f t="shared" si="79"/>
        <v>-159.65749237976206</v>
      </c>
      <c r="Y174" s="687">
        <f t="shared" si="80"/>
        <v>20.342507620237939</v>
      </c>
      <c r="AA174" s="170">
        <f t="shared" si="81"/>
        <v>9772.4</v>
      </c>
      <c r="AB174" s="170">
        <f t="shared" si="82"/>
        <v>95499801.75999999</v>
      </c>
      <c r="AD174" s="686">
        <f t="shared" si="83"/>
        <v>-0.69673599232919625</v>
      </c>
      <c r="AE174" s="687">
        <f t="shared" si="84"/>
        <v>-14.568629204444916</v>
      </c>
      <c r="AG174" s="686">
        <f t="shared" si="85"/>
        <v>45.868615500023509</v>
      </c>
      <c r="AH174" s="687">
        <f t="shared" si="86"/>
        <v>-38.361064455935008</v>
      </c>
      <c r="AJ174" s="170">
        <f t="shared" si="87"/>
        <v>0</v>
      </c>
      <c r="AK174" s="170">
        <f t="shared" si="99"/>
        <v>0</v>
      </c>
      <c r="AM174" s="170" t="str">
        <f t="shared" si="91"/>
        <v>0.959742929440083+0.999189355562765i</v>
      </c>
      <c r="AN174" s="170" t="str">
        <f t="shared" si="92"/>
        <v>1.53052837464969i</v>
      </c>
      <c r="AO174" s="170" t="str">
        <f t="shared" si="93"/>
        <v>0.65283948478999-0.627066407481502i</v>
      </c>
      <c r="AP174" s="170" t="str">
        <f t="shared" si="94"/>
        <v>0.0067095117599861-0.166531559260461i</v>
      </c>
      <c r="AQ174" s="170" t="str">
        <f t="shared" si="95"/>
        <v>0.993290488240014+0.166531559260461i</v>
      </c>
      <c r="AR174" s="170" t="str">
        <f t="shared" si="96"/>
        <v>0.815698561510753-0.136757126886004i</v>
      </c>
    </row>
    <row r="175" spans="7:44">
      <c r="G175" s="688">
        <v>9829.2999999999993</v>
      </c>
      <c r="H175" s="676">
        <f t="shared" si="88"/>
        <v>9.8292999999999999</v>
      </c>
      <c r="I175" s="677">
        <f t="shared" si="66"/>
        <v>8.7052940662610965</v>
      </c>
      <c r="J175" s="678">
        <f t="shared" si="67"/>
        <v>1.4556695496689382</v>
      </c>
      <c r="K175" s="678">
        <f t="shared" si="68"/>
        <v>1.0000922996895505</v>
      </c>
      <c r="L175" s="679">
        <f t="shared" si="69"/>
        <v>1.3586212919659271E-2</v>
      </c>
      <c r="M175" s="678">
        <f t="shared" si="70"/>
        <v>1.0129899044731265</v>
      </c>
      <c r="N175" s="679">
        <f t="shared" si="71"/>
        <v>-0.1603173792200881</v>
      </c>
      <c r="O175" s="677">
        <f t="shared" si="72"/>
        <v>878217.43468987325</v>
      </c>
      <c r="P175" s="680">
        <f t="shared" si="73"/>
        <v>1.5707951881247217</v>
      </c>
      <c r="Q175" s="689">
        <f t="shared" si="100"/>
        <v>4.5035149122442739</v>
      </c>
      <c r="R175" s="690">
        <f t="shared" si="101"/>
        <v>1.3468811192415611</v>
      </c>
      <c r="S175" s="677">
        <f t="shared" si="76"/>
        <v>1.0004283892760875</v>
      </c>
      <c r="T175" s="680">
        <f t="shared" si="77"/>
        <v>2.9265556575223881E-2</v>
      </c>
      <c r="U175" s="681">
        <f t="shared" si="89"/>
        <v>0.74670670724273203</v>
      </c>
      <c r="V175" s="682">
        <f t="shared" si="90"/>
        <v>-0.93564018136710292</v>
      </c>
      <c r="W175" s="683">
        <f t="shared" si="78"/>
        <v>-17.659942169822529</v>
      </c>
      <c r="X175" s="684">
        <f t="shared" si="79"/>
        <v>-159.92515582918546</v>
      </c>
      <c r="Y175" s="687">
        <f t="shared" si="80"/>
        <v>20.074844170814544</v>
      </c>
      <c r="AA175" s="170">
        <f t="shared" si="81"/>
        <v>9829.2999999999993</v>
      </c>
      <c r="AB175" s="170">
        <f t="shared" si="82"/>
        <v>96615138.48999998</v>
      </c>
      <c r="AD175" s="686">
        <f t="shared" si="83"/>
        <v>-0.69927903287112358</v>
      </c>
      <c r="AE175" s="687">
        <f t="shared" si="84"/>
        <v>-14.506124014044023</v>
      </c>
      <c r="AG175" s="686">
        <f t="shared" si="85"/>
        <v>45.843149271829247</v>
      </c>
      <c r="AH175" s="687">
        <f t="shared" si="86"/>
        <v>-38.202564622249014</v>
      </c>
      <c r="AJ175" s="170">
        <f t="shared" si="87"/>
        <v>0</v>
      </c>
      <c r="AK175" s="170">
        <f t="shared" si="99"/>
        <v>0</v>
      </c>
      <c r="AM175" s="170" t="str">
        <f t="shared" si="91"/>
        <v>0.968648718946376+0.999508427766518i</v>
      </c>
      <c r="AN175" s="170" t="str">
        <f t="shared" si="92"/>
        <v>1.5394399075912i</v>
      </c>
      <c r="AO175" s="170" t="str">
        <f t="shared" si="93"/>
        <v>0.64926758286426-0.629221520222926i</v>
      </c>
      <c r="AP175" s="170" t="str">
        <f t="shared" si="94"/>
        <v>0.00522521350893728-0.166584737961086i</v>
      </c>
      <c r="AQ175" s="170" t="str">
        <f t="shared" si="95"/>
        <v>0.994774786491063+0.166584737961086i</v>
      </c>
      <c r="AR175" s="170" t="str">
        <f t="shared" si="96"/>
        <v>0.81453368625948-0.136401608211882i</v>
      </c>
    </row>
    <row r="176" spans="7:44">
      <c r="G176" s="688">
        <v>9886.2000000000007</v>
      </c>
      <c r="H176" s="676">
        <f t="shared" si="88"/>
        <v>9.8862000000000005</v>
      </c>
      <c r="I176" s="677">
        <f t="shared" si="66"/>
        <v>8.7550243158999503</v>
      </c>
      <c r="J176" s="678">
        <f t="shared" si="67"/>
        <v>1.4563263719288861</v>
      </c>
      <c r="K176" s="678">
        <f t="shared" si="68"/>
        <v>1.000093371344188</v>
      </c>
      <c r="L176" s="679">
        <f t="shared" si="69"/>
        <v>1.3664851231791317E-2</v>
      </c>
      <c r="M176" s="678">
        <f t="shared" si="70"/>
        <v>1.0131397539398006</v>
      </c>
      <c r="N176" s="679">
        <f t="shared" si="71"/>
        <v>-0.16122947204528454</v>
      </c>
      <c r="O176" s="677">
        <f t="shared" si="72"/>
        <v>883301.27301343542</v>
      </c>
      <c r="P176" s="680">
        <f t="shared" si="73"/>
        <v>1.5707951946783352</v>
      </c>
      <c r="Q176" s="689">
        <f t="shared" si="100"/>
        <v>4.5283030455849458</v>
      </c>
      <c r="R176" s="690">
        <f t="shared" si="101"/>
        <v>1.3481275689463026</v>
      </c>
      <c r="S176" s="677">
        <f t="shared" si="76"/>
        <v>1.0004333622868453</v>
      </c>
      <c r="T176" s="680">
        <f t="shared" si="77"/>
        <v>2.9434871914294655E-2</v>
      </c>
      <c r="U176" s="681">
        <f t="shared" si="89"/>
        <v>0.74472896250270348</v>
      </c>
      <c r="V176" s="682">
        <f t="shared" si="90"/>
        <v>-0.93989219079263575</v>
      </c>
      <c r="W176" s="683">
        <f t="shared" si="78"/>
        <v>-17.73366409787662</v>
      </c>
      <c r="X176" s="684">
        <f t="shared" si="79"/>
        <v>-160.1924497157967</v>
      </c>
      <c r="Y176" s="687">
        <f t="shared" si="80"/>
        <v>19.807550284203302</v>
      </c>
      <c r="AA176" s="170">
        <f t="shared" si="81"/>
        <v>9886.2000000000007</v>
      </c>
      <c r="AB176" s="170">
        <f t="shared" si="82"/>
        <v>97736950.440000013</v>
      </c>
      <c r="AD176" s="686">
        <f t="shared" si="83"/>
        <v>-0.70178068146123507</v>
      </c>
      <c r="AE176" s="687">
        <f t="shared" si="84"/>
        <v>-14.444409136346467</v>
      </c>
      <c r="AG176" s="686">
        <f t="shared" si="85"/>
        <v>45.818001331821357</v>
      </c>
      <c r="AH176" s="687">
        <f t="shared" si="86"/>
        <v>-38.044328996935306</v>
      </c>
      <c r="AJ176" s="170">
        <f t="shared" si="87"/>
        <v>0</v>
      </c>
      <c r="AK176" s="170">
        <f t="shared" si="99"/>
        <v>0</v>
      </c>
      <c r="AM176" s="170" t="str">
        <f t="shared" si="91"/>
        <v>0.977556998211315+0.999748124114626i</v>
      </c>
      <c r="AN176" s="170" t="str">
        <f t="shared" si="92"/>
        <v>1.5483514405327i</v>
      </c>
      <c r="AO176" s="170" t="str">
        <f t="shared" si="93"/>
        <v>0.645685532330224-0.63135343347825i</v>
      </c>
      <c r="AP176" s="170" t="str">
        <f t="shared" si="94"/>
        <v>0.00374050029811422-0.166624687352438i</v>
      </c>
      <c r="AQ176" s="170" t="str">
        <f t="shared" si="95"/>
        <v>0.996259499701886+0.166624687352438i</v>
      </c>
      <c r="AR176" s="170" t="str">
        <f t="shared" si="96"/>
        <v>0.813375266698508-0.13603724687634i</v>
      </c>
    </row>
    <row r="177" spans="7:44">
      <c r="G177" s="688">
        <v>9943.1</v>
      </c>
      <c r="H177" s="676">
        <f t="shared" si="88"/>
        <v>9.9431000000000012</v>
      </c>
      <c r="I177" s="677">
        <f t="shared" si="66"/>
        <v>8.80475829992446</v>
      </c>
      <c r="J177" s="678">
        <f t="shared" si="67"/>
        <v>1.4569757742995255</v>
      </c>
      <c r="K177" s="678">
        <f t="shared" si="68"/>
        <v>1.0000944491833734</v>
      </c>
      <c r="L177" s="679">
        <f t="shared" si="69"/>
        <v>1.3743489374906758E-2</v>
      </c>
      <c r="M177" s="678">
        <f t="shared" si="70"/>
        <v>1.0132904460012371</v>
      </c>
      <c r="N177" s="679">
        <f t="shared" si="71"/>
        <v>-0.16214129434405036</v>
      </c>
      <c r="O177" s="677">
        <f t="shared" si="72"/>
        <v>888385.11133699759</v>
      </c>
      <c r="P177" s="680">
        <f t="shared" si="73"/>
        <v>1.5707952011569415</v>
      </c>
      <c r="Q177" s="689">
        <f t="shared" si="100"/>
        <v>4.5530981376537722</v>
      </c>
      <c r="R177" s="690">
        <f t="shared" si="101"/>
        <v>1.3493604448104877</v>
      </c>
      <c r="S177" s="677">
        <f t="shared" si="76"/>
        <v>1.000438363977425</v>
      </c>
      <c r="T177" s="680">
        <f t="shared" si="77"/>
        <v>2.9604185565235485E-2</v>
      </c>
      <c r="U177" s="681">
        <f t="shared" si="89"/>
        <v>0.7427538201894085</v>
      </c>
      <c r="V177" s="682">
        <f t="shared" si="90"/>
        <v>-0.94413184200921429</v>
      </c>
      <c r="W177" s="683">
        <f t="shared" si="78"/>
        <v>-17.807092716686178</v>
      </c>
      <c r="X177" s="684">
        <f t="shared" si="79"/>
        <v>-160.45937253326687</v>
      </c>
      <c r="Y177" s="687">
        <f t="shared" si="80"/>
        <v>19.540627466733127</v>
      </c>
      <c r="AA177" s="170">
        <f t="shared" si="81"/>
        <v>9943.1</v>
      </c>
      <c r="AB177" s="170">
        <f t="shared" si="82"/>
        <v>98865237.610000014</v>
      </c>
      <c r="AD177" s="686">
        <f t="shared" si="83"/>
        <v>-0.70424185037346199</v>
      </c>
      <c r="AE177" s="687">
        <f t="shared" si="84"/>
        <v>-14.383471881405148</v>
      </c>
      <c r="AG177" s="686">
        <f t="shared" si="85"/>
        <v>45.793167869988309</v>
      </c>
      <c r="AH177" s="687">
        <f t="shared" si="86"/>
        <v>-37.886360826156711</v>
      </c>
      <c r="AJ177" s="170">
        <f t="shared" si="87"/>
        <v>0</v>
      </c>
      <c r="AK177" s="170">
        <f t="shared" si="99"/>
        <v>0</v>
      </c>
      <c r="AM177" s="170" t="str">
        <f t="shared" si="91"/>
        <v>0.986467059784867+0.999908425571629i</v>
      </c>
      <c r="AN177" s="170" t="str">
        <f t="shared" si="92"/>
        <v>1.55726297347421i</v>
      </c>
      <c r="AO177" s="170" t="str">
        <f t="shared" si="93"/>
        <v>0.642093495192313-0.633462091238249i</v>
      </c>
      <c r="AP177" s="170" t="str">
        <f t="shared" si="94"/>
        <v>0.00225549003585552-0.166651404261938i</v>
      </c>
      <c r="AQ177" s="170" t="str">
        <f t="shared" si="95"/>
        <v>0.997744509964144+0.166651404261938i</v>
      </c>
      <c r="AR177" s="170" t="str">
        <f t="shared" si="96"/>
        <v>0.812223340641286-0.135664149429454i</v>
      </c>
    </row>
    <row r="178" spans="7:44" s="327" customFormat="1">
      <c r="G178" s="762">
        <v>10000</v>
      </c>
      <c r="H178" s="763">
        <f t="shared" si="88"/>
        <v>10</v>
      </c>
      <c r="I178" s="764">
        <f t="shared" si="66"/>
        <v>8.8544959554086695</v>
      </c>
      <c r="J178" s="765">
        <f t="shared" si="67"/>
        <v>1.4576178812659133</v>
      </c>
      <c r="K178" s="765">
        <f t="shared" si="68"/>
        <v>1.0000955332070873</v>
      </c>
      <c r="L178" s="766">
        <f t="shared" si="69"/>
        <v>1.3822127348033553E-2</v>
      </c>
      <c r="M178" s="765">
        <f t="shared" si="70"/>
        <v>1.0134419802815717</v>
      </c>
      <c r="N178" s="766">
        <f t="shared" si="71"/>
        <v>-0.16305284472118736</v>
      </c>
      <c r="O178" s="764">
        <f t="shared" si="72"/>
        <v>893468.94966055977</v>
      </c>
      <c r="P178" s="767">
        <f t="shared" si="73"/>
        <v>1.5707952075618214</v>
      </c>
      <c r="Q178" s="768">
        <f t="shared" si="100"/>
        <v>4.577900075379933</v>
      </c>
      <c r="R178" s="769">
        <f t="shared" si="101"/>
        <v>1.3505799636746421</v>
      </c>
      <c r="S178" s="764">
        <f t="shared" si="76"/>
        <v>1.0004433943473967</v>
      </c>
      <c r="T178" s="767">
        <f t="shared" si="77"/>
        <v>2.9773497518364302E-2</v>
      </c>
      <c r="U178" s="770">
        <f t="shared" si="89"/>
        <v>0.74078134794882233</v>
      </c>
      <c r="V178" s="771">
        <f t="shared" si="90"/>
        <v>-0.9483592046806576</v>
      </c>
      <c r="W178" s="772">
        <f t="shared" si="78"/>
        <v>-17.880231243408605</v>
      </c>
      <c r="X178" s="773">
        <f t="shared" si="79"/>
        <v>-160.72592290109552</v>
      </c>
      <c r="Y178" s="774">
        <f t="shared" si="80"/>
        <v>19.274077098904485</v>
      </c>
      <c r="AA178" s="327">
        <f t="shared" si="81"/>
        <v>10000</v>
      </c>
      <c r="AB178" s="327">
        <f t="shared" si="82"/>
        <v>100000000</v>
      </c>
      <c r="AD178" s="775">
        <f t="shared" si="83"/>
        <v>-0.70666342723162012</v>
      </c>
      <c r="AE178" s="774">
        <f t="shared" si="84"/>
        <v>-14.323299824691741</v>
      </c>
      <c r="AG178" s="775">
        <f>20*LOG10((K178*M178/(I178*U178))*Acs*Am)</f>
        <v>45.768645136909463</v>
      </c>
      <c r="AH178" s="774">
        <f t="shared" si="86"/>
        <v>-37.728663171055516</v>
      </c>
      <c r="AJ178" s="327">
        <f t="shared" si="87"/>
        <v>0</v>
      </c>
      <c r="AK178" s="170">
        <f t="shared" si="99"/>
        <v>0</v>
      </c>
      <c r="AM178" s="327" t="str">
        <f t="shared" si="91"/>
        <v>0.995378196075419+0.999989319407204i</v>
      </c>
      <c r="AN178" s="327" t="str">
        <f t="shared" si="92"/>
        <v>1.56617450641571i</v>
      </c>
      <c r="AO178" s="327" t="str">
        <f t="shared" si="93"/>
        <v>0.63849163379357-0.635547438678085i</v>
      </c>
      <c r="AP178" s="327" t="str">
        <f t="shared" si="94"/>
        <v>0.00077030065409685-0.166664886567867i</v>
      </c>
      <c r="AQ178" s="327" t="str">
        <f t="shared" si="95"/>
        <v>0.999229699345903+0.166664886567867i</v>
      </c>
      <c r="AR178" s="327" t="str">
        <f t="shared" si="96"/>
        <v>0.811077944397395-0.135282421738644i</v>
      </c>
    </row>
    <row r="179" spans="7:44">
      <c r="G179" s="688">
        <v>10058.25</v>
      </c>
      <c r="H179" s="676">
        <f t="shared" si="88"/>
        <v>10.058249999999999</v>
      </c>
      <c r="I179" s="677">
        <f t="shared" si="66"/>
        <v>8.9054174172188461</v>
      </c>
      <c r="J179" s="678">
        <f t="shared" si="67"/>
        <v>1.4582677927389247</v>
      </c>
      <c r="K179" s="678">
        <f t="shared" si="68"/>
        <v>1.0000966493565164</v>
      </c>
      <c r="L179" s="679">
        <f t="shared" si="69"/>
        <v>1.3902630895618563E-2</v>
      </c>
      <c r="M179" s="678">
        <f t="shared" si="70"/>
        <v>1.0135979818742786</v>
      </c>
      <c r="N179" s="679">
        <f t="shared" si="71"/>
        <v>-0.16398573926256552</v>
      </c>
      <c r="O179" s="677">
        <f t="shared" si="72"/>
        <v>898673.40629232593</v>
      </c>
      <c r="P179" s="680">
        <f t="shared" si="73"/>
        <v>1.5707952140435979</v>
      </c>
      <c r="Q179" s="689">
        <f t="shared" si="100"/>
        <v>4.6032974354696341</v>
      </c>
      <c r="R179" s="690">
        <f t="shared" si="101"/>
        <v>1.3518148021780143</v>
      </c>
      <c r="S179" s="677">
        <f t="shared" si="76"/>
        <v>1.000448573774771</v>
      </c>
      <c r="T179" s="680">
        <f t="shared" si="77"/>
        <v>2.99468247701014E-2</v>
      </c>
      <c r="U179" s="681">
        <f t="shared" si="89"/>
        <v>0.73876491196181049</v>
      </c>
      <c r="V179" s="682">
        <f t="shared" si="90"/>
        <v>-0.95267420885561371</v>
      </c>
      <c r="W179" s="683">
        <f t="shared" si="78"/>
        <v>-17.954807838626095</v>
      </c>
      <c r="X179" s="684">
        <f t="shared" si="79"/>
        <v>-160.99841027686725</v>
      </c>
      <c r="Y179" s="687">
        <f t="shared" si="80"/>
        <v>19.001589723132753</v>
      </c>
      <c r="AA179" s="170">
        <f t="shared" si="81"/>
        <v>10058.25</v>
      </c>
      <c r="AB179" s="170">
        <f t="shared" si="82"/>
        <v>101168393.0625</v>
      </c>
      <c r="AD179" s="686">
        <f t="shared" si="83"/>
        <v>-0.70910234747084144</v>
      </c>
      <c r="AE179" s="687">
        <f t="shared" si="84"/>
        <v>-14.262480081376331</v>
      </c>
      <c r="AG179" s="686">
        <f t="shared" si="85"/>
        <v>45.743858604004899</v>
      </c>
      <c r="AH179" s="687">
        <f t="shared" si="86"/>
        <v>-37.567507233965046</v>
      </c>
      <c r="AJ179" s="170">
        <f t="shared" si="87"/>
        <v>0</v>
      </c>
      <c r="AK179" s="170">
        <f t="shared" si="99"/>
        <v>0</v>
      </c>
      <c r="AM179" s="170" t="str">
        <f t="shared" si="91"/>
        <v>1.00450113092159+0.999989869858903i</v>
      </c>
      <c r="AN179" s="170" t="str">
        <f t="shared" si="92"/>
        <v>1.57529747291558i</v>
      </c>
      <c r="AO179" s="170" t="str">
        <f t="shared" si="93"/>
        <v>0.634794308409642-0.637658060266197i</v>
      </c>
      <c r="AP179" s="170" t="str">
        <f t="shared" si="94"/>
        <v>-0.000750188486931888-0.166664978309817i</v>
      </c>
      <c r="AQ179" s="170" t="str">
        <f t="shared" si="95"/>
        <v>1.00075018848693+0.166664978309817i</v>
      </c>
      <c r="AR179" s="170" t="str">
        <f t="shared" si="96"/>
        <v>0.809912173071199-0.1348828072287i</v>
      </c>
    </row>
    <row r="180" spans="7:44">
      <c r="G180" s="688">
        <v>10116.5</v>
      </c>
      <c r="H180" s="676">
        <f t="shared" si="88"/>
        <v>10.1165</v>
      </c>
      <c r="I180" s="677">
        <f t="shared" si="66"/>
        <v>8.9563425977698259</v>
      </c>
      <c r="J180" s="678">
        <f t="shared" si="67"/>
        <v>1.4589103137721671</v>
      </c>
      <c r="K180" s="678">
        <f t="shared" si="68"/>
        <v>1.0000977719873785</v>
      </c>
      <c r="L180" s="679">
        <f t="shared" si="69"/>
        <v>1.3983134262991437E-2</v>
      </c>
      <c r="M180" s="678">
        <f t="shared" si="70"/>
        <v>1.0137548653214892</v>
      </c>
      <c r="N180" s="679">
        <f t="shared" si="71"/>
        <v>-0.16491834587552981</v>
      </c>
      <c r="O180" s="677">
        <f t="shared" si="72"/>
        <v>903877.86292409233</v>
      </c>
      <c r="P180" s="680">
        <f t="shared" si="73"/>
        <v>1.5707952204507312</v>
      </c>
      <c r="Q180" s="689">
        <f t="shared" si="100"/>
        <v>4.6287017377533202</v>
      </c>
      <c r="R180" s="690">
        <f t="shared" si="101"/>
        <v>1.35303608787897</v>
      </c>
      <c r="S180" s="677">
        <f t="shared" si="76"/>
        <v>1.0004537832576461</v>
      </c>
      <c r="T180" s="680">
        <f t="shared" si="77"/>
        <v>3.0120150221973962E-2</v>
      </c>
      <c r="U180" s="681">
        <f t="shared" si="89"/>
        <v>0.73675141263166943</v>
      </c>
      <c r="V180" s="682">
        <f t="shared" si="90"/>
        <v>-0.95697648341018593</v>
      </c>
      <c r="W180" s="683">
        <f t="shared" si="78"/>
        <v>-18.02908703870219</v>
      </c>
      <c r="X180" s="684">
        <f t="shared" si="79"/>
        <v>-161.27050478232837</v>
      </c>
      <c r="Y180" s="687">
        <f t="shared" si="80"/>
        <v>18.729495217671627</v>
      </c>
      <c r="AA180" s="170">
        <f t="shared" si="81"/>
        <v>10116.5</v>
      </c>
      <c r="AB180" s="170">
        <f t="shared" si="82"/>
        <v>102343572.25</v>
      </c>
      <c r="AD180" s="686">
        <f t="shared" si="83"/>
        <v>-0.71150158144165798</v>
      </c>
      <c r="AE180" s="687">
        <f t="shared" si="84"/>
        <v>-14.202436749039473</v>
      </c>
      <c r="AG180" s="686">
        <f t="shared" si="85"/>
        <v>45.719389956994299</v>
      </c>
      <c r="AH180" s="687">
        <f t="shared" si="86"/>
        <v>-37.40664072263268</v>
      </c>
      <c r="AJ180" s="170">
        <f t="shared" si="87"/>
        <v>0</v>
      </c>
      <c r="AK180" s="170">
        <f t="shared" si="99"/>
        <v>0</v>
      </c>
      <c r="AM180" s="170" t="str">
        <f t="shared" si="91"/>
        <v>1.01362369114791+0.999907193213203i</v>
      </c>
      <c r="AN180" s="170" t="str">
        <f t="shared" si="92"/>
        <v>1.58442043941545i</v>
      </c>
      <c r="AO180" s="170" t="str">
        <f t="shared" si="93"/>
        <v>0.631087032418052-0.639744139833157i</v>
      </c>
      <c r="AP180" s="170" t="str">
        <f t="shared" si="94"/>
        <v>-0.00227061519131787-0.166651198868867i</v>
      </c>
      <c r="AQ180" s="170" t="str">
        <f t="shared" si="95"/>
        <v>1.00227061519132+0.166651198868867i</v>
      </c>
      <c r="AR180" s="170" t="str">
        <f t="shared" si="96"/>
        <v>0.808753317389881-0.13447437038396i</v>
      </c>
    </row>
    <row r="181" spans="7:44">
      <c r="G181" s="688">
        <v>10174.75</v>
      </c>
      <c r="H181" s="676">
        <f t="shared" si="88"/>
        <v>10.17475</v>
      </c>
      <c r="I181" s="677">
        <f t="shared" si="66"/>
        <v>9.0072714339867197</v>
      </c>
      <c r="J181" s="678">
        <f t="shared" si="67"/>
        <v>1.4595455691914634</v>
      </c>
      <c r="K181" s="678">
        <f t="shared" si="68"/>
        <v>1.0000989010996517</v>
      </c>
      <c r="L181" s="679">
        <f t="shared" si="69"/>
        <v>1.4063637449109332E-2</v>
      </c>
      <c r="M181" s="678">
        <f t="shared" si="70"/>
        <v>1.0139126302138535</v>
      </c>
      <c r="N181" s="679">
        <f t="shared" si="71"/>
        <v>-0.16585066307183377</v>
      </c>
      <c r="O181" s="677">
        <f t="shared" si="72"/>
        <v>909082.31955585862</v>
      </c>
      <c r="P181" s="680">
        <f t="shared" si="73"/>
        <v>1.5707952267845031</v>
      </c>
      <c r="Q181" s="689">
        <f t="shared" si="100"/>
        <v>4.6541128685498707</v>
      </c>
      <c r="R181" s="690">
        <f t="shared" si="101"/>
        <v>1.3542440390962309</v>
      </c>
      <c r="S181" s="677">
        <f t="shared" si="76"/>
        <v>1.0004590227955521</v>
      </c>
      <c r="T181" s="680">
        <f t="shared" si="77"/>
        <v>3.0293473863596203E-2</v>
      </c>
      <c r="U181" s="681">
        <f t="shared" si="89"/>
        <v>0.7347409174157532</v>
      </c>
      <c r="V181" s="682">
        <f t="shared" si="90"/>
        <v>-0.96126610427305526</v>
      </c>
      <c r="W181" s="683">
        <f t="shared" si="78"/>
        <v>-18.103072098510758</v>
      </c>
      <c r="X181" s="684">
        <f t="shared" si="79"/>
        <v>-161.54220532539125</v>
      </c>
      <c r="Y181" s="687">
        <f t="shared" si="80"/>
        <v>18.457794674608749</v>
      </c>
      <c r="AA181" s="170">
        <f t="shared" si="81"/>
        <v>10174.75</v>
      </c>
      <c r="AB181" s="170">
        <f t="shared" si="82"/>
        <v>103525537.5625</v>
      </c>
      <c r="AD181" s="686">
        <f t="shared" si="83"/>
        <v>-0.7138620062357538</v>
      </c>
      <c r="AE181" s="687">
        <f t="shared" si="84"/>
        <v>-14.143157318418197</v>
      </c>
      <c r="AG181" s="686">
        <f t="shared" si="85"/>
        <v>45.695235363306288</v>
      </c>
      <c r="AH181" s="687">
        <f t="shared" si="86"/>
        <v>-37.246066353447787</v>
      </c>
      <c r="AJ181" s="170">
        <f t="shared" si="87"/>
        <v>0</v>
      </c>
      <c r="AK181" s="170">
        <f t="shared" si="99"/>
        <v>0</v>
      </c>
      <c r="AM181" s="170" t="str">
        <f t="shared" si="91"/>
        <v>1.02274511750248+0.99974129635111i</v>
      </c>
      <c r="AN181" s="170" t="str">
        <f t="shared" si="92"/>
        <v>1.59354340591533i</v>
      </c>
      <c r="AO181" s="170" t="str">
        <f t="shared" si="93"/>
        <v>0.627369981037234-0.641805622429855i</v>
      </c>
      <c r="AP181" s="170" t="str">
        <f t="shared" si="94"/>
        <v>-0.00379085291707943-0.166623549391852i</v>
      </c>
      <c r="AQ181" s="170" t="str">
        <f t="shared" si="95"/>
        <v>1.00379085291708+0.166623549391852i</v>
      </c>
      <c r="AR181" s="170" t="str">
        <f t="shared" si="96"/>
        <v>0.807601411601429-0.134057222481999i</v>
      </c>
    </row>
    <row r="182" spans="7:44">
      <c r="G182" s="688">
        <v>10233</v>
      </c>
      <c r="H182" s="676">
        <f t="shared" si="88"/>
        <v>10.233000000000001</v>
      </c>
      <c r="I182" s="677">
        <f t="shared" si="66"/>
        <v>9.0582038642086928</v>
      </c>
      <c r="J182" s="678">
        <f t="shared" si="67"/>
        <v>1.4601736810389161</v>
      </c>
      <c r="K182" s="678">
        <f t="shared" si="68"/>
        <v>1.0001000366933144</v>
      </c>
      <c r="L182" s="679">
        <f t="shared" si="69"/>
        <v>1.4144140452929419E-2</v>
      </c>
      <c r="M182" s="678">
        <f t="shared" si="70"/>
        <v>1.0140712761399766</v>
      </c>
      <c r="N182" s="679">
        <f t="shared" si="71"/>
        <v>-0.16678268936616708</v>
      </c>
      <c r="O182" s="677">
        <f t="shared" si="72"/>
        <v>914286.7761876249</v>
      </c>
      <c r="P182" s="680">
        <f t="shared" si="73"/>
        <v>1.570795233046167</v>
      </c>
      <c r="Q182" s="689">
        <f t="shared" si="100"/>
        <v>4.6795307166172133</v>
      </c>
      <c r="R182" s="690">
        <f t="shared" si="101"/>
        <v>1.3554388695627184</v>
      </c>
      <c r="S182" s="677">
        <f t="shared" si="76"/>
        <v>1.0004642923880174</v>
      </c>
      <c r="T182" s="680">
        <f t="shared" si="77"/>
        <v>3.0466795684582985E-2</v>
      </c>
      <c r="U182" s="681">
        <f t="shared" si="89"/>
        <v>0.7327334920883628</v>
      </c>
      <c r="V182" s="682">
        <f t="shared" si="90"/>
        <v>-0.96554314773959415</v>
      </c>
      <c r="W182" s="683">
        <f t="shared" si="78"/>
        <v>-18.176766210258066</v>
      </c>
      <c r="X182" s="684">
        <f t="shared" si="79"/>
        <v>-161.81351093839621</v>
      </c>
      <c r="Y182" s="687">
        <f t="shared" si="80"/>
        <v>18.186489061603794</v>
      </c>
      <c r="AA182" s="170">
        <f t="shared" si="81"/>
        <v>10233</v>
      </c>
      <c r="AB182" s="170">
        <f t="shared" si="82"/>
        <v>104714289</v>
      </c>
      <c r="AD182" s="686">
        <f t="shared" si="83"/>
        <v>-0.71618447518527761</v>
      </c>
      <c r="AE182" s="687">
        <f t="shared" si="84"/>
        <v>-14.084629542994911</v>
      </c>
      <c r="AG182" s="686">
        <f t="shared" si="85"/>
        <v>45.671391052129366</v>
      </c>
      <c r="AH182" s="687">
        <f t="shared" si="86"/>
        <v>-37.08578666246266</v>
      </c>
      <c r="AJ182" s="170">
        <f t="shared" si="87"/>
        <v>0</v>
      </c>
      <c r="AK182" s="170">
        <f t="shared" si="99"/>
        <v>0</v>
      </c>
      <c r="AM182" s="170" t="str">
        <f t="shared" si="91"/>
        <v>1.03186465082775+0.999492193079879i</v>
      </c>
      <c r="AN182" s="170" t="str">
        <f t="shared" si="92"/>
        <v>1.6026663724152i</v>
      </c>
      <c r="AO182" s="170" t="str">
        <f t="shared" si="93"/>
        <v>0.623643329817706-0.643842454417223i</v>
      </c>
      <c r="AP182" s="170" t="str">
        <f t="shared" si="94"/>
        <v>-0.00531077513795828-0.16658203217998i</v>
      </c>
      <c r="AQ182" s="170" t="str">
        <f t="shared" si="95"/>
        <v>1.00531077513796+0.16658203217998i</v>
      </c>
      <c r="AR182" s="170" t="str">
        <f t="shared" si="96"/>
        <v>0.806456488429676-0.133631473997591i</v>
      </c>
    </row>
    <row r="183" spans="7:44">
      <c r="G183" s="688">
        <v>10292.5</v>
      </c>
      <c r="H183" s="676">
        <f t="shared" si="88"/>
        <v>10.2925</v>
      </c>
      <c r="I183" s="677">
        <f t="shared" si="66"/>
        <v>9.1102329128775388</v>
      </c>
      <c r="J183" s="678">
        <f t="shared" si="67"/>
        <v>1.4608080205919221</v>
      </c>
      <c r="K183" s="678">
        <f t="shared" si="68"/>
        <v>1.0001012033474266</v>
      </c>
      <c r="L183" s="679">
        <f t="shared" si="69"/>
        <v>1.4226370799728265E-2</v>
      </c>
      <c r="M183" s="678">
        <f t="shared" si="70"/>
        <v>1.0142342356512861</v>
      </c>
      <c r="N183" s="679">
        <f t="shared" si="71"/>
        <v>-0.167734414350659</v>
      </c>
      <c r="O183" s="677">
        <f t="shared" si="72"/>
        <v>919602.91643809876</v>
      </c>
      <c r="P183" s="680">
        <f t="shared" si="73"/>
        <v>1.5707952393690283</v>
      </c>
      <c r="Q183" s="689">
        <f t="shared" si="100"/>
        <v>4.7055008339188964</v>
      </c>
      <c r="R183" s="690">
        <f t="shared" si="101"/>
        <v>1.3566460116243344</v>
      </c>
      <c r="S183" s="677">
        <f t="shared" si="76"/>
        <v>1.0004697060902723</v>
      </c>
      <c r="T183" s="680">
        <f t="shared" si="77"/>
        <v>3.0643834967494839E-2</v>
      </c>
      <c r="U183" s="681">
        <f t="shared" si="89"/>
        <v>0.73068622503162184</v>
      </c>
      <c r="V183" s="682">
        <f t="shared" si="90"/>
        <v>-0.96989906780896173</v>
      </c>
      <c r="W183" s="683">
        <f t="shared" si="78"/>
        <v>-18.251744615984723</v>
      </c>
      <c r="X183" s="684">
        <f t="shared" si="79"/>
        <v>-162.09022994738686</v>
      </c>
      <c r="Y183" s="687">
        <f t="shared" si="80"/>
        <v>17.90977005261314</v>
      </c>
      <c r="AA183" s="170">
        <f t="shared" si="81"/>
        <v>10292.5</v>
      </c>
      <c r="AB183" s="170">
        <f t="shared" si="82"/>
        <v>105935556.25</v>
      </c>
      <c r="AD183" s="686">
        <f t="shared" si="83"/>
        <v>-0.71851845944643322</v>
      </c>
      <c r="AE183" s="687">
        <f t="shared" si="84"/>
        <v>-14.025609363516299</v>
      </c>
      <c r="AG183" s="686">
        <f t="shared" si="85"/>
        <v>45.647351544502413</v>
      </c>
      <c r="AH183" s="687">
        <f t="shared" si="86"/>
        <v>-36.922374178619364</v>
      </c>
      <c r="AJ183" s="170">
        <f t="shared" si="87"/>
        <v>0</v>
      </c>
      <c r="AK183" s="170">
        <f t="shared" si="99"/>
        <v>0</v>
      </c>
      <c r="AM183" s="170" t="str">
        <f t="shared" si="91"/>
        <v>1.04117713868338+0.999151861955854i</v>
      </c>
      <c r="AN183" s="170" t="str">
        <f t="shared" si="92"/>
        <v>1.61198511072837i</v>
      </c>
      <c r="AO183" s="170" t="str">
        <f t="shared" si="93"/>
        <v>0.619826979359872-0.64589749108348i</v>
      </c>
      <c r="AP183" s="170" t="str">
        <f t="shared" si="94"/>
        <v>-0.0068628564472295-0.166525310325976i</v>
      </c>
      <c r="AQ183" s="170" t="str">
        <f t="shared" si="95"/>
        <v>1.00686285644723+0.166525310325976i</v>
      </c>
      <c r="AR183" s="170" t="str">
        <f t="shared" si="96"/>
        <v>0.805294237544219-0.133187823894862i</v>
      </c>
    </row>
    <row r="184" spans="7:44">
      <c r="G184" s="688">
        <v>10352</v>
      </c>
      <c r="H184" s="676">
        <f t="shared" si="88"/>
        <v>10.352</v>
      </c>
      <c r="I184" s="677">
        <f t="shared" si="66"/>
        <v>9.1622655857479991</v>
      </c>
      <c r="J184" s="678">
        <f t="shared" si="67"/>
        <v>1.4614351555431828</v>
      </c>
      <c r="K184" s="678">
        <f t="shared" si="68"/>
        <v>1.0001023767640373</v>
      </c>
      <c r="L184" s="679">
        <f t="shared" si="69"/>
        <v>1.4308600954121981E-2</v>
      </c>
      <c r="M184" s="678">
        <f t="shared" si="70"/>
        <v>1.0143981135404854</v>
      </c>
      <c r="N184" s="679">
        <f t="shared" si="71"/>
        <v>-0.16868583269083678</v>
      </c>
      <c r="O184" s="677">
        <f t="shared" si="72"/>
        <v>924919.05668857275</v>
      </c>
      <c r="P184" s="680">
        <f t="shared" si="73"/>
        <v>1.5707952456192058</v>
      </c>
      <c r="Q184" s="689">
        <f t="shared" si="100"/>
        <v>4.7314777327614026</v>
      </c>
      <c r="R184" s="690">
        <f t="shared" si="101"/>
        <v>1.3578399004357684</v>
      </c>
      <c r="S184" s="677">
        <f t="shared" si="76"/>
        <v>1.0004751511498171</v>
      </c>
      <c r="T184" s="680">
        <f t="shared" si="77"/>
        <v>3.0820872328892274E-2</v>
      </c>
      <c r="U184" s="681">
        <f t="shared" si="89"/>
        <v>0.72864229448390538</v>
      </c>
      <c r="V184" s="682">
        <f t="shared" si="90"/>
        <v>-0.97424202690545059</v>
      </c>
      <c r="W184" s="683">
        <f t="shared" si="78"/>
        <v>-18.326425993021651</v>
      </c>
      <c r="X184" s="684">
        <f t="shared" si="79"/>
        <v>-162.36653523669978</v>
      </c>
      <c r="Y184" s="687">
        <f t="shared" si="80"/>
        <v>17.633464763300225</v>
      </c>
      <c r="AA184" s="170">
        <f t="shared" si="81"/>
        <v>10352</v>
      </c>
      <c r="AB184" s="170">
        <f t="shared" si="82"/>
        <v>107163904</v>
      </c>
      <c r="AD184" s="686">
        <f t="shared" si="83"/>
        <v>-0.72081456861998894</v>
      </c>
      <c r="AE184" s="687">
        <f t="shared" si="84"/>
        <v>-13.967348425079662</v>
      </c>
      <c r="AG184" s="686">
        <f t="shared" si="85"/>
        <v>45.623628018081575</v>
      </c>
      <c r="AH184" s="687">
        <f t="shared" si="86"/>
        <v>-36.759273952146678</v>
      </c>
      <c r="AJ184" s="170">
        <f t="shared" si="87"/>
        <v>0</v>
      </c>
      <c r="AK184" s="170">
        <f t="shared" si="99"/>
        <v>0</v>
      </c>
      <c r="AM184" s="170" t="str">
        <f t="shared" si="91"/>
        <v>1.05048605078812+0.998724766227322i</v>
      </c>
      <c r="AN184" s="170" t="str">
        <f t="shared" si="92"/>
        <v>1.62130384904154i</v>
      </c>
      <c r="AO184" s="170" t="str">
        <f t="shared" si="93"/>
        <v>0.616000983910409-0.647926698878271i</v>
      </c>
      <c r="AP184" s="170" t="str">
        <f t="shared" si="94"/>
        <v>-0.00841434179802018-0.166454127704554i</v>
      </c>
      <c r="AQ184" s="170" t="str">
        <f t="shared" si="95"/>
        <v>1.00841434179802+0.166454127704554i</v>
      </c>
      <c r="AR184" s="170" t="str">
        <f t="shared" si="96"/>
        <v>0.80413933646649-0.132735430523318i</v>
      </c>
    </row>
    <row r="185" spans="7:44">
      <c r="G185" s="688">
        <v>10411.5</v>
      </c>
      <c r="H185" s="676">
        <f t="shared" si="88"/>
        <v>10.4115</v>
      </c>
      <c r="I185" s="677">
        <f t="shared" si="66"/>
        <v>9.214301821423053</v>
      </c>
      <c r="J185" s="678">
        <f t="shared" si="67"/>
        <v>1.4620552074555369</v>
      </c>
      <c r="K185" s="678">
        <f t="shared" si="68"/>
        <v>1.0001035569431227</v>
      </c>
      <c r="L185" s="679">
        <f t="shared" si="69"/>
        <v>1.4390830914999198E-2</v>
      </c>
      <c r="M185" s="678">
        <f t="shared" si="70"/>
        <v>1.0145629093625499</v>
      </c>
      <c r="N185" s="679">
        <f t="shared" si="71"/>
        <v>-0.16963694281327052</v>
      </c>
      <c r="O185" s="677">
        <f t="shared" si="72"/>
        <v>930235.19693904661</v>
      </c>
      <c r="P185" s="680">
        <f t="shared" si="73"/>
        <v>1.570795251797946</v>
      </c>
      <c r="Q185" s="689">
        <f t="shared" si="100"/>
        <v>4.7574613020581342</v>
      </c>
      <c r="R185" s="690">
        <f t="shared" si="101"/>
        <v>1.3590207497190585</v>
      </c>
      <c r="S185" s="677">
        <f t="shared" si="76"/>
        <v>1.0004806275661398</v>
      </c>
      <c r="T185" s="680">
        <f t="shared" si="77"/>
        <v>3.0997907757709275E-2</v>
      </c>
      <c r="U185" s="681">
        <f t="shared" si="89"/>
        <v>0.72660176524853348</v>
      </c>
      <c r="V185" s="682">
        <f t="shared" si="90"/>
        <v>-0.97857210742119272</v>
      </c>
      <c r="W185" s="683">
        <f t="shared" si="78"/>
        <v>-18.400813552235032</v>
      </c>
      <c r="X185" s="684">
        <f t="shared" si="79"/>
        <v>-162.64242615607327</v>
      </c>
      <c r="Y185" s="687">
        <f t="shared" si="80"/>
        <v>17.35757384392673</v>
      </c>
      <c r="AA185" s="170">
        <f t="shared" si="81"/>
        <v>10411.5</v>
      </c>
      <c r="AB185" s="170">
        <f t="shared" si="82"/>
        <v>108399332.25</v>
      </c>
      <c r="AD185" s="686">
        <f t="shared" si="83"/>
        <v>-0.72307364022716092</v>
      </c>
      <c r="AE185" s="687">
        <f t="shared" si="84"/>
        <v>-13.909834481751602</v>
      </c>
      <c r="AG185" s="686">
        <f t="shared" si="85"/>
        <v>45.600216646313044</v>
      </c>
      <c r="AH185" s="687">
        <f t="shared" si="86"/>
        <v>-36.596488137273546</v>
      </c>
      <c r="AJ185" s="170">
        <f t="shared" si="87"/>
        <v>0</v>
      </c>
      <c r="AK185" s="170">
        <f t="shared" si="99"/>
        <v>0</v>
      </c>
      <c r="AM185" s="170" t="str">
        <f t="shared" si="91"/>
        <v>1.05979057877231+0.99821094298253i</v>
      </c>
      <c r="AN185" s="170" t="str">
        <f t="shared" si="92"/>
        <v>1.63062258735472i</v>
      </c>
      <c r="AO185" s="170" t="str">
        <f t="shared" si="93"/>
        <v>0.612165531572747-0.64993002488182i</v>
      </c>
      <c r="AP185" s="170" t="str">
        <f t="shared" si="94"/>
        <v>-0.00996509646205103-0.166368490497088i</v>
      </c>
      <c r="AQ185" s="170" t="str">
        <f t="shared" si="95"/>
        <v>1.00996509646205+0.166368490497088i</v>
      </c>
      <c r="AR185" s="170" t="str">
        <f t="shared" si="96"/>
        <v>0.802991815352217-0.132274408956948i</v>
      </c>
    </row>
    <row r="186" spans="7:44">
      <c r="G186" s="688">
        <v>10471</v>
      </c>
      <c r="H186" s="676">
        <f t="shared" si="88"/>
        <v>10.471</v>
      </c>
      <c r="I186" s="677">
        <f t="shared" si="66"/>
        <v>9.2663415598806509</v>
      </c>
      <c r="J186" s="678">
        <f t="shared" si="67"/>
        <v>1.4626682951831038</v>
      </c>
      <c r="K186" s="678">
        <f t="shared" si="68"/>
        <v>1.0001047438846589</v>
      </c>
      <c r="L186" s="679">
        <f t="shared" si="69"/>
        <v>1.4473060681248567E-2</v>
      </c>
      <c r="M186" s="678">
        <f t="shared" si="70"/>
        <v>1.0147286226702517</v>
      </c>
      <c r="N186" s="679">
        <f t="shared" si="71"/>
        <v>-0.17058774314778005</v>
      </c>
      <c r="O186" s="677">
        <f t="shared" si="72"/>
        <v>935551.33718952059</v>
      </c>
      <c r="P186" s="680">
        <f t="shared" si="73"/>
        <v>1.5707952579064666</v>
      </c>
      <c r="Q186" s="689">
        <f t="shared" si="100"/>
        <v>4.7834514331079507</v>
      </c>
      <c r="R186" s="690">
        <f t="shared" si="101"/>
        <v>1.3601887686985972</v>
      </c>
      <c r="S186" s="677">
        <f t="shared" si="76"/>
        <v>1.0004861353387251</v>
      </c>
      <c r="T186" s="680">
        <f t="shared" si="77"/>
        <v>3.1174941242880536E-2</v>
      </c>
      <c r="U186" s="681">
        <f t="shared" si="89"/>
        <v>0.72456470039234855</v>
      </c>
      <c r="V186" s="682">
        <f t="shared" si="90"/>
        <v>-0.98288939207710169</v>
      </c>
      <c r="W186" s="683">
        <f t="shared" si="78"/>
        <v>-18.474910443644202</v>
      </c>
      <c r="X186" s="684">
        <f t="shared" si="79"/>
        <v>-162.91790217676615</v>
      </c>
      <c r="Y186" s="687">
        <f t="shared" si="80"/>
        <v>17.082097823233852</v>
      </c>
      <c r="AA186" s="170">
        <f t="shared" si="81"/>
        <v>10471</v>
      </c>
      <c r="AB186" s="170">
        <f t="shared" si="82"/>
        <v>109641841</v>
      </c>
      <c r="AD186" s="686">
        <f t="shared" si="83"/>
        <v>-0.72529648909540279</v>
      </c>
      <c r="AE186" s="687">
        <f t="shared" si="84"/>
        <v>-13.853055545293241</v>
      </c>
      <c r="AG186" s="686">
        <f t="shared" si="85"/>
        <v>45.577113665031163</v>
      </c>
      <c r="AH186" s="687">
        <f t="shared" si="86"/>
        <v>-36.434018714379164</v>
      </c>
      <c r="AJ186" s="170">
        <f t="shared" si="87"/>
        <v>0</v>
      </c>
      <c r="AK186" s="170">
        <f t="shared" si="99"/>
        <v>0</v>
      </c>
      <c r="AM186" s="170" t="str">
        <f t="shared" si="91"/>
        <v>1.06908991464694+0.997610436840994i</v>
      </c>
      <c r="AN186" s="170" t="str">
        <f t="shared" si="92"/>
        <v>1.63994132566789i</v>
      </c>
      <c r="AO186" s="170" t="str">
        <f t="shared" si="93"/>
        <v>0.60832081076724-0.651907417609308i</v>
      </c>
      <c r="AP186" s="170" t="str">
        <f t="shared" si="94"/>
        <v>-0.0115149857744892-0.166268406140166i</v>
      </c>
      <c r="AQ186" s="170" t="str">
        <f t="shared" si="95"/>
        <v>1.01151498577449+0.166268406140166i</v>
      </c>
      <c r="AR186" s="170" t="str">
        <f t="shared" si="96"/>
        <v>0.801851702835262-0.131804873349568i</v>
      </c>
    </row>
    <row r="187" spans="7:44">
      <c r="G187" s="688">
        <v>10532</v>
      </c>
      <c r="H187" s="676">
        <f t="shared" si="88"/>
        <v>10.532</v>
      </c>
      <c r="I187" s="677">
        <f t="shared" si="66"/>
        <v>9.319696799445234</v>
      </c>
      <c r="J187" s="678">
        <f t="shared" si="67"/>
        <v>1.4632897308032811</v>
      </c>
      <c r="K187" s="678">
        <f t="shared" si="68"/>
        <v>1.0001059677693882</v>
      </c>
      <c r="L187" s="679">
        <f t="shared" si="69"/>
        <v>1.4557363263602159E-2</v>
      </c>
      <c r="M187" s="678">
        <f t="shared" si="70"/>
        <v>1.0148994656258949</v>
      </c>
      <c r="N187" s="679">
        <f t="shared" si="71"/>
        <v>-0.1715621899972696</v>
      </c>
      <c r="O187" s="677">
        <f t="shared" si="72"/>
        <v>941001.49778244342</v>
      </c>
      <c r="P187" s="680">
        <f t="shared" si="73"/>
        <v>1.5707952640973319</v>
      </c>
      <c r="Q187" s="689">
        <f t="shared" si="100"/>
        <v>4.8101034781691601</v>
      </c>
      <c r="R187" s="690">
        <f t="shared" si="101"/>
        <v>1.361373128386697</v>
      </c>
      <c r="S187" s="677">
        <f t="shared" si="76"/>
        <v>1.0004918145141461</v>
      </c>
      <c r="T187" s="680">
        <f t="shared" si="77"/>
        <v>3.1356435727744124E-2</v>
      </c>
      <c r="U187" s="681">
        <f t="shared" si="89"/>
        <v>0.72247994166414176</v>
      </c>
      <c r="V187" s="682">
        <f t="shared" si="90"/>
        <v>-0.98730231896442877</v>
      </c>
      <c r="W187" s="683">
        <f t="shared" si="78"/>
        <v>-18.550576807436368</v>
      </c>
      <c r="X187" s="684">
        <f t="shared" si="79"/>
        <v>-163.19989182211643</v>
      </c>
      <c r="Y187" s="687">
        <f t="shared" si="80"/>
        <v>16.800108177883573</v>
      </c>
      <c r="AA187" s="170">
        <f t="shared" si="81"/>
        <v>10532</v>
      </c>
      <c r="AB187" s="170">
        <f t="shared" si="82"/>
        <v>110923024</v>
      </c>
      <c r="AD187" s="686">
        <f t="shared" si="83"/>
        <v>-0.7275386020254011</v>
      </c>
      <c r="AE187" s="687">
        <f t="shared" si="84"/>
        <v>-13.79559595637207</v>
      </c>
      <c r="AG187" s="686">
        <f t="shared" si="85"/>
        <v>45.55374452991969</v>
      </c>
      <c r="AH187" s="687">
        <f t="shared" si="86"/>
        <v>-36.267783776185475</v>
      </c>
      <c r="AJ187" s="170">
        <f t="shared" si="87"/>
        <v>0</v>
      </c>
      <c r="AK187" s="170">
        <f t="shared" si="99"/>
        <v>0</v>
      </c>
      <c r="AM187" s="170" t="str">
        <f t="shared" si="91"/>
        <v>1.07861745208736+0.996904858162148i</v>
      </c>
      <c r="AN187" s="170" t="str">
        <f t="shared" si="92"/>
        <v>1.64949499015703i</v>
      </c>
      <c r="AO187" s="170" t="str">
        <f t="shared" si="93"/>
        <v>0.604369739896721-0.653907686003143i</v>
      </c>
      <c r="AP187" s="170" t="str">
        <f t="shared" si="94"/>
        <v>-0.0131029086812259-0.166150809693691i</v>
      </c>
      <c r="AQ187" s="170" t="str">
        <f t="shared" si="95"/>
        <v>1.01310290868123+0.166150809693691i</v>
      </c>
      <c r="AR187" s="170" t="str">
        <f t="shared" si="96"/>
        <v>0.800690567502787-0.131314780526949i</v>
      </c>
    </row>
    <row r="188" spans="7:44">
      <c r="G188" s="688">
        <v>10593</v>
      </c>
      <c r="H188" s="676">
        <f t="shared" si="88"/>
        <v>10.593</v>
      </c>
      <c r="I188" s="677">
        <f t="shared" si="66"/>
        <v>9.3730555971352132</v>
      </c>
      <c r="J188" s="678">
        <f t="shared" si="67"/>
        <v>1.4639040912587347</v>
      </c>
      <c r="K188" s="678">
        <f t="shared" si="68"/>
        <v>1.0001071987617787</v>
      </c>
      <c r="L188" s="679">
        <f t="shared" si="69"/>
        <v>1.4641665639025456E-2</v>
      </c>
      <c r="M188" s="678">
        <f t="shared" si="70"/>
        <v>1.0150712719510129</v>
      </c>
      <c r="N188" s="679">
        <f t="shared" si="71"/>
        <v>-0.17253630791062735</v>
      </c>
      <c r="O188" s="677">
        <f t="shared" si="72"/>
        <v>946451.65837536636</v>
      </c>
      <c r="P188" s="680">
        <f t="shared" si="73"/>
        <v>1.570795270216897</v>
      </c>
      <c r="Q188" s="689">
        <f t="shared" si="100"/>
        <v>4.8367621960369354</v>
      </c>
      <c r="R188" s="690">
        <f t="shared" si="101"/>
        <v>1.3625444340636561</v>
      </c>
      <c r="S188" s="677">
        <f t="shared" si="76"/>
        <v>1.0004975266456411</v>
      </c>
      <c r="T188" s="680">
        <f t="shared" si="77"/>
        <v>3.1537928146176411E-2</v>
      </c>
      <c r="U188" s="681">
        <f t="shared" si="89"/>
        <v>0.72039895294169853</v>
      </c>
      <c r="V188" s="682">
        <f t="shared" si="90"/>
        <v>-0.991701973758222</v>
      </c>
      <c r="W188" s="683">
        <f t="shared" si="78"/>
        <v>-18.625944179514498</v>
      </c>
      <c r="X188" s="684">
        <f t="shared" si="79"/>
        <v>-163.48144463790862</v>
      </c>
      <c r="Y188" s="687">
        <f t="shared" si="80"/>
        <v>16.518555362091377</v>
      </c>
      <c r="AA188" s="170">
        <f t="shared" si="81"/>
        <v>10593</v>
      </c>
      <c r="AB188" s="170">
        <f t="shared" si="82"/>
        <v>112211649</v>
      </c>
      <c r="AD188" s="686">
        <f t="shared" si="83"/>
        <v>-0.7297443072449461</v>
      </c>
      <c r="AE188" s="687">
        <f t="shared" si="84"/>
        <v>-13.73888418471285</v>
      </c>
      <c r="AG188" s="686">
        <f t="shared" si="85"/>
        <v>45.530691714140509</v>
      </c>
      <c r="AH188" s="687">
        <f t="shared" si="86"/>
        <v>-36.101885061063086</v>
      </c>
      <c r="AJ188" s="170">
        <f t="shared" si="87"/>
        <v>0</v>
      </c>
      <c r="AK188" s="170">
        <f t="shared" si="99"/>
        <v>0</v>
      </c>
      <c r="AM188" s="170" t="str">
        <f t="shared" si="91"/>
        <v>1.08813781397054+0.996108290171553i</v>
      </c>
      <c r="AN188" s="170" t="str">
        <f t="shared" si="92"/>
        <v>1.65904865464616i</v>
      </c>
      <c r="AO188" s="170" t="str">
        <f t="shared" si="93"/>
        <v>0.60040932939607-0.655880592123211i</v>
      </c>
      <c r="AP188" s="170" t="str">
        <f t="shared" si="94"/>
        <v>-0.0146896356617569-0.166018048361925i</v>
      </c>
      <c r="AQ188" s="170" t="str">
        <f t="shared" si="95"/>
        <v>1.01468963566176+0.166018048361925i</v>
      </c>
      <c r="AR188" s="170" t="str">
        <f t="shared" si="96"/>
        <v>0.799537275208818-0.13081597895322i</v>
      </c>
    </row>
    <row r="189" spans="7:44">
      <c r="G189" s="688">
        <v>10654</v>
      </c>
      <c r="H189" s="676">
        <f t="shared" si="88"/>
        <v>10.654</v>
      </c>
      <c r="I189" s="677">
        <f t="shared" si="66"/>
        <v>9.4264178925276489</v>
      </c>
      <c r="J189" s="678">
        <f t="shared" si="67"/>
        <v>1.464511496237759</v>
      </c>
      <c r="K189" s="678">
        <f t="shared" si="68"/>
        <v>1.0001084368618041</v>
      </c>
      <c r="L189" s="679">
        <f t="shared" si="69"/>
        <v>1.4725967806320964E-2</v>
      </c>
      <c r="M189" s="678">
        <f t="shared" si="70"/>
        <v>1.0152440411565222</v>
      </c>
      <c r="N189" s="679">
        <f t="shared" si="71"/>
        <v>-0.17351009520662666</v>
      </c>
      <c r="O189" s="677">
        <f t="shared" si="72"/>
        <v>951901.81896828942</v>
      </c>
      <c r="P189" s="680">
        <f t="shared" si="73"/>
        <v>1.5707952762663862</v>
      </c>
      <c r="Q189" s="689">
        <f t="shared" si="100"/>
        <v>4.8634274769809673</v>
      </c>
      <c r="R189" s="690">
        <f t="shared" si="101"/>
        <v>1.3637028972070488</v>
      </c>
      <c r="S189" s="677">
        <f t="shared" si="76"/>
        <v>1.000503271732645</v>
      </c>
      <c r="T189" s="680">
        <f t="shared" si="77"/>
        <v>3.1719418486256368E-2</v>
      </c>
      <c r="U189" s="681">
        <f t="shared" si="89"/>
        <v>0.71832179665777318</v>
      </c>
      <c r="V189" s="682">
        <f t="shared" si="90"/>
        <v>-0.99608844656131246</v>
      </c>
      <c r="W189" s="683">
        <f t="shared" si="78"/>
        <v>-18.701015766109901</v>
      </c>
      <c r="X189" s="684">
        <f t="shared" si="79"/>
        <v>-163.76256043064484</v>
      </c>
      <c r="Y189" s="687">
        <f t="shared" si="80"/>
        <v>16.237439569355161</v>
      </c>
      <c r="AA189" s="170">
        <f t="shared" si="81"/>
        <v>10654</v>
      </c>
      <c r="AB189" s="170">
        <f t="shared" si="82"/>
        <v>113507716</v>
      </c>
      <c r="AD189" s="686">
        <f t="shared" si="83"/>
        <v>-0.7319144131876808</v>
      </c>
      <c r="AE189" s="687">
        <f t="shared" si="84"/>
        <v>-13.682908112930191</v>
      </c>
      <c r="AG189" s="686">
        <f t="shared" si="85"/>
        <v>45.507951358317371</v>
      </c>
      <c r="AH189" s="687">
        <f t="shared" si="86"/>
        <v>-35.936324167875611</v>
      </c>
      <c r="AJ189" s="170">
        <f t="shared" si="87"/>
        <v>0</v>
      </c>
      <c r="AK189" s="170">
        <f t="shared" si="99"/>
        <v>0</v>
      </c>
      <c r="AM189" s="170" t="str">
        <f t="shared" si="91"/>
        <v>1.09765013135584+0.99522080557341i</v>
      </c>
      <c r="AN189" s="170" t="str">
        <f t="shared" si="92"/>
        <v>1.6686023191353i</v>
      </c>
      <c r="AO189" s="170" t="str">
        <f t="shared" si="93"/>
        <v>0.59643978326073-0.657826085202052i</v>
      </c>
      <c r="AP189" s="170" t="str">
        <f t="shared" si="94"/>
        <v>-0.0162750218926405-0.165870134262235i</v>
      </c>
      <c r="AQ189" s="170" t="str">
        <f t="shared" si="95"/>
        <v>1.01627502189264+0.165870134262235i</v>
      </c>
      <c r="AR189" s="170" t="str">
        <f t="shared" si="96"/>
        <v>0.798391852048772-0.130308588561566i</v>
      </c>
    </row>
    <row r="190" spans="7:44">
      <c r="G190" s="688">
        <v>10715</v>
      </c>
      <c r="H190" s="676">
        <f t="shared" si="88"/>
        <v>10.715</v>
      </c>
      <c r="I190" s="677">
        <f t="shared" si="66"/>
        <v>9.4797836265561806</v>
      </c>
      <c r="J190" s="678">
        <f t="shared" si="67"/>
        <v>1.4651120627543393</v>
      </c>
      <c r="K190" s="678">
        <f t="shared" si="68"/>
        <v>1.0001096820694377</v>
      </c>
      <c r="L190" s="679">
        <f t="shared" si="69"/>
        <v>1.4810269764291213E-2</v>
      </c>
      <c r="M190" s="678">
        <f t="shared" si="70"/>
        <v>1.0154177727509328</v>
      </c>
      <c r="N190" s="679">
        <f t="shared" si="71"/>
        <v>-0.17448355020769021</v>
      </c>
      <c r="O190" s="677">
        <f t="shared" si="72"/>
        <v>957351.97956121236</v>
      </c>
      <c r="P190" s="680">
        <f t="shared" si="73"/>
        <v>1.5707952822469964</v>
      </c>
      <c r="Q190" s="689">
        <f t="shared" si="100"/>
        <v>4.8900992136376233</v>
      </c>
      <c r="R190" s="690">
        <f t="shared" si="101"/>
        <v>1.3648487248202485</v>
      </c>
      <c r="S190" s="677">
        <f t="shared" si="76"/>
        <v>1.0005090497745905</v>
      </c>
      <c r="T190" s="680">
        <f t="shared" si="77"/>
        <v>3.1900906736063751E-2</v>
      </c>
      <c r="U190" s="681">
        <f t="shared" si="89"/>
        <v>0.71624853343409178</v>
      </c>
      <c r="V190" s="682">
        <f t="shared" si="90"/>
        <v>-1.0004618277669743</v>
      </c>
      <c r="W190" s="683">
        <f t="shared" si="78"/>
        <v>-18.775794713537344</v>
      </c>
      <c r="X190" s="684">
        <f t="shared" si="79"/>
        <v>-164.04323912680226</v>
      </c>
      <c r="Y190" s="687">
        <f t="shared" si="80"/>
        <v>15.956760873197737</v>
      </c>
      <c r="AA190" s="170">
        <f t="shared" si="81"/>
        <v>10715</v>
      </c>
      <c r="AB190" s="170">
        <f t="shared" si="82"/>
        <v>114811225</v>
      </c>
      <c r="AD190" s="686">
        <f t="shared" si="83"/>
        <v>-0.73404970629823441</v>
      </c>
      <c r="AE190" s="687">
        <f t="shared" si="84"/>
        <v>-13.627655879990073</v>
      </c>
      <c r="AG190" s="686">
        <f t="shared" si="85"/>
        <v>45.485519667015126</v>
      </c>
      <c r="AH190" s="687">
        <f t="shared" si="86"/>
        <v>-35.771102525827942</v>
      </c>
      <c r="AJ190" s="170">
        <f t="shared" si="87"/>
        <v>0</v>
      </c>
      <c r="AK190" s="170">
        <f t="shared" si="99"/>
        <v>0</v>
      </c>
      <c r="AM190" s="170" t="str">
        <f t="shared" si="91"/>
        <v>1.10715353603681+0.994242485370047i</v>
      </c>
      <c r="AN190" s="170" t="str">
        <f t="shared" si="92"/>
        <v>1.67815598362443i</v>
      </c>
      <c r="AO190" s="170" t="str">
        <f t="shared" si="93"/>
        <v>0.5924613057856-0.659744116065787i</v>
      </c>
      <c r="AP190" s="170" t="str">
        <f t="shared" si="94"/>
        <v>-0.017858922672801-0.165707080895008i</v>
      </c>
      <c r="AQ190" s="170" t="str">
        <f t="shared" si="95"/>
        <v>1.0178589226728+0.165707080895008i</v>
      </c>
      <c r="AR190" s="170" t="str">
        <f t="shared" si="96"/>
        <v>0.797254322586036-0.129792728229713i</v>
      </c>
    </row>
    <row r="191" spans="7:44">
      <c r="G191" s="688">
        <v>10777.5</v>
      </c>
      <c r="H191" s="676">
        <f t="shared" si="88"/>
        <v>10.7775</v>
      </c>
      <c r="I191" s="677">
        <f t="shared" si="66"/>
        <v>9.5344651388659472</v>
      </c>
      <c r="J191" s="678">
        <f t="shared" si="67"/>
        <v>1.4657204241564614</v>
      </c>
      <c r="K191" s="678">
        <f t="shared" si="68"/>
        <v>1.0001109652688265</v>
      </c>
      <c r="L191" s="679">
        <f t="shared" si="69"/>
        <v>1.489664450286622E-2</v>
      </c>
      <c r="M191" s="678">
        <f t="shared" si="70"/>
        <v>1.0155967740950775</v>
      </c>
      <c r="N191" s="679">
        <f t="shared" si="71"/>
        <v>-0.1754805962242614</v>
      </c>
      <c r="O191" s="677">
        <f t="shared" si="72"/>
        <v>962936.16049658437</v>
      </c>
      <c r="P191" s="680">
        <f t="shared" si="73"/>
        <v>1.5707952883044536</v>
      </c>
      <c r="Q191" s="689">
        <f t="shared" si="100"/>
        <v>4.917433398610763</v>
      </c>
      <c r="R191" s="690">
        <f t="shared" si="101"/>
        <v>1.3660098349834866</v>
      </c>
      <c r="S191" s="677">
        <f t="shared" si="76"/>
        <v>1.000515004079394</v>
      </c>
      <c r="T191" s="680">
        <f t="shared" si="77"/>
        <v>3.2086855631217347E-2</v>
      </c>
      <c r="U191" s="681">
        <f t="shared" si="89"/>
        <v>0.71412838767611886</v>
      </c>
      <c r="V191" s="682">
        <f t="shared" si="90"/>
        <v>-1.0049292675016512</v>
      </c>
      <c r="W191" s="683">
        <f t="shared" si="78"/>
        <v>-18.85211219465446</v>
      </c>
      <c r="X191" s="684">
        <f t="shared" si="79"/>
        <v>-164.33036645273043</v>
      </c>
      <c r="Y191" s="687">
        <f t="shared" si="80"/>
        <v>15.669633547269569</v>
      </c>
      <c r="AA191" s="170">
        <f t="shared" si="81"/>
        <v>10777.5</v>
      </c>
      <c r="AB191" s="170">
        <f t="shared" si="82"/>
        <v>116154506.25</v>
      </c>
      <c r="AD191" s="686">
        <f t="shared" si="83"/>
        <v>-0.7362021991700568</v>
      </c>
      <c r="AE191" s="687">
        <f t="shared" si="84"/>
        <v>-13.571783601987088</v>
      </c>
      <c r="AG191" s="686">
        <f t="shared" si="85"/>
        <v>45.46285261692806</v>
      </c>
      <c r="AH191" s="687">
        <f t="shared" si="86"/>
        <v>-35.602171245122101</v>
      </c>
      <c r="AJ191" s="170">
        <f t="shared" si="87"/>
        <v>0</v>
      </c>
      <c r="AK191" s="170">
        <f t="shared" si="99"/>
        <v>0</v>
      </c>
      <c r="AM191" s="170" t="str">
        <f t="shared" si="91"/>
        <v>1.11688047983281+0.993145987976618i</v>
      </c>
      <c r="AN191" s="170" t="str">
        <f t="shared" si="92"/>
        <v>1.68794457428953i</v>
      </c>
      <c r="AO191" s="170" t="str">
        <f t="shared" si="93"/>
        <v>0.588375947352798-0.661680778412357i</v>
      </c>
      <c r="AP191" s="170" t="str">
        <f t="shared" si="94"/>
        <v>-0.0194800799721348-0.165524331329436i</v>
      </c>
      <c r="AQ191" s="170" t="str">
        <f t="shared" si="95"/>
        <v>1.01948007997213+0.165524331329436i</v>
      </c>
      <c r="AR191" s="170" t="str">
        <f t="shared" si="96"/>
        <v>0.796097032444785-0.129255521081269i</v>
      </c>
    </row>
    <row r="192" spans="7:44">
      <c r="G192" s="688">
        <v>10840</v>
      </c>
      <c r="H192" s="676">
        <f t="shared" si="88"/>
        <v>10.84</v>
      </c>
      <c r="I192" s="677">
        <f t="shared" si="66"/>
        <v>9.5891501396699628</v>
      </c>
      <c r="J192" s="678">
        <f t="shared" si="67"/>
        <v>1.4663218470528387</v>
      </c>
      <c r="K192" s="678">
        <f t="shared" si="68"/>
        <v>1.0001122559296196</v>
      </c>
      <c r="L192" s="679">
        <f t="shared" si="69"/>
        <v>1.498301901914968E-2</v>
      </c>
      <c r="M192" s="678">
        <f t="shared" si="70"/>
        <v>1.0157767846883334</v>
      </c>
      <c r="N192" s="679">
        <f t="shared" si="71"/>
        <v>-0.17647728984890354</v>
      </c>
      <c r="O192" s="677">
        <f t="shared" si="72"/>
        <v>968520.34143195627</v>
      </c>
      <c r="P192" s="680">
        <f t="shared" si="73"/>
        <v>1.5707952942920598</v>
      </c>
      <c r="Q192" s="689">
        <f t="shared" si="100"/>
        <v>4.9447741398532896</v>
      </c>
      <c r="R192" s="690">
        <f t="shared" si="101"/>
        <v>1.3671581066148188</v>
      </c>
      <c r="S192" s="677">
        <f t="shared" si="76"/>
        <v>1.0005209929785841</v>
      </c>
      <c r="T192" s="680">
        <f t="shared" si="77"/>
        <v>3.2272802306701764E-2</v>
      </c>
      <c r="U192" s="681">
        <f t="shared" si="89"/>
        <v>0.71201245192620044</v>
      </c>
      <c r="V192" s="682">
        <f t="shared" si="90"/>
        <v>-1.0093831568544143</v>
      </c>
      <c r="W192" s="683">
        <f t="shared" si="78"/>
        <v>-18.928128969135706</v>
      </c>
      <c r="X192" s="684">
        <f t="shared" si="79"/>
        <v>-164.61703513654797</v>
      </c>
      <c r="Y192" s="687">
        <f t="shared" si="80"/>
        <v>15.382964863452031</v>
      </c>
      <c r="AA192" s="170">
        <f t="shared" si="81"/>
        <v>10840</v>
      </c>
      <c r="AB192" s="170">
        <f t="shared" si="82"/>
        <v>117505600</v>
      </c>
      <c r="AD192" s="686">
        <f t="shared" si="83"/>
        <v>-0.7383197498133518</v>
      </c>
      <c r="AE192" s="687">
        <f t="shared" si="84"/>
        <v>-13.516646786498463</v>
      </c>
      <c r="AG192" s="686">
        <f t="shared" si="85"/>
        <v>45.440501732161408</v>
      </c>
      <c r="AH192" s="687">
        <f t="shared" si="86"/>
        <v>-35.433598619181929</v>
      </c>
      <c r="AJ192" s="170">
        <f t="shared" si="87"/>
        <v>0</v>
      </c>
      <c r="AK192" s="170">
        <f t="shared" si="99"/>
        <v>0</v>
      </c>
      <c r="AM192" s="170" t="str">
        <f t="shared" si="91"/>
        <v>1.12659622463889+0.991954331563292i</v>
      </c>
      <c r="AN192" s="170" t="str">
        <f t="shared" si="92"/>
        <v>1.69773316495463i</v>
      </c>
      <c r="AO192" s="170" t="str">
        <f t="shared" si="93"/>
        <v>0.584281648046736-0.663588511960887i</v>
      </c>
      <c r="AP192" s="170" t="str">
        <f t="shared" si="94"/>
        <v>-0.0210993707731492-0.165325721927215i</v>
      </c>
      <c r="AQ192" s="170" t="str">
        <f t="shared" si="95"/>
        <v>1.02109937077315+0.165325721927215i</v>
      </c>
      <c r="AR192" s="170" t="str">
        <f t="shared" si="96"/>
        <v>0.794948076422609-0.128709671547155i</v>
      </c>
    </row>
    <row r="193" spans="7:44">
      <c r="G193" s="688">
        <v>10902.5</v>
      </c>
      <c r="H193" s="676">
        <f t="shared" si="88"/>
        <v>10.9025</v>
      </c>
      <c r="I193" s="677">
        <f t="shared" si="66"/>
        <v>9.6438385696241262</v>
      </c>
      <c r="J193" s="678">
        <f t="shared" si="67"/>
        <v>1.4669164490456066</v>
      </c>
      <c r="K193" s="678">
        <f t="shared" si="68"/>
        <v>1.000113554051788</v>
      </c>
      <c r="L193" s="679">
        <f t="shared" si="69"/>
        <v>1.5069393311853649E-2</v>
      </c>
      <c r="M193" s="678">
        <f t="shared" si="70"/>
        <v>1.0159578039942345</v>
      </c>
      <c r="N193" s="679">
        <f t="shared" si="71"/>
        <v>-0.17747362928923169</v>
      </c>
      <c r="O193" s="677">
        <f t="shared" si="72"/>
        <v>974104.52236732841</v>
      </c>
      <c r="P193" s="680">
        <f t="shared" si="73"/>
        <v>1.5707953002110167</v>
      </c>
      <c r="Q193" s="689">
        <f t="shared" si="100"/>
        <v>4.9721213292102027</v>
      </c>
      <c r="R193" s="690">
        <f t="shared" si="101"/>
        <v>1.3682937485007625</v>
      </c>
      <c r="S193" s="677">
        <f t="shared" si="76"/>
        <v>1.000527016471539</v>
      </c>
      <c r="T193" s="680">
        <f t="shared" si="77"/>
        <v>3.2458746749698328E-2</v>
      </c>
      <c r="U193" s="681">
        <f t="shared" si="89"/>
        <v>0.70990078565038339</v>
      </c>
      <c r="V193" s="682">
        <f t="shared" si="90"/>
        <v>-1.0138235938883373</v>
      </c>
      <c r="W193" s="683">
        <f t="shared" si="78"/>
        <v>-19.003848236412512</v>
      </c>
      <c r="X193" s="684">
        <f t="shared" si="79"/>
        <v>-164.9032454690869</v>
      </c>
      <c r="Y193" s="687">
        <f t="shared" si="80"/>
        <v>15.096754530913103</v>
      </c>
      <c r="AA193" s="170">
        <f t="shared" si="81"/>
        <v>10902.5</v>
      </c>
      <c r="AB193" s="170">
        <f t="shared" si="82"/>
        <v>118864506.25</v>
      </c>
      <c r="AD193" s="686">
        <f t="shared" si="83"/>
        <v>-0.74040313686231229</v>
      </c>
      <c r="AE193" s="687">
        <f t="shared" si="84"/>
        <v>-13.462233470272302</v>
      </c>
      <c r="AG193" s="686">
        <f t="shared" si="85"/>
        <v>45.418463131496338</v>
      </c>
      <c r="AH193" s="687">
        <f t="shared" si="86"/>
        <v>-35.265385664890864</v>
      </c>
      <c r="AJ193" s="170">
        <f t="shared" si="87"/>
        <v>0</v>
      </c>
      <c r="AK193" s="170">
        <f t="shared" si="99"/>
        <v>0</v>
      </c>
      <c r="AM193" s="170" t="str">
        <f t="shared" si="91"/>
        <v>1.13629983953376+0.990667630309515i</v>
      </c>
      <c r="AN193" s="170" t="str">
        <f t="shared" si="92"/>
        <v>1.70752175561973i</v>
      </c>
      <c r="AO193" s="170" t="str">
        <f t="shared" si="93"/>
        <v>0.580178628500087-0.665467269037137i</v>
      </c>
      <c r="AP193" s="170" t="str">
        <f t="shared" si="94"/>
        <v>-0.022716639922294-0.165111271718252i</v>
      </c>
      <c r="AQ193" s="170" t="str">
        <f t="shared" si="95"/>
        <v>1.02271663992229+0.165111271718252i</v>
      </c>
      <c r="AR193" s="170" t="str">
        <f t="shared" si="96"/>
        <v>0.793807476175896-0.128155303995853i</v>
      </c>
    </row>
    <row r="194" spans="7:44">
      <c r="G194" s="688">
        <v>10965</v>
      </c>
      <c r="H194" s="676">
        <f t="shared" si="88"/>
        <v>10.965</v>
      </c>
      <c r="I194" s="677">
        <f t="shared" si="66"/>
        <v>9.6985303707191814</v>
      </c>
      <c r="J194" s="678">
        <f t="shared" si="67"/>
        <v>1.4675043451037222</v>
      </c>
      <c r="K194" s="678">
        <f t="shared" si="68"/>
        <v>1.0001148596353027</v>
      </c>
      <c r="L194" s="679">
        <f t="shared" si="69"/>
        <v>1.515576737969021E-2</v>
      </c>
      <c r="M194" s="678">
        <f t="shared" si="70"/>
        <v>1.0161398314736925</v>
      </c>
      <c r="N194" s="679">
        <f t="shared" si="71"/>
        <v>-0.17846961275694723</v>
      </c>
      <c r="O194" s="677">
        <f t="shared" si="72"/>
        <v>979688.70330270054</v>
      </c>
      <c r="P194" s="680">
        <f t="shared" si="73"/>
        <v>1.570795306062498</v>
      </c>
      <c r="Q194" s="689">
        <f t="shared" si="100"/>
        <v>4.9994748608677071</v>
      </c>
      <c r="R194" s="690">
        <f t="shared" si="101"/>
        <v>1.3694169649904449</v>
      </c>
      <c r="S194" s="677">
        <f t="shared" si="76"/>
        <v>1.0005330745576346</v>
      </c>
      <c r="T194" s="680">
        <f t="shared" si="77"/>
        <v>3.2644688947389297E-2</v>
      </c>
      <c r="U194" s="681">
        <f t="shared" si="89"/>
        <v>0.7077934464380099</v>
      </c>
      <c r="V194" s="682">
        <f t="shared" si="90"/>
        <v>-1.0182506769119521</v>
      </c>
      <c r="W194" s="683">
        <f t="shared" si="78"/>
        <v>-19.079273137103584</v>
      </c>
      <c r="X194" s="684">
        <f t="shared" si="79"/>
        <v>-165.18899785884943</v>
      </c>
      <c r="Y194" s="687">
        <f t="shared" si="80"/>
        <v>14.811002141150567</v>
      </c>
      <c r="AA194" s="170">
        <f t="shared" si="81"/>
        <v>10965</v>
      </c>
      <c r="AB194" s="170">
        <f t="shared" si="82"/>
        <v>120231225</v>
      </c>
      <c r="AD194" s="686">
        <f t="shared" si="83"/>
        <v>-0.74245311770712785</v>
      </c>
      <c r="AE194" s="687">
        <f t="shared" si="84"/>
        <v>-13.408531944298895</v>
      </c>
      <c r="AG194" s="686">
        <f t="shared" si="85"/>
        <v>45.396732999067979</v>
      </c>
      <c r="AH194" s="687">
        <f t="shared" si="86"/>
        <v>-35.097533234432817</v>
      </c>
      <c r="AJ194" s="170">
        <f t="shared" si="87"/>
        <v>0</v>
      </c>
      <c r="AK194" s="170">
        <f t="shared" si="99"/>
        <v>0</v>
      </c>
      <c r="AM194" s="170" t="str">
        <f t="shared" si="91"/>
        <v>1.14599039475835+0.989286007501521i</v>
      </c>
      <c r="AN194" s="170" t="str">
        <f t="shared" si="92"/>
        <v>1.71731034628483i</v>
      </c>
      <c r="AO194" s="170" t="str">
        <f t="shared" si="93"/>
        <v>0.576067109618077-0.667317003730599i</v>
      </c>
      <c r="AP194" s="170" t="str">
        <f t="shared" si="94"/>
        <v>-0.0243317324597258-0.164881001250253i</v>
      </c>
      <c r="AQ194" s="170" t="str">
        <f t="shared" si="95"/>
        <v>1.02433173245973+0.164881001250253i</v>
      </c>
      <c r="AR194" s="170" t="str">
        <f t="shared" si="96"/>
        <v>0.792675251833459-0.127592541602469i</v>
      </c>
    </row>
    <row r="195" spans="7:44">
      <c r="G195" s="688">
        <v>11028.75</v>
      </c>
      <c r="H195" s="676">
        <f t="shared" si="88"/>
        <v>11.02875</v>
      </c>
      <c r="I195" s="677">
        <f t="shared" si="66"/>
        <v>9.7543194219782503</v>
      </c>
      <c r="J195" s="678">
        <f t="shared" si="67"/>
        <v>1.4680972071917129</v>
      </c>
      <c r="K195" s="678">
        <f t="shared" si="68"/>
        <v>1.0001161990171361</v>
      </c>
      <c r="L195" s="679">
        <f t="shared" si="69"/>
        <v>1.524386869588946E-2</v>
      </c>
      <c r="M195" s="678">
        <f t="shared" si="70"/>
        <v>1.0163265375613406</v>
      </c>
      <c r="N195" s="679">
        <f t="shared" si="71"/>
        <v>-0.17948514732072032</v>
      </c>
      <c r="O195" s="677">
        <f t="shared" si="72"/>
        <v>985384.56785678002</v>
      </c>
      <c r="P195" s="680">
        <f t="shared" si="73"/>
        <v>1.5707953119626854</v>
      </c>
      <c r="Q195" s="689">
        <f t="shared" si="100"/>
        <v>5.027381889635234</v>
      </c>
      <c r="R195" s="690">
        <f t="shared" si="101"/>
        <v>1.3705500525865699</v>
      </c>
      <c r="S195" s="677">
        <f t="shared" si="76"/>
        <v>1.0005392894426537</v>
      </c>
      <c r="T195" s="680">
        <f t="shared" si="77"/>
        <v>3.2834347662628355E-2</v>
      </c>
      <c r="U195" s="681">
        <f t="shared" si="89"/>
        <v>0.70564847598141689</v>
      </c>
      <c r="V195" s="682">
        <f t="shared" si="90"/>
        <v>-1.0227526464845689</v>
      </c>
      <c r="W195" s="683">
        <f t="shared" si="78"/>
        <v>-19.155906476845061</v>
      </c>
      <c r="X195" s="684">
        <f t="shared" si="79"/>
        <v>-165.47999406644084</v>
      </c>
      <c r="Y195" s="687">
        <f t="shared" si="80"/>
        <v>14.520005933559162</v>
      </c>
      <c r="AA195" s="170">
        <f t="shared" si="81"/>
        <v>11028.75</v>
      </c>
      <c r="AB195" s="170">
        <f t="shared" si="82"/>
        <v>121633326.5625</v>
      </c>
      <c r="AD195" s="686">
        <f t="shared" si="83"/>
        <v>-0.74451044713979064</v>
      </c>
      <c r="AE195" s="687">
        <f t="shared" si="84"/>
        <v>-13.354477789147447</v>
      </c>
      <c r="AG195" s="686">
        <f t="shared" si="85"/>
        <v>45.374882157496614</v>
      </c>
      <c r="AH195" s="687">
        <f t="shared" si="86"/>
        <v>-34.926695884571622</v>
      </c>
      <c r="AJ195" s="170">
        <f t="shared" si="87"/>
        <v>0</v>
      </c>
      <c r="AK195" s="170">
        <f t="shared" si="99"/>
        <v>0</v>
      </c>
      <c r="AM195" s="170" t="str">
        <f t="shared" si="91"/>
        <v>1.15586034409631+0.987779101387644i</v>
      </c>
      <c r="AN195" s="170" t="str">
        <f t="shared" si="92"/>
        <v>1.72729470876323i</v>
      </c>
      <c r="AO195" s="170" t="str">
        <f t="shared" si="93"/>
        <v>0.571864833705714-0.669173788486809i</v>
      </c>
      <c r="AP195" s="170" t="str">
        <f t="shared" si="94"/>
        <v>-0.0259767240160513-0.164629850231274i</v>
      </c>
      <c r="AQ195" s="170" t="str">
        <f t="shared" si="95"/>
        <v>1.02597672401605+0.164629850231274i</v>
      </c>
      <c r="AR195" s="170" t="str">
        <f t="shared" si="96"/>
        <v>0.791529031184893-0.127010002086203i</v>
      </c>
    </row>
    <row r="196" spans="7:44">
      <c r="G196" s="688">
        <v>11092.5</v>
      </c>
      <c r="H196" s="676">
        <f t="shared" si="88"/>
        <v>11.092499999999999</v>
      </c>
      <c r="I196" s="677">
        <f t="shared" si="66"/>
        <v>9.8101118627429891</v>
      </c>
      <c r="J196" s="678">
        <f t="shared" si="67"/>
        <v>1.4686833259882013</v>
      </c>
      <c r="K196" s="678">
        <f t="shared" si="68"/>
        <v>1.0001175461616927</v>
      </c>
      <c r="L196" s="679">
        <f t="shared" si="69"/>
        <v>1.5331969775430014E-2</v>
      </c>
      <c r="M196" s="678">
        <f t="shared" si="70"/>
        <v>1.0165142914115046</v>
      </c>
      <c r="N196" s="679">
        <f t="shared" si="71"/>
        <v>-0.18050030778533571</v>
      </c>
      <c r="O196" s="677">
        <f t="shared" si="72"/>
        <v>991080.43241085962</v>
      </c>
      <c r="P196" s="680">
        <f t="shared" si="73"/>
        <v>1.5707953177950544</v>
      </c>
      <c r="Q196" s="689">
        <f t="shared" si="100"/>
        <v>5.0552953017274298</v>
      </c>
      <c r="R196" s="690">
        <f t="shared" si="101"/>
        <v>1.3716706286532996</v>
      </c>
      <c r="S196" s="677">
        <f t="shared" si="76"/>
        <v>1.0005455403170516</v>
      </c>
      <c r="T196" s="680">
        <f t="shared" si="77"/>
        <v>3.302400401491655E-2</v>
      </c>
      <c r="U196" s="681">
        <f t="shared" si="89"/>
        <v>0.70350812259644224</v>
      </c>
      <c r="V196" s="682">
        <f t="shared" si="90"/>
        <v>-1.0272409298556813</v>
      </c>
      <c r="W196" s="683">
        <f t="shared" si="78"/>
        <v>-19.232239978191735</v>
      </c>
      <c r="X196" s="684">
        <f t="shared" si="79"/>
        <v>-165.77051504811826</v>
      </c>
      <c r="Y196" s="687">
        <f t="shared" si="80"/>
        <v>14.229484951881744</v>
      </c>
      <c r="AA196" s="170">
        <f t="shared" si="81"/>
        <v>11092.5</v>
      </c>
      <c r="AB196" s="170">
        <f t="shared" si="82"/>
        <v>123043556.25</v>
      </c>
      <c r="AD196" s="686">
        <f t="shared" si="83"/>
        <v>-0.74653454790550366</v>
      </c>
      <c r="AE196" s="687">
        <f t="shared" si="84"/>
        <v>-13.301140352553617</v>
      </c>
      <c r="AG196" s="686">
        <f t="shared" si="85"/>
        <v>45.353344429286686</v>
      </c>
      <c r="AH196" s="687">
        <f t="shared" si="86"/>
        <v>-34.756234913408207</v>
      </c>
      <c r="AJ196" s="170">
        <f t="shared" si="87"/>
        <v>0</v>
      </c>
      <c r="AK196" s="170">
        <f t="shared" si="99"/>
        <v>0</v>
      </c>
      <c r="AM196" s="170" t="str">
        <f t="shared" si="91"/>
        <v>1.1657147562362+0.986173726868434i</v>
      </c>
      <c r="AN196" s="170" t="str">
        <f t="shared" si="92"/>
        <v>1.73727907124163i</v>
      </c>
      <c r="AO196" s="170" t="str">
        <f t="shared" si="93"/>
        <v>0.567654180144827-0.671000287480045i</v>
      </c>
      <c r="AP196" s="170" t="str">
        <f t="shared" si="94"/>
        <v>-0.0276191260393667-0.164362287811406i</v>
      </c>
      <c r="AQ196" s="170" t="str">
        <f t="shared" si="95"/>
        <v>1.02761912603937+0.164362287811406i</v>
      </c>
      <c r="AR196" s="170" t="str">
        <f t="shared" si="96"/>
        <v>0.790391562444558-0.126418983627639i</v>
      </c>
    </row>
    <row r="197" spans="7:44">
      <c r="G197" s="688">
        <v>11156.25</v>
      </c>
      <c r="H197" s="676">
        <f t="shared" si="88"/>
        <v>11.15625</v>
      </c>
      <c r="I197" s="677">
        <f t="shared" si="66"/>
        <v>9.8659076355096751</v>
      </c>
      <c r="J197" s="678">
        <f t="shared" si="67"/>
        <v>1.4692628154953027</v>
      </c>
      <c r="K197" s="678">
        <f t="shared" si="68"/>
        <v>1.0001189010689406</v>
      </c>
      <c r="L197" s="679">
        <f t="shared" si="69"/>
        <v>1.5420070616945189E-2</v>
      </c>
      <c r="M197" s="678">
        <f t="shared" si="70"/>
        <v>1.0167030924437157</v>
      </c>
      <c r="N197" s="679">
        <f t="shared" si="71"/>
        <v>-0.18151509226628049</v>
      </c>
      <c r="O197" s="677">
        <f t="shared" si="72"/>
        <v>996776.29696493922</v>
      </c>
      <c r="P197" s="680">
        <f t="shared" si="73"/>
        <v>1.5707953235607677</v>
      </c>
      <c r="Q197" s="689">
        <f t="shared" si="100"/>
        <v>5.0832149919862157</v>
      </c>
      <c r="R197" s="690">
        <f t="shared" si="101"/>
        <v>1.3727788965127075</v>
      </c>
      <c r="S197" s="677">
        <f t="shared" si="76"/>
        <v>1.0005518271801539</v>
      </c>
      <c r="T197" s="680">
        <f t="shared" si="77"/>
        <v>3.3213657990654601E-2</v>
      </c>
      <c r="U197" s="681">
        <f t="shared" si="89"/>
        <v>0.70137244155507994</v>
      </c>
      <c r="V197" s="682">
        <f t="shared" si="90"/>
        <v>-1.0317156320275254</v>
      </c>
      <c r="W197" s="683">
        <f t="shared" si="78"/>
        <v>-19.308276795529146</v>
      </c>
      <c r="X197" s="684">
        <f t="shared" si="79"/>
        <v>-166.06056159380117</v>
      </c>
      <c r="Y197" s="687">
        <f t="shared" si="80"/>
        <v>13.939438406198832</v>
      </c>
      <c r="AA197" s="170">
        <f t="shared" si="81"/>
        <v>11156.25</v>
      </c>
      <c r="AB197" s="170">
        <f t="shared" si="82"/>
        <v>124461914.0625</v>
      </c>
      <c r="AD197" s="686">
        <f t="shared" si="83"/>
        <v>-0.74852615978794323</v>
      </c>
      <c r="AE197" s="687">
        <f t="shared" si="84"/>
        <v>-13.248507984308104</v>
      </c>
      <c r="AG197" s="686">
        <f t="shared" si="85"/>
        <v>45.332115967376929</v>
      </c>
      <c r="AH197" s="687">
        <f t="shared" si="86"/>
        <v>-34.586150728701334</v>
      </c>
      <c r="AJ197" s="170">
        <f t="shared" si="87"/>
        <v>0</v>
      </c>
      <c r="AK197" s="170">
        <f t="shared" si="99"/>
        <v>0</v>
      </c>
      <c r="AM197" s="170" t="str">
        <f t="shared" si="91"/>
        <v>1.17555264882454+0.984470043978326i</v>
      </c>
      <c r="AN197" s="170" t="str">
        <f t="shared" si="92"/>
        <v>1.74726343372003i</v>
      </c>
      <c r="AO197" s="170" t="str">
        <f t="shared" si="93"/>
        <v>0.563435384143723-0.672796457670792i</v>
      </c>
      <c r="AP197" s="170" t="str">
        <f t="shared" si="94"/>
        <v>-0.0292587748040903-0.164078340663054i</v>
      </c>
      <c r="AQ197" s="170" t="str">
        <f t="shared" si="95"/>
        <v>1.02925877480409+0.164078340663054i</v>
      </c>
      <c r="AR197" s="170" t="str">
        <f t="shared" si="96"/>
        <v>0.789262862314775-0.125819613070804i</v>
      </c>
    </row>
    <row r="198" spans="7:44">
      <c r="G198" s="688">
        <v>11220</v>
      </c>
      <c r="H198" s="676">
        <f t="shared" si="88"/>
        <v>11.22</v>
      </c>
      <c r="I198" s="677">
        <f t="shared" si="66"/>
        <v>9.9217066840647092</v>
      </c>
      <c r="J198" s="678">
        <f t="shared" si="67"/>
        <v>1.4698357871686099</v>
      </c>
      <c r="K198" s="678">
        <f t="shared" si="68"/>
        <v>1.0001202637388489</v>
      </c>
      <c r="L198" s="679">
        <f t="shared" si="69"/>
        <v>1.5508171219068318E-2</v>
      </c>
      <c r="M198" s="678">
        <f t="shared" si="70"/>
        <v>1.0168929400747</v>
      </c>
      <c r="N198" s="679">
        <f t="shared" si="71"/>
        <v>-0.18252949888353501</v>
      </c>
      <c r="O198" s="677">
        <f t="shared" si="72"/>
        <v>1002472.1615190189</v>
      </c>
      <c r="P198" s="680">
        <f t="shared" si="73"/>
        <v>1.5707953292609615</v>
      </c>
      <c r="Q198" s="689">
        <f t="shared" si="100"/>
        <v>5.1111408575278325</v>
      </c>
      <c r="R198" s="690">
        <f t="shared" si="101"/>
        <v>1.3738750551657293</v>
      </c>
      <c r="S198" s="677">
        <f t="shared" si="76"/>
        <v>1.0005581500312821</v>
      </c>
      <c r="T198" s="680">
        <f t="shared" si="77"/>
        <v>3.3403309576244253E-2</v>
      </c>
      <c r="U198" s="681">
        <f t="shared" si="89"/>
        <v>0.69924148622671423</v>
      </c>
      <c r="V198" s="682">
        <f t="shared" si="90"/>
        <v>-1.0361768581935873</v>
      </c>
      <c r="W198" s="683">
        <f t="shared" si="78"/>
        <v>-19.38402002656678</v>
      </c>
      <c r="X198" s="684">
        <f t="shared" si="79"/>
        <v>-166.35013460630074</v>
      </c>
      <c r="Y198" s="687">
        <f t="shared" si="80"/>
        <v>13.649865393699258</v>
      </c>
      <c r="AA198" s="170">
        <f t="shared" si="81"/>
        <v>11220</v>
      </c>
      <c r="AB198" s="170">
        <f t="shared" si="82"/>
        <v>125888400</v>
      </c>
      <c r="AD198" s="686">
        <f t="shared" si="83"/>
        <v>-0.75048600241491159</v>
      </c>
      <c r="AE198" s="687">
        <f t="shared" si="84"/>
        <v>-13.196569281783166</v>
      </c>
      <c r="AG198" s="686">
        <f t="shared" si="85"/>
        <v>45.311192990305578</v>
      </c>
      <c r="AH198" s="687">
        <f t="shared" si="86"/>
        <v>-34.416443581604405</v>
      </c>
      <c r="AJ198" s="170">
        <f t="shared" si="87"/>
        <v>0</v>
      </c>
      <c r="AK198" s="170">
        <f t="shared" si="99"/>
        <v>0</v>
      </c>
      <c r="AM198" s="170" t="str">
        <f t="shared" si="91"/>
        <v>1.18537304115462+0.982668222551787i</v>
      </c>
      <c r="AN198" s="170" t="str">
        <f t="shared" si="92"/>
        <v>1.75724779619843i</v>
      </c>
      <c r="AO198" s="170" t="str">
        <f t="shared" si="93"/>
        <v>0.559208681141987-0.674562257934832i</v>
      </c>
      <c r="AP198" s="170" t="str">
        <f t="shared" si="94"/>
        <v>-0.0308955068591033-0.163778037091965i</v>
      </c>
      <c r="AQ198" s="170" t="str">
        <f t="shared" si="95"/>
        <v>1.0308955068591+0.163778037091965i</v>
      </c>
      <c r="AR198" s="170" t="str">
        <f t="shared" si="96"/>
        <v>0.788142946013153-0.125212015948339i</v>
      </c>
    </row>
    <row r="199" spans="7:44">
      <c r="G199" s="688">
        <v>11285.5</v>
      </c>
      <c r="H199" s="676">
        <f t="shared" si="88"/>
        <v>11.285500000000001</v>
      </c>
      <c r="I199" s="677">
        <f t="shared" si="66"/>
        <v>9.9790408253574636</v>
      </c>
      <c r="J199" s="678">
        <f t="shared" si="67"/>
        <v>1.4704178133342836</v>
      </c>
      <c r="K199" s="678">
        <f t="shared" si="68"/>
        <v>1.0001216719005726</v>
      </c>
      <c r="L199" s="679">
        <f t="shared" si="69"/>
        <v>1.5598690018316848E-2</v>
      </c>
      <c r="M199" s="678">
        <f t="shared" si="70"/>
        <v>1.0170890886816029</v>
      </c>
      <c r="N199" s="679">
        <f t="shared" si="71"/>
        <v>-0.18357135642051045</v>
      </c>
      <c r="O199" s="677">
        <f t="shared" si="72"/>
        <v>1008324.3831392891</v>
      </c>
      <c r="P199" s="680">
        <f t="shared" si="73"/>
        <v>1.5707953350505566</v>
      </c>
      <c r="Q199" s="689">
        <f t="shared" si="100"/>
        <v>5.1398396415458034</v>
      </c>
      <c r="R199" s="690">
        <f t="shared" si="101"/>
        <v>1.3749888967785322</v>
      </c>
      <c r="S199" s="677">
        <f t="shared" si="76"/>
        <v>1.0005646839336011</v>
      </c>
      <c r="T199" s="680">
        <f t="shared" si="77"/>
        <v>3.3598164780032608E-2</v>
      </c>
      <c r="U199" s="681">
        <f t="shared" si="89"/>
        <v>0.69705701028330569</v>
      </c>
      <c r="V199" s="682">
        <f t="shared" si="90"/>
        <v>-1.0407466241649552</v>
      </c>
      <c r="W199" s="683">
        <f t="shared" si="78"/>
        <v>-19.461539895486688</v>
      </c>
      <c r="X199" s="684">
        <f t="shared" si="79"/>
        <v>-166.64716453663337</v>
      </c>
      <c r="Y199" s="687">
        <f t="shared" si="80"/>
        <v>13.352835463366631</v>
      </c>
      <c r="AA199" s="170">
        <f t="shared" si="81"/>
        <v>11285.5</v>
      </c>
      <c r="AB199" s="170">
        <f t="shared" si="82"/>
        <v>127362510.25</v>
      </c>
      <c r="AD199" s="686">
        <f t="shared" si="83"/>
        <v>-0.75246729102328036</v>
      </c>
      <c r="AE199" s="687">
        <f t="shared" si="84"/>
        <v>-13.143915570775937</v>
      </c>
      <c r="AG199" s="686">
        <f t="shared" si="85"/>
        <v>45.290009929216225</v>
      </c>
      <c r="AH199" s="687">
        <f t="shared" si="86"/>
        <v>-34.242470615302068</v>
      </c>
      <c r="AJ199" s="170">
        <f t="shared" si="87"/>
        <v>0</v>
      </c>
      <c r="AK199" s="170">
        <f t="shared" si="99"/>
        <v>0</v>
      </c>
      <c r="AM199" s="170" t="str">
        <f t="shared" si="91"/>
        <v>1.19544375647302+0.980714911712735i</v>
      </c>
      <c r="AN199" s="170" t="str">
        <f t="shared" si="92"/>
        <v>1.76750623921545i</v>
      </c>
      <c r="AO199" s="170" t="str">
        <f t="shared" si="93"/>
        <v>0.554857963131179-0.676344858054728i</v>
      </c>
      <c r="AP199" s="170" t="str">
        <f t="shared" si="94"/>
        <v>-0.0325739594121693-0.163452485285456i</v>
      </c>
      <c r="AQ199" s="170" t="str">
        <f t="shared" si="95"/>
        <v>1.03257395941217+0.163452485285456i</v>
      </c>
      <c r="AR199" s="170" t="str">
        <f t="shared" si="96"/>
        <v>0.787001450203317-0.124579301837344i</v>
      </c>
    </row>
    <row r="200" spans="7:44">
      <c r="G200" s="688">
        <v>11351</v>
      </c>
      <c r="H200" s="676">
        <f t="shared" si="88"/>
        <v>11.351000000000001</v>
      </c>
      <c r="I200" s="677">
        <f t="shared" si="66"/>
        <v>10.036378308471638</v>
      </c>
      <c r="J200" s="678">
        <f t="shared" si="67"/>
        <v>1.4709931895021968</v>
      </c>
      <c r="K200" s="678">
        <f t="shared" si="68"/>
        <v>1.000123088256923</v>
      </c>
      <c r="L200" s="679">
        <f t="shared" si="69"/>
        <v>1.568920856192486E-2</v>
      </c>
      <c r="M200" s="678">
        <f t="shared" si="70"/>
        <v>1.0172863408788348</v>
      </c>
      <c r="N200" s="679">
        <f t="shared" si="71"/>
        <v>-0.18461281105446384</v>
      </c>
      <c r="O200" s="677">
        <f t="shared" si="72"/>
        <v>1014176.6047595592</v>
      </c>
      <c r="P200" s="680">
        <f t="shared" si="73"/>
        <v>1.5707953407733346</v>
      </c>
      <c r="Q200" s="689">
        <f t="shared" si="100"/>
        <v>5.1685447314515605</v>
      </c>
      <c r="R200" s="690">
        <f t="shared" si="101"/>
        <v>1.376090367626867</v>
      </c>
      <c r="S200" s="677">
        <f t="shared" si="76"/>
        <v>1.0005712558254136</v>
      </c>
      <c r="T200" s="680">
        <f t="shared" si="77"/>
        <v>3.3793017431546744E-2</v>
      </c>
      <c r="U200" s="681">
        <f t="shared" si="89"/>
        <v>0.69487763125658841</v>
      </c>
      <c r="V200" s="682">
        <f t="shared" si="90"/>
        <v>-1.0453023898055469</v>
      </c>
      <c r="W200" s="683">
        <f t="shared" si="78"/>
        <v>-19.538756291521334</v>
      </c>
      <c r="X200" s="684">
        <f t="shared" si="79"/>
        <v>-166.94369686282954</v>
      </c>
      <c r="Y200" s="687">
        <f t="shared" si="80"/>
        <v>13.05630313717046</v>
      </c>
      <c r="AA200" s="170">
        <f t="shared" si="81"/>
        <v>11351</v>
      </c>
      <c r="AB200" s="170">
        <f t="shared" si="82"/>
        <v>128845201</v>
      </c>
      <c r="AD200" s="686">
        <f t="shared" si="83"/>
        <v>-0.75441651986877234</v>
      </c>
      <c r="AE200" s="687">
        <f t="shared" si="84"/>
        <v>-13.091970502300034</v>
      </c>
      <c r="AG200" s="686">
        <f t="shared" si="85"/>
        <v>45.26914146900473</v>
      </c>
      <c r="AH200" s="687">
        <f t="shared" si="86"/>
        <v>-34.068895722064411</v>
      </c>
      <c r="AJ200" s="170">
        <f t="shared" si="87"/>
        <v>0</v>
      </c>
      <c r="AK200" s="170">
        <f t="shared" si="99"/>
        <v>0</v>
      </c>
      <c r="AM200" s="170" t="str">
        <f t="shared" si="91"/>
        <v>1.20549390432042+0.978658395604488i</v>
      </c>
      <c r="AN200" s="170" t="str">
        <f t="shared" si="92"/>
        <v>1.77776468223247i</v>
      </c>
      <c r="AO200" s="170" t="str">
        <f t="shared" si="93"/>
        <v>0.550499402640576-0.67809531619595i</v>
      </c>
      <c r="AP200" s="170" t="str">
        <f t="shared" si="94"/>
        <v>-0.034248984053403-0.163109732600748i</v>
      </c>
      <c r="AQ200" s="170" t="str">
        <f t="shared" si="95"/>
        <v>1.0342489840534+0.163109732600748i</v>
      </c>
      <c r="AR200" s="170" t="str">
        <f t="shared" si="96"/>
        <v>0.785869255021527-0.123938167715998i</v>
      </c>
    </row>
    <row r="201" spans="7:44">
      <c r="G201" s="688">
        <v>11416.5</v>
      </c>
      <c r="H201" s="676">
        <f t="shared" si="88"/>
        <v>11.416499999999999</v>
      </c>
      <c r="I201" s="677">
        <f t="shared" si="66"/>
        <v>10.093719076457479</v>
      </c>
      <c r="J201" s="678">
        <f t="shared" si="67"/>
        <v>1.4715620286207514</v>
      </c>
      <c r="K201" s="678">
        <f t="shared" si="68"/>
        <v>1.0001245128078655</v>
      </c>
      <c r="L201" s="679">
        <f t="shared" si="69"/>
        <v>1.5779726848410097E-2</v>
      </c>
      <c r="M201" s="678">
        <f t="shared" si="70"/>
        <v>1.0174846960245618</v>
      </c>
      <c r="N201" s="679">
        <f t="shared" si="71"/>
        <v>-0.18565386076119716</v>
      </c>
      <c r="O201" s="677">
        <f t="shared" si="72"/>
        <v>1020028.8263798293</v>
      </c>
      <c r="P201" s="680">
        <f t="shared" si="73"/>
        <v>1.570795346430446</v>
      </c>
      <c r="Q201" s="689">
        <f t="shared" si="100"/>
        <v>5.1972560227605014</v>
      </c>
      <c r="R201" s="690">
        <f t="shared" si="101"/>
        <v>1.3771796700357404</v>
      </c>
      <c r="S201" s="677">
        <f t="shared" si="76"/>
        <v>1.0005778657059712</v>
      </c>
      <c r="T201" s="680">
        <f t="shared" si="77"/>
        <v>3.3987867516040944E-2</v>
      </c>
      <c r="U201" s="681">
        <f t="shared" si="89"/>
        <v>0.69270340096892868</v>
      </c>
      <c r="V201" s="682">
        <f t="shared" si="90"/>
        <v>-1.049844269727823</v>
      </c>
      <c r="W201" s="683">
        <f t="shared" si="78"/>
        <v>-19.615672398177782</v>
      </c>
      <c r="X201" s="684">
        <f t="shared" si="79"/>
        <v>-167.23973291412537</v>
      </c>
      <c r="Y201" s="687">
        <f t="shared" si="80"/>
        <v>12.760267085874631</v>
      </c>
      <c r="AA201" s="170">
        <f t="shared" si="81"/>
        <v>11416.5</v>
      </c>
      <c r="AB201" s="170">
        <f t="shared" si="82"/>
        <v>130336472.25</v>
      </c>
      <c r="AD201" s="686">
        <f t="shared" si="83"/>
        <v>-0.75633440723514811</v>
      </c>
      <c r="AE201" s="687">
        <f t="shared" si="84"/>
        <v>-13.040722483207489</v>
      </c>
      <c r="AG201" s="686">
        <f t="shared" si="85"/>
        <v>45.248583716523108</v>
      </c>
      <c r="AH201" s="687">
        <f t="shared" si="86"/>
        <v>-33.89571869065481</v>
      </c>
      <c r="AJ201" s="170">
        <f t="shared" si="87"/>
        <v>0</v>
      </c>
      <c r="AK201" s="170">
        <f t="shared" si="99"/>
        <v>0</v>
      </c>
      <c r="AM201" s="170" t="str">
        <f t="shared" si="91"/>
        <v>1.21552242707224+0.976498890643963i</v>
      </c>
      <c r="AN201" s="170" t="str">
        <f t="shared" si="92"/>
        <v>1.7880231252495i</v>
      </c>
      <c r="AO201" s="170" t="str">
        <f t="shared" si="93"/>
        <v>0.546133255691367-0.679813594079006i</v>
      </c>
      <c r="AP201" s="170" t="str">
        <f t="shared" si="94"/>
        <v>-0.03592040451204-0.162749815107327i</v>
      </c>
      <c r="AQ201" s="170" t="str">
        <f t="shared" si="95"/>
        <v>1.03592040451204+0.162749815107327i</v>
      </c>
      <c r="AR201" s="170" t="str">
        <f t="shared" si="96"/>
        <v>0.784746372347397-0.123288745399165i</v>
      </c>
    </row>
    <row r="202" spans="7:44">
      <c r="G202" s="688">
        <v>11482</v>
      </c>
      <c r="H202" s="676">
        <f t="shared" si="88"/>
        <v>11.481999999999999</v>
      </c>
      <c r="I202" s="677">
        <f t="shared" si="66"/>
        <v>10.151063073648769</v>
      </c>
      <c r="J202" s="678">
        <f t="shared" si="67"/>
        <v>1.4721244411032794</v>
      </c>
      <c r="K202" s="678">
        <f t="shared" si="68"/>
        <v>1.0001259455533649</v>
      </c>
      <c r="L202" s="679">
        <f t="shared" si="69"/>
        <v>1.5870244876290324E-2</v>
      </c>
      <c r="M202" s="678">
        <f t="shared" si="70"/>
        <v>1.0176841534738619</v>
      </c>
      <c r="N202" s="679">
        <f t="shared" si="71"/>
        <v>-0.18669450352159697</v>
      </c>
      <c r="O202" s="677">
        <f t="shared" si="72"/>
        <v>1025881.0480000996</v>
      </c>
      <c r="P202" s="680">
        <f t="shared" si="73"/>
        <v>1.5707953520230145</v>
      </c>
      <c r="Q202" s="689">
        <f t="shared" si="100"/>
        <v>5.225973413261837</v>
      </c>
      <c r="R202" s="690">
        <f t="shared" si="101"/>
        <v>1.3782570019999092</v>
      </c>
      <c r="S202" s="677">
        <f t="shared" si="76"/>
        <v>1.0005845135745211</v>
      </c>
      <c r="T202" s="680">
        <f t="shared" si="77"/>
        <v>3.4182715018770654E-2</v>
      </c>
      <c r="U202" s="681">
        <f t="shared" si="89"/>
        <v>0.69053436926495682</v>
      </c>
      <c r="V202" s="682">
        <f t="shared" si="90"/>
        <v>-1.0543723786814081</v>
      </c>
      <c r="W202" s="683">
        <f t="shared" si="78"/>
        <v>-19.692291342768218</v>
      </c>
      <c r="X202" s="684">
        <f t="shared" si="79"/>
        <v>-167.53527413076185</v>
      </c>
      <c r="Y202" s="687">
        <f t="shared" si="80"/>
        <v>12.464725869238151</v>
      </c>
      <c r="AA202" s="170">
        <f t="shared" si="81"/>
        <v>11482</v>
      </c>
      <c r="AB202" s="170">
        <f t="shared" si="82"/>
        <v>131836324</v>
      </c>
      <c r="AD202" s="686">
        <f t="shared" si="83"/>
        <v>-0.7582216517242556</v>
      </c>
      <c r="AE202" s="687">
        <f t="shared" si="84"/>
        <v>-12.990160168453935</v>
      </c>
      <c r="AG202" s="686">
        <f t="shared" si="85"/>
        <v>45.228332846397301</v>
      </c>
      <c r="AH202" s="687">
        <f t="shared" si="86"/>
        <v>-33.722939157020249</v>
      </c>
      <c r="AJ202" s="170">
        <f t="shared" si="87"/>
        <v>0</v>
      </c>
      <c r="AK202" s="170">
        <f t="shared" si="99"/>
        <v>0</v>
      </c>
      <c r="AM202" s="170" t="str">
        <f t="shared" si="91"/>
        <v>1.22552826937957+0.974236624086086i</v>
      </c>
      <c r="AN202" s="170" t="str">
        <f t="shared" si="92"/>
        <v>1.79828156826652i</v>
      </c>
      <c r="AO202" s="170" t="str">
        <f t="shared" si="93"/>
        <v>0.541759778489648-0.681499655563359i</v>
      </c>
      <c r="AP202" s="170" t="str">
        <f t="shared" si="94"/>
        <v>-0.0375880448965957-0.162372770681014i</v>
      </c>
      <c r="AQ202" s="170" t="str">
        <f t="shared" si="95"/>
        <v>1.0375880448966+0.162372770681014i</v>
      </c>
      <c r="AR202" s="170" t="str">
        <f t="shared" si="96"/>
        <v>0.783632812587465-0.122631165231923i</v>
      </c>
    </row>
    <row r="203" spans="7:44">
      <c r="G203" s="688">
        <v>11548.75</v>
      </c>
      <c r="H203" s="676">
        <f t="shared" si="88"/>
        <v>11.54875</v>
      </c>
      <c r="I203" s="677">
        <f t="shared" si="66"/>
        <v>10.209504687827735</v>
      </c>
      <c r="J203" s="678">
        <f t="shared" si="67"/>
        <v>1.4726910866266802</v>
      </c>
      <c r="K203" s="678">
        <f t="shared" si="68"/>
        <v>1.0001274140719254</v>
      </c>
      <c r="L203" s="679">
        <f t="shared" si="69"/>
        <v>1.5962490079861186E-2</v>
      </c>
      <c r="M203" s="678">
        <f t="shared" si="70"/>
        <v>1.0178885507509046</v>
      </c>
      <c r="N203" s="679">
        <f t="shared" si="71"/>
        <v>-0.18775458512181095</v>
      </c>
      <c r="O203" s="677">
        <f t="shared" si="72"/>
        <v>1031844.9532390772</v>
      </c>
      <c r="P203" s="680">
        <f t="shared" si="73"/>
        <v>1.5707953576570461</v>
      </c>
      <c r="Q203" s="689">
        <f t="shared" si="100"/>
        <v>5.2552450169424878</v>
      </c>
      <c r="R203" s="690">
        <f t="shared" si="101"/>
        <v>1.3793427790528017</v>
      </c>
      <c r="S203" s="677">
        <f t="shared" si="76"/>
        <v>1.0005913273923597</v>
      </c>
      <c r="T203" s="680">
        <f t="shared" si="77"/>
        <v>3.4381278313888229E-2</v>
      </c>
      <c r="U203" s="681">
        <f t="shared" si="89"/>
        <v>0.68832934175715854</v>
      </c>
      <c r="V203" s="682">
        <f t="shared" si="90"/>
        <v>-1.0589728531749139</v>
      </c>
      <c r="W203" s="683">
        <f t="shared" si="78"/>
        <v>-19.770069939336341</v>
      </c>
      <c r="X203" s="684">
        <f t="shared" si="79"/>
        <v>-167.83594796005832</v>
      </c>
      <c r="Y203" s="687">
        <f t="shared" si="80"/>
        <v>12.16405203994168</v>
      </c>
      <c r="AA203" s="170">
        <f t="shared" si="81"/>
        <v>11548.75</v>
      </c>
      <c r="AB203" s="170">
        <f t="shared" si="82"/>
        <v>133373626.5625</v>
      </c>
      <c r="AD203" s="686">
        <f t="shared" si="83"/>
        <v>-0.76011409018295661</v>
      </c>
      <c r="AE203" s="687">
        <f t="shared" si="84"/>
        <v>-12.939326887355643</v>
      </c>
      <c r="AG203" s="686">
        <f t="shared" si="85"/>
        <v>45.20800734088909</v>
      </c>
      <c r="AH203" s="687">
        <f t="shared" si="86"/>
        <v>-33.547270722341707</v>
      </c>
      <c r="AJ203" s="170">
        <f t="shared" si="87"/>
        <v>0</v>
      </c>
      <c r="AK203" s="170">
        <f t="shared" si="99"/>
        <v>0</v>
      </c>
      <c r="AM203" s="170" t="str">
        <f t="shared" si="91"/>
        <v>1.23570063887718+0.971825709082081i</v>
      </c>
      <c r="AN203" s="170" t="str">
        <f t="shared" si="92"/>
        <v>1.80873578309684i</v>
      </c>
      <c r="AO203" s="170" t="str">
        <f t="shared" si="93"/>
        <v>0.537295561996436-0.683184714110906i</v>
      </c>
      <c r="AP203" s="170" t="str">
        <f t="shared" si="94"/>
        <v>-0.0392834398128633-0.16197095151368i</v>
      </c>
      <c r="AQ203" s="170" t="str">
        <f t="shared" si="95"/>
        <v>1.03928343981286+0.16197095151368i</v>
      </c>
      <c r="AR203" s="170" t="str">
        <f t="shared" si="96"/>
        <v>0.782507602464403-0.121952776386652i</v>
      </c>
    </row>
    <row r="204" spans="7:44">
      <c r="G204" s="688">
        <v>11615.5</v>
      </c>
      <c r="H204" s="676">
        <f t="shared" si="88"/>
        <v>11.615500000000001</v>
      </c>
      <c r="I204" s="677">
        <f t="shared" si="66"/>
        <v>10.267949542830761</v>
      </c>
      <c r="J204" s="678">
        <f t="shared" si="67"/>
        <v>1.4732512816702457</v>
      </c>
      <c r="K204" s="678">
        <f t="shared" si="68"/>
        <v>1.0001288911007229</v>
      </c>
      <c r="L204" s="679">
        <f t="shared" si="69"/>
        <v>1.6054735011754452E-2</v>
      </c>
      <c r="M204" s="678">
        <f t="shared" si="70"/>
        <v>1.0180940914435677</v>
      </c>
      <c r="N204" s="679">
        <f t="shared" si="71"/>
        <v>-0.18881423987752666</v>
      </c>
      <c r="O204" s="677">
        <f t="shared" si="72"/>
        <v>1037808.8584780549</v>
      </c>
      <c r="P204" s="680">
        <f t="shared" si="73"/>
        <v>1.5707953632263243</v>
      </c>
      <c r="Q204" s="689">
        <f t="shared" si="100"/>
        <v>5.2845227474544094</v>
      </c>
      <c r="R204" s="690">
        <f t="shared" si="101"/>
        <v>1.3804165263442316</v>
      </c>
      <c r="S204" s="677">
        <f t="shared" si="76"/>
        <v>1.000598180660357</v>
      </c>
      <c r="T204" s="680">
        <f t="shared" si="77"/>
        <v>3.4579838896846536E-2</v>
      </c>
      <c r="U204" s="681">
        <f t="shared" si="89"/>
        <v>0.68612981154689467</v>
      </c>
      <c r="V204" s="682">
        <f t="shared" si="90"/>
        <v>-1.0635592670508336</v>
      </c>
      <c r="W204" s="683">
        <f t="shared" si="78"/>
        <v>-19.847546309931221</v>
      </c>
      <c r="X204" s="684">
        <f t="shared" si="79"/>
        <v>-168.13611124467147</v>
      </c>
      <c r="Y204" s="687">
        <f t="shared" si="80"/>
        <v>11.863888755328531</v>
      </c>
      <c r="AA204" s="170">
        <f t="shared" si="81"/>
        <v>11615.5</v>
      </c>
      <c r="AB204" s="170">
        <f t="shared" si="82"/>
        <v>134919840.25</v>
      </c>
      <c r="AD204" s="686">
        <f t="shared" si="83"/>
        <v>-0.76197611024328815</v>
      </c>
      <c r="AE204" s="687">
        <f t="shared" si="84"/>
        <v>-12.889182701713112</v>
      </c>
      <c r="AG204" s="686">
        <f t="shared" si="85"/>
        <v>45.187992730586132</v>
      </c>
      <c r="AH204" s="687">
        <f t="shared" si="86"/>
        <v>-33.37201387561597</v>
      </c>
      <c r="AJ204" s="170">
        <f t="shared" si="87"/>
        <v>0</v>
      </c>
      <c r="AK204" s="170">
        <f t="shared" si="99"/>
        <v>0</v>
      </c>
      <c r="AM204" s="170" t="str">
        <f t="shared" si="91"/>
        <v>1.24584724874334+0.969308583623053i</v>
      </c>
      <c r="AN204" s="170" t="str">
        <f t="shared" si="92"/>
        <v>1.81918999792717i</v>
      </c>
      <c r="AO204" s="170" t="str">
        <f t="shared" si="93"/>
        <v>0.532824270542113-0.684836245891242i</v>
      </c>
      <c r="AP204" s="170" t="str">
        <f t="shared" si="94"/>
        <v>-0.0409745414572235-0.161551430603842i</v>
      </c>
      <c r="AQ204" s="170" t="str">
        <f t="shared" si="95"/>
        <v>1.04097454145722+0.161551430603842i</v>
      </c>
      <c r="AR204" s="170" t="str">
        <f t="shared" si="96"/>
        <v>0.781392091827867-0.121266184013116i</v>
      </c>
    </row>
    <row r="205" spans="7:44">
      <c r="G205" s="688">
        <v>11682.25</v>
      </c>
      <c r="H205" s="676">
        <f t="shared" si="88"/>
        <v>11.68225</v>
      </c>
      <c r="I205" s="677">
        <f t="shared" ref="I205:I268" si="102">SQRT(1+(G205/pole1)^2)</f>
        <v>10.32639758363106</v>
      </c>
      <c r="J205" s="678">
        <f t="shared" ref="J205:J268" si="103">ATAN(G205/pole1)</f>
        <v>1.4738051354096862</v>
      </c>
      <c r="K205" s="678">
        <f t="shared" ref="K205:K268" si="104">SQRT(1+(G205/Zero1)^2)</f>
        <v>1.0001303766397192</v>
      </c>
      <c r="L205" s="679">
        <f t="shared" ref="L205:L268" si="105">ATAN(G205/Zero1)</f>
        <v>1.6146979670401473E-2</v>
      </c>
      <c r="M205" s="678">
        <f t="shared" ref="M205:M268" si="106">SQRT(1+(G205/z_RHP)^2)</f>
        <v>1.0183007748594668</v>
      </c>
      <c r="N205" s="679">
        <f t="shared" ref="N205:N268" si="107">-ATAN(G205/z_RHP)</f>
        <v>-0.18987346566823401</v>
      </c>
      <c r="O205" s="677">
        <f t="shared" ref="O205:O268" si="108">SQRT(1+(G205/Pole2)^2)</f>
        <v>1043772.7637170327</v>
      </c>
      <c r="P205" s="680">
        <f t="shared" ref="P205:P268" si="109">ATAN(G205/Pole2)</f>
        <v>1.5707953687319591</v>
      </c>
      <c r="Q205" s="689">
        <f t="shared" si="100"/>
        <v>5.3138065035257274</v>
      </c>
      <c r="R205" s="690">
        <f t="shared" si="101"/>
        <v>1.3814784402613509</v>
      </c>
      <c r="S205" s="677">
        <f t="shared" ref="S205:S268" si="110">SQRT(1+(G205/pole4)^2)</f>
        <v>1.0006050733777019</v>
      </c>
      <c r="T205" s="680">
        <f t="shared" ref="T205:T268" si="111">ATAN(G205/pole4)</f>
        <v>3.477839675204443E-2</v>
      </c>
      <c r="U205" s="681">
        <f t="shared" si="89"/>
        <v>0.68393582527468832</v>
      </c>
      <c r="V205" s="682">
        <f t="shared" si="90"/>
        <v>-1.06813174208122</v>
      </c>
      <c r="W205" s="683">
        <f t="shared" ref="W205:W268" si="112">20*LOG10(((K205*Q205*M205*U205)/(I205*O205*S205))*Adc)</f>
        <v>-19.924723594470212</v>
      </c>
      <c r="X205" s="684">
        <f t="shared" ref="X205:X268" si="113">((L205+R205+N205+V205)-(J205+P205+T205))*radconv</f>
        <v>-168.4357658425418</v>
      </c>
      <c r="Y205" s="687">
        <f t="shared" ref="Y205:Y268" si="114">IF(X205&gt;0,X205,X205+180)</f>
        <v>11.564234157458202</v>
      </c>
      <c r="AA205" s="170">
        <f t="shared" ref="AA205:AA268" si="115">IF(W205&lt;0,G205,1000000000)</f>
        <v>11682.25</v>
      </c>
      <c r="AB205" s="170">
        <f t="shared" ref="AB205:AB268" si="116">G205^2</f>
        <v>136474965.0625</v>
      </c>
      <c r="AD205" s="686">
        <f t="shared" ref="AD205:AD268" si="117">20*LOG10((Q205/(O205*S205))*Aea)</f>
        <v>-0.76380839221390995</v>
      </c>
      <c r="AE205" s="687">
        <f t="shared" ref="AE205:AE268" si="118">(R205-(P205+T205))*radconv</f>
        <v>-12.839716358541102</v>
      </c>
      <c r="AG205" s="686">
        <f t="shared" ref="AG205:AG268" si="119">20*LOG10((K205*M205/(I205*U205))*Acs*Am)</f>
        <v>45.168285176050432</v>
      </c>
      <c r="AH205" s="687">
        <f t="shared" ref="AH205:AH268" si="120">(L205+N205-(J205+V205))*radconv</f>
        <v>-33.197167773719414</v>
      </c>
      <c r="AJ205" s="170">
        <f t="shared" ref="AJ205:AJ268" si="121">SUM((W206&lt;0)*(W205&gt;0))*G205</f>
        <v>0</v>
      </c>
      <c r="AK205" s="170">
        <f t="shared" si="99"/>
        <v>0</v>
      </c>
      <c r="AM205" s="170" t="str">
        <f t="shared" si="91"/>
        <v>1.25596699005898+0.966685522804674i</v>
      </c>
      <c r="AN205" s="170" t="str">
        <f t="shared" si="92"/>
        <v>1.82964421275749i</v>
      </c>
      <c r="AO205" s="170" t="str">
        <f t="shared" si="93"/>
        <v>0.528346175756086-0.686454219515219i</v>
      </c>
      <c r="AP205" s="170" t="str">
        <f t="shared" si="94"/>
        <v>-0.04266116500983-0.161114253800779i</v>
      </c>
      <c r="AQ205" s="170" t="str">
        <f t="shared" si="95"/>
        <v>1.04266116500983+0.161114253800779i</v>
      </c>
      <c r="AR205" s="170" t="str">
        <f t="shared" si="96"/>
        <v>0.780286287252112-0.12057152135365i</v>
      </c>
    </row>
    <row r="206" spans="7:44">
      <c r="G206" s="688">
        <v>11749</v>
      </c>
      <c r="H206" s="676">
        <f t="shared" ref="H206:H269" si="122">G206/1000</f>
        <v>11.749000000000001</v>
      </c>
      <c r="I206" s="677">
        <f t="shared" si="102"/>
        <v>10.384848756437689</v>
      </c>
      <c r="J206" s="678">
        <f t="shared" si="103"/>
        <v>1.474352754578492</v>
      </c>
      <c r="K206" s="678">
        <f t="shared" si="104"/>
        <v>1.0001318706888769</v>
      </c>
      <c r="L206" s="679">
        <f t="shared" si="105"/>
        <v>1.6239224054233645E-2</v>
      </c>
      <c r="M206" s="678">
        <f t="shared" si="106"/>
        <v>1.018508600302932</v>
      </c>
      <c r="N206" s="679">
        <f t="shared" si="107"/>
        <v>-0.19093226037898942</v>
      </c>
      <c r="O206" s="677">
        <f t="shared" si="108"/>
        <v>1049736.6689560106</v>
      </c>
      <c r="P206" s="680">
        <f t="shared" si="109"/>
        <v>1.5707953741750353</v>
      </c>
      <c r="Q206" s="689">
        <f t="shared" si="100"/>
        <v>5.3430961860841064</v>
      </c>
      <c r="R206" s="690">
        <f t="shared" si="101"/>
        <v>1.3825287129931942</v>
      </c>
      <c r="S206" s="677">
        <f t="shared" si="110"/>
        <v>1.0006120055435794</v>
      </c>
      <c r="T206" s="680">
        <f t="shared" si="111"/>
        <v>3.497695186388209E-2</v>
      </c>
      <c r="U206" s="681">
        <f t="shared" ref="U206:U269" si="123">IMABS(IMPRODUCT(AO206, AR206))</f>
        <v>0.68174742759951923</v>
      </c>
      <c r="V206" s="682">
        <f t="shared" ref="V206:V269" si="124">IMARGUMENT(IMPRODUCT(AO206, AR206))</f>
        <v>-1.0726904001118021</v>
      </c>
      <c r="W206" s="683">
        <f t="shared" si="112"/>
        <v>-20.001604878978611</v>
      </c>
      <c r="X206" s="684">
        <f t="shared" si="113"/>
        <v>-168.73491371675414</v>
      </c>
      <c r="Y206" s="687">
        <f t="shared" si="114"/>
        <v>11.265086283245864</v>
      </c>
      <c r="AA206" s="170">
        <f t="shared" si="115"/>
        <v>11749</v>
      </c>
      <c r="AB206" s="170">
        <f t="shared" si="116"/>
        <v>138039001</v>
      </c>
      <c r="AD206" s="686">
        <f t="shared" si="117"/>
        <v>-0.76561159780752164</v>
      </c>
      <c r="AE206" s="687">
        <f t="shared" si="118"/>
        <v>-12.790916845387375</v>
      </c>
      <c r="AG206" s="686">
        <f t="shared" si="119"/>
        <v>45.148880905597892</v>
      </c>
      <c r="AH206" s="687">
        <f t="shared" si="120"/>
        <v>-33.022731429697039</v>
      </c>
      <c r="AJ206" s="170">
        <f t="shared" si="121"/>
        <v>0</v>
      </c>
      <c r="AK206" s="170">
        <f t="shared" si="99"/>
        <v>0</v>
      </c>
      <c r="AM206" s="170" t="str">
        <f t="shared" ref="AM206:AM269" si="125">IMSUB(1,IMEXP(COMPLEX(0,-2*Pi*G206*Tsw)))</f>
        <v>1.26605875684151+0.963956813300238i</v>
      </c>
      <c r="AN206" s="170" t="str">
        <f t="shared" ref="AN206:AN269" si="126">COMPLEX(0, 2*Pi*G206*Tsw)</f>
        <v>1.84009842758782i</v>
      </c>
      <c r="AO206" s="170" t="str">
        <f t="shared" ref="AO206:AO269" si="127">IMDIV(AM206, AN206)</f>
        <v>0.523861549386728-0.688038605902828i</v>
      </c>
      <c r="AP206" s="170" t="str">
        <f t="shared" ref="AP206:AP269" si="128">IMDIV(IMEXP(COMPLEX(0,-2*Pi*G206*Tsw)),6)</f>
        <v>-0.0443431261402517-0.160659468883373i</v>
      </c>
      <c r="AQ206" s="170" t="str">
        <f t="shared" ref="AQ206:AQ269" si="129">IMSUB(1, AP206)</f>
        <v>1.04434312614025+0.160659468883373i</v>
      </c>
      <c r="AR206" s="170" t="str">
        <f t="shared" ref="AR206:AR269" si="130">IMDIV(0.833, AQ206)</f>
        <v>0.77919019391016-0.119868920069789i</v>
      </c>
    </row>
    <row r="207" spans="7:44">
      <c r="G207" s="688">
        <v>11817.5</v>
      </c>
      <c r="H207" s="676">
        <f t="shared" si="122"/>
        <v>11.817500000000001</v>
      </c>
      <c r="I207" s="677">
        <f t="shared" si="102"/>
        <v>10.444835558101834</v>
      </c>
      <c r="J207" s="678">
        <f t="shared" si="103"/>
        <v>1.4749083583421907</v>
      </c>
      <c r="K207" s="678">
        <f t="shared" si="104"/>
        <v>1.0001334127555774</v>
      </c>
      <c r="L207" s="679">
        <f t="shared" si="105"/>
        <v>1.6333886542789618E-2</v>
      </c>
      <c r="M207" s="678">
        <f t="shared" si="106"/>
        <v>1.0187230609517299</v>
      </c>
      <c r="N207" s="679">
        <f t="shared" si="107"/>
        <v>-0.19201836335972949</v>
      </c>
      <c r="O207" s="677">
        <f t="shared" si="108"/>
        <v>1055856.9312611788</v>
      </c>
      <c r="P207" s="680">
        <f t="shared" si="109"/>
        <v>1.5707953796968852</v>
      </c>
      <c r="Q207" s="689">
        <f t="shared" si="100"/>
        <v>5.3731598228865147</v>
      </c>
      <c r="R207" s="690">
        <f t="shared" si="101"/>
        <v>1.3835946152241985</v>
      </c>
      <c r="S207" s="677">
        <f t="shared" si="110"/>
        <v>1.0006191604642105</v>
      </c>
      <c r="T207" s="680">
        <f t="shared" si="111"/>
        <v>3.5180709671902503E-2</v>
      </c>
      <c r="U207" s="681">
        <f t="shared" si="123"/>
        <v>0.67950751128063602</v>
      </c>
      <c r="V207" s="682">
        <f t="shared" si="124"/>
        <v>-1.077354336253725</v>
      </c>
      <c r="W207" s="683">
        <f t="shared" si="112"/>
        <v>-20.080197216726493</v>
      </c>
      <c r="X207" s="684">
        <f t="shared" si="113"/>
        <v>-169.04137976014809</v>
      </c>
      <c r="Y207" s="687">
        <f t="shared" si="114"/>
        <v>10.958620239851911</v>
      </c>
      <c r="AA207" s="170">
        <f t="shared" si="115"/>
        <v>11817.5</v>
      </c>
      <c r="AB207" s="170">
        <f t="shared" si="116"/>
        <v>139653306.25</v>
      </c>
      <c r="AD207" s="686">
        <f t="shared" si="117"/>
        <v>-0.76743252361554015</v>
      </c>
      <c r="AE207" s="687">
        <f t="shared" si="118"/>
        <v>-12.741519924941915</v>
      </c>
      <c r="AG207" s="686">
        <f t="shared" si="119"/>
        <v>45.129279338770942</v>
      </c>
      <c r="AH207" s="687">
        <f t="shared" si="120"/>
        <v>-32.844146679224309</v>
      </c>
      <c r="AJ207" s="170">
        <f t="shared" si="121"/>
        <v>0</v>
      </c>
      <c r="AK207" s="170">
        <f t="shared" si="99"/>
        <v>0</v>
      </c>
      <c r="AM207" s="170" t="str">
        <f t="shared" si="125"/>
        <v>1.27638486083311+0.961047037715771i</v>
      </c>
      <c r="AN207" s="170" t="str">
        <f t="shared" si="126"/>
        <v>1.85082672295677i</v>
      </c>
      <c r="AO207" s="170" t="str">
        <f t="shared" si="127"/>
        <v>0.519252842956827-0.689629582824498i</v>
      </c>
      <c r="AP207" s="170" t="str">
        <f t="shared" si="128"/>
        <v>-0.0460641434721858-0.160174506285962i</v>
      </c>
      <c r="AQ207" s="170" t="str">
        <f t="shared" si="129"/>
        <v>1.04606414347219+0.160174506285962i</v>
      </c>
      <c r="AR207" s="170" t="str">
        <f t="shared" si="130"/>
        <v>0.778075464506495-0.11913978139703i</v>
      </c>
    </row>
    <row r="208" spans="7:44">
      <c r="G208" s="688">
        <v>11886</v>
      </c>
      <c r="H208" s="676">
        <f t="shared" si="122"/>
        <v>11.885999999999999</v>
      </c>
      <c r="I208" s="677">
        <f t="shared" si="102"/>
        <v>10.504825547215759</v>
      </c>
      <c r="J208" s="678">
        <f t="shared" si="103"/>
        <v>1.4754576164923467</v>
      </c>
      <c r="K208" s="678">
        <f t="shared" si="104"/>
        <v>1.0001349637844326</v>
      </c>
      <c r="L208" s="679">
        <f t="shared" si="105"/>
        <v>1.6428548738584976E-2</v>
      </c>
      <c r="M208" s="678">
        <f t="shared" si="106"/>
        <v>1.0189387227996203</v>
      </c>
      <c r="N208" s="679">
        <f t="shared" si="107"/>
        <v>-0.19310400786588333</v>
      </c>
      <c r="O208" s="677">
        <f t="shared" si="108"/>
        <v>1061977.193566347</v>
      </c>
      <c r="P208" s="680">
        <f t="shared" si="109"/>
        <v>1.5707953851550893</v>
      </c>
      <c r="Q208" s="689">
        <f t="shared" si="100"/>
        <v>5.4032294964540757</v>
      </c>
      <c r="R208" s="690">
        <f t="shared" si="101"/>
        <v>1.3846486548730945</v>
      </c>
      <c r="S208" s="677">
        <f t="shared" si="110"/>
        <v>1.0006263569271967</v>
      </c>
      <c r="T208" s="680">
        <f t="shared" si="111"/>
        <v>3.5384464557546867E-2</v>
      </c>
      <c r="U208" s="681">
        <f t="shared" si="123"/>
        <v>0.67727356948535722</v>
      </c>
      <c r="V208" s="682">
        <f t="shared" si="124"/>
        <v>-1.0820039815764797</v>
      </c>
      <c r="W208" s="683">
        <f t="shared" si="112"/>
        <v>-20.158484247969572</v>
      </c>
      <c r="X208" s="684">
        <f t="shared" si="113"/>
        <v>-169.34731667596049</v>
      </c>
      <c r="Y208" s="687">
        <f t="shared" si="114"/>
        <v>10.652683324039515</v>
      </c>
      <c r="AA208" s="170">
        <f t="shared" si="115"/>
        <v>11886</v>
      </c>
      <c r="AB208" s="170">
        <f t="shared" si="116"/>
        <v>141276996</v>
      </c>
      <c r="AD208" s="686">
        <f t="shared" si="117"/>
        <v>-0.76922418292320449</v>
      </c>
      <c r="AE208" s="687">
        <f t="shared" si="118"/>
        <v>-12.692802509299705</v>
      </c>
      <c r="AG208" s="686">
        <f t="shared" si="119"/>
        <v>45.109989332391038</v>
      </c>
      <c r="AH208" s="687">
        <f t="shared" si="120"/>
        <v>-32.665990903616915</v>
      </c>
      <c r="AJ208" s="170">
        <f t="shared" si="121"/>
        <v>0</v>
      </c>
      <c r="AK208" s="170">
        <f t="shared" si="99"/>
        <v>0</v>
      </c>
      <c r="AM208" s="170" t="str">
        <f t="shared" si="125"/>
        <v>1.28667915424901+0.958026650213381i</v>
      </c>
      <c r="AN208" s="170" t="str">
        <f t="shared" si="126"/>
        <v>1.86155501832571i</v>
      </c>
      <c r="AO208" s="170" t="str">
        <f t="shared" si="127"/>
        <v>0.514637838141918-0.69118513370948i</v>
      </c>
      <c r="AP208" s="170" t="str">
        <f t="shared" si="128"/>
        <v>-0.047779859041502-0.159671108368897i</v>
      </c>
      <c r="AQ208" s="170" t="str">
        <f t="shared" si="129"/>
        <v>1.0477798590415+0.159671108368897i</v>
      </c>
      <c r="AR208" s="170" t="str">
        <f t="shared" si="130"/>
        <v>0.776970968918624-0.118402558235068i</v>
      </c>
    </row>
    <row r="209" spans="7:44">
      <c r="G209" s="688">
        <v>11954.5</v>
      </c>
      <c r="H209" s="676">
        <f t="shared" si="122"/>
        <v>11.954499999999999</v>
      </c>
      <c r="I209" s="677">
        <f t="shared" si="102"/>
        <v>10.564818669481779</v>
      </c>
      <c r="J209" s="678">
        <f t="shared" si="103"/>
        <v>1.4760006367968397</v>
      </c>
      <c r="K209" s="678">
        <f t="shared" si="104"/>
        <v>1.0001365237754007</v>
      </c>
      <c r="L209" s="679">
        <f t="shared" si="105"/>
        <v>1.6523210639924568E-2</v>
      </c>
      <c r="M209" s="678">
        <f t="shared" si="106"/>
        <v>1.0191555850840517</v>
      </c>
      <c r="N209" s="679">
        <f t="shared" si="107"/>
        <v>-0.19418919163018453</v>
      </c>
      <c r="O209" s="677">
        <f t="shared" si="108"/>
        <v>1068097.4558715152</v>
      </c>
      <c r="P209" s="680">
        <f t="shared" si="109"/>
        <v>1.5707953905507417</v>
      </c>
      <c r="Q209" s="689">
        <f t="shared" si="100"/>
        <v>5.4333051065585387</v>
      </c>
      <c r="R209" s="690">
        <f t="shared" si="101"/>
        <v>1.3856910265711704</v>
      </c>
      <c r="S209" s="677">
        <f t="shared" si="110"/>
        <v>1.0006335949316414</v>
      </c>
      <c r="T209" s="680">
        <f t="shared" si="111"/>
        <v>3.5588216503960206E-2</v>
      </c>
      <c r="U209" s="681">
        <f t="shared" si="123"/>
        <v>0.67504564421500035</v>
      </c>
      <c r="V209" s="682">
        <f t="shared" si="124"/>
        <v>-1.0866394678922251</v>
      </c>
      <c r="W209" s="683">
        <f t="shared" si="112"/>
        <v>-20.236469140962789</v>
      </c>
      <c r="X209" s="684">
        <f t="shared" si="113"/>
        <v>-169.65272690885436</v>
      </c>
      <c r="Y209" s="687">
        <f t="shared" si="114"/>
        <v>10.347273091145638</v>
      </c>
      <c r="AA209" s="170">
        <f t="shared" si="115"/>
        <v>11954.5</v>
      </c>
      <c r="AB209" s="170">
        <f t="shared" si="116"/>
        <v>142910070.25</v>
      </c>
      <c r="AD209" s="686">
        <f t="shared" si="117"/>
        <v>-0.77098723368667255</v>
      </c>
      <c r="AE209" s="687">
        <f t="shared" si="118"/>
        <v>-12.644753446006337</v>
      </c>
      <c r="AG209" s="686">
        <f t="shared" si="119"/>
        <v>45.091007024532026</v>
      </c>
      <c r="AH209" s="687">
        <f t="shared" si="120"/>
        <v>-32.488262595431465</v>
      </c>
      <c r="AJ209" s="170">
        <f t="shared" si="121"/>
        <v>0</v>
      </c>
      <c r="AK209" s="170">
        <f t="shared" si="99"/>
        <v>0</v>
      </c>
      <c r="AM209" s="170" t="str">
        <f t="shared" si="125"/>
        <v>1.29694045226528+0.954895998425216i</v>
      </c>
      <c r="AN209" s="170" t="str">
        <f t="shared" si="126"/>
        <v>1.87228331369466i</v>
      </c>
      <c r="AO209" s="170" t="str">
        <f t="shared" si="127"/>
        <v>0.510016828885195-0.692705234714702i</v>
      </c>
      <c r="AP209" s="170" t="str">
        <f t="shared" si="128"/>
        <v>-0.0494900753775467-0.159149333070869i</v>
      </c>
      <c r="AQ209" s="170" t="str">
        <f t="shared" si="129"/>
        <v>1.04949007537755+0.159149333070869i</v>
      </c>
      <c r="AR209" s="170" t="str">
        <f t="shared" si="130"/>
        <v>0.775876708431779-0.117657387705851i</v>
      </c>
    </row>
    <row r="210" spans="7:44">
      <c r="G210" s="688">
        <v>12023</v>
      </c>
      <c r="H210" s="676">
        <f t="shared" si="122"/>
        <v>12.023</v>
      </c>
      <c r="I210" s="677">
        <f t="shared" si="102"/>
        <v>10.624814871825766</v>
      </c>
      <c r="J210" s="678">
        <f t="shared" si="103"/>
        <v>1.4765375246042802</v>
      </c>
      <c r="K210" s="678">
        <f t="shared" si="104"/>
        <v>1.0001380927284398</v>
      </c>
      <c r="L210" s="679">
        <f t="shared" si="105"/>
        <v>1.6617872245113265E-2</v>
      </c>
      <c r="M210" s="678">
        <f t="shared" si="106"/>
        <v>1.0193736470388788</v>
      </c>
      <c r="N210" s="679">
        <f t="shared" si="107"/>
        <v>-0.1952739123916313</v>
      </c>
      <c r="O210" s="677">
        <f t="shared" si="108"/>
        <v>1074217.7181766836</v>
      </c>
      <c r="P210" s="680">
        <f t="shared" si="109"/>
        <v>1.5707953958849115</v>
      </c>
      <c r="Q210" s="689">
        <f t="shared" si="100"/>
        <v>5.4633865551590821</v>
      </c>
      <c r="R210" s="690">
        <f t="shared" si="101"/>
        <v>1.3867219207658448</v>
      </c>
      <c r="S210" s="677">
        <f t="shared" si="110"/>
        <v>1.0006408744766435</v>
      </c>
      <c r="T210" s="680">
        <f t="shared" si="111"/>
        <v>3.5791965494289028E-2</v>
      </c>
      <c r="U210" s="681">
        <f t="shared" si="123"/>
        <v>0.67282377543793981</v>
      </c>
      <c r="V210" s="682">
        <f t="shared" si="124"/>
        <v>-1.0912609270208813</v>
      </c>
      <c r="W210" s="683">
        <f t="shared" si="112"/>
        <v>-20.314155010843706</v>
      </c>
      <c r="X210" s="684">
        <f t="shared" si="113"/>
        <v>-169.95761300539911</v>
      </c>
      <c r="Y210" s="687">
        <f t="shared" si="114"/>
        <v>10.042386994600889</v>
      </c>
      <c r="AA210" s="170">
        <f t="shared" si="115"/>
        <v>12023</v>
      </c>
      <c r="AB210" s="170">
        <f t="shared" si="116"/>
        <v>144552529</v>
      </c>
      <c r="AD210" s="686">
        <f t="shared" si="117"/>
        <v>-0.77272231579810224</v>
      </c>
      <c r="AE210" s="687">
        <f t="shared" si="118"/>
        <v>-12.597361822324112</v>
      </c>
      <c r="AG210" s="686">
        <f t="shared" si="119"/>
        <v>45.072328622905871</v>
      </c>
      <c r="AH210" s="687">
        <f t="shared" si="120"/>
        <v>-32.310960108524903</v>
      </c>
      <c r="AJ210" s="170">
        <f t="shared" si="121"/>
        <v>0</v>
      </c>
      <c r="AK210" s="170">
        <f t="shared" si="99"/>
        <v>0</v>
      </c>
      <c r="AM210" s="170" t="str">
        <f t="shared" si="125"/>
        <v>1.30716757385558+0.95165544267433i</v>
      </c>
      <c r="AN210" s="170" t="str">
        <f t="shared" si="126"/>
        <v>1.88301160906361i</v>
      </c>
      <c r="AO210" s="170" t="str">
        <f t="shared" si="127"/>
        <v>0.505390109170688-0.694189864557241i</v>
      </c>
      <c r="AP210" s="170" t="str">
        <f t="shared" si="128"/>
        <v>-0.0511945956425968-0.158609240445722i</v>
      </c>
      <c r="AQ210" s="170" t="str">
        <f t="shared" si="129"/>
        <v>1.0511945956426+0.158609240445722i</v>
      </c>
      <c r="AR210" s="170" t="str">
        <f t="shared" si="130"/>
        <v>0.774792682975227-0.116904405196719i</v>
      </c>
    </row>
    <row r="211" spans="7:44">
      <c r="G211" s="688">
        <v>12093</v>
      </c>
      <c r="H211" s="676">
        <f t="shared" si="122"/>
        <v>12.093</v>
      </c>
      <c r="I211" s="677">
        <f t="shared" si="102"/>
        <v>10.686127987623362</v>
      </c>
      <c r="J211" s="678">
        <f t="shared" si="103"/>
        <v>1.4770799408473099</v>
      </c>
      <c r="K211" s="678">
        <f t="shared" si="104"/>
        <v>1.000139705296665</v>
      </c>
      <c r="L211" s="679">
        <f t="shared" si="105"/>
        <v>1.6714606424453972E-2</v>
      </c>
      <c r="M211" s="678">
        <f t="shared" si="106"/>
        <v>1.0195977226352477</v>
      </c>
      <c r="N211" s="679">
        <f t="shared" si="107"/>
        <v>-0.19638190549418572</v>
      </c>
      <c r="O211" s="677">
        <f t="shared" si="108"/>
        <v>1080472.0008243008</v>
      </c>
      <c r="P211" s="680">
        <f t="shared" si="109"/>
        <v>1.5707954012734586</v>
      </c>
      <c r="Q211" s="689">
        <f t="shared" si="100"/>
        <v>5.4941326534865089</v>
      </c>
      <c r="R211" s="690">
        <f t="shared" si="101"/>
        <v>1.3877637259555737</v>
      </c>
      <c r="S211" s="677">
        <f t="shared" si="110"/>
        <v>1.000648356341785</v>
      </c>
      <c r="T211" s="680">
        <f t="shared" si="111"/>
        <v>3.600017306991278E-2</v>
      </c>
      <c r="U211" s="681">
        <f t="shared" si="123"/>
        <v>0.67055954898891468</v>
      </c>
      <c r="V211" s="682">
        <f t="shared" si="124"/>
        <v>-1.0959692318527563</v>
      </c>
      <c r="W211" s="683">
        <f t="shared" si="112"/>
        <v>-20.393236302173207</v>
      </c>
      <c r="X211" s="684">
        <f t="shared" si="113"/>
        <v>-170.26863671468263</v>
      </c>
      <c r="Y211" s="687">
        <f t="shared" si="114"/>
        <v>9.7313632853173715</v>
      </c>
      <c r="AA211" s="170">
        <f t="shared" si="115"/>
        <v>12093</v>
      </c>
      <c r="AB211" s="170">
        <f t="shared" si="116"/>
        <v>146240649</v>
      </c>
      <c r="AD211" s="686">
        <f t="shared" si="117"/>
        <v>-0.77446714597909649</v>
      </c>
      <c r="AE211" s="687">
        <f t="shared" si="118"/>
        <v>-12.549600505910146</v>
      </c>
      <c r="AG211" s="686">
        <f t="shared" si="119"/>
        <v>45.05355129173131</v>
      </c>
      <c r="AH211" s="687">
        <f t="shared" si="120"/>
        <v>-32.130213142550915</v>
      </c>
      <c r="AJ211" s="170">
        <f t="shared" si="121"/>
        <v>0</v>
      </c>
      <c r="AK211" s="170">
        <f t="shared" si="99"/>
        <v>0</v>
      </c>
      <c r="AM211" s="170" t="str">
        <f t="shared" si="125"/>
        <v>1.31758211491841+0.948230773748642i</v>
      </c>
      <c r="AN211" s="170" t="str">
        <f t="shared" si="126"/>
        <v>1.89397483060852i</v>
      </c>
      <c r="AO211" s="170" t="str">
        <f t="shared" si="127"/>
        <v>0.500656480975506-0.695670340294375i</v>
      </c>
      <c r="AP211" s="170" t="str">
        <f t="shared" si="128"/>
        <v>-0.0529303524864022-0.15803846229144i</v>
      </c>
      <c r="AQ211" s="170" t="str">
        <f t="shared" si="129"/>
        <v>1.0529303524864+0.15803846229144i</v>
      </c>
      <c r="AR211" s="170" t="str">
        <f t="shared" si="130"/>
        <v>0.773695491964124-0.116127002648457i</v>
      </c>
    </row>
    <row r="212" spans="7:44">
      <c r="G212" s="688">
        <v>12163</v>
      </c>
      <c r="H212" s="676">
        <f t="shared" si="122"/>
        <v>12.163</v>
      </c>
      <c r="I212" s="677">
        <f t="shared" si="102"/>
        <v>10.747444211570947</v>
      </c>
      <c r="J212" s="678">
        <f t="shared" si="103"/>
        <v>1.4776161680698756</v>
      </c>
      <c r="K212" s="678">
        <f t="shared" si="104"/>
        <v>1.0001413272236688</v>
      </c>
      <c r="L212" s="679">
        <f t="shared" si="105"/>
        <v>1.6811340290952641E-2</v>
      </c>
      <c r="M212" s="678">
        <f t="shared" si="106"/>
        <v>1.0198230493885041</v>
      </c>
      <c r="N212" s="679">
        <f t="shared" si="107"/>
        <v>-0.19748941034055922</v>
      </c>
      <c r="O212" s="677">
        <f t="shared" si="108"/>
        <v>1086726.2834719182</v>
      </c>
      <c r="P212" s="680">
        <f t="shared" si="109"/>
        <v>1.5707954065999816</v>
      </c>
      <c r="Q212" s="689">
        <f t="shared" si="100"/>
        <v>5.5248846485417413</v>
      </c>
      <c r="R212" s="690">
        <f t="shared" si="101"/>
        <v>1.3887939346940255</v>
      </c>
      <c r="S212" s="677">
        <f t="shared" si="110"/>
        <v>1.0006558815847777</v>
      </c>
      <c r="T212" s="680">
        <f t="shared" si="111"/>
        <v>3.6208377522990907E-2</v>
      </c>
      <c r="U212" s="681">
        <f t="shared" si="123"/>
        <v>0.66830172525464149</v>
      </c>
      <c r="V212" s="682">
        <f t="shared" si="124"/>
        <v>-1.1006631667207802</v>
      </c>
      <c r="W212" s="683">
        <f t="shared" si="112"/>
        <v>-20.472011745376943</v>
      </c>
      <c r="X212" s="684">
        <f t="shared" si="113"/>
        <v>-170.57911876909236</v>
      </c>
      <c r="Y212" s="687">
        <f t="shared" si="114"/>
        <v>9.4208812309076393</v>
      </c>
      <c r="AA212" s="170">
        <f t="shared" si="115"/>
        <v>12163</v>
      </c>
      <c r="AB212" s="170">
        <f t="shared" si="116"/>
        <v>147938569</v>
      </c>
      <c r="AD212" s="686">
        <f t="shared" si="117"/>
        <v>-0.77618406507331306</v>
      </c>
      <c r="AE212" s="687">
        <f t="shared" si="118"/>
        <v>-12.502503434750036</v>
      </c>
      <c r="AG212" s="686">
        <f t="shared" si="119"/>
        <v>45.035083532015214</v>
      </c>
      <c r="AH212" s="687">
        <f t="shared" si="120"/>
        <v>-31.949906953011983</v>
      </c>
      <c r="AJ212" s="170">
        <f t="shared" si="121"/>
        <v>0</v>
      </c>
      <c r="AK212" s="170">
        <f t="shared" si="99"/>
        <v>0</v>
      </c>
      <c r="AM212" s="170" t="str">
        <f t="shared" si="125"/>
        <v>1.32795848546203+0.944692135996406i</v>
      </c>
      <c r="AN212" s="170" t="str">
        <f t="shared" si="126"/>
        <v>1.90493805215343i</v>
      </c>
      <c r="AO212" s="170" t="str">
        <f t="shared" si="127"/>
        <v>0.495917510245796-0.697113737615165i</v>
      </c>
      <c r="AP212" s="170" t="str">
        <f t="shared" si="128"/>
        <v>-0.054659747577005-0.157448689332734i</v>
      </c>
      <c r="AQ212" s="170" t="str">
        <f t="shared" si="129"/>
        <v>1.054659747577+0.157448689332734i</v>
      </c>
      <c r="AR212" s="170" t="str">
        <f t="shared" si="130"/>
        <v>0.772608984864174-0.115341722591605i</v>
      </c>
    </row>
    <row r="213" spans="7:44">
      <c r="G213" s="688">
        <v>12233</v>
      </c>
      <c r="H213" s="676">
        <f t="shared" si="122"/>
        <v>12.233000000000001</v>
      </c>
      <c r="I213" s="677">
        <f t="shared" si="102"/>
        <v>10.808763490772549</v>
      </c>
      <c r="J213" s="678">
        <f t="shared" si="103"/>
        <v>1.4781463112938884</v>
      </c>
      <c r="K213" s="678">
        <f t="shared" si="104"/>
        <v>1.0001429585094055</v>
      </c>
      <c r="L213" s="679">
        <f t="shared" si="105"/>
        <v>1.690807384280045E-2</v>
      </c>
      <c r="M213" s="678">
        <f t="shared" si="106"/>
        <v>1.0200496264695145</v>
      </c>
      <c r="N213" s="679">
        <f t="shared" si="107"/>
        <v>-0.19859642453836227</v>
      </c>
      <c r="O213" s="677">
        <f t="shared" si="108"/>
        <v>1092980.5661195356</v>
      </c>
      <c r="P213" s="680">
        <f t="shared" si="109"/>
        <v>1.5707954118655456</v>
      </c>
      <c r="Q213" s="689">
        <f t="shared" si="100"/>
        <v>5.5556424424047952</v>
      </c>
      <c r="R213" s="690">
        <f t="shared" si="101"/>
        <v>1.3898127373809273</v>
      </c>
      <c r="S213" s="677">
        <f t="shared" si="110"/>
        <v>1.000663450204643</v>
      </c>
      <c r="T213" s="680">
        <f t="shared" si="111"/>
        <v>3.6416578835543105E-2</v>
      </c>
      <c r="U213" s="681">
        <f t="shared" si="123"/>
        <v>0.66605034056949153</v>
      </c>
      <c r="V213" s="682">
        <f t="shared" si="124"/>
        <v>-1.1053428722113718</v>
      </c>
      <c r="W213" s="683">
        <f t="shared" si="112"/>
        <v>-20.550484502720106</v>
      </c>
      <c r="X213" s="684">
        <f t="shared" si="113"/>
        <v>-170.88906219390887</v>
      </c>
      <c r="Y213" s="687">
        <f t="shared" si="114"/>
        <v>9.1109378060911297</v>
      </c>
      <c r="AA213" s="170">
        <f t="shared" si="115"/>
        <v>12233</v>
      </c>
      <c r="AB213" s="170">
        <f t="shared" si="116"/>
        <v>149646289</v>
      </c>
      <c r="AD213" s="686">
        <f t="shared" si="117"/>
        <v>-0.77787370122048605</v>
      </c>
      <c r="AE213" s="687">
        <f t="shared" si="118"/>
        <v>-12.456059698773821</v>
      </c>
      <c r="AG213" s="686">
        <f t="shared" si="119"/>
        <v>45.01692151379693</v>
      </c>
      <c r="AH213" s="687">
        <f t="shared" si="120"/>
        <v>-31.770039365241733</v>
      </c>
      <c r="AJ213" s="170">
        <f t="shared" si="121"/>
        <v>0</v>
      </c>
      <c r="AK213" s="170">
        <f t="shared" si="99"/>
        <v>0</v>
      </c>
      <c r="AM213" s="170" t="str">
        <f t="shared" si="125"/>
        <v>1.33829543833984+0.941039954730113i</v>
      </c>
      <c r="AN213" s="170" t="str">
        <f t="shared" si="126"/>
        <v>1.91590127369834i</v>
      </c>
      <c r="AO213" s="170" t="str">
        <f t="shared" si="127"/>
        <v>0.491173510685958-0.698520042087803i</v>
      </c>
      <c r="AP213" s="170" t="str">
        <f t="shared" si="128"/>
        <v>-0.0563825730566405-0.156839992455019i</v>
      </c>
      <c r="AQ213" s="170" t="str">
        <f t="shared" si="129"/>
        <v>1.05638257305664+0.156839992455019i</v>
      </c>
      <c r="AR213" s="170" t="str">
        <f t="shared" si="130"/>
        <v>0.771533157519492-0.114548703935942i</v>
      </c>
    </row>
    <row r="214" spans="7:44">
      <c r="G214" s="688">
        <v>12303</v>
      </c>
      <c r="H214" s="676">
        <f t="shared" si="122"/>
        <v>12.303000000000001</v>
      </c>
      <c r="I214" s="677">
        <f t="shared" si="102"/>
        <v>10.870085773523154</v>
      </c>
      <c r="J214" s="678">
        <f t="shared" si="103"/>
        <v>1.4786704731852425</v>
      </c>
      <c r="K214" s="678">
        <f t="shared" si="104"/>
        <v>1.0001445991538296</v>
      </c>
      <c r="L214" s="679">
        <f t="shared" si="105"/>
        <v>1.7004807078188588E-2</v>
      </c>
      <c r="M214" s="678">
        <f t="shared" si="106"/>
        <v>1.0202774530452829</v>
      </c>
      <c r="N214" s="679">
        <f t="shared" si="107"/>
        <v>-0.19970294570213476</v>
      </c>
      <c r="O214" s="677">
        <f t="shared" si="108"/>
        <v>1099234.848767153</v>
      </c>
      <c r="P214" s="680">
        <f t="shared" si="109"/>
        <v>1.5707954170711909</v>
      </c>
      <c r="Q214" s="689">
        <f t="shared" si="100"/>
        <v>5.586405939293944</v>
      </c>
      <c r="R214" s="690">
        <f t="shared" si="101"/>
        <v>1.3908203203178986</v>
      </c>
      <c r="S214" s="677">
        <f t="shared" si="110"/>
        <v>1.0006710622003967</v>
      </c>
      <c r="T214" s="680">
        <f t="shared" si="111"/>
        <v>3.662477698959072E-2</v>
      </c>
      <c r="U214" s="681">
        <f t="shared" si="123"/>
        <v>0.66380542922592689</v>
      </c>
      <c r="V214" s="682">
        <f t="shared" si="124"/>
        <v>-1.110008488847825</v>
      </c>
      <c r="W214" s="683">
        <f t="shared" si="112"/>
        <v>-20.62865768503012</v>
      </c>
      <c r="X214" s="684">
        <f t="shared" si="113"/>
        <v>-171.19847011100609</v>
      </c>
      <c r="Y214" s="687">
        <f t="shared" si="114"/>
        <v>8.8015298889939118</v>
      </c>
      <c r="AA214" s="170">
        <f t="shared" si="115"/>
        <v>12303</v>
      </c>
      <c r="AB214" s="170">
        <f t="shared" si="116"/>
        <v>151363809</v>
      </c>
      <c r="AD214" s="686">
        <f t="shared" si="117"/>
        <v>-0.77953666531244625</v>
      </c>
      <c r="AE214" s="687">
        <f t="shared" si="118"/>
        <v>-12.410258622714476</v>
      </c>
      <c r="AG214" s="686">
        <f t="shared" si="119"/>
        <v>44.999061477477042</v>
      </c>
      <c r="AH214" s="687">
        <f t="shared" si="120"/>
        <v>-31.590608073597778</v>
      </c>
      <c r="AJ214" s="170">
        <f t="shared" si="121"/>
        <v>0</v>
      </c>
      <c r="AK214" s="170">
        <f t="shared" si="99"/>
        <v>0</v>
      </c>
      <c r="AM214" s="170" t="str">
        <f t="shared" si="125"/>
        <v>1.34859173114291+0.937274668909166i</v>
      </c>
      <c r="AN214" s="170" t="str">
        <f t="shared" si="126"/>
        <v>1.92686449524325i</v>
      </c>
      <c r="AO214" s="170" t="str">
        <f t="shared" si="127"/>
        <v>0.486424795943341-0.699889242067674i</v>
      </c>
      <c r="AP214" s="170" t="str">
        <f t="shared" si="128"/>
        <v>-0.0580986218571523-0.156212444818194i</v>
      </c>
      <c r="AQ214" s="170" t="str">
        <f t="shared" si="129"/>
        <v>1.05809862185715+0.156212444818194i</v>
      </c>
      <c r="AR214" s="170" t="str">
        <f t="shared" si="130"/>
        <v>0.77046800450014-0.113748083733362i</v>
      </c>
    </row>
    <row r="215" spans="7:44">
      <c r="G215" s="688">
        <v>12374.5</v>
      </c>
      <c r="H215" s="676">
        <f t="shared" si="122"/>
        <v>12.374499999999999</v>
      </c>
      <c r="I215" s="677">
        <f t="shared" si="102"/>
        <v>10.932725153420996</v>
      </c>
      <c r="J215" s="678">
        <f t="shared" si="103"/>
        <v>1.4791997965065695</v>
      </c>
      <c r="K215" s="678">
        <f t="shared" si="104"/>
        <v>1.0001462846165228</v>
      </c>
      <c r="L215" s="679">
        <f t="shared" si="105"/>
        <v>1.7103612840035861E-2</v>
      </c>
      <c r="M215" s="678">
        <f t="shared" si="106"/>
        <v>1.0205114506929405</v>
      </c>
      <c r="N215" s="679">
        <f t="shared" si="107"/>
        <v>-0.20083266656594789</v>
      </c>
      <c r="O215" s="677">
        <f t="shared" si="108"/>
        <v>1105623.1517572193</v>
      </c>
      <c r="P215" s="680">
        <f t="shared" si="109"/>
        <v>1.5707954223275848</v>
      </c>
      <c r="Q215" s="689">
        <f t="shared" ref="Q215:Q278" si="131">SQRT(1+(G215/Zero2)^2)</f>
        <v>5.6178344442066095</v>
      </c>
      <c r="R215" s="690">
        <f t="shared" ref="R215:R278" si="132">ATAN(G215/Zero2)</f>
        <v>1.3918381008934866</v>
      </c>
      <c r="S215" s="677">
        <f t="shared" si="110"/>
        <v>1.0006788820893879</v>
      </c>
      <c r="T215" s="680">
        <f t="shared" si="111"/>
        <v>3.6837433253208977E-2</v>
      </c>
      <c r="U215" s="681">
        <f t="shared" si="123"/>
        <v>0.66151912910468835</v>
      </c>
      <c r="V215" s="682">
        <f t="shared" si="124"/>
        <v>-1.1147596840641294</v>
      </c>
      <c r="W215" s="683">
        <f t="shared" si="112"/>
        <v>-20.708199916234328</v>
      </c>
      <c r="X215" s="684">
        <f t="shared" si="113"/>
        <v>-171.51395869770232</v>
      </c>
      <c r="Y215" s="687">
        <f t="shared" si="114"/>
        <v>8.4860413022976786</v>
      </c>
      <c r="AA215" s="170">
        <f t="shared" si="115"/>
        <v>12374.5</v>
      </c>
      <c r="AB215" s="170">
        <f t="shared" si="116"/>
        <v>153128250.25</v>
      </c>
      <c r="AD215" s="686">
        <f t="shared" si="117"/>
        <v>-0.78120834658755467</v>
      </c>
      <c r="AE215" s="687">
        <f t="shared" si="118"/>
        <v>-12.364128698771713</v>
      </c>
      <c r="AG215" s="686">
        <f t="shared" si="119"/>
        <v>44.981126647012175</v>
      </c>
      <c r="AH215" s="687">
        <f t="shared" si="120"/>
        <v>-31.407779716540706</v>
      </c>
      <c r="AJ215" s="170">
        <f t="shared" si="121"/>
        <v>0</v>
      </c>
      <c r="AK215" s="170">
        <f t="shared" ref="AK215:AK278" si="133">IF(AJ215&gt;0,Y215,0)</f>
        <v>0</v>
      </c>
      <c r="AM215" s="170" t="str">
        <f t="shared" si="125"/>
        <v>1.35906539576954+0.933312402982446i</v>
      </c>
      <c r="AN215" s="170" t="str">
        <f t="shared" si="126"/>
        <v>1.93806264296412i</v>
      </c>
      <c r="AO215" s="170" t="str">
        <f t="shared" si="127"/>
        <v>0.481569781230092-0.701249467195215i</v>
      </c>
      <c r="AP215" s="170" t="str">
        <f t="shared" si="128"/>
        <v>-0.059844232628256-0.155552067163741i</v>
      </c>
      <c r="AQ215" s="170" t="str">
        <f t="shared" si="129"/>
        <v>1.05984423262826+0.155552067163741i</v>
      </c>
      <c r="AR215" s="170" t="str">
        <f t="shared" si="130"/>
        <v>0.769391039726605-0.112922600323958i</v>
      </c>
    </row>
    <row r="216" spans="7:44">
      <c r="G216" s="688">
        <v>12446</v>
      </c>
      <c r="H216" s="676">
        <f t="shared" si="122"/>
        <v>12.446</v>
      </c>
      <c r="I216" s="677">
        <f t="shared" si="102"/>
        <v>10.995367561583</v>
      </c>
      <c r="J216" s="678">
        <f t="shared" si="103"/>
        <v>1.4797230886899764</v>
      </c>
      <c r="K216" s="678">
        <f t="shared" si="104"/>
        <v>1.0001479798431896</v>
      </c>
      <c r="L216" s="679">
        <f t="shared" si="105"/>
        <v>1.7202418267900969E-2</v>
      </c>
      <c r="M216" s="678">
        <f t="shared" si="106"/>
        <v>1.0207467501898417</v>
      </c>
      <c r="N216" s="679">
        <f t="shared" si="107"/>
        <v>-0.2019618680306047</v>
      </c>
      <c r="O216" s="677">
        <f t="shared" si="108"/>
        <v>1112011.4547472857</v>
      </c>
      <c r="P216" s="680">
        <f t="shared" si="109"/>
        <v>1.5707954275235845</v>
      </c>
      <c r="Q216" s="689">
        <f t="shared" si="131"/>
        <v>5.6492687037531129</v>
      </c>
      <c r="R216" s="690">
        <f t="shared" si="132"/>
        <v>1.3928445560169365</v>
      </c>
      <c r="S216" s="677">
        <f t="shared" si="110"/>
        <v>1.0006867472310583</v>
      </c>
      <c r="T216" s="680">
        <f t="shared" si="111"/>
        <v>3.7050086183596259E-2</v>
      </c>
      <c r="U216" s="681">
        <f t="shared" si="123"/>
        <v>0.65923964871793195</v>
      </c>
      <c r="V216" s="682">
        <f t="shared" si="124"/>
        <v>-1.1194964762399122</v>
      </c>
      <c r="W216" s="683">
        <f t="shared" si="112"/>
        <v>-20.787435998931237</v>
      </c>
      <c r="X216" s="684">
        <f t="shared" si="113"/>
        <v>-171.82889545813987</v>
      </c>
      <c r="Y216" s="687">
        <f t="shared" si="114"/>
        <v>8.1711045418601316</v>
      </c>
      <c r="AA216" s="170">
        <f t="shared" si="115"/>
        <v>12446</v>
      </c>
      <c r="AB216" s="170">
        <f t="shared" si="116"/>
        <v>154902916</v>
      </c>
      <c r="AD216" s="686">
        <f t="shared" si="117"/>
        <v>-0.78285343620247394</v>
      </c>
      <c r="AE216" s="687">
        <f t="shared" si="118"/>
        <v>-12.318647480997885</v>
      </c>
      <c r="AG216" s="686">
        <f t="shared" si="119"/>
        <v>44.963499169032687</v>
      </c>
      <c r="AH216" s="687">
        <f t="shared" si="120"/>
        <v>-31.225401293925938</v>
      </c>
      <c r="AJ216" s="170">
        <f t="shared" si="121"/>
        <v>0</v>
      </c>
      <c r="AK216" s="170">
        <f t="shared" si="133"/>
        <v>0</v>
      </c>
      <c r="AM216" s="170" t="str">
        <f t="shared" si="125"/>
        <v>1.3694940346002+0.929233102291813i</v>
      </c>
      <c r="AN216" s="170" t="str">
        <f t="shared" si="126"/>
        <v>1.94926079068499i</v>
      </c>
      <c r="AO216" s="170" t="str">
        <f t="shared" si="127"/>
        <v>0.476710508276972-0.702570964924065i</v>
      </c>
      <c r="AP216" s="170" t="str">
        <f t="shared" si="128"/>
        <v>-0.061582339100033-0.154872183715302i</v>
      </c>
      <c r="AQ216" s="170" t="str">
        <f t="shared" si="129"/>
        <v>1.06158233910003+0.154872183715302i</v>
      </c>
      <c r="AR216" s="170" t="str">
        <f t="shared" si="130"/>
        <v>0.768325196344441-0.112089469256081i</v>
      </c>
    </row>
    <row r="217" spans="7:44">
      <c r="G217" s="688">
        <v>12517.5</v>
      </c>
      <c r="H217" s="676">
        <f t="shared" si="122"/>
        <v>12.5175</v>
      </c>
      <c r="I217" s="677">
        <f t="shared" si="102"/>
        <v>11.05801294654483</v>
      </c>
      <c r="J217" s="678">
        <f t="shared" si="103"/>
        <v>1.4802404519484473</v>
      </c>
      <c r="K217" s="678">
        <f t="shared" si="104"/>
        <v>1.0001496848337803</v>
      </c>
      <c r="L217" s="679">
        <f t="shared" si="105"/>
        <v>1.7301223359856434E-2</v>
      </c>
      <c r="M217" s="678">
        <f t="shared" si="106"/>
        <v>1.0209833506359003</v>
      </c>
      <c r="N217" s="679">
        <f t="shared" si="107"/>
        <v>-0.20309054757653205</v>
      </c>
      <c r="O217" s="677">
        <f t="shared" si="108"/>
        <v>1118399.7577373523</v>
      </c>
      <c r="P217" s="680">
        <f t="shared" si="109"/>
        <v>1.5707954326602251</v>
      </c>
      <c r="Q217" s="689">
        <f t="shared" si="131"/>
        <v>5.6807086224034773</v>
      </c>
      <c r="R217" s="690">
        <f t="shared" si="132"/>
        <v>1.3938398716745208</v>
      </c>
      <c r="S217" s="677">
        <f t="shared" si="110"/>
        <v>1.0006946576243403</v>
      </c>
      <c r="T217" s="680">
        <f t="shared" si="111"/>
        <v>3.7262735761598512E-2</v>
      </c>
      <c r="U217" s="681">
        <f t="shared" si="123"/>
        <v>0.65696701828844351</v>
      </c>
      <c r="V217" s="682">
        <f t="shared" si="124"/>
        <v>-1.1242190148186704</v>
      </c>
      <c r="W217" s="683">
        <f t="shared" si="112"/>
        <v>-20.866369091633679</v>
      </c>
      <c r="X217" s="684">
        <f t="shared" si="113"/>
        <v>-172.14328400965582</v>
      </c>
      <c r="Y217" s="687">
        <f t="shared" si="114"/>
        <v>7.8567159903441848</v>
      </c>
      <c r="AA217" s="170">
        <f t="shared" si="115"/>
        <v>12517.5</v>
      </c>
      <c r="AB217" s="170">
        <f t="shared" si="116"/>
        <v>156687806.25</v>
      </c>
      <c r="AD217" s="686">
        <f t="shared" si="117"/>
        <v>-0.78447253300857089</v>
      </c>
      <c r="AE217" s="687">
        <f t="shared" si="118"/>
        <v>-12.273804312126364</v>
      </c>
      <c r="AG217" s="686">
        <f t="shared" si="119"/>
        <v>44.946175255880775</v>
      </c>
      <c r="AH217" s="687">
        <f t="shared" si="120"/>
        <v>-31.043469955393945</v>
      </c>
      <c r="AJ217" s="170">
        <f t="shared" si="121"/>
        <v>0</v>
      </c>
      <c r="AK217" s="170">
        <f t="shared" si="133"/>
        <v>0</v>
      </c>
      <c r="AM217" s="170" t="str">
        <f t="shared" si="125"/>
        <v>1.37987633991278+0.925037278370158i</v>
      </c>
      <c r="AN217" s="170" t="str">
        <f t="shared" si="126"/>
        <v>1.96045893840587i</v>
      </c>
      <c r="AO217" s="170" t="str">
        <f t="shared" si="127"/>
        <v>0.471847310978288-0.703853731838329i</v>
      </c>
      <c r="AP217" s="170" t="str">
        <f t="shared" si="128"/>
        <v>-0.0633127233187968-0.15417287972836i</v>
      </c>
      <c r="AQ217" s="170" t="str">
        <f t="shared" si="129"/>
        <v>1.0633127233188+0.15417287972836i</v>
      </c>
      <c r="AR217" s="170" t="str">
        <f t="shared" si="130"/>
        <v>0.767270464766003-0.111248830649067i</v>
      </c>
    </row>
    <row r="218" spans="7:44">
      <c r="G218" s="688">
        <v>12589</v>
      </c>
      <c r="H218" s="676">
        <f t="shared" si="122"/>
        <v>12.589</v>
      </c>
      <c r="I218" s="677">
        <f t="shared" si="102"/>
        <v>11.120661257999377</v>
      </c>
      <c r="J218" s="678">
        <f t="shared" si="103"/>
        <v>1.4807519862045571</v>
      </c>
      <c r="K218" s="678">
        <f t="shared" si="104"/>
        <v>1.0001513995882454</v>
      </c>
      <c r="L218" s="679">
        <f t="shared" si="105"/>
        <v>1.7400028113974821E-2</v>
      </c>
      <c r="M218" s="678">
        <f t="shared" si="106"/>
        <v>1.0212212511268894</v>
      </c>
      <c r="N218" s="679">
        <f t="shared" si="107"/>
        <v>-0.20421870269180462</v>
      </c>
      <c r="O218" s="677">
        <f t="shared" si="108"/>
        <v>1124788.0607274186</v>
      </c>
      <c r="P218" s="680">
        <f t="shared" si="109"/>
        <v>1.570795437738518</v>
      </c>
      <c r="Q218" s="689">
        <f t="shared" si="131"/>
        <v>5.7121541067139185</v>
      </c>
      <c r="R218" s="690">
        <f t="shared" si="132"/>
        <v>1.394824229846477</v>
      </c>
      <c r="S218" s="677">
        <f t="shared" si="110"/>
        <v>1.0007026132681609</v>
      </c>
      <c r="T218" s="680">
        <f t="shared" si="111"/>
        <v>3.7475381968063499E-2</v>
      </c>
      <c r="U218" s="681">
        <f t="shared" si="123"/>
        <v>0.65470126600063405</v>
      </c>
      <c r="V218" s="682">
        <f t="shared" si="124"/>
        <v>-1.1289274491070258</v>
      </c>
      <c r="W218" s="683">
        <f t="shared" si="112"/>
        <v>-20.945002303162102</v>
      </c>
      <c r="X218" s="684">
        <f t="shared" si="113"/>
        <v>-172.45712806048007</v>
      </c>
      <c r="Y218" s="687">
        <f t="shared" si="114"/>
        <v>7.5428719395199266</v>
      </c>
      <c r="AA218" s="170">
        <f t="shared" si="115"/>
        <v>12589</v>
      </c>
      <c r="AB218" s="170">
        <f t="shared" si="116"/>
        <v>158482921</v>
      </c>
      <c r="AD218" s="686">
        <f t="shared" si="117"/>
        <v>-0.78606621941910504</v>
      </c>
      <c r="AE218" s="687">
        <f t="shared" si="118"/>
        <v>-12.229588764418205</v>
      </c>
      <c r="AG218" s="686">
        <f t="shared" si="119"/>
        <v>44.929151190857453</v>
      </c>
      <c r="AH218" s="687">
        <f t="shared" si="120"/>
        <v>-30.861982727634967</v>
      </c>
      <c r="AJ218" s="170">
        <f t="shared" si="121"/>
        <v>0</v>
      </c>
      <c r="AK218" s="170">
        <f t="shared" si="133"/>
        <v>0</v>
      </c>
      <c r="AM218" s="170" t="str">
        <f t="shared" si="125"/>
        <v>1.39021100979523+0.920725457362067i</v>
      </c>
      <c r="AN218" s="170" t="str">
        <f t="shared" si="126"/>
        <v>1.97165708612674i</v>
      </c>
      <c r="AO218" s="170" t="str">
        <f t="shared" si="127"/>
        <v>0.466980523053734-0.705097767546514i</v>
      </c>
      <c r="AP218" s="170" t="str">
        <f t="shared" si="128"/>
        <v>-0.0650351682992048-0.153454242893678i</v>
      </c>
      <c r="AQ218" s="170" t="str">
        <f t="shared" si="129"/>
        <v>1.0650351682992+0.153454242893678i</v>
      </c>
      <c r="AR218" s="170" t="str">
        <f t="shared" si="130"/>
        <v>0.7662268342262-0.110400822649614i</v>
      </c>
    </row>
    <row r="219" spans="7:44">
      <c r="G219" s="688">
        <v>12662.25</v>
      </c>
      <c r="H219" s="676">
        <f t="shared" si="122"/>
        <v>12.66225</v>
      </c>
      <c r="I219" s="677">
        <f t="shared" si="102"/>
        <v>11.184845903133125</v>
      </c>
      <c r="J219" s="678">
        <f t="shared" si="103"/>
        <v>1.4812700979041513</v>
      </c>
      <c r="K219" s="678">
        <f t="shared" si="104"/>
        <v>1.0001531664374355</v>
      </c>
      <c r="L219" s="679">
        <f t="shared" si="105"/>
        <v>1.7501250813914515E-2</v>
      </c>
      <c r="M219" s="678">
        <f t="shared" si="106"/>
        <v>1.0214663215707358</v>
      </c>
      <c r="N219" s="679">
        <f t="shared" si="107"/>
        <v>-0.20537392353582565</v>
      </c>
      <c r="O219" s="677">
        <f t="shared" si="108"/>
        <v>1131332.7207836756</v>
      </c>
      <c r="P219" s="680">
        <f t="shared" si="109"/>
        <v>1.5707954428816309</v>
      </c>
      <c r="Q219" s="689">
        <f t="shared" si="131"/>
        <v>5.7443749118480989</v>
      </c>
      <c r="R219" s="690">
        <f t="shared" si="132"/>
        <v>1.3958215038017292</v>
      </c>
      <c r="S219" s="677">
        <f t="shared" si="110"/>
        <v>1.0007108105547968</v>
      </c>
      <c r="T219" s="680">
        <f t="shared" si="111"/>
        <v>3.7693229285610898E-2</v>
      </c>
      <c r="U219" s="681">
        <f t="shared" si="123"/>
        <v>0.65238721832755653</v>
      </c>
      <c r="V219" s="682">
        <f t="shared" si="124"/>
        <v>-1.1337366543999425</v>
      </c>
      <c r="W219" s="683">
        <f t="shared" si="112"/>
        <v>-21.025252322628734</v>
      </c>
      <c r="X219" s="684">
        <f t="shared" si="113"/>
        <v>-172.77809292381465</v>
      </c>
      <c r="Y219" s="687">
        <f t="shared" si="114"/>
        <v>7.2219070761853459</v>
      </c>
      <c r="AA219" s="170">
        <f t="shared" si="115"/>
        <v>12662.25</v>
      </c>
      <c r="AB219" s="170">
        <f t="shared" si="116"/>
        <v>160332575.0625</v>
      </c>
      <c r="AD219" s="686">
        <f t="shared" si="117"/>
        <v>-0.7876731534075696</v>
      </c>
      <c r="AE219" s="687">
        <f t="shared" si="118"/>
        <v>-12.184931202265277</v>
      </c>
      <c r="AG219" s="686">
        <f t="shared" si="119"/>
        <v>44.91201758678217</v>
      </c>
      <c r="AH219" s="687">
        <f t="shared" si="120"/>
        <v>-30.676510820300514</v>
      </c>
      <c r="AJ219" s="170">
        <f t="shared" si="121"/>
        <v>0</v>
      </c>
      <c r="AK219" s="170">
        <f t="shared" si="133"/>
        <v>0</v>
      </c>
      <c r="AM219" s="170" t="str">
        <f t="shared" si="125"/>
        <v>1.40074787276173+0.916188377178484i</v>
      </c>
      <c r="AN219" s="170" t="str">
        <f t="shared" si="126"/>
        <v>1.98312931438623i</v>
      </c>
      <c r="AO219" s="170" t="str">
        <f t="shared" si="127"/>
        <v>0.461991243098557-0.706332089692928i</v>
      </c>
      <c r="AP219" s="170" t="str">
        <f t="shared" si="128"/>
        <v>-0.0667913121269557-0.152698062863081i</v>
      </c>
      <c r="AQ219" s="170" t="str">
        <f t="shared" si="129"/>
        <v>1.06679131212696+0.152698062863081i</v>
      </c>
      <c r="AR219" s="170" t="str">
        <f t="shared" si="130"/>
        <v>0.76516915976054-0.109524559423953i</v>
      </c>
    </row>
    <row r="220" spans="7:44">
      <c r="G220" s="688">
        <v>12735.5</v>
      </c>
      <c r="H220" s="676">
        <f t="shared" si="122"/>
        <v>12.7355</v>
      </c>
      <c r="I220" s="677">
        <f t="shared" si="102"/>
        <v>11.249033516460663</v>
      </c>
      <c r="J220" s="678">
        <f t="shared" si="103"/>
        <v>1.4817822969913628</v>
      </c>
      <c r="K220" s="678">
        <f t="shared" si="104"/>
        <v>1.0001549435341937</v>
      </c>
      <c r="L220" s="679">
        <f t="shared" si="105"/>
        <v>1.7602473155182E-2</v>
      </c>
      <c r="M220" s="678">
        <f t="shared" si="106"/>
        <v>1.021712754542329</v>
      </c>
      <c r="N220" s="679">
        <f t="shared" si="107"/>
        <v>-0.20652858865100771</v>
      </c>
      <c r="O220" s="677">
        <f t="shared" si="108"/>
        <v>1137877.3808399325</v>
      </c>
      <c r="P220" s="680">
        <f t="shared" si="109"/>
        <v>1.5707954479655808</v>
      </c>
      <c r="Q220" s="689">
        <f t="shared" si="131"/>
        <v>5.7766013663445417</v>
      </c>
      <c r="R220" s="690">
        <f t="shared" si="132"/>
        <v>1.3968076515617684</v>
      </c>
      <c r="S220" s="677">
        <f t="shared" si="110"/>
        <v>1.0007190553318406</v>
      </c>
      <c r="T220" s="680">
        <f t="shared" si="111"/>
        <v>3.7911073023872477E-2</v>
      </c>
      <c r="U220" s="681">
        <f t="shared" si="123"/>
        <v>0.65008044312914592</v>
      </c>
      <c r="V220" s="682">
        <f t="shared" si="124"/>
        <v>-1.138531373271882</v>
      </c>
      <c r="W220" s="683">
        <f t="shared" si="112"/>
        <v>-21.105194053745713</v>
      </c>
      <c r="X220" s="684">
        <f t="shared" si="113"/>
        <v>-173.09849446382421</v>
      </c>
      <c r="Y220" s="687">
        <f t="shared" si="114"/>
        <v>6.9015055361757902</v>
      </c>
      <c r="AA220" s="170">
        <f t="shared" si="115"/>
        <v>12735.5</v>
      </c>
      <c r="AB220" s="170">
        <f t="shared" si="116"/>
        <v>162192960.25</v>
      </c>
      <c r="AD220" s="686">
        <f t="shared" si="117"/>
        <v>-0.7892546048217064</v>
      </c>
      <c r="AE220" s="687">
        <f t="shared" si="118"/>
        <v>-12.140910915673066</v>
      </c>
      <c r="AG220" s="686">
        <f t="shared" si="119"/>
        <v>44.895191013706381</v>
      </c>
      <c r="AH220" s="687">
        <f t="shared" si="120"/>
        <v>-30.491498335646778</v>
      </c>
      <c r="AJ220" s="170">
        <f t="shared" si="121"/>
        <v>0</v>
      </c>
      <c r="AK220" s="170">
        <f t="shared" si="133"/>
        <v>0</v>
      </c>
      <c r="AM220" s="170" t="str">
        <f t="shared" si="125"/>
        <v>1.41123199306918+0.911530716913234i</v>
      </c>
      <c r="AN220" s="170" t="str">
        <f t="shared" si="126"/>
        <v>1.99460154264573i</v>
      </c>
      <c r="AO220" s="170" t="str">
        <f t="shared" si="127"/>
        <v>0.456998903001017-0.707525770383822i</v>
      </c>
      <c r="AP220" s="170" t="str">
        <f t="shared" si="128"/>
        <v>-0.0685386655115292-0.151921786152206i</v>
      </c>
      <c r="AQ220" s="170" t="str">
        <f t="shared" si="129"/>
        <v>1.06853866551153+0.151921786152206i</v>
      </c>
      <c r="AR220" s="170" t="str">
        <f t="shared" si="130"/>
        <v>0.764123109944044-0.108640848899281i</v>
      </c>
    </row>
    <row r="221" spans="7:44">
      <c r="G221" s="688">
        <v>12808.75</v>
      </c>
      <c r="H221" s="676">
        <f t="shared" si="122"/>
        <v>12.80875</v>
      </c>
      <c r="I221" s="677">
        <f t="shared" si="102"/>
        <v>11.313224047460249</v>
      </c>
      <c r="J221" s="678">
        <f t="shared" si="103"/>
        <v>1.4822886838385161</v>
      </c>
      <c r="K221" s="678">
        <f t="shared" si="104"/>
        <v>1.0001567308784651</v>
      </c>
      <c r="L221" s="679">
        <f t="shared" si="105"/>
        <v>1.770369513570496E-2</v>
      </c>
      <c r="M221" s="678">
        <f t="shared" si="106"/>
        <v>1.0219605490559995</v>
      </c>
      <c r="N221" s="679">
        <f t="shared" si="107"/>
        <v>-0.20768269536157213</v>
      </c>
      <c r="O221" s="677">
        <f t="shared" si="108"/>
        <v>1144422.0408961896</v>
      </c>
      <c r="P221" s="680">
        <f t="shared" si="109"/>
        <v>1.5707954529913835</v>
      </c>
      <c r="Q221" s="689">
        <f t="shared" si="131"/>
        <v>5.8088333761780433</v>
      </c>
      <c r="R221" s="690">
        <f t="shared" si="132"/>
        <v>1.3977828564032624</v>
      </c>
      <c r="S221" s="677">
        <f t="shared" si="110"/>
        <v>1.000727347598118</v>
      </c>
      <c r="T221" s="680">
        <f t="shared" si="111"/>
        <v>3.8128913162261018E-2</v>
      </c>
      <c r="U221" s="681">
        <f t="shared" si="123"/>
        <v>0.64778096434730736</v>
      </c>
      <c r="V221" s="682">
        <f t="shared" si="124"/>
        <v>-1.143311765716946</v>
      </c>
      <c r="W221" s="683">
        <f t="shared" si="112"/>
        <v>-21.184830686408951</v>
      </c>
      <c r="X221" s="684">
        <f t="shared" si="113"/>
        <v>-173.41833694311322</v>
      </c>
      <c r="Y221" s="687">
        <f t="shared" si="114"/>
        <v>6.5816630568867822</v>
      </c>
      <c r="AA221" s="170">
        <f t="shared" si="115"/>
        <v>12808.75</v>
      </c>
      <c r="AB221" s="170">
        <f t="shared" si="116"/>
        <v>164064076.5625</v>
      </c>
      <c r="AD221" s="686">
        <f t="shared" si="117"/>
        <v>-0.79081114966577015</v>
      </c>
      <c r="AE221" s="687">
        <f t="shared" si="118"/>
        <v>-12.097517402540646</v>
      </c>
      <c r="AG221" s="686">
        <f t="shared" si="119"/>
        <v>44.878667698307019</v>
      </c>
      <c r="AH221" s="687">
        <f t="shared" si="120"/>
        <v>-30.306941704405471</v>
      </c>
      <c r="AJ221" s="170">
        <f t="shared" si="121"/>
        <v>0</v>
      </c>
      <c r="AK221" s="170">
        <f t="shared" si="133"/>
        <v>0</v>
      </c>
      <c r="AM221" s="170" t="str">
        <f t="shared" si="125"/>
        <v>1.4216619908964+0.906753089563682i</v>
      </c>
      <c r="AN221" s="170" t="str">
        <f t="shared" si="126"/>
        <v>2.00607377090522i</v>
      </c>
      <c r="AO221" s="170" t="str">
        <f t="shared" si="127"/>
        <v>0.452003860832356-0.708678819052048i</v>
      </c>
      <c r="AP221" s="170" t="str">
        <f t="shared" si="128"/>
        <v>-0.0702769984827338-0.15112551492728i</v>
      </c>
      <c r="AQ221" s="170" t="str">
        <f t="shared" si="129"/>
        <v>1.07027699848273+0.15112551492728i</v>
      </c>
      <c r="AR221" s="170" t="str">
        <f t="shared" si="130"/>
        <v>0.763088669682075-0.107749833271538i</v>
      </c>
    </row>
    <row r="222" spans="7:44">
      <c r="G222" s="688">
        <v>12882</v>
      </c>
      <c r="H222" s="676">
        <f t="shared" si="122"/>
        <v>12.882</v>
      </c>
      <c r="I222" s="677">
        <f t="shared" si="102"/>
        <v>11.377417446748026</v>
      </c>
      <c r="J222" s="678">
        <f t="shared" si="103"/>
        <v>1.4827893565647408</v>
      </c>
      <c r="K222" s="678">
        <f t="shared" si="104"/>
        <v>1.0001585284701953</v>
      </c>
      <c r="L222" s="679">
        <f t="shared" si="105"/>
        <v>1.7804916753411112E-2</v>
      </c>
      <c r="M222" s="678">
        <f t="shared" si="106"/>
        <v>1.0222097041215903</v>
      </c>
      <c r="N222" s="679">
        <f t="shared" si="107"/>
        <v>-0.20883624100027784</v>
      </c>
      <c r="O222" s="677">
        <f t="shared" si="108"/>
        <v>1150966.7009524466</v>
      </c>
      <c r="P222" s="680">
        <f t="shared" si="109"/>
        <v>1.5707954579600301</v>
      </c>
      <c r="Q222" s="689">
        <f t="shared" si="131"/>
        <v>5.8410708493827546</v>
      </c>
      <c r="R222" s="690">
        <f t="shared" si="132"/>
        <v>1.3987472976410937</v>
      </c>
      <c r="S222" s="677">
        <f t="shared" si="110"/>
        <v>1.0007356873524489</v>
      </c>
      <c r="T222" s="680">
        <f t="shared" si="111"/>
        <v>3.8346749680191354E-2</v>
      </c>
      <c r="U222" s="681">
        <f t="shared" si="123"/>
        <v>0.64548880387387597</v>
      </c>
      <c r="V222" s="682">
        <f t="shared" si="124"/>
        <v>-1.1480779915138801</v>
      </c>
      <c r="W222" s="683">
        <f t="shared" si="112"/>
        <v>-21.264165361973451</v>
      </c>
      <c r="X222" s="684">
        <f t="shared" si="113"/>
        <v>-173.73762471032987</v>
      </c>
      <c r="Y222" s="687">
        <f t="shared" si="114"/>
        <v>6.2623752896701319</v>
      </c>
      <c r="AA222" s="170">
        <f t="shared" si="115"/>
        <v>12882</v>
      </c>
      <c r="AB222" s="170">
        <f t="shared" si="116"/>
        <v>165945924</v>
      </c>
      <c r="AD222" s="686">
        <f t="shared" si="117"/>
        <v>-0.79234334809276041</v>
      </c>
      <c r="AE222" s="687">
        <f t="shared" si="118"/>
        <v>-12.054740387759361</v>
      </c>
      <c r="AG222" s="686">
        <f t="shared" si="119"/>
        <v>44.862443939675181</v>
      </c>
      <c r="AH222" s="687">
        <f t="shared" si="120"/>
        <v>-30.122837241037892</v>
      </c>
      <c r="AJ222" s="170">
        <f t="shared" si="121"/>
        <v>0</v>
      </c>
      <c r="AK222" s="170">
        <f t="shared" si="133"/>
        <v>0</v>
      </c>
      <c r="AM222" s="170" t="str">
        <f t="shared" si="125"/>
        <v>1.43203649354539+0.901856123916115i</v>
      </c>
      <c r="AN222" s="170" t="str">
        <f t="shared" si="126"/>
        <v>2.01754599916472i</v>
      </c>
      <c r="AO222" s="170" t="str">
        <f t="shared" si="127"/>
        <v>0.447006474345314-0.709791248446511i</v>
      </c>
      <c r="AP222" s="170" t="str">
        <f t="shared" si="128"/>
        <v>-0.0720060822575658-0.150309353986019i</v>
      </c>
      <c r="AQ222" s="170" t="str">
        <f t="shared" si="129"/>
        <v>1.07200608225757+0.150309353986019i</v>
      </c>
      <c r="AR222" s="170" t="str">
        <f t="shared" si="130"/>
        <v>0.762065822798582-0.106851652630976i</v>
      </c>
    </row>
    <row r="223" spans="7:44">
      <c r="G223" s="688">
        <v>12957.25</v>
      </c>
      <c r="H223" s="676">
        <f t="shared" si="122"/>
        <v>12.95725</v>
      </c>
      <c r="I223" s="677">
        <f t="shared" si="102"/>
        <v>11.443366502942567</v>
      </c>
      <c r="J223" s="678">
        <f t="shared" si="103"/>
        <v>1.4832978500467784</v>
      </c>
      <c r="K223" s="678">
        <f t="shared" si="104"/>
        <v>1.0001603858138393</v>
      </c>
      <c r="L223" s="679">
        <f t="shared" si="105"/>
        <v>1.790890172130459E-2</v>
      </c>
      <c r="M223" s="678">
        <f t="shared" si="106"/>
        <v>1.0224670777920017</v>
      </c>
      <c r="N223" s="679">
        <f t="shared" si="107"/>
        <v>-0.21002069571189852</v>
      </c>
      <c r="O223" s="677">
        <f t="shared" si="108"/>
        <v>1157690.0547986357</v>
      </c>
      <c r="P223" s="680">
        <f t="shared" si="109"/>
        <v>1.5707954630058403</v>
      </c>
      <c r="Q223" s="689">
        <f t="shared" si="131"/>
        <v>5.8741941212788253</v>
      </c>
      <c r="R223" s="690">
        <f t="shared" si="132"/>
        <v>1.3997270476451926</v>
      </c>
      <c r="S223" s="677">
        <f t="shared" si="110"/>
        <v>1.0007443042627926</v>
      </c>
      <c r="T223" s="680">
        <f t="shared" si="111"/>
        <v>3.8570530161162769E-2</v>
      </c>
      <c r="U223" s="681">
        <f t="shared" si="123"/>
        <v>0.64314170046200947</v>
      </c>
      <c r="V223" s="682">
        <f t="shared" si="124"/>
        <v>-1.1529597686890809</v>
      </c>
      <c r="W223" s="683">
        <f t="shared" si="112"/>
        <v>-21.345354986658531</v>
      </c>
      <c r="X223" s="684">
        <f t="shared" si="113"/>
        <v>-174.06505725199204</v>
      </c>
      <c r="Y223" s="687">
        <f t="shared" si="114"/>
        <v>5.9349427480079555</v>
      </c>
      <c r="AA223" s="170">
        <f t="shared" si="115"/>
        <v>12957.25</v>
      </c>
      <c r="AB223" s="170">
        <f t="shared" si="116"/>
        <v>167890327.5625</v>
      </c>
      <c r="AD223" s="686">
        <f t="shared" si="117"/>
        <v>-0.79389260106675086</v>
      </c>
      <c r="AE223" s="687">
        <f t="shared" si="118"/>
        <v>-12.01142681369778</v>
      </c>
      <c r="AG223" s="686">
        <f t="shared" si="119"/>
        <v>44.846085334708398</v>
      </c>
      <c r="AH223" s="687">
        <f t="shared" si="120"/>
        <v>-29.934172898797822</v>
      </c>
      <c r="AJ223" s="170">
        <f t="shared" si="121"/>
        <v>0</v>
      </c>
      <c r="AK223" s="170">
        <f t="shared" si="133"/>
        <v>0</v>
      </c>
      <c r="AM223" s="170" t="str">
        <f t="shared" si="125"/>
        <v>1.44263503565058+0.896701859714036i</v>
      </c>
      <c r="AN223" s="170" t="str">
        <f t="shared" si="126"/>
        <v>2.0293314623255i</v>
      </c>
      <c r="AO223" s="170" t="str">
        <f t="shared" si="127"/>
        <v>0.441870574798296-0.71089177023718i</v>
      </c>
      <c r="AP223" s="170" t="str">
        <f t="shared" si="128"/>
        <v>-0.0737725059417633-0.149450309952339i</v>
      </c>
      <c r="AQ223" s="170" t="str">
        <f t="shared" si="129"/>
        <v>1.07377250594176+0.149450309952339i</v>
      </c>
      <c r="AR223" s="170" t="str">
        <f t="shared" si="130"/>
        <v>0.761027102781907-0.105921632155345i</v>
      </c>
    </row>
    <row r="224" spans="7:44">
      <c r="G224" s="688">
        <v>13032.5</v>
      </c>
      <c r="H224" s="676">
        <f t="shared" si="122"/>
        <v>13.032500000000001</v>
      </c>
      <c r="I224" s="677">
        <f t="shared" si="102"/>
        <v>11.509318484088944</v>
      </c>
      <c r="J224" s="678">
        <f t="shared" si="103"/>
        <v>1.4838005160053587</v>
      </c>
      <c r="K224" s="678">
        <f t="shared" si="104"/>
        <v>1.0001622539720509</v>
      </c>
      <c r="L224" s="679">
        <f t="shared" si="105"/>
        <v>1.8012886301864723E-2</v>
      </c>
      <c r="M224" s="678">
        <f t="shared" si="106"/>
        <v>1.0227258851920342</v>
      </c>
      <c r="N224" s="679">
        <f t="shared" si="107"/>
        <v>-0.2112045526158412</v>
      </c>
      <c r="O224" s="677">
        <f t="shared" si="108"/>
        <v>1164413.4086448245</v>
      </c>
      <c r="P224" s="680">
        <f t="shared" si="109"/>
        <v>1.5707954679933811</v>
      </c>
      <c r="Q224" s="689">
        <f t="shared" si="131"/>
        <v>5.90732296863575</v>
      </c>
      <c r="R224" s="690">
        <f t="shared" si="132"/>
        <v>1.4006958095020587</v>
      </c>
      <c r="S224" s="677">
        <f t="shared" si="110"/>
        <v>1.0007529712872485</v>
      </c>
      <c r="T224" s="680">
        <f t="shared" si="111"/>
        <v>3.8794306777237025E-2</v>
      </c>
      <c r="U224" s="681">
        <f t="shared" si="123"/>
        <v>0.64080236084394715</v>
      </c>
      <c r="V224" s="682">
        <f t="shared" si="124"/>
        <v>-1.1578269361383613</v>
      </c>
      <c r="W224" s="683">
        <f t="shared" si="112"/>
        <v>-21.426232509801409</v>
      </c>
      <c r="X224" s="684">
        <f t="shared" si="113"/>
        <v>-174.39191394553524</v>
      </c>
      <c r="Y224" s="687">
        <f t="shared" si="114"/>
        <v>5.6080860544647635</v>
      </c>
      <c r="AA224" s="170">
        <f t="shared" si="115"/>
        <v>13032.5</v>
      </c>
      <c r="AB224" s="170">
        <f t="shared" si="116"/>
        <v>169846056.25</v>
      </c>
      <c r="AD224" s="686">
        <f t="shared" si="117"/>
        <v>-0.79541730926191667</v>
      </c>
      <c r="AE224" s="687">
        <f t="shared" si="118"/>
        <v>-11.968742589317131</v>
      </c>
      <c r="AG224" s="686">
        <f t="shared" si="119"/>
        <v>44.830035178638788</v>
      </c>
      <c r="AH224" s="687">
        <f t="shared" si="120"/>
        <v>-29.745977510029913</v>
      </c>
      <c r="AJ224" s="170">
        <f t="shared" si="121"/>
        <v>0</v>
      </c>
      <c r="AK224" s="170">
        <f t="shared" si="133"/>
        <v>0</v>
      </c>
      <c r="AM224" s="170" t="str">
        <f t="shared" si="125"/>
        <v>1.45317209772602+0.891423047628115i</v>
      </c>
      <c r="AN224" s="170" t="str">
        <f t="shared" si="126"/>
        <v>2.04111692548628i</v>
      </c>
      <c r="AO224" s="170" t="str">
        <f t="shared" si="127"/>
        <v>0.436732965415855-0.711949462365961i</v>
      </c>
      <c r="AP224" s="170" t="str">
        <f t="shared" si="128"/>
        <v>-0.0755286829543372-0.148570507938019i</v>
      </c>
      <c r="AQ224" s="170" t="str">
        <f t="shared" si="129"/>
        <v>1.07552868295434+0.148570507938019i</v>
      </c>
      <c r="AR224" s="170" t="str">
        <f t="shared" si="130"/>
        <v>0.760000579978685-0.104984343039986i</v>
      </c>
    </row>
    <row r="225" spans="7:44">
      <c r="G225" s="688">
        <v>13107.75</v>
      </c>
      <c r="H225" s="676">
        <f t="shared" si="122"/>
        <v>13.107749999999999</v>
      </c>
      <c r="I225" s="677">
        <f t="shared" si="102"/>
        <v>11.575273340191007</v>
      </c>
      <c r="J225" s="678">
        <f t="shared" si="103"/>
        <v>1.4842974537983629</v>
      </c>
      <c r="K225" s="678">
        <f t="shared" si="104"/>
        <v>1.0001641329447697</v>
      </c>
      <c r="L225" s="679">
        <f t="shared" si="105"/>
        <v>1.8116870492844956E-2</v>
      </c>
      <c r="M225" s="678">
        <f t="shared" si="106"/>
        <v>1.0229861252335208</v>
      </c>
      <c r="N225" s="679">
        <f t="shared" si="107"/>
        <v>-0.21238780884870068</v>
      </c>
      <c r="O225" s="677">
        <f t="shared" si="108"/>
        <v>1171136.7624910136</v>
      </c>
      <c r="P225" s="680">
        <f t="shared" si="109"/>
        <v>1.5707954729236562</v>
      </c>
      <c r="Q225" s="689">
        <f t="shared" si="131"/>
        <v>5.9404572981735448</v>
      </c>
      <c r="R225" s="690">
        <f t="shared" si="132"/>
        <v>1.4016537652450491</v>
      </c>
      <c r="S225" s="677">
        <f t="shared" si="110"/>
        <v>1.0007616884245147</v>
      </c>
      <c r="T225" s="680">
        <f t="shared" si="111"/>
        <v>3.9018079506103177E-2</v>
      </c>
      <c r="U225" s="681">
        <f t="shared" si="123"/>
        <v>0.63847080230808773</v>
      </c>
      <c r="V225" s="682">
        <f t="shared" si="124"/>
        <v>-1.1626796662848102</v>
      </c>
      <c r="W225" s="683">
        <f t="shared" si="112"/>
        <v>-21.506801186514718</v>
      </c>
      <c r="X225" s="684">
        <f t="shared" si="113"/>
        <v>-174.71819976796576</v>
      </c>
      <c r="Y225" s="687">
        <f t="shared" si="114"/>
        <v>5.281800232034243</v>
      </c>
      <c r="AA225" s="170">
        <f t="shared" si="115"/>
        <v>13107.75</v>
      </c>
      <c r="AB225" s="170">
        <f t="shared" si="116"/>
        <v>171813110.0625</v>
      </c>
      <c r="AD225" s="686">
        <f t="shared" si="117"/>
        <v>-0.79691803108485681</v>
      </c>
      <c r="AE225" s="687">
        <f t="shared" si="118"/>
        <v>-11.926677283653515</v>
      </c>
      <c r="AG225" s="686">
        <f t="shared" si="119"/>
        <v>44.81428968882981</v>
      </c>
      <c r="AH225" s="687">
        <f t="shared" si="120"/>
        <v>-29.558246724473811</v>
      </c>
      <c r="AJ225" s="170">
        <f t="shared" si="121"/>
        <v>0</v>
      </c>
      <c r="AK225" s="170">
        <f t="shared" si="133"/>
        <v>0</v>
      </c>
      <c r="AM225" s="170" t="str">
        <f t="shared" si="125"/>
        <v>1.46364621622085+0.886020420861782i</v>
      </c>
      <c r="AN225" s="170" t="str">
        <f t="shared" si="126"/>
        <v>2.05290238864705i</v>
      </c>
      <c r="AO225" s="170" t="str">
        <f t="shared" si="127"/>
        <v>0.431594032800413-0.71296434955461i</v>
      </c>
      <c r="AP225" s="170" t="str">
        <f t="shared" si="128"/>
        <v>-0.0772743693701417-0.14767007014363i</v>
      </c>
      <c r="AQ225" s="170" t="str">
        <f t="shared" si="129"/>
        <v>1.07727436937014+0.14767007014363i</v>
      </c>
      <c r="AR225" s="170" t="str">
        <f t="shared" si="130"/>
        <v>0.758986233623579-0.104039930350124i</v>
      </c>
    </row>
    <row r="226" spans="7:44">
      <c r="G226" s="688">
        <v>13183</v>
      </c>
      <c r="H226" s="676">
        <f t="shared" si="122"/>
        <v>13.183</v>
      </c>
      <c r="I226" s="677">
        <f t="shared" si="102"/>
        <v>11.64123102238349</v>
      </c>
      <c r="J226" s="678">
        <f t="shared" si="103"/>
        <v>1.4847887605433425</v>
      </c>
      <c r="K226" s="678">
        <f t="shared" si="104"/>
        <v>1.0001660227319344</v>
      </c>
      <c r="L226" s="679">
        <f t="shared" si="105"/>
        <v>1.8220854291998791E-2</v>
      </c>
      <c r="M226" s="678">
        <f t="shared" si="106"/>
        <v>1.0232477968233817</v>
      </c>
      <c r="N226" s="679">
        <f t="shared" si="107"/>
        <v>-0.21357046155670459</v>
      </c>
      <c r="O226" s="677">
        <f t="shared" si="108"/>
        <v>1177860.1163372025</v>
      </c>
      <c r="P226" s="680">
        <f t="shared" si="109"/>
        <v>1.5707954777976463</v>
      </c>
      <c r="Q226" s="689">
        <f t="shared" si="131"/>
        <v>5.9735970186665774</v>
      </c>
      <c r="R226" s="690">
        <f t="shared" si="132"/>
        <v>1.4026010929483947</v>
      </c>
      <c r="S226" s="677">
        <f t="shared" si="110"/>
        <v>1.0007704556732815</v>
      </c>
      <c r="T226" s="680">
        <f t="shared" si="111"/>
        <v>3.9241848325452598E-2</v>
      </c>
      <c r="U226" s="681">
        <f t="shared" si="123"/>
        <v>0.63614704006829992</v>
      </c>
      <c r="V226" s="682">
        <f t="shared" si="124"/>
        <v>-1.1675181312507363</v>
      </c>
      <c r="W226" s="683">
        <f t="shared" si="112"/>
        <v>-21.587064224032467</v>
      </c>
      <c r="X226" s="684">
        <f t="shared" si="113"/>
        <v>-175.04391977808706</v>
      </c>
      <c r="Y226" s="687">
        <f t="shared" si="114"/>
        <v>4.9560802219129414</v>
      </c>
      <c r="AA226" s="170">
        <f t="shared" si="115"/>
        <v>13183</v>
      </c>
      <c r="AB226" s="170">
        <f t="shared" si="116"/>
        <v>173791489</v>
      </c>
      <c r="AD226" s="686">
        <f t="shared" si="117"/>
        <v>-0.79839530949582493</v>
      </c>
      <c r="AE226" s="687">
        <f t="shared" si="118"/>
        <v>-11.885220692583026</v>
      </c>
      <c r="AG226" s="686">
        <f t="shared" si="119"/>
        <v>44.798845157346783</v>
      </c>
      <c r="AH226" s="687">
        <f t="shared" si="120"/>
        <v>-29.370976081293083</v>
      </c>
      <c r="AJ226" s="170">
        <f t="shared" si="121"/>
        <v>0</v>
      </c>
      <c r="AK226" s="170">
        <f t="shared" si="133"/>
        <v>0</v>
      </c>
      <c r="AM226" s="170" t="str">
        <f t="shared" si="125"/>
        <v>1.4740559363268+0.880494729815759i</v>
      </c>
      <c r="AN226" s="170" t="str">
        <f t="shared" si="126"/>
        <v>2.06468785180783i</v>
      </c>
      <c r="AO226" s="170" t="str">
        <f t="shared" si="127"/>
        <v>0.426454163056562-0.713936460194757i</v>
      </c>
      <c r="AP226" s="170" t="str">
        <f t="shared" si="128"/>
        <v>-0.0790093227211325-0.14674912163596i</v>
      </c>
      <c r="AQ226" s="170" t="str">
        <f t="shared" si="129"/>
        <v>1.07900932272113+0.14674912163596i</v>
      </c>
      <c r="AR226" s="170" t="str">
        <f t="shared" si="130"/>
        <v>0.757984041970682-0.103088536893041i</v>
      </c>
    </row>
    <row r="227" spans="7:44">
      <c r="G227" s="688">
        <v>13259.75</v>
      </c>
      <c r="H227" s="676">
        <f t="shared" si="122"/>
        <v>13.25975</v>
      </c>
      <c r="I227" s="677">
        <f t="shared" si="102"/>
        <v>11.70850633727729</v>
      </c>
      <c r="J227" s="678">
        <f t="shared" si="103"/>
        <v>1.4852841586775509</v>
      </c>
      <c r="K227" s="678">
        <f t="shared" si="104"/>
        <v>1.0001679613291616</v>
      </c>
      <c r="L227" s="679">
        <f t="shared" si="105"/>
        <v>1.8326910451963749E-2</v>
      </c>
      <c r="M227" s="678">
        <f t="shared" si="106"/>
        <v>1.0235161579562189</v>
      </c>
      <c r="N227" s="679">
        <f t="shared" si="107"/>
        <v>-0.2147760640978095</v>
      </c>
      <c r="O227" s="677">
        <f t="shared" si="108"/>
        <v>1184717.4905258408</v>
      </c>
      <c r="P227" s="680">
        <f t="shared" si="109"/>
        <v>1.5707954827118067</v>
      </c>
      <c r="Q227" s="689">
        <f t="shared" si="131"/>
        <v>6.0074027922989437</v>
      </c>
      <c r="R227" s="690">
        <f t="shared" si="132"/>
        <v>1.4035565369652965</v>
      </c>
      <c r="S227" s="677">
        <f t="shared" si="110"/>
        <v>1.0007794493029236</v>
      </c>
      <c r="T227" s="680">
        <f t="shared" si="111"/>
        <v>3.947007360250928E-2</v>
      </c>
      <c r="U227" s="681">
        <f t="shared" si="123"/>
        <v>0.63378500161036477</v>
      </c>
      <c r="V227" s="682">
        <f t="shared" si="124"/>
        <v>-1.1724385276285356</v>
      </c>
      <c r="W227" s="683">
        <f t="shared" si="112"/>
        <v>-21.668615627908071</v>
      </c>
      <c r="X227" s="684">
        <f t="shared" si="113"/>
        <v>-175.37555503071707</v>
      </c>
      <c r="Y227" s="687">
        <f t="shared" si="114"/>
        <v>4.6244449692829335</v>
      </c>
      <c r="AA227" s="170">
        <f t="shared" si="115"/>
        <v>13259.75</v>
      </c>
      <c r="AB227" s="170">
        <f t="shared" si="116"/>
        <v>175820970.0625</v>
      </c>
      <c r="AD227" s="686">
        <f t="shared" si="117"/>
        <v>-0.79987843373487322</v>
      </c>
      <c r="AE227" s="687">
        <f t="shared" si="118"/>
        <v>-11.843554409520124</v>
      </c>
      <c r="AG227" s="686">
        <f t="shared" si="119"/>
        <v>44.783399009767734</v>
      </c>
      <c r="AH227" s="687">
        <f t="shared" si="120"/>
        <v>-29.180441724383002</v>
      </c>
      <c r="AJ227" s="170">
        <f t="shared" si="121"/>
        <v>0</v>
      </c>
      <c r="AK227" s="170">
        <f t="shared" si="133"/>
        <v>0</v>
      </c>
      <c r="AM227" s="170" t="str">
        <f t="shared" si="125"/>
        <v>1.48460532321088+0.874732919647865i</v>
      </c>
      <c r="AN227" s="170" t="str">
        <f t="shared" si="126"/>
        <v>2.07670824114457i</v>
      </c>
      <c r="AO227" s="170" t="str">
        <f t="shared" si="127"/>
        <v>0.421211271914518-0.714883917633343i</v>
      </c>
      <c r="AP227" s="170" t="str">
        <f t="shared" si="128"/>
        <v>-0.0807675538684802-0.145788819941311i</v>
      </c>
      <c r="AQ227" s="170" t="str">
        <f t="shared" si="129"/>
        <v>1.08076755386848+0.145788819941311i</v>
      </c>
      <c r="AR227" s="170" t="str">
        <f t="shared" si="130"/>
        <v>0.756974370106821-0.102111133655591i</v>
      </c>
    </row>
    <row r="228" spans="7:44">
      <c r="G228" s="688">
        <v>13336.5</v>
      </c>
      <c r="H228" s="676">
        <f t="shared" si="122"/>
        <v>13.336499999999999</v>
      </c>
      <c r="I228" s="677">
        <f t="shared" si="102"/>
        <v>11.775784492831582</v>
      </c>
      <c r="J228" s="678">
        <f t="shared" si="103"/>
        <v>1.485773896251003</v>
      </c>
      <c r="K228" s="678">
        <f t="shared" si="104"/>
        <v>1.0001699111761433</v>
      </c>
      <c r="L228" s="679">
        <f t="shared" si="105"/>
        <v>1.8432966199605303E-2</v>
      </c>
      <c r="M228" s="678">
        <f t="shared" si="106"/>
        <v>1.0237860059655806</v>
      </c>
      <c r="N228" s="679">
        <f t="shared" si="107"/>
        <v>-0.21598103284765355</v>
      </c>
      <c r="O228" s="677">
        <f t="shared" si="108"/>
        <v>1191574.8647144786</v>
      </c>
      <c r="P228" s="680">
        <f t="shared" si="109"/>
        <v>1.5707954875694063</v>
      </c>
      <c r="Q228" s="689">
        <f t="shared" si="131"/>
        <v>6.0412139885504974</v>
      </c>
      <c r="R228" s="690">
        <f t="shared" si="132"/>
        <v>1.4045012870639277</v>
      </c>
      <c r="S228" s="677">
        <f t="shared" si="110"/>
        <v>1.0007884950590034</v>
      </c>
      <c r="T228" s="680">
        <f t="shared" si="111"/>
        <v>3.9698294765765807E-2</v>
      </c>
      <c r="U228" s="681">
        <f t="shared" si="123"/>
        <v>0.63143109895588234</v>
      </c>
      <c r="V228" s="682">
        <f t="shared" si="124"/>
        <v>-1.1773444451085273</v>
      </c>
      <c r="W228" s="683">
        <f t="shared" si="112"/>
        <v>-21.749855679444089</v>
      </c>
      <c r="X228" s="684">
        <f t="shared" si="113"/>
        <v>-175.70661256486835</v>
      </c>
      <c r="Y228" s="687">
        <f t="shared" si="114"/>
        <v>4.293387435131649</v>
      </c>
      <c r="AA228" s="170">
        <f t="shared" si="115"/>
        <v>13336.5</v>
      </c>
      <c r="AB228" s="170">
        <f t="shared" si="116"/>
        <v>177862232.25</v>
      </c>
      <c r="AD228" s="686">
        <f t="shared" si="117"/>
        <v>-0.80133826460844637</v>
      </c>
      <c r="AE228" s="687">
        <f t="shared" si="118"/>
        <v>-11.802500603897196</v>
      </c>
      <c r="AG228" s="686">
        <f t="shared" si="119"/>
        <v>44.768258378362958</v>
      </c>
      <c r="AH228" s="687">
        <f t="shared" si="120"/>
        <v>-28.99037633102888</v>
      </c>
      <c r="AJ228" s="170">
        <f t="shared" si="121"/>
        <v>0</v>
      </c>
      <c r="AK228" s="170">
        <f t="shared" si="133"/>
        <v>0</v>
      </c>
      <c r="AM228" s="170" t="str">
        <f t="shared" si="125"/>
        <v>1.49508469043131+0.868844721052346i</v>
      </c>
      <c r="AN228" s="170" t="str">
        <f t="shared" si="126"/>
        <v>2.08872863048131i</v>
      </c>
      <c r="AO228" s="170" t="str">
        <f t="shared" si="127"/>
        <v>0.415968215484333-0.715786947434524i</v>
      </c>
      <c r="AP228" s="170" t="str">
        <f t="shared" si="128"/>
        <v>-0.0825141150718857-0.144807453508724i</v>
      </c>
      <c r="AQ228" s="170" t="str">
        <f t="shared" si="129"/>
        <v>1.08251411507189+0.144807453508724i</v>
      </c>
      <c r="AR228" s="170" t="str">
        <f t="shared" si="130"/>
        <v>0.755977293764758-0.101126761578736i</v>
      </c>
    </row>
    <row r="229" spans="7:44">
      <c r="G229" s="688">
        <v>13413.25</v>
      </c>
      <c r="H229" s="676">
        <f t="shared" si="122"/>
        <v>13.41325</v>
      </c>
      <c r="I229" s="677">
        <f t="shared" si="102"/>
        <v>11.843065440634643</v>
      </c>
      <c r="J229" s="678">
        <f t="shared" si="103"/>
        <v>1.486258069500398</v>
      </c>
      <c r="K229" s="678">
        <f t="shared" si="104"/>
        <v>1.0001718722728139</v>
      </c>
      <c r="L229" s="679">
        <f t="shared" si="105"/>
        <v>1.8539021532540077E-2</v>
      </c>
      <c r="M229" s="678">
        <f t="shared" si="106"/>
        <v>1.0240573396760515</v>
      </c>
      <c r="N229" s="679">
        <f t="shared" si="107"/>
        <v>-0.21718536480954589</v>
      </c>
      <c r="O229" s="677">
        <f t="shared" si="108"/>
        <v>1198432.2389031169</v>
      </c>
      <c r="P229" s="680">
        <f t="shared" si="109"/>
        <v>1.570795492371416</v>
      </c>
      <c r="Q229" s="689">
        <f t="shared" si="131"/>
        <v>6.0750305168808358</v>
      </c>
      <c r="R229" s="690">
        <f t="shared" si="132"/>
        <v>1.4054355201259807</v>
      </c>
      <c r="S229" s="677">
        <f t="shared" si="110"/>
        <v>1.0007975929401072</v>
      </c>
      <c r="T229" s="680">
        <f t="shared" si="111"/>
        <v>3.992651179156028E-2</v>
      </c>
      <c r="U229" s="681">
        <f t="shared" si="123"/>
        <v>0.62908534190184406</v>
      </c>
      <c r="V229" s="682">
        <f t="shared" si="124"/>
        <v>-1.1822360652613797</v>
      </c>
      <c r="W229" s="683">
        <f t="shared" si="112"/>
        <v>-21.830787636724306</v>
      </c>
      <c r="X229" s="684">
        <f t="shared" si="113"/>
        <v>-176.03709799029485</v>
      </c>
      <c r="Y229" s="687">
        <f t="shared" si="114"/>
        <v>3.9629020097051466</v>
      </c>
      <c r="AA229" s="170">
        <f t="shared" si="115"/>
        <v>13413.25</v>
      </c>
      <c r="AB229" s="170">
        <f t="shared" si="116"/>
        <v>179915275.5625</v>
      </c>
      <c r="AD229" s="686">
        <f t="shared" si="117"/>
        <v>-0.80277533174831772</v>
      </c>
      <c r="AE229" s="687">
        <f t="shared" si="118"/>
        <v>-11.762049139839698</v>
      </c>
      <c r="AG229" s="686">
        <f t="shared" si="119"/>
        <v>44.753419560128165</v>
      </c>
      <c r="AH229" s="687">
        <f t="shared" si="120"/>
        <v>-28.800774840393238</v>
      </c>
      <c r="AJ229" s="170">
        <f t="shared" si="121"/>
        <v>0</v>
      </c>
      <c r="AK229" s="170">
        <f t="shared" si="133"/>
        <v>0</v>
      </c>
      <c r="AM229" s="170" t="str">
        <f t="shared" si="125"/>
        <v>1.50549252384508+0.86283098480336i</v>
      </c>
      <c r="AN229" s="170" t="str">
        <f t="shared" si="126"/>
        <v>2.10074901981805i</v>
      </c>
      <c r="AO229" s="170" t="str">
        <f t="shared" si="127"/>
        <v>0.410725401589425-0.716645591473594i</v>
      </c>
      <c r="AP229" s="170" t="str">
        <f t="shared" si="128"/>
        <v>-0.0842487539741792-0.143805164133893i</v>
      </c>
      <c r="AQ229" s="170" t="str">
        <f t="shared" si="129"/>
        <v>1.08424875397418+0.143805164133893i</v>
      </c>
      <c r="AR229" s="170" t="str">
        <f t="shared" si="130"/>
        <v>0.754992787059262-0.100135565076746i</v>
      </c>
    </row>
    <row r="230" spans="7:44">
      <c r="G230" s="688">
        <v>13490</v>
      </c>
      <c r="H230" s="676">
        <f t="shared" si="122"/>
        <v>13.49</v>
      </c>
      <c r="I230" s="677">
        <f t="shared" si="102"/>
        <v>11.910349133366662</v>
      </c>
      <c r="J230" s="678">
        <f t="shared" si="103"/>
        <v>1.4867367724983724</v>
      </c>
      <c r="K230" s="678">
        <f t="shared" si="104"/>
        <v>1.0001738446191073</v>
      </c>
      <c r="L230" s="679">
        <f t="shared" si="105"/>
        <v>1.8645076448384756E-2</v>
      </c>
      <c r="M230" s="678">
        <f t="shared" si="106"/>
        <v>1.024330157906995</v>
      </c>
      <c r="N230" s="679">
        <f t="shared" si="107"/>
        <v>-0.21838905699735103</v>
      </c>
      <c r="O230" s="677">
        <f t="shared" si="108"/>
        <v>1205289.613091755</v>
      </c>
      <c r="P230" s="680">
        <f t="shared" si="109"/>
        <v>1.5707954971187847</v>
      </c>
      <c r="Q230" s="689">
        <f t="shared" si="131"/>
        <v>6.1088522887402368</v>
      </c>
      <c r="R230" s="690">
        <f t="shared" si="132"/>
        <v>1.4063594091902758</v>
      </c>
      <c r="S230" s="677">
        <f t="shared" si="110"/>
        <v>1.0008067429448138</v>
      </c>
      <c r="T230" s="680">
        <f t="shared" si="111"/>
        <v>4.0154724656233411E-2</v>
      </c>
      <c r="U230" s="681">
        <f t="shared" si="123"/>
        <v>0.62674773821539687</v>
      </c>
      <c r="V230" s="682">
        <f t="shared" si="124"/>
        <v>-1.1871135692781198</v>
      </c>
      <c r="W230" s="683">
        <f t="shared" si="112"/>
        <v>-21.911414712005687</v>
      </c>
      <c r="X230" s="684">
        <f t="shared" si="113"/>
        <v>-176.3670169917911</v>
      </c>
      <c r="Y230" s="687">
        <f t="shared" si="114"/>
        <v>3.6329830082088961</v>
      </c>
      <c r="AA230" s="170">
        <f t="shared" si="115"/>
        <v>13490</v>
      </c>
      <c r="AB230" s="170">
        <f t="shared" si="116"/>
        <v>181980100</v>
      </c>
      <c r="AD230" s="686">
        <f t="shared" si="117"/>
        <v>-0.8041901501653006</v>
      </c>
      <c r="AE230" s="687">
        <f t="shared" si="118"/>
        <v>-11.722190101652304</v>
      </c>
      <c r="AG230" s="686">
        <f t="shared" si="119"/>
        <v>44.738878926935648</v>
      </c>
      <c r="AH230" s="687">
        <f t="shared" si="120"/>
        <v>-28.611632090003578</v>
      </c>
      <c r="AJ230" s="170">
        <f t="shared" si="121"/>
        <v>0</v>
      </c>
      <c r="AK230" s="170">
        <f t="shared" si="133"/>
        <v>0</v>
      </c>
      <c r="AM230" s="170" t="str">
        <f t="shared" si="125"/>
        <v>1.51582731964492+0.856692579813749i</v>
      </c>
      <c r="AN230" s="170" t="str">
        <f t="shared" si="126"/>
        <v>2.11276940915479i</v>
      </c>
      <c r="AO230" s="170" t="str">
        <f t="shared" si="127"/>
        <v>0.405483237357392-0.717459895564904i</v>
      </c>
      <c r="AP230" s="170" t="str">
        <f t="shared" si="128"/>
        <v>-0.08597121994082-0.142782096635625i</v>
      </c>
      <c r="AQ230" s="170" t="str">
        <f t="shared" si="129"/>
        <v>1.08597121994082+0.142782096635625i</v>
      </c>
      <c r="AR230" s="170" t="str">
        <f t="shared" si="130"/>
        <v>0.754020823267904-0.0991376862261399i</v>
      </c>
    </row>
    <row r="231" spans="7:44">
      <c r="G231" s="688">
        <v>13568.5</v>
      </c>
      <c r="H231" s="676">
        <f t="shared" si="122"/>
        <v>13.5685</v>
      </c>
      <c r="I231" s="677">
        <f t="shared" si="102"/>
        <v>11.97916977327332</v>
      </c>
      <c r="J231" s="678">
        <f t="shared" si="103"/>
        <v>1.4872208276309344</v>
      </c>
      <c r="K231" s="678">
        <f t="shared" si="104"/>
        <v>1.0001758735747024</v>
      </c>
      <c r="L231" s="679">
        <f t="shared" si="105"/>
        <v>1.8753549120545051E-2</v>
      </c>
      <c r="M231" s="678">
        <f t="shared" si="106"/>
        <v>1.0246107311928854</v>
      </c>
      <c r="N231" s="679">
        <f t="shared" si="107"/>
        <v>-0.21961953001202333</v>
      </c>
      <c r="O231" s="677">
        <f t="shared" si="108"/>
        <v>1212303.3443465836</v>
      </c>
      <c r="P231" s="680">
        <f t="shared" si="109"/>
        <v>1.5707955019188418</v>
      </c>
      <c r="Q231" s="689">
        <f t="shared" si="131"/>
        <v>6.143450575028889</v>
      </c>
      <c r="R231" s="690">
        <f t="shared" si="132"/>
        <v>1.4072938400998218</v>
      </c>
      <c r="S231" s="677">
        <f t="shared" si="110"/>
        <v>1.0008161554999404</v>
      </c>
      <c r="T231" s="680">
        <f t="shared" si="111"/>
        <v>4.0388136742387386E-2</v>
      </c>
      <c r="U231" s="681">
        <f t="shared" si="123"/>
        <v>0.62436527448994139</v>
      </c>
      <c r="V231" s="682">
        <f t="shared" si="124"/>
        <v>-1.1920878725859987</v>
      </c>
      <c r="W231" s="683">
        <f t="shared" si="112"/>
        <v>-21.993568102478346</v>
      </c>
      <c r="X231" s="684">
        <f t="shared" si="113"/>
        <v>-176.70387863320451</v>
      </c>
      <c r="Y231" s="687">
        <f t="shared" si="114"/>
        <v>3.2961213667954894</v>
      </c>
      <c r="AA231" s="170">
        <f t="shared" si="115"/>
        <v>13568.5</v>
      </c>
      <c r="AB231" s="170">
        <f t="shared" si="116"/>
        <v>184104192.25</v>
      </c>
      <c r="AD231" s="686">
        <f t="shared" si="117"/>
        <v>-0.80561473481587997</v>
      </c>
      <c r="AE231" s="687">
        <f t="shared" si="118"/>
        <v>-11.682024956689816</v>
      </c>
      <c r="AG231" s="686">
        <f t="shared" si="119"/>
        <v>44.724311504744492</v>
      </c>
      <c r="AH231" s="687">
        <f t="shared" si="120"/>
        <v>-28.418645704609258</v>
      </c>
      <c r="AJ231" s="170">
        <f t="shared" si="121"/>
        <v>0</v>
      </c>
      <c r="AK231" s="170">
        <f t="shared" si="133"/>
        <v>0</v>
      </c>
      <c r="AM231" s="170" t="str">
        <f t="shared" si="125"/>
        <v>1.52632065123405+0.85028617070053i</v>
      </c>
      <c r="AN231" s="170" t="str">
        <f t="shared" si="126"/>
        <v>2.12506387903016i</v>
      </c>
      <c r="AO231" s="170" t="str">
        <f t="shared" si="127"/>
        <v>0.400122640590261-0.718246950736669i</v>
      </c>
      <c r="AP231" s="170" t="str">
        <f t="shared" si="128"/>
        <v>-0.0877201085390075-0.141714361783422i</v>
      </c>
      <c r="AQ231" s="170" t="str">
        <f t="shared" si="129"/>
        <v>1.08772010853901+0.141714361783422i</v>
      </c>
      <c r="AR231" s="170" t="str">
        <f t="shared" si="130"/>
        <v>0.753039643927188-0.0981102874710066i</v>
      </c>
    </row>
    <row r="232" spans="7:44">
      <c r="G232" s="688">
        <v>13647</v>
      </c>
      <c r="H232" s="676">
        <f t="shared" si="122"/>
        <v>13.647</v>
      </c>
      <c r="I232" s="677">
        <f t="shared" si="102"/>
        <v>12.047993187944922</v>
      </c>
      <c r="J232" s="678">
        <f t="shared" si="103"/>
        <v>1.4876993526046423</v>
      </c>
      <c r="K232" s="678">
        <f t="shared" si="104"/>
        <v>1.0001779142986398</v>
      </c>
      <c r="L232" s="679">
        <f t="shared" si="105"/>
        <v>1.8862021351334853E-2</v>
      </c>
      <c r="M232" s="678">
        <f t="shared" si="106"/>
        <v>1.0248928549540866</v>
      </c>
      <c r="N232" s="679">
        <f t="shared" si="107"/>
        <v>-0.22084932745960814</v>
      </c>
      <c r="O232" s="677">
        <f t="shared" si="108"/>
        <v>1219317.0756014122</v>
      </c>
      <c r="P232" s="680">
        <f t="shared" si="109"/>
        <v>1.5707955066636772</v>
      </c>
      <c r="Q232" s="689">
        <f t="shared" si="131"/>
        <v>6.1780541654556984</v>
      </c>
      <c r="R232" s="690">
        <f t="shared" si="132"/>
        <v>1.4082178042200886</v>
      </c>
      <c r="S232" s="677">
        <f t="shared" si="110"/>
        <v>1.000825622579707</v>
      </c>
      <c r="T232" s="680">
        <f t="shared" si="111"/>
        <v>4.0621544425441629E-2</v>
      </c>
      <c r="U232" s="681">
        <f t="shared" si="123"/>
        <v>0.62199135034329767</v>
      </c>
      <c r="V232" s="682">
        <f t="shared" si="124"/>
        <v>-1.1970477908389976</v>
      </c>
      <c r="W232" s="683">
        <f t="shared" si="112"/>
        <v>-22.075409205651312</v>
      </c>
      <c r="X232" s="684">
        <f t="shared" si="113"/>
        <v>-177.04015998247567</v>
      </c>
      <c r="Y232" s="687">
        <f t="shared" si="114"/>
        <v>2.9598400175243285</v>
      </c>
      <c r="AA232" s="170">
        <f t="shared" si="115"/>
        <v>13647</v>
      </c>
      <c r="AB232" s="170">
        <f t="shared" si="116"/>
        <v>186240609</v>
      </c>
      <c r="AD232" s="686">
        <f t="shared" si="117"/>
        <v>-0.80701708961173291</v>
      </c>
      <c r="AE232" s="687">
        <f t="shared" si="118"/>
        <v>-11.642459259135789</v>
      </c>
      <c r="AG232" s="686">
        <f t="shared" si="119"/>
        <v>44.710048576902437</v>
      </c>
      <c r="AH232" s="687">
        <f t="shared" si="120"/>
        <v>-28.226127985531551</v>
      </c>
      <c r="AJ232" s="170">
        <f t="shared" si="121"/>
        <v>0</v>
      </c>
      <c r="AK232" s="170">
        <f t="shared" si="133"/>
        <v>0</v>
      </c>
      <c r="AM232" s="170" t="str">
        <f t="shared" si="125"/>
        <v>1.53673442835905+0.843751239059288i</v>
      </c>
      <c r="AN232" s="170" t="str">
        <f t="shared" si="126"/>
        <v>2.13735834890552i</v>
      </c>
      <c r="AO232" s="170" t="str">
        <f t="shared" si="127"/>
        <v>0.394763582574419-0.71898773041309i</v>
      </c>
      <c r="AP232" s="170" t="str">
        <f t="shared" si="128"/>
        <v>-0.0894557380598418-0.140625206509881i</v>
      </c>
      <c r="AQ232" s="170" t="str">
        <f t="shared" si="129"/>
        <v>1.08945573805984+0.140625206509881i</v>
      </c>
      <c r="AR232" s="170" t="str">
        <f t="shared" si="130"/>
        <v>0.752071527008863-0.0970761914423125i</v>
      </c>
    </row>
    <row r="233" spans="7:44">
      <c r="G233" s="688">
        <v>13725.5</v>
      </c>
      <c r="H233" s="676">
        <f t="shared" si="122"/>
        <v>13.7255</v>
      </c>
      <c r="I233" s="677">
        <f t="shared" si="102"/>
        <v>12.116819330099558</v>
      </c>
      <c r="J233" s="678">
        <f t="shared" si="103"/>
        <v>1.4881724414359347</v>
      </c>
      <c r="K233" s="678">
        <f t="shared" si="104"/>
        <v>1.0001799667908471</v>
      </c>
      <c r="L233" s="679">
        <f t="shared" si="105"/>
        <v>1.8970493138204259E-2</v>
      </c>
      <c r="M233" s="678">
        <f t="shared" si="106"/>
        <v>1.0251765279105474</v>
      </c>
      <c r="N233" s="679">
        <f t="shared" si="107"/>
        <v>-0.22207844617949016</v>
      </c>
      <c r="O233" s="677">
        <f t="shared" si="108"/>
        <v>1226330.8068562408</v>
      </c>
      <c r="P233" s="680">
        <f t="shared" si="109"/>
        <v>1.5707955113542387</v>
      </c>
      <c r="Q233" s="689">
        <f t="shared" si="131"/>
        <v>6.2126629713909294</v>
      </c>
      <c r="R233" s="690">
        <f t="shared" si="132"/>
        <v>1.4091314748818002</v>
      </c>
      <c r="S233" s="677">
        <f t="shared" si="110"/>
        <v>1.0008351441825658</v>
      </c>
      <c r="T233" s="680">
        <f t="shared" si="111"/>
        <v>4.0854947680089723E-2</v>
      </c>
      <c r="U233" s="681">
        <f t="shared" si="123"/>
        <v>0.61962596783102442</v>
      </c>
      <c r="V233" s="682">
        <f t="shared" si="124"/>
        <v>-1.2019935166012512</v>
      </c>
      <c r="W233" s="683">
        <f t="shared" si="112"/>
        <v>-22.156941318684886</v>
      </c>
      <c r="X233" s="684">
        <f t="shared" si="113"/>
        <v>-177.37586734600362</v>
      </c>
      <c r="Y233" s="687">
        <f t="shared" si="114"/>
        <v>2.6241326539963836</v>
      </c>
      <c r="AA233" s="170">
        <f t="shared" si="115"/>
        <v>13725.5</v>
      </c>
      <c r="AB233" s="170">
        <f t="shared" si="116"/>
        <v>188389350.25</v>
      </c>
      <c r="AD233" s="686">
        <f t="shared" si="117"/>
        <v>-0.80839772119761122</v>
      </c>
      <c r="AE233" s="687">
        <f t="shared" si="118"/>
        <v>-11.603483076475575</v>
      </c>
      <c r="AG233" s="686">
        <f t="shared" si="119"/>
        <v>44.696086495387192</v>
      </c>
      <c r="AH233" s="687">
        <f t="shared" si="120"/>
        <v>-28.03407310545958</v>
      </c>
      <c r="AJ233" s="170">
        <f t="shared" si="121"/>
        <v>0</v>
      </c>
      <c r="AK233" s="170">
        <f t="shared" si="133"/>
        <v>0</v>
      </c>
      <c r="AM233" s="170" t="str">
        <f t="shared" si="125"/>
        <v>1.54706707695582+0.837088772658563i</v>
      </c>
      <c r="AN233" s="170" t="str">
        <f t="shared" si="126"/>
        <v>2.14965281878088i</v>
      </c>
      <c r="AO233" s="170" t="str">
        <f t="shared" si="127"/>
        <v>0.389406496409637-0.719682296340857i</v>
      </c>
      <c r="AP233" s="170" t="str">
        <f t="shared" si="128"/>
        <v>-0.0911778461593027-0.139514795443094i</v>
      </c>
      <c r="AQ233" s="170" t="str">
        <f t="shared" si="129"/>
        <v>1.0911778461593+0.139514795443094i</v>
      </c>
      <c r="AR233" s="170" t="str">
        <f t="shared" si="130"/>
        <v>0.751116441542854-0.0960355427528516i</v>
      </c>
    </row>
    <row r="234" spans="7:44">
      <c r="G234" s="688">
        <v>13804</v>
      </c>
      <c r="H234" s="676">
        <f t="shared" si="122"/>
        <v>13.804</v>
      </c>
      <c r="I234" s="677">
        <f t="shared" si="102"/>
        <v>12.185648153521679</v>
      </c>
      <c r="J234" s="678">
        <f t="shared" si="103"/>
        <v>1.4886401860269582</v>
      </c>
      <c r="K234" s="678">
        <f t="shared" si="104"/>
        <v>1.0001820310512524</v>
      </c>
      <c r="L234" s="679">
        <f t="shared" si="105"/>
        <v>1.9078964478603425E-2</v>
      </c>
      <c r="M234" s="678">
        <f t="shared" si="106"/>
        <v>1.0254617487766089</v>
      </c>
      <c r="N234" s="679">
        <f t="shared" si="107"/>
        <v>-0.22330688302274485</v>
      </c>
      <c r="O234" s="677">
        <f t="shared" si="108"/>
        <v>1233344.5381110695</v>
      </c>
      <c r="P234" s="680">
        <f t="shared" si="109"/>
        <v>1.570795515991452</v>
      </c>
      <c r="Q234" s="689">
        <f t="shared" si="131"/>
        <v>6.2472769061556086</v>
      </c>
      <c r="R234" s="690">
        <f t="shared" si="132"/>
        <v>1.410035021643842</v>
      </c>
      <c r="S234" s="677">
        <f t="shared" si="110"/>
        <v>1.000844720306961</v>
      </c>
      <c r="T234" s="680">
        <f t="shared" si="111"/>
        <v>4.1088346481028173E-2</v>
      </c>
      <c r="U234" s="681">
        <f t="shared" si="123"/>
        <v>0.61726912700962577</v>
      </c>
      <c r="V234" s="682">
        <f t="shared" si="124"/>
        <v>-1.2069252419746113</v>
      </c>
      <c r="W234" s="683">
        <f t="shared" si="112"/>
        <v>-22.238167694438566</v>
      </c>
      <c r="X234" s="684">
        <f t="shared" si="113"/>
        <v>-177.7110070993395</v>
      </c>
      <c r="Y234" s="687">
        <f t="shared" si="114"/>
        <v>2.288992900660503</v>
      </c>
      <c r="AA234" s="170">
        <f t="shared" si="115"/>
        <v>13804</v>
      </c>
      <c r="AB234" s="170">
        <f t="shared" si="116"/>
        <v>190550416</v>
      </c>
      <c r="AD234" s="686">
        <f t="shared" si="117"/>
        <v>-0.80975712222147078</v>
      </c>
      <c r="AE234" s="687">
        <f t="shared" si="118"/>
        <v>-11.565086692303934</v>
      </c>
      <c r="AG234" s="686">
        <f t="shared" si="119"/>
        <v>44.682421688100185</v>
      </c>
      <c r="AH234" s="687">
        <f t="shared" si="120"/>
        <v>-27.842475143099122</v>
      </c>
      <c r="AJ234" s="170">
        <f t="shared" si="121"/>
        <v>0</v>
      </c>
      <c r="AK234" s="170">
        <f t="shared" si="133"/>
        <v>0</v>
      </c>
      <c r="AM234" s="170" t="str">
        <f t="shared" si="125"/>
        <v>1.55731703522296+0.830299778544042i</v>
      </c>
      <c r="AN234" s="170" t="str">
        <f t="shared" si="126"/>
        <v>2.16194728865625i</v>
      </c>
      <c r="AO234" s="170" t="str">
        <f t="shared" si="127"/>
        <v>0.384051814260519-0.720330714534166i</v>
      </c>
      <c r="AP234" s="170" t="str">
        <f t="shared" si="128"/>
        <v>-0.0928861725371605-0.138383296424007i</v>
      </c>
      <c r="AQ234" s="170" t="str">
        <f t="shared" si="129"/>
        <v>1.09288617253716+0.138383296424007i</v>
      </c>
      <c r="AR234" s="170" t="str">
        <f t="shared" si="130"/>
        <v>0.750174355867464-0.0949884835825993i</v>
      </c>
    </row>
    <row r="235" spans="7:44">
      <c r="G235" s="688">
        <v>13884.25</v>
      </c>
      <c r="H235" s="676">
        <f t="shared" si="122"/>
        <v>13.88425</v>
      </c>
      <c r="I235" s="677">
        <f t="shared" si="102"/>
        <v>12.256014102017748</v>
      </c>
      <c r="J235" s="678">
        <f t="shared" si="103"/>
        <v>1.4891129273203099</v>
      </c>
      <c r="K235" s="678">
        <f t="shared" si="104"/>
        <v>1.0001841534947702</v>
      </c>
      <c r="L235" s="679">
        <f t="shared" si="105"/>
        <v>1.9189853505737018E-2</v>
      </c>
      <c r="M235" s="678">
        <f t="shared" si="106"/>
        <v>1.0257549267804769</v>
      </c>
      <c r="N235" s="679">
        <f t="shared" si="107"/>
        <v>-0.22456199728613341</v>
      </c>
      <c r="O235" s="677">
        <f t="shared" si="108"/>
        <v>1240514.6264320887</v>
      </c>
      <c r="P235" s="680">
        <f t="shared" si="109"/>
        <v>1.5707955206778395</v>
      </c>
      <c r="Q235" s="689">
        <f t="shared" si="131"/>
        <v>6.2826677024790687</v>
      </c>
      <c r="R235" s="690">
        <f t="shared" si="132"/>
        <v>1.4109484189446799</v>
      </c>
      <c r="S235" s="677">
        <f t="shared" si="110"/>
        <v>1.0008545662684636</v>
      </c>
      <c r="T235" s="680">
        <f t="shared" si="111"/>
        <v>4.1326943809855972E-2</v>
      </c>
      <c r="U235" s="681">
        <f t="shared" si="123"/>
        <v>0.61486857261564953</v>
      </c>
      <c r="V235" s="682">
        <f t="shared" si="124"/>
        <v>-1.2119526377911893</v>
      </c>
      <c r="W235" s="683">
        <f t="shared" si="112"/>
        <v>-22.320892154786879</v>
      </c>
      <c r="X235" s="684">
        <f t="shared" si="113"/>
        <v>-178.05303809782083</v>
      </c>
      <c r="Y235" s="687">
        <f t="shared" si="114"/>
        <v>1.9469619021791686</v>
      </c>
      <c r="AA235" s="170">
        <f t="shared" si="115"/>
        <v>13884.25</v>
      </c>
      <c r="AB235" s="170">
        <f t="shared" si="116"/>
        <v>192772398.0625</v>
      </c>
      <c r="AD235" s="686">
        <f t="shared" si="117"/>
        <v>-0.81112538144157087</v>
      </c>
      <c r="AE235" s="687">
        <f t="shared" si="118"/>
        <v>-11.526423770358258</v>
      </c>
      <c r="AG235" s="686">
        <f t="shared" si="119"/>
        <v>44.668755898278249</v>
      </c>
      <c r="AH235" s="687">
        <f t="shared" si="120"/>
        <v>-27.647071938404565</v>
      </c>
      <c r="AJ235" s="170">
        <f t="shared" si="121"/>
        <v>0</v>
      </c>
      <c r="AK235" s="170">
        <f t="shared" si="133"/>
        <v>0</v>
      </c>
      <c r="AM235" s="170" t="str">
        <f t="shared" si="125"/>
        <v>1.56770840642222+0.823229715983059i</v>
      </c>
      <c r="AN235" s="170" t="str">
        <f t="shared" si="126"/>
        <v>2.17451583907023i</v>
      </c>
      <c r="AO235" s="170" t="str">
        <f t="shared" si="127"/>
        <v>0.37858069423631-0.720945958753068i</v>
      </c>
      <c r="AP235" s="170" t="str">
        <f t="shared" si="128"/>
        <v>-0.094618067737036-0.137204952663843i</v>
      </c>
      <c r="AQ235" s="170" t="str">
        <f t="shared" si="129"/>
        <v>1.09461806773704+0.137204952663843i</v>
      </c>
      <c r="AR235" s="170" t="str">
        <f t="shared" si="130"/>
        <v>0.74922467236926-0.0939116014406064i</v>
      </c>
    </row>
    <row r="236" spans="7:44">
      <c r="G236" s="688">
        <v>13964.5</v>
      </c>
      <c r="H236" s="676">
        <f t="shared" si="122"/>
        <v>13.964499999999999</v>
      </c>
      <c r="I236" s="677">
        <f t="shared" si="102"/>
        <v>12.326382758268743</v>
      </c>
      <c r="J236" s="678">
        <f t="shared" si="103"/>
        <v>1.4895802711612827</v>
      </c>
      <c r="K236" s="678">
        <f t="shared" si="104"/>
        <v>1.0001862882368766</v>
      </c>
      <c r="L236" s="679">
        <f t="shared" si="105"/>
        <v>1.9300742060883364E-2</v>
      </c>
      <c r="M236" s="678">
        <f t="shared" si="106"/>
        <v>1.0260497197432872</v>
      </c>
      <c r="N236" s="679">
        <f t="shared" si="107"/>
        <v>-0.2258163923142649</v>
      </c>
      <c r="O236" s="677">
        <f t="shared" si="108"/>
        <v>1247684.7147531079</v>
      </c>
      <c r="P236" s="680">
        <f t="shared" si="109"/>
        <v>1.5707955253103643</v>
      </c>
      <c r="Q236" s="689">
        <f t="shared" si="131"/>
        <v>6.3180636816740474</v>
      </c>
      <c r="R236" s="690">
        <f t="shared" si="132"/>
        <v>1.4118515826564577</v>
      </c>
      <c r="S236" s="677">
        <f t="shared" si="110"/>
        <v>1.0008644692061779</v>
      </c>
      <c r="T236" s="680">
        <f t="shared" si="111"/>
        <v>4.1565536430718975E-2</v>
      </c>
      <c r="U236" s="681">
        <f t="shared" si="123"/>
        <v>0.61247693895241051</v>
      </c>
      <c r="V236" s="682">
        <f t="shared" si="124"/>
        <v>-1.2169658065207158</v>
      </c>
      <c r="W236" s="683">
        <f t="shared" si="112"/>
        <v>-22.403303833248277</v>
      </c>
      <c r="X236" s="684">
        <f t="shared" si="113"/>
        <v>-178.39448957954525</v>
      </c>
      <c r="Y236" s="687">
        <f t="shared" si="114"/>
        <v>1.605510420454749</v>
      </c>
      <c r="AA236" s="170">
        <f t="shared" si="115"/>
        <v>13964.5</v>
      </c>
      <c r="AB236" s="170">
        <f t="shared" si="116"/>
        <v>195007260.25</v>
      </c>
      <c r="AD236" s="686">
        <f t="shared" si="117"/>
        <v>-0.8124724513530881</v>
      </c>
      <c r="AE236" s="687">
        <f t="shared" si="118"/>
        <v>-11.488346917043048</v>
      </c>
      <c r="AG236" s="686">
        <f t="shared" si="119"/>
        <v>44.655393471880124</v>
      </c>
      <c r="AH236" s="687">
        <f t="shared" si="120"/>
        <v>-27.452133452410099</v>
      </c>
      <c r="AJ236" s="170">
        <f t="shared" si="121"/>
        <v>0</v>
      </c>
      <c r="AK236" s="170">
        <f t="shared" si="133"/>
        <v>0</v>
      </c>
      <c r="AM236" s="170" t="str">
        <f t="shared" si="125"/>
        <v>1.57801009877961+0.816029610803914i</v>
      </c>
      <c r="AN236" s="170" t="str">
        <f t="shared" si="126"/>
        <v>2.18708438948422i</v>
      </c>
      <c r="AO236" s="170" t="str">
        <f t="shared" si="127"/>
        <v>0.373112996794951-0.721513127873293i</v>
      </c>
      <c r="AP236" s="170" t="str">
        <f t="shared" si="128"/>
        <v>-0.096335016463268-0.136004935133986i</v>
      </c>
      <c r="AQ236" s="170" t="str">
        <f t="shared" si="129"/>
        <v>1.09633501646327+0.136004935133986i</v>
      </c>
      <c r="AR236" s="170" t="str">
        <f t="shared" si="130"/>
        <v>0.74828850582875-0.0928283126676508i</v>
      </c>
    </row>
    <row r="237" spans="7:44">
      <c r="G237" s="688">
        <v>14044.75</v>
      </c>
      <c r="H237" s="676">
        <f t="shared" si="122"/>
        <v>14.044750000000001</v>
      </c>
      <c r="I237" s="677">
        <f t="shared" si="102"/>
        <v>12.396754076163946</v>
      </c>
      <c r="J237" s="678">
        <f t="shared" si="103"/>
        <v>1.4900423092613817</v>
      </c>
      <c r="K237" s="678">
        <f t="shared" si="104"/>
        <v>1.0001884352774926</v>
      </c>
      <c r="L237" s="679">
        <f t="shared" si="105"/>
        <v>1.9411630141318463E-2</v>
      </c>
      <c r="M237" s="678">
        <f t="shared" si="106"/>
        <v>1.0263461262734663</v>
      </c>
      <c r="N237" s="679">
        <f t="shared" si="107"/>
        <v>-0.22707006478099701</v>
      </c>
      <c r="O237" s="677">
        <f t="shared" si="108"/>
        <v>1254854.8030741271</v>
      </c>
      <c r="P237" s="680">
        <f t="shared" si="109"/>
        <v>1.5707955298899499</v>
      </c>
      <c r="Q237" s="689">
        <f t="shared" si="131"/>
        <v>6.3534647571171883</v>
      </c>
      <c r="R237" s="690">
        <f t="shared" si="132"/>
        <v>1.4127446823558911</v>
      </c>
      <c r="S237" s="677">
        <f t="shared" si="110"/>
        <v>1.0008744291184124</v>
      </c>
      <c r="T237" s="680">
        <f t="shared" si="111"/>
        <v>4.1804124316592868E-2</v>
      </c>
      <c r="U237" s="681">
        <f t="shared" si="123"/>
        <v>0.61009421994588531</v>
      </c>
      <c r="V237" s="682">
        <f t="shared" si="124"/>
        <v>-1.2219649518421967</v>
      </c>
      <c r="W237" s="683">
        <f t="shared" si="112"/>
        <v>-22.485406070252122</v>
      </c>
      <c r="X237" s="684">
        <f t="shared" si="113"/>
        <v>-178.7353685611989</v>
      </c>
      <c r="Y237" s="687">
        <f t="shared" si="114"/>
        <v>1.2646314388011035</v>
      </c>
      <c r="AA237" s="170">
        <f t="shared" si="115"/>
        <v>14044.75</v>
      </c>
      <c r="AB237" s="170">
        <f t="shared" si="116"/>
        <v>197255002.5625</v>
      </c>
      <c r="AD237" s="686">
        <f t="shared" si="117"/>
        <v>-0.81379881585917513</v>
      </c>
      <c r="AE237" s="687">
        <f t="shared" si="118"/>
        <v>-11.450846414832712</v>
      </c>
      <c r="AG237" s="686">
        <f t="shared" si="119"/>
        <v>44.642330829429909</v>
      </c>
      <c r="AH237" s="687">
        <f t="shared" si="120"/>
        <v>-27.257653079432636</v>
      </c>
      <c r="AJ237" s="170">
        <f t="shared" si="121"/>
        <v>0</v>
      </c>
      <c r="AK237" s="170">
        <f t="shared" si="133"/>
        <v>0</v>
      </c>
      <c r="AM237" s="170" t="str">
        <f t="shared" si="125"/>
        <v>1.58822048497408+0.808700600381164i</v>
      </c>
      <c r="AN237" s="170" t="str">
        <f t="shared" si="126"/>
        <v>2.19965293989821i</v>
      </c>
      <c r="AO237" s="170" t="str">
        <f t="shared" si="127"/>
        <v>0.36764918033778-0.722032306172616i</v>
      </c>
      <c r="AP237" s="170" t="str">
        <f t="shared" si="128"/>
        <v>-0.0980367474956805-0.134783433396861i</v>
      </c>
      <c r="AQ237" s="170" t="str">
        <f t="shared" si="129"/>
        <v>1.09803674749568+0.134783433396861i</v>
      </c>
      <c r="AR237" s="170" t="str">
        <f t="shared" si="130"/>
        <v>0.747365820517016-0.0917387614963605i</v>
      </c>
    </row>
    <row r="238" spans="7:44">
      <c r="G238" s="688">
        <v>14125</v>
      </c>
      <c r="H238" s="676">
        <f t="shared" si="122"/>
        <v>14.125</v>
      </c>
      <c r="I238" s="677">
        <f t="shared" si="102"/>
        <v>12.467128010632011</v>
      </c>
      <c r="J238" s="678">
        <f t="shared" si="103"/>
        <v>1.490499131270534</v>
      </c>
      <c r="K238" s="678">
        <f t="shared" si="104"/>
        <v>1.0001905946165393</v>
      </c>
      <c r="L238" s="679">
        <f t="shared" si="105"/>
        <v>1.9522517744318384E-2</v>
      </c>
      <c r="M238" s="678">
        <f t="shared" si="106"/>
        <v>1.026644144973436</v>
      </c>
      <c r="N238" s="679">
        <f t="shared" si="107"/>
        <v>-0.22832301137310321</v>
      </c>
      <c r="O238" s="677">
        <f t="shared" si="108"/>
        <v>1262024.8913951465</v>
      </c>
      <c r="P238" s="680">
        <f t="shared" si="109"/>
        <v>1.5707955344174984</v>
      </c>
      <c r="Q238" s="689">
        <f t="shared" si="131"/>
        <v>6.3888708440927404</v>
      </c>
      <c r="R238" s="690">
        <f t="shared" si="132"/>
        <v>1.4136278839256624</v>
      </c>
      <c r="S238" s="677">
        <f t="shared" si="110"/>
        <v>1.0008844460034667</v>
      </c>
      <c r="T238" s="680">
        <f t="shared" si="111"/>
        <v>4.2042707440456586E-2</v>
      </c>
      <c r="U238" s="681">
        <f t="shared" si="123"/>
        <v>0.60772040756700541</v>
      </c>
      <c r="V238" s="682">
        <f t="shared" si="124"/>
        <v>-1.2269502768914868</v>
      </c>
      <c r="W238" s="683">
        <f t="shared" si="112"/>
        <v>-22.567202163566648</v>
      </c>
      <c r="X238" s="684">
        <f t="shared" si="113"/>
        <v>-179.07568212261944</v>
      </c>
      <c r="Y238" s="687">
        <f t="shared" si="114"/>
        <v>0.92431787738055959</v>
      </c>
      <c r="AA238" s="170">
        <f t="shared" si="115"/>
        <v>14125</v>
      </c>
      <c r="AB238" s="170">
        <f t="shared" si="116"/>
        <v>199515625</v>
      </c>
      <c r="AD238" s="686">
        <f t="shared" si="117"/>
        <v>-0.81510494549153045</v>
      </c>
      <c r="AE238" s="687">
        <f t="shared" si="118"/>
        <v>-11.413912757853142</v>
      </c>
      <c r="AG238" s="686">
        <f t="shared" si="119"/>
        <v>44.629564468314015</v>
      </c>
      <c r="AH238" s="687">
        <f t="shared" si="120"/>
        <v>-27.063624127529632</v>
      </c>
      <c r="AJ238" s="170">
        <f t="shared" si="121"/>
        <v>0</v>
      </c>
      <c r="AK238" s="170">
        <f t="shared" si="133"/>
        <v>0</v>
      </c>
      <c r="AM238" s="170" t="str">
        <f t="shared" si="125"/>
        <v>1.59833795210789+0.80124384245206i</v>
      </c>
      <c r="AN238" s="170" t="str">
        <f t="shared" si="126"/>
        <v>2.21222149031219i</v>
      </c>
      <c r="AO238" s="170" t="str">
        <f t="shared" si="127"/>
        <v>0.362189702053291-0.72250358253338i</v>
      </c>
      <c r="AP238" s="170" t="str">
        <f t="shared" si="128"/>
        <v>-0.099722992017981-0.133540640408677i</v>
      </c>
      <c r="AQ238" s="170" t="str">
        <f t="shared" si="129"/>
        <v>1.09972299201798+0.133540640408677i</v>
      </c>
      <c r="AR238" s="170" t="str">
        <f t="shared" si="130"/>
        <v>0.746456580173367-0.0906430896481544i</v>
      </c>
    </row>
    <row r="239" spans="7:44">
      <c r="G239" s="688">
        <v>14207.25</v>
      </c>
      <c r="H239" s="676">
        <f t="shared" si="122"/>
        <v>14.20725</v>
      </c>
      <c r="I239" s="677">
        <f t="shared" si="102"/>
        <v>12.539258481731762</v>
      </c>
      <c r="J239" s="678">
        <f t="shared" si="103"/>
        <v>1.4909620172392939</v>
      </c>
      <c r="K239" s="678">
        <f t="shared" si="104"/>
        <v>1.0001928205328101</v>
      </c>
      <c r="L239" s="679">
        <f t="shared" si="105"/>
        <v>1.9636168403005638E-2</v>
      </c>
      <c r="M239" s="678">
        <f t="shared" si="106"/>
        <v>1.0269512624006187</v>
      </c>
      <c r="N239" s="679">
        <f t="shared" si="107"/>
        <v>-0.22960642735991141</v>
      </c>
      <c r="O239" s="677">
        <f t="shared" si="108"/>
        <v>1269373.6735060976</v>
      </c>
      <c r="P239" s="680">
        <f t="shared" si="109"/>
        <v>1.570795539004807</v>
      </c>
      <c r="Q239" s="689">
        <f t="shared" si="131"/>
        <v>6.4251644395092438</v>
      </c>
      <c r="R239" s="690">
        <f t="shared" si="132"/>
        <v>1.414522995303503</v>
      </c>
      <c r="S239" s="677">
        <f t="shared" si="110"/>
        <v>1.0008947716490644</v>
      </c>
      <c r="T239" s="680">
        <f t="shared" si="111"/>
        <v>4.2287231591399466E-2</v>
      </c>
      <c r="U239" s="681">
        <f t="shared" si="123"/>
        <v>0.605296666705195</v>
      </c>
      <c r="V239" s="682">
        <f t="shared" si="124"/>
        <v>-1.232045717555964</v>
      </c>
      <c r="W239" s="683">
        <f t="shared" si="112"/>
        <v>-22.650722512410624</v>
      </c>
      <c r="X239" s="684">
        <f t="shared" si="113"/>
        <v>-179.42389775710609</v>
      </c>
      <c r="Y239" s="687">
        <f t="shared" si="114"/>
        <v>0.57610224289390999</v>
      </c>
      <c r="AA239" s="170">
        <f t="shared" si="115"/>
        <v>14207.25</v>
      </c>
      <c r="AB239" s="170">
        <f t="shared" si="116"/>
        <v>201845952.5625</v>
      </c>
      <c r="AD239" s="686">
        <f t="shared" si="117"/>
        <v>-0.81642310775015803</v>
      </c>
      <c r="AE239" s="687">
        <f t="shared" si="118"/>
        <v>-11.376637118337602</v>
      </c>
      <c r="AG239" s="686">
        <f t="shared" si="119"/>
        <v>44.616783806290158</v>
      </c>
      <c r="AH239" s="687">
        <f t="shared" si="120"/>
        <v>-26.865220911196875</v>
      </c>
      <c r="AJ239" s="170">
        <f t="shared" si="121"/>
        <v>0</v>
      </c>
      <c r="AK239" s="170">
        <f t="shared" si="133"/>
        <v>0</v>
      </c>
      <c r="AM239" s="170" t="str">
        <f t="shared" si="125"/>
        <v>1.60860947428536+0.793469916134256i</v>
      </c>
      <c r="AN239" s="170" t="str">
        <f t="shared" si="126"/>
        <v>2.22510327562746i</v>
      </c>
      <c r="AO239" s="170" t="str">
        <f t="shared" si="127"/>
        <v>0.356599140734492-0.722936994388158i</v>
      </c>
      <c r="AP239" s="170" t="str">
        <f t="shared" si="128"/>
        <v>-0.101434912380893-0.132244986022376i</v>
      </c>
      <c r="AQ239" s="170" t="str">
        <f t="shared" si="129"/>
        <v>1.10143491238089+0.132244986022376i</v>
      </c>
      <c r="AR239" s="170" t="str">
        <f t="shared" si="130"/>
        <v>0.745538592948902-0.089513905629291i</v>
      </c>
    </row>
    <row r="240" spans="7:44">
      <c r="G240" s="688">
        <v>14289.5</v>
      </c>
      <c r="H240" s="676">
        <f t="shared" si="122"/>
        <v>14.2895</v>
      </c>
      <c r="I240" s="677">
        <f t="shared" si="102"/>
        <v>12.611391608802537</v>
      </c>
      <c r="J240" s="678">
        <f t="shared" si="103"/>
        <v>1.4914196081857316</v>
      </c>
      <c r="K240" s="678">
        <f t="shared" si="104"/>
        <v>1.000195059367986</v>
      </c>
      <c r="L240" s="679">
        <f t="shared" si="105"/>
        <v>1.9749818554369906E-2</v>
      </c>
      <c r="M240" s="678">
        <f t="shared" si="106"/>
        <v>1.0272600703642842</v>
      </c>
      <c r="N240" s="679">
        <f t="shared" si="107"/>
        <v>-0.23088907383474327</v>
      </c>
      <c r="O240" s="677">
        <f t="shared" si="108"/>
        <v>1276722.4556170488</v>
      </c>
      <c r="P240" s="680">
        <f t="shared" si="109"/>
        <v>1.5707955435393068</v>
      </c>
      <c r="Q240" s="689">
        <f t="shared" si="131"/>
        <v>6.4614631250898347</v>
      </c>
      <c r="R240" s="690">
        <f t="shared" si="132"/>
        <v>1.4154080504150661</v>
      </c>
      <c r="S240" s="677">
        <f t="shared" si="110"/>
        <v>1.0009051571389858</v>
      </c>
      <c r="T240" s="680">
        <f t="shared" si="111"/>
        <v>4.2531750682549337E-2</v>
      </c>
      <c r="U240" s="681">
        <f t="shared" si="123"/>
        <v>0.60288225880505431</v>
      </c>
      <c r="V240" s="682">
        <f t="shared" si="124"/>
        <v>-1.2371270708137794</v>
      </c>
      <c r="W240" s="683">
        <f t="shared" si="112"/>
        <v>-22.733928150920949</v>
      </c>
      <c r="X240" s="684">
        <f t="shared" si="113"/>
        <v>-179.77153468817841</v>
      </c>
      <c r="Y240" s="687">
        <f t="shared" si="114"/>
        <v>0.22846531182159424</v>
      </c>
      <c r="AA240" s="170">
        <f t="shared" si="115"/>
        <v>14289.5</v>
      </c>
      <c r="AB240" s="170">
        <f t="shared" si="116"/>
        <v>204189810.25</v>
      </c>
      <c r="AD240" s="686">
        <f t="shared" si="117"/>
        <v>-0.81772097365323881</v>
      </c>
      <c r="AE240" s="687">
        <f t="shared" si="118"/>
        <v>-11.339937367507593</v>
      </c>
      <c r="AG240" s="686">
        <f t="shared" si="119"/>
        <v>44.604307168544665</v>
      </c>
      <c r="AH240" s="687">
        <f t="shared" si="120"/>
        <v>-26.667277400658101</v>
      </c>
      <c r="AJ240" s="170">
        <f t="shared" si="121"/>
        <v>0</v>
      </c>
      <c r="AK240" s="170">
        <f t="shared" si="133"/>
        <v>0</v>
      </c>
      <c r="AM240" s="170" t="str">
        <f t="shared" si="125"/>
        <v>1.61878000496409+0.78556432292756i</v>
      </c>
      <c r="AN240" s="170" t="str">
        <f t="shared" si="126"/>
        <v>2.23798506094273i</v>
      </c>
      <c r="AO240" s="170" t="str">
        <f t="shared" si="127"/>
        <v>0.351014104891589-0.723320290745012i</v>
      </c>
      <c r="AP240" s="170" t="str">
        <f t="shared" si="128"/>
        <v>-0.103130000827349-0.130927387154593i</v>
      </c>
      <c r="AQ240" s="170" t="str">
        <f t="shared" si="129"/>
        <v>1.10313000082735+0.130927387154593i</v>
      </c>
      <c r="AR240" s="170" t="str">
        <f t="shared" si="130"/>
        <v>0.744634650579157-0.0883785855810126i</v>
      </c>
    </row>
    <row r="241" spans="7:44">
      <c r="G241" s="688">
        <v>14371.75</v>
      </c>
      <c r="H241" s="676">
        <f t="shared" si="122"/>
        <v>14.37175</v>
      </c>
      <c r="I241" s="677">
        <f t="shared" si="102"/>
        <v>12.683527346529619</v>
      </c>
      <c r="J241" s="678">
        <f t="shared" si="103"/>
        <v>1.4918719942605976</v>
      </c>
      <c r="K241" s="678">
        <f t="shared" si="104"/>
        <v>1.0001973111219806</v>
      </c>
      <c r="L241" s="679">
        <f t="shared" si="105"/>
        <v>1.9863468195478715E-2</v>
      </c>
      <c r="M241" s="678">
        <f t="shared" si="106"/>
        <v>1.0275705673403011</v>
      </c>
      <c r="N241" s="679">
        <f t="shared" si="107"/>
        <v>-0.23217094727290186</v>
      </c>
      <c r="O241" s="677">
        <f t="shared" si="108"/>
        <v>1284071.2377279999</v>
      </c>
      <c r="P241" s="680">
        <f t="shared" si="109"/>
        <v>1.5707955480219045</v>
      </c>
      <c r="Q241" s="689">
        <f t="shared" si="131"/>
        <v>6.4977668155284674</v>
      </c>
      <c r="R241" s="690">
        <f t="shared" si="132"/>
        <v>1.4162832164182126</v>
      </c>
      <c r="S241" s="677">
        <f t="shared" si="110"/>
        <v>1.0009156024713679</v>
      </c>
      <c r="T241" s="680">
        <f t="shared" si="111"/>
        <v>4.277626468482474E-2</v>
      </c>
      <c r="U241" s="681">
        <f t="shared" si="123"/>
        <v>0.60047716918410488</v>
      </c>
      <c r="V241" s="682">
        <f t="shared" si="124"/>
        <v>-1.242194553546998</v>
      </c>
      <c r="W241" s="683">
        <f t="shared" si="112"/>
        <v>-22.816822498732133</v>
      </c>
      <c r="X241" s="684">
        <f t="shared" si="113"/>
        <v>-180.11860072668435</v>
      </c>
      <c r="Y241" s="687">
        <f t="shared" si="114"/>
        <v>-0.11860072668434896</v>
      </c>
      <c r="AA241" s="170">
        <f t="shared" si="115"/>
        <v>14371.75</v>
      </c>
      <c r="AB241" s="170">
        <f t="shared" si="116"/>
        <v>206547198.0625</v>
      </c>
      <c r="AD241" s="686">
        <f t="shared" si="117"/>
        <v>-0.81899900889694222</v>
      </c>
      <c r="AE241" s="687">
        <f t="shared" si="118"/>
        <v>-11.303803926308829</v>
      </c>
      <c r="AG241" s="686">
        <f t="shared" si="119"/>
        <v>44.59213102604604</v>
      </c>
      <c r="AH241" s="687">
        <f t="shared" si="120"/>
        <v>-26.469786132961595</v>
      </c>
      <c r="AJ241" s="170">
        <f t="shared" si="121"/>
        <v>0</v>
      </c>
      <c r="AK241" s="170">
        <f t="shared" si="133"/>
        <v>0</v>
      </c>
      <c r="AM241" s="170" t="str">
        <f t="shared" si="125"/>
        <v>1.62884785646558+0.777528374671075i</v>
      </c>
      <c r="AN241" s="170" t="str">
        <f t="shared" si="126"/>
        <v>2.250866846258i</v>
      </c>
      <c r="AO241" s="170" t="str">
        <f t="shared" si="127"/>
        <v>0.345435082472201-0.72365358225143i</v>
      </c>
      <c r="AP241" s="170" t="str">
        <f t="shared" si="128"/>
        <v>-0.104807976077597-0.129588062445179i</v>
      </c>
      <c r="AQ241" s="170" t="str">
        <f t="shared" si="129"/>
        <v>1.1048079760776+0.129588062445179i</v>
      </c>
      <c r="AR241" s="170" t="str">
        <f t="shared" si="130"/>
        <v>0.743744712624726-0.0872372741234764i</v>
      </c>
    </row>
    <row r="242" spans="7:44">
      <c r="G242" s="688">
        <v>14454</v>
      </c>
      <c r="H242" s="676">
        <f t="shared" si="122"/>
        <v>14.454000000000001</v>
      </c>
      <c r="I242" s="677">
        <f t="shared" si="102"/>
        <v>12.755665650621719</v>
      </c>
      <c r="J242" s="678">
        <f t="shared" si="103"/>
        <v>1.4923192635839237</v>
      </c>
      <c r="K242" s="678">
        <f t="shared" si="104"/>
        <v>1.0001995757947062</v>
      </c>
      <c r="L242" s="679">
        <f t="shared" si="105"/>
        <v>1.9977117323399664E-2</v>
      </c>
      <c r="M242" s="678">
        <f t="shared" si="106"/>
        <v>1.0278827517980471</v>
      </c>
      <c r="N242" s="679">
        <f t="shared" si="107"/>
        <v>-0.23345204416409943</v>
      </c>
      <c r="O242" s="677">
        <f t="shared" si="108"/>
        <v>1291420.0198389513</v>
      </c>
      <c r="P242" s="680">
        <f t="shared" si="109"/>
        <v>1.5707955524534858</v>
      </c>
      <c r="Q242" s="689">
        <f t="shared" si="131"/>
        <v>6.5340754274033257</v>
      </c>
      <c r="R242" s="690">
        <f t="shared" si="132"/>
        <v>1.4171486568167109</v>
      </c>
      <c r="S242" s="677">
        <f t="shared" si="110"/>
        <v>1.0009261076443376</v>
      </c>
      <c r="T242" s="680">
        <f t="shared" si="111"/>
        <v>4.3020773569147915E-2</v>
      </c>
      <c r="U242" s="681">
        <f t="shared" si="123"/>
        <v>0.59808138123823362</v>
      </c>
      <c r="V242" s="682">
        <f t="shared" si="124"/>
        <v>-1.2472483820094336</v>
      </c>
      <c r="W242" s="683">
        <f t="shared" si="112"/>
        <v>-22.89940893407822</v>
      </c>
      <c r="X242" s="684">
        <f t="shared" si="113"/>
        <v>-180.46510374131302</v>
      </c>
      <c r="Y242" s="687">
        <f t="shared" si="114"/>
        <v>-0.46510374131301546</v>
      </c>
      <c r="AA242" s="170">
        <f t="shared" si="115"/>
        <v>14454</v>
      </c>
      <c r="AB242" s="170">
        <f t="shared" si="116"/>
        <v>208918116</v>
      </c>
      <c r="AD242" s="686">
        <f t="shared" si="117"/>
        <v>-0.82025766627433816</v>
      </c>
      <c r="AE242" s="687">
        <f t="shared" si="118"/>
        <v>-11.26822742505019</v>
      </c>
      <c r="AG242" s="686">
        <f t="shared" si="119"/>
        <v>44.580251928417852</v>
      </c>
      <c r="AH242" s="687">
        <f t="shared" si="120"/>
        <v>-26.272739565625795</v>
      </c>
      <c r="AJ242" s="170">
        <f t="shared" si="121"/>
        <v>0</v>
      </c>
      <c r="AK242" s="170">
        <f t="shared" si="133"/>
        <v>0</v>
      </c>
      <c r="AM242" s="170" t="str">
        <f t="shared" si="125"/>
        <v>1.63881135814969+0.769363404834772i</v>
      </c>
      <c r="AN242" s="170" t="str">
        <f t="shared" si="126"/>
        <v>2.26374863157327i</v>
      </c>
      <c r="AO242" s="170" t="str">
        <f t="shared" si="127"/>
        <v>0.339862559872682-0.723936984562964i</v>
      </c>
      <c r="AP242" s="170" t="str">
        <f t="shared" si="128"/>
        <v>-0.106468559691614-0.128227234139129i</v>
      </c>
      <c r="AQ242" s="170" t="str">
        <f t="shared" si="129"/>
        <v>1.10646855969161+0.128227234139129i</v>
      </c>
      <c r="AR242" s="170" t="str">
        <f t="shared" si="130"/>
        <v>0.742868738283161-0.0860901132744554i</v>
      </c>
    </row>
    <row r="243" spans="7:44">
      <c r="G243" s="688">
        <v>14622.5</v>
      </c>
      <c r="H243" s="676">
        <f t="shared" si="122"/>
        <v>14.6225</v>
      </c>
      <c r="I243" s="677">
        <f t="shared" si="102"/>
        <v>12.903458337350786</v>
      </c>
      <c r="J243" s="678">
        <f t="shared" si="103"/>
        <v>1.4932199364534902</v>
      </c>
      <c r="K243" s="678">
        <f t="shared" si="104"/>
        <v>1.0002042556179835</v>
      </c>
      <c r="L243" s="679">
        <f t="shared" si="105"/>
        <v>2.0209940973580458E-2</v>
      </c>
      <c r="M243" s="678">
        <f t="shared" si="106"/>
        <v>1.0285275660572704</v>
      </c>
      <c r="N243" s="679">
        <f t="shared" si="107"/>
        <v>-0.23607410084214045</v>
      </c>
      <c r="O243" s="677">
        <f t="shared" si="108"/>
        <v>1306474.9716407179</v>
      </c>
      <c r="P243" s="680">
        <f t="shared" si="109"/>
        <v>1.5707955613764832</v>
      </c>
      <c r="Q243" s="689">
        <f t="shared" si="131"/>
        <v>6.6084734461194117</v>
      </c>
      <c r="R243" s="690">
        <f t="shared" si="132"/>
        <v>1.4188919253898353</v>
      </c>
      <c r="S243" s="677">
        <f t="shared" si="110"/>
        <v>1.0009478157401739</v>
      </c>
      <c r="T243" s="680">
        <f t="shared" si="111"/>
        <v>4.3521666242690653E-2</v>
      </c>
      <c r="U243" s="681">
        <f t="shared" si="123"/>
        <v>0.59320225995457221</v>
      </c>
      <c r="V243" s="682">
        <f t="shared" si="124"/>
        <v>-1.2575600867587371</v>
      </c>
      <c r="W243" s="683">
        <f t="shared" si="112"/>
        <v>-23.067650653863172</v>
      </c>
      <c r="X243" s="684">
        <f t="shared" si="113"/>
        <v>-181.17323624239523</v>
      </c>
      <c r="Y243" s="687">
        <f t="shared" si="114"/>
        <v>-1.1732362423952338</v>
      </c>
      <c r="AA243" s="170">
        <f t="shared" si="115"/>
        <v>14622.5</v>
      </c>
      <c r="AB243" s="170">
        <f t="shared" si="116"/>
        <v>213817506.25</v>
      </c>
      <c r="AD243" s="686">
        <f t="shared" si="117"/>
        <v>-0.82277752213620337</v>
      </c>
      <c r="AE243" s="687">
        <f t="shared" si="118"/>
        <v>-11.19704504060415</v>
      </c>
      <c r="AG243" s="686">
        <f t="shared" si="119"/>
        <v>44.556829495140484</v>
      </c>
      <c r="AH243" s="687">
        <f t="shared" si="120"/>
        <v>-25.870420126363722</v>
      </c>
      <c r="AJ243" s="170">
        <f t="shared" si="121"/>
        <v>0</v>
      </c>
      <c r="AK243" s="170">
        <f t="shared" si="133"/>
        <v>0</v>
      </c>
      <c r="AM243" s="170" t="str">
        <f t="shared" si="125"/>
        <v>1.65889010077414+0.752239214014964i</v>
      </c>
      <c r="AN243" s="170" t="str">
        <f t="shared" si="126"/>
        <v>2.29013867200637i</v>
      </c>
      <c r="AO243" s="170" t="str">
        <f t="shared" si="127"/>
        <v>0.328468849161843-0.724362293450467i</v>
      </c>
      <c r="AP243" s="170" t="str">
        <f t="shared" si="128"/>
        <v>-0.109815016795689-0.125373202335827i</v>
      </c>
      <c r="AQ243" s="170" t="str">
        <f t="shared" si="129"/>
        <v>1.10981501679569+0.125373202335827i</v>
      </c>
      <c r="AR243" s="170" t="str">
        <f t="shared" si="130"/>
        <v>0.741117620528689-0.0837223212760828i</v>
      </c>
    </row>
    <row r="244" spans="7:44">
      <c r="G244" s="688">
        <v>14706.75</v>
      </c>
      <c r="H244" s="676">
        <f t="shared" si="122"/>
        <v>14.70675</v>
      </c>
      <c r="I244" s="677">
        <f t="shared" si="102"/>
        <v>12.977358538947973</v>
      </c>
      <c r="J244" s="678">
        <f t="shared" si="103"/>
        <v>1.4936625797222332</v>
      </c>
      <c r="K244" s="678">
        <f t="shared" si="104"/>
        <v>1.0002066158612009</v>
      </c>
      <c r="L244" s="679">
        <f t="shared" si="105"/>
        <v>2.0326351978504374E-2</v>
      </c>
      <c r="M244" s="678">
        <f t="shared" si="106"/>
        <v>1.0288526224315799</v>
      </c>
      <c r="N244" s="679">
        <f t="shared" si="107"/>
        <v>-0.23738389218501982</v>
      </c>
      <c r="O244" s="677">
        <f t="shared" si="108"/>
        <v>1314002.447541601</v>
      </c>
      <c r="P244" s="680">
        <f t="shared" si="109"/>
        <v>1.5707955657613066</v>
      </c>
      <c r="Q244" s="689">
        <f t="shared" si="131"/>
        <v>6.6456798601503495</v>
      </c>
      <c r="R244" s="690">
        <f t="shared" si="132"/>
        <v>1.4197489215295593</v>
      </c>
      <c r="S244" s="677">
        <f t="shared" si="110"/>
        <v>1.0009587639592488</v>
      </c>
      <c r="T244" s="680">
        <f t="shared" si="111"/>
        <v>4.3772104400787132E-2</v>
      </c>
      <c r="U244" s="681">
        <f t="shared" si="123"/>
        <v>0.59077725305780993</v>
      </c>
      <c r="V244" s="682">
        <f t="shared" si="124"/>
        <v>-1.2626953658043032</v>
      </c>
      <c r="W244" s="683">
        <f t="shared" si="112"/>
        <v>-23.151300986072517</v>
      </c>
      <c r="X244" s="684">
        <f t="shared" si="113"/>
        <v>-181.52645034543403</v>
      </c>
      <c r="Y244" s="687">
        <f t="shared" si="114"/>
        <v>-1.5264503454340286</v>
      </c>
      <c r="AA244" s="170">
        <f t="shared" si="115"/>
        <v>14706.75</v>
      </c>
      <c r="AB244" s="170">
        <f t="shared" si="116"/>
        <v>216288495.5625</v>
      </c>
      <c r="AD244" s="686">
        <f t="shared" si="117"/>
        <v>-0.82400878280646894</v>
      </c>
      <c r="AE244" s="687">
        <f t="shared" si="118"/>
        <v>-11.162292079419073</v>
      </c>
      <c r="AG244" s="686">
        <f t="shared" si="119"/>
        <v>44.54557169455029</v>
      </c>
      <c r="AH244" s="687">
        <f t="shared" si="120"/>
        <v>-25.669927558049313</v>
      </c>
      <c r="AJ244" s="170">
        <f t="shared" si="121"/>
        <v>0</v>
      </c>
      <c r="AK244" s="170">
        <f t="shared" si="133"/>
        <v>0</v>
      </c>
      <c r="AM244" s="170" t="str">
        <f t="shared" si="125"/>
        <v>1.66875826601452+0.743479913405365i</v>
      </c>
      <c r="AN244" s="170" t="str">
        <f t="shared" si="126"/>
        <v>2.30333369222293i</v>
      </c>
      <c r="AO244" s="170" t="str">
        <f t="shared" si="127"/>
        <v>0.322784282588181-0.724496963531156i</v>
      </c>
      <c r="AP244" s="170" t="str">
        <f t="shared" si="128"/>
        <v>-0.11145971100242-0.123913318900894i</v>
      </c>
      <c r="AQ244" s="170" t="str">
        <f t="shared" si="129"/>
        <v>1.11145971100242+0.123913318900894i</v>
      </c>
      <c r="AR244" s="170" t="str">
        <f t="shared" si="130"/>
        <v>0.740263861969097-0.0825298039064813i</v>
      </c>
    </row>
    <row r="245" spans="7:44">
      <c r="G245" s="688">
        <v>14791</v>
      </c>
      <c r="H245" s="676">
        <f t="shared" si="122"/>
        <v>14.791</v>
      </c>
      <c r="I245" s="677">
        <f t="shared" si="102"/>
        <v>13.05126125444348</v>
      </c>
      <c r="J245" s="678">
        <f t="shared" si="103"/>
        <v>1.4941002101443799</v>
      </c>
      <c r="K245" s="678">
        <f t="shared" si="104"/>
        <v>1.0002089896586761</v>
      </c>
      <c r="L245" s="679">
        <f t="shared" si="105"/>
        <v>2.0442762432449E-2</v>
      </c>
      <c r="M245" s="678">
        <f t="shared" si="106"/>
        <v>1.0291794427407501</v>
      </c>
      <c r="N245" s="679">
        <f t="shared" si="107"/>
        <v>-0.23869285391268438</v>
      </c>
      <c r="O245" s="677">
        <f t="shared" si="108"/>
        <v>1321529.9234424846</v>
      </c>
      <c r="P245" s="680">
        <f t="shared" si="109"/>
        <v>1.5707955700961778</v>
      </c>
      <c r="Q245" s="689">
        <f t="shared" si="131"/>
        <v>6.6828911007005409</v>
      </c>
      <c r="R245" s="690">
        <f t="shared" si="132"/>
        <v>1.4205963745453423</v>
      </c>
      <c r="S245" s="677">
        <f t="shared" si="110"/>
        <v>1.000969774956352</v>
      </c>
      <c r="T245" s="680">
        <f t="shared" si="111"/>
        <v>4.4022537064785879E-2</v>
      </c>
      <c r="U245" s="681">
        <f t="shared" si="123"/>
        <v>0.58836191511537905</v>
      </c>
      <c r="V245" s="682">
        <f t="shared" si="124"/>
        <v>-1.2678172357007762</v>
      </c>
      <c r="W245" s="683">
        <f t="shared" si="112"/>
        <v>-23.2346422654226</v>
      </c>
      <c r="X245" s="684">
        <f t="shared" si="113"/>
        <v>-181.87910790706181</v>
      </c>
      <c r="Y245" s="687">
        <f t="shared" si="114"/>
        <v>-1.8791079070618082</v>
      </c>
      <c r="AA245" s="170">
        <f t="shared" si="115"/>
        <v>14791</v>
      </c>
      <c r="AB245" s="170">
        <f t="shared" si="116"/>
        <v>218773681</v>
      </c>
      <c r="AD245" s="686">
        <f t="shared" si="117"/>
        <v>-0.82522151589215964</v>
      </c>
      <c r="AE245" s="687">
        <f t="shared" si="118"/>
        <v>-11.128085581309168</v>
      </c>
      <c r="AG245" s="686">
        <f t="shared" si="119"/>
        <v>44.534611637011885</v>
      </c>
      <c r="AH245" s="687">
        <f t="shared" si="120"/>
        <v>-25.469868560550339</v>
      </c>
      <c r="AJ245" s="170">
        <f t="shared" si="121"/>
        <v>0</v>
      </c>
      <c r="AK245" s="170">
        <f t="shared" si="133"/>
        <v>0</v>
      </c>
      <c r="AM245" s="170" t="str">
        <f t="shared" si="125"/>
        <v>1.67850999640659+0.734591168457895i</v>
      </c>
      <c r="AN245" s="170" t="str">
        <f t="shared" si="126"/>
        <v>2.31652871243948i</v>
      </c>
      <c r="AO245" s="170" t="str">
        <f t="shared" si="127"/>
        <v>0.317108596372335-0.724579836802019i</v>
      </c>
      <c r="AP245" s="170" t="str">
        <f t="shared" si="128"/>
        <v>-0.113084999401098-0.122431861409649i</v>
      </c>
      <c r="AQ245" s="170" t="str">
        <f t="shared" si="129"/>
        <v>1.1130849994011+0.122431861409649i</v>
      </c>
      <c r="AR245" s="170" t="str">
        <f t="shared" si="130"/>
        <v>0.739424577178138-0.0813317288479062i</v>
      </c>
    </row>
    <row r="246" spans="7:44">
      <c r="G246" s="688">
        <v>14877.25</v>
      </c>
      <c r="H246" s="676">
        <f t="shared" si="122"/>
        <v>14.87725</v>
      </c>
      <c r="I246" s="677">
        <f t="shared" si="102"/>
        <v>13.126920896864162</v>
      </c>
      <c r="J246" s="678">
        <f t="shared" si="103"/>
        <v>1.4945431248852321</v>
      </c>
      <c r="K246" s="678">
        <f t="shared" si="104"/>
        <v>1.0002114338480472</v>
      </c>
      <c r="L246" s="679">
        <f t="shared" si="105"/>
        <v>2.0561935765262249E-2</v>
      </c>
      <c r="M246" s="678">
        <f t="shared" si="106"/>
        <v>1.0295158468841517</v>
      </c>
      <c r="N246" s="679">
        <f t="shared" si="107"/>
        <v>-0.24003202566962586</v>
      </c>
      <c r="O246" s="677">
        <f t="shared" si="108"/>
        <v>1329236.0931332998</v>
      </c>
      <c r="P246" s="680">
        <f t="shared" si="109"/>
        <v>1.570795574483095</v>
      </c>
      <c r="Q246" s="689">
        <f t="shared" si="131"/>
        <v>6.7209906101840353</v>
      </c>
      <c r="R246" s="690">
        <f t="shared" si="132"/>
        <v>1.4214542237495016</v>
      </c>
      <c r="S246" s="677">
        <f t="shared" si="110"/>
        <v>1.0009811123710839</v>
      </c>
      <c r="T246" s="680">
        <f t="shared" si="111"/>
        <v>4.4278908993952121E-2</v>
      </c>
      <c r="U246" s="681">
        <f t="shared" si="123"/>
        <v>0.58589922708496556</v>
      </c>
      <c r="V246" s="682">
        <f t="shared" si="124"/>
        <v>-1.2730470416098281</v>
      </c>
      <c r="W246" s="683">
        <f t="shared" si="112"/>
        <v>-23.319645404353857</v>
      </c>
      <c r="X246" s="684">
        <f t="shared" si="113"/>
        <v>-182.23956976180676</v>
      </c>
      <c r="Y246" s="687">
        <f t="shared" si="114"/>
        <v>-2.2395697618067629</v>
      </c>
      <c r="AA246" s="170">
        <f t="shared" si="115"/>
        <v>14877.25</v>
      </c>
      <c r="AB246" s="170">
        <f t="shared" si="116"/>
        <v>221332567.5625</v>
      </c>
      <c r="AD246" s="686">
        <f t="shared" si="117"/>
        <v>-0.82644428675167414</v>
      </c>
      <c r="AE246" s="687">
        <f t="shared" si="118"/>
        <v>-11.093623723291497</v>
      </c>
      <c r="AG246" s="686">
        <f t="shared" si="119"/>
        <v>44.523696382287241</v>
      </c>
      <c r="AH246" s="687">
        <f t="shared" si="120"/>
        <v>-25.265500660105687</v>
      </c>
      <c r="AJ246" s="170">
        <f t="shared" si="121"/>
        <v>0</v>
      </c>
      <c r="AK246" s="170">
        <f t="shared" si="133"/>
        <v>0</v>
      </c>
      <c r="AM246" s="170" t="str">
        <f t="shared" si="125"/>
        <v>1.6883708356178+0.725358940574147i</v>
      </c>
      <c r="AN246" s="170" t="str">
        <f t="shared" si="126"/>
        <v>2.33003696755731i</v>
      </c>
      <c r="AO246" s="170" t="str">
        <f t="shared" si="127"/>
        <v>0.311307910850262-0.724611179619094i</v>
      </c>
      <c r="AP246" s="170" t="str">
        <f t="shared" si="128"/>
        <v>-0.114728472602967-0.120893156762358i</v>
      </c>
      <c r="AQ246" s="170" t="str">
        <f t="shared" si="129"/>
        <v>1.11472847260297+0.120893156762358i</v>
      </c>
      <c r="AR246" s="170" t="str">
        <f t="shared" si="130"/>
        <v>0.738580314958656-0.0800996009273826i</v>
      </c>
    </row>
    <row r="247" spans="7:44">
      <c r="G247" s="688">
        <v>14963.5</v>
      </c>
      <c r="H247" s="676">
        <f t="shared" si="122"/>
        <v>14.9635</v>
      </c>
      <c r="I247" s="677">
        <f t="shared" si="102"/>
        <v>13.202583084923434</v>
      </c>
      <c r="J247" s="678">
        <f t="shared" si="103"/>
        <v>1.4949809631442164</v>
      </c>
      <c r="K247" s="678">
        <f t="shared" si="104"/>
        <v>1.0002138922426349</v>
      </c>
      <c r="L247" s="679">
        <f t="shared" si="105"/>
        <v>2.0681108513943166E-2</v>
      </c>
      <c r="M247" s="678">
        <f t="shared" si="106"/>
        <v>1.0298540961335703</v>
      </c>
      <c r="N247" s="679">
        <f t="shared" si="107"/>
        <v>-0.2413703201398601</v>
      </c>
      <c r="O247" s="677">
        <f t="shared" si="108"/>
        <v>1336942.2628241151</v>
      </c>
      <c r="P247" s="680">
        <f t="shared" si="109"/>
        <v>1.5707955788194397</v>
      </c>
      <c r="Q247" s="689">
        <f t="shared" si="131"/>
        <v>6.7590950099186102</v>
      </c>
      <c r="R247" s="690">
        <f t="shared" si="132"/>
        <v>1.4223024013218011</v>
      </c>
      <c r="S247" s="677">
        <f t="shared" si="110"/>
        <v>1.0009925155753743</v>
      </c>
      <c r="T247" s="680">
        <f t="shared" si="111"/>
        <v>4.4535275098842551E-2</v>
      </c>
      <c r="U247" s="681">
        <f t="shared" si="123"/>
        <v>0.58344661239677387</v>
      </c>
      <c r="V247" s="682">
        <f t="shared" si="124"/>
        <v>-1.2782632789160968</v>
      </c>
      <c r="W247" s="683">
        <f t="shared" si="112"/>
        <v>-23.40433186797268</v>
      </c>
      <c r="X247" s="684">
        <f t="shared" si="113"/>
        <v>-182.59946690761706</v>
      </c>
      <c r="Y247" s="687">
        <f t="shared" si="114"/>
        <v>-2.5994669076170567</v>
      </c>
      <c r="AA247" s="170">
        <f t="shared" si="115"/>
        <v>14963.5</v>
      </c>
      <c r="AB247" s="170">
        <f t="shared" si="116"/>
        <v>223906332.25</v>
      </c>
      <c r="AD247" s="686">
        <f t="shared" si="117"/>
        <v>-0.82764852409200562</v>
      </c>
      <c r="AE247" s="687">
        <f t="shared" si="118"/>
        <v>-11.059715672357015</v>
      </c>
      <c r="AG247" s="686">
        <f t="shared" si="119"/>
        <v>44.513086256035919</v>
      </c>
      <c r="AH247" s="687">
        <f t="shared" si="120"/>
        <v>-25.06156909099165</v>
      </c>
      <c r="AJ247" s="170">
        <f t="shared" si="121"/>
        <v>0</v>
      </c>
      <c r="AK247" s="170">
        <f t="shared" si="133"/>
        <v>0</v>
      </c>
      <c r="AM247" s="170" t="str">
        <f t="shared" si="125"/>
        <v>1.69810606767761+0.715994356312746i</v>
      </c>
      <c r="AN247" s="170" t="str">
        <f t="shared" si="126"/>
        <v>2.34354522267515i</v>
      </c>
      <c r="AO247" s="170" t="str">
        <f t="shared" si="127"/>
        <v>0.305517618941204-0.724588564047092i</v>
      </c>
      <c r="AP247" s="170" t="str">
        <f t="shared" si="128"/>
        <v>-0.116351011279602-0.119332392718791i</v>
      </c>
      <c r="AQ247" s="170" t="str">
        <f t="shared" si="129"/>
        <v>1.1163510112796+0.119332392718791i</v>
      </c>
      <c r="AR247" s="170" t="str">
        <f t="shared" si="130"/>
        <v>0.737751126314996-0.0788619405945087i</v>
      </c>
    </row>
    <row r="248" spans="7:44">
      <c r="G248" s="688">
        <v>15049.75</v>
      </c>
      <c r="H248" s="676">
        <f t="shared" si="122"/>
        <v>15.04975</v>
      </c>
      <c r="I248" s="677">
        <f t="shared" si="102"/>
        <v>13.278247775104582</v>
      </c>
      <c r="J248" s="678">
        <f t="shared" si="103"/>
        <v>1.4954138115353965</v>
      </c>
      <c r="K248" s="678">
        <f t="shared" si="104"/>
        <v>1.0002163648423346</v>
      </c>
      <c r="L248" s="679">
        <f t="shared" si="105"/>
        <v>2.0800280675111055E-2</v>
      </c>
      <c r="M248" s="678">
        <f t="shared" si="106"/>
        <v>1.0301941886715653</v>
      </c>
      <c r="N248" s="679">
        <f t="shared" si="107"/>
        <v>-0.24270773339603349</v>
      </c>
      <c r="O248" s="677">
        <f t="shared" si="108"/>
        <v>1344648.4325149306</v>
      </c>
      <c r="P248" s="680">
        <f t="shared" si="109"/>
        <v>1.5707955831060811</v>
      </c>
      <c r="Q248" s="689">
        <f t="shared" si="131"/>
        <v>6.7972042176615899</v>
      </c>
      <c r="R248" s="690">
        <f t="shared" si="132"/>
        <v>1.4231410687064205</v>
      </c>
      <c r="S248" s="677">
        <f t="shared" si="110"/>
        <v>1.0010039845669745</v>
      </c>
      <c r="T248" s="680">
        <f t="shared" si="111"/>
        <v>4.4791635345958196E-2</v>
      </c>
      <c r="U248" s="681">
        <f t="shared" si="123"/>
        <v>0.58100403782466981</v>
      </c>
      <c r="V248" s="682">
        <f t="shared" si="124"/>
        <v>-1.2834661916662085</v>
      </c>
      <c r="W248" s="683">
        <f t="shared" si="112"/>
        <v>-23.488705251491044</v>
      </c>
      <c r="X248" s="684">
        <f t="shared" si="113"/>
        <v>-182.95880881318786</v>
      </c>
      <c r="Y248" s="687">
        <f t="shared" si="114"/>
        <v>-2.9588088131878578</v>
      </c>
      <c r="AA248" s="170">
        <f t="shared" si="115"/>
        <v>15049.75</v>
      </c>
      <c r="AB248" s="170">
        <f t="shared" si="116"/>
        <v>226494975.0625</v>
      </c>
      <c r="AD248" s="686">
        <f t="shared" si="117"/>
        <v>-0.82883465664301004</v>
      </c>
      <c r="AE248" s="687">
        <f t="shared" si="118"/>
        <v>-11.026352176566036</v>
      </c>
      <c r="AG248" s="686">
        <f t="shared" si="119"/>
        <v>44.502777883289269</v>
      </c>
      <c r="AH248" s="687">
        <f t="shared" si="120"/>
        <v>-24.858064608159776</v>
      </c>
      <c r="AJ248" s="170">
        <f t="shared" si="121"/>
        <v>0</v>
      </c>
      <c r="AK248" s="170">
        <f t="shared" si="133"/>
        <v>0</v>
      </c>
      <c r="AM248" s="170" t="str">
        <f t="shared" si="125"/>
        <v>1.70771391619644+0.70649912443109i</v>
      </c>
      <c r="AN248" s="170" t="str">
        <f t="shared" si="126"/>
        <v>2.35705347779299i</v>
      </c>
      <c r="AO248" s="170" t="str">
        <f t="shared" si="127"/>
        <v>0.299738266902886-0.724512164142939i</v>
      </c>
      <c r="AP248" s="170" t="str">
        <f t="shared" si="128"/>
        <v>-0.117952319366073-0.117749854071848i</v>
      </c>
      <c r="AQ248" s="170" t="str">
        <f t="shared" si="129"/>
        <v>1.11795231936607+0.117749854071848i</v>
      </c>
      <c r="AR248" s="170" t="str">
        <f t="shared" si="130"/>
        <v>0.736936962851717-0.0776188915508896i</v>
      </c>
    </row>
    <row r="249" spans="7:44">
      <c r="G249" s="688">
        <v>15136</v>
      </c>
      <c r="H249" s="676">
        <f t="shared" si="122"/>
        <v>15.135999999999999</v>
      </c>
      <c r="I249" s="677">
        <f t="shared" si="102"/>
        <v>13.353914924875742</v>
      </c>
      <c r="J249" s="678">
        <f t="shared" si="103"/>
        <v>1.4958417547172917</v>
      </c>
      <c r="K249" s="678">
        <f t="shared" si="104"/>
        <v>1.0002188516470405</v>
      </c>
      <c r="L249" s="679">
        <f t="shared" si="105"/>
        <v>2.0919452245385318E-2</v>
      </c>
      <c r="M249" s="678">
        <f t="shared" si="106"/>
        <v>1.0305361226731973</v>
      </c>
      <c r="N249" s="679">
        <f t="shared" si="107"/>
        <v>-0.24404426152857228</v>
      </c>
      <c r="O249" s="677">
        <f t="shared" si="108"/>
        <v>1352354.6022057459</v>
      </c>
      <c r="P249" s="680">
        <f t="shared" si="109"/>
        <v>1.5707955873438693</v>
      </c>
      <c r="Q249" s="689">
        <f t="shared" si="131"/>
        <v>6.8353181529941631</v>
      </c>
      <c r="R249" s="690">
        <f t="shared" si="132"/>
        <v>1.4239703838008675</v>
      </c>
      <c r="S249" s="677">
        <f t="shared" si="110"/>
        <v>1.0010155193436236</v>
      </c>
      <c r="T249" s="680">
        <f t="shared" si="111"/>
        <v>4.5047989701804694E-2</v>
      </c>
      <c r="U249" s="681">
        <f t="shared" si="123"/>
        <v>0.57857146832955386</v>
      </c>
      <c r="V249" s="682">
        <f t="shared" si="124"/>
        <v>-1.2886560231221074</v>
      </c>
      <c r="W249" s="683">
        <f t="shared" si="112"/>
        <v>-23.572769111837921</v>
      </c>
      <c r="X249" s="684">
        <f t="shared" si="113"/>
        <v>-183.31760499443828</v>
      </c>
      <c r="Y249" s="687">
        <f t="shared" si="114"/>
        <v>-3.3176049944382839</v>
      </c>
      <c r="AA249" s="170">
        <f t="shared" si="115"/>
        <v>15136</v>
      </c>
      <c r="AB249" s="170">
        <f t="shared" si="116"/>
        <v>229098496</v>
      </c>
      <c r="AD249" s="686">
        <f t="shared" si="117"/>
        <v>-0.83000310121444509</v>
      </c>
      <c r="AE249" s="687">
        <f t="shared" si="118"/>
        <v>-10.993524187187406</v>
      </c>
      <c r="AG249" s="686">
        <f t="shared" si="119"/>
        <v>44.492767971060196</v>
      </c>
      <c r="AH249" s="687">
        <f t="shared" si="120"/>
        <v>-24.654977900494778</v>
      </c>
      <c r="AJ249" s="170">
        <f t="shared" si="121"/>
        <v>0</v>
      </c>
      <c r="AK249" s="170">
        <f t="shared" si="133"/>
        <v>0</v>
      </c>
      <c r="AM249" s="170" t="str">
        <f t="shared" si="125"/>
        <v>1.71719262802842+0.696874977525872i</v>
      </c>
      <c r="AN249" s="170" t="str">
        <f t="shared" si="126"/>
        <v>2.37056173291082i</v>
      </c>
      <c r="AO249" s="170" t="str">
        <f t="shared" si="127"/>
        <v>0.293970398598385-0.724382159801371i</v>
      </c>
      <c r="AP249" s="170" t="str">
        <f t="shared" si="128"/>
        <v>-0.119532104671404-0.116145829587645i</v>
      </c>
      <c r="AQ249" s="170" t="str">
        <f t="shared" si="129"/>
        <v>1.1195321046714+0.116145829587645i</v>
      </c>
      <c r="AR249" s="170" t="str">
        <f t="shared" si="130"/>
        <v>0.736137776196484-0.0763705947782892i</v>
      </c>
    </row>
    <row r="250" spans="7:44">
      <c r="G250" s="688">
        <v>15224</v>
      </c>
      <c r="H250" s="676">
        <f t="shared" si="122"/>
        <v>15.224</v>
      </c>
      <c r="I250" s="677">
        <f t="shared" si="102"/>
        <v>13.431119841969474</v>
      </c>
      <c r="J250" s="678">
        <f t="shared" si="103"/>
        <v>1.4962734111569651</v>
      </c>
      <c r="K250" s="678">
        <f t="shared" si="104"/>
        <v>1.0002214035488002</v>
      </c>
      <c r="L250" s="679">
        <f t="shared" si="105"/>
        <v>2.1041041177042589E-2</v>
      </c>
      <c r="M250" s="678">
        <f t="shared" si="106"/>
        <v>1.0308868904520438</v>
      </c>
      <c r="N250" s="679">
        <f t="shared" si="107"/>
        <v>-0.24540699134081642</v>
      </c>
      <c r="O250" s="677">
        <f t="shared" si="108"/>
        <v>1360217.1289627517</v>
      </c>
      <c r="P250" s="680">
        <f t="shared" si="109"/>
        <v>1.5707955916181526</v>
      </c>
      <c r="Q250" s="689">
        <f t="shared" si="131"/>
        <v>6.8742102054030028</v>
      </c>
      <c r="R250" s="690">
        <f t="shared" si="132"/>
        <v>1.4248070469663512</v>
      </c>
      <c r="S250" s="677">
        <f t="shared" si="110"/>
        <v>1.0010273559576031</v>
      </c>
      <c r="T250" s="680">
        <f t="shared" si="111"/>
        <v>4.5309539343847939E-2</v>
      </c>
      <c r="U250" s="681">
        <f t="shared" si="123"/>
        <v>0.57609981580376424</v>
      </c>
      <c r="V250" s="682">
        <f t="shared" si="124"/>
        <v>-1.2939379249867111</v>
      </c>
      <c r="W250" s="683">
        <f t="shared" si="112"/>
        <v>-23.658223260731141</v>
      </c>
      <c r="X250" s="684">
        <f t="shared" si="113"/>
        <v>-183.68312857319609</v>
      </c>
      <c r="Y250" s="687">
        <f t="shared" si="114"/>
        <v>-3.6831285731960861</v>
      </c>
      <c r="AA250" s="170">
        <f t="shared" si="115"/>
        <v>15224</v>
      </c>
      <c r="AB250" s="170">
        <f t="shared" si="116"/>
        <v>231770176</v>
      </c>
      <c r="AD250" s="686">
        <f t="shared" si="117"/>
        <v>-0.83117744387449677</v>
      </c>
      <c r="AE250" s="687">
        <f t="shared" si="118"/>
        <v>-10.960572854414103</v>
      </c>
      <c r="AG250" s="686">
        <f t="shared" si="119"/>
        <v>44.482859231805264</v>
      </c>
      <c r="AH250" s="687">
        <f t="shared" si="120"/>
        <v>-24.44819144204612</v>
      </c>
      <c r="AJ250" s="170">
        <f t="shared" si="121"/>
        <v>0</v>
      </c>
      <c r="AK250" s="170">
        <f t="shared" si="133"/>
        <v>0</v>
      </c>
      <c r="AM250" s="170" t="str">
        <f t="shared" si="125"/>
        <v>1.72672877352607+0.686924515306662i</v>
      </c>
      <c r="AN250" s="170" t="str">
        <f t="shared" si="126"/>
        <v>2.38434406856728i</v>
      </c>
      <c r="AO250" s="170" t="str">
        <f t="shared" si="127"/>
        <v>0.288097898437714-0.72419446349605i</v>
      </c>
      <c r="AP250" s="170" t="str">
        <f t="shared" si="128"/>
        <v>-0.121121462254345-0.114487419217777i</v>
      </c>
      <c r="AQ250" s="170" t="str">
        <f t="shared" si="129"/>
        <v>1.12112146225435+0.114487419217777i</v>
      </c>
      <c r="AR250" s="170" t="str">
        <f t="shared" si="130"/>
        <v>0.7353377597519-0.075091705227098i</v>
      </c>
    </row>
    <row r="251" spans="7:44">
      <c r="G251" s="688">
        <v>15312</v>
      </c>
      <c r="H251" s="676">
        <f t="shared" si="122"/>
        <v>15.311999999999999</v>
      </c>
      <c r="I251" s="677">
        <f t="shared" si="102"/>
        <v>13.508327233040664</v>
      </c>
      <c r="J251" s="678">
        <f t="shared" si="103"/>
        <v>1.4967001333756871</v>
      </c>
      <c r="K251" s="678">
        <f t="shared" si="104"/>
        <v>1.0002239702376261</v>
      </c>
      <c r="L251" s="679">
        <f t="shared" si="105"/>
        <v>2.1162629486475255E-2</v>
      </c>
      <c r="M251" s="678">
        <f t="shared" si="106"/>
        <v>1.0312395713169904</v>
      </c>
      <c r="N251" s="679">
        <f t="shared" si="107"/>
        <v>-0.24676879158144824</v>
      </c>
      <c r="O251" s="677">
        <f t="shared" si="108"/>
        <v>1368079.6557197578</v>
      </c>
      <c r="P251" s="680">
        <f t="shared" si="109"/>
        <v>1.5707955958433064</v>
      </c>
      <c r="Q251" s="689">
        <f t="shared" si="131"/>
        <v>6.913107015650219</v>
      </c>
      <c r="R251" s="690">
        <f t="shared" si="132"/>
        <v>1.4256342956831862</v>
      </c>
      <c r="S251" s="677">
        <f t="shared" si="110"/>
        <v>1.0010392610484551</v>
      </c>
      <c r="T251" s="680">
        <f t="shared" si="111"/>
        <v>4.5571082782703373E-2</v>
      </c>
      <c r="U251" s="681">
        <f t="shared" si="123"/>
        <v>0.57363849926744936</v>
      </c>
      <c r="V251" s="682">
        <f t="shared" si="124"/>
        <v>-1.2992067184512561</v>
      </c>
      <c r="W251" s="683">
        <f t="shared" si="112"/>
        <v>-23.743362563088056</v>
      </c>
      <c r="X251" s="684">
        <f t="shared" si="113"/>
        <v>-184.04810421098134</v>
      </c>
      <c r="Y251" s="687">
        <f t="shared" si="114"/>
        <v>-4.0481042109813359</v>
      </c>
      <c r="AA251" s="170">
        <f t="shared" si="115"/>
        <v>15312</v>
      </c>
      <c r="AB251" s="170">
        <f t="shared" si="116"/>
        <v>234457344</v>
      </c>
      <c r="AD251" s="686">
        <f t="shared" si="117"/>
        <v>-0.83233421385894757</v>
      </c>
      <c r="AE251" s="687">
        <f t="shared" si="118"/>
        <v>-10.928160571584046</v>
      </c>
      <c r="AG251" s="686">
        <f t="shared" si="119"/>
        <v>44.47325451628803</v>
      </c>
      <c r="AH251" s="687">
        <f t="shared" si="120"/>
        <v>-24.241820104682475</v>
      </c>
      <c r="AJ251" s="170">
        <f t="shared" si="121"/>
        <v>0</v>
      </c>
      <c r="AK251" s="170">
        <f t="shared" si="133"/>
        <v>0</v>
      </c>
      <c r="AM251" s="170" t="str">
        <f t="shared" si="125"/>
        <v>1.73612687706082+0.676843571934223i</v>
      </c>
      <c r="AN251" s="170" t="str">
        <f t="shared" si="126"/>
        <v>2.39812640422374i</v>
      </c>
      <c r="AO251" s="170" t="str">
        <f t="shared" si="127"/>
        <v>0.282238488656028-0.723951362198022i</v>
      </c>
      <c r="AP251" s="170" t="str">
        <f t="shared" si="128"/>
        <v>-0.122687812843471-0.112807261989037i</v>
      </c>
      <c r="AQ251" s="170" t="str">
        <f t="shared" si="129"/>
        <v>1.12268781284347+0.112807261989037i</v>
      </c>
      <c r="AR251" s="170" t="str">
        <f t="shared" si="130"/>
        <v>0.734553232590504-0.0738076409183255i</v>
      </c>
    </row>
    <row r="252" spans="7:44">
      <c r="G252" s="688">
        <v>15400</v>
      </c>
      <c r="H252" s="676">
        <f t="shared" si="122"/>
        <v>15.4</v>
      </c>
      <c r="I252" s="677">
        <f t="shared" si="102"/>
        <v>13.585537055910041</v>
      </c>
      <c r="J252" s="678">
        <f t="shared" si="103"/>
        <v>1.4971220053437488</v>
      </c>
      <c r="K252" s="678">
        <f t="shared" si="104"/>
        <v>1.0002265517134037</v>
      </c>
      <c r="L252" s="679">
        <f t="shared" si="105"/>
        <v>2.1284217170093066E-2</v>
      </c>
      <c r="M252" s="678">
        <f t="shared" si="106"/>
        <v>1.0315941633059025</v>
      </c>
      <c r="N252" s="679">
        <f t="shared" si="107"/>
        <v>-0.24812965815555529</v>
      </c>
      <c r="O252" s="677">
        <f t="shared" si="108"/>
        <v>1375942.1824767636</v>
      </c>
      <c r="P252" s="680">
        <f t="shared" si="109"/>
        <v>1.5707956000201726</v>
      </c>
      <c r="Q252" s="689">
        <f t="shared" si="131"/>
        <v>6.9520085038748336</v>
      </c>
      <c r="R252" s="690">
        <f t="shared" si="132"/>
        <v>1.4264522868513601</v>
      </c>
      <c r="S252" s="677">
        <f t="shared" si="110"/>
        <v>1.0010512346137368</v>
      </c>
      <c r="T252" s="680">
        <f t="shared" si="111"/>
        <v>4.5832619982811212E-2</v>
      </c>
      <c r="U252" s="681">
        <f t="shared" si="123"/>
        <v>0.57118747603947251</v>
      </c>
      <c r="V252" s="682">
        <f t="shared" si="124"/>
        <v>-1.3044626593704016</v>
      </c>
      <c r="W252" s="683">
        <f t="shared" si="112"/>
        <v>-23.828190681889186</v>
      </c>
      <c r="X252" s="684">
        <f t="shared" si="113"/>
        <v>-184.41254215221775</v>
      </c>
      <c r="Y252" s="687">
        <f t="shared" si="114"/>
        <v>-4.4125421522177533</v>
      </c>
      <c r="AA252" s="170">
        <f t="shared" si="115"/>
        <v>15400</v>
      </c>
      <c r="AB252" s="170">
        <f t="shared" si="116"/>
        <v>237160000</v>
      </c>
      <c r="AD252" s="686">
        <f t="shared" si="117"/>
        <v>-0.83347381799257225</v>
      </c>
      <c r="AE252" s="687">
        <f t="shared" si="118"/>
        <v>-10.896278347000928</v>
      </c>
      <c r="AG252" s="686">
        <f t="shared" si="119"/>
        <v>44.463950581445772</v>
      </c>
      <c r="AH252" s="687">
        <f t="shared" si="120"/>
        <v>-24.035853805739485</v>
      </c>
      <c r="AJ252" s="170">
        <f t="shared" si="121"/>
        <v>0</v>
      </c>
      <c r="AK252" s="170">
        <f t="shared" si="133"/>
        <v>0</v>
      </c>
      <c r="AM252" s="170" t="str">
        <f t="shared" si="125"/>
        <v>1.74538515346508+0.666634062281423i</v>
      </c>
      <c r="AN252" s="170" t="str">
        <f t="shared" si="126"/>
        <v>2.4119087398802i</v>
      </c>
      <c r="AO252" s="170" t="str">
        <f t="shared" si="127"/>
        <v>0.276392738771092-0.723653065559924i</v>
      </c>
      <c r="AP252" s="170" t="str">
        <f t="shared" si="128"/>
        <v>-0.124230858910847-0.111105677046904i</v>
      </c>
      <c r="AQ252" s="170" t="str">
        <f t="shared" si="129"/>
        <v>1.12423085891085+0.111105677046904i</v>
      </c>
      <c r="AR252" s="170" t="str">
        <f t="shared" si="130"/>
        <v>0.733784143729896-0.0725185431881637i</v>
      </c>
    </row>
    <row r="253" spans="7:44">
      <c r="G253" s="688">
        <v>15488</v>
      </c>
      <c r="H253" s="676">
        <f t="shared" si="122"/>
        <v>15.488</v>
      </c>
      <c r="I253" s="677">
        <f t="shared" si="102"/>
        <v>13.662749269350467</v>
      </c>
      <c r="J253" s="678">
        <f t="shared" si="103"/>
        <v>1.4975391091402745</v>
      </c>
      <c r="K253" s="678">
        <f t="shared" si="104"/>
        <v>1.000229147976019</v>
      </c>
      <c r="L253" s="679">
        <f t="shared" si="105"/>
        <v>2.1405804224305883E-2</v>
      </c>
      <c r="M253" s="678">
        <f t="shared" si="106"/>
        <v>1.0319506644487171</v>
      </c>
      <c r="N253" s="679">
        <f t="shared" si="107"/>
        <v>-0.24948958698767121</v>
      </c>
      <c r="O253" s="677">
        <f t="shared" si="108"/>
        <v>1383804.7092337694</v>
      </c>
      <c r="P253" s="680">
        <f t="shared" si="109"/>
        <v>1.5707956041495743</v>
      </c>
      <c r="Q253" s="689">
        <f t="shared" si="131"/>
        <v>6.9909145919839375</v>
      </c>
      <c r="R253" s="690">
        <f t="shared" si="132"/>
        <v>1.4272611739283052</v>
      </c>
      <c r="S253" s="677">
        <f t="shared" si="110"/>
        <v>1.0010632766509908</v>
      </c>
      <c r="T253" s="680">
        <f t="shared" si="111"/>
        <v>4.6094150908616772E-2</v>
      </c>
      <c r="U253" s="681">
        <f t="shared" si="123"/>
        <v>0.56874670171773622</v>
      </c>
      <c r="V253" s="682">
        <f t="shared" si="124"/>
        <v>-1.3097060027571519</v>
      </c>
      <c r="W253" s="683">
        <f t="shared" si="112"/>
        <v>-23.912711244118846</v>
      </c>
      <c r="X253" s="684">
        <f t="shared" si="113"/>
        <v>-184.77645268310704</v>
      </c>
      <c r="Y253" s="687">
        <f t="shared" si="114"/>
        <v>-4.7764526831070384</v>
      </c>
      <c r="AA253" s="170">
        <f t="shared" si="115"/>
        <v>15488</v>
      </c>
      <c r="AB253" s="170">
        <f t="shared" si="116"/>
        <v>239878144</v>
      </c>
      <c r="AD253" s="686">
        <f t="shared" si="117"/>
        <v>-0.8345966518107556</v>
      </c>
      <c r="AE253" s="687">
        <f t="shared" si="118"/>
        <v>-10.864917386211562</v>
      </c>
      <c r="AG253" s="686">
        <f t="shared" si="119"/>
        <v>44.454944266860281</v>
      </c>
      <c r="AH253" s="687">
        <f t="shared" si="120"/>
        <v>-23.830282403534344</v>
      </c>
      <c r="AJ253" s="170">
        <f t="shared" si="121"/>
        <v>0</v>
      </c>
      <c r="AK253" s="170">
        <f t="shared" si="133"/>
        <v>0</v>
      </c>
      <c r="AM253" s="170" t="str">
        <f t="shared" si="125"/>
        <v>1.75450184413138+0.656297925642275i</v>
      </c>
      <c r="AN253" s="170" t="str">
        <f t="shared" si="126"/>
        <v>2.42569107553665i</v>
      </c>
      <c r="AO253" s="170" t="str">
        <f t="shared" si="127"/>
        <v>0.270561215424795-0.723299789419072i</v>
      </c>
      <c r="AP253" s="170" t="str">
        <f t="shared" si="128"/>
        <v>-0.125750307355229-0.109382987607046i</v>
      </c>
      <c r="AQ253" s="170" t="str">
        <f t="shared" si="129"/>
        <v>1.12575030735523+0.109382987607046i</v>
      </c>
      <c r="AR253" s="170" t="str">
        <f t="shared" si="130"/>
        <v>0.733030442422272-0.0712245506620695i</v>
      </c>
    </row>
    <row r="254" spans="7:44">
      <c r="G254" s="688">
        <v>15578.25</v>
      </c>
      <c r="H254" s="676">
        <f t="shared" si="122"/>
        <v>15.578250000000001</v>
      </c>
      <c r="I254" s="677">
        <f t="shared" si="102"/>
        <v>13.741938099527754</v>
      </c>
      <c r="J254" s="678">
        <f t="shared" si="103"/>
        <v>1.4979620089649419</v>
      </c>
      <c r="K254" s="678">
        <f t="shared" si="104"/>
        <v>1.0002318259790082</v>
      </c>
      <c r="L254" s="679">
        <f t="shared" si="105"/>
        <v>2.1530499380917049E-2</v>
      </c>
      <c r="M254" s="678">
        <f t="shared" si="106"/>
        <v>1.0323182616038924</v>
      </c>
      <c r="N254" s="679">
        <f t="shared" si="107"/>
        <v>-0.25088330846574919</v>
      </c>
      <c r="O254" s="677">
        <f t="shared" si="108"/>
        <v>1391868.2665044488</v>
      </c>
      <c r="P254" s="680">
        <f t="shared" si="109"/>
        <v>1.5707956083360999</v>
      </c>
      <c r="Q254" s="689">
        <f t="shared" si="131"/>
        <v>7.0308201358395959</v>
      </c>
      <c r="R254" s="690">
        <f t="shared" si="132"/>
        <v>1.4280814437684943</v>
      </c>
      <c r="S254" s="677">
        <f t="shared" si="110"/>
        <v>1.001075697699064</v>
      </c>
      <c r="T254" s="680">
        <f t="shared" si="111"/>
        <v>4.6362362150458317E-2</v>
      </c>
      <c r="U254" s="681">
        <f t="shared" si="123"/>
        <v>0.56625411829324235</v>
      </c>
      <c r="V254" s="682">
        <f t="shared" si="124"/>
        <v>-1.3150705903582676</v>
      </c>
      <c r="W254" s="683">
        <f t="shared" si="112"/>
        <v>-23.999077153654444</v>
      </c>
      <c r="X254" s="684">
        <f t="shared" si="113"/>
        <v>-185.1491307514674</v>
      </c>
      <c r="Y254" s="687">
        <f t="shared" si="114"/>
        <v>-5.1491307514673963</v>
      </c>
      <c r="AA254" s="170">
        <f t="shared" si="115"/>
        <v>15578.25</v>
      </c>
      <c r="AB254" s="170">
        <f t="shared" si="116"/>
        <v>242681873.0625</v>
      </c>
      <c r="AD254" s="686">
        <f t="shared" si="117"/>
        <v>-0.83573117830025678</v>
      </c>
      <c r="AE254" s="687">
        <f t="shared" si="118"/>
        <v>-10.83328699831644</v>
      </c>
      <c r="AG254" s="686">
        <f t="shared" si="119"/>
        <v>44.446013584088099</v>
      </c>
      <c r="AH254" s="687">
        <f t="shared" si="120"/>
        <v>-23.61985440234308</v>
      </c>
      <c r="AJ254" s="170">
        <f t="shared" si="121"/>
        <v>0</v>
      </c>
      <c r="AK254" s="170">
        <f t="shared" si="133"/>
        <v>0</v>
      </c>
      <c r="AM254" s="170" t="str">
        <f t="shared" si="125"/>
        <v>1.76370275600747+0.645568044799773i</v>
      </c>
      <c r="AN254" s="170" t="str">
        <f t="shared" si="126"/>
        <v>2.43982580045706i</v>
      </c>
      <c r="AO254" s="170" t="str">
        <f t="shared" si="127"/>
        <v>0.264595957907666-0.722880607163458i</v>
      </c>
      <c r="AP254" s="170" t="str">
        <f t="shared" si="128"/>
        <v>-0.127283792667911-0.107594674133296i</v>
      </c>
      <c r="AQ254" s="170" t="str">
        <f t="shared" si="129"/>
        <v>1.12728379266791+0.107594674133296i</v>
      </c>
      <c r="AR254" s="170" t="str">
        <f t="shared" si="130"/>
        <v>0.732273400211285-0.0698925313968605i</v>
      </c>
    </row>
    <row r="255" spans="7:44">
      <c r="G255" s="688">
        <v>15668.5</v>
      </c>
      <c r="H255" s="676">
        <f t="shared" si="122"/>
        <v>15.6685</v>
      </c>
      <c r="I255" s="677">
        <f t="shared" si="102"/>
        <v>13.821129359208919</v>
      </c>
      <c r="J255" s="678">
        <f t="shared" si="103"/>
        <v>1.4983800626649248</v>
      </c>
      <c r="K255" s="678">
        <f t="shared" si="104"/>
        <v>1.0002345195344007</v>
      </c>
      <c r="L255" s="679">
        <f t="shared" si="105"/>
        <v>2.1655193867877943E-2</v>
      </c>
      <c r="M255" s="678">
        <f t="shared" si="106"/>
        <v>1.032687862565697</v>
      </c>
      <c r="N255" s="679">
        <f t="shared" si="107"/>
        <v>-0.25227603501636542</v>
      </c>
      <c r="O255" s="677">
        <f t="shared" si="108"/>
        <v>1399931.8237751282</v>
      </c>
      <c r="P255" s="680">
        <f t="shared" si="109"/>
        <v>1.5707956124743969</v>
      </c>
      <c r="Q255" s="689">
        <f t="shared" si="131"/>
        <v>7.0707303569315902</v>
      </c>
      <c r="R255" s="690">
        <f t="shared" si="132"/>
        <v>1.4288924542428345</v>
      </c>
      <c r="S255" s="677">
        <f t="shared" si="110"/>
        <v>1.00108819076</v>
      </c>
      <c r="T255" s="680">
        <f t="shared" si="111"/>
        <v>4.6630566717319223E-2</v>
      </c>
      <c r="U255" s="681">
        <f t="shared" si="123"/>
        <v>0.56377221466161709</v>
      </c>
      <c r="V255" s="682">
        <f t="shared" si="124"/>
        <v>-1.3204224686008272</v>
      </c>
      <c r="W255" s="683">
        <f t="shared" si="112"/>
        <v>-24.085127194799561</v>
      </c>
      <c r="X255" s="684">
        <f t="shared" si="113"/>
        <v>-185.52127613532639</v>
      </c>
      <c r="Y255" s="687">
        <f t="shared" si="114"/>
        <v>-5.5212761353263886</v>
      </c>
      <c r="AA255" s="170">
        <f t="shared" si="115"/>
        <v>15668.5</v>
      </c>
      <c r="AB255" s="170">
        <f t="shared" si="116"/>
        <v>245501892.25</v>
      </c>
      <c r="AD255" s="686">
        <f t="shared" si="117"/>
        <v>-0.83684887377938433</v>
      </c>
      <c r="AE255" s="687">
        <f t="shared" si="118"/>
        <v>-10.802186747794527</v>
      </c>
      <c r="AG255" s="686">
        <f t="shared" si="119"/>
        <v>44.437389462651552</v>
      </c>
      <c r="AH255" s="687">
        <f t="shared" si="120"/>
        <v>-23.409819964490083</v>
      </c>
      <c r="AJ255" s="170">
        <f t="shared" si="121"/>
        <v>0</v>
      </c>
      <c r="AK255" s="170">
        <f t="shared" si="133"/>
        <v>0</v>
      </c>
      <c r="AM255" s="170" t="str">
        <f t="shared" si="125"/>
        <v>1.77275108990768+0.634709187775394i</v>
      </c>
      <c r="AN255" s="170" t="str">
        <f t="shared" si="126"/>
        <v>2.45396052537746i</v>
      </c>
      <c r="AO255" s="170" t="str">
        <f t="shared" si="127"/>
        <v>0.25864686135396-0.722404077643018i</v>
      </c>
      <c r="AP255" s="170" t="str">
        <f t="shared" si="128"/>
        <v>-0.128791848317946-0.105784864629232i</v>
      </c>
      <c r="AQ255" s="170" t="str">
        <f t="shared" si="129"/>
        <v>1.12879184831795+0.105784864629232i</v>
      </c>
      <c r="AR255" s="170" t="str">
        <f t="shared" si="130"/>
        <v>0.731532435323507-0.0685556506790013i</v>
      </c>
    </row>
    <row r="256" spans="7:44">
      <c r="G256" s="688">
        <v>15758.75</v>
      </c>
      <c r="H256" s="676">
        <f t="shared" si="122"/>
        <v>15.758749999999999</v>
      </c>
      <c r="I256" s="677">
        <f t="shared" si="102"/>
        <v>13.900323006870725</v>
      </c>
      <c r="J256" s="678">
        <f t="shared" si="103"/>
        <v>1.4987933529216195</v>
      </c>
      <c r="K256" s="678">
        <f t="shared" si="104"/>
        <v>1.0002372286420707</v>
      </c>
      <c r="L256" s="679">
        <f t="shared" si="105"/>
        <v>2.1779887681316317E-2</v>
      </c>
      <c r="M256" s="678">
        <f t="shared" si="106"/>
        <v>1.0330594651834062</v>
      </c>
      <c r="N256" s="679">
        <f t="shared" si="107"/>
        <v>-0.25366776230739779</v>
      </c>
      <c r="O256" s="677">
        <f t="shared" si="108"/>
        <v>1407995.3810458079</v>
      </c>
      <c r="P256" s="680">
        <f t="shared" si="109"/>
        <v>1.5707956165652939</v>
      </c>
      <c r="Q256" s="689">
        <f t="shared" si="131"/>
        <v>7.110645176503553</v>
      </c>
      <c r="R256" s="690">
        <f t="shared" si="132"/>
        <v>1.4296943602046528</v>
      </c>
      <c r="S256" s="677">
        <f t="shared" si="110"/>
        <v>1.0011007558311031</v>
      </c>
      <c r="T256" s="680">
        <f t="shared" si="111"/>
        <v>4.6898764570864254E-2</v>
      </c>
      <c r="U256" s="681">
        <f t="shared" si="123"/>
        <v>0.561300937658882</v>
      </c>
      <c r="V256" s="682">
        <f t="shared" si="124"/>
        <v>-1.32576190983632</v>
      </c>
      <c r="W256" s="683">
        <f t="shared" si="112"/>
        <v>-24.170865170321434</v>
      </c>
      <c r="X256" s="684">
        <f t="shared" si="113"/>
        <v>-185.89290005398843</v>
      </c>
      <c r="Y256" s="687">
        <f t="shared" si="114"/>
        <v>-5.8929000539884271</v>
      </c>
      <c r="AA256" s="170">
        <f t="shared" si="115"/>
        <v>15758.75</v>
      </c>
      <c r="AB256" s="170">
        <f t="shared" si="116"/>
        <v>248338201.5625</v>
      </c>
      <c r="AD256" s="686">
        <f t="shared" si="117"/>
        <v>-0.8379501303096869</v>
      </c>
      <c r="AE256" s="687">
        <f t="shared" si="118"/>
        <v>-10.771607760054748</v>
      </c>
      <c r="AG256" s="686">
        <f t="shared" si="119"/>
        <v>44.429068754894132</v>
      </c>
      <c r="AH256" s="687">
        <f t="shared" si="120"/>
        <v>-23.200167974689073</v>
      </c>
      <c r="AJ256" s="170">
        <f t="shared" si="121"/>
        <v>0</v>
      </c>
      <c r="AK256" s="170">
        <f t="shared" si="133"/>
        <v>0</v>
      </c>
      <c r="AM256" s="170" t="str">
        <f t="shared" si="125"/>
        <v>1.78164503809142+0.623723524028926i</v>
      </c>
      <c r="AN256" s="170" t="str">
        <f t="shared" si="126"/>
        <v>2.46809525029786i</v>
      </c>
      <c r="AO256" s="170" t="str">
        <f t="shared" si="127"/>
        <v>0.252714527104921-0.721870453693553i</v>
      </c>
      <c r="AP256" s="170" t="str">
        <f t="shared" si="128"/>
        <v>-0.130274173015237-0.103953920671488i</v>
      </c>
      <c r="AQ256" s="170" t="str">
        <f t="shared" si="129"/>
        <v>1.13027417301524+0.103953920671488i</v>
      </c>
      <c r="AR256" s="170" t="str">
        <f t="shared" si="130"/>
        <v>0.730807494098304-0.0672140495477815i</v>
      </c>
    </row>
    <row r="257" spans="7:44">
      <c r="G257" s="688">
        <v>15849</v>
      </c>
      <c r="H257" s="676">
        <f t="shared" si="122"/>
        <v>15.849</v>
      </c>
      <c r="I257" s="677">
        <f t="shared" si="102"/>
        <v>13.979519001929608</v>
      </c>
      <c r="J257" s="678">
        <f t="shared" si="103"/>
        <v>1.4992019605494091</v>
      </c>
      <c r="K257" s="678">
        <f t="shared" si="104"/>
        <v>1.0002399533018922</v>
      </c>
      <c r="L257" s="679">
        <f t="shared" si="105"/>
        <v>2.1904580817360037E-2</v>
      </c>
      <c r="M257" s="678">
        <f t="shared" si="106"/>
        <v>1.0334330672977492</v>
      </c>
      <c r="N257" s="679">
        <f t="shared" si="107"/>
        <v>-0.2550584860284219</v>
      </c>
      <c r="O257" s="677">
        <f t="shared" si="108"/>
        <v>1416058.9383164872</v>
      </c>
      <c r="P257" s="680">
        <f t="shared" si="109"/>
        <v>1.570795620609601</v>
      </c>
      <c r="Q257" s="689">
        <f t="shared" si="131"/>
        <v>7.1505645175486281</v>
      </c>
      <c r="R257" s="690">
        <f t="shared" si="132"/>
        <v>1.4304873130967251</v>
      </c>
      <c r="S257" s="677">
        <f t="shared" si="110"/>
        <v>1.0011133929096616</v>
      </c>
      <c r="T257" s="680">
        <f t="shared" si="111"/>
        <v>4.7166955672763904E-2</v>
      </c>
      <c r="U257" s="681">
        <f t="shared" si="123"/>
        <v>0.55884023246286796</v>
      </c>
      <c r="V257" s="682">
        <f t="shared" si="124"/>
        <v>-1.3310891855095504</v>
      </c>
      <c r="W257" s="683">
        <f t="shared" si="112"/>
        <v>-24.256294848703419</v>
      </c>
      <c r="X257" s="684">
        <f t="shared" si="113"/>
        <v>-186.26401376448948</v>
      </c>
      <c r="Y257" s="687">
        <f t="shared" si="114"/>
        <v>-6.2640137644894764</v>
      </c>
      <c r="AA257" s="170">
        <f t="shared" si="115"/>
        <v>15849</v>
      </c>
      <c r="AB257" s="170">
        <f t="shared" si="116"/>
        <v>251190801</v>
      </c>
      <c r="AD257" s="686">
        <f t="shared" si="117"/>
        <v>-0.8390353290388155</v>
      </c>
      <c r="AE257" s="687">
        <f t="shared" si="118"/>
        <v>-10.741541355915496</v>
      </c>
      <c r="AG257" s="686">
        <f t="shared" si="119"/>
        <v>44.421048398365095</v>
      </c>
      <c r="AH257" s="687">
        <f t="shared" si="120"/>
        <v>-22.990887263874168</v>
      </c>
      <c r="AJ257" s="170">
        <f t="shared" si="121"/>
        <v>0</v>
      </c>
      <c r="AK257" s="170">
        <f t="shared" si="133"/>
        <v>0</v>
      </c>
      <c r="AM257" s="170" t="str">
        <f t="shared" si="125"/>
        <v>1.79038282366239+0.612613248354516i</v>
      </c>
      <c r="AN257" s="170" t="str">
        <f t="shared" si="126"/>
        <v>2.48222997521826i</v>
      </c>
      <c r="AO257" s="170" t="str">
        <f t="shared" si="127"/>
        <v>0.246799553011058-0.721279994817951i</v>
      </c>
      <c r="AP257" s="170" t="str">
        <f t="shared" si="128"/>
        <v>-0.131730470610398-0.102102208059086i</v>
      </c>
      <c r="AQ257" s="170" t="str">
        <f t="shared" si="129"/>
        <v>1.1317304706104+0.102102208059086i</v>
      </c>
      <c r="AR257" s="170" t="str">
        <f t="shared" si="130"/>
        <v>0.730098523338581-0.0658678663068438i</v>
      </c>
    </row>
    <row r="258" spans="7:44">
      <c r="G258" s="688">
        <v>15941.25</v>
      </c>
      <c r="H258" s="676">
        <f t="shared" si="122"/>
        <v>15.94125</v>
      </c>
      <c r="I258" s="677">
        <f t="shared" si="102"/>
        <v>14.060472417596953</v>
      </c>
      <c r="J258" s="678">
        <f t="shared" si="103"/>
        <v>1.4996148659978925</v>
      </c>
      <c r="K258" s="678">
        <f t="shared" si="104"/>
        <v>1.0002427544147932</v>
      </c>
      <c r="L258" s="679">
        <f t="shared" si="105"/>
        <v>2.2032036532087493E-2</v>
      </c>
      <c r="M258" s="678">
        <f t="shared" si="106"/>
        <v>1.0338170128792437</v>
      </c>
      <c r="N258" s="679">
        <f t="shared" si="107"/>
        <v>-0.25647898747067399</v>
      </c>
      <c r="O258" s="677">
        <f t="shared" si="108"/>
        <v>1424301.1893770988</v>
      </c>
      <c r="P258" s="680">
        <f t="shared" si="109"/>
        <v>1.570795624696206</v>
      </c>
      <c r="Q258" s="689">
        <f t="shared" si="131"/>
        <v>7.1913730922196262</v>
      </c>
      <c r="R258" s="690">
        <f t="shared" si="132"/>
        <v>1.4312887396721963</v>
      </c>
      <c r="S258" s="677">
        <f t="shared" si="110"/>
        <v>1.0011263844501797</v>
      </c>
      <c r="T258" s="680">
        <f t="shared" si="111"/>
        <v>4.7441083050146271E-2</v>
      </c>
      <c r="U258" s="681">
        <f t="shared" si="123"/>
        <v>0.55633586347195529</v>
      </c>
      <c r="V258" s="682">
        <f t="shared" si="124"/>
        <v>-1.336522225874816</v>
      </c>
      <c r="W258" s="683">
        <f t="shared" si="112"/>
        <v>-24.343302973538108</v>
      </c>
      <c r="X258" s="684">
        <f t="shared" si="113"/>
        <v>-186.64283606577101</v>
      </c>
      <c r="Y258" s="687">
        <f t="shared" si="114"/>
        <v>-6.6428360657710073</v>
      </c>
      <c r="AA258" s="170">
        <f t="shared" si="115"/>
        <v>15941.25</v>
      </c>
      <c r="AB258" s="170">
        <f t="shared" si="116"/>
        <v>254123451.5625</v>
      </c>
      <c r="AD258" s="686">
        <f t="shared" si="117"/>
        <v>-0.8401283667467967</v>
      </c>
      <c r="AE258" s="687">
        <f t="shared" si="118"/>
        <v>-10.711329571435069</v>
      </c>
      <c r="AG258" s="686">
        <f t="shared" si="119"/>
        <v>44.413157613643925</v>
      </c>
      <c r="AH258" s="687">
        <f t="shared" si="120"/>
        <v>-22.777340783216861</v>
      </c>
      <c r="AJ258" s="170">
        <f t="shared" si="121"/>
        <v>0</v>
      </c>
      <c r="AK258" s="170">
        <f t="shared" si="133"/>
        <v>0</v>
      </c>
      <c r="AM258" s="170" t="str">
        <f t="shared" si="125"/>
        <v>1.79915103511166+0.601130287940943i</v>
      </c>
      <c r="AN258" s="170" t="str">
        <f t="shared" si="126"/>
        <v>2.49667793503995i</v>
      </c>
      <c r="AO258" s="170" t="str">
        <f t="shared" si="127"/>
        <v>0.240772059345061-0.720617989954268i</v>
      </c>
      <c r="AP258" s="170" t="str">
        <f t="shared" si="128"/>
        <v>-0.133191839185277-0.100188381323491i</v>
      </c>
      <c r="AQ258" s="170" t="str">
        <f t="shared" si="129"/>
        <v>1.13319183918528+0.100188381323491i</v>
      </c>
      <c r="AR258" s="170" t="str">
        <f t="shared" si="130"/>
        <v>0.729390291726584-0.0644872563975526i</v>
      </c>
    </row>
    <row r="259" spans="7:44">
      <c r="G259" s="688">
        <v>16033.5</v>
      </c>
      <c r="H259" s="676">
        <f t="shared" si="122"/>
        <v>16.0335</v>
      </c>
      <c r="I259" s="677">
        <f t="shared" si="102"/>
        <v>14.141428203001173</v>
      </c>
      <c r="J259" s="678">
        <f t="shared" si="103"/>
        <v>1.5000230439751436</v>
      </c>
      <c r="K259" s="678">
        <f t="shared" si="104"/>
        <v>1.000245571776506</v>
      </c>
      <c r="L259" s="679">
        <f t="shared" si="105"/>
        <v>2.2159491530884059E-2</v>
      </c>
      <c r="M259" s="678">
        <f t="shared" si="106"/>
        <v>1.0342030429705318</v>
      </c>
      <c r="N259" s="679">
        <f t="shared" si="107"/>
        <v>-0.25789843133308632</v>
      </c>
      <c r="O259" s="677">
        <f t="shared" si="108"/>
        <v>1432543.4404377101</v>
      </c>
      <c r="P259" s="680">
        <f t="shared" si="109"/>
        <v>1.570795628735786</v>
      </c>
      <c r="Q259" s="689">
        <f t="shared" si="131"/>
        <v>7.2321862336711709</v>
      </c>
      <c r="R259" s="690">
        <f t="shared" si="132"/>
        <v>1.4320811214271816</v>
      </c>
      <c r="S259" s="677">
        <f t="shared" si="110"/>
        <v>1.001139451219204</v>
      </c>
      <c r="T259" s="680">
        <f t="shared" si="111"/>
        <v>4.7715203292362569E-2</v>
      </c>
      <c r="U259" s="681">
        <f t="shared" si="123"/>
        <v>0.55384241915409482</v>
      </c>
      <c r="V259" s="682">
        <f t="shared" si="124"/>
        <v>-1.3419431261504307</v>
      </c>
      <c r="W259" s="683">
        <f t="shared" si="112"/>
        <v>-24.42999684364958</v>
      </c>
      <c r="X259" s="684">
        <f t="shared" si="113"/>
        <v>-187.02114919169225</v>
      </c>
      <c r="Y259" s="687">
        <f t="shared" si="114"/>
        <v>-7.0211491916922455</v>
      </c>
      <c r="AA259" s="170">
        <f t="shared" si="115"/>
        <v>16033.5</v>
      </c>
      <c r="AB259" s="170">
        <f t="shared" si="116"/>
        <v>257073122.25</v>
      </c>
      <c r="AD259" s="686">
        <f t="shared" si="117"/>
        <v>-0.84120539899472113</v>
      </c>
      <c r="AE259" s="687">
        <f t="shared" si="118"/>
        <v>-10.681635605486306</v>
      </c>
      <c r="AG259" s="686">
        <f t="shared" si="119"/>
        <v>44.405574435490173</v>
      </c>
      <c r="AH259" s="687">
        <f t="shared" si="120"/>
        <v>-22.564158460469002</v>
      </c>
      <c r="AJ259" s="170">
        <f t="shared" si="121"/>
        <v>0</v>
      </c>
      <c r="AK259" s="170">
        <f t="shared" si="133"/>
        <v>0</v>
      </c>
      <c r="AM259" s="170" t="str">
        <f t="shared" si="125"/>
        <v>1.80775243184428+0.589521847644045i</v>
      </c>
      <c r="AN259" s="170" t="str">
        <f t="shared" si="126"/>
        <v>2.51112589486163i</v>
      </c>
      <c r="AO259" s="170" t="str">
        <f t="shared" si="127"/>
        <v>0.234763955423481-0.719897172636138i</v>
      </c>
      <c r="AP259" s="170" t="str">
        <f t="shared" si="128"/>
        <v>-0.13462540530738-0.0982536412740075i</v>
      </c>
      <c r="AQ259" s="170" t="str">
        <f t="shared" si="129"/>
        <v>1.13462540530738+0.0982536412740075i</v>
      </c>
      <c r="AR259" s="170" t="str">
        <f t="shared" si="130"/>
        <v>0.728698635542338-0.0631021427852123i</v>
      </c>
    </row>
    <row r="260" spans="7:44">
      <c r="G260" s="688">
        <v>16125.75</v>
      </c>
      <c r="H260" s="676">
        <f t="shared" si="122"/>
        <v>16.12575</v>
      </c>
      <c r="I260" s="677">
        <f t="shared" si="102"/>
        <v>14.222386317675657</v>
      </c>
      <c r="J260" s="678">
        <f t="shared" si="103"/>
        <v>1.5004265750745531</v>
      </c>
      <c r="K260" s="678">
        <f t="shared" si="104"/>
        <v>1.0002484053868932</v>
      </c>
      <c r="L260" s="679">
        <f t="shared" si="105"/>
        <v>2.228694580961485E-2</v>
      </c>
      <c r="M260" s="678">
        <f t="shared" si="106"/>
        <v>1.0345911552382763</v>
      </c>
      <c r="N260" s="679">
        <f t="shared" si="107"/>
        <v>-0.25931681308284493</v>
      </c>
      <c r="O260" s="677">
        <f t="shared" si="108"/>
        <v>1440785.6914983217</v>
      </c>
      <c r="P260" s="680">
        <f t="shared" si="109"/>
        <v>1.5707956327291477</v>
      </c>
      <c r="Q260" s="689">
        <f t="shared" si="131"/>
        <v>7.2730038650225151</v>
      </c>
      <c r="R260" s="690">
        <f t="shared" si="132"/>
        <v>1.4328646096425064</v>
      </c>
      <c r="S260" s="677">
        <f t="shared" si="110"/>
        <v>1.001152593213789</v>
      </c>
      <c r="T260" s="680">
        <f t="shared" si="111"/>
        <v>4.798931635849716E-2</v>
      </c>
      <c r="U260" s="681">
        <f t="shared" si="123"/>
        <v>0.55135983595871263</v>
      </c>
      <c r="V260" s="682">
        <f t="shared" si="124"/>
        <v>-1.3473521733506693</v>
      </c>
      <c r="W260" s="683">
        <f t="shared" si="112"/>
        <v>-24.516380380992686</v>
      </c>
      <c r="X260" s="684">
        <f t="shared" si="113"/>
        <v>-187.39896527509583</v>
      </c>
      <c r="Y260" s="687">
        <f t="shared" si="114"/>
        <v>-7.3989652750958328</v>
      </c>
      <c r="AA260" s="170">
        <f t="shared" si="115"/>
        <v>16125.75</v>
      </c>
      <c r="AB260" s="170">
        <f t="shared" si="116"/>
        <v>260039813.0625</v>
      </c>
      <c r="AD260" s="686">
        <f t="shared" si="117"/>
        <v>-0.84226679978268937</v>
      </c>
      <c r="AE260" s="687">
        <f t="shared" si="118"/>
        <v>-10.652450788018278</v>
      </c>
      <c r="AG260" s="686">
        <f t="shared" si="119"/>
        <v>44.398295859995606</v>
      </c>
      <c r="AH260" s="687">
        <f t="shared" si="120"/>
        <v>-22.35132820911091</v>
      </c>
      <c r="AJ260" s="170">
        <f t="shared" si="121"/>
        <v>0</v>
      </c>
      <c r="AK260" s="170">
        <f t="shared" si="133"/>
        <v>0</v>
      </c>
      <c r="AM260" s="170" t="str">
        <f t="shared" si="125"/>
        <v>1.81618521840547+0.577790350608611i</v>
      </c>
      <c r="AN260" s="170" t="str">
        <f t="shared" si="126"/>
        <v>2.52557385468332i</v>
      </c>
      <c r="AO260" s="170" t="str">
        <f t="shared" si="127"/>
        <v>0.22877586792292-0.719117841292826i</v>
      </c>
      <c r="AP260" s="170" t="str">
        <f t="shared" si="128"/>
        <v>-0.136030869734244-0.0962983917681018i</v>
      </c>
      <c r="AQ260" s="170" t="str">
        <f t="shared" si="129"/>
        <v>1.13603086973424+0.0962983917681018i</v>
      </c>
      <c r="AR260" s="170" t="str">
        <f t="shared" si="130"/>
        <v>0.728023499772812-0.06171266473939i</v>
      </c>
    </row>
    <row r="261" spans="7:44">
      <c r="G261" s="688">
        <v>16218</v>
      </c>
      <c r="H261" s="676">
        <f t="shared" si="122"/>
        <v>16.218</v>
      </c>
      <c r="I261" s="677">
        <f t="shared" si="102"/>
        <v>14.303346722068824</v>
      </c>
      <c r="J261" s="678">
        <f t="shared" si="103"/>
        <v>1.5008255380709328</v>
      </c>
      <c r="K261" s="678">
        <f t="shared" si="104"/>
        <v>1.0002512552458163</v>
      </c>
      <c r="L261" s="679">
        <f t="shared" si="105"/>
        <v>2.2414399364145115E-2</v>
      </c>
      <c r="M261" s="678">
        <f t="shared" si="106"/>
        <v>1.0349813473400629</v>
      </c>
      <c r="N261" s="679">
        <f t="shared" si="107"/>
        <v>-0.260734128211011</v>
      </c>
      <c r="O261" s="677">
        <f t="shared" si="108"/>
        <v>1449027.9425589333</v>
      </c>
      <c r="P261" s="680">
        <f t="shared" si="109"/>
        <v>1.5707956366770799</v>
      </c>
      <c r="Q261" s="689">
        <f t="shared" si="131"/>
        <v>7.3138259111007962</v>
      </c>
      <c r="R261" s="690">
        <f t="shared" si="132"/>
        <v>1.4336393522657407</v>
      </c>
      <c r="S261" s="677">
        <f t="shared" si="110"/>
        <v>1.0011658104309726</v>
      </c>
      <c r="T261" s="680">
        <f t="shared" si="111"/>
        <v>4.8263422207640863E-2</v>
      </c>
      <c r="U261" s="681">
        <f t="shared" si="123"/>
        <v>0.54888804876794484</v>
      </c>
      <c r="V261" s="682">
        <f t="shared" si="124"/>
        <v>-1.3527496535416272</v>
      </c>
      <c r="W261" s="683">
        <f t="shared" si="112"/>
        <v>-24.602457475647952</v>
      </c>
      <c r="X261" s="684">
        <f t="shared" si="113"/>
        <v>-187.77629648264966</v>
      </c>
      <c r="Y261" s="687">
        <f t="shared" si="114"/>
        <v>-7.7762964826496557</v>
      </c>
      <c r="AA261" s="170">
        <f t="shared" si="115"/>
        <v>16218</v>
      </c>
      <c r="AB261" s="170">
        <f t="shared" si="116"/>
        <v>263023524</v>
      </c>
      <c r="AD261" s="686">
        <f t="shared" si="117"/>
        <v>-0.84331293270168817</v>
      </c>
      <c r="AE261" s="687">
        <f t="shared" si="118"/>
        <v>-10.623766639960911</v>
      </c>
      <c r="AG261" s="686">
        <f t="shared" si="119"/>
        <v>44.391318970130691</v>
      </c>
      <c r="AH261" s="687">
        <f t="shared" si="120"/>
        <v>-22.138837894120631</v>
      </c>
      <c r="AJ261" s="170">
        <f t="shared" si="121"/>
        <v>0</v>
      </c>
      <c r="AK261" s="170">
        <f t="shared" si="133"/>
        <v>0</v>
      </c>
      <c r="AM261" s="170" t="str">
        <f t="shared" si="125"/>
        <v>1.82444763453608+0.565938245666315i</v>
      </c>
      <c r="AN261" s="170" t="str">
        <f t="shared" si="126"/>
        <v>2.540021814505i</v>
      </c>
      <c r="AO261" s="170" t="str">
        <f t="shared" si="127"/>
        <v>0.222808419374384-0.718280301420021i</v>
      </c>
      <c r="AP261" s="170" t="str">
        <f t="shared" si="128"/>
        <v>-0.137407939089346-0.0943230409443858i</v>
      </c>
      <c r="AQ261" s="170" t="str">
        <f t="shared" si="129"/>
        <v>1.13740793908935+0.0943230409443858i</v>
      </c>
      <c r="AR261" s="170" t="str">
        <f t="shared" si="130"/>
        <v>0.727364830105609-0.0603189588306259i</v>
      </c>
    </row>
    <row r="262" spans="7:44">
      <c r="G262" s="688">
        <v>16312.5</v>
      </c>
      <c r="H262" s="676">
        <f t="shared" si="122"/>
        <v>16.3125</v>
      </c>
      <c r="I262" s="677">
        <f t="shared" si="102"/>
        <v>14.386284104232923</v>
      </c>
      <c r="J262" s="678">
        <f t="shared" si="103"/>
        <v>1.5012295757701541</v>
      </c>
      <c r="K262" s="678">
        <f t="shared" si="104"/>
        <v>1.0002541914611764</v>
      </c>
      <c r="L262" s="679">
        <f t="shared" si="105"/>
        <v>2.2544960786723574E-2</v>
      </c>
      <c r="M262" s="678">
        <f t="shared" si="106"/>
        <v>1.0353832104085101</v>
      </c>
      <c r="N262" s="679">
        <f t="shared" si="107"/>
        <v>-0.26218490135115269</v>
      </c>
      <c r="O262" s="677">
        <f t="shared" si="108"/>
        <v>1457471.2241332184</v>
      </c>
      <c r="P262" s="680">
        <f t="shared" si="109"/>
        <v>1.5707956406750039</v>
      </c>
      <c r="Q262" s="689">
        <f t="shared" si="131"/>
        <v>7.3556481175613992</v>
      </c>
      <c r="R262" s="690">
        <f t="shared" si="132"/>
        <v>1.4344240741382164</v>
      </c>
      <c r="S262" s="677">
        <f t="shared" si="110"/>
        <v>1.0011794280132116</v>
      </c>
      <c r="T262" s="680">
        <f t="shared" si="111"/>
        <v>4.8544206039370409E-2</v>
      </c>
      <c r="U262" s="681">
        <f t="shared" si="123"/>
        <v>0.54636709861932464</v>
      </c>
      <c r="V262" s="682">
        <f t="shared" si="124"/>
        <v>-1.3582670840024784</v>
      </c>
      <c r="W262" s="683">
        <f t="shared" si="112"/>
        <v>-24.690320300699888</v>
      </c>
      <c r="X262" s="684">
        <f t="shared" si="113"/>
        <v>-188.16234088285742</v>
      </c>
      <c r="Y262" s="687">
        <f t="shared" si="114"/>
        <v>-8.1623408828574213</v>
      </c>
      <c r="AA262" s="170">
        <f t="shared" si="115"/>
        <v>16312.5</v>
      </c>
      <c r="AB262" s="170">
        <f t="shared" si="116"/>
        <v>266097656.25</v>
      </c>
      <c r="AD262" s="686">
        <f t="shared" si="117"/>
        <v>-0.84436911955017946</v>
      </c>
      <c r="AE262" s="687">
        <f t="shared" si="118"/>
        <v>-10.594893346121246</v>
      </c>
      <c r="AG262" s="686">
        <f t="shared" si="119"/>
        <v>44.38448176551411</v>
      </c>
      <c r="AH262" s="687">
        <f t="shared" si="120"/>
        <v>-21.921504629118246</v>
      </c>
      <c r="AJ262" s="170">
        <f t="shared" si="121"/>
        <v>0</v>
      </c>
      <c r="AK262" s="170">
        <f t="shared" si="133"/>
        <v>0</v>
      </c>
      <c r="AM262" s="170" t="str">
        <f t="shared" si="125"/>
        <v>1.83273311622271+0.553674594997826i</v>
      </c>
      <c r="AN262" s="170" t="str">
        <f t="shared" si="126"/>
        <v>2.55482216359063i</v>
      </c>
      <c r="AO262" s="170" t="str">
        <f t="shared" si="127"/>
        <v>0.216717469766926-0.717362305032976i</v>
      </c>
      <c r="AP262" s="170" t="str">
        <f t="shared" si="128"/>
        <v>-0.138788852703786-0.0922790991663043i</v>
      </c>
      <c r="AQ262" s="170" t="str">
        <f t="shared" si="129"/>
        <v>1.13878885270379+0.0922790991663043i</v>
      </c>
      <c r="AR262" s="170" t="str">
        <f t="shared" si="130"/>
        <v>0.726707112753251-0.0588870162922633i</v>
      </c>
    </row>
    <row r="263" spans="7:44">
      <c r="G263" s="688">
        <v>16407</v>
      </c>
      <c r="H263" s="676">
        <f t="shared" si="122"/>
        <v>16.407</v>
      </c>
      <c r="I263" s="677">
        <f t="shared" si="102"/>
        <v>14.469223807983534</v>
      </c>
      <c r="J263" s="678">
        <f t="shared" si="103"/>
        <v>1.5016289815277715</v>
      </c>
      <c r="K263" s="678">
        <f t="shared" si="104"/>
        <v>1.0002571447270543</v>
      </c>
      <c r="L263" s="679">
        <f t="shared" si="105"/>
        <v>2.2675521440560654E-2</v>
      </c>
      <c r="M263" s="678">
        <f t="shared" si="106"/>
        <v>1.0357872509985642</v>
      </c>
      <c r="N263" s="679">
        <f t="shared" si="107"/>
        <v>-0.26363454570331263</v>
      </c>
      <c r="O263" s="677">
        <f t="shared" si="108"/>
        <v>1465914.5057075033</v>
      </c>
      <c r="P263" s="680">
        <f t="shared" si="109"/>
        <v>1.5707956446268738</v>
      </c>
      <c r="Q263" s="689">
        <f t="shared" si="131"/>
        <v>7.3974748023272685</v>
      </c>
      <c r="R263" s="690">
        <f t="shared" si="132"/>
        <v>1.4351999225600138</v>
      </c>
      <c r="S263" s="677">
        <f t="shared" si="110"/>
        <v>1.0011931245258454</v>
      </c>
      <c r="T263" s="680">
        <f t="shared" si="111"/>
        <v>4.8824982210883126E-2</v>
      </c>
      <c r="U263" s="681">
        <f t="shared" si="123"/>
        <v>0.54385733440040807</v>
      </c>
      <c r="V263" s="682">
        <f t="shared" si="124"/>
        <v>-1.3637729810368953</v>
      </c>
      <c r="W263" s="683">
        <f t="shared" si="112"/>
        <v>-24.777869719333111</v>
      </c>
      <c r="X263" s="684">
        <f t="shared" si="113"/>
        <v>-188.54790241469689</v>
      </c>
      <c r="Y263" s="687">
        <f t="shared" si="114"/>
        <v>-8.5479024146968925</v>
      </c>
      <c r="AA263" s="170">
        <f t="shared" si="115"/>
        <v>16407</v>
      </c>
      <c r="AB263" s="170">
        <f t="shared" si="116"/>
        <v>269189649</v>
      </c>
      <c r="AD263" s="686">
        <f t="shared" si="117"/>
        <v>-0.84541002505710261</v>
      </c>
      <c r="AE263" s="687">
        <f t="shared" si="118"/>
        <v>-10.566528022018941</v>
      </c>
      <c r="AG263" s="686">
        <f t="shared" si="119"/>
        <v>44.377955218932499</v>
      </c>
      <c r="AH263" s="687">
        <f t="shared" si="120"/>
        <v>-21.70450215932771</v>
      </c>
      <c r="AJ263" s="170">
        <f t="shared" si="121"/>
        <v>0</v>
      </c>
      <c r="AK263" s="170">
        <f t="shared" si="133"/>
        <v>0</v>
      </c>
      <c r="AM263" s="170" t="str">
        <f t="shared" si="125"/>
        <v>1.84083619077263+0.541289663938798i</v>
      </c>
      <c r="AN263" s="170" t="str">
        <f t="shared" si="126"/>
        <v>2.56962251267626i</v>
      </c>
      <c r="AO263" s="170" t="str">
        <f t="shared" si="127"/>
        <v>0.210649486945476-0.716383897514737i</v>
      </c>
      <c r="AP263" s="170" t="str">
        <f t="shared" si="128"/>
        <v>-0.140139365128771-0.0902149439897997i</v>
      </c>
      <c r="AQ263" s="170" t="str">
        <f t="shared" si="129"/>
        <v>1.14013936512877+0.0902149439897997i</v>
      </c>
      <c r="AR263" s="170" t="str">
        <f t="shared" si="130"/>
        <v>0.726066561588196-0.0574509188875762i</v>
      </c>
    </row>
    <row r="264" spans="7:44">
      <c r="G264" s="688">
        <v>16501.5</v>
      </c>
      <c r="H264" s="676">
        <f t="shared" si="122"/>
        <v>16.5015</v>
      </c>
      <c r="I264" s="677">
        <f t="shared" si="102"/>
        <v>14.552165793625189</v>
      </c>
      <c r="J264" s="678">
        <f t="shared" si="103"/>
        <v>1.5020238344163364</v>
      </c>
      <c r="K264" s="678">
        <f t="shared" si="104"/>
        <v>1.000260115043299</v>
      </c>
      <c r="L264" s="679">
        <f t="shared" si="105"/>
        <v>2.2806081321212097E-2</v>
      </c>
      <c r="M264" s="678">
        <f t="shared" si="106"/>
        <v>1.0361934665629966</v>
      </c>
      <c r="N264" s="679">
        <f t="shared" si="107"/>
        <v>-0.26508305649874031</v>
      </c>
      <c r="O264" s="677">
        <f t="shared" si="108"/>
        <v>1474357.7872817882</v>
      </c>
      <c r="P264" s="680">
        <f t="shared" si="109"/>
        <v>1.5707956485334809</v>
      </c>
      <c r="Q264" s="689">
        <f t="shared" si="131"/>
        <v>7.439305889862057</v>
      </c>
      <c r="R264" s="690">
        <f t="shared" si="132"/>
        <v>1.4359670462749132</v>
      </c>
      <c r="S264" s="677">
        <f t="shared" si="110"/>
        <v>1.0012068999656349</v>
      </c>
      <c r="T264" s="680">
        <f t="shared" si="111"/>
        <v>4.9105750678224175E-2</v>
      </c>
      <c r="U264" s="681">
        <f t="shared" si="123"/>
        <v>0.54135868136064724</v>
      </c>
      <c r="V264" s="682">
        <f t="shared" si="124"/>
        <v>-1.3692676491483364</v>
      </c>
      <c r="W264" s="683">
        <f t="shared" si="112"/>
        <v>-24.8651098177534</v>
      </c>
      <c r="X264" s="684">
        <f t="shared" si="113"/>
        <v>-188.93299425761597</v>
      </c>
      <c r="Y264" s="687">
        <f t="shared" si="114"/>
        <v>-8.9329942576159738</v>
      </c>
      <c r="AA264" s="170">
        <f t="shared" si="115"/>
        <v>16501.5</v>
      </c>
      <c r="AB264" s="170">
        <f t="shared" si="116"/>
        <v>272299502.25</v>
      </c>
      <c r="AD264" s="686">
        <f t="shared" si="117"/>
        <v>-0.84643600830792753</v>
      </c>
      <c r="AE264" s="687">
        <f t="shared" si="118"/>
        <v>-10.538662142790068</v>
      </c>
      <c r="AG264" s="686">
        <f t="shared" si="119"/>
        <v>44.371736469047953</v>
      </c>
      <c r="AH264" s="687">
        <f t="shared" si="120"/>
        <v>-21.487817295534818</v>
      </c>
      <c r="AJ264" s="170">
        <f t="shared" si="121"/>
        <v>0</v>
      </c>
      <c r="AK264" s="170">
        <f t="shared" si="133"/>
        <v>0</v>
      </c>
      <c r="AM264" s="170" t="str">
        <f t="shared" si="125"/>
        <v>1.84875508323704+0.528786165362982i</v>
      </c>
      <c r="AN264" s="170" t="str">
        <f t="shared" si="126"/>
        <v>2.58442286176189i</v>
      </c>
      <c r="AO264" s="170" t="str">
        <f t="shared" si="127"/>
        <v>0.204605126036724-0.715345429956722i</v>
      </c>
      <c r="AP264" s="170" t="str">
        <f t="shared" si="128"/>
        <v>-0.141459180539506-0.088131027560497i</v>
      </c>
      <c r="AQ264" s="170" t="str">
        <f t="shared" si="129"/>
        <v>1.14145918053951+0.088131027560497i</v>
      </c>
      <c r="AR264" s="170" t="str">
        <f t="shared" si="130"/>
        <v>0.725443120797425-0.0560108050840263i</v>
      </c>
    </row>
    <row r="265" spans="7:44">
      <c r="G265" s="688">
        <v>16596</v>
      </c>
      <c r="H265" s="676">
        <f t="shared" si="122"/>
        <v>16.596</v>
      </c>
      <c r="I265" s="677">
        <f t="shared" si="102"/>
        <v>14.635110022361204</v>
      </c>
      <c r="J265" s="678">
        <f t="shared" si="103"/>
        <v>1.5024142117215837</v>
      </c>
      <c r="K265" s="678">
        <f t="shared" si="104"/>
        <v>1.0002631024097588</v>
      </c>
      <c r="L265" s="679">
        <f t="shared" si="105"/>
        <v>2.2936640424233785E-2</v>
      </c>
      <c r="M265" s="678">
        <f t="shared" si="106"/>
        <v>1.0366018545448712</v>
      </c>
      <c r="N265" s="679">
        <f t="shared" si="107"/>
        <v>-0.26653042899516732</v>
      </c>
      <c r="O265" s="677">
        <f t="shared" si="108"/>
        <v>1482801.0688560733</v>
      </c>
      <c r="P265" s="680">
        <f t="shared" si="109"/>
        <v>1.5707956523955986</v>
      </c>
      <c r="Q265" s="689">
        <f t="shared" si="131"/>
        <v>7.481141306311013</v>
      </c>
      <c r="R265" s="690">
        <f t="shared" si="132"/>
        <v>1.4367255907411258</v>
      </c>
      <c r="S265" s="677">
        <f t="shared" si="110"/>
        <v>1.0012207543293223</v>
      </c>
      <c r="T265" s="680">
        <f t="shared" si="111"/>
        <v>4.9386511397446008E-2</v>
      </c>
      <c r="U265" s="681">
        <f t="shared" si="123"/>
        <v>0.53887106326376921</v>
      </c>
      <c r="V265" s="682">
        <f t="shared" si="124"/>
        <v>-1.3747513918570438</v>
      </c>
      <c r="W265" s="683">
        <f t="shared" si="112"/>
        <v>-24.952044652720442</v>
      </c>
      <c r="X265" s="684">
        <f t="shared" si="113"/>
        <v>-189.31762962211738</v>
      </c>
      <c r="Y265" s="687">
        <f t="shared" si="114"/>
        <v>-9.31762962211738</v>
      </c>
      <c r="AA265" s="170">
        <f t="shared" si="115"/>
        <v>16596</v>
      </c>
      <c r="AB265" s="170">
        <f t="shared" si="116"/>
        <v>275427216</v>
      </c>
      <c r="AD265" s="686">
        <f t="shared" si="117"/>
        <v>-0.84744741837490756</v>
      </c>
      <c r="AE265" s="687">
        <f t="shared" si="118"/>
        <v>-10.51128737181932</v>
      </c>
      <c r="AG265" s="686">
        <f t="shared" si="119"/>
        <v>44.365822744137205</v>
      </c>
      <c r="AH265" s="687">
        <f t="shared" si="120"/>
        <v>-21.271436803999787</v>
      </c>
      <c r="AJ265" s="170">
        <f t="shared" si="121"/>
        <v>0</v>
      </c>
      <c r="AK265" s="170">
        <f t="shared" si="133"/>
        <v>0</v>
      </c>
      <c r="AM265" s="170" t="str">
        <f t="shared" si="125"/>
        <v>1.85648805901157+0.516166838115919i</v>
      </c>
      <c r="AN265" s="170" t="str">
        <f t="shared" si="126"/>
        <v>2.59922321084751i</v>
      </c>
      <c r="AO265" s="170" t="str">
        <f t="shared" si="127"/>
        <v>0.198585037237959-0.71424726097542i</v>
      </c>
      <c r="AP265" s="170" t="str">
        <f t="shared" si="128"/>
        <v>-0.142748009835263-0.0860278063526532i</v>
      </c>
      <c r="AQ265" s="170" t="str">
        <f t="shared" si="129"/>
        <v>1.14274800983526+0.0860278063526532i</v>
      </c>
      <c r="AR265" s="170" t="str">
        <f t="shared" si="130"/>
        <v>0.724836735524869-0.054566810691722i</v>
      </c>
    </row>
    <row r="266" spans="7:44">
      <c r="G266" s="688">
        <v>16692.5</v>
      </c>
      <c r="H266" s="676">
        <f t="shared" si="122"/>
        <v>16.692499999999999</v>
      </c>
      <c r="I266" s="677">
        <f t="shared" si="102"/>
        <v>14.719811959908728</v>
      </c>
      <c r="J266" s="678">
        <f t="shared" si="103"/>
        <v>1.5028083108177197</v>
      </c>
      <c r="K266" s="678">
        <f t="shared" si="104"/>
        <v>1.0002661705960567</v>
      </c>
      <c r="L266" s="679">
        <f t="shared" si="105"/>
        <v>2.3069961875766043E-2</v>
      </c>
      <c r="M266" s="678">
        <f t="shared" si="106"/>
        <v>1.0370211248608785</v>
      </c>
      <c r="N266" s="679">
        <f t="shared" si="107"/>
        <v>-0.26800725412264403</v>
      </c>
      <c r="O266" s="677">
        <f t="shared" si="108"/>
        <v>1491423.0442202904</v>
      </c>
      <c r="P266" s="680">
        <f t="shared" si="109"/>
        <v>1.5707956562943275</v>
      </c>
      <c r="Q266" s="689">
        <f t="shared" si="131"/>
        <v>7.5238665206632938</v>
      </c>
      <c r="R266" s="690">
        <f t="shared" si="132"/>
        <v>1.4374914833602288</v>
      </c>
      <c r="S266" s="677">
        <f t="shared" si="110"/>
        <v>1.0012349833507452</v>
      </c>
      <c r="T266" s="680">
        <f t="shared" si="111"/>
        <v>4.9673206100980062E-2</v>
      </c>
      <c r="U266" s="681">
        <f t="shared" si="123"/>
        <v>0.53634210417237715</v>
      </c>
      <c r="V266" s="682">
        <f t="shared" si="124"/>
        <v>-1.3803402323492475</v>
      </c>
      <c r="W266" s="683">
        <f t="shared" si="112"/>
        <v>-25.040508542292244</v>
      </c>
      <c r="X266" s="684">
        <f t="shared" si="113"/>
        <v>-189.70994810571838</v>
      </c>
      <c r="Y266" s="687">
        <f t="shared" si="114"/>
        <v>-9.7099481057183823</v>
      </c>
      <c r="AA266" s="170">
        <f t="shared" si="115"/>
        <v>16692.5</v>
      </c>
      <c r="AB266" s="170">
        <f t="shared" si="116"/>
        <v>278639556.25</v>
      </c>
      <c r="AD266" s="686">
        <f t="shared" si="117"/>
        <v>-0.84846554751812231</v>
      </c>
      <c r="AE266" s="687">
        <f t="shared" si="118"/>
        <v>-10.483831577055092</v>
      </c>
      <c r="AG266" s="686">
        <f t="shared" si="119"/>
        <v>44.360095849285585</v>
      </c>
      <c r="AH266" s="687">
        <f t="shared" si="120"/>
        <v>-21.050777136482996</v>
      </c>
      <c r="AJ266" s="170">
        <f t="shared" si="121"/>
        <v>0</v>
      </c>
      <c r="AK266" s="170">
        <f t="shared" si="133"/>
        <v>0</v>
      </c>
      <c r="AM266" s="170" t="str">
        <f t="shared" si="125"/>
        <v>1.864191075065+0.503163776297535i</v>
      </c>
      <c r="AN266" s="170" t="str">
        <f t="shared" si="126"/>
        <v>2.61433679483443i</v>
      </c>
      <c r="AO266" s="170" t="str">
        <f t="shared" si="127"/>
        <v>0.192463257714812-0.713064620728433i</v>
      </c>
      <c r="AP266" s="170" t="str">
        <f t="shared" si="128"/>
        <v>-0.144031845844167-0.0838606293829225i</v>
      </c>
      <c r="AQ266" s="170" t="str">
        <f t="shared" si="129"/>
        <v>1.14403184584417+0.0838606293829225i</v>
      </c>
      <c r="AR266" s="170" t="str">
        <f t="shared" si="130"/>
        <v>0.724235061519112-0.0530883893667809i</v>
      </c>
    </row>
    <row r="267" spans="7:44">
      <c r="G267" s="688">
        <v>16789</v>
      </c>
      <c r="H267" s="676">
        <f t="shared" si="122"/>
        <v>16.789000000000001</v>
      </c>
      <c r="I267" s="677">
        <f t="shared" si="102"/>
        <v>14.804516157490083</v>
      </c>
      <c r="J267" s="678">
        <f t="shared" si="103"/>
        <v>1.5031979002893991</v>
      </c>
      <c r="K267" s="678">
        <f t="shared" si="104"/>
        <v>1.0002692565615858</v>
      </c>
      <c r="L267" s="679">
        <f t="shared" si="105"/>
        <v>2.3203282507038698E-2</v>
      </c>
      <c r="M267" s="678">
        <f t="shared" si="106"/>
        <v>1.0374426551018767</v>
      </c>
      <c r="N267" s="679">
        <f t="shared" si="107"/>
        <v>-0.26948288234898571</v>
      </c>
      <c r="O267" s="677">
        <f t="shared" si="108"/>
        <v>1500045.0195845074</v>
      </c>
      <c r="P267" s="680">
        <f t="shared" si="109"/>
        <v>1.570795660148238</v>
      </c>
      <c r="Q267" s="689">
        <f t="shared" si="131"/>
        <v>7.5665960986088159</v>
      </c>
      <c r="R267" s="690">
        <f t="shared" si="132"/>
        <v>1.4382487262236934</v>
      </c>
      <c r="S267" s="677">
        <f t="shared" si="110"/>
        <v>1.0012492946651861</v>
      </c>
      <c r="T267" s="680">
        <f t="shared" si="111"/>
        <v>4.9959892632360205E-2</v>
      </c>
      <c r="U267" s="681">
        <f t="shared" si="123"/>
        <v>0.53382448687750361</v>
      </c>
      <c r="V267" s="682">
        <f t="shared" si="124"/>
        <v>-1.385918316741044</v>
      </c>
      <c r="W267" s="683">
        <f t="shared" si="112"/>
        <v>-25.128662572468691</v>
      </c>
      <c r="X267" s="684">
        <f t="shared" si="113"/>
        <v>-190.10181852102087</v>
      </c>
      <c r="Y267" s="687">
        <f t="shared" si="114"/>
        <v>-10.101818521020874</v>
      </c>
      <c r="AA267" s="170">
        <f t="shared" si="115"/>
        <v>16789</v>
      </c>
      <c r="AB267" s="170">
        <f t="shared" si="116"/>
        <v>281870521</v>
      </c>
      <c r="AD267" s="686">
        <f t="shared" si="117"/>
        <v>-0.84946918529820792</v>
      </c>
      <c r="AE267" s="687">
        <f t="shared" si="118"/>
        <v>-10.456870905985488</v>
      </c>
      <c r="AG267" s="686">
        <f t="shared" si="119"/>
        <v>44.354681465093407</v>
      </c>
      <c r="AH267" s="687">
        <f t="shared" si="120"/>
        <v>-20.830406835289221</v>
      </c>
      <c r="AJ267" s="170">
        <f t="shared" si="121"/>
        <v>0</v>
      </c>
      <c r="AK267" s="170">
        <f t="shared" si="133"/>
        <v>0</v>
      </c>
      <c r="AM267" s="170" t="str">
        <f t="shared" si="125"/>
        <v>1.87169669598676+0.490045783785316i</v>
      </c>
      <c r="AN267" s="170" t="str">
        <f t="shared" si="126"/>
        <v>2.62945037882134i</v>
      </c>
      <c r="AO267" s="170" t="str">
        <f t="shared" si="127"/>
        <v>0.186368142837889-0.711820504795285i</v>
      </c>
      <c r="AP267" s="170" t="str">
        <f t="shared" si="128"/>
        <v>-0.14528278266446-0.0816742972975527i</v>
      </c>
      <c r="AQ267" s="170" t="str">
        <f t="shared" si="129"/>
        <v>1.14528278266446+0.0816742972975527i</v>
      </c>
      <c r="AR267" s="170" t="str">
        <f t="shared" si="130"/>
        <v>0.723651060209649-0.0516061995568897i</v>
      </c>
    </row>
    <row r="268" spans="7:44">
      <c r="G268" s="688">
        <v>16885.5</v>
      </c>
      <c r="H268" s="676">
        <f t="shared" si="122"/>
        <v>16.8855</v>
      </c>
      <c r="I268" s="677">
        <f t="shared" si="102"/>
        <v>14.889222576533543</v>
      </c>
      <c r="J268" s="678">
        <f t="shared" si="103"/>
        <v>1.5035830569845807</v>
      </c>
      <c r="K268" s="678">
        <f t="shared" si="104"/>
        <v>1.0002723603061816</v>
      </c>
      <c r="L268" s="679">
        <f t="shared" si="105"/>
        <v>2.3336602313319982E-2</v>
      </c>
      <c r="M268" s="678">
        <f t="shared" si="106"/>
        <v>1.0378664425142552</v>
      </c>
      <c r="N268" s="679">
        <f t="shared" si="107"/>
        <v>-0.27095730871019075</v>
      </c>
      <c r="O268" s="677">
        <f t="shared" si="108"/>
        <v>1508666.9949487248</v>
      </c>
      <c r="P268" s="680">
        <f t="shared" si="109"/>
        <v>1.5707956639580987</v>
      </c>
      <c r="Q268" s="689">
        <f t="shared" si="131"/>
        <v>7.6093299666373646</v>
      </c>
      <c r="R268" s="690">
        <f t="shared" si="132"/>
        <v>1.4389974641863323</v>
      </c>
      <c r="S268" s="677">
        <f t="shared" si="110"/>
        <v>1.0012636882691164</v>
      </c>
      <c r="T268" s="680">
        <f t="shared" si="111"/>
        <v>5.0246570944812795E-2</v>
      </c>
      <c r="U268" s="681">
        <f t="shared" si="123"/>
        <v>0.53131812575735071</v>
      </c>
      <c r="V268" s="682">
        <f t="shared" si="124"/>
        <v>-1.3914859651767459</v>
      </c>
      <c r="W268" s="683">
        <f t="shared" si="112"/>
        <v>-25.216510976666221</v>
      </c>
      <c r="X268" s="684">
        <f t="shared" si="113"/>
        <v>-190.49325502765601</v>
      </c>
      <c r="Y268" s="687">
        <f t="shared" si="114"/>
        <v>-10.493255027656005</v>
      </c>
      <c r="AA268" s="170">
        <f t="shared" si="115"/>
        <v>16885.5</v>
      </c>
      <c r="AB268" s="170">
        <f t="shared" si="116"/>
        <v>285120110.25</v>
      </c>
      <c r="AD268" s="686">
        <f t="shared" si="117"/>
        <v>-0.85045867320481094</v>
      </c>
      <c r="AE268" s="687">
        <f t="shared" si="118"/>
        <v>-10.430397056405207</v>
      </c>
      <c r="AG268" s="686">
        <f t="shared" si="119"/>
        <v>44.349576920487721</v>
      </c>
      <c r="AH268" s="687">
        <f t="shared" si="120"/>
        <v>-20.610311676418959</v>
      </c>
      <c r="AJ268" s="170">
        <f t="shared" si="121"/>
        <v>0</v>
      </c>
      <c r="AK268" s="170">
        <f t="shared" si="133"/>
        <v>0</v>
      </c>
      <c r="AM268" s="170" t="str">
        <f t="shared" si="125"/>
        <v>1.8790032073724+0.476815856939589i</v>
      </c>
      <c r="AN268" s="170" t="str">
        <f t="shared" si="126"/>
        <v>2.64456396280825i</v>
      </c>
      <c r="AO268" s="170" t="str">
        <f t="shared" si="127"/>
        <v>0.180300368471051-0.7105153188948i</v>
      </c>
      <c r="AP268" s="170" t="str">
        <f t="shared" si="128"/>
        <v>-0.146500534562066-0.0794693094899315i</v>
      </c>
      <c r="AQ268" s="170" t="str">
        <f t="shared" si="129"/>
        <v>1.14650053456207+0.0794693094899315i</v>
      </c>
      <c r="AR268" s="170" t="str">
        <f t="shared" si="130"/>
        <v>0.723084676537923-0.0501203778061633i</v>
      </c>
    </row>
    <row r="269" spans="7:44">
      <c r="G269" s="688">
        <v>16982</v>
      </c>
      <c r="H269" s="676">
        <f t="shared" si="122"/>
        <v>16.981999999999999</v>
      </c>
      <c r="I269" s="677">
        <f t="shared" ref="I269:I332" si="134">SQRT(1+(G269/pole1)^2)</f>
        <v>14.973931179339168</v>
      </c>
      <c r="J269" s="678">
        <f t="shared" ref="J269:J332" si="135">ATAN(G269/pole1)</f>
        <v>1.5039638560176145</v>
      </c>
      <c r="K269" s="678">
        <f t="shared" ref="K269:K332" si="136">SQRT(1+(G269/Zero1)^2)</f>
        <v>1.0002754818296788</v>
      </c>
      <c r="L269" s="679">
        <f t="shared" ref="L269:L332" si="137">ATAN(G269/Zero1)</f>
        <v>2.34699212898783E-2</v>
      </c>
      <c r="M269" s="678">
        <f t="shared" ref="M269:M332" si="138">SQRT(1+(G269/z_RHP)^2)</f>
        <v>1.0382924843341663</v>
      </c>
      <c r="N269" s="679">
        <f t="shared" ref="N269:N332" si="139">-ATAN(G269/z_RHP)</f>
        <v>-0.2724305282712422</v>
      </c>
      <c r="O269" s="677">
        <f t="shared" ref="O269:O332" si="140">SQRT(1+(G269/Pole2)^2)</f>
        <v>1517288.9703129416</v>
      </c>
      <c r="P269" s="680">
        <f t="shared" ref="P269:P332" si="141">ATAN(G269/Pole2)</f>
        <v>1.5707956677246604</v>
      </c>
      <c r="Q269" s="689">
        <f t="shared" si="131"/>
        <v>7.6520680528735294</v>
      </c>
      <c r="R269" s="690">
        <f t="shared" si="132"/>
        <v>1.4397378389054385</v>
      </c>
      <c r="S269" s="677">
        <f t="shared" ref="S269:S332" si="142">SQRT(1+(G269/pole4)^2)</f>
        <v>1.001278164158987</v>
      </c>
      <c r="T269" s="680">
        <f t="shared" ref="T269:T332" si="143">ATAN(G269/pole4)</f>
        <v>5.0533240991572317E-2</v>
      </c>
      <c r="U269" s="681">
        <f t="shared" si="123"/>
        <v>0.52882293380685674</v>
      </c>
      <c r="V269" s="682">
        <f t="shared" si="124"/>
        <v>-1.3970434968126528</v>
      </c>
      <c r="W269" s="683">
        <f t="shared" ref="W269:W332" si="144">20*LOG10(((K269*Q269*M269*U269)/(I269*O269*S269))*Adc)</f>
        <v>-25.304057962019311</v>
      </c>
      <c r="X269" s="684">
        <f t="shared" ref="X269:X332" si="145">((L269+R269+N269+V269)-(J269+P269+T269))*radconv</f>
        <v>-190.88427181418203</v>
      </c>
      <c r="Y269" s="687">
        <f t="shared" ref="Y269:Y332" si="146">IF(X269&gt;0,X269,X269+180)</f>
        <v>-10.884271814182028</v>
      </c>
      <c r="AA269" s="170">
        <f t="shared" ref="AA269:AA332" si="147">IF(W269&lt;0,G269,1000000000)</f>
        <v>16982</v>
      </c>
      <c r="AB269" s="170">
        <f t="shared" ref="AB269:AB332" si="148">G269^2</f>
        <v>288388324</v>
      </c>
      <c r="AD269" s="686">
        <f t="shared" ref="AD269:AD332" si="149">20*LOG10((Q269/(O269*S269))*Aea)</f>
        <v>-0.85143434321656364</v>
      </c>
      <c r="AE269" s="687">
        <f t="shared" ref="AE269:AE332" si="150">(R269-(P269+T269))*radconv</f>
        <v>-10.404401909312773</v>
      </c>
      <c r="AG269" s="686">
        <f t="shared" ref="AG269:AG332" si="151">20*LOG10((K269*M269/(I269*U269))*Acs*Am)</f>
        <v>44.344779635997973</v>
      </c>
      <c r="AH269" s="687">
        <f t="shared" ref="AH269:AH332" si="152">(L269+N269-(J269+V269))*radconv</f>
        <v>-20.390477394813932</v>
      </c>
      <c r="AJ269" s="170">
        <f t="shared" ref="AJ269:AJ332" si="153">SUM((W270&lt;0)*(W269&gt;0))*G269</f>
        <v>0</v>
      </c>
      <c r="AK269" s="170">
        <f t="shared" si="133"/>
        <v>0</v>
      </c>
      <c r="AM269" s="170" t="str">
        <f t="shared" si="125"/>
        <v>1.88610894029728+0.463477017688289i</v>
      </c>
      <c r="AN269" s="170" t="str">
        <f t="shared" si="126"/>
        <v>2.65967754679516i</v>
      </c>
      <c r="AO269" s="170" t="str">
        <f t="shared" si="127"/>
        <v>0.174260604728858-0.709149476623582i</v>
      </c>
      <c r="AP269" s="170" t="str">
        <f t="shared" si="128"/>
        <v>-0.14768482338288-0.0772461696147148i</v>
      </c>
      <c r="AQ269" s="170" t="str">
        <f t="shared" si="129"/>
        <v>1.14768482338288+0.0772461696147148i</v>
      </c>
      <c r="AR269" s="170" t="str">
        <f t="shared" si="130"/>
        <v>0.722535856658414-0.0486310581084762i</v>
      </c>
    </row>
    <row r="270" spans="7:44">
      <c r="G270" s="688">
        <v>17081</v>
      </c>
      <c r="H270" s="676">
        <f t="shared" ref="H270:H333" si="154">G270/1000</f>
        <v>17.081</v>
      </c>
      <c r="I270" s="677">
        <f t="shared" si="134"/>
        <v>15.060836536267582</v>
      </c>
      <c r="J270" s="678">
        <f t="shared" si="135"/>
        <v>1.5043500688020479</v>
      </c>
      <c r="K270" s="678">
        <f t="shared" si="136"/>
        <v>1.0002787026972431</v>
      </c>
      <c r="L270" s="679">
        <f t="shared" si="137"/>
        <v>2.3606693258729092E-2</v>
      </c>
      <c r="M270" s="678">
        <f t="shared" si="138"/>
        <v>1.0387319033698046</v>
      </c>
      <c r="N270" s="679">
        <f t="shared" si="139"/>
        <v>-0.27394065489854463</v>
      </c>
      <c r="O270" s="677">
        <f t="shared" si="140"/>
        <v>1526134.3129145738</v>
      </c>
      <c r="P270" s="680">
        <f t="shared" si="141"/>
        <v>1.5707956715445746</v>
      </c>
      <c r="Q270" s="689">
        <f t="shared" si="131"/>
        <v>7.6959176532987916</v>
      </c>
      <c r="R270" s="690">
        <f t="shared" si="132"/>
        <v>1.4404888484702834</v>
      </c>
      <c r="S270" s="677">
        <f t="shared" si="142"/>
        <v>1.0012931005793648</v>
      </c>
      <c r="T270" s="680">
        <f t="shared" si="143"/>
        <v>5.0827329084798832E-2</v>
      </c>
      <c r="U270" s="681">
        <f t="shared" ref="U270:U333" si="155">IMABS(IMPRODUCT(AO270, AR270))</f>
        <v>0.52627461393211006</v>
      </c>
      <c r="V270" s="682">
        <f t="shared" ref="V270:V333" si="156">IMARGUMENT(IMPRODUCT(AO270, AR270))</f>
        <v>-1.4027348261287846</v>
      </c>
      <c r="W270" s="683">
        <f t="shared" si="144"/>
        <v>-25.393564154349001</v>
      </c>
      <c r="X270" s="684">
        <f t="shared" si="145"/>
        <v>-191.28499729949164</v>
      </c>
      <c r="Y270" s="687">
        <f t="shared" si="146"/>
        <v>-11.284997299491636</v>
      </c>
      <c r="AA270" s="170">
        <f t="shared" si="147"/>
        <v>17081</v>
      </c>
      <c r="AB270" s="170">
        <f t="shared" si="148"/>
        <v>291760561</v>
      </c>
      <c r="AD270" s="686">
        <f t="shared" si="149"/>
        <v>-0.85242126842719612</v>
      </c>
      <c r="AE270" s="687">
        <f t="shared" si="150"/>
        <v>-10.378222456255179</v>
      </c>
      <c r="AG270" s="686">
        <f t="shared" si="151"/>
        <v>44.340174764403244</v>
      </c>
      <c r="AH270" s="687">
        <f t="shared" si="152"/>
        <v>-20.165204033169029</v>
      </c>
      <c r="AJ270" s="170">
        <f t="shared" si="153"/>
        <v>0</v>
      </c>
      <c r="AK270" s="170">
        <f t="shared" si="133"/>
        <v>0</v>
      </c>
      <c r="AM270" s="170" t="str">
        <f t="shared" ref="AM270:AM333" si="157">IMSUB(1,IMEXP(COMPLEX(0,-2*Pi*G270*Tsw)))</f>
        <v>1.8931884105249+0.449682625085743i</v>
      </c>
      <c r="AN270" s="170" t="str">
        <f t="shared" ref="AN270:AN333" si="158">COMPLEX(0, 2*Pi*G270*Tsw)</f>
        <v>2.67518267440868i</v>
      </c>
      <c r="AO270" s="170" t="str">
        <f t="shared" ref="AO270:AO333" si="159">IMDIV(AM270, AN270)</f>
        <v>0.168094175170726-0.707685657744239i</v>
      </c>
      <c r="AP270" s="170" t="str">
        <f t="shared" ref="AP270:AP333" si="160">IMDIV(IMEXP(COMPLEX(0,-2*Pi*G270*Tsw)),6)</f>
        <v>-0.148864735087483-0.0749471041809572i</v>
      </c>
      <c r="AQ270" s="170" t="str">
        <f t="shared" ref="AQ270:AQ333" si="161">IMSUB(1, AP270)</f>
        <v>1.14886473508748+0.0749471041809572i</v>
      </c>
      <c r="AR270" s="170" t="str">
        <f t="shared" ref="AR270:AR333" si="162">IMDIV(0.833, AQ270)</f>
        <v>0.721991015745841-0.0470996577945256i</v>
      </c>
    </row>
    <row r="271" spans="7:44">
      <c r="G271" s="688">
        <v>17180</v>
      </c>
      <c r="H271" s="676">
        <f t="shared" si="154"/>
        <v>17.18</v>
      </c>
      <c r="I271" s="677">
        <f t="shared" si="134"/>
        <v>15.147744113898002</v>
      </c>
      <c r="J271" s="678">
        <f t="shared" si="135"/>
        <v>1.5047318499839797</v>
      </c>
      <c r="K271" s="678">
        <f t="shared" si="136"/>
        <v>1.0002819422764719</v>
      </c>
      <c r="L271" s="679">
        <f t="shared" si="137"/>
        <v>2.3743464344220904E-2</v>
      </c>
      <c r="M271" s="678">
        <f t="shared" si="138"/>
        <v>1.0391736892088261</v>
      </c>
      <c r="N271" s="679">
        <f t="shared" si="139"/>
        <v>-0.27544950095844101</v>
      </c>
      <c r="O271" s="677">
        <f t="shared" si="140"/>
        <v>1534979.6555162058</v>
      </c>
      <c r="P271" s="680">
        <f t="shared" si="141"/>
        <v>1.5707956753204642</v>
      </c>
      <c r="Q271" s="689">
        <f t="shared" si="131"/>
        <v>7.7397715451550164</v>
      </c>
      <c r="R271" s="690">
        <f t="shared" si="132"/>
        <v>1.441231347942374</v>
      </c>
      <c r="S271" s="677">
        <f t="shared" si="142"/>
        <v>1.0013081235967987</v>
      </c>
      <c r="T271" s="680">
        <f t="shared" si="143"/>
        <v>5.1121408378821606E-2</v>
      </c>
      <c r="U271" s="681">
        <f t="shared" si="155"/>
        <v>0.52373785968289899</v>
      </c>
      <c r="V271" s="682">
        <f t="shared" si="156"/>
        <v>-1.408416185091109</v>
      </c>
      <c r="W271" s="683">
        <f t="shared" si="144"/>
        <v>-25.48276199961759</v>
      </c>
      <c r="X271" s="684">
        <f t="shared" si="145"/>
        <v>-191.68531137871094</v>
      </c>
      <c r="Y271" s="687">
        <f t="shared" si="146"/>
        <v>-11.685311378710935</v>
      </c>
      <c r="AA271" s="170">
        <f t="shared" si="147"/>
        <v>17180</v>
      </c>
      <c r="AB271" s="170">
        <f t="shared" si="148"/>
        <v>295152400</v>
      </c>
      <c r="AD271" s="686">
        <f t="shared" si="149"/>
        <v>-0.85339432900166823</v>
      </c>
      <c r="AE271" s="687">
        <f t="shared" si="150"/>
        <v>-10.352530088916565</v>
      </c>
      <c r="AG271" s="686">
        <f t="shared" si="151"/>
        <v>44.335888069474606</v>
      </c>
      <c r="AH271" s="687">
        <f t="shared" si="152"/>
        <v>-19.940174698102993</v>
      </c>
      <c r="AJ271" s="170">
        <f t="shared" si="153"/>
        <v>0</v>
      </c>
      <c r="AK271" s="170">
        <f t="shared" si="133"/>
        <v>0</v>
      </c>
      <c r="AM271" s="170" t="str">
        <f t="shared" si="157"/>
        <v>1.90005315453762+0.435780126906768i</v>
      </c>
      <c r="AN271" s="170" t="str">
        <f t="shared" si="158"/>
        <v>2.69068780202219i</v>
      </c>
      <c r="AO271" s="170" t="str">
        <f t="shared" si="159"/>
        <v>0.161958636219058-0.706158905953204i</v>
      </c>
      <c r="AP271" s="170" t="str">
        <f t="shared" si="160"/>
        <v>-0.150008859089603-0.072630021151128i</v>
      </c>
      <c r="AQ271" s="170" t="str">
        <f t="shared" si="161"/>
        <v>1.1500088590896+0.072630021151128i</v>
      </c>
      <c r="AR271" s="170" t="str">
        <f t="shared" si="162"/>
        <v>0.721464549728128-0.0455648537768876i</v>
      </c>
    </row>
    <row r="272" spans="7:44">
      <c r="G272" s="688">
        <v>17279</v>
      </c>
      <c r="H272" s="676">
        <f t="shared" si="154"/>
        <v>17.279</v>
      </c>
      <c r="I272" s="677">
        <f t="shared" si="134"/>
        <v>15.234653874225796</v>
      </c>
      <c r="J272" s="678">
        <f t="shared" si="135"/>
        <v>1.5051092752945905</v>
      </c>
      <c r="K272" s="678">
        <f t="shared" si="136"/>
        <v>1.0002852005671832</v>
      </c>
      <c r="L272" s="679">
        <f t="shared" si="137"/>
        <v>2.3880234541245379E-2</v>
      </c>
      <c r="M272" s="678">
        <f t="shared" si="138"/>
        <v>1.0396178388339101</v>
      </c>
      <c r="N272" s="679">
        <f t="shared" si="139"/>
        <v>-0.27695706121773117</v>
      </c>
      <c r="O272" s="677">
        <f t="shared" si="140"/>
        <v>1543824.9981178381</v>
      </c>
      <c r="P272" s="680">
        <f t="shared" si="141"/>
        <v>1.5707956790530857</v>
      </c>
      <c r="Q272" s="689">
        <f t="shared" si="131"/>
        <v>7.783629655906914</v>
      </c>
      <c r="R272" s="690">
        <f t="shared" si="132"/>
        <v>1.4419654803504756</v>
      </c>
      <c r="S272" s="677">
        <f t="shared" si="142"/>
        <v>1.0013232332073909</v>
      </c>
      <c r="T272" s="680">
        <f t="shared" si="143"/>
        <v>5.1415478823172329E-2</v>
      </c>
      <c r="U272" s="681">
        <f t="shared" si="155"/>
        <v>0.52121257292272394</v>
      </c>
      <c r="V272" s="682">
        <f t="shared" si="156"/>
        <v>-1.4140879152185051</v>
      </c>
      <c r="W272" s="683">
        <f t="shared" si="144"/>
        <v>-25.571655963251018</v>
      </c>
      <c r="X272" s="684">
        <f t="shared" si="145"/>
        <v>-192.08522946116688</v>
      </c>
      <c r="Y272" s="687">
        <f t="shared" si="146"/>
        <v>-12.085229461166875</v>
      </c>
      <c r="AA272" s="170">
        <f t="shared" si="147"/>
        <v>17279</v>
      </c>
      <c r="AB272" s="170">
        <f t="shared" si="148"/>
        <v>298563841</v>
      </c>
      <c r="AD272" s="686">
        <f t="shared" si="149"/>
        <v>-0.85435385422303012</v>
      </c>
      <c r="AE272" s="687">
        <f t="shared" si="150"/>
        <v>-10.327316609504056</v>
      </c>
      <c r="AG272" s="686">
        <f t="shared" si="151"/>
        <v>44.331917057918623</v>
      </c>
      <c r="AH272" s="687">
        <f t="shared" si="152"/>
        <v>-19.715373861554841</v>
      </c>
      <c r="AJ272" s="170">
        <f t="shared" si="153"/>
        <v>0</v>
      </c>
      <c r="AK272" s="170">
        <f t="shared" si="133"/>
        <v>0</v>
      </c>
      <c r="AM272" s="170" t="str">
        <f t="shared" si="157"/>
        <v>1.90670152202239+0.421772865369826i</v>
      </c>
      <c r="AN272" s="170" t="str">
        <f t="shared" si="158"/>
        <v>2.70619292963571i</v>
      </c>
      <c r="AO272" s="170" t="str">
        <f t="shared" si="159"/>
        <v>0.155854691936765-0.704569693144183i</v>
      </c>
      <c r="AP272" s="170" t="str">
        <f t="shared" si="160"/>
        <v>-0.151116920337066-0.0702954775616377i</v>
      </c>
      <c r="AQ272" s="170" t="str">
        <f t="shared" si="161"/>
        <v>1.15111692033707+0.0702954775616377i</v>
      </c>
      <c r="AR272" s="170" t="str">
        <f t="shared" si="162"/>
        <v>0.720956404694328-0.0440267829216419i</v>
      </c>
    </row>
    <row r="273" spans="7:44">
      <c r="G273" s="688">
        <v>17378</v>
      </c>
      <c r="H273" s="676">
        <f t="shared" si="154"/>
        <v>17.378</v>
      </c>
      <c r="I273" s="677">
        <f t="shared" si="134"/>
        <v>15.321565780107685</v>
      </c>
      <c r="J273" s="678">
        <f t="shared" si="135"/>
        <v>1.505482418751743</v>
      </c>
      <c r="K273" s="678">
        <f t="shared" si="136"/>
        <v>1.000288477569194</v>
      </c>
      <c r="L273" s="679">
        <f t="shared" si="137"/>
        <v>2.4017003844694355E-2</v>
      </c>
      <c r="M273" s="678">
        <f t="shared" si="138"/>
        <v>1.0400643492167592</v>
      </c>
      <c r="N273" s="679">
        <f t="shared" si="139"/>
        <v>-0.27846333047550831</v>
      </c>
      <c r="O273" s="677">
        <f t="shared" si="140"/>
        <v>1552670.3407194703</v>
      </c>
      <c r="P273" s="680">
        <f t="shared" si="141"/>
        <v>1.5707956827431788</v>
      </c>
      <c r="Q273" s="689">
        <f t="shared" si="131"/>
        <v>7.8274919146379771</v>
      </c>
      <c r="R273" s="690">
        <f t="shared" si="132"/>
        <v>1.4426913855539798</v>
      </c>
      <c r="S273" s="677">
        <f t="shared" si="142"/>
        <v>1.0013384294072214</v>
      </c>
      <c r="T273" s="680">
        <f t="shared" si="143"/>
        <v>5.1709540367391858E-2</v>
      </c>
      <c r="U273" s="681">
        <f t="shared" si="155"/>
        <v>0.51869865420972117</v>
      </c>
      <c r="V273" s="682">
        <f t="shared" si="156"/>
        <v>-1.4197503570403138</v>
      </c>
      <c r="W273" s="683">
        <f t="shared" si="144"/>
        <v>-25.660250487559935</v>
      </c>
      <c r="X273" s="684">
        <f t="shared" si="145"/>
        <v>-192.48476698476588</v>
      </c>
      <c r="Y273" s="687">
        <f t="shared" si="146"/>
        <v>-12.484766984765884</v>
      </c>
      <c r="AA273" s="170">
        <f t="shared" si="147"/>
        <v>17378</v>
      </c>
      <c r="AB273" s="170">
        <f t="shared" si="148"/>
        <v>301994884</v>
      </c>
      <c r="AD273" s="686">
        <f t="shared" si="149"/>
        <v>-0.85530016417279553</v>
      </c>
      <c r="AE273" s="687">
        <f t="shared" si="150"/>
        <v>-10.302574001816044</v>
      </c>
      <c r="AG273" s="686">
        <f t="shared" si="151"/>
        <v>44.328259332233515</v>
      </c>
      <c r="AH273" s="687">
        <f t="shared" si="152"/>
        <v>-19.490785955844327</v>
      </c>
      <c r="AJ273" s="170">
        <f t="shared" si="153"/>
        <v>0</v>
      </c>
      <c r="AK273" s="170">
        <f t="shared" si="133"/>
        <v>0</v>
      </c>
      <c r="AM273" s="170" t="str">
        <f t="shared" si="157"/>
        <v>1.91313191468397+0.407664207878962i</v>
      </c>
      <c r="AN273" s="170" t="str">
        <f t="shared" si="158"/>
        <v>2.72169805724922i</v>
      </c>
      <c r="AO273" s="170" t="str">
        <f t="shared" si="159"/>
        <v>0.149783039596605-0.702918499569913i</v>
      </c>
      <c r="AP273" s="170" t="str">
        <f t="shared" si="160"/>
        <v>-0.152188652447329-0.0679440346464937i</v>
      </c>
      <c r="AQ273" s="170" t="str">
        <f t="shared" si="161"/>
        <v>1.15218865244733+0.0679440346464937i</v>
      </c>
      <c r="AR273" s="170" t="str">
        <f t="shared" si="162"/>
        <v>0.720466528238757-0.0424855796421158i</v>
      </c>
    </row>
    <row r="274" spans="7:44">
      <c r="G274" s="688">
        <v>17479.25</v>
      </c>
      <c r="H274" s="676">
        <f t="shared" si="154"/>
        <v>17.47925</v>
      </c>
      <c r="I274" s="677">
        <f t="shared" si="134"/>
        <v>15.410455137997022</v>
      </c>
      <c r="J274" s="678">
        <f t="shared" si="135"/>
        <v>1.5058596892056524</v>
      </c>
      <c r="K274" s="678">
        <f t="shared" si="136"/>
        <v>1.0002918484023491</v>
      </c>
      <c r="L274" s="679">
        <f t="shared" si="137"/>
        <v>2.4156880611811007E-2</v>
      </c>
      <c r="M274" s="678">
        <f t="shared" si="138"/>
        <v>1.040523446243244</v>
      </c>
      <c r="N274" s="679">
        <f t="shared" si="139"/>
        <v>-0.28000249239274411</v>
      </c>
      <c r="O274" s="677">
        <f t="shared" si="140"/>
        <v>1561716.7138347758</v>
      </c>
      <c r="P274" s="680">
        <f t="shared" si="141"/>
        <v>1.5707956864739017</v>
      </c>
      <c r="Q274" s="689">
        <f t="shared" si="131"/>
        <v>7.8723552610859286</v>
      </c>
      <c r="R274" s="690">
        <f t="shared" si="132"/>
        <v>1.4434254213296682</v>
      </c>
      <c r="S274" s="677">
        <f t="shared" si="142"/>
        <v>1.0013540605346287</v>
      </c>
      <c r="T274" s="680">
        <f t="shared" si="143"/>
        <v>5.2010275870103991E-2</v>
      </c>
      <c r="U274" s="681">
        <f t="shared" si="155"/>
        <v>0.5161392545604605</v>
      </c>
      <c r="V274" s="682">
        <f t="shared" si="156"/>
        <v>-1.4255322372578696</v>
      </c>
      <c r="W274" s="683">
        <f t="shared" si="144"/>
        <v>-25.750553405979137</v>
      </c>
      <c r="X274" s="684">
        <f t="shared" si="145"/>
        <v>-192.89300739438085</v>
      </c>
      <c r="Y274" s="687">
        <f t="shared" si="146"/>
        <v>-12.893007394380845</v>
      </c>
      <c r="AA274" s="170">
        <f t="shared" si="147"/>
        <v>17479.25</v>
      </c>
      <c r="AB274" s="170">
        <f t="shared" si="148"/>
        <v>305524180.5625</v>
      </c>
      <c r="AD274" s="686">
        <f t="shared" si="149"/>
        <v>-0.85625463622369835</v>
      </c>
      <c r="AE274" s="687">
        <f t="shared" si="150"/>
        <v>-10.277747938638935</v>
      </c>
      <c r="AG274" s="686">
        <f t="shared" si="151"/>
        <v>44.32484012379723</v>
      </c>
      <c r="AH274" s="687">
        <f t="shared" si="152"/>
        <v>-19.261297759647121</v>
      </c>
      <c r="AJ274" s="170">
        <f t="shared" si="153"/>
        <v>0</v>
      </c>
      <c r="AK274" s="170">
        <f t="shared" si="133"/>
        <v>0</v>
      </c>
      <c r="AM274" s="170" t="str">
        <f t="shared" si="157"/>
        <v>1.91948137976025+0.393133555263588i</v>
      </c>
      <c r="AN274" s="170" t="str">
        <f t="shared" si="158"/>
        <v>2.73755557412668i</v>
      </c>
      <c r="AO274" s="170" t="str">
        <f t="shared" si="159"/>
        <v>0.143607515763037-0.701166178287574i</v>
      </c>
      <c r="AP274" s="170" t="str">
        <f t="shared" si="160"/>
        <v>-0.153246896626708-0.065522259210598i</v>
      </c>
      <c r="AQ274" s="170" t="str">
        <f t="shared" si="161"/>
        <v>1.15324689662671+0.065522259210598i</v>
      </c>
      <c r="AR274" s="170" t="str">
        <f t="shared" si="162"/>
        <v>0.719984361315293-0.040906246604839i</v>
      </c>
    </row>
    <row r="275" spans="7:44">
      <c r="G275" s="688">
        <v>17580.5</v>
      </c>
      <c r="H275" s="676">
        <f t="shared" si="154"/>
        <v>17.580500000000001</v>
      </c>
      <c r="I275" s="677">
        <f t="shared" si="134"/>
        <v>15.499346664143763</v>
      </c>
      <c r="J275" s="678">
        <f t="shared" si="135"/>
        <v>1.5062326322850343</v>
      </c>
      <c r="K275" s="678">
        <f t="shared" si="136"/>
        <v>1.000295238806592</v>
      </c>
      <c r="L275" s="679">
        <f t="shared" si="137"/>
        <v>2.4296756433466758E-2</v>
      </c>
      <c r="M275" s="678">
        <f t="shared" si="138"/>
        <v>1.0409850061123069</v>
      </c>
      <c r="N275" s="679">
        <f t="shared" si="139"/>
        <v>-0.28154029305968165</v>
      </c>
      <c r="O275" s="677">
        <f t="shared" si="140"/>
        <v>1570763.0869500814</v>
      </c>
      <c r="P275" s="680">
        <f t="shared" si="141"/>
        <v>1.5707956901616524</v>
      </c>
      <c r="Q275" s="689">
        <f t="shared" si="131"/>
        <v>7.9172228011531134</v>
      </c>
      <c r="R275" s="690">
        <f t="shared" si="132"/>
        <v>1.4441511378128253</v>
      </c>
      <c r="S275" s="677">
        <f t="shared" si="142"/>
        <v>1.0013697822235099</v>
      </c>
      <c r="T275" s="680">
        <f t="shared" si="143"/>
        <v>5.231100195680876E-2</v>
      </c>
      <c r="U275" s="681">
        <f t="shared" si="155"/>
        <v>0.51359153121125733</v>
      </c>
      <c r="V275" s="682">
        <f t="shared" si="156"/>
        <v>-1.4313051195938018</v>
      </c>
      <c r="W275" s="683">
        <f t="shared" si="144"/>
        <v>-25.840552450397322</v>
      </c>
      <c r="X275" s="684">
        <f t="shared" si="145"/>
        <v>-193.30088250172204</v>
      </c>
      <c r="Y275" s="687">
        <f t="shared" si="146"/>
        <v>-13.300882501722043</v>
      </c>
      <c r="AA275" s="170">
        <f t="shared" si="147"/>
        <v>17580.5</v>
      </c>
      <c r="AB275" s="170">
        <f t="shared" si="148"/>
        <v>309073980.25</v>
      </c>
      <c r="AD275" s="686">
        <f t="shared" si="149"/>
        <v>-0.85719593452637999</v>
      </c>
      <c r="AE275" s="687">
        <f t="shared" si="150"/>
        <v>-10.253397993853355</v>
      </c>
      <c r="AG275" s="686">
        <f t="shared" si="151"/>
        <v>44.321743832073821</v>
      </c>
      <c r="AH275" s="687">
        <f t="shared" si="152"/>
        <v>-19.03199922406889</v>
      </c>
      <c r="AJ275" s="170">
        <f t="shared" si="153"/>
        <v>0</v>
      </c>
      <c r="AK275" s="170">
        <f t="shared" si="133"/>
        <v>0</v>
      </c>
      <c r="AM275" s="170" t="str">
        <f t="shared" si="157"/>
        <v>1.92559963612007+0.378504047025131i</v>
      </c>
      <c r="AN275" s="170" t="str">
        <f t="shared" si="158"/>
        <v>2.75341309100414i</v>
      </c>
      <c r="AO275" s="170" t="str">
        <f t="shared" si="159"/>
        <v>0.137467221413949-0.699350069341693i</v>
      </c>
      <c r="AP275" s="170" t="str">
        <f t="shared" si="160"/>
        <v>-0.154266606020011-0.0630840078375218i</v>
      </c>
      <c r="AQ275" s="170" t="str">
        <f t="shared" si="161"/>
        <v>1.15426660602001+0.0630840078375218i</v>
      </c>
      <c r="AR275" s="170" t="str">
        <f t="shared" si="162"/>
        <v>0.719521196892773-0.0393239140657075i</v>
      </c>
    </row>
    <row r="276" spans="7:44">
      <c r="G276" s="688">
        <v>17681.75</v>
      </c>
      <c r="H276" s="676">
        <f t="shared" si="154"/>
        <v>17.681750000000001</v>
      </c>
      <c r="I276" s="677">
        <f t="shared" si="134"/>
        <v>15.588240321454617</v>
      </c>
      <c r="J276" s="678">
        <f t="shared" si="135"/>
        <v>1.5066013219172381</v>
      </c>
      <c r="K276" s="678">
        <f t="shared" si="136"/>
        <v>1.0002986487817243</v>
      </c>
      <c r="L276" s="679">
        <f t="shared" si="137"/>
        <v>2.4436631304197848E-2</v>
      </c>
      <c r="M276" s="678">
        <f t="shared" si="138"/>
        <v>1.0414490255494262</v>
      </c>
      <c r="N276" s="679">
        <f t="shared" si="139"/>
        <v>-0.28307672701777414</v>
      </c>
      <c r="O276" s="677">
        <f t="shared" si="140"/>
        <v>1579809.4600653872</v>
      </c>
      <c r="P276" s="680">
        <f t="shared" si="141"/>
        <v>1.5707956938071692</v>
      </c>
      <c r="Q276" s="689">
        <f t="shared" si="131"/>
        <v>7.9620944639446014</v>
      </c>
      <c r="R276" s="690">
        <f t="shared" si="132"/>
        <v>1.444868674886628</v>
      </c>
      <c r="S276" s="677">
        <f t="shared" si="142"/>
        <v>1.0013855944696002</v>
      </c>
      <c r="T276" s="680">
        <f t="shared" si="143"/>
        <v>5.2611718573557897E-2</v>
      </c>
      <c r="U276" s="681">
        <f t="shared" si="155"/>
        <v>0.51105537387983191</v>
      </c>
      <c r="V276" s="682">
        <f t="shared" si="156"/>
        <v>-1.4370693653040347</v>
      </c>
      <c r="W276" s="683">
        <f t="shared" si="144"/>
        <v>-25.930252307331507</v>
      </c>
      <c r="X276" s="684">
        <f t="shared" si="145"/>
        <v>-193.70840891075119</v>
      </c>
      <c r="Y276" s="687">
        <f t="shared" si="146"/>
        <v>-13.708408910751189</v>
      </c>
      <c r="AA276" s="170">
        <f t="shared" si="147"/>
        <v>17681.75</v>
      </c>
      <c r="AB276" s="170">
        <f t="shared" si="148"/>
        <v>312644283.0625</v>
      </c>
      <c r="AD276" s="686">
        <f t="shared" si="149"/>
        <v>-0.85812437357329618</v>
      </c>
      <c r="AE276" s="687">
        <f t="shared" si="150"/>
        <v>-10.229516149694918</v>
      </c>
      <c r="AG276" s="686">
        <f t="shared" si="151"/>
        <v>44.318968195023075</v>
      </c>
      <c r="AH276" s="687">
        <f t="shared" si="152"/>
        <v>-18.802873573956294</v>
      </c>
      <c r="AJ276" s="170">
        <f t="shared" si="153"/>
        <v>0</v>
      </c>
      <c r="AK276" s="170">
        <f t="shared" si="133"/>
        <v>0</v>
      </c>
      <c r="AM276" s="170" t="str">
        <f t="shared" si="157"/>
        <v>1.93148514529377+0.363779361834955i</v>
      </c>
      <c r="AN276" s="170" t="str">
        <f t="shared" si="158"/>
        <v>2.7692706078816i</v>
      </c>
      <c r="AO276" s="170" t="str">
        <f t="shared" si="159"/>
        <v>0.131362879741548-0.69747071297279i</v>
      </c>
      <c r="AP276" s="170" t="str">
        <f t="shared" si="160"/>
        <v>-0.155247524215628-0.0606298936391592i</v>
      </c>
      <c r="AQ276" s="170" t="str">
        <f t="shared" si="161"/>
        <v>1.15524752421563+0.0606298936391592i</v>
      </c>
      <c r="AR276" s="170" t="str">
        <f t="shared" si="162"/>
        <v>0.719076984023963-0.0377387184528626i</v>
      </c>
    </row>
    <row r="277" spans="7:44">
      <c r="G277" s="688">
        <v>17783</v>
      </c>
      <c r="H277" s="676">
        <f t="shared" si="154"/>
        <v>17.783000000000001</v>
      </c>
      <c r="I277" s="677">
        <f t="shared" si="134"/>
        <v>15.67713607367673</v>
      </c>
      <c r="J277" s="678">
        <f t="shared" si="135"/>
        <v>1.5069658303575058</v>
      </c>
      <c r="K277" s="678">
        <f t="shared" si="136"/>
        <v>1.0003020783275451</v>
      </c>
      <c r="L277" s="679">
        <f t="shared" si="137"/>
        <v>2.4576505218540726E-2</v>
      </c>
      <c r="M277" s="678">
        <f t="shared" si="138"/>
        <v>1.0419155012684789</v>
      </c>
      <c r="N277" s="679">
        <f t="shared" si="139"/>
        <v>-0.28461178884398319</v>
      </c>
      <c r="O277" s="677">
        <f t="shared" si="140"/>
        <v>1588855.833180693</v>
      </c>
      <c r="P277" s="680">
        <f t="shared" si="141"/>
        <v>1.5707956974111734</v>
      </c>
      <c r="Q277" s="689">
        <f t="shared" si="131"/>
        <v>8.0069701801482225</v>
      </c>
      <c r="R277" s="690">
        <f t="shared" si="132"/>
        <v>1.4455781693324299</v>
      </c>
      <c r="S277" s="677">
        <f t="shared" si="142"/>
        <v>1.0014014972686094</v>
      </c>
      <c r="T277" s="680">
        <f t="shared" si="143"/>
        <v>5.2912425666413396E-2</v>
      </c>
      <c r="U277" s="681">
        <f t="shared" si="155"/>
        <v>0.50853067107237837</v>
      </c>
      <c r="V277" s="682">
        <f t="shared" si="156"/>
        <v>-1.4428253346916464</v>
      </c>
      <c r="W277" s="683">
        <f t="shared" si="144"/>
        <v>-26.019657644283093</v>
      </c>
      <c r="X277" s="684">
        <f t="shared" si="145"/>
        <v>-194.11560325478709</v>
      </c>
      <c r="Y277" s="687">
        <f t="shared" si="146"/>
        <v>-14.115603254787089</v>
      </c>
      <c r="AA277" s="170">
        <f t="shared" si="147"/>
        <v>17783</v>
      </c>
      <c r="AB277" s="170">
        <f t="shared" si="148"/>
        <v>316235089</v>
      </c>
      <c r="AD277" s="686">
        <f t="shared" si="149"/>
        <v>-0.85904025906685455</v>
      </c>
      <c r="AE277" s="687">
        <f t="shared" si="150"/>
        <v>-10.206094566120221</v>
      </c>
      <c r="AG277" s="686">
        <f t="shared" si="151"/>
        <v>44.316511050043239</v>
      </c>
      <c r="AH277" s="687">
        <f t="shared" si="152"/>
        <v>-18.573903994979844</v>
      </c>
      <c r="AJ277" s="170">
        <f t="shared" si="153"/>
        <v>0</v>
      </c>
      <c r="AK277" s="170">
        <f t="shared" si="133"/>
        <v>0</v>
      </c>
      <c r="AM277" s="170" t="str">
        <f t="shared" si="157"/>
        <v>1.93713642733728+0.3489632022972i</v>
      </c>
      <c r="AN277" s="170" t="str">
        <f t="shared" si="158"/>
        <v>2.78512812475906i</v>
      </c>
      <c r="AO277" s="170" t="str">
        <f t="shared" si="159"/>
        <v>0.125295206060723-0.695528658131252i</v>
      </c>
      <c r="AP277" s="170" t="str">
        <f t="shared" si="160"/>
        <v>-0.156189404556213-0.0581605337162i</v>
      </c>
      <c r="AQ277" s="170" t="str">
        <f t="shared" si="161"/>
        <v>1.15618940455621+0.0581605337162i</v>
      </c>
      <c r="AR277" s="170" t="str">
        <f t="shared" si="162"/>
        <v>0.718651673555691-0.0361507939143264i</v>
      </c>
    </row>
    <row r="278" spans="7:44">
      <c r="G278" s="688">
        <v>17886.5</v>
      </c>
      <c r="H278" s="676">
        <f t="shared" si="154"/>
        <v>17.886500000000002</v>
      </c>
      <c r="I278" s="677">
        <f t="shared" si="134"/>
        <v>15.768009415425535</v>
      </c>
      <c r="J278" s="678">
        <f t="shared" si="135"/>
        <v>1.5073341909213638</v>
      </c>
      <c r="K278" s="678">
        <f t="shared" si="136"/>
        <v>1.0003056043131633</v>
      </c>
      <c r="L278" s="679">
        <f t="shared" si="137"/>
        <v>2.4719486447898651E-2</v>
      </c>
      <c r="M278" s="678">
        <f t="shared" si="138"/>
        <v>1.0423948784454409</v>
      </c>
      <c r="N278" s="679">
        <f t="shared" si="139"/>
        <v>-0.28617953933736295</v>
      </c>
      <c r="O278" s="677">
        <f t="shared" si="140"/>
        <v>1598103.2368096721</v>
      </c>
      <c r="P278" s="680">
        <f t="shared" si="141"/>
        <v>1.5707957010530942</v>
      </c>
      <c r="Q278" s="689">
        <f t="shared" si="131"/>
        <v>8.0528472534572391</v>
      </c>
      <c r="R278" s="690">
        <f t="shared" si="132"/>
        <v>1.4462952568835086</v>
      </c>
      <c r="S278" s="677">
        <f t="shared" si="142"/>
        <v>1.0014178470523682</v>
      </c>
      <c r="T278" s="680">
        <f t="shared" si="143"/>
        <v>5.3219805239250358E-2</v>
      </c>
      <c r="U278" s="681">
        <f t="shared" si="155"/>
        <v>0.50596158561963522</v>
      </c>
      <c r="V278" s="682">
        <f t="shared" si="156"/>
        <v>-1.4487010344658036</v>
      </c>
      <c r="W278" s="683">
        <f t="shared" si="144"/>
        <v>-26.110750198134443</v>
      </c>
      <c r="X278" s="684">
        <f t="shared" si="145"/>
        <v>-194.53152049594465</v>
      </c>
      <c r="Y278" s="687">
        <f t="shared" si="146"/>
        <v>-14.531520495944648</v>
      </c>
      <c r="AA278" s="170">
        <f t="shared" si="147"/>
        <v>17886.5</v>
      </c>
      <c r="AB278" s="170">
        <f t="shared" si="148"/>
        <v>319926882.25</v>
      </c>
      <c r="AD278" s="686">
        <f t="shared" si="149"/>
        <v>-0.85996383187909009</v>
      </c>
      <c r="AE278" s="687">
        <f t="shared" si="150"/>
        <v>-10.182620236774</v>
      </c>
      <c r="AG278" s="686">
        <f t="shared" si="151"/>
        <v>44.314326340023193</v>
      </c>
      <c r="AH278" s="687">
        <f t="shared" si="152"/>
        <v>-18.339989967223918</v>
      </c>
      <c r="AJ278" s="170">
        <f t="shared" si="153"/>
        <v>0</v>
      </c>
      <c r="AK278" s="170">
        <f t="shared" si="133"/>
        <v>0</v>
      </c>
      <c r="AM278" s="170" t="str">
        <f t="shared" si="157"/>
        <v>1.94266972158833+0.333727128056102i</v>
      </c>
      <c r="AN278" s="170" t="str">
        <f t="shared" si="158"/>
        <v>2.80133803090046i</v>
      </c>
      <c r="AO278" s="170" t="str">
        <f t="shared" si="159"/>
        <v>0.119131330947886-0.693479223199594i</v>
      </c>
      <c r="AP278" s="170" t="str">
        <f t="shared" si="160"/>
        <v>-0.157111620264722-0.0556211880093503i</v>
      </c>
      <c r="AQ278" s="170" t="str">
        <f t="shared" si="161"/>
        <v>1.15711162026472+0.0556211880093503i</v>
      </c>
      <c r="AR278" s="170" t="str">
        <f t="shared" si="162"/>
        <v>0.718236399623847-0.0345248989976416i</v>
      </c>
    </row>
    <row r="279" spans="7:44">
      <c r="G279" s="688">
        <v>17990</v>
      </c>
      <c r="H279" s="676">
        <f t="shared" si="154"/>
        <v>17.989999999999998</v>
      </c>
      <c r="I279" s="677">
        <f t="shared" si="134"/>
        <v>15.858884872207758</v>
      </c>
      <c r="J279" s="678">
        <f t="shared" si="135"/>
        <v>1.5076983299341213</v>
      </c>
      <c r="K279" s="678">
        <f t="shared" si="136"/>
        <v>1.0003091507485165</v>
      </c>
      <c r="L279" s="679">
        <f t="shared" si="137"/>
        <v>2.4862466666345649E-2</v>
      </c>
      <c r="M279" s="678">
        <f t="shared" si="138"/>
        <v>1.04287681530486</v>
      </c>
      <c r="N279" s="679">
        <f t="shared" si="139"/>
        <v>-0.28774584469190578</v>
      </c>
      <c r="O279" s="677">
        <f t="shared" si="140"/>
        <v>1607350.6404386512</v>
      </c>
      <c r="P279" s="680">
        <f t="shared" si="141"/>
        <v>1.5707957046531096</v>
      </c>
      <c r="Q279" s="689">
        <f t="shared" ref="Q279:Q342" si="163">SQRT(1+(G279/Zero2)^2)</f>
        <v>8.098728420742269</v>
      </c>
      <c r="R279" s="690">
        <f t="shared" ref="R279:R342" si="164">ATAN(G279/Zero2)</f>
        <v>1.447004219862468</v>
      </c>
      <c r="S279" s="677">
        <f t="shared" si="142"/>
        <v>1.0014342914491958</v>
      </c>
      <c r="T279" s="680">
        <f t="shared" si="143"/>
        <v>5.3527174746263111E-2</v>
      </c>
      <c r="U279" s="681">
        <f t="shared" si="155"/>
        <v>0.50340423017569458</v>
      </c>
      <c r="V279" s="682">
        <f t="shared" si="156"/>
        <v>-1.4545688444515545</v>
      </c>
      <c r="W279" s="683">
        <f t="shared" si="144"/>
        <v>-26.201544805417278</v>
      </c>
      <c r="X279" s="684">
        <f t="shared" si="145"/>
        <v>-194.94712599059119</v>
      </c>
      <c r="Y279" s="687">
        <f t="shared" si="146"/>
        <v>-14.947125990591189</v>
      </c>
      <c r="AA279" s="170">
        <f t="shared" si="147"/>
        <v>17990</v>
      </c>
      <c r="AB279" s="170">
        <f t="shared" si="148"/>
        <v>323640100</v>
      </c>
      <c r="AD279" s="686">
        <f t="shared" si="149"/>
        <v>-0.86087490612234729</v>
      </c>
      <c r="AE279" s="687">
        <f t="shared" si="150"/>
        <v>-10.159610831990852</v>
      </c>
      <c r="AG279" s="686">
        <f t="shared" si="151"/>
        <v>44.312470177572536</v>
      </c>
      <c r="AH279" s="687">
        <f t="shared" si="152"/>
        <v>-18.106203371548769</v>
      </c>
      <c r="AJ279" s="170">
        <f t="shared" si="153"/>
        <v>0</v>
      </c>
      <c r="AK279" s="170">
        <f t="shared" ref="AK279:AK342" si="165">IF(AJ279&gt;0,Y279,0)</f>
        <v>0</v>
      </c>
      <c r="AM279" s="170" t="str">
        <f t="shared" si="157"/>
        <v>1.94795532437054+0.31840336524217i</v>
      </c>
      <c r="AN279" s="170" t="str">
        <f t="shared" si="158"/>
        <v>2.81754793704186i</v>
      </c>
      <c r="AO279" s="170" t="str">
        <f t="shared" si="159"/>
        <v>0.113007257500812-0.691365459576065i</v>
      </c>
      <c r="AP279" s="170" t="str">
        <f t="shared" si="160"/>
        <v>-0.157992554061757-0.0530672275403617i</v>
      </c>
      <c r="AQ279" s="170" t="str">
        <f t="shared" si="161"/>
        <v>1.15799255406176+0.0530672275403617i</v>
      </c>
      <c r="AR279" s="170" t="str">
        <f t="shared" si="162"/>
        <v>0.717840779540847-0.032896429128173i</v>
      </c>
    </row>
    <row r="280" spans="7:44">
      <c r="G280" s="688">
        <v>18093.5</v>
      </c>
      <c r="H280" s="676">
        <f t="shared" si="154"/>
        <v>18.093499999999999</v>
      </c>
      <c r="I280" s="677">
        <f t="shared" si="134"/>
        <v>15.949762407871525</v>
      </c>
      <c r="J280" s="678">
        <f t="shared" si="135"/>
        <v>1.5080583194582269</v>
      </c>
      <c r="K280" s="678">
        <f t="shared" si="136"/>
        <v>1.0003127176333877</v>
      </c>
      <c r="L280" s="679">
        <f t="shared" si="137"/>
        <v>2.5005445868046518E-2</v>
      </c>
      <c r="M280" s="678">
        <f t="shared" si="138"/>
        <v>1.0433613082997231</v>
      </c>
      <c r="N280" s="679">
        <f t="shared" si="139"/>
        <v>-0.2893106992302456</v>
      </c>
      <c r="O280" s="677">
        <f t="shared" si="140"/>
        <v>1616598.0440676303</v>
      </c>
      <c r="P280" s="680">
        <f t="shared" si="141"/>
        <v>1.5707957082119386</v>
      </c>
      <c r="Q280" s="689">
        <f t="shared" si="163"/>
        <v>8.1446136128153572</v>
      </c>
      <c r="R280" s="690">
        <f t="shared" si="164"/>
        <v>1.447705194867374</v>
      </c>
      <c r="S280" s="677">
        <f t="shared" si="142"/>
        <v>1.001450830454431</v>
      </c>
      <c r="T280" s="680">
        <f t="shared" si="143"/>
        <v>5.383453412987086E-2</v>
      </c>
      <c r="U280" s="681">
        <f t="shared" si="155"/>
        <v>0.50085848203447791</v>
      </c>
      <c r="V280" s="682">
        <f t="shared" si="156"/>
        <v>-1.4604291466506689</v>
      </c>
      <c r="W280" s="683">
        <f t="shared" si="144"/>
        <v>-26.292046400066695</v>
      </c>
      <c r="X280" s="684">
        <f t="shared" si="145"/>
        <v>-195.36243759998464</v>
      </c>
      <c r="Y280" s="687">
        <f t="shared" si="146"/>
        <v>-15.362437599984645</v>
      </c>
      <c r="AA280" s="170">
        <f t="shared" si="147"/>
        <v>18093.5</v>
      </c>
      <c r="AB280" s="170">
        <f t="shared" si="148"/>
        <v>327374742.25</v>
      </c>
      <c r="AD280" s="686">
        <f t="shared" si="149"/>
        <v>-0.8617737817173633</v>
      </c>
      <c r="AE280" s="687">
        <f t="shared" si="150"/>
        <v>-10.137058522020157</v>
      </c>
      <c r="AG280" s="686">
        <f t="shared" si="151"/>
        <v>44.310940567260893</v>
      </c>
      <c r="AH280" s="687">
        <f t="shared" si="152"/>
        <v>-17.872526124784592</v>
      </c>
      <c r="AJ280" s="170">
        <f t="shared" si="153"/>
        <v>0</v>
      </c>
      <c r="AK280" s="170">
        <f t="shared" si="165"/>
        <v>0</v>
      </c>
      <c r="AM280" s="170" t="str">
        <f t="shared" si="157"/>
        <v>1.95299184686375+0.302995940255342i</v>
      </c>
      <c r="AN280" s="170" t="str">
        <f t="shared" si="158"/>
        <v>2.83375784318327i</v>
      </c>
      <c r="AO280" s="170" t="str">
        <f t="shared" si="159"/>
        <v>0.106923723558176-0.689187981097876i</v>
      </c>
      <c r="AP280" s="170" t="str">
        <f t="shared" si="160"/>
        <v>-0.158831974477292-0.0504993233758903i</v>
      </c>
      <c r="AQ280" s="170" t="str">
        <f t="shared" si="161"/>
        <v>1.15883197447729+0.0504993233758903i</v>
      </c>
      <c r="AR280" s="170" t="str">
        <f t="shared" si="162"/>
        <v>0.717464766819743-0.0312655208592952i</v>
      </c>
    </row>
    <row r="281" spans="7:44">
      <c r="G281" s="688">
        <v>18197</v>
      </c>
      <c r="H281" s="676">
        <f t="shared" si="154"/>
        <v>18.196999999999999</v>
      </c>
      <c r="I281" s="677">
        <f t="shared" si="134"/>
        <v>16.040641987083404</v>
      </c>
      <c r="J281" s="678">
        <f t="shared" si="135"/>
        <v>1.5084142299273846</v>
      </c>
      <c r="K281" s="678">
        <f t="shared" si="136"/>
        <v>1.0003163049675576</v>
      </c>
      <c r="L281" s="679">
        <f t="shared" si="137"/>
        <v>2.5148424047166294E-2</v>
      </c>
      <c r="M281" s="678">
        <f t="shared" si="138"/>
        <v>1.0438483538708077</v>
      </c>
      <c r="N281" s="679">
        <f t="shared" si="139"/>
        <v>-0.29087409731395031</v>
      </c>
      <c r="O281" s="677">
        <f t="shared" si="140"/>
        <v>1625845.4476966099</v>
      </c>
      <c r="P281" s="680">
        <f t="shared" si="141"/>
        <v>1.5707957117302842</v>
      </c>
      <c r="Q281" s="689">
        <f t="shared" si="163"/>
        <v>8.1905027620329722</v>
      </c>
      <c r="R281" s="690">
        <f t="shared" si="164"/>
        <v>1.4483983154668101</v>
      </c>
      <c r="S281" s="677">
        <f t="shared" si="142"/>
        <v>1.0014674640633863</v>
      </c>
      <c r="T281" s="680">
        <f t="shared" si="143"/>
        <v>5.4141883332504248E-2</v>
      </c>
      <c r="U281" s="681">
        <f t="shared" si="155"/>
        <v>0.49832421737038379</v>
      </c>
      <c r="V281" s="682">
        <f t="shared" si="156"/>
        <v>-1.4662823221805616</v>
      </c>
      <c r="W281" s="683">
        <f t="shared" si="144"/>
        <v>-26.382259901881767</v>
      </c>
      <c r="X281" s="684">
        <f t="shared" si="145"/>
        <v>-195.77747321720005</v>
      </c>
      <c r="Y281" s="687">
        <f t="shared" si="146"/>
        <v>-15.777473217200054</v>
      </c>
      <c r="AA281" s="170">
        <f t="shared" si="147"/>
        <v>18197</v>
      </c>
      <c r="AB281" s="170">
        <f t="shared" si="148"/>
        <v>331130809</v>
      </c>
      <c r="AD281" s="686">
        <f t="shared" si="149"/>
        <v>-0.86266075020453314</v>
      </c>
      <c r="AE281" s="687">
        <f t="shared" si="150"/>
        <v>-10.114955650687591</v>
      </c>
      <c r="AG281" s="686">
        <f t="shared" si="151"/>
        <v>44.309735617307595</v>
      </c>
      <c r="AH281" s="687">
        <f t="shared" si="152"/>
        <v>-17.63894010334193</v>
      </c>
      <c r="AJ281" s="170">
        <f t="shared" si="153"/>
        <v>0</v>
      </c>
      <c r="AK281" s="170">
        <f t="shared" si="165"/>
        <v>0</v>
      </c>
      <c r="AM281" s="170" t="str">
        <f t="shared" si="157"/>
        <v>1.95777796569495+0.287508901478269i</v>
      </c>
      <c r="AN281" s="170" t="str">
        <f t="shared" si="158"/>
        <v>2.84996774932467i</v>
      </c>
      <c r="AO281" s="170" t="str">
        <f t="shared" si="159"/>
        <v>0.100881457885408-0.686947410601003i</v>
      </c>
      <c r="AP281" s="170" t="str">
        <f t="shared" si="160"/>
        <v>-0.159629660949159-0.0479181502463782i</v>
      </c>
      <c r="AQ281" s="170" t="str">
        <f t="shared" si="161"/>
        <v>1.15962966094916+0.0479181502463782i</v>
      </c>
      <c r="AR281" s="170" t="str">
        <f t="shared" si="162"/>
        <v>0.71710831706337-0.0296323086905557i</v>
      </c>
    </row>
    <row r="282" spans="7:44">
      <c r="G282" s="688">
        <v>18303</v>
      </c>
      <c r="H282" s="676">
        <f t="shared" si="154"/>
        <v>18.303000000000001</v>
      </c>
      <c r="I282" s="677">
        <f t="shared" si="134"/>
        <v>16.133718807316527</v>
      </c>
      <c r="J282" s="678">
        <f t="shared" si="135"/>
        <v>1.5087745811612023</v>
      </c>
      <c r="K282" s="678">
        <f t="shared" si="136"/>
        <v>1.0003200001482624</v>
      </c>
      <c r="L282" s="679">
        <f t="shared" si="137"/>
        <v>2.5294854739465928E-2</v>
      </c>
      <c r="M282" s="678">
        <f t="shared" si="138"/>
        <v>1.0443498059015408</v>
      </c>
      <c r="N282" s="679">
        <f t="shared" si="139"/>
        <v>-0.29247374313632157</v>
      </c>
      <c r="O282" s="677">
        <f t="shared" si="140"/>
        <v>1635316.2185630039</v>
      </c>
      <c r="P282" s="680">
        <f t="shared" si="141"/>
        <v>1.5707957152923697</v>
      </c>
      <c r="Q282" s="689">
        <f t="shared" si="163"/>
        <v>8.2375043773800272</v>
      </c>
      <c r="R282" s="690">
        <f t="shared" si="164"/>
        <v>1.4491001732979534</v>
      </c>
      <c r="S282" s="677">
        <f t="shared" si="142"/>
        <v>1.0014845975043996</v>
      </c>
      <c r="T282" s="680">
        <f t="shared" si="143"/>
        <v>5.445664581596045E-2</v>
      </c>
      <c r="U282" s="681">
        <f t="shared" si="155"/>
        <v>0.4957405109690633</v>
      </c>
      <c r="V282" s="682">
        <f t="shared" si="156"/>
        <v>-1.4722698891325474</v>
      </c>
      <c r="W282" s="683">
        <f t="shared" si="144"/>
        <v>-26.474358986172639</v>
      </c>
      <c r="X282" s="684">
        <f t="shared" si="145"/>
        <v>-196.20226650650483</v>
      </c>
      <c r="Y282" s="687">
        <f t="shared" si="146"/>
        <v>-16.202266506504827</v>
      </c>
      <c r="AA282" s="170">
        <f t="shared" si="147"/>
        <v>18303</v>
      </c>
      <c r="AB282" s="170">
        <f t="shared" si="148"/>
        <v>334999809</v>
      </c>
      <c r="AD282" s="686">
        <f t="shared" si="149"/>
        <v>-0.86355709715952611</v>
      </c>
      <c r="AE282" s="687">
        <f t="shared" si="150"/>
        <v>-10.092776925063101</v>
      </c>
      <c r="AG282" s="686">
        <f t="shared" si="151"/>
        <v>44.308836211553889</v>
      </c>
      <c r="AH282" s="687">
        <f t="shared" si="152"/>
        <v>-17.399787485685611</v>
      </c>
      <c r="AJ282" s="170">
        <f t="shared" si="153"/>
        <v>0</v>
      </c>
      <c r="AK282" s="170">
        <f t="shared" si="165"/>
        <v>0</v>
      </c>
      <c r="AM282" s="170" t="str">
        <f t="shared" si="157"/>
        <v>1.96241882836667+0.27156951008044i</v>
      </c>
      <c r="AN282" s="170" t="str">
        <f t="shared" si="158"/>
        <v>2.86656919909268i</v>
      </c>
      <c r="AO282" s="170" t="str">
        <f t="shared" si="159"/>
        <v>0.094736771108263-0.684587983777894i</v>
      </c>
      <c r="AP282" s="170" t="str">
        <f t="shared" si="160"/>
        <v>-0.160403138061111-0.0452615850134067i</v>
      </c>
      <c r="AQ282" s="170" t="str">
        <f t="shared" si="161"/>
        <v>1.16040313806111+0.0452615850134067i</v>
      </c>
      <c r="AR282" s="170" t="str">
        <f t="shared" si="162"/>
        <v>0.716763490721642-0.0279573973955379i</v>
      </c>
    </row>
    <row r="283" spans="7:44">
      <c r="G283" s="688">
        <v>18409</v>
      </c>
      <c r="H283" s="676">
        <f t="shared" si="154"/>
        <v>18.408999999999999</v>
      </c>
      <c r="I283" s="677">
        <f t="shared" si="134"/>
        <v>16.226797698527516</v>
      </c>
      <c r="J283" s="678">
        <f t="shared" si="135"/>
        <v>1.5091307984035571</v>
      </c>
      <c r="K283" s="678">
        <f t="shared" si="136"/>
        <v>1.0003237167776178</v>
      </c>
      <c r="L283" s="679">
        <f t="shared" si="137"/>
        <v>2.5441284346800298E-2</v>
      </c>
      <c r="M283" s="678">
        <f t="shared" si="138"/>
        <v>1.0448539277152287</v>
      </c>
      <c r="N283" s="679">
        <f t="shared" si="139"/>
        <v>-0.29407184944840653</v>
      </c>
      <c r="O283" s="677">
        <f t="shared" si="140"/>
        <v>1644786.9894293982</v>
      </c>
      <c r="P283" s="680">
        <f t="shared" si="141"/>
        <v>1.5707957188134336</v>
      </c>
      <c r="Q283" s="689">
        <f t="shared" si="163"/>
        <v>8.2845100045132796</v>
      </c>
      <c r="R283" s="690">
        <f t="shared" si="164"/>
        <v>1.4497940669006832</v>
      </c>
      <c r="S283" s="677">
        <f t="shared" si="142"/>
        <v>1.0015018301645202</v>
      </c>
      <c r="T283" s="680">
        <f t="shared" si="143"/>
        <v>5.4771397498478133E-2</v>
      </c>
      <c r="U283" s="681">
        <f t="shared" si="155"/>
        <v>0.49316858320196966</v>
      </c>
      <c r="V283" s="682">
        <f t="shared" si="156"/>
        <v>-1.4782507874667687</v>
      </c>
      <c r="W283" s="683">
        <f t="shared" si="144"/>
        <v>-26.566166298919789</v>
      </c>
      <c r="X283" s="684">
        <f t="shared" si="145"/>
        <v>-196.62680840209146</v>
      </c>
      <c r="Y283" s="687">
        <f t="shared" si="146"/>
        <v>-16.626808402091456</v>
      </c>
      <c r="AA283" s="170">
        <f t="shared" si="147"/>
        <v>18409</v>
      </c>
      <c r="AB283" s="170">
        <f t="shared" si="148"/>
        <v>338891281</v>
      </c>
      <c r="AD283" s="686">
        <f t="shared" si="149"/>
        <v>-0.86444154806451723</v>
      </c>
      <c r="AE283" s="687">
        <f t="shared" si="150"/>
        <v>-10.071053894915723</v>
      </c>
      <c r="AG283" s="686">
        <f t="shared" si="151"/>
        <v>44.308273651754263</v>
      </c>
      <c r="AH283" s="687">
        <f t="shared" si="152"/>
        <v>-17.160691946141082</v>
      </c>
      <c r="AJ283" s="170">
        <f t="shared" si="153"/>
        <v>0</v>
      </c>
      <c r="AK283" s="170">
        <f t="shared" si="165"/>
        <v>0</v>
      </c>
      <c r="AM283" s="170" t="str">
        <f t="shared" si="157"/>
        <v>1.96679444667263+0.255555273635602i</v>
      </c>
      <c r="AN283" s="170" t="str">
        <f t="shared" si="158"/>
        <v>2.88317064886068i</v>
      </c>
      <c r="AO283" s="170" t="str">
        <f t="shared" si="159"/>
        <v>0.088636887912475-0.682163730908482i</v>
      </c>
      <c r="AP283" s="170" t="str">
        <f t="shared" si="160"/>
        <v>-0.161132407778771-0.0425925456059337i</v>
      </c>
      <c r="AQ283" s="170" t="str">
        <f t="shared" si="161"/>
        <v>1.16113240777877+0.0425925456059337i</v>
      </c>
      <c r="AR283" s="170" t="str">
        <f t="shared" si="162"/>
        <v>0.716439096406702-0.0262803489792788i</v>
      </c>
    </row>
    <row r="284" spans="7:44">
      <c r="G284" s="688">
        <v>18515</v>
      </c>
      <c r="H284" s="676">
        <f t="shared" si="154"/>
        <v>18.515000000000001</v>
      </c>
      <c r="I284" s="677">
        <f t="shared" si="134"/>
        <v>16.319878625281493</v>
      </c>
      <c r="J284" s="678">
        <f t="shared" si="135"/>
        <v>1.5094829522983053</v>
      </c>
      <c r="K284" s="678">
        <f t="shared" si="136"/>
        <v>1.0003274548553844</v>
      </c>
      <c r="L284" s="679">
        <f t="shared" si="137"/>
        <v>2.5587712862902151E-2</v>
      </c>
      <c r="M284" s="678">
        <f t="shared" si="138"/>
        <v>1.0453607154493887</v>
      </c>
      <c r="N284" s="679">
        <f t="shared" si="139"/>
        <v>-0.29566841032045449</v>
      </c>
      <c r="O284" s="677">
        <f t="shared" si="140"/>
        <v>1654257.7602957925</v>
      </c>
      <c r="P284" s="680">
        <f t="shared" si="141"/>
        <v>1.5707957222941809</v>
      </c>
      <c r="Q284" s="689">
        <f t="shared" si="163"/>
        <v>8.3315195755304021</v>
      </c>
      <c r="R284" s="690">
        <f t="shared" si="164"/>
        <v>1.4504801304126045</v>
      </c>
      <c r="S284" s="677">
        <f t="shared" si="142"/>
        <v>1.0015191620386268</v>
      </c>
      <c r="T284" s="680">
        <f t="shared" si="143"/>
        <v>5.5086138318252417E-2</v>
      </c>
      <c r="U284" s="681">
        <f t="shared" si="155"/>
        <v>0.49060829769270847</v>
      </c>
      <c r="V284" s="682">
        <f t="shared" si="156"/>
        <v>-1.4842254239780934</v>
      </c>
      <c r="W284" s="683">
        <f t="shared" si="144"/>
        <v>-26.657687089672471</v>
      </c>
      <c r="X284" s="684">
        <f t="shared" si="145"/>
        <v>-197.05111823077391</v>
      </c>
      <c r="Y284" s="687">
        <f t="shared" si="146"/>
        <v>-17.051118230773909</v>
      </c>
      <c r="AA284" s="170">
        <f t="shared" si="147"/>
        <v>18515</v>
      </c>
      <c r="AB284" s="170">
        <f t="shared" si="148"/>
        <v>342805225</v>
      </c>
      <c r="AD284" s="686">
        <f t="shared" si="149"/>
        <v>-0.86531439055536064</v>
      </c>
      <c r="AE284" s="687">
        <f t="shared" si="150"/>
        <v>-10.049778871226087</v>
      </c>
      <c r="AG284" s="686">
        <f t="shared" si="151"/>
        <v>44.30804623690625</v>
      </c>
      <c r="AH284" s="687">
        <f t="shared" si="152"/>
        <v>-16.921633885283491</v>
      </c>
      <c r="AJ284" s="170">
        <f t="shared" si="153"/>
        <v>0</v>
      </c>
      <c r="AK284" s="170">
        <f t="shared" si="165"/>
        <v>0</v>
      </c>
      <c r="AM284" s="170" t="str">
        <f t="shared" si="157"/>
        <v>1.97090361468454+0.239470605696199i</v>
      </c>
      <c r="AN284" s="170" t="str">
        <f t="shared" si="158"/>
        <v>2.89977209862869i</v>
      </c>
      <c r="AO284" s="170" t="str">
        <f t="shared" si="159"/>
        <v>0.0825825608189848-0.679675349527153i</v>
      </c>
      <c r="AP284" s="170" t="str">
        <f t="shared" si="160"/>
        <v>-0.161817269114089-0.0399117676160332i</v>
      </c>
      <c r="AQ284" s="170" t="str">
        <f t="shared" si="161"/>
        <v>1.16181726911409+0.0399117676160332i</v>
      </c>
      <c r="AR284" s="170" t="str">
        <f t="shared" si="162"/>
        <v>0.716135093420127-0.0246013019345675i</v>
      </c>
    </row>
    <row r="285" spans="7:44">
      <c r="G285" s="688">
        <v>18621</v>
      </c>
      <c r="H285" s="676">
        <f t="shared" si="154"/>
        <v>18.620999999999999</v>
      </c>
      <c r="I285" s="677">
        <f t="shared" si="134"/>
        <v>16.412961552946634</v>
      </c>
      <c r="J285" s="678">
        <f t="shared" si="135"/>
        <v>1.5098311118908159</v>
      </c>
      <c r="K285" s="678">
        <f t="shared" si="136"/>
        <v>1.0003312143813219</v>
      </c>
      <c r="L285" s="679">
        <f t="shared" si="137"/>
        <v>2.5734140281504524E-2</v>
      </c>
      <c r="M285" s="678">
        <f t="shared" si="138"/>
        <v>1.0458701652286186</v>
      </c>
      <c r="N285" s="679">
        <f t="shared" si="139"/>
        <v>-0.29726341986569249</v>
      </c>
      <c r="O285" s="677">
        <f t="shared" si="140"/>
        <v>1663728.5311621868</v>
      </c>
      <c r="P285" s="680">
        <f t="shared" si="141"/>
        <v>1.5707957257352998</v>
      </c>
      <c r="Q285" s="689">
        <f t="shared" si="163"/>
        <v>8.3785330240473606</v>
      </c>
      <c r="R285" s="690">
        <f t="shared" si="164"/>
        <v>1.4511584949905063</v>
      </c>
      <c r="S285" s="677">
        <f t="shared" si="142"/>
        <v>1.0015365931215683</v>
      </c>
      <c r="T285" s="680">
        <f t="shared" si="143"/>
        <v>5.5400868213491314E-2</v>
      </c>
      <c r="U285" s="681">
        <f t="shared" si="155"/>
        <v>0.48805951702275518</v>
      </c>
      <c r="V285" s="682">
        <f t="shared" si="156"/>
        <v>-1.4901942046742733</v>
      </c>
      <c r="W285" s="683">
        <f t="shared" si="144"/>
        <v>-26.748926599590611</v>
      </c>
      <c r="X285" s="684">
        <f t="shared" si="145"/>
        <v>-197.47521535593137</v>
      </c>
      <c r="Y285" s="687">
        <f t="shared" si="146"/>
        <v>-17.475215355931368</v>
      </c>
      <c r="AA285" s="170">
        <f t="shared" si="147"/>
        <v>18621</v>
      </c>
      <c r="AB285" s="170">
        <f t="shared" si="148"/>
        <v>346741641</v>
      </c>
      <c r="AD285" s="686">
        <f t="shared" si="149"/>
        <v>-0.86617590421834589</v>
      </c>
      <c r="AE285" s="687">
        <f t="shared" si="150"/>
        <v>-10.028944335762704</v>
      </c>
      <c r="AG285" s="686">
        <f t="shared" si="151"/>
        <v>44.308152375635359</v>
      </c>
      <c r="AH285" s="687">
        <f t="shared" si="152"/>
        <v>-16.682593659662238</v>
      </c>
      <c r="AJ285" s="170">
        <f t="shared" si="153"/>
        <v>0</v>
      </c>
      <c r="AK285" s="170">
        <f t="shared" si="165"/>
        <v>0</v>
      </c>
      <c r="AM285" s="170" t="str">
        <f t="shared" si="157"/>
        <v>1.97474519990827+0.223319939225749i</v>
      </c>
      <c r="AN285" s="170" t="str">
        <f t="shared" si="158"/>
        <v>2.9163735483967i</v>
      </c>
      <c r="AO285" s="170" t="str">
        <f t="shared" si="159"/>
        <v>0.0765745318697329-0.677123546465405i</v>
      </c>
      <c r="AP285" s="170" t="str">
        <f t="shared" si="160"/>
        <v>-0.162457533318044-0.0372199898709582i</v>
      </c>
      <c r="AQ285" s="170" t="str">
        <f t="shared" si="161"/>
        <v>1.16245753331804+0.0372199898709582i</v>
      </c>
      <c r="AR285" s="170" t="str">
        <f t="shared" si="162"/>
        <v>0.715851443476452-0.0229203929706177i</v>
      </c>
    </row>
    <row r="286" spans="7:44">
      <c r="G286" s="688">
        <v>18729.5</v>
      </c>
      <c r="H286" s="676">
        <f t="shared" si="154"/>
        <v>18.729500000000002</v>
      </c>
      <c r="I286" s="677">
        <f t="shared" si="134"/>
        <v>16.50824186960471</v>
      </c>
      <c r="J286" s="678">
        <f t="shared" si="135"/>
        <v>1.5101834165118639</v>
      </c>
      <c r="K286" s="678">
        <f t="shared" si="136"/>
        <v>1.000335084787987</v>
      </c>
      <c r="L286" s="679">
        <f t="shared" si="137"/>
        <v>2.5884020033788212E-2</v>
      </c>
      <c r="M286" s="678">
        <f t="shared" si="138"/>
        <v>1.0463943832358391</v>
      </c>
      <c r="N286" s="679">
        <f t="shared" si="139"/>
        <v>-0.29889443482102374</v>
      </c>
      <c r="O286" s="677">
        <f t="shared" si="140"/>
        <v>1673422.669265996</v>
      </c>
      <c r="P286" s="680">
        <f t="shared" si="141"/>
        <v>1.5707957292172383</v>
      </c>
      <c r="Q286" s="689">
        <f t="shared" si="163"/>
        <v>8.4266592283246098</v>
      </c>
      <c r="R286" s="690">
        <f t="shared" si="164"/>
        <v>1.4518450191475838</v>
      </c>
      <c r="S286" s="677">
        <f t="shared" si="142"/>
        <v>1.0015545380557236</v>
      </c>
      <c r="T286" s="680">
        <f t="shared" si="143"/>
        <v>5.5723009605078207E-2</v>
      </c>
      <c r="U286" s="681">
        <f t="shared" si="155"/>
        <v>0.48546239416424525</v>
      </c>
      <c r="V286" s="682">
        <f t="shared" si="156"/>
        <v>-1.4962981169074376</v>
      </c>
      <c r="W286" s="683">
        <f t="shared" si="144"/>
        <v>-26.84203213848307</v>
      </c>
      <c r="X286" s="684">
        <f t="shared" si="145"/>
        <v>-197.90911473472812</v>
      </c>
      <c r="Y286" s="687">
        <f t="shared" si="146"/>
        <v>-17.909114734728121</v>
      </c>
      <c r="AA286" s="170">
        <f t="shared" si="147"/>
        <v>18729.5</v>
      </c>
      <c r="AB286" s="170">
        <f t="shared" si="148"/>
        <v>350794170.25</v>
      </c>
      <c r="AD286" s="686">
        <f t="shared" si="149"/>
        <v>-0.86704628749965895</v>
      </c>
      <c r="AE286" s="687">
        <f t="shared" si="150"/>
        <v>-10.008066940649321</v>
      </c>
      <c r="AG286" s="686">
        <f t="shared" si="151"/>
        <v>44.308604917268433</v>
      </c>
      <c r="AH286" s="687">
        <f t="shared" si="152"/>
        <v>-16.437913613815951</v>
      </c>
      <c r="AJ286" s="170">
        <f t="shared" si="153"/>
        <v>0</v>
      </c>
      <c r="AK286" s="170">
        <f t="shared" si="165"/>
        <v>0</v>
      </c>
      <c r="AM286" s="170" t="str">
        <f t="shared" si="157"/>
        <v>1.9783991603126+0.206724655277478i</v>
      </c>
      <c r="AN286" s="170" t="str">
        <f t="shared" si="158"/>
        <v>2.93336654179131i</v>
      </c>
      <c r="AO286" s="170" t="str">
        <f t="shared" si="159"/>
        <v>0.0704735164638641-0.674446623743263i</v>
      </c>
      <c r="AP286" s="170" t="str">
        <f t="shared" si="160"/>
        <v>-0.163066526718767-0.034454109212913i</v>
      </c>
      <c r="AQ286" s="170" t="str">
        <f t="shared" si="161"/>
        <v>1.16306652671877+0.034454109212913i</v>
      </c>
      <c r="AR286" s="170" t="str">
        <f t="shared" si="162"/>
        <v>0.715582145012515-0.0211980525693809i</v>
      </c>
    </row>
    <row r="287" spans="7:44">
      <c r="G287" s="688">
        <v>18838</v>
      </c>
      <c r="H287" s="676">
        <f t="shared" si="154"/>
        <v>18.838000000000001</v>
      </c>
      <c r="I287" s="677">
        <f t="shared" si="134"/>
        <v>16.603524211725237</v>
      </c>
      <c r="J287" s="678">
        <f t="shared" si="135"/>
        <v>1.5105316776474953</v>
      </c>
      <c r="K287" s="678">
        <f t="shared" si="136"/>
        <v>1.0003389776659455</v>
      </c>
      <c r="L287" s="679">
        <f t="shared" si="137"/>
        <v>2.6033898622907007E-2</v>
      </c>
      <c r="M287" s="678">
        <f t="shared" si="138"/>
        <v>1.0469213820796635</v>
      </c>
      <c r="N287" s="679">
        <f t="shared" si="139"/>
        <v>-0.30052381206797241</v>
      </c>
      <c r="O287" s="677">
        <f t="shared" si="140"/>
        <v>1683116.8073698054</v>
      </c>
      <c r="P287" s="680">
        <f t="shared" si="141"/>
        <v>1.5707957326590674</v>
      </c>
      <c r="Q287" s="689">
        <f t="shared" si="163"/>
        <v>8.4747893591075876</v>
      </c>
      <c r="R287" s="690">
        <f t="shared" si="164"/>
        <v>1.4525237457882045</v>
      </c>
      <c r="S287" s="677">
        <f t="shared" si="142"/>
        <v>1.0015725869225465</v>
      </c>
      <c r="T287" s="680">
        <f t="shared" si="143"/>
        <v>5.6045139419777228E-2</v>
      </c>
      <c r="U287" s="681">
        <f t="shared" si="155"/>
        <v>0.48287703071088334</v>
      </c>
      <c r="V287" s="682">
        <f t="shared" si="156"/>
        <v>-1.5023967523356998</v>
      </c>
      <c r="W287" s="683">
        <f t="shared" si="144"/>
        <v>-26.934854064966114</v>
      </c>
      <c r="X287" s="684">
        <f t="shared" si="145"/>
        <v>-198.34283243227034</v>
      </c>
      <c r="Y287" s="687">
        <f t="shared" si="146"/>
        <v>-18.342832432270342</v>
      </c>
      <c r="AA287" s="170">
        <f t="shared" si="147"/>
        <v>18838</v>
      </c>
      <c r="AB287" s="170">
        <f t="shared" si="148"/>
        <v>354870244</v>
      </c>
      <c r="AD287" s="686">
        <f t="shared" si="149"/>
        <v>-0.8679053693511164</v>
      </c>
      <c r="AE287" s="687">
        <f t="shared" si="150"/>
        <v>-9.9876356447151728</v>
      </c>
      <c r="AG287" s="686">
        <f t="shared" si="151"/>
        <v>44.30940390557241</v>
      </c>
      <c r="AH287" s="687">
        <f t="shared" si="152"/>
        <v>-16.193210464836984</v>
      </c>
      <c r="AJ287" s="170">
        <f t="shared" si="153"/>
        <v>0</v>
      </c>
      <c r="AK287" s="170">
        <f t="shared" si="165"/>
        <v>0</v>
      </c>
      <c r="AM287" s="170" t="str">
        <f t="shared" si="157"/>
        <v>1.98177060318876+0.190069678577014i</v>
      </c>
      <c r="AN287" s="170" t="str">
        <f t="shared" si="158"/>
        <v>2.95035953518592i</v>
      </c>
      <c r="AO287" s="170" t="str">
        <f t="shared" si="159"/>
        <v>0.0644225479336492-0.671704780232446i</v>
      </c>
      <c r="AP287" s="170" t="str">
        <f t="shared" si="160"/>
        <v>-0.163628433864794-0.0316782797628357i</v>
      </c>
      <c r="AQ287" s="170" t="str">
        <f t="shared" si="161"/>
        <v>1.16362843386479+0.0316782797628357i</v>
      </c>
      <c r="AR287" s="170" t="str">
        <f t="shared" si="162"/>
        <v>0.715334097635888-0.0194740460178875i</v>
      </c>
    </row>
    <row r="288" spans="7:44">
      <c r="G288" s="688">
        <v>18946.5</v>
      </c>
      <c r="H288" s="676">
        <f t="shared" si="154"/>
        <v>18.9465</v>
      </c>
      <c r="I288" s="677">
        <f t="shared" si="134"/>
        <v>16.698808544636737</v>
      </c>
      <c r="J288" s="678">
        <f t="shared" si="135"/>
        <v>1.51087596442956</v>
      </c>
      <c r="K288" s="678">
        <f t="shared" si="136"/>
        <v>1.000342893014935</v>
      </c>
      <c r="L288" s="679">
        <f t="shared" si="137"/>
        <v>2.6183776042140894E-2</v>
      </c>
      <c r="M288" s="678">
        <f t="shared" si="138"/>
        <v>1.0474511575627665</v>
      </c>
      <c r="N288" s="679">
        <f t="shared" si="139"/>
        <v>-0.30215154543343548</v>
      </c>
      <c r="O288" s="677">
        <f t="shared" si="140"/>
        <v>1692810.9454736146</v>
      </c>
      <c r="P288" s="680">
        <f t="shared" si="141"/>
        <v>1.5707957360614762</v>
      </c>
      <c r="Q288" s="689">
        <f t="shared" si="163"/>
        <v>8.5229233498757253</v>
      </c>
      <c r="R288" s="690">
        <f t="shared" si="164"/>
        <v>1.4531948063932394</v>
      </c>
      <c r="S288" s="677">
        <f t="shared" si="142"/>
        <v>1.0015907397164185</v>
      </c>
      <c r="T288" s="680">
        <f t="shared" si="143"/>
        <v>5.6367257591362754E-2</v>
      </c>
      <c r="U288" s="681">
        <f t="shared" si="155"/>
        <v>0.48030327616526425</v>
      </c>
      <c r="V288" s="682">
        <f t="shared" si="156"/>
        <v>-1.5084905441341674</v>
      </c>
      <c r="W288" s="683">
        <f t="shared" si="144"/>
        <v>-27.027397984205823</v>
      </c>
      <c r="X288" s="684">
        <f t="shared" si="145"/>
        <v>-198.77638933826503</v>
      </c>
      <c r="Y288" s="687">
        <f t="shared" si="146"/>
        <v>-18.776389338265034</v>
      </c>
      <c r="AA288" s="170">
        <f t="shared" si="147"/>
        <v>18946.5</v>
      </c>
      <c r="AB288" s="170">
        <f t="shared" si="148"/>
        <v>358969862.25</v>
      </c>
      <c r="AD288" s="686">
        <f t="shared" si="149"/>
        <v>-0.86875342512464515</v>
      </c>
      <c r="AE288" s="687">
        <f t="shared" si="150"/>
        <v>-9.9676429109063225</v>
      </c>
      <c r="AG288" s="686">
        <f t="shared" si="151"/>
        <v>44.310547984898385</v>
      </c>
      <c r="AH288" s="687">
        <f t="shared" si="152"/>
        <v>-15.948463001275382</v>
      </c>
      <c r="AJ288" s="170">
        <f t="shared" si="153"/>
        <v>0</v>
      </c>
      <c r="AK288" s="170">
        <f t="shared" si="165"/>
        <v>0</v>
      </c>
      <c r="AM288" s="170" t="str">
        <f t="shared" si="157"/>
        <v>1.98485855501618+0.173359818330089i</v>
      </c>
      <c r="AN288" s="170" t="str">
        <f t="shared" si="158"/>
        <v>2.96735252858053i</v>
      </c>
      <c r="AO288" s="170" t="str">
        <f t="shared" si="159"/>
        <v>0.0584223871819564-0.668898803191969i</v>
      </c>
      <c r="AP288" s="170" t="str">
        <f t="shared" si="160"/>
        <v>-0.164143092502697-0.0288933030550148i</v>
      </c>
      <c r="AQ288" s="170" t="str">
        <f t="shared" si="161"/>
        <v>1.1641430925027+0.0288933030550148i</v>
      </c>
      <c r="AR288" s="170" t="str">
        <f t="shared" si="162"/>
        <v>0.715107268291739-0.0177485148970628i</v>
      </c>
    </row>
    <row r="289" spans="7:44">
      <c r="G289" s="688">
        <v>19055</v>
      </c>
      <c r="H289" s="676">
        <f t="shared" si="154"/>
        <v>19.055</v>
      </c>
      <c r="I289" s="677">
        <f t="shared" si="134"/>
        <v>16.794094834453876</v>
      </c>
      <c r="J289" s="678">
        <f t="shared" si="135"/>
        <v>1.5112163444247659</v>
      </c>
      <c r="K289" s="678">
        <f t="shared" si="136"/>
        <v>1.0003468308346917</v>
      </c>
      <c r="L289" s="679">
        <f t="shared" si="137"/>
        <v>2.6333652284770193E-2</v>
      </c>
      <c r="M289" s="678">
        <f t="shared" si="138"/>
        <v>1.0479837054742183</v>
      </c>
      <c r="N289" s="679">
        <f t="shared" si="139"/>
        <v>-0.30377762879160353</v>
      </c>
      <c r="O289" s="677">
        <f t="shared" si="140"/>
        <v>1702505.0835774238</v>
      </c>
      <c r="P289" s="680">
        <f t="shared" si="141"/>
        <v>1.5707957394251379</v>
      </c>
      <c r="Q289" s="689">
        <f t="shared" si="163"/>
        <v>8.5710611355974642</v>
      </c>
      <c r="R289" s="690">
        <f t="shared" si="164"/>
        <v>1.4538583295177809</v>
      </c>
      <c r="S289" s="677">
        <f t="shared" si="142"/>
        <v>1.0016089964316892</v>
      </c>
      <c r="T289" s="680">
        <f t="shared" si="143"/>
        <v>5.6689364053623618E-2</v>
      </c>
      <c r="U289" s="681">
        <f t="shared" si="155"/>
        <v>0.47774097905897189</v>
      </c>
      <c r="V289" s="682">
        <f t="shared" si="156"/>
        <v>-1.5145799248315839</v>
      </c>
      <c r="W289" s="683">
        <f t="shared" si="144"/>
        <v>-27.119669500012883</v>
      </c>
      <c r="X289" s="684">
        <f t="shared" si="145"/>
        <v>-199.20980638605371</v>
      </c>
      <c r="Y289" s="687">
        <f t="shared" si="146"/>
        <v>-19.209806386053714</v>
      </c>
      <c r="AA289" s="170">
        <f t="shared" si="147"/>
        <v>19055</v>
      </c>
      <c r="AB289" s="170">
        <f t="shared" si="148"/>
        <v>363093025</v>
      </c>
      <c r="AD289" s="686">
        <f t="shared" si="149"/>
        <v>-0.86959072245891189</v>
      </c>
      <c r="AE289" s="687">
        <f t="shared" si="150"/>
        <v>-9.9480813698034734</v>
      </c>
      <c r="AG289" s="686">
        <f t="shared" si="151"/>
        <v>44.312035916229519</v>
      </c>
      <c r="AH289" s="687">
        <f t="shared" si="152"/>
        <v>-15.703649961748784</v>
      </c>
      <c r="AJ289" s="170">
        <f t="shared" si="153"/>
        <v>0</v>
      </c>
      <c r="AK289" s="170">
        <f t="shared" si="165"/>
        <v>0</v>
      </c>
      <c r="AM289" s="170" t="str">
        <f t="shared" si="157"/>
        <v>1.9876621241337+0.156599899590326i</v>
      </c>
      <c r="AN289" s="170" t="str">
        <f t="shared" si="158"/>
        <v>2.98434552197514i</v>
      </c>
      <c r="AO289" s="170" t="str">
        <f t="shared" si="159"/>
        <v>0.0524737830915379-0.666029489379701i</v>
      </c>
      <c r="AP289" s="170" t="str">
        <f t="shared" si="160"/>
        <v>-0.164610354022284-0.0260999832650543i</v>
      </c>
      <c r="AQ289" s="170" t="str">
        <f t="shared" si="161"/>
        <v>1.16461035402228+0.0260999832650543i</v>
      </c>
      <c r="AR289" s="170" t="str">
        <f t="shared" si="162"/>
        <v>0.714901626668116-0.0160215993510229i</v>
      </c>
    </row>
    <row r="290" spans="7:44">
      <c r="G290" s="688">
        <v>19165.75</v>
      </c>
      <c r="H290" s="676">
        <f t="shared" si="154"/>
        <v>19.165749999999999</v>
      </c>
      <c r="I290" s="677">
        <f t="shared" si="134"/>
        <v>16.891359091046642</v>
      </c>
      <c r="J290" s="678">
        <f t="shared" si="135"/>
        <v>1.5115598224169373</v>
      </c>
      <c r="K290" s="678">
        <f t="shared" si="136"/>
        <v>1.0003508734886035</v>
      </c>
      <c r="L290" s="679">
        <f t="shared" si="137"/>
        <v>2.6486635339645983E-2</v>
      </c>
      <c r="M290" s="678">
        <f t="shared" si="138"/>
        <v>1.0485301518826668</v>
      </c>
      <c r="N290" s="679">
        <f t="shared" si="139"/>
        <v>-0.30543572477326097</v>
      </c>
      <c r="O290" s="677">
        <f t="shared" si="140"/>
        <v>1712400.2521949066</v>
      </c>
      <c r="P290" s="680">
        <f t="shared" si="141"/>
        <v>1.570795742819276</v>
      </c>
      <c r="Q290" s="689">
        <f t="shared" si="163"/>
        <v>8.620201018126231</v>
      </c>
      <c r="R290" s="690">
        <f t="shared" si="164"/>
        <v>1.4545279693048916</v>
      </c>
      <c r="S290" s="677">
        <f t="shared" si="142"/>
        <v>1.0016277389128581</v>
      </c>
      <c r="T290" s="680">
        <f t="shared" si="143"/>
        <v>5.7018137998167732E-2</v>
      </c>
      <c r="U290" s="681">
        <f t="shared" si="155"/>
        <v>0.47513720479086985</v>
      </c>
      <c r="V290" s="682">
        <f t="shared" si="156"/>
        <v>-1.5207914822913202</v>
      </c>
      <c r="W290" s="683">
        <f t="shared" si="144"/>
        <v>-27.213579364979282</v>
      </c>
      <c r="X290" s="684">
        <f t="shared" si="145"/>
        <v>-199.65208889121774</v>
      </c>
      <c r="Y290" s="687">
        <f t="shared" si="146"/>
        <v>-19.652088891217744</v>
      </c>
      <c r="AA290" s="170">
        <f t="shared" si="147"/>
        <v>19165.75</v>
      </c>
      <c r="AB290" s="170">
        <f t="shared" si="148"/>
        <v>367325973.0625</v>
      </c>
      <c r="AD290" s="686">
        <f t="shared" si="149"/>
        <v>-0.87043455784499357</v>
      </c>
      <c r="AE290" s="687">
        <f t="shared" si="150"/>
        <v>-9.9285513900917106</v>
      </c>
      <c r="AG290" s="686">
        <f t="shared" si="151"/>
        <v>44.313908159382706</v>
      </c>
      <c r="AH290" s="687">
        <f t="shared" si="152"/>
        <v>-15.453670392519468</v>
      </c>
      <c r="AJ290" s="170">
        <f t="shared" si="153"/>
        <v>0</v>
      </c>
      <c r="AK290" s="170">
        <f t="shared" si="165"/>
        <v>0</v>
      </c>
      <c r="AM290" s="170" t="str">
        <f t="shared" si="157"/>
        <v>1.99022970168989+0.139445824215558i</v>
      </c>
      <c r="AN290" s="170" t="str">
        <f t="shared" si="158"/>
        <v>3.00169090463369i</v>
      </c>
      <c r="AO290" s="170" t="str">
        <f t="shared" si="159"/>
        <v>0.0464557573200813-0.663036190241169i</v>
      </c>
      <c r="AP290" s="170" t="str">
        <f t="shared" si="160"/>
        <v>-0.165038283614981-0.023240970702593i</v>
      </c>
      <c r="AQ290" s="170" t="str">
        <f t="shared" si="161"/>
        <v>1.16503828361498+0.023240970702593i</v>
      </c>
      <c r="AR290" s="170" t="str">
        <f t="shared" si="162"/>
        <v>0.714713543333507-0.0142575885745313i</v>
      </c>
    </row>
    <row r="291" spans="7:44">
      <c r="G291" s="688">
        <v>19276.5</v>
      </c>
      <c r="H291" s="676">
        <f t="shared" si="154"/>
        <v>19.276499999999999</v>
      </c>
      <c r="I291" s="677">
        <f t="shared" si="134"/>
        <v>16.98862531761484</v>
      </c>
      <c r="J291" s="678">
        <f t="shared" si="135"/>
        <v>1.5118993673691421</v>
      </c>
      <c r="K291" s="678">
        <f t="shared" si="136"/>
        <v>1.0003549395543527</v>
      </c>
      <c r="L291" s="679">
        <f t="shared" si="137"/>
        <v>2.6639617154465202E-2</v>
      </c>
      <c r="M291" s="678">
        <f t="shared" si="138"/>
        <v>1.0490794779887687</v>
      </c>
      <c r="N291" s="679">
        <f t="shared" si="139"/>
        <v>-0.30709208885785649</v>
      </c>
      <c r="O291" s="677">
        <f t="shared" si="140"/>
        <v>1722295.4208123896</v>
      </c>
      <c r="P291" s="680">
        <f t="shared" si="141"/>
        <v>1.5707957461744131</v>
      </c>
      <c r="Q291" s="689">
        <f t="shared" si="163"/>
        <v>8.6693447222819664</v>
      </c>
      <c r="R291" s="690">
        <f t="shared" si="164"/>
        <v>1.4551900174444388</v>
      </c>
      <c r="S291" s="677">
        <f t="shared" si="142"/>
        <v>1.0016465896582212</v>
      </c>
      <c r="T291" s="680">
        <f t="shared" si="143"/>
        <v>5.7346899603355879E-2</v>
      </c>
      <c r="U291" s="681">
        <f t="shared" si="155"/>
        <v>0.47254504624676175</v>
      </c>
      <c r="V291" s="682">
        <f t="shared" si="156"/>
        <v>-1.526999352639536</v>
      </c>
      <c r="W291" s="683">
        <f t="shared" si="144"/>
        <v>-27.307217213989116</v>
      </c>
      <c r="X291" s="684">
        <f t="shared" si="145"/>
        <v>-200.09426989465734</v>
      </c>
      <c r="Y291" s="687">
        <f t="shared" si="146"/>
        <v>-20.094269894657344</v>
      </c>
      <c r="AA291" s="170">
        <f t="shared" si="147"/>
        <v>19276.5</v>
      </c>
      <c r="AB291" s="170">
        <f t="shared" si="148"/>
        <v>371583452.25</v>
      </c>
      <c r="AD291" s="686">
        <f t="shared" si="149"/>
        <v>-0.87126772398532049</v>
      </c>
      <c r="AE291" s="687">
        <f t="shared" si="150"/>
        <v>-9.909455670517767</v>
      </c>
      <c r="AG291" s="686">
        <f t="shared" si="151"/>
        <v>44.316136423112795</v>
      </c>
      <c r="AH291" s="687">
        <f t="shared" si="152"/>
        <v>-15.203577573285804</v>
      </c>
      <c r="AJ291" s="170">
        <f t="shared" si="153"/>
        <v>0</v>
      </c>
      <c r="AK291" s="170">
        <f t="shared" si="165"/>
        <v>0</v>
      </c>
      <c r="AM291" s="170" t="str">
        <f t="shared" si="157"/>
        <v>1.99249936393032+0.122249795901296i</v>
      </c>
      <c r="AN291" s="170" t="str">
        <f t="shared" si="158"/>
        <v>3.01903628729225i</v>
      </c>
      <c r="AO291" s="170" t="str">
        <f t="shared" si="159"/>
        <v>0.0404929865917382-0.659978607185731i</v>
      </c>
      <c r="AP291" s="170" t="str">
        <f t="shared" si="160"/>
        <v>-0.165416560655054-0.0203749659835493i</v>
      </c>
      <c r="AQ291" s="170" t="str">
        <f t="shared" si="161"/>
        <v>1.16541656065505+0.0203749659835493i</v>
      </c>
      <c r="AR291" s="170" t="str">
        <f t="shared" si="162"/>
        <v>0.7145474805755-0.0124924264008858i</v>
      </c>
    </row>
    <row r="292" spans="7:44">
      <c r="G292" s="688">
        <v>19387.25</v>
      </c>
      <c r="H292" s="676">
        <f t="shared" si="154"/>
        <v>19.387250000000002</v>
      </c>
      <c r="I292" s="677">
        <f t="shared" si="134"/>
        <v>17.08589348051456</v>
      </c>
      <c r="J292" s="678">
        <f t="shared" si="135"/>
        <v>1.5122350463735377</v>
      </c>
      <c r="K292" s="678">
        <f t="shared" si="136"/>
        <v>1.0003590290316537</v>
      </c>
      <c r="L292" s="679">
        <f t="shared" si="137"/>
        <v>2.6792597722082416E-2</v>
      </c>
      <c r="M292" s="678">
        <f t="shared" si="138"/>
        <v>1.0496316792712432</v>
      </c>
      <c r="N292" s="679">
        <f t="shared" si="139"/>
        <v>-0.30874671468311154</v>
      </c>
      <c r="O292" s="677">
        <f t="shared" si="140"/>
        <v>1732190.5894298723</v>
      </c>
      <c r="P292" s="680">
        <f t="shared" si="141"/>
        <v>1.5707957494912177</v>
      </c>
      <c r="Q292" s="689">
        <f t="shared" si="163"/>
        <v>8.7184921834403362</v>
      </c>
      <c r="R292" s="690">
        <f t="shared" si="164"/>
        <v>1.4558446017369002</v>
      </c>
      <c r="S292" s="677">
        <f t="shared" si="142"/>
        <v>1.0016655486616659</v>
      </c>
      <c r="T292" s="680">
        <f t="shared" si="143"/>
        <v>5.7675648798818868E-2</v>
      </c>
      <c r="U292" s="681">
        <f t="shared" si="155"/>
        <v>0.46996433944500526</v>
      </c>
      <c r="V292" s="682">
        <f t="shared" si="156"/>
        <v>-1.5332039941583657</v>
      </c>
      <c r="W292" s="683">
        <f t="shared" si="144"/>
        <v>-27.400589015200026</v>
      </c>
      <c r="X292" s="684">
        <f t="shared" si="145"/>
        <v>-200.53637180755828</v>
      </c>
      <c r="Y292" s="687">
        <f t="shared" si="146"/>
        <v>-20.536371807558282</v>
      </c>
      <c r="AA292" s="170">
        <f t="shared" si="147"/>
        <v>19387.25</v>
      </c>
      <c r="AB292" s="170">
        <f t="shared" si="148"/>
        <v>375865462.5625</v>
      </c>
      <c r="AD292" s="686">
        <f t="shared" si="149"/>
        <v>-0.8720904822807698</v>
      </c>
      <c r="AE292" s="687">
        <f t="shared" si="150"/>
        <v>-9.8907868846600877</v>
      </c>
      <c r="AG292" s="686">
        <f t="shared" si="151"/>
        <v>44.318719761171394</v>
      </c>
      <c r="AH292" s="687">
        <f t="shared" si="152"/>
        <v>-14.953348726390796</v>
      </c>
      <c r="AJ292" s="170">
        <f t="shared" si="153"/>
        <v>0</v>
      </c>
      <c r="AK292" s="170">
        <f t="shared" si="165"/>
        <v>0</v>
      </c>
      <c r="AM292" s="170" t="str">
        <f t="shared" si="157"/>
        <v>1.99447042801632+0.105016988154468i</v>
      </c>
      <c r="AN292" s="170" t="str">
        <f t="shared" si="158"/>
        <v>3.0363816699508i</v>
      </c>
      <c r="AO292" s="170" t="str">
        <f t="shared" si="159"/>
        <v>0.034586227809816-0.656857616996692i</v>
      </c>
      <c r="AP292" s="170" t="str">
        <f t="shared" si="160"/>
        <v>-0.165745071336054-0.017502831359078i</v>
      </c>
      <c r="AQ292" s="170" t="str">
        <f t="shared" si="161"/>
        <v>1.16574507133605+0.017502831359078i</v>
      </c>
      <c r="AR292" s="170" t="str">
        <f t="shared" si="162"/>
        <v>0.714403415112994-0.0107262580855189i</v>
      </c>
    </row>
    <row r="293" spans="7:44">
      <c r="G293" s="688">
        <v>19498</v>
      </c>
      <c r="H293" s="676">
        <f t="shared" si="154"/>
        <v>19.498000000000001</v>
      </c>
      <c r="I293" s="677">
        <f t="shared" si="134"/>
        <v>17.183163546863021</v>
      </c>
      <c r="J293" s="678">
        <f t="shared" si="135"/>
        <v>1.5125669250066369</v>
      </c>
      <c r="K293" s="678">
        <f t="shared" si="136"/>
        <v>1.0003631419202195</v>
      </c>
      <c r="L293" s="679">
        <f t="shared" si="137"/>
        <v>2.6945577035352542E-2</v>
      </c>
      <c r="M293" s="678">
        <f t="shared" si="138"/>
        <v>1.0501867511946799</v>
      </c>
      <c r="N293" s="679">
        <f t="shared" si="139"/>
        <v>-0.31039959593816574</v>
      </c>
      <c r="O293" s="677">
        <f t="shared" si="140"/>
        <v>1742085.7580473551</v>
      </c>
      <c r="P293" s="680">
        <f t="shared" si="141"/>
        <v>1.5707957527703429</v>
      </c>
      <c r="Q293" s="689">
        <f t="shared" si="163"/>
        <v>8.7676433384211485</v>
      </c>
      <c r="R293" s="690">
        <f t="shared" si="164"/>
        <v>1.4564918471428845</v>
      </c>
      <c r="S293" s="677">
        <f t="shared" si="142"/>
        <v>1.0016846159170452</v>
      </c>
      <c r="T293" s="680">
        <f t="shared" si="143"/>
        <v>5.8004385514203553E-2</v>
      </c>
      <c r="U293" s="681">
        <f t="shared" si="155"/>
        <v>0.46739491950181755</v>
      </c>
      <c r="V293" s="682">
        <f t="shared" si="156"/>
        <v>-1.5394058646768811</v>
      </c>
      <c r="W293" s="683">
        <f t="shared" si="144"/>
        <v>-27.493700743941979</v>
      </c>
      <c r="X293" s="684">
        <f t="shared" si="145"/>
        <v>-200.97841709396624</v>
      </c>
      <c r="Y293" s="687">
        <f t="shared" si="146"/>
        <v>-20.978417093966243</v>
      </c>
      <c r="AA293" s="170">
        <f t="shared" si="147"/>
        <v>19498</v>
      </c>
      <c r="AB293" s="170">
        <f t="shared" si="148"/>
        <v>380172004</v>
      </c>
      <c r="AD293" s="686">
        <f t="shared" si="149"/>
        <v>-0.87290308682275186</v>
      </c>
      <c r="AE293" s="687">
        <f t="shared" si="150"/>
        <v>-9.8725378688096814</v>
      </c>
      <c r="AG293" s="686">
        <f t="shared" si="151"/>
        <v>44.321657351152489</v>
      </c>
      <c r="AH293" s="687">
        <f t="shared" si="152"/>
        <v>-14.702961016242005</v>
      </c>
      <c r="AJ293" s="170">
        <f t="shared" si="153"/>
        <v>0</v>
      </c>
      <c r="AK293" s="170">
        <f t="shared" si="165"/>
        <v>0</v>
      </c>
      <c r="AM293" s="170" t="str">
        <f t="shared" si="157"/>
        <v>1.99614230094388+0.0877525855472441i</v>
      </c>
      <c r="AN293" s="170" t="str">
        <f t="shared" si="158"/>
        <v>3.05372705260935i</v>
      </c>
      <c r="AO293" s="170" t="str">
        <f t="shared" si="159"/>
        <v>0.0287362243040881-0.653674105954629i</v>
      </c>
      <c r="AP293" s="170" t="str">
        <f t="shared" si="160"/>
        <v>-0.166023716823981-0.0146254309245407i</v>
      </c>
      <c r="AQ293" s="170" t="str">
        <f t="shared" si="161"/>
        <v>1.16602371682398+0.0146254309245407i</v>
      </c>
      <c r="AR293" s="170" t="str">
        <f t="shared" si="162"/>
        <v>0.714281326712569-0.00895922789030282i</v>
      </c>
    </row>
    <row r="294" spans="7:44">
      <c r="G294" s="688">
        <v>19611.75</v>
      </c>
      <c r="H294" s="676">
        <f t="shared" si="154"/>
        <v>19.611750000000001</v>
      </c>
      <c r="I294" s="677">
        <f t="shared" si="134"/>
        <v>17.283070416012119</v>
      </c>
      <c r="J294" s="678">
        <f t="shared" si="135"/>
        <v>1.5129039047215134</v>
      </c>
      <c r="K294" s="678">
        <f t="shared" si="136"/>
        <v>1.0003673905896575</v>
      </c>
      <c r="L294" s="679">
        <f t="shared" si="137"/>
        <v>2.7102698944506943E-2</v>
      </c>
      <c r="M294" s="678">
        <f t="shared" si="138"/>
        <v>1.0507598424818507</v>
      </c>
      <c r="N294" s="679">
        <f t="shared" si="139"/>
        <v>-0.31209542783010324</v>
      </c>
      <c r="O294" s="677">
        <f t="shared" si="140"/>
        <v>1752248.9673497363</v>
      </c>
      <c r="P294" s="680">
        <f t="shared" si="141"/>
        <v>1.5707957560997394</v>
      </c>
      <c r="Q294" s="689">
        <f t="shared" si="163"/>
        <v>8.81812968204882</v>
      </c>
      <c r="R294" s="690">
        <f t="shared" si="164"/>
        <v>1.4571491137210546</v>
      </c>
      <c r="S294" s="677">
        <f t="shared" si="142"/>
        <v>1.001704312350582</v>
      </c>
      <c r="T294" s="680">
        <f t="shared" si="143"/>
        <v>5.834201399597768E-2</v>
      </c>
      <c r="U294" s="681">
        <f t="shared" si="155"/>
        <v>0.46476747451313793</v>
      </c>
      <c r="V294" s="682">
        <f t="shared" si="156"/>
        <v>-1.545773327571071</v>
      </c>
      <c r="W294" s="683">
        <f t="shared" si="144"/>
        <v>-27.589070237781375</v>
      </c>
      <c r="X294" s="684">
        <f t="shared" si="145"/>
        <v>-201.4324012247456</v>
      </c>
      <c r="Y294" s="687">
        <f t="shared" si="146"/>
        <v>-21.432401224745604</v>
      </c>
      <c r="AA294" s="170">
        <f t="shared" si="147"/>
        <v>19611.75</v>
      </c>
      <c r="AB294" s="170">
        <f t="shared" si="148"/>
        <v>384620738.0625</v>
      </c>
      <c r="AD294" s="686">
        <f t="shared" si="149"/>
        <v>-0.87372739260533594</v>
      </c>
      <c r="AE294" s="687">
        <f t="shared" si="150"/>
        <v>-9.8542241456540314</v>
      </c>
      <c r="AG294" s="686">
        <f t="shared" si="151"/>
        <v>44.325042557141501</v>
      </c>
      <c r="AH294" s="687">
        <f t="shared" si="152"/>
        <v>-14.445601369256753</v>
      </c>
      <c r="AJ294" s="170">
        <f t="shared" si="153"/>
        <v>0</v>
      </c>
      <c r="AK294" s="170">
        <f t="shared" si="165"/>
        <v>0</v>
      </c>
      <c r="AM294" s="170" t="str">
        <f t="shared" si="157"/>
        <v>1.99754747624867+0.0699930898725138i</v>
      </c>
      <c r="AN294" s="170" t="str">
        <f t="shared" si="158"/>
        <v>3.07154228761983i</v>
      </c>
      <c r="AO294" s="170" t="str">
        <f t="shared" si="159"/>
        <v>0.022787604180033-0.650340216476912i</v>
      </c>
      <c r="AP294" s="170" t="str">
        <f t="shared" si="160"/>
        <v>-0.166257912708112-0.0116655149787523i</v>
      </c>
      <c r="AQ294" s="170" t="str">
        <f t="shared" si="161"/>
        <v>1.16625791270811+0.0116655149787523i</v>
      </c>
      <c r="AR294" s="170" t="str">
        <f t="shared" si="162"/>
        <v>0.714178791258571-0.00714358573361227i</v>
      </c>
    </row>
    <row r="295" spans="7:44">
      <c r="G295" s="688">
        <v>19725.5</v>
      </c>
      <c r="H295" s="676">
        <f t="shared" si="154"/>
        <v>19.7255</v>
      </c>
      <c r="I295" s="677">
        <f t="shared" si="134"/>
        <v>17.382979225186322</v>
      </c>
      <c r="J295" s="678">
        <f t="shared" si="135"/>
        <v>1.5132370108867557</v>
      </c>
      <c r="K295" s="678">
        <f t="shared" si="136"/>
        <v>1.0003716639552496</v>
      </c>
      <c r="L295" s="679">
        <f t="shared" si="137"/>
        <v>2.7259819515160391E-2</v>
      </c>
      <c r="M295" s="678">
        <f t="shared" si="138"/>
        <v>1.0513359522928032</v>
      </c>
      <c r="N295" s="679">
        <f t="shared" si="139"/>
        <v>-0.31378940602938116</v>
      </c>
      <c r="O295" s="677">
        <f t="shared" si="140"/>
        <v>1762412.1766521169</v>
      </c>
      <c r="P295" s="680">
        <f t="shared" si="141"/>
        <v>1.5707957593907369</v>
      </c>
      <c r="Q295" s="689">
        <f t="shared" si="163"/>
        <v>8.8686197917300724</v>
      </c>
      <c r="R295" s="690">
        <f t="shared" si="164"/>
        <v>1.457798896783312</v>
      </c>
      <c r="S295" s="677">
        <f t="shared" si="142"/>
        <v>1.0017241229668923</v>
      </c>
      <c r="T295" s="680">
        <f t="shared" si="143"/>
        <v>5.8679629162004018E-2</v>
      </c>
      <c r="U295" s="681">
        <f t="shared" si="155"/>
        <v>0.46215158077148055</v>
      </c>
      <c r="V295" s="682">
        <f t="shared" si="156"/>
        <v>-1.5521388451381484</v>
      </c>
      <c r="W295" s="683">
        <f t="shared" si="144"/>
        <v>-27.684178189029481</v>
      </c>
      <c r="X295" s="684">
        <f t="shared" si="145"/>
        <v>-201.88637383511181</v>
      </c>
      <c r="Y295" s="687">
        <f t="shared" si="146"/>
        <v>-21.886373835111812</v>
      </c>
      <c r="AA295" s="170">
        <f t="shared" si="147"/>
        <v>19725.5</v>
      </c>
      <c r="AB295" s="170">
        <f t="shared" si="148"/>
        <v>389095350.25</v>
      </c>
      <c r="AD295" s="686">
        <f t="shared" si="149"/>
        <v>-0.87454150779836271</v>
      </c>
      <c r="AE295" s="687">
        <f t="shared" si="150"/>
        <v>-9.8363384312403443</v>
      </c>
      <c r="AG295" s="686">
        <f t="shared" si="151"/>
        <v>44.328800107717669</v>
      </c>
      <c r="AH295" s="687">
        <f t="shared" si="152"/>
        <v>-14.18802511118335</v>
      </c>
      <c r="AJ295" s="170">
        <f t="shared" si="153"/>
        <v>0</v>
      </c>
      <c r="AK295" s="170">
        <f t="shared" si="165"/>
        <v>0</v>
      </c>
      <c r="AM295" s="170" t="str">
        <f t="shared" si="157"/>
        <v>1.99863605571698+0.0522113801965821i</v>
      </c>
      <c r="AN295" s="170" t="str">
        <f t="shared" si="158"/>
        <v>3.08935752263031i</v>
      </c>
      <c r="AO295" s="170" t="str">
        <f t="shared" si="159"/>
        <v>0.016900400751328-0.646942298221062i</v>
      </c>
      <c r="AP295" s="170" t="str">
        <f t="shared" si="160"/>
        <v>-0.166439342619497-0.00870189669943035i</v>
      </c>
      <c r="AQ295" s="170" t="str">
        <f t="shared" si="161"/>
        <v>1.1664393426195+0.00870189669943035i</v>
      </c>
      <c r="AR295" s="170" t="str">
        <f t="shared" si="162"/>
        <v>0.714099406287876-0.00532734025644803i</v>
      </c>
    </row>
    <row r="296" spans="7:44">
      <c r="G296" s="688">
        <v>19839.25</v>
      </c>
      <c r="H296" s="676">
        <f t="shared" si="154"/>
        <v>19.83925</v>
      </c>
      <c r="I296" s="677">
        <f t="shared" si="134"/>
        <v>17.482889941125858</v>
      </c>
      <c r="J296" s="678">
        <f t="shared" si="135"/>
        <v>1.5135663098371501</v>
      </c>
      <c r="K296" s="678">
        <f t="shared" si="136"/>
        <v>1.0003759620166794</v>
      </c>
      <c r="L296" s="679">
        <f t="shared" si="137"/>
        <v>2.7416938739572457E-2</v>
      </c>
      <c r="M296" s="678">
        <f t="shared" si="138"/>
        <v>1.051915075668008</v>
      </c>
      <c r="N296" s="679">
        <f t="shared" si="139"/>
        <v>-0.31548152386773592</v>
      </c>
      <c r="O296" s="677">
        <f t="shared" si="140"/>
        <v>1772575.3859544978</v>
      </c>
      <c r="P296" s="680">
        <f t="shared" si="141"/>
        <v>1.5707957626439961</v>
      </c>
      <c r="Q296" s="689">
        <f t="shared" si="163"/>
        <v>8.9191136035072702</v>
      </c>
      <c r="R296" s="690">
        <f t="shared" si="164"/>
        <v>1.4584413228756146</v>
      </c>
      <c r="S296" s="677">
        <f t="shared" si="142"/>
        <v>1.0017440477592017</v>
      </c>
      <c r="T296" s="680">
        <f t="shared" si="143"/>
        <v>5.901723093610943E-2</v>
      </c>
      <c r="U296" s="681">
        <f t="shared" si="155"/>
        <v>0.45954705686325587</v>
      </c>
      <c r="V296" s="682">
        <f t="shared" si="156"/>
        <v>-1.5585029123613481</v>
      </c>
      <c r="W296" s="683">
        <f t="shared" si="144"/>
        <v>-27.779031110115582</v>
      </c>
      <c r="X296" s="684">
        <f t="shared" si="145"/>
        <v>-202.34035944972285</v>
      </c>
      <c r="Y296" s="687">
        <f t="shared" si="146"/>
        <v>-22.340359449722854</v>
      </c>
      <c r="AA296" s="170">
        <f t="shared" si="147"/>
        <v>19839.25</v>
      </c>
      <c r="AB296" s="170">
        <f t="shared" si="148"/>
        <v>393595840.5625</v>
      </c>
      <c r="AD296" s="686">
        <f t="shared" si="149"/>
        <v>-0.87534568520391653</v>
      </c>
      <c r="AE296" s="687">
        <f t="shared" si="150"/>
        <v>-9.818873470692763</v>
      </c>
      <c r="AG296" s="686">
        <f t="shared" si="151"/>
        <v>44.332929516927791</v>
      </c>
      <c r="AH296" s="687">
        <f t="shared" si="152"/>
        <v>-13.930207300654905</v>
      </c>
      <c r="AJ296" s="170">
        <f t="shared" si="153"/>
        <v>0</v>
      </c>
      <c r="AK296" s="170">
        <f t="shared" si="165"/>
        <v>0</v>
      </c>
      <c r="AM296" s="170" t="str">
        <f t="shared" si="157"/>
        <v>1.99940769386176+0.0344130999754069i</v>
      </c>
      <c r="AN296" s="170" t="str">
        <f t="shared" si="158"/>
        <v>3.10717275764079i</v>
      </c>
      <c r="AO296" s="170" t="str">
        <f t="shared" si="159"/>
        <v>0.0110753738718848-0.643481341339986i</v>
      </c>
      <c r="AP296" s="170" t="str">
        <f t="shared" si="160"/>
        <v>-0.16656794897696-0.00573551666256782i</v>
      </c>
      <c r="AQ296" s="170" t="str">
        <f t="shared" si="161"/>
        <v>1.16656794897696+0.00573551666256782i</v>
      </c>
      <c r="AR296" s="170" t="str">
        <f t="shared" si="162"/>
        <v>0.714043159993483-0.00351064543263573i</v>
      </c>
    </row>
    <row r="297" spans="7:44">
      <c r="G297" s="688">
        <v>19953</v>
      </c>
      <c r="H297" s="676">
        <f t="shared" si="154"/>
        <v>19.952999999999999</v>
      </c>
      <c r="I297" s="677">
        <f t="shared" si="134"/>
        <v>17.582802531326308</v>
      </c>
      <c r="J297" s="678">
        <f t="shared" si="135"/>
        <v>1.5138918664030641</v>
      </c>
      <c r="K297" s="678">
        <f t="shared" si="136"/>
        <v>1.0003802847736285</v>
      </c>
      <c r="L297" s="679">
        <f t="shared" si="137"/>
        <v>2.757405661000311E-2</v>
      </c>
      <c r="M297" s="678">
        <f t="shared" si="138"/>
        <v>1.0524972076329377</v>
      </c>
      <c r="N297" s="679">
        <f t="shared" si="139"/>
        <v>-0.31717177473415575</v>
      </c>
      <c r="O297" s="677">
        <f t="shared" si="140"/>
        <v>1782738.5952568788</v>
      </c>
      <c r="P297" s="680">
        <f t="shared" si="141"/>
        <v>1.5707957658601626</v>
      </c>
      <c r="Q297" s="689">
        <f t="shared" si="163"/>
        <v>8.9696110548583281</v>
      </c>
      <c r="R297" s="690">
        <f t="shared" si="164"/>
        <v>1.4590765157187935</v>
      </c>
      <c r="S297" s="677">
        <f t="shared" si="142"/>
        <v>1.0017640867206972</v>
      </c>
      <c r="T297" s="680">
        <f t="shared" si="143"/>
        <v>5.9354819242138993E-2</v>
      </c>
      <c r="U297" s="681">
        <f t="shared" si="155"/>
        <v>0.45695372050354938</v>
      </c>
      <c r="V297" s="682">
        <f t="shared" si="156"/>
        <v>-1.5648660240081089</v>
      </c>
      <c r="W297" s="683">
        <f t="shared" si="144"/>
        <v>-27.873635531383488</v>
      </c>
      <c r="X297" s="684">
        <f t="shared" si="145"/>
        <v>-202.79438265982381</v>
      </c>
      <c r="Y297" s="687">
        <f t="shared" si="146"/>
        <v>-22.79438265982381</v>
      </c>
      <c r="AA297" s="170">
        <f t="shared" si="147"/>
        <v>19953</v>
      </c>
      <c r="AB297" s="170">
        <f t="shared" si="148"/>
        <v>398122209</v>
      </c>
      <c r="AD297" s="686">
        <f t="shared" si="149"/>
        <v>-0.87614017052452753</v>
      </c>
      <c r="AE297" s="687">
        <f t="shared" si="150"/>
        <v>-9.801822171003435</v>
      </c>
      <c r="AG297" s="686">
        <f t="shared" si="151"/>
        <v>44.337430434999483</v>
      </c>
      <c r="AH297" s="687">
        <f t="shared" si="152"/>
        <v>-13.672122925752133</v>
      </c>
      <c r="AJ297" s="170">
        <f t="shared" si="153"/>
        <v>0</v>
      </c>
      <c r="AK297" s="170">
        <f t="shared" si="165"/>
        <v>0</v>
      </c>
      <c r="AM297" s="170" t="str">
        <f t="shared" si="157"/>
        <v>1.99986214578497+0.0166038979240109i</v>
      </c>
      <c r="AN297" s="170" t="str">
        <f t="shared" si="158"/>
        <v>3.12498799265127i</v>
      </c>
      <c r="AO297" s="170" t="str">
        <f t="shared" si="159"/>
        <v>0.0053132677511263-0.639958345596159i</v>
      </c>
      <c r="AP297" s="170" t="str">
        <f t="shared" si="160"/>
        <v>-0.166643690964162-0.00276731632066848i</v>
      </c>
      <c r="AQ297" s="170" t="str">
        <f t="shared" si="161"/>
        <v>1.16664369096416+0.00276731632066848i</v>
      </c>
      <c r="AR297" s="170" t="str">
        <f t="shared" si="162"/>
        <v>0.714010044003327-0.00169365476639973i</v>
      </c>
    </row>
    <row r="298" spans="7:44">
      <c r="G298" s="688">
        <v>20069</v>
      </c>
      <c r="H298" s="676">
        <f t="shared" si="154"/>
        <v>20.068999999999999</v>
      </c>
      <c r="I298" s="677">
        <f t="shared" si="134"/>
        <v>17.684693311825949</v>
      </c>
      <c r="J298" s="678">
        <f t="shared" si="135"/>
        <v>1.5142200740788574</v>
      </c>
      <c r="K298" s="678">
        <f t="shared" si="136"/>
        <v>1.0003847184684027</v>
      </c>
      <c r="L298" s="679">
        <f t="shared" si="137"/>
        <v>2.7734280903999591E-2</v>
      </c>
      <c r="M298" s="678">
        <f t="shared" si="138"/>
        <v>1.0530939475679058</v>
      </c>
      <c r="N298" s="679">
        <f t="shared" si="139"/>
        <v>-0.31889352960965217</v>
      </c>
      <c r="O298" s="677">
        <f t="shared" si="140"/>
        <v>1793102.835072933</v>
      </c>
      <c r="P298" s="680">
        <f t="shared" si="141"/>
        <v>1.5707957691023982</v>
      </c>
      <c r="Q298" s="689">
        <f t="shared" si="163"/>
        <v>9.0211110418085312</v>
      </c>
      <c r="R298" s="690">
        <f t="shared" si="164"/>
        <v>1.459716948933421</v>
      </c>
      <c r="S298" s="677">
        <f t="shared" si="142"/>
        <v>1.0017846396291112</v>
      </c>
      <c r="T298" s="680">
        <f t="shared" si="143"/>
        <v>5.9699071169816882E-2</v>
      </c>
      <c r="U298" s="681">
        <f t="shared" si="155"/>
        <v>0.45432041921056415</v>
      </c>
      <c r="V298" s="682">
        <f t="shared" si="156"/>
        <v>-1.5713545280419454</v>
      </c>
      <c r="W298" s="683">
        <f t="shared" si="144"/>
        <v>-27.969862118444112</v>
      </c>
      <c r="X298" s="684">
        <f t="shared" si="145"/>
        <v>-203.25745083142618</v>
      </c>
      <c r="Y298" s="687">
        <f t="shared" si="146"/>
        <v>-23.257450831426183</v>
      </c>
      <c r="AA298" s="170">
        <f t="shared" si="147"/>
        <v>20069</v>
      </c>
      <c r="AB298" s="170">
        <f t="shared" si="148"/>
        <v>402764761</v>
      </c>
      <c r="AD298" s="686">
        <f t="shared" si="149"/>
        <v>-0.87694063695207802</v>
      </c>
      <c r="AE298" s="687">
        <f t="shared" si="150"/>
        <v>-9.7848524190374988</v>
      </c>
      <c r="AG298" s="686">
        <f t="shared" si="151"/>
        <v>44.342402765644891</v>
      </c>
      <c r="AH298" s="687">
        <f t="shared" si="152"/>
        <v>-13.408633055485922</v>
      </c>
      <c r="AJ298" s="170">
        <f t="shared" si="153"/>
        <v>0</v>
      </c>
      <c r="AK298" s="170">
        <f t="shared" si="165"/>
        <v>0</v>
      </c>
      <c r="AM298" s="170" t="str">
        <f t="shared" si="157"/>
        <v>1.99999877857305-0.00156296269954799i</v>
      </c>
      <c r="AN298" s="170" t="str">
        <f t="shared" si="158"/>
        <v>3.14315561692569i</v>
      </c>
      <c r="AO298" s="170" t="str">
        <f t="shared" si="159"/>
        <v>-0.000497259089283247-0.636302818671524i</v>
      </c>
      <c r="AP298" s="170" t="str">
        <f t="shared" si="160"/>
        <v>-0.166666463095509+0.000260493783257998i</v>
      </c>
      <c r="AQ298" s="170" t="str">
        <f t="shared" si="161"/>
        <v>1.16666646309551-0.000260493783257998i</v>
      </c>
      <c r="AR298" s="170" t="str">
        <f t="shared" si="162"/>
        <v>0.714000088989704+0.000159422243041068i</v>
      </c>
    </row>
    <row r="299" spans="7:44">
      <c r="G299" s="688">
        <v>20185</v>
      </c>
      <c r="H299" s="676">
        <f t="shared" si="154"/>
        <v>20.184999999999999</v>
      </c>
      <c r="I299" s="677">
        <f t="shared" si="134"/>
        <v>17.786585975499907</v>
      </c>
      <c r="J299" s="678">
        <f t="shared" si="135"/>
        <v>1.5145445214325166</v>
      </c>
      <c r="K299" s="678">
        <f t="shared" si="136"/>
        <v>1.0003891778446499</v>
      </c>
      <c r="L299" s="679">
        <f t="shared" si="137"/>
        <v>2.7894503773664352E-2</v>
      </c>
      <c r="M299" s="678">
        <f t="shared" si="138"/>
        <v>1.0536938057951593</v>
      </c>
      <c r="N299" s="679">
        <f t="shared" si="139"/>
        <v>-0.32061332922002228</v>
      </c>
      <c r="O299" s="677">
        <f t="shared" si="140"/>
        <v>1803467.0748889875</v>
      </c>
      <c r="P299" s="680">
        <f t="shared" si="141"/>
        <v>1.5707957723073687</v>
      </c>
      <c r="Q299" s="689">
        <f t="shared" si="163"/>
        <v>9.072614686802865</v>
      </c>
      <c r="R299" s="690">
        <f t="shared" si="164"/>
        <v>1.4603501111508479</v>
      </c>
      <c r="S299" s="677">
        <f t="shared" si="142"/>
        <v>1.0018053112535321</v>
      </c>
      <c r="T299" s="680">
        <f t="shared" si="143"/>
        <v>6.0043308931443447E-2</v>
      </c>
      <c r="U299" s="681">
        <f t="shared" si="155"/>
        <v>0.45169836689243392</v>
      </c>
      <c r="V299" s="682">
        <f t="shared" si="156"/>
        <v>-1.5778430771966967</v>
      </c>
      <c r="W299" s="683">
        <f t="shared" si="144"/>
        <v>-28.065844062271555</v>
      </c>
      <c r="X299" s="684">
        <f t="shared" si="145"/>
        <v>-203.72060997450967</v>
      </c>
      <c r="Y299" s="687">
        <f t="shared" si="146"/>
        <v>-23.720609974509671</v>
      </c>
      <c r="AA299" s="170">
        <f t="shared" si="147"/>
        <v>20185</v>
      </c>
      <c r="AB299" s="170">
        <f t="shared" si="148"/>
        <v>407434225</v>
      </c>
      <c r="AD299" s="686">
        <f t="shared" si="149"/>
        <v>-0.87773151863130305</v>
      </c>
      <c r="AE299" s="687">
        <f t="shared" si="150"/>
        <v>-9.76829845073439</v>
      </c>
      <c r="AG299" s="686">
        <f t="shared" si="151"/>
        <v>44.347761144605016</v>
      </c>
      <c r="AH299" s="687">
        <f t="shared" si="152"/>
        <v>-13.144813202562084</v>
      </c>
      <c r="AJ299" s="170">
        <f t="shared" si="153"/>
        <v>0</v>
      </c>
      <c r="AK299" s="170">
        <f t="shared" si="165"/>
        <v>0</v>
      </c>
      <c r="AM299" s="170" t="str">
        <f t="shared" si="157"/>
        <v>1.99980535827084-0.0197293074618082i</v>
      </c>
      <c r="AN299" s="170" t="str">
        <f t="shared" si="158"/>
        <v>3.16132324120011i</v>
      </c>
      <c r="AO299" s="170" t="str">
        <f t="shared" si="159"/>
        <v>-0.00624083839472186-0.632584903754312i</v>
      </c>
      <c r="AP299" s="170" t="str">
        <f t="shared" si="160"/>
        <v>-0.166634226378473+0.00328821791030137i</v>
      </c>
      <c r="AQ299" s="170" t="str">
        <f t="shared" si="161"/>
        <v>1.16663422637847-0.00328821791030137i</v>
      </c>
      <c r="AR299" s="170" t="str">
        <f t="shared" si="162"/>
        <v>0.714014181716274+0.00201248529096982i</v>
      </c>
    </row>
    <row r="300" spans="7:44">
      <c r="G300" s="688">
        <v>20301</v>
      </c>
      <c r="H300" s="676">
        <f t="shared" si="154"/>
        <v>20.300999999999998</v>
      </c>
      <c r="I300" s="677">
        <f t="shared" si="134"/>
        <v>17.888480490168529</v>
      </c>
      <c r="J300" s="678">
        <f t="shared" si="135"/>
        <v>1.5148652726526197</v>
      </c>
      <c r="K300" s="678">
        <f t="shared" si="136"/>
        <v>1.0003936629020262</v>
      </c>
      <c r="L300" s="679">
        <f t="shared" si="137"/>
        <v>2.8054725210790214E-2</v>
      </c>
      <c r="M300" s="678">
        <f t="shared" si="138"/>
        <v>1.0542967769920979</v>
      </c>
      <c r="N300" s="679">
        <f t="shared" si="139"/>
        <v>-0.32233116673807066</v>
      </c>
      <c r="O300" s="677">
        <f t="shared" si="140"/>
        <v>1813831.3147050419</v>
      </c>
      <c r="P300" s="680">
        <f t="shared" si="141"/>
        <v>1.5707957754757127</v>
      </c>
      <c r="Q300" s="689">
        <f t="shared" si="163"/>
        <v>9.1241219278947909</v>
      </c>
      <c r="R300" s="690">
        <f t="shared" si="164"/>
        <v>1.4609761249971618</v>
      </c>
      <c r="S300" s="677">
        <f t="shared" si="142"/>
        <v>1.0018261015866108</v>
      </c>
      <c r="T300" s="680">
        <f t="shared" si="143"/>
        <v>6.0387532446314021E-2</v>
      </c>
      <c r="U300" s="681">
        <f t="shared" si="155"/>
        <v>0.44908736760271428</v>
      </c>
      <c r="V300" s="682">
        <f t="shared" si="156"/>
        <v>-1.5843321959675634</v>
      </c>
      <c r="W300" s="683">
        <f t="shared" si="144"/>
        <v>-28.161588362602462</v>
      </c>
      <c r="X300" s="684">
        <f t="shared" si="145"/>
        <v>-204.18388639692643</v>
      </c>
      <c r="Y300" s="687">
        <f t="shared" si="146"/>
        <v>-24.183886396926425</v>
      </c>
      <c r="AA300" s="170">
        <f t="shared" si="147"/>
        <v>20301</v>
      </c>
      <c r="AB300" s="170">
        <f t="shared" si="148"/>
        <v>412130601</v>
      </c>
      <c r="AD300" s="686">
        <f t="shared" si="149"/>
        <v>-0.87851305482154762</v>
      </c>
      <c r="AE300" s="687">
        <f t="shared" si="150"/>
        <v>-9.7521532355493967</v>
      </c>
      <c r="AG300" s="686">
        <f t="shared" si="151"/>
        <v>44.353505637791102</v>
      </c>
      <c r="AH300" s="687">
        <f t="shared" si="152"/>
        <v>-12.880636602654587</v>
      </c>
      <c r="AJ300" s="170">
        <f t="shared" si="153"/>
        <v>0</v>
      </c>
      <c r="AK300" s="170">
        <f t="shared" si="165"/>
        <v>0</v>
      </c>
      <c r="AM300" s="170" t="str">
        <f t="shared" si="157"/>
        <v>1.99928194871737-0.0378891404972274i</v>
      </c>
      <c r="AN300" s="170" t="str">
        <f t="shared" si="158"/>
        <v>3.17949086547454i</v>
      </c>
      <c r="AO300" s="170" t="str">
        <f t="shared" si="159"/>
        <v>-0.0119167319864504-0.628805690378663i</v>
      </c>
      <c r="AP300" s="170" t="str">
        <f t="shared" si="160"/>
        <v>-0.166546991452895+0.0063148567495379i</v>
      </c>
      <c r="AQ300" s="170" t="str">
        <f t="shared" si="161"/>
        <v>1.16654699145289-0.0063148567495379i</v>
      </c>
      <c r="AR300" s="170" t="str">
        <f t="shared" si="162"/>
        <v>0.714052324366083+0.00386537205366277i</v>
      </c>
    </row>
    <row r="301" spans="7:44">
      <c r="G301" s="688">
        <v>20417</v>
      </c>
      <c r="H301" s="676">
        <f t="shared" si="154"/>
        <v>20.417000000000002</v>
      </c>
      <c r="I301" s="677">
        <f t="shared" si="134"/>
        <v>17.990376824380643</v>
      </c>
      <c r="J301" s="678">
        <f t="shared" si="135"/>
        <v>1.5151823904765875</v>
      </c>
      <c r="K301" s="678">
        <f t="shared" si="136"/>
        <v>1.0003981736401866</v>
      </c>
      <c r="L301" s="679">
        <f t="shared" si="137"/>
        <v>2.8214945207170442E-2</v>
      </c>
      <c r="M301" s="678">
        <f t="shared" si="138"/>
        <v>1.0549028558207016</v>
      </c>
      <c r="N301" s="679">
        <f t="shared" si="139"/>
        <v>-0.32404703539849089</v>
      </c>
      <c r="O301" s="677">
        <f t="shared" si="140"/>
        <v>1824195.5545210962</v>
      </c>
      <c r="P301" s="680">
        <f t="shared" si="141"/>
        <v>1.5707957786080546</v>
      </c>
      <c r="Q301" s="689">
        <f t="shared" si="163"/>
        <v>9.1756327045244284</v>
      </c>
      <c r="R301" s="690">
        <f t="shared" si="164"/>
        <v>1.4615951103675247</v>
      </c>
      <c r="S301" s="677">
        <f t="shared" si="142"/>
        <v>1.0018470106209572</v>
      </c>
      <c r="T301" s="680">
        <f t="shared" si="143"/>
        <v>6.0731741633744153E-2</v>
      </c>
      <c r="U301" s="681">
        <f t="shared" si="155"/>
        <v>0.44648722455973899</v>
      </c>
      <c r="V301" s="682">
        <f t="shared" si="156"/>
        <v>-1.5908224089379601</v>
      </c>
      <c r="W301" s="683">
        <f t="shared" si="144"/>
        <v>-28.257102049821338</v>
      </c>
      <c r="X301" s="684">
        <f t="shared" si="145"/>
        <v>-204.64730648845435</v>
      </c>
      <c r="Y301" s="687">
        <f t="shared" si="146"/>
        <v>-24.647306488454348</v>
      </c>
      <c r="AA301" s="170">
        <f t="shared" si="147"/>
        <v>20417</v>
      </c>
      <c r="AB301" s="170">
        <f t="shared" si="148"/>
        <v>416853889</v>
      </c>
      <c r="AD301" s="686">
        <f t="shared" si="149"/>
        <v>-0.87928547808139912</v>
      </c>
      <c r="AE301" s="687">
        <f t="shared" si="150"/>
        <v>-9.7364098994086081</v>
      </c>
      <c r="AG301" s="686">
        <f t="shared" si="151"/>
        <v>44.359636458277905</v>
      </c>
      <c r="AH301" s="687">
        <f t="shared" si="152"/>
        <v>-12.616076406783868</v>
      </c>
      <c r="AJ301" s="170">
        <f t="shared" si="153"/>
        <v>0</v>
      </c>
      <c r="AK301" s="170">
        <f t="shared" si="165"/>
        <v>0</v>
      </c>
      <c r="AM301" s="170" t="str">
        <f t="shared" si="157"/>
        <v>1.9984287226658-0.0560364680894525i</v>
      </c>
      <c r="AN301" s="170" t="str">
        <f t="shared" si="158"/>
        <v>3.19765848974896i</v>
      </c>
      <c r="AO301" s="170" t="str">
        <f t="shared" si="159"/>
        <v>-0.0175242191338112-0.624966277378386i</v>
      </c>
      <c r="AP301" s="170" t="str">
        <f t="shared" si="160"/>
        <v>-0.166404787110966+0.00933941134824208i</v>
      </c>
      <c r="AQ301" s="170" t="str">
        <f t="shared" si="161"/>
        <v>1.16640478711097-0.00933941134824208i</v>
      </c>
      <c r="AR301" s="170" t="str">
        <f t="shared" si="162"/>
        <v>0.714114522845894+0.00571792001568398i</v>
      </c>
    </row>
    <row r="302" spans="7:44">
      <c r="G302" s="688">
        <v>20536</v>
      </c>
      <c r="H302" s="676">
        <f t="shared" si="154"/>
        <v>20.536000000000001</v>
      </c>
      <c r="I302" s="677">
        <f t="shared" si="134"/>
        <v>18.094910267136395</v>
      </c>
      <c r="J302" s="678">
        <f t="shared" si="135"/>
        <v>1.5155039983282477</v>
      </c>
      <c r="K302" s="678">
        <f t="shared" si="136"/>
        <v>1.0004028277206138</v>
      </c>
      <c r="L302" s="679">
        <f t="shared" si="137"/>
        <v>2.8379307318427367E-2</v>
      </c>
      <c r="M302" s="678">
        <f t="shared" si="138"/>
        <v>1.0555278327166198</v>
      </c>
      <c r="N302" s="679">
        <f t="shared" si="139"/>
        <v>-0.32580522705303211</v>
      </c>
      <c r="O302" s="677">
        <f t="shared" si="140"/>
        <v>1834827.8350220486</v>
      </c>
      <c r="P302" s="680">
        <f t="shared" si="141"/>
        <v>1.5707957817846341</v>
      </c>
      <c r="Q302" s="689">
        <f t="shared" si="163"/>
        <v>9.228479268236315</v>
      </c>
      <c r="R302" s="690">
        <f t="shared" si="164"/>
        <v>1.462222923356852</v>
      </c>
      <c r="S302" s="677">
        <f t="shared" si="142"/>
        <v>1.001868583744157</v>
      </c>
      <c r="T302" s="680">
        <f t="shared" si="143"/>
        <v>6.1084837810337578E-2</v>
      </c>
      <c r="U302" s="681">
        <f t="shared" si="155"/>
        <v>0.44383091036050615</v>
      </c>
      <c r="V302" s="682">
        <f t="shared" si="156"/>
        <v>-1.5974821592440791</v>
      </c>
      <c r="W302" s="683">
        <f t="shared" si="144"/>
        <v>-28.354853686035824</v>
      </c>
      <c r="X302" s="684">
        <f t="shared" si="145"/>
        <v>-205.12288862087487</v>
      </c>
      <c r="Y302" s="687">
        <f t="shared" si="146"/>
        <v>-25.122888620874875</v>
      </c>
      <c r="AA302" s="170">
        <f t="shared" si="147"/>
        <v>20536</v>
      </c>
      <c r="AB302" s="170">
        <f t="shared" si="148"/>
        <v>421727296</v>
      </c>
      <c r="AD302" s="686">
        <f t="shared" si="149"/>
        <v>-0.88006864521772088</v>
      </c>
      <c r="AE302" s="687">
        <f t="shared" si="150"/>
        <v>-9.7206699674642785</v>
      </c>
      <c r="AG302" s="686">
        <f t="shared" si="151"/>
        <v>44.366327656613478</v>
      </c>
      <c r="AH302" s="687">
        <f t="shared" si="152"/>
        <v>-12.344247299973532</v>
      </c>
      <c r="AJ302" s="170">
        <f t="shared" si="153"/>
        <v>0</v>
      </c>
      <c r="AK302" s="170">
        <f t="shared" si="165"/>
        <v>0</v>
      </c>
      <c r="AM302" s="170" t="str">
        <f t="shared" si="157"/>
        <v>1.99721100491009-0.0746338508065431i</v>
      </c>
      <c r="AN302" s="170" t="str">
        <f t="shared" si="158"/>
        <v>3.21629596637531i</v>
      </c>
      <c r="AO302" s="170" t="str">
        <f t="shared" si="159"/>
        <v>-0.0232049076287757-0.620966175311565i</v>
      </c>
      <c r="AP302" s="170" t="str">
        <f t="shared" si="160"/>
        <v>-0.166201834151681+0.0124389751344239i</v>
      </c>
      <c r="AQ302" s="170" t="str">
        <f t="shared" si="161"/>
        <v>1.16620183415168-0.0124389751344239i</v>
      </c>
      <c r="AR302" s="170" t="str">
        <f t="shared" si="162"/>
        <v>0.714203337096837+0.00761785592416985i</v>
      </c>
    </row>
    <row r="303" spans="7:44">
      <c r="G303" s="688">
        <v>20655</v>
      </c>
      <c r="H303" s="676">
        <f t="shared" si="154"/>
        <v>20.655000000000001</v>
      </c>
      <c r="I303" s="677">
        <f t="shared" si="134"/>
        <v>18.199445559977818</v>
      </c>
      <c r="J303" s="678">
        <f t="shared" si="135"/>
        <v>1.5158219116635576</v>
      </c>
      <c r="K303" s="678">
        <f t="shared" si="136"/>
        <v>1.0004075088265749</v>
      </c>
      <c r="L303" s="679">
        <f t="shared" si="137"/>
        <v>2.8543667895958344E-2</v>
      </c>
      <c r="M303" s="678">
        <f t="shared" si="138"/>
        <v>1.0561560686326865</v>
      </c>
      <c r="N303" s="679">
        <f t="shared" si="139"/>
        <v>-0.32756133247179892</v>
      </c>
      <c r="O303" s="677">
        <f t="shared" si="140"/>
        <v>1845460.1155230012</v>
      </c>
      <c r="P303" s="680">
        <f t="shared" si="141"/>
        <v>1.570795784924611</v>
      </c>
      <c r="Q303" s="689">
        <f t="shared" si="163"/>
        <v>9.2813294279229872</v>
      </c>
      <c r="R303" s="690">
        <f t="shared" si="164"/>
        <v>1.4628435867470875</v>
      </c>
      <c r="S303" s="677">
        <f t="shared" si="142"/>
        <v>1.0018902817718478</v>
      </c>
      <c r="T303" s="680">
        <f t="shared" si="143"/>
        <v>6.1437918736879329E-2</v>
      </c>
      <c r="U303" s="681">
        <f t="shared" si="155"/>
        <v>0.44118559905268245</v>
      </c>
      <c r="V303" s="682">
        <f t="shared" si="156"/>
        <v>-1.6041441801289018</v>
      </c>
      <c r="W303" s="683">
        <f t="shared" si="144"/>
        <v>-28.452377727114985</v>
      </c>
      <c r="X303" s="684">
        <f t="shared" si="145"/>
        <v>-205.59867848904167</v>
      </c>
      <c r="Y303" s="687">
        <f t="shared" si="146"/>
        <v>-25.598678489041674</v>
      </c>
      <c r="AA303" s="170">
        <f t="shared" si="147"/>
        <v>20655</v>
      </c>
      <c r="AB303" s="170">
        <f t="shared" si="148"/>
        <v>426629025</v>
      </c>
      <c r="AD303" s="686">
        <f t="shared" si="149"/>
        <v>-0.88084269710118823</v>
      </c>
      <c r="AE303" s="687">
        <f t="shared" si="150"/>
        <v>-9.7053388015128359</v>
      </c>
      <c r="AG303" s="686">
        <f t="shared" si="151"/>
        <v>44.373426353899852</v>
      </c>
      <c r="AH303" s="687">
        <f t="shared" si="152"/>
        <v>-12.071956973762763</v>
      </c>
      <c r="AJ303" s="170">
        <f t="shared" si="153"/>
        <v>0</v>
      </c>
      <c r="AK303" s="170">
        <f t="shared" si="165"/>
        <v>0</v>
      </c>
      <c r="AM303" s="170" t="str">
        <f t="shared" si="157"/>
        <v>1.99564691041876-0.0932053097928567i</v>
      </c>
      <c r="AN303" s="170" t="str">
        <f t="shared" si="158"/>
        <v>3.23493344300165i</v>
      </c>
      <c r="AO303" s="170" t="str">
        <f t="shared" si="159"/>
        <v>-0.028812125947906-0.616905091118977i</v>
      </c>
      <c r="AP303" s="170" t="str">
        <f t="shared" si="160"/>
        <v>-0.16594115173646+0.0155342182988095i</v>
      </c>
      <c r="AQ303" s="170" t="str">
        <f t="shared" si="161"/>
        <v>1.16594115173646-0.0155342182988095i</v>
      </c>
      <c r="AR303" s="170" t="str">
        <f t="shared" si="162"/>
        <v>0.714317492136031+0.00951708741129276i</v>
      </c>
    </row>
    <row r="304" spans="7:44">
      <c r="G304" s="688">
        <v>20774</v>
      </c>
      <c r="H304" s="676">
        <f t="shared" si="154"/>
        <v>20.774000000000001</v>
      </c>
      <c r="I304" s="677">
        <f t="shared" si="134"/>
        <v>18.303982671207027</v>
      </c>
      <c r="J304" s="678">
        <f t="shared" si="135"/>
        <v>1.5161361937177036</v>
      </c>
      <c r="K304" s="678">
        <f t="shared" si="136"/>
        <v>1.000412216957691</v>
      </c>
      <c r="L304" s="679">
        <f t="shared" si="137"/>
        <v>2.8708026930904757E-2</v>
      </c>
      <c r="M304" s="678">
        <f t="shared" si="138"/>
        <v>1.0567875577566648</v>
      </c>
      <c r="N304" s="679">
        <f t="shared" si="139"/>
        <v>-0.32931534455380868</v>
      </c>
      <c r="O304" s="677">
        <f t="shared" si="140"/>
        <v>1856092.3960239536</v>
      </c>
      <c r="P304" s="680">
        <f t="shared" si="141"/>
        <v>1.5707957880286143</v>
      </c>
      <c r="Q304" s="689">
        <f t="shared" si="163"/>
        <v>9.3341831225031981</v>
      </c>
      <c r="R304" s="690">
        <f t="shared" si="164"/>
        <v>1.4634572215071826</v>
      </c>
      <c r="S304" s="677">
        <f t="shared" si="142"/>
        <v>1.0019121046959143</v>
      </c>
      <c r="T304" s="680">
        <f t="shared" si="143"/>
        <v>6.1790984326328596E-2</v>
      </c>
      <c r="U304" s="681">
        <f t="shared" si="155"/>
        <v>0.43855107558116513</v>
      </c>
      <c r="V304" s="682">
        <f t="shared" si="156"/>
        <v>-1.6108090387651894</v>
      </c>
      <c r="W304" s="683">
        <f t="shared" si="144"/>
        <v>-28.549681883151635</v>
      </c>
      <c r="X304" s="684">
        <f t="shared" si="145"/>
        <v>-206.07470487035937</v>
      </c>
      <c r="Y304" s="687">
        <f t="shared" si="146"/>
        <v>-26.074704870359369</v>
      </c>
      <c r="AA304" s="170">
        <f t="shared" si="147"/>
        <v>20774</v>
      </c>
      <c r="AB304" s="170">
        <f t="shared" si="148"/>
        <v>431559076</v>
      </c>
      <c r="AD304" s="686">
        <f t="shared" si="149"/>
        <v>-0.88160786426376681</v>
      </c>
      <c r="AE304" s="687">
        <f t="shared" si="150"/>
        <v>-9.6904094655928308</v>
      </c>
      <c r="AG304" s="686">
        <f t="shared" si="151"/>
        <v>44.380933265071185</v>
      </c>
      <c r="AH304" s="687">
        <f t="shared" si="152"/>
        <v>-11.799176148306577</v>
      </c>
      <c r="AJ304" s="170">
        <f t="shared" si="153"/>
        <v>0</v>
      </c>
      <c r="AK304" s="170">
        <f t="shared" si="165"/>
        <v>0</v>
      </c>
      <c r="AM304" s="170" t="str">
        <f t="shared" si="157"/>
        <v>1.99373698247296-0.111744394336069i</v>
      </c>
      <c r="AN304" s="170" t="str">
        <f t="shared" si="158"/>
        <v>3.253570919628i</v>
      </c>
      <c r="AO304" s="170" t="str">
        <f t="shared" si="159"/>
        <v>-0.0343451540158361-0.61278423975492i</v>
      </c>
      <c r="AP304" s="170" t="str">
        <f t="shared" si="160"/>
        <v>-0.16562283041216+0.0186240657226782i</v>
      </c>
      <c r="AQ304" s="170" t="str">
        <f t="shared" si="161"/>
        <v>1.16562283041216-0.0186240657226782i</v>
      </c>
      <c r="AR304" s="170" t="str">
        <f t="shared" si="162"/>
        <v>0.71445700651938+0.0114154372222959i</v>
      </c>
    </row>
    <row r="305" spans="7:44">
      <c r="G305" s="688">
        <v>20893</v>
      </c>
      <c r="H305" s="676">
        <f t="shared" si="154"/>
        <v>20.893000000000001</v>
      </c>
      <c r="I305" s="677">
        <f t="shared" si="134"/>
        <v>18.408521569845586</v>
      </c>
      <c r="J305" s="678">
        <f t="shared" si="135"/>
        <v>1.5164469062923707</v>
      </c>
      <c r="K305" s="678">
        <f t="shared" si="136"/>
        <v>1.0004169521135802</v>
      </c>
      <c r="L305" s="679">
        <f t="shared" si="137"/>
        <v>2.8872384414408495E-2</v>
      </c>
      <c r="M305" s="678">
        <f t="shared" si="138"/>
        <v>1.057422294260139</v>
      </c>
      <c r="N305" s="679">
        <f t="shared" si="139"/>
        <v>-0.33106725626651978</v>
      </c>
      <c r="O305" s="677">
        <f t="shared" si="140"/>
        <v>1866724.676524906</v>
      </c>
      <c r="P305" s="680">
        <f t="shared" si="141"/>
        <v>1.5707957910972585</v>
      </c>
      <c r="Q305" s="689">
        <f t="shared" si="163"/>
        <v>9.3870402922673346</v>
      </c>
      <c r="R305" s="690">
        <f t="shared" si="164"/>
        <v>1.4640639459028957</v>
      </c>
      <c r="S305" s="677">
        <f t="shared" si="142"/>
        <v>1.0019340525081957</v>
      </c>
      <c r="T305" s="680">
        <f t="shared" si="143"/>
        <v>6.214403449166743E-2</v>
      </c>
      <c r="U305" s="681">
        <f t="shared" si="155"/>
        <v>0.4359271240478535</v>
      </c>
      <c r="V305" s="682">
        <f t="shared" si="156"/>
        <v>-1.6174773027866334</v>
      </c>
      <c r="W305" s="683">
        <f t="shared" si="144"/>
        <v>-28.646773911494282</v>
      </c>
      <c r="X305" s="684">
        <f t="shared" si="145"/>
        <v>-206.55099664531176</v>
      </c>
      <c r="Y305" s="687">
        <f t="shared" si="146"/>
        <v>-26.550996645311756</v>
      </c>
      <c r="AA305" s="170">
        <f t="shared" si="147"/>
        <v>20893</v>
      </c>
      <c r="AB305" s="170">
        <f t="shared" si="148"/>
        <v>436517449</v>
      </c>
      <c r="AD305" s="686">
        <f t="shared" si="149"/>
        <v>-0.88236437076097185</v>
      </c>
      <c r="AE305" s="687">
        <f t="shared" si="150"/>
        <v>-9.6758751786249118</v>
      </c>
      <c r="AG305" s="686">
        <f t="shared" si="151"/>
        <v>44.38884926988483</v>
      </c>
      <c r="AH305" s="687">
        <f t="shared" si="152"/>
        <v>-11.525875439138407</v>
      </c>
      <c r="AJ305" s="170">
        <f t="shared" si="153"/>
        <v>0</v>
      </c>
      <c r="AK305" s="170">
        <f t="shared" si="165"/>
        <v>0</v>
      </c>
      <c r="AM305" s="170" t="str">
        <f t="shared" si="157"/>
        <v>1.99148188447754-0.130244664968942i</v>
      </c>
      <c r="AN305" s="170" t="str">
        <f t="shared" si="158"/>
        <v>3.27220839625435i</v>
      </c>
      <c r="AO305" s="170" t="str">
        <f t="shared" si="159"/>
        <v>-0.0398032915990409-0.608604845203979i</v>
      </c>
      <c r="AP305" s="170" t="str">
        <f t="shared" si="160"/>
        <v>-0.165246980746256+0.0217074441614903i</v>
      </c>
      <c r="AQ305" s="170" t="str">
        <f t="shared" si="161"/>
        <v>1.16524698074626-0.0217074441614903i</v>
      </c>
      <c r="AR305" s="170" t="str">
        <f t="shared" si="162"/>
        <v>0.714621902891902+0.0133127270955632i</v>
      </c>
    </row>
    <row r="306" spans="7:44">
      <c r="G306" s="688">
        <v>21014.75</v>
      </c>
      <c r="H306" s="676">
        <f t="shared" si="154"/>
        <v>21.014749999999999</v>
      </c>
      <c r="I306" s="677">
        <f t="shared" si="134"/>
        <v>18.515478101639598</v>
      </c>
      <c r="J306" s="678">
        <f t="shared" si="135"/>
        <v>1.5167611680271349</v>
      </c>
      <c r="K306" s="678">
        <f t="shared" si="136"/>
        <v>1.0004218246637129</v>
      </c>
      <c r="L306" s="679">
        <f t="shared" si="137"/>
        <v>2.9040538460178459E-2</v>
      </c>
      <c r="M306" s="678">
        <f t="shared" si="138"/>
        <v>1.0580750537622869</v>
      </c>
      <c r="N306" s="679">
        <f t="shared" si="139"/>
        <v>-0.33285747233437191</v>
      </c>
      <c r="O306" s="677">
        <f t="shared" si="140"/>
        <v>1877602.6609870151</v>
      </c>
      <c r="P306" s="680">
        <f t="shared" si="141"/>
        <v>1.5707957942008495</v>
      </c>
      <c r="Q306" s="689">
        <f t="shared" si="163"/>
        <v>9.4411224869510626</v>
      </c>
      <c r="R306" s="690">
        <f t="shared" si="164"/>
        <v>1.4646776600740796</v>
      </c>
      <c r="S306" s="677">
        <f t="shared" si="142"/>
        <v>1.0019566367599306</v>
      </c>
      <c r="T306" s="680">
        <f t="shared" si="143"/>
        <v>6.2505227325699103E-2</v>
      </c>
      <c r="U306" s="681">
        <f t="shared" si="155"/>
        <v>0.4332532501754906</v>
      </c>
      <c r="V306" s="682">
        <f t="shared" si="156"/>
        <v>-1.6243037822512805</v>
      </c>
      <c r="W306" s="683">
        <f t="shared" si="144"/>
        <v>-28.745898269080257</v>
      </c>
      <c r="X306" s="684">
        <f t="shared" si="145"/>
        <v>-207.03860005813101</v>
      </c>
      <c r="Y306" s="687">
        <f t="shared" si="146"/>
        <v>-27.03860005813101</v>
      </c>
      <c r="AA306" s="170">
        <f t="shared" si="147"/>
        <v>21014.75</v>
      </c>
      <c r="AB306" s="170">
        <f t="shared" si="148"/>
        <v>441619717.5625</v>
      </c>
      <c r="AD306" s="686">
        <f t="shared" si="149"/>
        <v>-0.88312962346408419</v>
      </c>
      <c r="AE306" s="687">
        <f t="shared" si="150"/>
        <v>-9.6614069495752162</v>
      </c>
      <c r="AG306" s="686">
        <f t="shared" si="151"/>
        <v>44.397372682442715</v>
      </c>
      <c r="AH306" s="687">
        <f t="shared" si="152"/>
        <v>-11.245690155599458</v>
      </c>
      <c r="AJ306" s="170">
        <f t="shared" si="153"/>
        <v>0</v>
      </c>
      <c r="AK306" s="170">
        <f t="shared" si="165"/>
        <v>0</v>
      </c>
      <c r="AM306" s="170" t="str">
        <f t="shared" si="157"/>
        <v>1.9888182633534-0.149125591562143i</v>
      </c>
      <c r="AN306" s="170" t="str">
        <f t="shared" si="158"/>
        <v>3.29127657086996i</v>
      </c>
      <c r="AO306" s="170" t="str">
        <f t="shared" si="159"/>
        <v>-0.0453093467993562-0.604269565479789i</v>
      </c>
      <c r="AP306" s="170" t="str">
        <f t="shared" si="160"/>
        <v>-0.164803043892234+0.0248542652603572i</v>
      </c>
      <c r="AQ306" s="170" t="str">
        <f t="shared" si="161"/>
        <v>1.16480304389223-0.0248542652603572i</v>
      </c>
      <c r="AR306" s="170" t="str">
        <f t="shared" si="162"/>
        <v>0.714816906388033+0.0152525777616356i</v>
      </c>
    </row>
    <row r="307" spans="7:44">
      <c r="G307" s="688">
        <v>21136.5</v>
      </c>
      <c r="H307" s="676">
        <f t="shared" si="154"/>
        <v>21.136500000000002</v>
      </c>
      <c r="I307" s="677">
        <f t="shared" si="134"/>
        <v>18.622436441025421</v>
      </c>
      <c r="J307" s="678">
        <f t="shared" si="135"/>
        <v>1.5170718198550592</v>
      </c>
      <c r="K307" s="678">
        <f t="shared" si="136"/>
        <v>1.00042672550128</v>
      </c>
      <c r="L307" s="679">
        <f t="shared" si="137"/>
        <v>2.9208690863214721E-2</v>
      </c>
      <c r="M307" s="678">
        <f t="shared" si="138"/>
        <v>1.0587312000734439</v>
      </c>
      <c r="N307" s="679">
        <f t="shared" si="139"/>
        <v>-0.33464547516177484</v>
      </c>
      <c r="O307" s="677">
        <f t="shared" si="140"/>
        <v>1888480.645449124</v>
      </c>
      <c r="P307" s="680">
        <f t="shared" si="141"/>
        <v>1.5707957972686859</v>
      </c>
      <c r="Q307" s="689">
        <f t="shared" si="163"/>
        <v>9.4952081970788562</v>
      </c>
      <c r="R307" s="690">
        <f t="shared" si="164"/>
        <v>1.4652843829099642</v>
      </c>
      <c r="S307" s="677">
        <f t="shared" si="142"/>
        <v>1.00197935172129</v>
      </c>
      <c r="T307" s="680">
        <f t="shared" si="143"/>
        <v>6.286640383030058E-2</v>
      </c>
      <c r="U307" s="681">
        <f t="shared" si="155"/>
        <v>0.43058998266133608</v>
      </c>
      <c r="V307" s="682">
        <f t="shared" si="156"/>
        <v>-1.6311350302563281</v>
      </c>
      <c r="W307" s="683">
        <f t="shared" si="144"/>
        <v>-28.844817175677345</v>
      </c>
      <c r="X307" s="684">
        <f t="shared" si="145"/>
        <v>-207.52654277689834</v>
      </c>
      <c r="Y307" s="687">
        <f t="shared" si="146"/>
        <v>-27.526542776898339</v>
      </c>
      <c r="AA307" s="170">
        <f t="shared" si="147"/>
        <v>21136.5</v>
      </c>
      <c r="AB307" s="170">
        <f t="shared" si="148"/>
        <v>446751632.25</v>
      </c>
      <c r="AD307" s="686">
        <f t="shared" si="149"/>
        <v>-0.88388626524026692</v>
      </c>
      <c r="AE307" s="687">
        <f t="shared" si="150"/>
        <v>-9.6473383568757747</v>
      </c>
      <c r="AG307" s="686">
        <f t="shared" si="151"/>
        <v>44.406326709650365</v>
      </c>
      <c r="AH307" s="687">
        <f t="shared" si="152"/>
        <v>-10.964898107178989</v>
      </c>
      <c r="AJ307" s="170">
        <f t="shared" si="153"/>
        <v>0</v>
      </c>
      <c r="AK307" s="170">
        <f t="shared" si="165"/>
        <v>0</v>
      </c>
      <c r="AM307" s="170" t="str">
        <f t="shared" si="157"/>
        <v>1.98579512346628-0.167952298436517i</v>
      </c>
      <c r="AN307" s="170" t="str">
        <f t="shared" si="158"/>
        <v>3.31034474548557i</v>
      </c>
      <c r="AO307" s="170" t="str">
        <f t="shared" si="159"/>
        <v>-0.0507355914110031-0.599875625091428i</v>
      </c>
      <c r="AP307" s="170" t="str">
        <f t="shared" si="160"/>
        <v>-0.164299187244379+0.0279920497394195i</v>
      </c>
      <c r="AQ307" s="170" t="str">
        <f t="shared" si="161"/>
        <v>1.16429918724438-0.0279920497394195i</v>
      </c>
      <c r="AR307" s="170" t="str">
        <f t="shared" si="162"/>
        <v>0.715038539533378+0.0171909373325184i</v>
      </c>
    </row>
    <row r="308" spans="7:44">
      <c r="G308" s="688">
        <v>21258.25</v>
      </c>
      <c r="H308" s="676">
        <f t="shared" si="154"/>
        <v>21.25825</v>
      </c>
      <c r="I308" s="677">
        <f t="shared" si="134"/>
        <v>18.729396557035113</v>
      </c>
      <c r="J308" s="678">
        <f t="shared" si="135"/>
        <v>1.5173789235621944</v>
      </c>
      <c r="K308" s="678">
        <f t="shared" si="136"/>
        <v>1.000431654625866</v>
      </c>
      <c r="L308" s="679">
        <f t="shared" si="137"/>
        <v>2.9376841614032399E-2</v>
      </c>
      <c r="M308" s="678">
        <f t="shared" si="138"/>
        <v>1.0593907269006282</v>
      </c>
      <c r="N308" s="679">
        <f t="shared" si="139"/>
        <v>-0.33643125743944696</v>
      </c>
      <c r="O308" s="677">
        <f t="shared" si="140"/>
        <v>1899358.629911233</v>
      </c>
      <c r="P308" s="680">
        <f t="shared" si="141"/>
        <v>1.5707958003013822</v>
      </c>
      <c r="Q308" s="689">
        <f t="shared" si="163"/>
        <v>9.5492973629179616</v>
      </c>
      <c r="R308" s="690">
        <f t="shared" si="164"/>
        <v>1.4658842327610688</v>
      </c>
      <c r="S308" s="677">
        <f t="shared" si="142"/>
        <v>1.0020021973833841</v>
      </c>
      <c r="T308" s="680">
        <f t="shared" si="143"/>
        <v>6.3227563912355789E-2</v>
      </c>
      <c r="U308" s="681">
        <f t="shared" si="155"/>
        <v>0.42793708764233207</v>
      </c>
      <c r="V308" s="682">
        <f t="shared" si="156"/>
        <v>-1.6379716568000708</v>
      </c>
      <c r="W308" s="683">
        <f t="shared" si="144"/>
        <v>-28.943539115638345</v>
      </c>
      <c r="X308" s="684">
        <f t="shared" si="145"/>
        <v>-208.01485608748888</v>
      </c>
      <c r="Y308" s="687">
        <f t="shared" si="146"/>
        <v>-28.01485608748888</v>
      </c>
      <c r="AA308" s="170">
        <f t="shared" si="147"/>
        <v>21258.25</v>
      </c>
      <c r="AB308" s="170">
        <f t="shared" si="148"/>
        <v>451913193.0625</v>
      </c>
      <c r="AD308" s="686">
        <f t="shared" si="149"/>
        <v>-0.8846345163758198</v>
      </c>
      <c r="AE308" s="687">
        <f t="shared" si="150"/>
        <v>-9.6336626142413646</v>
      </c>
      <c r="AG308" s="686">
        <f t="shared" si="151"/>
        <v>44.415712835067922</v>
      </c>
      <c r="AH308" s="687">
        <f t="shared" si="152"/>
        <v>-10.683467465381565</v>
      </c>
      <c r="AJ308" s="170">
        <f t="shared" si="153"/>
        <v>0</v>
      </c>
      <c r="AK308" s="170">
        <f t="shared" si="165"/>
        <v>0</v>
      </c>
      <c r="AM308" s="170" t="str">
        <f t="shared" si="157"/>
        <v>1.98241356398225-0.186717940497656i</v>
      </c>
      <c r="AN308" s="170" t="str">
        <f t="shared" si="158"/>
        <v>3.32941292010118i</v>
      </c>
      <c r="AO308" s="170" t="str">
        <f t="shared" si="159"/>
        <v>-0.0560813407584127-0.595424362059004i</v>
      </c>
      <c r="AP308" s="170" t="str">
        <f t="shared" si="160"/>
        <v>-0.163735593997042+0.0311196567496093i</v>
      </c>
      <c r="AQ308" s="170" t="str">
        <f t="shared" si="161"/>
        <v>1.16373559399704-0.0311196567496093i</v>
      </c>
      <c r="AR308" s="170" t="str">
        <f t="shared" si="162"/>
        <v>0.715286839748618+0.0191276102967994i</v>
      </c>
    </row>
    <row r="309" spans="7:44">
      <c r="G309" s="688">
        <v>21380</v>
      </c>
      <c r="H309" s="676">
        <f t="shared" si="154"/>
        <v>21.38</v>
      </c>
      <c r="I309" s="677">
        <f t="shared" si="134"/>
        <v>18.836358419403588</v>
      </c>
      <c r="J309" s="678">
        <f t="shared" si="135"/>
        <v>1.5176825395338995</v>
      </c>
      <c r="K309" s="678">
        <f t="shared" si="136"/>
        <v>1.0004366120370527</v>
      </c>
      <c r="L309" s="679">
        <f t="shared" si="137"/>
        <v>2.9544990703147166E-2</v>
      </c>
      <c r="M309" s="678">
        <f t="shared" si="138"/>
        <v>1.0600536279341373</v>
      </c>
      <c r="N309" s="679">
        <f t="shared" si="139"/>
        <v>-0.33821481193290082</v>
      </c>
      <c r="O309" s="677">
        <f t="shared" si="140"/>
        <v>1910236.6143733419</v>
      </c>
      <c r="P309" s="680">
        <f t="shared" si="141"/>
        <v>1.5707958032995388</v>
      </c>
      <c r="Q309" s="689">
        <f t="shared" si="163"/>
        <v>9.6033899260775737</v>
      </c>
      <c r="R309" s="690">
        <f t="shared" si="164"/>
        <v>1.466477325331444</v>
      </c>
      <c r="S309" s="677">
        <f t="shared" si="142"/>
        <v>1.0020251737372734</v>
      </c>
      <c r="T309" s="680">
        <f t="shared" si="143"/>
        <v>6.3588707478774278E-2</v>
      </c>
      <c r="U309" s="681">
        <f t="shared" si="155"/>
        <v>0.42529433038596998</v>
      </c>
      <c r="V309" s="682">
        <f t="shared" si="156"/>
        <v>-1.6448142727876682</v>
      </c>
      <c r="W309" s="683">
        <f t="shared" si="144"/>
        <v>-29.042072640914576</v>
      </c>
      <c r="X309" s="684">
        <f t="shared" si="145"/>
        <v>-208.50357140340085</v>
      </c>
      <c r="Y309" s="687">
        <f t="shared" si="146"/>
        <v>-28.503571403400855</v>
      </c>
      <c r="AA309" s="170">
        <f t="shared" si="147"/>
        <v>21380</v>
      </c>
      <c r="AB309" s="170">
        <f t="shared" si="148"/>
        <v>457104400</v>
      </c>
      <c r="AD309" s="686">
        <f t="shared" si="149"/>
        <v>-0.88537459096581039</v>
      </c>
      <c r="AE309" s="687">
        <f t="shared" si="150"/>
        <v>-9.6203730870189101</v>
      </c>
      <c r="AG309" s="686">
        <f t="shared" si="151"/>
        <v>44.425532727211284</v>
      </c>
      <c r="AH309" s="687">
        <f t="shared" si="152"/>
        <v>-10.40136627378387</v>
      </c>
      <c r="AJ309" s="170">
        <f t="shared" si="153"/>
        <v>0</v>
      </c>
      <c r="AK309" s="170">
        <f t="shared" si="165"/>
        <v>0</v>
      </c>
      <c r="AM309" s="170" t="str">
        <f t="shared" si="157"/>
        <v>1.97867481438316-0.205415694853354i</v>
      </c>
      <c r="AN309" s="170" t="str">
        <f t="shared" si="158"/>
        <v>3.34848109471679i</v>
      </c>
      <c r="AO309" s="170" t="str">
        <f t="shared" si="159"/>
        <v>-0.061345932392289-0.590917122842682i</v>
      </c>
      <c r="AP309" s="170" t="str">
        <f t="shared" si="160"/>
        <v>-0.16311246906386+0.0342359491422257i</v>
      </c>
      <c r="AQ309" s="170" t="str">
        <f t="shared" si="161"/>
        <v>1.16311246906386-0.0342359491422257i</v>
      </c>
      <c r="AR309" s="170" t="str">
        <f t="shared" si="162"/>
        <v>0.715561848841829+0.0210623991373622i</v>
      </c>
    </row>
    <row r="310" spans="7:44">
      <c r="G310" s="688">
        <v>21504.5</v>
      </c>
      <c r="H310" s="676">
        <f t="shared" si="154"/>
        <v>21.5045</v>
      </c>
      <c r="I310" s="677">
        <f t="shared" si="134"/>
        <v>18.945738033283739</v>
      </c>
      <c r="J310" s="678">
        <f t="shared" si="135"/>
        <v>1.517989468059163</v>
      </c>
      <c r="K310" s="678">
        <f t="shared" si="136"/>
        <v>1.0004417106743733</v>
      </c>
      <c r="L310" s="679">
        <f t="shared" si="137"/>
        <v>2.9716936092660708E-2</v>
      </c>
      <c r="M310" s="678">
        <f t="shared" si="138"/>
        <v>1.0607349848883518</v>
      </c>
      <c r="N310" s="679">
        <f t="shared" si="139"/>
        <v>-0.34003634076014466</v>
      </c>
      <c r="O310" s="677">
        <f t="shared" si="140"/>
        <v>1921360.3027966076</v>
      </c>
      <c r="P310" s="680">
        <f t="shared" si="141"/>
        <v>1.5707958063303078</v>
      </c>
      <c r="Q310" s="689">
        <f t="shared" si="163"/>
        <v>9.6587077463313804</v>
      </c>
      <c r="R310" s="690">
        <f t="shared" si="164"/>
        <v>1.4670769441547602</v>
      </c>
      <c r="S310" s="677">
        <f t="shared" si="142"/>
        <v>1.0020488042079707</v>
      </c>
      <c r="T310" s="680">
        <f t="shared" si="143"/>
        <v>6.395799111569235E-2</v>
      </c>
      <c r="U310" s="681">
        <f t="shared" si="155"/>
        <v>0.42260211881073773</v>
      </c>
      <c r="V310" s="682">
        <f t="shared" si="156"/>
        <v>-1.6518182762538212</v>
      </c>
      <c r="W310" s="683">
        <f t="shared" si="144"/>
        <v>-29.142645908713632</v>
      </c>
      <c r="X310" s="684">
        <f t="shared" si="145"/>
        <v>-209.00377405992063</v>
      </c>
      <c r="Y310" s="687">
        <f t="shared" si="146"/>
        <v>-29.00377405992063</v>
      </c>
      <c r="AA310" s="170">
        <f t="shared" si="147"/>
        <v>21504.5</v>
      </c>
      <c r="AB310" s="170">
        <f t="shared" si="148"/>
        <v>462443520.25</v>
      </c>
      <c r="AD310" s="686">
        <f t="shared" si="149"/>
        <v>-0.88612314296062289</v>
      </c>
      <c r="AE310" s="687">
        <f t="shared" si="150"/>
        <v>-9.6071760266001398</v>
      </c>
      <c r="AG310" s="686">
        <f t="shared" si="151"/>
        <v>44.436024931505351</v>
      </c>
      <c r="AH310" s="687">
        <f t="shared" si="152"/>
        <v>-10.112166313194248</v>
      </c>
      <c r="AJ310" s="170">
        <f t="shared" si="153"/>
        <v>0</v>
      </c>
      <c r="AK310" s="170">
        <f t="shared" si="165"/>
        <v>0</v>
      </c>
      <c r="AM310" s="170" t="str">
        <f t="shared" si="157"/>
        <v>1.97448365058496-0.224458492248827i</v>
      </c>
      <c r="AN310" s="170" t="str">
        <f t="shared" si="158"/>
        <v>3.36797996732167i</v>
      </c>
      <c r="AO310" s="170" t="str">
        <f t="shared" si="159"/>
        <v>-0.0666448418418961-0.586251601773966i</v>
      </c>
      <c r="AP310" s="170" t="str">
        <f t="shared" si="160"/>
        <v>-0.162413941764159+0.0374097487081378i</v>
      </c>
      <c r="AQ310" s="170" t="str">
        <f t="shared" si="161"/>
        <v>1.16241394176416-0.0374097487081378i</v>
      </c>
      <c r="AR310" s="170" t="str">
        <f t="shared" si="162"/>
        <v>0.715870738375106+0.0230387329916895i</v>
      </c>
    </row>
    <row r="311" spans="7:44">
      <c r="G311" s="688">
        <v>21629</v>
      </c>
      <c r="H311" s="676">
        <f t="shared" si="154"/>
        <v>21.629000000000001</v>
      </c>
      <c r="I311" s="677">
        <f t="shared" si="134"/>
        <v>19.055119411459369</v>
      </c>
      <c r="J311" s="678">
        <f t="shared" si="135"/>
        <v>1.5182928729124252</v>
      </c>
      <c r="K311" s="678">
        <f t="shared" si="136"/>
        <v>1.0004468388896679</v>
      </c>
      <c r="L311" s="679">
        <f t="shared" si="137"/>
        <v>2.9888879724499478E-2</v>
      </c>
      <c r="M311" s="678">
        <f t="shared" si="138"/>
        <v>1.0614198568011974</v>
      </c>
      <c r="N311" s="679">
        <f t="shared" si="139"/>
        <v>-0.34185552496570371</v>
      </c>
      <c r="O311" s="677">
        <f t="shared" si="140"/>
        <v>1932483.9912198728</v>
      </c>
      <c r="P311" s="680">
        <f t="shared" si="141"/>
        <v>1.5707958093261856</v>
      </c>
      <c r="Q311" s="689">
        <f t="shared" si="163"/>
        <v>9.7140289997509406</v>
      </c>
      <c r="R311" s="690">
        <f t="shared" si="164"/>
        <v>1.4676697335482911</v>
      </c>
      <c r="S311" s="677">
        <f t="shared" si="142"/>
        <v>1.0020725713220133</v>
      </c>
      <c r="T311" s="680">
        <f t="shared" si="143"/>
        <v>6.4327257285658662E-2</v>
      </c>
      <c r="U311" s="681">
        <f t="shared" si="155"/>
        <v>0.41992000893417586</v>
      </c>
      <c r="V311" s="682">
        <f t="shared" si="156"/>
        <v>-1.6588298381788678</v>
      </c>
      <c r="W311" s="683">
        <f t="shared" si="144"/>
        <v>-29.243040475798274</v>
      </c>
      <c r="X311" s="684">
        <f t="shared" si="145"/>
        <v>-209.50446395120289</v>
      </c>
      <c r="Y311" s="687">
        <f t="shared" si="146"/>
        <v>-29.504463951202894</v>
      </c>
      <c r="AA311" s="170">
        <f t="shared" si="147"/>
        <v>21629</v>
      </c>
      <c r="AB311" s="170">
        <f t="shared" si="148"/>
        <v>467813641</v>
      </c>
      <c r="AD311" s="686">
        <f t="shared" si="149"/>
        <v>-0.88686357874222144</v>
      </c>
      <c r="AE311" s="687">
        <f t="shared" si="150"/>
        <v>-9.5943692609032372</v>
      </c>
      <c r="AG311" s="686">
        <f t="shared" si="151"/>
        <v>44.446974846389978</v>
      </c>
      <c r="AH311" s="687">
        <f t="shared" si="152"/>
        <v>-9.8221971570557045</v>
      </c>
      <c r="AJ311" s="170">
        <f t="shared" si="153"/>
        <v>0</v>
      </c>
      <c r="AK311" s="170">
        <f t="shared" si="165"/>
        <v>0</v>
      </c>
      <c r="AM311" s="170" t="str">
        <f t="shared" si="157"/>
        <v>1.96992199396274-0.243415951875289i</v>
      </c>
      <c r="AN311" s="170" t="str">
        <f t="shared" si="158"/>
        <v>3.38747883992654i</v>
      </c>
      <c r="AO311" s="170" t="str">
        <f t="shared" si="159"/>
        <v>-0.0718575564240477-0.581530420424843i</v>
      </c>
      <c r="AP311" s="170" t="str">
        <f t="shared" si="160"/>
        <v>-0.161653665660456+0.0405693253125482i</v>
      </c>
      <c r="AQ311" s="170" t="str">
        <f t="shared" si="161"/>
        <v>1.16165366566046-0.0405693253125482i</v>
      </c>
      <c r="AR311" s="170" t="str">
        <f t="shared" si="162"/>
        <v>0.716207659294448+0.0250126714873622i</v>
      </c>
    </row>
    <row r="312" spans="7:44">
      <c r="G312" s="688">
        <v>21753.5</v>
      </c>
      <c r="H312" s="676">
        <f t="shared" si="154"/>
        <v>21.753499999999999</v>
      </c>
      <c r="I312" s="677">
        <f t="shared" si="134"/>
        <v>19.164502523721328</v>
      </c>
      <c r="J312" s="678">
        <f t="shared" si="135"/>
        <v>1.5185928143723624</v>
      </c>
      <c r="K312" s="678">
        <f t="shared" si="136"/>
        <v>1.0004519966824821</v>
      </c>
      <c r="L312" s="679">
        <f t="shared" si="137"/>
        <v>3.0060821588523679E-2</v>
      </c>
      <c r="M312" s="678">
        <f t="shared" si="138"/>
        <v>1.0621082368730945</v>
      </c>
      <c r="N312" s="679">
        <f t="shared" si="139"/>
        <v>-0.34367235705592764</v>
      </c>
      <c r="O312" s="677">
        <f t="shared" si="140"/>
        <v>1943607.6796431385</v>
      </c>
      <c r="P312" s="680">
        <f t="shared" si="141"/>
        <v>1.5707958122877712</v>
      </c>
      <c r="Q312" s="689">
        <f t="shared" si="163"/>
        <v>9.7693536280129418</v>
      </c>
      <c r="R312" s="690">
        <f t="shared" si="164"/>
        <v>1.4682558091186615</v>
      </c>
      <c r="S312" s="677">
        <f t="shared" si="142"/>
        <v>1.0020964750696781</v>
      </c>
      <c r="T312" s="680">
        <f t="shared" si="143"/>
        <v>6.4696505889215203E-2</v>
      </c>
      <c r="U312" s="681">
        <f t="shared" si="155"/>
        <v>0.41724774698236855</v>
      </c>
      <c r="V312" s="682">
        <f t="shared" si="156"/>
        <v>-1.6658496153998326</v>
      </c>
      <c r="W312" s="683">
        <f t="shared" si="144"/>
        <v>-29.343265733793082</v>
      </c>
      <c r="X312" s="684">
        <f t="shared" si="145"/>
        <v>-210.00567510674122</v>
      </c>
      <c r="Y312" s="687">
        <f t="shared" si="146"/>
        <v>-30.005675106741222</v>
      </c>
      <c r="AA312" s="170">
        <f t="shared" si="147"/>
        <v>21753.5</v>
      </c>
      <c r="AB312" s="170">
        <f t="shared" si="148"/>
        <v>473214762.25</v>
      </c>
      <c r="AD312" s="686">
        <f t="shared" si="149"/>
        <v>-0.88759610847886861</v>
      </c>
      <c r="AE312" s="687">
        <f t="shared" si="150"/>
        <v>-9.5819461604923521</v>
      </c>
      <c r="AG312" s="686">
        <f t="shared" si="151"/>
        <v>44.458384866434372</v>
      </c>
      <c r="AH312" s="687">
        <f t="shared" si="152"/>
        <v>-9.5314241963190458</v>
      </c>
      <c r="AJ312" s="170">
        <f t="shared" si="153"/>
        <v>0</v>
      </c>
      <c r="AK312" s="170">
        <f t="shared" si="165"/>
        <v>0</v>
      </c>
      <c r="AM312" s="170" t="str">
        <f t="shared" si="157"/>
        <v>1.96499157883091-0.262280866220608i</v>
      </c>
      <c r="AN312" s="170" t="str">
        <f t="shared" si="158"/>
        <v>3.40697771253142i</v>
      </c>
      <c r="AO312" s="170" t="str">
        <f t="shared" si="159"/>
        <v>-0.0769834405596186-0.576755043510661i</v>
      </c>
      <c r="AP312" s="170" t="str">
        <f t="shared" si="160"/>
        <v>-0.160831929805151+0.0437134777034347i</v>
      </c>
      <c r="AQ312" s="170" t="str">
        <f t="shared" si="161"/>
        <v>1.16083192980515-0.0437134777034347i</v>
      </c>
      <c r="AR312" s="170" t="str">
        <f t="shared" si="162"/>
        <v>0.716572670307789+0.0269839953934141i</v>
      </c>
    </row>
    <row r="313" spans="7:44">
      <c r="G313" s="688">
        <v>21878</v>
      </c>
      <c r="H313" s="676">
        <f t="shared" si="154"/>
        <v>21.878</v>
      </c>
      <c r="I313" s="677">
        <f t="shared" si="134"/>
        <v>19.27388734054578</v>
      </c>
      <c r="J313" s="678">
        <f t="shared" si="135"/>
        <v>1.5188893513517807</v>
      </c>
      <c r="K313" s="678">
        <f t="shared" si="136"/>
        <v>1.0004571840523582</v>
      </c>
      <c r="L313" s="679">
        <f t="shared" si="137"/>
        <v>3.0232761674594159E-2</v>
      </c>
      <c r="M313" s="678">
        <f t="shared" si="138"/>
        <v>1.062800118287295</v>
      </c>
      <c r="N313" s="679">
        <f t="shared" si="139"/>
        <v>-0.34548682961864352</v>
      </c>
      <c r="O313" s="677">
        <f t="shared" si="140"/>
        <v>1954731.3680664038</v>
      </c>
      <c r="P313" s="680">
        <f t="shared" si="141"/>
        <v>1.5707958152156503</v>
      </c>
      <c r="Q313" s="689">
        <f t="shared" si="163"/>
        <v>9.8246815741042681</v>
      </c>
      <c r="R313" s="690">
        <f t="shared" si="164"/>
        <v>1.4688352838870173</v>
      </c>
      <c r="S313" s="677">
        <f t="shared" si="142"/>
        <v>1.0021205154411883</v>
      </c>
      <c r="T313" s="680">
        <f t="shared" si="143"/>
        <v>6.5065736826932563E-2</v>
      </c>
      <c r="U313" s="681">
        <f t="shared" si="155"/>
        <v>0.41458507825578983</v>
      </c>
      <c r="V313" s="682">
        <f t="shared" si="156"/>
        <v>-1.6728782661822135</v>
      </c>
      <c r="W313" s="683">
        <f t="shared" si="144"/>
        <v>-29.443331167253714</v>
      </c>
      <c r="X313" s="684">
        <f t="shared" si="145"/>
        <v>-210.50744171242238</v>
      </c>
      <c r="Y313" s="687">
        <f t="shared" si="146"/>
        <v>-30.507441712422377</v>
      </c>
      <c r="AA313" s="170">
        <f t="shared" si="147"/>
        <v>21878</v>
      </c>
      <c r="AB313" s="170">
        <f t="shared" si="148"/>
        <v>478646884</v>
      </c>
      <c r="AD313" s="686">
        <f t="shared" si="149"/>
        <v>-0.88832093643241616</v>
      </c>
      <c r="AE313" s="687">
        <f t="shared" si="150"/>
        <v>-9.5699002440694443</v>
      </c>
      <c r="AG313" s="686">
        <f t="shared" si="151"/>
        <v>44.470257596062012</v>
      </c>
      <c r="AH313" s="687">
        <f t="shared" si="152"/>
        <v>-9.2398126664992635</v>
      </c>
      <c r="AJ313" s="170">
        <f t="shared" si="153"/>
        <v>0</v>
      </c>
      <c r="AK313" s="170">
        <f t="shared" si="165"/>
        <v>0</v>
      </c>
      <c r="AM313" s="170" t="str">
        <f t="shared" si="157"/>
        <v>1.95969427970366-0.281046062957773i</v>
      </c>
      <c r="AN313" s="170" t="str">
        <f t="shared" si="158"/>
        <v>3.42647658513629i</v>
      </c>
      <c r="AO313" s="170" t="str">
        <f t="shared" si="159"/>
        <v>-0.0820218834055141-0.571926943322659i</v>
      </c>
      <c r="AP313" s="170" t="str">
        <f t="shared" si="160"/>
        <v>-0.159949046617277+0.0468410104929622i</v>
      </c>
      <c r="AQ313" s="170" t="str">
        <f t="shared" si="161"/>
        <v>1.15994904661728-0.0468410104929622i</v>
      </c>
      <c r="AR313" s="170" t="str">
        <f t="shared" si="162"/>
        <v>0.716965834749555+0.0289524822547485i</v>
      </c>
    </row>
    <row r="314" spans="7:44">
      <c r="G314" s="688">
        <v>22005.25</v>
      </c>
      <c r="H314" s="676">
        <f t="shared" si="154"/>
        <v>22.00525</v>
      </c>
      <c r="I314" s="677">
        <f t="shared" si="134"/>
        <v>19.385690019280261</v>
      </c>
      <c r="J314" s="678">
        <f t="shared" si="135"/>
        <v>1.5191889801727638</v>
      </c>
      <c r="K314" s="678">
        <f t="shared" si="136"/>
        <v>1.0004625165664547</v>
      </c>
      <c r="L314" s="679">
        <f t="shared" si="137"/>
        <v>3.0408497786202134E-2</v>
      </c>
      <c r="M314" s="678">
        <f t="shared" si="138"/>
        <v>1.0635108933136619</v>
      </c>
      <c r="N314" s="679">
        <f t="shared" si="139"/>
        <v>-0.3473389349815863</v>
      </c>
      <c r="O314" s="677">
        <f t="shared" si="140"/>
        <v>1966100.760450826</v>
      </c>
      <c r="P314" s="680">
        <f t="shared" si="141"/>
        <v>1.5707958181739652</v>
      </c>
      <c r="Q314" s="689">
        <f t="shared" si="163"/>
        <v>9.8812349939725621</v>
      </c>
      <c r="R314" s="690">
        <f t="shared" si="164"/>
        <v>1.4694208522076171</v>
      </c>
      <c r="S314" s="677">
        <f t="shared" si="142"/>
        <v>1.0021452279985528</v>
      </c>
      <c r="T314" s="680">
        <f t="shared" si="143"/>
        <v>6.5443105109156435E-2</v>
      </c>
      <c r="U314" s="681">
        <f t="shared" si="155"/>
        <v>0.41187324286904459</v>
      </c>
      <c r="V314" s="682">
        <f t="shared" si="156"/>
        <v>-1.680072024869695</v>
      </c>
      <c r="W314" s="683">
        <f t="shared" si="144"/>
        <v>-29.545451698331927</v>
      </c>
      <c r="X314" s="684">
        <f t="shared" si="145"/>
        <v>-211.02090126051272</v>
      </c>
      <c r="Y314" s="687">
        <f t="shared" si="146"/>
        <v>-31.020901260512716</v>
      </c>
      <c r="AA314" s="170">
        <f t="shared" si="147"/>
        <v>22005.25</v>
      </c>
      <c r="AB314" s="170">
        <f t="shared" si="148"/>
        <v>484231027.5625</v>
      </c>
      <c r="AD314" s="686">
        <f t="shared" si="149"/>
        <v>-0.88905402245917475</v>
      </c>
      <c r="AE314" s="687">
        <f t="shared" si="150"/>
        <v>-9.5579714300613752</v>
      </c>
      <c r="AG314" s="686">
        <f t="shared" si="151"/>
        <v>44.482873661267391</v>
      </c>
      <c r="AH314" s="687">
        <f t="shared" si="152"/>
        <v>-8.9408570043991986</v>
      </c>
      <c r="AJ314" s="170">
        <f t="shared" si="153"/>
        <v>0</v>
      </c>
      <c r="AK314" s="170">
        <f t="shared" si="165"/>
        <v>0</v>
      </c>
      <c r="AM314" s="170" t="str">
        <f t="shared" si="157"/>
        <v>1.95390294001367-0.300115279573162i</v>
      </c>
      <c r="AN314" s="170" t="str">
        <f t="shared" si="158"/>
        <v>3.44640615573043i</v>
      </c>
      <c r="AO314" s="170" t="str">
        <f t="shared" si="159"/>
        <v>-0.0870806474954069-0.56693925548063i</v>
      </c>
      <c r="AP314" s="170" t="str">
        <f t="shared" si="160"/>
        <v>-0.158983823335612+0.0500192132621937i</v>
      </c>
      <c r="AQ314" s="170" t="str">
        <f t="shared" si="161"/>
        <v>1.15898382333561-0.0500192132621937i</v>
      </c>
      <c r="AR314" s="170" t="str">
        <f t="shared" si="162"/>
        <v>0.717396847352352+0.030961282788286i</v>
      </c>
    </row>
    <row r="315" spans="7:44">
      <c r="G315" s="688">
        <v>22132.5</v>
      </c>
      <c r="H315" s="676">
        <f t="shared" si="154"/>
        <v>22.1325</v>
      </c>
      <c r="I315" s="677">
        <f t="shared" si="134"/>
        <v>19.49749441845249</v>
      </c>
      <c r="J315" s="678">
        <f t="shared" si="135"/>
        <v>1.5194851726995418</v>
      </c>
      <c r="K315" s="678">
        <f t="shared" si="136"/>
        <v>1.000467879977686</v>
      </c>
      <c r="L315" s="679">
        <f t="shared" si="137"/>
        <v>3.0584232019028806E-2</v>
      </c>
      <c r="M315" s="678">
        <f t="shared" si="138"/>
        <v>1.0642253116150022</v>
      </c>
      <c r="N315" s="679">
        <f t="shared" si="139"/>
        <v>-0.34918856003214699</v>
      </c>
      <c r="O315" s="677">
        <f t="shared" si="140"/>
        <v>1977470.152835248</v>
      </c>
      <c r="P315" s="680">
        <f t="shared" si="141"/>
        <v>1.5707958210982627</v>
      </c>
      <c r="Q315" s="689">
        <f t="shared" si="163"/>
        <v>9.9377917634568842</v>
      </c>
      <c r="R315" s="690">
        <f t="shared" si="164"/>
        <v>1.4699997556923416</v>
      </c>
      <c r="S315" s="677">
        <f t="shared" si="142"/>
        <v>1.0021700832611826</v>
      </c>
      <c r="T315" s="680">
        <f t="shared" si="143"/>
        <v>6.5820454726560548E-2</v>
      </c>
      <c r="U315" s="681">
        <f t="shared" si="155"/>
        <v>0.40917088820355213</v>
      </c>
      <c r="V315" s="682">
        <f t="shared" si="156"/>
        <v>-1.6872764490011656</v>
      </c>
      <c r="W315" s="683">
        <f t="shared" si="144"/>
        <v>-29.647425620415255</v>
      </c>
      <c r="X315" s="684">
        <f t="shared" si="145"/>
        <v>-211.5350138001931</v>
      </c>
      <c r="Y315" s="687">
        <f t="shared" si="146"/>
        <v>-31.535013800193099</v>
      </c>
      <c r="AA315" s="170">
        <f t="shared" si="147"/>
        <v>22132.5</v>
      </c>
      <c r="AB315" s="170">
        <f t="shared" si="148"/>
        <v>489847556.25</v>
      </c>
      <c r="AD315" s="686">
        <f t="shared" si="149"/>
        <v>-0.88977947615255448</v>
      </c>
      <c r="AE315" s="687">
        <f t="shared" si="150"/>
        <v>-9.5464234116560878</v>
      </c>
      <c r="AG315" s="686">
        <f t="shared" si="151"/>
        <v>44.495979285471776</v>
      </c>
      <c r="AH315" s="687">
        <f t="shared" si="152"/>
        <v>-8.6409513684305885</v>
      </c>
      <c r="AJ315" s="170">
        <f t="shared" si="153"/>
        <v>0</v>
      </c>
      <c r="AK315" s="170">
        <f t="shared" si="165"/>
        <v>0</v>
      </c>
      <c r="AM315" s="170" t="str">
        <f t="shared" si="157"/>
        <v>1.94773273426905-0.31906529801111i</v>
      </c>
      <c r="AN315" s="170" t="str">
        <f t="shared" si="158"/>
        <v>3.46633572632457i</v>
      </c>
      <c r="AO315" s="170" t="str">
        <f t="shared" si="159"/>
        <v>-0.09204685385435-0.561899621977549i</v>
      </c>
      <c r="AP315" s="170" t="str">
        <f t="shared" si="160"/>
        <v>-0.157955455711508+0.0531775496685183i</v>
      </c>
      <c r="AQ315" s="170" t="str">
        <f t="shared" si="161"/>
        <v>1.15795545571151-0.0531775496685183i</v>
      </c>
      <c r="AR315" s="170" t="str">
        <f t="shared" si="162"/>
        <v>0.717857419177504+0.03296663820265i</v>
      </c>
    </row>
    <row r="316" spans="7:44">
      <c r="G316" s="688">
        <v>22259.75</v>
      </c>
      <c r="H316" s="676">
        <f t="shared" si="154"/>
        <v>22.25975</v>
      </c>
      <c r="I316" s="677">
        <f t="shared" si="134"/>
        <v>19.609300508634714</v>
      </c>
      <c r="J316" s="678">
        <f t="shared" si="135"/>
        <v>1.5197779876577149</v>
      </c>
      <c r="K316" s="678">
        <f t="shared" si="136"/>
        <v>1.0004732742855555</v>
      </c>
      <c r="L316" s="679">
        <f t="shared" si="137"/>
        <v>3.0759964362250244E-2</v>
      </c>
      <c r="M316" s="678">
        <f t="shared" si="138"/>
        <v>1.0649433658590319</v>
      </c>
      <c r="N316" s="679">
        <f t="shared" si="139"/>
        <v>-0.35103569711930566</v>
      </c>
      <c r="O316" s="677">
        <f t="shared" si="140"/>
        <v>1988839.5452196703</v>
      </c>
      <c r="P316" s="680">
        <f t="shared" si="141"/>
        <v>1.570795823989126</v>
      </c>
      <c r="Q316" s="689">
        <f t="shared" si="163"/>
        <v>9.99435182569208</v>
      </c>
      <c r="R316" s="690">
        <f t="shared" si="164"/>
        <v>1.4705721071028153</v>
      </c>
      <c r="S316" s="677">
        <f t="shared" si="142"/>
        <v>1.0021950812184603</v>
      </c>
      <c r="T316" s="680">
        <f t="shared" si="143"/>
        <v>6.6197785573073917E-2</v>
      </c>
      <c r="U316" s="681">
        <f t="shared" si="155"/>
        <v>0.40647773931174674</v>
      </c>
      <c r="V316" s="682">
        <f t="shared" si="156"/>
        <v>-1.694492246756679</v>
      </c>
      <c r="W316" s="683">
        <f t="shared" si="144"/>
        <v>-29.749263395082707</v>
      </c>
      <c r="X316" s="684">
        <f t="shared" si="145"/>
        <v>-212.04981636736071</v>
      </c>
      <c r="Y316" s="687">
        <f t="shared" si="146"/>
        <v>-32.049816367360705</v>
      </c>
      <c r="AA316" s="170">
        <f t="shared" si="147"/>
        <v>22259.75</v>
      </c>
      <c r="AB316" s="170">
        <f t="shared" si="148"/>
        <v>495496470.0625</v>
      </c>
      <c r="AD316" s="686">
        <f t="shared" si="149"/>
        <v>-0.89049749774000431</v>
      </c>
      <c r="AE316" s="687">
        <f t="shared" si="150"/>
        <v>-9.5352497220444032</v>
      </c>
      <c r="AG316" s="686">
        <f t="shared" si="151"/>
        <v>44.509577945561929</v>
      </c>
      <c r="AH316" s="687">
        <f t="shared" si="152"/>
        <v>-8.3400581098432447</v>
      </c>
      <c r="AJ316" s="170">
        <f t="shared" si="153"/>
        <v>0</v>
      </c>
      <c r="AK316" s="170">
        <f t="shared" si="165"/>
        <v>0</v>
      </c>
      <c r="AM316" s="170" t="str">
        <f t="shared" si="157"/>
        <v>1.94118611311902-0.337888591804908i</v>
      </c>
      <c r="AN316" s="170" t="str">
        <f t="shared" si="158"/>
        <v>3.48626529691871i</v>
      </c>
      <c r="AO316" s="170" t="str">
        <f t="shared" si="159"/>
        <v>-0.0969199309368528-0.556809636614492i</v>
      </c>
      <c r="AP316" s="170" t="str">
        <f t="shared" si="160"/>
        <v>-0.156864352186504+0.056314765300818i</v>
      </c>
      <c r="AQ316" s="170" t="str">
        <f t="shared" si="161"/>
        <v>1.1568643521865-0.056314765300818i</v>
      </c>
      <c r="AR316" s="170" t="str">
        <f t="shared" si="162"/>
        <v>0.718347632451503+0.0349682987892629i</v>
      </c>
    </row>
    <row r="317" spans="7:44">
      <c r="G317" s="688">
        <v>22387</v>
      </c>
      <c r="H317" s="676">
        <f t="shared" si="154"/>
        <v>22.387</v>
      </c>
      <c r="I317" s="677">
        <f t="shared" si="134"/>
        <v>19.721108261066096</v>
      </c>
      <c r="J317" s="678">
        <f t="shared" si="135"/>
        <v>1.5200674824434643</v>
      </c>
      <c r="K317" s="678">
        <f t="shared" si="136"/>
        <v>1.0004786994895631</v>
      </c>
      <c r="L317" s="679">
        <f t="shared" si="137"/>
        <v>3.0935694805043223E-2</v>
      </c>
      <c r="M317" s="678">
        <f t="shared" si="138"/>
        <v>1.0656650486959631</v>
      </c>
      <c r="N317" s="679">
        <f t="shared" si="139"/>
        <v>-0.35288033868052054</v>
      </c>
      <c r="O317" s="677">
        <f t="shared" si="140"/>
        <v>2000208.9376040921</v>
      </c>
      <c r="P317" s="680">
        <f t="shared" si="141"/>
        <v>1.5707958268471256</v>
      </c>
      <c r="Q317" s="689">
        <f t="shared" si="163"/>
        <v>10.050915125089722</v>
      </c>
      <c r="R317" s="690">
        <f t="shared" si="164"/>
        <v>1.471138016679711</v>
      </c>
      <c r="S317" s="677">
        <f t="shared" si="142"/>
        <v>1.002220221859708</v>
      </c>
      <c r="T317" s="680">
        <f t="shared" si="143"/>
        <v>6.6575097542657558E-2</v>
      </c>
      <c r="U317" s="681">
        <f t="shared" si="155"/>
        <v>0.40379352023199844</v>
      </c>
      <c r="V317" s="682">
        <f t="shared" si="156"/>
        <v>-1.7017201283408094</v>
      </c>
      <c r="W317" s="683">
        <f t="shared" si="144"/>
        <v>-29.850975608448522</v>
      </c>
      <c r="X317" s="684">
        <f t="shared" si="145"/>
        <v>-212.56534618724939</v>
      </c>
      <c r="Y317" s="687">
        <f t="shared" si="146"/>
        <v>-32.565346187249389</v>
      </c>
      <c r="AA317" s="170">
        <f t="shared" si="147"/>
        <v>22387</v>
      </c>
      <c r="AB317" s="170">
        <f t="shared" si="148"/>
        <v>501177769</v>
      </c>
      <c r="AD317" s="686">
        <f t="shared" si="149"/>
        <v>-0.89120828182494694</v>
      </c>
      <c r="AE317" s="687">
        <f t="shared" si="150"/>
        <v>-9.5244440388581193</v>
      </c>
      <c r="AG317" s="686">
        <f t="shared" si="151"/>
        <v>44.523673359244029</v>
      </c>
      <c r="AH317" s="687">
        <f t="shared" si="152"/>
        <v>-8.038139392789768</v>
      </c>
      <c r="AJ317" s="170">
        <f t="shared" si="153"/>
        <v>0</v>
      </c>
      <c r="AK317" s="170">
        <f t="shared" si="165"/>
        <v>0</v>
      </c>
      <c r="AM317" s="170" t="str">
        <f t="shared" si="157"/>
        <v>1.93426567671549-0.356577684819663i</v>
      </c>
      <c r="AN317" s="170" t="str">
        <f t="shared" si="158"/>
        <v>3.50619486751285i</v>
      </c>
      <c r="AO317" s="170" t="str">
        <f t="shared" si="159"/>
        <v>-0.101699334547428-0.551670899594802i</v>
      </c>
      <c r="AP317" s="170" t="str">
        <f t="shared" si="160"/>
        <v>-0.155710946119248+0.0594296141366105i</v>
      </c>
      <c r="AQ317" s="170" t="str">
        <f t="shared" si="161"/>
        <v>1.15571094611925-0.0594296141366105i</v>
      </c>
      <c r="AR317" s="170" t="str">
        <f t="shared" si="162"/>
        <v>0.71886757417259+0.0369660101358857i</v>
      </c>
    </row>
    <row r="318" spans="7:44">
      <c r="G318" s="688">
        <v>22517.5</v>
      </c>
      <c r="H318" s="676">
        <f t="shared" si="154"/>
        <v>22.517499999999998</v>
      </c>
      <c r="I318" s="677">
        <f t="shared" si="134"/>
        <v>19.835773311276728</v>
      </c>
      <c r="J318" s="678">
        <f t="shared" si="135"/>
        <v>1.5203609813126395</v>
      </c>
      <c r="K318" s="678">
        <f t="shared" si="136"/>
        <v>1.000484295344106</v>
      </c>
      <c r="L318" s="679">
        <f t="shared" si="137"/>
        <v>3.1115911466488785E-2</v>
      </c>
      <c r="M318" s="678">
        <f t="shared" si="138"/>
        <v>1.0664089245834436</v>
      </c>
      <c r="N318" s="679">
        <f t="shared" si="139"/>
        <v>-0.35476949312161488</v>
      </c>
      <c r="O318" s="677">
        <f t="shared" si="140"/>
        <v>2011868.7073971536</v>
      </c>
      <c r="P318" s="680">
        <f t="shared" si="141"/>
        <v>1.570795829744569</v>
      </c>
      <c r="Q318" s="689">
        <f t="shared" si="163"/>
        <v>10.108926372027467</v>
      </c>
      <c r="R318" s="690">
        <f t="shared" si="164"/>
        <v>1.4717118019101991</v>
      </c>
      <c r="S318" s="677">
        <f t="shared" si="142"/>
        <v>1.0022461527853894</v>
      </c>
      <c r="T318" s="680">
        <f t="shared" si="143"/>
        <v>6.6962026446414399E-2</v>
      </c>
      <c r="U318" s="681">
        <f t="shared" si="155"/>
        <v>0.40104973014963752</v>
      </c>
      <c r="V318" s="682">
        <f t="shared" si="156"/>
        <v>-1.7091459088932601</v>
      </c>
      <c r="W318" s="683">
        <f t="shared" si="144"/>
        <v>-29.955166393740868</v>
      </c>
      <c r="X318" s="684">
        <f t="shared" si="145"/>
        <v>-213.09483732893435</v>
      </c>
      <c r="Y318" s="687">
        <f t="shared" si="146"/>
        <v>-33.094837328934346</v>
      </c>
      <c r="AA318" s="170">
        <f t="shared" si="147"/>
        <v>22517.5</v>
      </c>
      <c r="AB318" s="170">
        <f t="shared" si="148"/>
        <v>507037806.25</v>
      </c>
      <c r="AD318" s="686">
        <f t="shared" si="149"/>
        <v>-0.89192990050963805</v>
      </c>
      <c r="AE318" s="687">
        <f t="shared" si="150"/>
        <v>-9.5137381259601419</v>
      </c>
      <c r="AG318" s="686">
        <f t="shared" si="151"/>
        <v>44.538648871947771</v>
      </c>
      <c r="AH318" s="687">
        <f t="shared" si="152"/>
        <v>-7.7274046759088852</v>
      </c>
      <c r="AJ318" s="170">
        <f t="shared" si="153"/>
        <v>0</v>
      </c>
      <c r="AK318" s="170">
        <f t="shared" si="165"/>
        <v>0</v>
      </c>
      <c r="AM318" s="170" t="str">
        <f t="shared" si="157"/>
        <v>1.92678311238233-0.375596941684726i</v>
      </c>
      <c r="AN318" s="170" t="str">
        <f t="shared" si="158"/>
        <v>3.52663344482158i</v>
      </c>
      <c r="AO318" s="170" t="str">
        <f t="shared" si="159"/>
        <v>-0.106502971619079-0.546351964991306i</v>
      </c>
      <c r="AP318" s="170" t="str">
        <f t="shared" si="160"/>
        <v>-0.154463852063722+0.0625994902807877i</v>
      </c>
      <c r="AQ318" s="170" t="str">
        <f t="shared" si="161"/>
        <v>1.15446385206372-0.0625994902807877i</v>
      </c>
      <c r="AR318" s="170" t="str">
        <f t="shared" si="162"/>
        <v>0.719431768468851+0.0390103699803587i</v>
      </c>
    </row>
    <row r="319" spans="7:44">
      <c r="G319" s="688">
        <v>22648</v>
      </c>
      <c r="H319" s="676">
        <f t="shared" si="154"/>
        <v>22.648</v>
      </c>
      <c r="I319" s="677">
        <f t="shared" si="134"/>
        <v>19.950440050530929</v>
      </c>
      <c r="J319" s="678">
        <f t="shared" si="135"/>
        <v>1.5206511063904296</v>
      </c>
      <c r="K319" s="678">
        <f t="shared" si="136"/>
        <v>1.0004899236920588</v>
      </c>
      <c r="L319" s="679">
        <f t="shared" si="137"/>
        <v>3.1296126106136551E-2</v>
      </c>
      <c r="M319" s="678">
        <f t="shared" si="138"/>
        <v>1.0671566010686955</v>
      </c>
      <c r="N319" s="679">
        <f t="shared" si="139"/>
        <v>-0.35665600711037893</v>
      </c>
      <c r="O319" s="677">
        <f t="shared" si="140"/>
        <v>2023528.4771902154</v>
      </c>
      <c r="P319" s="680">
        <f t="shared" si="141"/>
        <v>1.5707958326086218</v>
      </c>
      <c r="Q319" s="689">
        <f t="shared" si="163"/>
        <v>10.166940909141196</v>
      </c>
      <c r="R319" s="690">
        <f t="shared" si="164"/>
        <v>1.4722790390659988</v>
      </c>
      <c r="S319" s="677">
        <f t="shared" si="142"/>
        <v>1.0022722337535506</v>
      </c>
      <c r="T319" s="680">
        <f t="shared" si="143"/>
        <v>6.7348935270890004E-2</v>
      </c>
      <c r="U319" s="681">
        <f t="shared" si="155"/>
        <v>0.39831474065930311</v>
      </c>
      <c r="V319" s="682">
        <f t="shared" si="156"/>
        <v>-1.7165859183955248</v>
      </c>
      <c r="W319" s="683">
        <f t="shared" si="144"/>
        <v>-30.059248102945496</v>
      </c>
      <c r="X319" s="684">
        <f t="shared" si="145"/>
        <v>-213.62517327912249</v>
      </c>
      <c r="Y319" s="687">
        <f t="shared" si="146"/>
        <v>-33.625173279122492</v>
      </c>
      <c r="AA319" s="170">
        <f t="shared" si="147"/>
        <v>22648</v>
      </c>
      <c r="AB319" s="170">
        <f t="shared" si="148"/>
        <v>512931904</v>
      </c>
      <c r="AD319" s="686">
        <f t="shared" si="149"/>
        <v>-0.89264430450136667</v>
      </c>
      <c r="AE319" s="687">
        <f t="shared" si="150"/>
        <v>-9.5034062377349713</v>
      </c>
      <c r="AG319" s="686">
        <f t="shared" si="151"/>
        <v>44.554155549457271</v>
      </c>
      <c r="AH319" s="687">
        <f t="shared" si="152"/>
        <v>-7.4155102253140583</v>
      </c>
      <c r="AJ319" s="170">
        <f t="shared" si="153"/>
        <v>0</v>
      </c>
      <c r="AK319" s="170">
        <f t="shared" si="165"/>
        <v>0</v>
      </c>
      <c r="AM319" s="170" t="str">
        <f t="shared" si="157"/>
        <v>1.91891341137272-0.394459303857i</v>
      </c>
      <c r="AN319" s="170" t="str">
        <f t="shared" si="158"/>
        <v>3.5470720221303i</v>
      </c>
      <c r="AO319" s="170" t="str">
        <f t="shared" si="159"/>
        <v>-0.111207018463667-0.540985184230981i</v>
      </c>
      <c r="AP319" s="170" t="str">
        <f t="shared" si="160"/>
        <v>-0.153152235228787+0.0657432173095i</v>
      </c>
      <c r="AQ319" s="170" t="str">
        <f t="shared" si="161"/>
        <v>1.15315223522879-0.0657432173095i</v>
      </c>
      <c r="AR319" s="170" t="str">
        <f t="shared" si="162"/>
        <v>0.720027429505319+0.0410500177865736i</v>
      </c>
    </row>
    <row r="320" spans="7:44">
      <c r="G320" s="688">
        <v>22778.5</v>
      </c>
      <c r="H320" s="676">
        <f t="shared" si="154"/>
        <v>22.778500000000001</v>
      </c>
      <c r="I320" s="677">
        <f t="shared" si="134"/>
        <v>20.065108449871406</v>
      </c>
      <c r="J320" s="678">
        <f t="shared" si="135"/>
        <v>1.520937915469359</v>
      </c>
      <c r="K320" s="678">
        <f t="shared" si="136"/>
        <v>1.0004955845328731</v>
      </c>
      <c r="L320" s="679">
        <f t="shared" si="137"/>
        <v>3.1476338712314963E-2</v>
      </c>
      <c r="M320" s="678">
        <f t="shared" si="138"/>
        <v>1.0679080701689596</v>
      </c>
      <c r="N320" s="679">
        <f t="shared" si="139"/>
        <v>-0.35853987277898758</v>
      </c>
      <c r="O320" s="677">
        <f t="shared" si="140"/>
        <v>2035188.2469832769</v>
      </c>
      <c r="P320" s="680">
        <f t="shared" si="141"/>
        <v>1.5707958354398579</v>
      </c>
      <c r="Q320" s="689">
        <f t="shared" si="163"/>
        <v>10.224958680427351</v>
      </c>
      <c r="R320" s="690">
        <f t="shared" si="164"/>
        <v>1.4728398392428732</v>
      </c>
      <c r="S320" s="677">
        <f t="shared" si="142"/>
        <v>1.0022984647524786</v>
      </c>
      <c r="T320" s="680">
        <f t="shared" si="143"/>
        <v>6.7735823901817066E-2</v>
      </c>
      <c r="U320" s="681">
        <f t="shared" si="155"/>
        <v>0.39558825074751791</v>
      </c>
      <c r="V320" s="682">
        <f t="shared" si="156"/>
        <v>-1.7240409302445783</v>
      </c>
      <c r="W320" s="683">
        <f t="shared" si="144"/>
        <v>-30.163232604086531</v>
      </c>
      <c r="X320" s="684">
        <f t="shared" si="145"/>
        <v>-214.1563948395073</v>
      </c>
      <c r="Y320" s="687">
        <f t="shared" si="146"/>
        <v>-34.1563948395073</v>
      </c>
      <c r="AA320" s="170">
        <f t="shared" si="147"/>
        <v>22778.5</v>
      </c>
      <c r="AB320" s="170">
        <f t="shared" si="148"/>
        <v>518860062.25</v>
      </c>
      <c r="AD320" s="686">
        <f t="shared" si="149"/>
        <v>-0.89335168648032881</v>
      </c>
      <c r="AE320" s="687">
        <f t="shared" si="150"/>
        <v>-9.4934420023500881</v>
      </c>
      <c r="AG320" s="686">
        <f t="shared" si="151"/>
        <v>44.570198215379186</v>
      </c>
      <c r="AH320" s="687">
        <f t="shared" si="152"/>
        <v>-7.1024145897659876</v>
      </c>
      <c r="AJ320" s="170">
        <f t="shared" si="153"/>
        <v>0</v>
      </c>
      <c r="AK320" s="170">
        <f t="shared" si="165"/>
        <v>0</v>
      </c>
      <c r="AM320" s="170" t="str">
        <f t="shared" si="157"/>
        <v>1.91065986102524-0.413156892133587i</v>
      </c>
      <c r="AN320" s="170" t="str">
        <f t="shared" si="158"/>
        <v>3.56751059943903i</v>
      </c>
      <c r="AO320" s="170" t="str">
        <f t="shared" si="159"/>
        <v>-0.115810978164593-0.535572301123837i</v>
      </c>
      <c r="AP320" s="170" t="str">
        <f t="shared" si="160"/>
        <v>-0.151776643504207+0.0688594820222645i</v>
      </c>
      <c r="AQ320" s="170" t="str">
        <f t="shared" si="161"/>
        <v>1.15177664350421-0.0688594820222645i</v>
      </c>
      <c r="AR320" s="170" t="str">
        <f t="shared" si="162"/>
        <v>0.7206546661578+0.0430846616906351i</v>
      </c>
    </row>
    <row r="321" spans="7:44">
      <c r="G321" s="688">
        <v>22909</v>
      </c>
      <c r="H321" s="676">
        <f t="shared" si="154"/>
        <v>22.908999999999999</v>
      </c>
      <c r="I321" s="677">
        <f t="shared" si="134"/>
        <v>20.179778480998632</v>
      </c>
      <c r="J321" s="678">
        <f t="shared" si="135"/>
        <v>1.5212214650305567</v>
      </c>
      <c r="K321" s="678">
        <f t="shared" si="136"/>
        <v>1.0005012778659974</v>
      </c>
      <c r="L321" s="679">
        <f t="shared" si="137"/>
        <v>3.165654927335327E-2</v>
      </c>
      <c r="M321" s="678">
        <f t="shared" si="138"/>
        <v>1.0686633238834946</v>
      </c>
      <c r="N321" s="679">
        <f t="shared" si="139"/>
        <v>-0.3604210823568797</v>
      </c>
      <c r="O321" s="677">
        <f t="shared" si="140"/>
        <v>2046848.0167763385</v>
      </c>
      <c r="P321" s="680">
        <f t="shared" si="141"/>
        <v>1.5707958382388378</v>
      </c>
      <c r="Q321" s="689">
        <f t="shared" si="163"/>
        <v>10.282979631143192</v>
      </c>
      <c r="R321" s="690">
        <f t="shared" si="164"/>
        <v>1.4733943110455929</v>
      </c>
      <c r="S321" s="677">
        <f t="shared" si="142"/>
        <v>1.0023248457703944</v>
      </c>
      <c r="T321" s="680">
        <f t="shared" si="143"/>
        <v>6.8122692224964393E-2</v>
      </c>
      <c r="U321" s="681">
        <f t="shared" si="155"/>
        <v>0.39286995824763199</v>
      </c>
      <c r="V321" s="682">
        <f t="shared" si="156"/>
        <v>-1.7315117205684909</v>
      </c>
      <c r="W321" s="683">
        <f t="shared" si="144"/>
        <v>-30.26713193184408</v>
      </c>
      <c r="X321" s="684">
        <f t="shared" si="145"/>
        <v>-214.68854304142226</v>
      </c>
      <c r="Y321" s="687">
        <f t="shared" si="146"/>
        <v>-34.688543041422264</v>
      </c>
      <c r="AA321" s="170">
        <f t="shared" si="147"/>
        <v>22909</v>
      </c>
      <c r="AB321" s="170">
        <f t="shared" si="148"/>
        <v>524822281</v>
      </c>
      <c r="AD321" s="686">
        <f t="shared" si="149"/>
        <v>-0.8940522336996839</v>
      </c>
      <c r="AE321" s="687">
        <f t="shared" si="150"/>
        <v>-9.4838391906976494</v>
      </c>
      <c r="AG321" s="686">
        <f t="shared" si="151"/>
        <v>44.586781977200658</v>
      </c>
      <c r="AH321" s="687">
        <f t="shared" si="152"/>
        <v>-6.7880760919804777</v>
      </c>
      <c r="AJ321" s="170">
        <f t="shared" si="153"/>
        <v>0</v>
      </c>
      <c r="AK321" s="170">
        <f t="shared" si="165"/>
        <v>0</v>
      </c>
      <c r="AM321" s="170" t="str">
        <f t="shared" si="157"/>
        <v>1.90202590902039-0.431681896141053i</v>
      </c>
      <c r="AN321" s="170" t="str">
        <f t="shared" si="158"/>
        <v>3.58794917674775i</v>
      </c>
      <c r="AO321" s="170" t="str">
        <f t="shared" si="159"/>
        <v>-0.120314384311415-0.530115064434791i</v>
      </c>
      <c r="AP321" s="170" t="str">
        <f t="shared" si="160"/>
        <v>-0.150337651503399+0.0719469826901755i</v>
      </c>
      <c r="AQ321" s="170" t="str">
        <f t="shared" si="161"/>
        <v>1.1503376515034-0.0719469826901755i</v>
      </c>
      <c r="AR321" s="170" t="str">
        <f t="shared" si="162"/>
        <v>0.721313592149152+0.0451140032326326i</v>
      </c>
    </row>
    <row r="322" spans="7:44">
      <c r="G322" s="688">
        <v>23042.25</v>
      </c>
      <c r="H322" s="676">
        <f t="shared" si="154"/>
        <v>23.042249999999999</v>
      </c>
      <c r="I322" s="677">
        <f t="shared" si="134"/>
        <v>20.29686658539698</v>
      </c>
      <c r="J322" s="678">
        <f t="shared" si="135"/>
        <v>1.5215076838591979</v>
      </c>
      <c r="K322" s="678">
        <f t="shared" si="136"/>
        <v>1.0005071246995785</v>
      </c>
      <c r="L322" s="679">
        <f t="shared" si="137"/>
        <v>3.1840555252584397E-2</v>
      </c>
      <c r="M322" s="678">
        <f t="shared" si="138"/>
        <v>1.0694383896575532</v>
      </c>
      <c r="N322" s="679">
        <f t="shared" si="139"/>
        <v>-0.36233918567204731</v>
      </c>
      <c r="O322" s="677">
        <f t="shared" si="140"/>
        <v>2058753.4905305565</v>
      </c>
      <c r="P322" s="680">
        <f t="shared" si="141"/>
        <v>1.570795841064087</v>
      </c>
      <c r="Q322" s="689">
        <f t="shared" si="163"/>
        <v>10.342226470604325</v>
      </c>
      <c r="R322" s="690">
        <f t="shared" si="164"/>
        <v>1.4739540476255044</v>
      </c>
      <c r="S322" s="677">
        <f t="shared" si="142"/>
        <v>1.0023519374921115</v>
      </c>
      <c r="T322" s="680">
        <f t="shared" si="143"/>
        <v>6.8517691872867353E-2</v>
      </c>
      <c r="U322" s="681">
        <f t="shared" si="155"/>
        <v>0.39010252687621533</v>
      </c>
      <c r="V322" s="682">
        <f t="shared" si="156"/>
        <v>-1.7391570314972375</v>
      </c>
      <c r="W322" s="683">
        <f t="shared" si="144"/>
        <v>-30.373145511752586</v>
      </c>
      <c r="X322" s="684">
        <f t="shared" si="145"/>
        <v>-215.2329041117799</v>
      </c>
      <c r="Y322" s="687">
        <f t="shared" si="146"/>
        <v>-35.232904111779902</v>
      </c>
      <c r="AA322" s="170">
        <f t="shared" si="147"/>
        <v>23042.25</v>
      </c>
      <c r="AB322" s="170">
        <f t="shared" si="148"/>
        <v>530945285.0625</v>
      </c>
      <c r="AD322" s="686">
        <f t="shared" si="149"/>
        <v>-0.89476068018266464</v>
      </c>
      <c r="AE322" s="687">
        <f t="shared" si="150"/>
        <v>-9.4744006216276908</v>
      </c>
      <c r="AG322" s="686">
        <f t="shared" si="151"/>
        <v>44.604279133917927</v>
      </c>
      <c r="AH322" s="687">
        <f t="shared" si="152"/>
        <v>-6.4657876318421437</v>
      </c>
      <c r="AJ322" s="170">
        <f t="shared" si="153"/>
        <v>0</v>
      </c>
      <c r="AK322" s="170">
        <f t="shared" si="165"/>
        <v>0</v>
      </c>
      <c r="AM322" s="170" t="str">
        <f t="shared" si="157"/>
        <v>1.89282125357678-0.450411155680656i</v>
      </c>
      <c r="AN322" s="170" t="str">
        <f t="shared" si="158"/>
        <v>3.60881845204574i</v>
      </c>
      <c r="AO322" s="170" t="str">
        <f t="shared" si="159"/>
        <v>-0.124808482794509-0.524498884809179i</v>
      </c>
      <c r="AP322" s="170" t="str">
        <f t="shared" si="160"/>
        <v>-0.148803542262797+0.075068525946776i</v>
      </c>
      <c r="AQ322" s="170" t="str">
        <f t="shared" si="161"/>
        <v>1.1488035422628-0.075068525946776i</v>
      </c>
      <c r="AR322" s="170" t="str">
        <f t="shared" si="162"/>
        <v>0.722019224696613+0.0471803201411175i</v>
      </c>
    </row>
    <row r="323" spans="7:44">
      <c r="G323" s="688">
        <v>23175.5</v>
      </c>
      <c r="H323" s="676">
        <f t="shared" si="154"/>
        <v>23.1755</v>
      </c>
      <c r="I323" s="677">
        <f t="shared" si="134"/>
        <v>20.413956333465315</v>
      </c>
      <c r="J323" s="678">
        <f t="shared" si="135"/>
        <v>1.5217906193403423</v>
      </c>
      <c r="K323" s="678">
        <f t="shared" si="136"/>
        <v>1.0005130054081333</v>
      </c>
      <c r="L323" s="679">
        <f t="shared" si="137"/>
        <v>3.2024559074984096E-2</v>
      </c>
      <c r="M323" s="678">
        <f t="shared" si="138"/>
        <v>1.0702173843167238</v>
      </c>
      <c r="N323" s="679">
        <f t="shared" si="139"/>
        <v>-0.36425450370998025</v>
      </c>
      <c r="O323" s="677">
        <f t="shared" si="140"/>
        <v>2070658.9642847746</v>
      </c>
      <c r="P323" s="680">
        <f t="shared" si="141"/>
        <v>1.5707958438568479</v>
      </c>
      <c r="Q323" s="689">
        <f t="shared" si="163"/>
        <v>10.401476513423344</v>
      </c>
      <c r="R323" s="690">
        <f t="shared" si="164"/>
        <v>1.4745074075101128</v>
      </c>
      <c r="S323" s="677">
        <f t="shared" si="142"/>
        <v>1.002379185597043</v>
      </c>
      <c r="T323" s="680">
        <f t="shared" si="143"/>
        <v>6.891267010750296E-2</v>
      </c>
      <c r="U323" s="681">
        <f t="shared" si="155"/>
        <v>0.38734300160808616</v>
      </c>
      <c r="V323" s="682">
        <f t="shared" si="156"/>
        <v>-1.7468204375199472</v>
      </c>
      <c r="W323" s="683">
        <f t="shared" si="144"/>
        <v>-30.479096214424185</v>
      </c>
      <c r="X323" s="684">
        <f t="shared" si="145"/>
        <v>-215.77831850062233</v>
      </c>
      <c r="Y323" s="687">
        <f t="shared" si="146"/>
        <v>-35.778318500622333</v>
      </c>
      <c r="AA323" s="170">
        <f t="shared" si="147"/>
        <v>23175.5</v>
      </c>
      <c r="AB323" s="170">
        <f t="shared" si="148"/>
        <v>537103800.25</v>
      </c>
      <c r="AD323" s="686">
        <f t="shared" si="149"/>
        <v>-0.89546237886250279</v>
      </c>
      <c r="AE323" s="687">
        <f t="shared" si="150"/>
        <v>-9.4653261815349747</v>
      </c>
      <c r="AG323" s="686">
        <f t="shared" si="151"/>
        <v>44.622352120804436</v>
      </c>
      <c r="AH323" s="687">
        <f t="shared" si="152"/>
        <v>-6.1421148161810315</v>
      </c>
      <c r="AJ323" s="170">
        <f t="shared" si="153"/>
        <v>0</v>
      </c>
      <c r="AK323" s="170">
        <f t="shared" si="165"/>
        <v>0</v>
      </c>
      <c r="AM323" s="170" t="str">
        <f t="shared" si="157"/>
        <v>1.88322776479483-0.46894425627737i</v>
      </c>
      <c r="AN323" s="170" t="str">
        <f t="shared" si="158"/>
        <v>3.62968772734373i</v>
      </c>
      <c r="AO323" s="170" t="str">
        <f t="shared" si="159"/>
        <v>-0.129196859758664-0.518840160989003i</v>
      </c>
      <c r="AP323" s="170" t="str">
        <f t="shared" si="160"/>
        <v>-0.147204627465804+0.0781573760462283i</v>
      </c>
      <c r="AQ323" s="170" t="str">
        <f t="shared" si="161"/>
        <v>1.1472046274658-0.0781573760462283i</v>
      </c>
      <c r="AR323" s="170" t="str">
        <f t="shared" si="162"/>
        <v>0.72275815072909+0.0492404573905836i</v>
      </c>
    </row>
    <row r="324" spans="7:44">
      <c r="G324" s="688">
        <v>23308.75</v>
      </c>
      <c r="H324" s="676">
        <f t="shared" si="154"/>
        <v>23.30875</v>
      </c>
      <c r="I324" s="677">
        <f t="shared" si="134"/>
        <v>20.531047697081807</v>
      </c>
      <c r="J324" s="678">
        <f t="shared" si="135"/>
        <v>1.5220703276044336</v>
      </c>
      <c r="K324" s="678">
        <f t="shared" si="136"/>
        <v>1.0005189199910651</v>
      </c>
      <c r="L324" s="679">
        <f t="shared" si="137"/>
        <v>3.220856072813072E-2</v>
      </c>
      <c r="M324" s="678">
        <f t="shared" si="138"/>
        <v>1.0710002992879544</v>
      </c>
      <c r="N324" s="679">
        <f t="shared" si="139"/>
        <v>-0.36616702851121591</v>
      </c>
      <c r="O324" s="677">
        <f t="shared" si="140"/>
        <v>2082564.4380389927</v>
      </c>
      <c r="P324" s="680">
        <f t="shared" si="141"/>
        <v>1.5707958466176777</v>
      </c>
      <c r="Q324" s="689">
        <f t="shared" si="163"/>
        <v>10.460729705168358</v>
      </c>
      <c r="R324" s="690">
        <f t="shared" si="164"/>
        <v>1.4750544987170446</v>
      </c>
      <c r="S324" s="677">
        <f t="shared" si="142"/>
        <v>1.0024065900724359</v>
      </c>
      <c r="T324" s="680">
        <f t="shared" si="143"/>
        <v>6.930762680738306E-2</v>
      </c>
      <c r="U324" s="681">
        <f t="shared" si="155"/>
        <v>0.38459105697085477</v>
      </c>
      <c r="V324" s="682">
        <f t="shared" si="156"/>
        <v>-1.7545027744347983</v>
      </c>
      <c r="W324" s="683">
        <f t="shared" si="144"/>
        <v>-30.584997441298416</v>
      </c>
      <c r="X324" s="684">
        <f t="shared" si="145"/>
        <v>-216.32483066048042</v>
      </c>
      <c r="Y324" s="687">
        <f t="shared" si="146"/>
        <v>-36.324830660480416</v>
      </c>
      <c r="AA324" s="170">
        <f t="shared" si="147"/>
        <v>23308.75</v>
      </c>
      <c r="AB324" s="170">
        <f t="shared" si="148"/>
        <v>543297826.5625</v>
      </c>
      <c r="AD324" s="686">
        <f t="shared" si="149"/>
        <v>-0.8961575127197654</v>
      </c>
      <c r="AE324" s="687">
        <f t="shared" si="150"/>
        <v>-9.456609674536546</v>
      </c>
      <c r="AG324" s="686">
        <f t="shared" si="151"/>
        <v>44.641007326080484</v>
      </c>
      <c r="AH324" s="687">
        <f t="shared" si="152"/>
        <v>-5.8170125179945558</v>
      </c>
      <c r="AJ324" s="170">
        <f t="shared" si="153"/>
        <v>0</v>
      </c>
      <c r="AK324" s="170">
        <f t="shared" si="165"/>
        <v>0</v>
      </c>
      <c r="AM324" s="170" t="str">
        <f t="shared" si="157"/>
        <v>1.87324962074293-0.487273126564898i</v>
      </c>
      <c r="AN324" s="170" t="str">
        <f t="shared" si="158"/>
        <v>3.65055700264172i</v>
      </c>
      <c r="AO324" s="170" t="str">
        <f t="shared" si="159"/>
        <v>-0.133479117354498-0.513140767117828i</v>
      </c>
      <c r="AP324" s="170" t="str">
        <f t="shared" si="160"/>
        <v>-0.145541603457155+0.0812121877608163i</v>
      </c>
      <c r="AQ324" s="170" t="str">
        <f t="shared" si="161"/>
        <v>1.14554160345716-0.0812121877608163i</v>
      </c>
      <c r="AR324" s="170" t="str">
        <f t="shared" si="162"/>
        <v>0.723530506062085+0.0512940735907458i</v>
      </c>
    </row>
    <row r="325" spans="7:44">
      <c r="G325" s="688">
        <v>23442</v>
      </c>
      <c r="H325" s="676">
        <f t="shared" si="154"/>
        <v>23.442</v>
      </c>
      <c r="I325" s="677">
        <f t="shared" si="134"/>
        <v>20.648140648762119</v>
      </c>
      <c r="J325" s="678">
        <f t="shared" si="135"/>
        <v>1.5223468635107276</v>
      </c>
      <c r="K325" s="678">
        <f t="shared" si="136"/>
        <v>1.000524868447773</v>
      </c>
      <c r="L325" s="679">
        <f t="shared" si="137"/>
        <v>3.2392560199603494E-2</v>
      </c>
      <c r="M325" s="678">
        <f t="shared" si="138"/>
        <v>1.071787125980161</v>
      </c>
      <c r="N325" s="679">
        <f t="shared" si="139"/>
        <v>-0.36807675222122505</v>
      </c>
      <c r="O325" s="677">
        <f t="shared" si="140"/>
        <v>2094469.911793211</v>
      </c>
      <c r="P325" s="680">
        <f t="shared" si="141"/>
        <v>1.5707958493471212</v>
      </c>
      <c r="Q325" s="689">
        <f t="shared" si="163"/>
        <v>10.519985992630959</v>
      </c>
      <c r="R325" s="690">
        <f t="shared" si="164"/>
        <v>1.4755954268453928</v>
      </c>
      <c r="S325" s="677">
        <f t="shared" si="142"/>
        <v>1.0024341509054657</v>
      </c>
      <c r="T325" s="680">
        <f t="shared" si="143"/>
        <v>6.9702561851059691E-2</v>
      </c>
      <c r="U325" s="681">
        <f t="shared" si="155"/>
        <v>0.38184636618445233</v>
      </c>
      <c r="V325" s="682">
        <f t="shared" si="156"/>
        <v>-1.7622048815009479</v>
      </c>
      <c r="W325" s="683">
        <f t="shared" si="144"/>
        <v>-30.690862810899525</v>
      </c>
      <c r="X325" s="684">
        <f t="shared" si="145"/>
        <v>-216.87248531393629</v>
      </c>
      <c r="Y325" s="687">
        <f t="shared" si="146"/>
        <v>-36.872485313936295</v>
      </c>
      <c r="AA325" s="170">
        <f t="shared" si="147"/>
        <v>23442</v>
      </c>
      <c r="AB325" s="170">
        <f t="shared" si="148"/>
        <v>549527364</v>
      </c>
      <c r="AD325" s="686">
        <f t="shared" si="149"/>
        <v>-0.89684625958903919</v>
      </c>
      <c r="AE325" s="687">
        <f t="shared" si="150"/>
        <v>-9.4482450433228014</v>
      </c>
      <c r="AG325" s="686">
        <f t="shared" si="151"/>
        <v>44.660251471189945</v>
      </c>
      <c r="AH325" s="687">
        <f t="shared" si="152"/>
        <v>-5.4904353451591552</v>
      </c>
      <c r="AJ325" s="170">
        <f t="shared" si="153"/>
        <v>0</v>
      </c>
      <c r="AK325" s="170">
        <f t="shared" si="165"/>
        <v>0</v>
      </c>
      <c r="AM325" s="170" t="str">
        <f t="shared" si="157"/>
        <v>1.86289116701104-0.505389784121458i</v>
      </c>
      <c r="AN325" s="170" t="str">
        <f t="shared" si="158"/>
        <v>3.67142627793971i</v>
      </c>
      <c r="AO325" s="170" t="str">
        <f t="shared" si="159"/>
        <v>-0.137654891004666-0.507402580355348i</v>
      </c>
      <c r="AP325" s="170" t="str">
        <f t="shared" si="160"/>
        <v>-0.143815194501839+0.0842316306869097i</v>
      </c>
      <c r="AQ325" s="170" t="str">
        <f t="shared" si="161"/>
        <v>1.14381519450184-0.0842316306869097i</v>
      </c>
      <c r="AR325" s="170" t="str">
        <f t="shared" si="162"/>
        <v>0.724336431140868+0.0533408185642297i</v>
      </c>
    </row>
    <row r="326" spans="7:44">
      <c r="G326" s="688">
        <v>23578.5</v>
      </c>
      <c r="H326" s="676">
        <f t="shared" si="154"/>
        <v>23.578499999999998</v>
      </c>
      <c r="I326" s="677">
        <f t="shared" si="134"/>
        <v>20.768091144651024</v>
      </c>
      <c r="J326" s="678">
        <f t="shared" si="135"/>
        <v>1.5226269108779333</v>
      </c>
      <c r="K326" s="678">
        <f t="shared" si="136"/>
        <v>1.0005309971112952</v>
      </c>
      <c r="L326" s="679">
        <f t="shared" si="137"/>
        <v>3.258104518794068E-2</v>
      </c>
      <c r="M326" s="678">
        <f t="shared" si="138"/>
        <v>1.0725971905645968</v>
      </c>
      <c r="N326" s="679">
        <f t="shared" si="139"/>
        <v>-0.37003014205465901</v>
      </c>
      <c r="O326" s="677">
        <f t="shared" si="140"/>
        <v>2106665.7629560689</v>
      </c>
      <c r="P326" s="680">
        <f t="shared" si="141"/>
        <v>1.5707958521111487</v>
      </c>
      <c r="Q326" s="689">
        <f t="shared" si="163"/>
        <v>10.580690710925108</v>
      </c>
      <c r="R326" s="690">
        <f t="shared" si="164"/>
        <v>1.4761432658639457</v>
      </c>
      <c r="S326" s="677">
        <f t="shared" si="142"/>
        <v>1.0024625460650001</v>
      </c>
      <c r="T326" s="680">
        <f t="shared" si="143"/>
        <v>7.01071068749234E-2</v>
      </c>
      <c r="U326" s="681">
        <f t="shared" si="155"/>
        <v>0.37904191013467459</v>
      </c>
      <c r="V326" s="682">
        <f t="shared" si="156"/>
        <v>-1.7701162252152371</v>
      </c>
      <c r="W326" s="683">
        <f t="shared" si="144"/>
        <v>-30.799287557150699</v>
      </c>
      <c r="X326" s="684">
        <f t="shared" si="145"/>
        <v>-217.43472906799758</v>
      </c>
      <c r="Y326" s="687">
        <f t="shared" si="146"/>
        <v>-37.43472906799758</v>
      </c>
      <c r="AA326" s="170">
        <f t="shared" si="147"/>
        <v>23578.5</v>
      </c>
      <c r="AB326" s="170">
        <f t="shared" si="148"/>
        <v>555945662.25</v>
      </c>
      <c r="AD326" s="686">
        <f t="shared" si="149"/>
        <v>-0.89754536326711543</v>
      </c>
      <c r="AE326" s="687">
        <f t="shared" si="150"/>
        <v>-9.4400350605552763</v>
      </c>
      <c r="AG326" s="686">
        <f t="shared" si="151"/>
        <v>44.680583031271716</v>
      </c>
      <c r="AH326" s="687">
        <f t="shared" si="152"/>
        <v>-5.1543158707398327</v>
      </c>
      <c r="AJ326" s="170">
        <f t="shared" si="153"/>
        <v>0</v>
      </c>
      <c r="AK326" s="170">
        <f t="shared" si="165"/>
        <v>0</v>
      </c>
      <c r="AM326" s="170" t="str">
        <f t="shared" si="157"/>
        <v>1.85189044817766-0.523720024730449i</v>
      </c>
      <c r="AN326" s="170" t="str">
        <f t="shared" si="158"/>
        <v>3.69280455995229i</v>
      </c>
      <c r="AO326" s="170" t="str">
        <f t="shared" si="159"/>
        <v>-0.141821755315753-0.501486178895313i</v>
      </c>
      <c r="AP326" s="170" t="str">
        <f t="shared" si="160"/>
        <v>-0.141981741362944+0.0872866707884082i</v>
      </c>
      <c r="AQ326" s="170" t="str">
        <f t="shared" si="161"/>
        <v>1.14198174136294-0.0872866707884082i</v>
      </c>
      <c r="AR326" s="170" t="str">
        <f t="shared" si="162"/>
        <v>0.725196972297783+0.0554299837597746i</v>
      </c>
    </row>
    <row r="327" spans="7:44">
      <c r="G327" s="688">
        <v>23715</v>
      </c>
      <c r="H327" s="676">
        <f t="shared" si="154"/>
        <v>23.715</v>
      </c>
      <c r="I327" s="677">
        <f t="shared" si="134"/>
        <v>20.888043250602582</v>
      </c>
      <c r="J327" s="678">
        <f t="shared" si="135"/>
        <v>1.5229037418551234</v>
      </c>
      <c r="K327" s="678">
        <f t="shared" si="136"/>
        <v>1.0005371613198368</v>
      </c>
      <c r="L327" s="679">
        <f t="shared" si="137"/>
        <v>3.2769527860499928E-2</v>
      </c>
      <c r="M327" s="678">
        <f t="shared" si="138"/>
        <v>1.0734113417058939</v>
      </c>
      <c r="N327" s="679">
        <f t="shared" si="139"/>
        <v>-0.37198057614280788</v>
      </c>
      <c r="O327" s="677">
        <f t="shared" si="140"/>
        <v>2118861.6141189262</v>
      </c>
      <c r="P327" s="680">
        <f t="shared" si="141"/>
        <v>1.5707958548433574</v>
      </c>
      <c r="Q327" s="689">
        <f t="shared" si="163"/>
        <v>10.641398568545469</v>
      </c>
      <c r="R327" s="690">
        <f t="shared" si="164"/>
        <v>1.4766848543363376</v>
      </c>
      <c r="S327" s="677">
        <f t="shared" si="142"/>
        <v>1.0024911052749133</v>
      </c>
      <c r="T327" s="680">
        <f t="shared" si="143"/>
        <v>7.0511628915433083E-2</v>
      </c>
      <c r="U327" s="681">
        <f t="shared" si="155"/>
        <v>0.37624436763057661</v>
      </c>
      <c r="V327" s="682">
        <f t="shared" si="156"/>
        <v>-1.7780501097343426</v>
      </c>
      <c r="W327" s="683">
        <f t="shared" si="144"/>
        <v>-30.907704347014882</v>
      </c>
      <c r="X327" s="684">
        <f t="shared" si="145"/>
        <v>-217.99826762166663</v>
      </c>
      <c r="Y327" s="687">
        <f t="shared" si="146"/>
        <v>-37.998267621666628</v>
      </c>
      <c r="AA327" s="170">
        <f t="shared" si="147"/>
        <v>23715</v>
      </c>
      <c r="AB327" s="170">
        <f t="shared" si="148"/>
        <v>562401225</v>
      </c>
      <c r="AD327" s="686">
        <f t="shared" si="149"/>
        <v>-0.89823812656272772</v>
      </c>
      <c r="AE327" s="687">
        <f t="shared" si="150"/>
        <v>-9.4321818890305575</v>
      </c>
      <c r="AG327" s="686">
        <f t="shared" si="151"/>
        <v>44.701547992106299</v>
      </c>
      <c r="AH327" s="687">
        <f t="shared" si="152"/>
        <v>-4.8165513987168191</v>
      </c>
      <c r="AJ327" s="170">
        <f t="shared" si="153"/>
        <v>0</v>
      </c>
      <c r="AK327" s="170">
        <f t="shared" si="165"/>
        <v>0</v>
      </c>
      <c r="AM327" s="170" t="str">
        <f t="shared" si="157"/>
        <v>1.8405004038786-0.541810918199247i</v>
      </c>
      <c r="AN327" s="170" t="str">
        <f t="shared" si="158"/>
        <v>3.71418284196486i</v>
      </c>
      <c r="AO327" s="170" t="str">
        <f t="shared" si="159"/>
        <v>-0.145876210529426-0.495533063984795i</v>
      </c>
      <c r="AP327" s="170" t="str">
        <f t="shared" si="160"/>
        <v>-0.140083400646433+0.0903018196998745i</v>
      </c>
      <c r="AQ327" s="170" t="str">
        <f t="shared" si="161"/>
        <v>1.14008340064643-0.0903018196998745i</v>
      </c>
      <c r="AR327" s="170" t="str">
        <f t="shared" si="162"/>
        <v>0.726093053127129+0.0575111644741432i</v>
      </c>
    </row>
    <row r="328" spans="7:44">
      <c r="G328" s="688">
        <v>23851.5</v>
      </c>
      <c r="H328" s="676">
        <f t="shared" si="154"/>
        <v>23.851500000000001</v>
      </c>
      <c r="I328" s="677">
        <f t="shared" si="134"/>
        <v>21.007996939037231</v>
      </c>
      <c r="J328" s="678">
        <f t="shared" si="135"/>
        <v>1.5231774114953545</v>
      </c>
      <c r="K328" s="678">
        <f t="shared" si="136"/>
        <v>1.0005433610727403</v>
      </c>
      <c r="L328" s="679">
        <f t="shared" si="137"/>
        <v>3.2958008203932208E-2</v>
      </c>
      <c r="M328" s="678">
        <f t="shared" si="138"/>
        <v>1.0742295701125335</v>
      </c>
      <c r="N328" s="679">
        <f t="shared" si="139"/>
        <v>-0.37392804638334748</v>
      </c>
      <c r="O328" s="677">
        <f t="shared" si="140"/>
        <v>2131057.4652817841</v>
      </c>
      <c r="P328" s="680">
        <f t="shared" si="141"/>
        <v>1.570795857544294</v>
      </c>
      <c r="Q328" s="689">
        <f t="shared" si="163"/>
        <v>10.70210951206843</v>
      </c>
      <c r="R328" s="690">
        <f t="shared" si="164"/>
        <v>1.4772202983164424</v>
      </c>
      <c r="S328" s="677">
        <f t="shared" si="142"/>
        <v>1.0025198285211854</v>
      </c>
      <c r="T328" s="680">
        <f t="shared" si="143"/>
        <v>7.0916127842168192E-2</v>
      </c>
      <c r="U328" s="681">
        <f t="shared" si="155"/>
        <v>0.37345338302292058</v>
      </c>
      <c r="V328" s="682">
        <f t="shared" si="156"/>
        <v>-1.7860074492608471</v>
      </c>
      <c r="W328" s="683">
        <f t="shared" si="144"/>
        <v>-31.01612859448684</v>
      </c>
      <c r="X328" s="684">
        <f t="shared" si="145"/>
        <v>-218.56314996185597</v>
      </c>
      <c r="Y328" s="687">
        <f t="shared" si="146"/>
        <v>-38.56314996185597</v>
      </c>
      <c r="AA328" s="170">
        <f t="shared" si="147"/>
        <v>23851.5</v>
      </c>
      <c r="AB328" s="170">
        <f t="shared" si="148"/>
        <v>568894052.25</v>
      </c>
      <c r="AD328" s="686">
        <f t="shared" si="149"/>
        <v>-0.89892472495067255</v>
      </c>
      <c r="AE328" s="687">
        <f t="shared" si="150"/>
        <v>-9.4246794448680493</v>
      </c>
      <c r="AG328" s="686">
        <f t="shared" si="151"/>
        <v>44.723154715508279</v>
      </c>
      <c r="AH328" s="687">
        <f t="shared" si="152"/>
        <v>-4.4770922399840973</v>
      </c>
      <c r="AJ328" s="170">
        <f t="shared" si="153"/>
        <v>0</v>
      </c>
      <c r="AK328" s="170">
        <f t="shared" si="165"/>
        <v>0</v>
      </c>
      <c r="AM328" s="170" t="str">
        <f t="shared" si="157"/>
        <v>1.82872623951826-0.559654196744673i</v>
      </c>
      <c r="AN328" s="170" t="str">
        <f t="shared" si="158"/>
        <v>3.73556112397743i</v>
      </c>
      <c r="AO328" s="170" t="str">
        <f t="shared" si="159"/>
        <v>-0.14981797330324-0.489545259420391i</v>
      </c>
      <c r="AP328" s="170" t="str">
        <f t="shared" si="160"/>
        <v>-0.13812103991971+0.0932756994574455i</v>
      </c>
      <c r="AQ328" s="170" t="str">
        <f t="shared" si="161"/>
        <v>1.13812103991971-0.0932756994574455i</v>
      </c>
      <c r="AR328" s="170" t="str">
        <f t="shared" si="162"/>
        <v>0.727024838398914+0.0595839528011704i</v>
      </c>
    </row>
    <row r="329" spans="7:44">
      <c r="G329" s="688">
        <v>23988</v>
      </c>
      <c r="H329" s="676">
        <f t="shared" si="154"/>
        <v>23.988</v>
      </c>
      <c r="I329" s="677">
        <f t="shared" si="134"/>
        <v>21.127952183001387</v>
      </c>
      <c r="J329" s="678">
        <f t="shared" si="135"/>
        <v>1.5234479736033335</v>
      </c>
      <c r="K329" s="678">
        <f t="shared" si="136"/>
        <v>1.0005495963693454</v>
      </c>
      <c r="L329" s="679">
        <f t="shared" si="137"/>
        <v>3.3146486204889483E-2</v>
      </c>
      <c r="M329" s="678">
        <f t="shared" si="138"/>
        <v>1.0750518664748221</v>
      </c>
      <c r="N329" s="679">
        <f t="shared" si="139"/>
        <v>-0.37587254478848464</v>
      </c>
      <c r="O329" s="677">
        <f t="shared" si="140"/>
        <v>2143253.3164446414</v>
      </c>
      <c r="P329" s="680">
        <f t="shared" si="141"/>
        <v>1.5707958602144918</v>
      </c>
      <c r="Q329" s="689">
        <f t="shared" si="163"/>
        <v>10.762823489273105</v>
      </c>
      <c r="R329" s="690">
        <f t="shared" si="164"/>
        <v>1.4777497014793761</v>
      </c>
      <c r="S329" s="677">
        <f t="shared" si="142"/>
        <v>1.0025487157897173</v>
      </c>
      <c r="T329" s="680">
        <f t="shared" si="143"/>
        <v>7.1320603524753348E-2</v>
      </c>
      <c r="U329" s="681">
        <f t="shared" si="155"/>
        <v>0.37066859915352174</v>
      </c>
      <c r="V329" s="682">
        <f t="shared" si="156"/>
        <v>-1.7939891622799358</v>
      </c>
      <c r="W329" s="683">
        <f t="shared" si="144"/>
        <v>-31.124575998373771</v>
      </c>
      <c r="X329" s="684">
        <f t="shared" si="145"/>
        <v>-219.12942539218506</v>
      </c>
      <c r="Y329" s="687">
        <f t="shared" si="146"/>
        <v>-39.129425392185055</v>
      </c>
      <c r="AA329" s="170">
        <f t="shared" si="147"/>
        <v>23988</v>
      </c>
      <c r="AB329" s="170">
        <f t="shared" si="148"/>
        <v>575424144</v>
      </c>
      <c r="AD329" s="686">
        <f t="shared" si="149"/>
        <v>-0.89960532896250556</v>
      </c>
      <c r="AE329" s="687">
        <f t="shared" si="150"/>
        <v>-9.4175217804817635</v>
      </c>
      <c r="AG329" s="686">
        <f t="shared" si="151"/>
        <v>44.745411964689467</v>
      </c>
      <c r="AH329" s="687">
        <f t="shared" si="152"/>
        <v>-4.1358883950975383</v>
      </c>
      <c r="AJ329" s="170">
        <f t="shared" si="153"/>
        <v>0</v>
      </c>
      <c r="AK329" s="170">
        <f t="shared" si="165"/>
        <v>0</v>
      </c>
      <c r="AM329" s="170" t="str">
        <f t="shared" si="157"/>
        <v>1.81657333604912-0.577241705746921i</v>
      </c>
      <c r="AN329" s="170" t="str">
        <f t="shared" si="158"/>
        <v>3.75693940599001i</v>
      </c>
      <c r="AO329" s="170" t="str">
        <f t="shared" si="159"/>
        <v>-0.153646796865176-0.483524789660648i</v>
      </c>
      <c r="AP329" s="170" t="str">
        <f t="shared" si="160"/>
        <v>-0.136095556008186+0.0962069509578202i</v>
      </c>
      <c r="AQ329" s="170" t="str">
        <f t="shared" si="161"/>
        <v>1.13609555600819-0.0962069509578202i</v>
      </c>
      <c r="AR329" s="170" t="str">
        <f t="shared" si="162"/>
        <v>0.727992497039428+0.0616479292520253i</v>
      </c>
    </row>
    <row r="330" spans="7:44">
      <c r="G330" s="688">
        <v>24127.75</v>
      </c>
      <c r="H330" s="676">
        <f t="shared" si="154"/>
        <v>24.127749999999999</v>
      </c>
      <c r="I330" s="677">
        <f t="shared" si="134"/>
        <v>21.250765088221275</v>
      </c>
      <c r="J330" s="678">
        <f t="shared" si="135"/>
        <v>1.5237218131796368</v>
      </c>
      <c r="K330" s="678">
        <f t="shared" si="136"/>
        <v>1.0005560169478938</v>
      </c>
      <c r="L330" s="679">
        <f t="shared" si="137"/>
        <v>3.333944933656207E-2</v>
      </c>
      <c r="M330" s="678">
        <f t="shared" si="138"/>
        <v>1.0758979459747426</v>
      </c>
      <c r="N330" s="679">
        <f t="shared" si="139"/>
        <v>-0.37786025373896004</v>
      </c>
      <c r="O330" s="677">
        <f t="shared" si="140"/>
        <v>2155739.5450161388</v>
      </c>
      <c r="P330" s="680">
        <f t="shared" si="141"/>
        <v>1.5707958629169656</v>
      </c>
      <c r="Q330" s="689">
        <f t="shared" si="163"/>
        <v>10.824986126948836</v>
      </c>
      <c r="R330" s="690">
        <f t="shared" si="164"/>
        <v>1.4782855570373048</v>
      </c>
      <c r="S330" s="677">
        <f t="shared" si="142"/>
        <v>1.0025784607622406</v>
      </c>
      <c r="T330" s="680">
        <f t="shared" si="143"/>
        <v>7.1734685363753894E-2</v>
      </c>
      <c r="U330" s="681">
        <f t="shared" si="155"/>
        <v>0.36782356030250557</v>
      </c>
      <c r="V330" s="682">
        <f t="shared" si="156"/>
        <v>-1.8021871306761741</v>
      </c>
      <c r="W330" s="683">
        <f t="shared" si="144"/>
        <v>-31.23564617873717</v>
      </c>
      <c r="X330" s="684">
        <f t="shared" si="145"/>
        <v>-219.71067862992749</v>
      </c>
      <c r="Y330" s="687">
        <f t="shared" si="146"/>
        <v>-39.710678629927486</v>
      </c>
      <c r="AA330" s="170">
        <f t="shared" si="147"/>
        <v>24127.75</v>
      </c>
      <c r="AB330" s="170">
        <f t="shared" si="148"/>
        <v>582148320.0625</v>
      </c>
      <c r="AD330" s="686">
        <f t="shared" si="149"/>
        <v>-0.9002961007263699</v>
      </c>
      <c r="AE330" s="687">
        <f t="shared" si="150"/>
        <v>-9.4105448151639415</v>
      </c>
      <c r="AG330" s="686">
        <f t="shared" si="151"/>
        <v>44.768882674417597</v>
      </c>
      <c r="AH330" s="687">
        <f t="shared" si="152"/>
        <v>-3.7847006177121427</v>
      </c>
      <c r="AJ330" s="170">
        <f t="shared" si="153"/>
        <v>0</v>
      </c>
      <c r="AK330" s="170">
        <f t="shared" si="165"/>
        <v>0</v>
      </c>
      <c r="AM330" s="170" t="str">
        <f t="shared" si="157"/>
        <v>1.80374450558154-0.594974595884131i</v>
      </c>
      <c r="AN330" s="170" t="str">
        <f t="shared" si="158"/>
        <v>3.77882669471717i</v>
      </c>
      <c r="AO330" s="170" t="str">
        <f t="shared" si="159"/>
        <v>-0.157449558805094-0.477329248283122i</v>
      </c>
      <c r="AP330" s="170" t="str">
        <f t="shared" si="160"/>
        <v>-0.133957417596924+0.0991624326473552i</v>
      </c>
      <c r="AQ330" s="170" t="str">
        <f t="shared" si="161"/>
        <v>1.13395741759692-0.0991624326473552i</v>
      </c>
      <c r="AR330" s="170" t="str">
        <f t="shared" si="162"/>
        <v>0.729020540367105+0.0637514681864258i</v>
      </c>
    </row>
    <row r="331" spans="7:44">
      <c r="G331" s="688">
        <v>24267.5</v>
      </c>
      <c r="H331" s="676">
        <f t="shared" si="154"/>
        <v>24.267499999999998</v>
      </c>
      <c r="I331" s="677">
        <f t="shared" si="134"/>
        <v>21.3735795686827</v>
      </c>
      <c r="J331" s="678">
        <f t="shared" si="135"/>
        <v>1.5239925057631465</v>
      </c>
      <c r="K331" s="678">
        <f t="shared" si="136"/>
        <v>1.0005624747814363</v>
      </c>
      <c r="L331" s="679">
        <f t="shared" si="137"/>
        <v>3.3532409984572888E-2</v>
      </c>
      <c r="M331" s="678">
        <f t="shared" si="138"/>
        <v>1.0767482696431165</v>
      </c>
      <c r="N331" s="679">
        <f t="shared" si="139"/>
        <v>-0.37984483107521622</v>
      </c>
      <c r="O331" s="677">
        <f t="shared" si="140"/>
        <v>2168225.7735876357</v>
      </c>
      <c r="P331" s="680">
        <f t="shared" si="141"/>
        <v>1.5707958655883136</v>
      </c>
      <c r="Q331" s="689">
        <f t="shared" si="163"/>
        <v>10.887151837428263</v>
      </c>
      <c r="R331" s="690">
        <f t="shared" si="164"/>
        <v>1.4788152932681928</v>
      </c>
      <c r="S331" s="677">
        <f t="shared" si="142"/>
        <v>1.0026083776304289</v>
      </c>
      <c r="T331" s="680">
        <f t="shared" si="143"/>
        <v>7.2148742562140336E-2</v>
      </c>
      <c r="U331" s="681">
        <f t="shared" si="155"/>
        <v>0.36498425841041693</v>
      </c>
      <c r="V331" s="682">
        <f t="shared" si="156"/>
        <v>-1.8104126096236872</v>
      </c>
      <c r="W331" s="683">
        <f t="shared" si="144"/>
        <v>-31.346774902977472</v>
      </c>
      <c r="X331" s="684">
        <f t="shared" si="145"/>
        <v>-220.29349770879838</v>
      </c>
      <c r="Y331" s="687">
        <f t="shared" si="146"/>
        <v>-40.293497708798384</v>
      </c>
      <c r="AA331" s="170">
        <f t="shared" si="147"/>
        <v>24267.5</v>
      </c>
      <c r="AB331" s="170">
        <f t="shared" si="148"/>
        <v>588911556.25</v>
      </c>
      <c r="AD331" s="686">
        <f t="shared" si="149"/>
        <v>-0.90098093585536643</v>
      </c>
      <c r="AE331" s="687">
        <f t="shared" si="150"/>
        <v>-9.4039170478728362</v>
      </c>
      <c r="AG331" s="686">
        <f t="shared" si="151"/>
        <v>44.793055178114273</v>
      </c>
      <c r="AH331" s="687">
        <f t="shared" si="152"/>
        <v>-3.4315770064646869</v>
      </c>
      <c r="AJ331" s="170">
        <f t="shared" si="153"/>
        <v>0</v>
      </c>
      <c r="AK331" s="170">
        <f t="shared" si="165"/>
        <v>0</v>
      </c>
      <c r="AM331" s="170" t="str">
        <f t="shared" si="157"/>
        <v>1.79053065394039-0.612422472791931i</v>
      </c>
      <c r="AN331" s="170" t="str">
        <f t="shared" si="158"/>
        <v>3.80071398344433i</v>
      </c>
      <c r="AO331" s="170" t="str">
        <f t="shared" si="159"/>
        <v>-0.16113353318866-0.471103761487928i</v>
      </c>
      <c r="AP331" s="170" t="str">
        <f t="shared" si="160"/>
        <v>-0.131755108990065+0.102070412131988i</v>
      </c>
      <c r="AQ331" s="170" t="str">
        <f t="shared" si="161"/>
        <v>1.13175510899007-0.102070412131988i</v>
      </c>
      <c r="AR331" s="170" t="str">
        <f t="shared" si="162"/>
        <v>0.730086556125213+0.0658448414182314i</v>
      </c>
    </row>
    <row r="332" spans="7:44">
      <c r="G332" s="688">
        <v>24407.25</v>
      </c>
      <c r="H332" s="676">
        <f t="shared" si="154"/>
        <v>24.407250000000001</v>
      </c>
      <c r="I332" s="677">
        <f t="shared" si="134"/>
        <v>21.496395597386371</v>
      </c>
      <c r="J332" s="678">
        <f t="shared" si="135"/>
        <v>1.524260105253286</v>
      </c>
      <c r="K332" s="678">
        <f t="shared" si="136"/>
        <v>1.0005689698692519</v>
      </c>
      <c r="L332" s="679">
        <f t="shared" si="137"/>
        <v>3.372536813460085E-2</v>
      </c>
      <c r="M332" s="678">
        <f t="shared" si="138"/>
        <v>1.0776028274328744</v>
      </c>
      <c r="N332" s="679">
        <f t="shared" si="139"/>
        <v>-0.38182626859646074</v>
      </c>
      <c r="O332" s="677">
        <f t="shared" si="140"/>
        <v>2180712.0021591331</v>
      </c>
      <c r="P332" s="680">
        <f t="shared" si="141"/>
        <v>1.5707958682290708</v>
      </c>
      <c r="Q332" s="689">
        <f t="shared" si="163"/>
        <v>10.949320568373063</v>
      </c>
      <c r="R332" s="690">
        <f t="shared" si="164"/>
        <v>1.4793390141062521</v>
      </c>
      <c r="S332" s="677">
        <f t="shared" si="142"/>
        <v>1.0026384663788948</v>
      </c>
      <c r="T332" s="680">
        <f t="shared" si="143"/>
        <v>7.2562774980150013E-2</v>
      </c>
      <c r="U332" s="681">
        <f t="shared" si="155"/>
        <v>0.36215030517256447</v>
      </c>
      <c r="V332" s="682">
        <f t="shared" si="156"/>
        <v>-1.8186665993846509</v>
      </c>
      <c r="W332" s="683">
        <f t="shared" si="144"/>
        <v>-31.457980030594189</v>
      </c>
      <c r="X332" s="684">
        <f t="shared" si="145"/>
        <v>-220.87793659578929</v>
      </c>
      <c r="Y332" s="687">
        <f t="shared" si="146"/>
        <v>-40.877936595789294</v>
      </c>
      <c r="AA332" s="170">
        <f t="shared" si="147"/>
        <v>24407.25</v>
      </c>
      <c r="AB332" s="170">
        <f t="shared" si="148"/>
        <v>595713852.5625</v>
      </c>
      <c r="AD332" s="686">
        <f t="shared" si="149"/>
        <v>-0.90166000231164956</v>
      </c>
      <c r="AE332" s="687">
        <f t="shared" si="150"/>
        <v>-9.3976325156395983</v>
      </c>
      <c r="AG332" s="686">
        <f t="shared" si="151"/>
        <v>44.817940255044675</v>
      </c>
      <c r="AH332" s="687">
        <f t="shared" si="152"/>
        <v>-3.0764628697132639</v>
      </c>
      <c r="AJ332" s="170">
        <f t="shared" si="153"/>
        <v>0</v>
      </c>
      <c r="AK332" s="170">
        <f t="shared" si="165"/>
        <v>0</v>
      </c>
      <c r="AM332" s="170" t="str">
        <f t="shared" si="157"/>
        <v>1.77693811101362-0.629576978339104i</v>
      </c>
      <c r="AN332" s="170" t="str">
        <f t="shared" si="158"/>
        <v>3.82260127217149i</v>
      </c>
      <c r="AO332" s="170" t="str">
        <f t="shared" si="159"/>
        <v>-0.164698573958634-0.464850499566805i</v>
      </c>
      <c r="AP332" s="170" t="str">
        <f t="shared" si="160"/>
        <v>-0.129489685168936+0.104929496389851i</v>
      </c>
      <c r="AQ332" s="170" t="str">
        <f t="shared" si="161"/>
        <v>1.12948968516894-0.104929496389851i</v>
      </c>
      <c r="AR332" s="170" t="str">
        <f t="shared" si="162"/>
        <v>0.731190737213731+0.0679275577530263i</v>
      </c>
    </row>
    <row r="333" spans="7:44">
      <c r="G333" s="688">
        <v>24547</v>
      </c>
      <c r="H333" s="676">
        <f t="shared" si="154"/>
        <v>24.547000000000001</v>
      </c>
      <c r="I333" s="677">
        <f t="shared" ref="I333:I396" si="166">SQRT(1+(G333/pole1)^2)</f>
        <v>21.619213147946187</v>
      </c>
      <c r="J333" s="678">
        <f t="shared" ref="J333:J396" si="167">ATAN(G333/pole1)</f>
        <v>1.5245246643264747</v>
      </c>
      <c r="K333" s="678">
        <f t="shared" ref="K333:K396" si="168">SQRT(1+(G333/Zero1)^2)</f>
        <v>1.0005755022106153</v>
      </c>
      <c r="L333" s="679">
        <f t="shared" ref="L333:L396" si="169">ATAN(G333/Zero1)</f>
        <v>3.3918323772325995E-2</v>
      </c>
      <c r="M333" s="678">
        <f t="shared" ref="M333:M396" si="170">SQRT(1+(G333/z_RHP)^2)</f>
        <v>1.0784616092788417</v>
      </c>
      <c r="N333" s="679">
        <f t="shared" ref="N333:N396" si="171">-ATAN(G333/z_RHP)</f>
        <v>-0.3838045582264461</v>
      </c>
      <c r="O333" s="677">
        <f t="shared" ref="O333:O396" si="172">SQRT(1+(G333/Pole2)^2)</f>
        <v>2193198.2307306305</v>
      </c>
      <c r="P333" s="680">
        <f t="shared" ref="P333:P396" si="173">ATAN(G333/Pole2)</f>
        <v>1.5707958708397596</v>
      </c>
      <c r="Q333" s="689">
        <f t="shared" si="163"/>
        <v>11.011492268624366</v>
      </c>
      <c r="R333" s="690">
        <f t="shared" si="164"/>
        <v>1.4798568211517851</v>
      </c>
      <c r="S333" s="677">
        <f t="shared" ref="S333:S396" si="174">SQRT(1+(G333/pole4)^2)</f>
        <v>1.0026687269921646</v>
      </c>
      <c r="T333" s="680">
        <f t="shared" ref="T333:T396" si="175">ATAN(G333/pole4)</f>
        <v>7.2976782478071017E-2</v>
      </c>
      <c r="U333" s="681">
        <f t="shared" si="155"/>
        <v>0.35932131055791278</v>
      </c>
      <c r="V333" s="682">
        <f t="shared" si="156"/>
        <v>-1.8269501053325743</v>
      </c>
      <c r="W333" s="683">
        <f t="shared" ref="W333:W396" si="176">20*LOG10(((K333*Q333*M333*U333)/(I333*O333*S333))*Adc)</f>
        <v>-31.569279792893894</v>
      </c>
      <c r="X333" s="684">
        <f t="shared" ref="X333:X396" si="177">((L333+R333+N333+V333)-(J333+P333+T333))*radconv</f>
        <v>-221.46404962153784</v>
      </c>
      <c r="Y333" s="687">
        <f t="shared" ref="Y333:Y396" si="178">IF(X333&gt;0,X333,X333+180)</f>
        <v>-41.464049621537839</v>
      </c>
      <c r="AA333" s="170">
        <f t="shared" ref="AA333:AA396" si="179">IF(W333&lt;0,G333,1000000000)</f>
        <v>24547</v>
      </c>
      <c r="AB333" s="170">
        <f t="shared" ref="AB333:AB396" si="180">G333^2</f>
        <v>602555209</v>
      </c>
      <c r="AD333" s="686">
        <f t="shared" ref="AD333:AD396" si="181">20*LOG10((Q333/(O333*S333))*Aea)</f>
        <v>-0.90233346332044539</v>
      </c>
      <c r="AE333" s="687">
        <f t="shared" ref="AE333:AE396" si="182">(R333-(P333+T333))*radconv</f>
        <v>-9.3916853892207115</v>
      </c>
      <c r="AG333" s="686">
        <f t="shared" ref="AG333:AG396" si="183">20*LOG10((K333*M333/(I333*U333))*Acs*Am)</f>
        <v>44.843549173054107</v>
      </c>
      <c r="AH333" s="687">
        <f t="shared" ref="AH333:AH396" si="184">(L333+N333-(J333+V333))*radconv</f>
        <v>-2.7193031600209818</v>
      </c>
      <c r="AJ333" s="170">
        <f t="shared" ref="AJ333:AJ396" si="185">SUM((W334&lt;0)*(W333&gt;0))*G333</f>
        <v>0</v>
      </c>
      <c r="AK333" s="170">
        <f t="shared" si="165"/>
        <v>0</v>
      </c>
      <c r="AM333" s="170" t="str">
        <f t="shared" si="157"/>
        <v>1.76297338809529-0.646429894929371i</v>
      </c>
      <c r="AN333" s="170" t="str">
        <f t="shared" si="158"/>
        <v>3.84448856089865i</v>
      </c>
      <c r="AO333" s="170" t="str">
        <f t="shared" si="159"/>
        <v>-0.168144574938797-0.458571630574236i</v>
      </c>
      <c r="AP333" s="170" t="str">
        <f t="shared" si="160"/>
        <v>-0.127162231349215+0.107738315821562i</v>
      </c>
      <c r="AQ333" s="170" t="str">
        <f t="shared" si="161"/>
        <v>1.12716223134922-0.107738315821562i</v>
      </c>
      <c r="AR333" s="170" t="str">
        <f t="shared" si="162"/>
        <v>0.73233327972748+0.0699991110272346i</v>
      </c>
    </row>
    <row r="334" spans="7:44">
      <c r="G334" s="688">
        <v>24690</v>
      </c>
      <c r="H334" s="676">
        <f t="shared" ref="H334:H397" si="186">G334/1000</f>
        <v>24.69</v>
      </c>
      <c r="I334" s="677">
        <f t="shared" si="166"/>
        <v>21.744888469067437</v>
      </c>
      <c r="J334" s="678">
        <f t="shared" si="167"/>
        <v>1.524792282340077</v>
      </c>
      <c r="K334" s="678">
        <f t="shared" si="168"/>
        <v>1.0005822250292968</v>
      </c>
      <c r="L334" s="679">
        <f t="shared" si="169"/>
        <v>3.4115764134905559E-2</v>
      </c>
      <c r="M334" s="678">
        <f t="shared" si="170"/>
        <v>1.0793447248266277</v>
      </c>
      <c r="N334" s="679">
        <f t="shared" si="171"/>
        <v>-0.38582558774469489</v>
      </c>
      <c r="O334" s="677">
        <f t="shared" si="172"/>
        <v>2205974.8367107669</v>
      </c>
      <c r="P334" s="680">
        <f t="shared" si="173"/>
        <v>1.5707958734805689</v>
      </c>
      <c r="Q334" s="689">
        <f t="shared" si="163"/>
        <v>11.075112843894747</v>
      </c>
      <c r="R334" s="690">
        <f t="shared" si="164"/>
        <v>1.4803806521417222</v>
      </c>
      <c r="S334" s="677">
        <f t="shared" si="174"/>
        <v>1.0026998692309568</v>
      </c>
      <c r="T334" s="680">
        <f t="shared" si="175"/>
        <v>7.3400392115515134E-2</v>
      </c>
      <c r="U334" s="681">
        <f t="shared" ref="U334:U397" si="187">IMABS(IMPRODUCT(AO334, AR334))</f>
        <v>0.35643124961261446</v>
      </c>
      <c r="V334" s="682">
        <f t="shared" ref="V334:V397" si="188">IMARGUMENT(IMPRODUCT(AO334, AR334))</f>
        <v>-1.8354578589867965</v>
      </c>
      <c r="W334" s="683">
        <f t="shared" si="176"/>
        <v>-31.683285309012508</v>
      </c>
      <c r="X334" s="684">
        <f t="shared" si="177"/>
        <v>-222.06558323542816</v>
      </c>
      <c r="Y334" s="687">
        <f t="shared" si="178"/>
        <v>-42.065583235428164</v>
      </c>
      <c r="AA334" s="170">
        <f t="shared" si="179"/>
        <v>24690</v>
      </c>
      <c r="AB334" s="170">
        <f t="shared" si="180"/>
        <v>609596100</v>
      </c>
      <c r="AD334" s="686">
        <f t="shared" si="181"/>
        <v>-0.90301694918130315</v>
      </c>
      <c r="AE334" s="687">
        <f t="shared" si="182"/>
        <v>-9.3859432800064386</v>
      </c>
      <c r="AG334" s="686">
        <f t="shared" si="183"/>
        <v>44.870515215739871</v>
      </c>
      <c r="AH334" s="687">
        <f t="shared" si="184"/>
        <v>-2.3516621269637148</v>
      </c>
      <c r="AJ334" s="170">
        <f t="shared" si="185"/>
        <v>0</v>
      </c>
      <c r="AK334" s="170">
        <f t="shared" si="165"/>
        <v>0</v>
      </c>
      <c r="AM334" s="170" t="str">
        <f t="shared" ref="AM334:AM397" si="189">IMSUB(1,IMEXP(COMPLEX(0,-2*Pi*G334*Tsw)))</f>
        <v>1.7483056200142-0.663354127940093i</v>
      </c>
      <c r="AN334" s="170" t="str">
        <f t="shared" ref="AN334:AN397" si="190">COMPLEX(0, 2*Pi*G334*Tsw)</f>
        <v>3.86688485634039i</v>
      </c>
      <c r="AO334" s="170" t="str">
        <f t="shared" ref="AO334:AO397" si="191">IMDIV(AM334, AN334)</f>
        <v>-0.171547421913124-0.452122492643547i</v>
      </c>
      <c r="AP334" s="170" t="str">
        <f t="shared" ref="AP334:AP397" si="192">IMDIV(IMEXP(COMPLEX(0,-2*Pi*G334*Tsw)),6)</f>
        <v>-0.1247176033357+0.110559021323349i</v>
      </c>
      <c r="AQ334" s="170" t="str">
        <f t="shared" ref="AQ334:AQ397" si="193">IMSUB(1, AP334)</f>
        <v>1.1247176033357-0.110559021323349i</v>
      </c>
      <c r="AR334" s="170" t="str">
        <f t="shared" ref="AR334:AR397" si="194">IMDIV(0.833, AQ334)</f>
        <v>0.733542310472744+0.0721067401315746i</v>
      </c>
    </row>
    <row r="335" spans="7:44">
      <c r="G335" s="688">
        <v>24833</v>
      </c>
      <c r="H335" s="676">
        <f t="shared" si="186"/>
        <v>24.832999999999998</v>
      </c>
      <c r="I335" s="677">
        <f t="shared" si="166"/>
        <v>21.870565329646382</v>
      </c>
      <c r="J335" s="678">
        <f t="shared" si="167"/>
        <v>1.5250568246959564</v>
      </c>
      <c r="K335" s="678">
        <f t="shared" si="168"/>
        <v>1.0005889868528466</v>
      </c>
      <c r="L335" s="679">
        <f t="shared" si="169"/>
        <v>3.4313201836639648E-2</v>
      </c>
      <c r="M335" s="678">
        <f t="shared" si="170"/>
        <v>1.0802322418041965</v>
      </c>
      <c r="N335" s="679">
        <f t="shared" si="171"/>
        <v>-0.38784330454432503</v>
      </c>
      <c r="O335" s="677">
        <f t="shared" si="172"/>
        <v>2218751.4426909038</v>
      </c>
      <c r="P335" s="680">
        <f t="shared" si="173"/>
        <v>1.5707958760909644</v>
      </c>
      <c r="Q335" s="689">
        <f t="shared" si="163"/>
        <v>11.138736423448092</v>
      </c>
      <c r="R335" s="690">
        <f t="shared" si="164"/>
        <v>1.4808984991102188</v>
      </c>
      <c r="S335" s="677">
        <f t="shared" si="174"/>
        <v>1.0027311913881574</v>
      </c>
      <c r="T335" s="680">
        <f t="shared" si="175"/>
        <v>7.3823975364509437E-2</v>
      </c>
      <c r="U335" s="681">
        <f t="shared" si="187"/>
        <v>0.35354554875199429</v>
      </c>
      <c r="V335" s="682">
        <f t="shared" si="188"/>
        <v>-1.8439986641914876</v>
      </c>
      <c r="W335" s="683">
        <f t="shared" si="176"/>
        <v>-31.7974297977022</v>
      </c>
      <c r="X335" s="684">
        <f t="shared" si="177"/>
        <v>-222.66898603460547</v>
      </c>
      <c r="Y335" s="687">
        <f t="shared" si="178"/>
        <v>-42.668986034605467</v>
      </c>
      <c r="AA335" s="170">
        <f t="shared" si="179"/>
        <v>24833</v>
      </c>
      <c r="AB335" s="170">
        <f t="shared" si="180"/>
        <v>616677889</v>
      </c>
      <c r="AD335" s="686">
        <f t="shared" si="181"/>
        <v>-0.90369489711859852</v>
      </c>
      <c r="AE335" s="687">
        <f t="shared" si="182"/>
        <v>-9.3805425162762237</v>
      </c>
      <c r="AG335" s="686">
        <f t="shared" si="183"/>
        <v>44.898264654372767</v>
      </c>
      <c r="AH335" s="687">
        <f t="shared" si="184"/>
        <v>-1.9817615050085324</v>
      </c>
      <c r="AJ335" s="170">
        <f t="shared" si="185"/>
        <v>0</v>
      </c>
      <c r="AK335" s="170">
        <f t="shared" si="165"/>
        <v>0</v>
      </c>
      <c r="AM335" s="170" t="str">
        <f t="shared" si="189"/>
        <v>1.73326252197589-0.67994564037543i</v>
      </c>
      <c r="AN335" s="170" t="str">
        <f t="shared" si="190"/>
        <v>3.88928115178214i</v>
      </c>
      <c r="AO335" s="170" t="str">
        <f t="shared" si="191"/>
        <v>-0.174825530436098-0.445651125319566i</v>
      </c>
      <c r="AP335" s="170" t="str">
        <f t="shared" si="192"/>
        <v>-0.122210420329315+0.113324273395905i</v>
      </c>
      <c r="AQ335" s="170" t="str">
        <f t="shared" si="193"/>
        <v>1.12221042032932-0.113324273395905i</v>
      </c>
      <c r="AR335" s="170" t="str">
        <f t="shared" si="194"/>
        <v>0.734791931532853+0.074201558129979i</v>
      </c>
    </row>
    <row r="336" spans="7:44">
      <c r="G336" s="688">
        <v>24976</v>
      </c>
      <c r="H336" s="676">
        <f t="shared" si="186"/>
        <v>24.975999999999999</v>
      </c>
      <c r="I336" s="677">
        <f t="shared" si="166"/>
        <v>21.996243703295661</v>
      </c>
      <c r="J336" s="678">
        <f t="shared" si="167"/>
        <v>1.5253183440762659</v>
      </c>
      <c r="K336" s="678">
        <f t="shared" si="168"/>
        <v>1.0005957876804741</v>
      </c>
      <c r="L336" s="679">
        <f t="shared" si="169"/>
        <v>3.4510636862189456E-2</v>
      </c>
      <c r="M336" s="678">
        <f t="shared" si="170"/>
        <v>1.0811241493718771</v>
      </c>
      <c r="N336" s="679">
        <f t="shared" si="171"/>
        <v>-0.38985770037507189</v>
      </c>
      <c r="O336" s="677">
        <f t="shared" si="172"/>
        <v>2231528.0486710402</v>
      </c>
      <c r="P336" s="680">
        <f t="shared" si="173"/>
        <v>1.5707958786714682</v>
      </c>
      <c r="Q336" s="689">
        <f t="shared" si="163"/>
        <v>11.202362956096119</v>
      </c>
      <c r="R336" s="690">
        <f t="shared" si="164"/>
        <v>1.4814104637402397</v>
      </c>
      <c r="S336" s="677">
        <f t="shared" si="174"/>
        <v>1.0027626934469063</v>
      </c>
      <c r="T336" s="680">
        <f t="shared" si="175"/>
        <v>7.4247532075532918E-2</v>
      </c>
      <c r="U336" s="681">
        <f t="shared" si="187"/>
        <v>0.35066378440480084</v>
      </c>
      <c r="V336" s="682">
        <f t="shared" si="188"/>
        <v>-1.8525736151930581</v>
      </c>
      <c r="W336" s="683">
        <f t="shared" si="176"/>
        <v>-31.911734110536582</v>
      </c>
      <c r="X336" s="684">
        <f t="shared" si="177"/>
        <v>-223.27431742686755</v>
      </c>
      <c r="Y336" s="687">
        <f t="shared" si="178"/>
        <v>-43.274317426867555</v>
      </c>
      <c r="AA336" s="170">
        <f t="shared" si="179"/>
        <v>24976</v>
      </c>
      <c r="AB336" s="170">
        <f t="shared" si="180"/>
        <v>623800576</v>
      </c>
      <c r="AD336" s="686">
        <f t="shared" si="181"/>
        <v>-0.90436746762550024</v>
      </c>
      <c r="AE336" s="687">
        <f t="shared" si="182"/>
        <v>-9.3754772634883317</v>
      </c>
      <c r="AG336" s="686">
        <f t="shared" si="183"/>
        <v>44.926811242422488</v>
      </c>
      <c r="AH336" s="687">
        <f t="shared" si="184"/>
        <v>-1.6095411450928365</v>
      </c>
      <c r="AJ336" s="170">
        <f t="shared" si="185"/>
        <v>0</v>
      </c>
      <c r="AK336" s="170">
        <f t="shared" si="165"/>
        <v>0</v>
      </c>
      <c r="AM336" s="170" t="str">
        <f t="shared" si="189"/>
        <v>1.71785163919344-0.696196110379318i</v>
      </c>
      <c r="AN336" s="170" t="str">
        <f t="shared" si="190"/>
        <v>3.91167744722388i</v>
      </c>
      <c r="AO336" s="170" t="str">
        <f t="shared" si="191"/>
        <v>-0.17797891563718-0.439159839319727i</v>
      </c>
      <c r="AP336" s="170" t="str">
        <f t="shared" si="192"/>
        <v>-0.119641939865573+0.11603268506322i</v>
      </c>
      <c r="AQ336" s="170" t="str">
        <f t="shared" si="193"/>
        <v>1.11964193986557-0.11603268506322i</v>
      </c>
      <c r="AR336" s="170" t="str">
        <f t="shared" si="194"/>
        <v>0.736082360618237+0.0762829701971169i</v>
      </c>
    </row>
    <row r="337" spans="7:44">
      <c r="G337" s="688">
        <v>25119</v>
      </c>
      <c r="H337" s="676">
        <f t="shared" si="186"/>
        <v>25.119</v>
      </c>
      <c r="I337" s="677">
        <f t="shared" si="166"/>
        <v>22.121923564227252</v>
      </c>
      <c r="J337" s="678">
        <f t="shared" si="167"/>
        <v>1.5255768919676345</v>
      </c>
      <c r="K337" s="678">
        <f t="shared" si="168"/>
        <v>1.000602627511384</v>
      </c>
      <c r="L337" s="679">
        <f t="shared" si="169"/>
        <v>3.4708069196217446E-2</v>
      </c>
      <c r="M337" s="678">
        <f t="shared" si="170"/>
        <v>1.0820204366722015</v>
      </c>
      <c r="N337" s="679">
        <f t="shared" si="171"/>
        <v>-0.39186876712161223</v>
      </c>
      <c r="O337" s="677">
        <f t="shared" si="172"/>
        <v>2244304.6546511771</v>
      </c>
      <c r="P337" s="680">
        <f t="shared" si="173"/>
        <v>1.5707958812225908</v>
      </c>
      <c r="Q337" s="689">
        <f t="shared" si="163"/>
        <v>11.265992391804573</v>
      </c>
      <c r="R337" s="690">
        <f t="shared" si="164"/>
        <v>1.4819166454300556</v>
      </c>
      <c r="S337" s="677">
        <f t="shared" si="174"/>
        <v>1.0027943753902491</v>
      </c>
      <c r="T337" s="680">
        <f t="shared" si="175"/>
        <v>7.4671062099121402E-2</v>
      </c>
      <c r="U337" s="681">
        <f t="shared" si="187"/>
        <v>0.34778553106464283</v>
      </c>
      <c r="V337" s="682">
        <f t="shared" si="188"/>
        <v>-1.8611838121131492</v>
      </c>
      <c r="W337" s="683">
        <f t="shared" si="176"/>
        <v>-32.026219583125695</v>
      </c>
      <c r="X337" s="684">
        <f t="shared" si="177"/>
        <v>-223.88163722677737</v>
      </c>
      <c r="Y337" s="687">
        <f t="shared" si="178"/>
        <v>-43.881637226777372</v>
      </c>
      <c r="AA337" s="170">
        <f t="shared" si="179"/>
        <v>25119</v>
      </c>
      <c r="AB337" s="170">
        <f t="shared" si="180"/>
        <v>630964161</v>
      </c>
      <c r="AD337" s="686">
        <f t="shared" si="181"/>
        <v>-0.90503481666615793</v>
      </c>
      <c r="AE337" s="687">
        <f t="shared" si="182"/>
        <v>-9.370741818006918</v>
      </c>
      <c r="AG337" s="686">
        <f t="shared" si="183"/>
        <v>44.956169334117064</v>
      </c>
      <c r="AH337" s="687">
        <f t="shared" si="184"/>
        <v>-1.2349405007611052</v>
      </c>
      <c r="AJ337" s="170">
        <f t="shared" si="185"/>
        <v>0</v>
      </c>
      <c r="AK337" s="170">
        <f t="shared" si="165"/>
        <v>0</v>
      </c>
      <c r="AM337" s="170" t="str">
        <f t="shared" si="189"/>
        <v>1.70208070135083-0.712097387153421i</v>
      </c>
      <c r="AN337" s="170" t="str">
        <f t="shared" si="190"/>
        <v>3.93407374266563i</v>
      </c>
      <c r="AO337" s="170" t="str">
        <f t="shared" si="191"/>
        <v>-0.181007635782374-0.432650939633262i</v>
      </c>
      <c r="AP337" s="170" t="str">
        <f t="shared" si="192"/>
        <v>-0.117013450225138+0.118682897858903i</v>
      </c>
      <c r="AQ337" s="170" t="str">
        <f t="shared" si="193"/>
        <v>1.11701345022514-0.118682897858903i</v>
      </c>
      <c r="AR337" s="170" t="str">
        <f t="shared" si="194"/>
        <v>0.737413816965868+0.0783503624786829i</v>
      </c>
    </row>
    <row r="338" spans="7:44">
      <c r="G338" s="688">
        <v>25265.25</v>
      </c>
      <c r="H338" s="676">
        <f t="shared" si="186"/>
        <v>25.265250000000002</v>
      </c>
      <c r="I338" s="677">
        <f t="shared" si="166"/>
        <v>22.250461297738262</v>
      </c>
      <c r="J338" s="678">
        <f t="shared" si="167"/>
        <v>1.5258382948313542</v>
      </c>
      <c r="K338" s="678">
        <f t="shared" si="168"/>
        <v>1.0006096631351757</v>
      </c>
      <c r="L338" s="679">
        <f t="shared" si="169"/>
        <v>3.4909985828789458E-2</v>
      </c>
      <c r="M338" s="678">
        <f t="shared" si="170"/>
        <v>1.0829416129776801</v>
      </c>
      <c r="N338" s="679">
        <f t="shared" si="171"/>
        <v>-0.39392208817838892</v>
      </c>
      <c r="O338" s="677">
        <f t="shared" si="172"/>
        <v>2257371.6380399535</v>
      </c>
      <c r="P338" s="680">
        <f t="shared" si="173"/>
        <v>1.570795883801823</v>
      </c>
      <c r="Q338" s="689">
        <f t="shared" si="163"/>
        <v>11.331070902860619</v>
      </c>
      <c r="R338" s="690">
        <f t="shared" si="164"/>
        <v>1.482428450933557</v>
      </c>
      <c r="S338" s="677">
        <f t="shared" si="174"/>
        <v>1.0028269634234712</v>
      </c>
      <c r="T338" s="680">
        <f t="shared" si="175"/>
        <v>7.510419004522835E-2</v>
      </c>
      <c r="U338" s="681">
        <f t="shared" si="187"/>
        <v>0.34484504899633223</v>
      </c>
      <c r="V338" s="682">
        <f t="shared" si="188"/>
        <v>-1.8700273046368612</v>
      </c>
      <c r="W338" s="683">
        <f t="shared" si="176"/>
        <v>-32.143517146063381</v>
      </c>
      <c r="X338" s="684">
        <f t="shared" si="177"/>
        <v>-224.50487922157433</v>
      </c>
      <c r="Y338" s="687">
        <f t="shared" si="178"/>
        <v>-44.504879221574328</v>
      </c>
      <c r="AA338" s="170">
        <f t="shared" si="179"/>
        <v>25265.25</v>
      </c>
      <c r="AB338" s="170">
        <f t="shared" si="180"/>
        <v>638332857.5625</v>
      </c>
      <c r="AD338" s="686">
        <f t="shared" si="181"/>
        <v>-0.90571208986773966</v>
      </c>
      <c r="AE338" s="687">
        <f t="shared" si="182"/>
        <v>-9.3662340737997862</v>
      </c>
      <c r="AG338" s="686">
        <f t="shared" si="183"/>
        <v>44.987049642288994</v>
      </c>
      <c r="AH338" s="687">
        <f t="shared" si="184"/>
        <v>-0.84930064307880759</v>
      </c>
      <c r="AJ338" s="170">
        <f t="shared" si="185"/>
        <v>0</v>
      </c>
      <c r="AK338" s="170">
        <f t="shared" si="165"/>
        <v>0</v>
      </c>
      <c r="AM338" s="170" t="str">
        <f t="shared" si="189"/>
        <v>1.68558715547356-0.727990557802554i</v>
      </c>
      <c r="AN338" s="170" t="str">
        <f t="shared" si="190"/>
        <v>3.95697904482196i</v>
      </c>
      <c r="AO338" s="170" t="str">
        <f t="shared" si="191"/>
        <v>-0.183976349016857-0.425978287067073i</v>
      </c>
      <c r="AP338" s="170" t="str">
        <f t="shared" si="192"/>
        <v>-0.11426452591226+0.121331759633759i</v>
      </c>
      <c r="AQ338" s="170" t="str">
        <f t="shared" si="193"/>
        <v>1.11426452591226-0.121331759633759i</v>
      </c>
      <c r="AR338" s="170" t="str">
        <f t="shared" si="194"/>
        <v>0.738818199673994+0.0804495791899151i</v>
      </c>
    </row>
    <row r="339" spans="7:44">
      <c r="G339" s="688">
        <v>25411.5</v>
      </c>
      <c r="H339" s="676">
        <f t="shared" si="186"/>
        <v>25.4115</v>
      </c>
      <c r="I339" s="677">
        <f t="shared" si="166"/>
        <v>22.379000534190208</v>
      </c>
      <c r="J339" s="678">
        <f t="shared" si="167"/>
        <v>1.5260966948506194</v>
      </c>
      <c r="K339" s="678">
        <f t="shared" si="168"/>
        <v>1.0006167395535754</v>
      </c>
      <c r="L339" s="679">
        <f t="shared" si="169"/>
        <v>3.5111899613661693E-2</v>
      </c>
      <c r="M339" s="678">
        <f t="shared" si="170"/>
        <v>1.0838673473307476</v>
      </c>
      <c r="N339" s="679">
        <f t="shared" si="171"/>
        <v>-0.39597191036985663</v>
      </c>
      <c r="O339" s="677">
        <f t="shared" si="172"/>
        <v>2270438.6214287295</v>
      </c>
      <c r="P339" s="680">
        <f t="shared" si="173"/>
        <v>1.5707958863513671</v>
      </c>
      <c r="Q339" s="689">
        <f t="shared" si="163"/>
        <v>11.39615234813289</v>
      </c>
      <c r="R339" s="690">
        <f t="shared" si="164"/>
        <v>1.4829344109037885</v>
      </c>
      <c r="S339" s="677">
        <f t="shared" si="174"/>
        <v>1.0028597395746017</v>
      </c>
      <c r="T339" s="680">
        <f t="shared" si="175"/>
        <v>7.5537289761009985E-2</v>
      </c>
      <c r="U339" s="681">
        <f t="shared" si="187"/>
        <v>0.34190733289074038</v>
      </c>
      <c r="V339" s="682">
        <f t="shared" si="188"/>
        <v>-1.878910009850437</v>
      </c>
      <c r="W339" s="683">
        <f t="shared" si="176"/>
        <v>-32.26105097891179</v>
      </c>
      <c r="X339" s="684">
        <f t="shared" si="177"/>
        <v>-225.13032888584428</v>
      </c>
      <c r="Y339" s="687">
        <f t="shared" si="178"/>
        <v>-45.130328885844278</v>
      </c>
      <c r="AA339" s="170">
        <f t="shared" si="179"/>
        <v>25411.5</v>
      </c>
      <c r="AB339" s="170">
        <f t="shared" si="180"/>
        <v>645744332.25</v>
      </c>
      <c r="AD339" s="686">
        <f t="shared" si="181"/>
        <v>-0.90638421768874466</v>
      </c>
      <c r="AE339" s="687">
        <f t="shared" si="182"/>
        <v>-9.3620596347989142</v>
      </c>
      <c r="AG339" s="686">
        <f t="shared" si="183"/>
        <v>45.018811133605361</v>
      </c>
      <c r="AH339" s="687">
        <f t="shared" si="184"/>
        <v>-0.4610417063930683</v>
      </c>
      <c r="AJ339" s="170">
        <f t="shared" si="185"/>
        <v>0</v>
      </c>
      <c r="AK339" s="170">
        <f t="shared" si="165"/>
        <v>0</v>
      </c>
      <c r="AM339" s="170" t="str">
        <f t="shared" si="189"/>
        <v>1.66873393005567-0.743501802817115i</v>
      </c>
      <c r="AN339" s="170" t="str">
        <f t="shared" si="190"/>
        <v>3.97988434697829i</v>
      </c>
      <c r="AO339" s="170" t="str">
        <f t="shared" si="191"/>
        <v>-0.186814926765803-0.41929206594223i</v>
      </c>
      <c r="AP339" s="170" t="str">
        <f t="shared" si="192"/>
        <v>-0.111455655009278+0.123916967136186i</v>
      </c>
      <c r="AQ339" s="170" t="str">
        <f t="shared" si="193"/>
        <v>1.11145565500928-0.123916967136186i</v>
      </c>
      <c r="AR339" s="170" t="str">
        <f t="shared" si="194"/>
        <v>0.740265961905869+0.0825327690403994i</v>
      </c>
    </row>
    <row r="340" spans="7:44">
      <c r="G340" s="688">
        <v>25557.75</v>
      </c>
      <c r="H340" s="676">
        <f t="shared" si="186"/>
        <v>25.557749999999999</v>
      </c>
      <c r="I340" s="677">
        <f t="shared" si="166"/>
        <v>22.507541247833473</v>
      </c>
      <c r="J340" s="678">
        <f t="shared" si="167"/>
        <v>1.5263521434384164</v>
      </c>
      <c r="K340" s="678">
        <f t="shared" si="168"/>
        <v>1.000623856765718</v>
      </c>
      <c r="L340" s="679">
        <f t="shared" si="169"/>
        <v>3.5313810534431014E-2</v>
      </c>
      <c r="M340" s="678">
        <f t="shared" si="170"/>
        <v>1.0847976280622935</v>
      </c>
      <c r="N340" s="679">
        <f t="shared" si="171"/>
        <v>-0.39801822544983678</v>
      </c>
      <c r="O340" s="677">
        <f t="shared" si="172"/>
        <v>2283505.6048175055</v>
      </c>
      <c r="P340" s="680">
        <f t="shared" si="173"/>
        <v>1.5707958888717324</v>
      </c>
      <c r="Q340" s="689">
        <f t="shared" si="163"/>
        <v>11.461236677636453</v>
      </c>
      <c r="R340" s="690">
        <f t="shared" si="164"/>
        <v>1.4834346246636494</v>
      </c>
      <c r="S340" s="677">
        <f t="shared" si="174"/>
        <v>1.0028927038251965</v>
      </c>
      <c r="T340" s="680">
        <f t="shared" si="175"/>
        <v>7.5970361086764485E-2</v>
      </c>
      <c r="U340" s="681">
        <f t="shared" si="187"/>
        <v>0.33897192129198683</v>
      </c>
      <c r="V340" s="682">
        <f t="shared" si="188"/>
        <v>-1.8878331238160759</v>
      </c>
      <c r="W340" s="683">
        <f t="shared" si="176"/>
        <v>-32.378845619411535</v>
      </c>
      <c r="X340" s="684">
        <f t="shared" si="177"/>
        <v>-225.75805152321516</v>
      </c>
      <c r="Y340" s="687">
        <f t="shared" si="178"/>
        <v>-45.758051523215158</v>
      </c>
      <c r="AA340" s="170">
        <f t="shared" si="179"/>
        <v>25557.75</v>
      </c>
      <c r="AB340" s="170">
        <f t="shared" si="180"/>
        <v>653198585.0625</v>
      </c>
      <c r="AD340" s="686">
        <f t="shared" si="181"/>
        <v>-0.90705135324045894</v>
      </c>
      <c r="AE340" s="687">
        <f t="shared" si="182"/>
        <v>-9.358212801100283</v>
      </c>
      <c r="AG340" s="686">
        <f t="shared" si="183"/>
        <v>45.051471239302444</v>
      </c>
      <c r="AH340" s="687">
        <f t="shared" si="184"/>
        <v>-7.0097635603497702E-2</v>
      </c>
      <c r="AJ340" s="170">
        <f t="shared" si="185"/>
        <v>0</v>
      </c>
      <c r="AK340" s="170">
        <f t="shared" si="165"/>
        <v>0</v>
      </c>
      <c r="AM340" s="170" t="str">
        <f t="shared" si="189"/>
        <v>1.65152986680361-0.758622984533737i</v>
      </c>
      <c r="AN340" s="170" t="str">
        <f t="shared" si="190"/>
        <v>4.00278964913462i</v>
      </c>
      <c r="AO340" s="170" t="str">
        <f t="shared" si="191"/>
        <v>-0.189523570067627-0.412594718076345i</v>
      </c>
      <c r="AP340" s="170" t="str">
        <f t="shared" si="192"/>
        <v>-0.108588311133935+0.126437164088956i</v>
      </c>
      <c r="AQ340" s="170" t="str">
        <f t="shared" si="193"/>
        <v>1.10858831113393-0.126437164088956i</v>
      </c>
      <c r="AR340" s="170" t="str">
        <f t="shared" si="194"/>
        <v>0.741757339177011+0.0845992091615882i</v>
      </c>
    </row>
    <row r="341" spans="7:44">
      <c r="G341" s="688">
        <v>25704</v>
      </c>
      <c r="H341" s="676">
        <f t="shared" si="186"/>
        <v>25.704000000000001</v>
      </c>
      <c r="I341" s="677">
        <f t="shared" si="166"/>
        <v>22.636083413503027</v>
      </c>
      <c r="J341" s="678">
        <f t="shared" si="167"/>
        <v>1.526604690841469</v>
      </c>
      <c r="K341" s="678">
        <f t="shared" si="168"/>
        <v>1.0006310147707322</v>
      </c>
      <c r="L341" s="679">
        <f t="shared" si="169"/>
        <v>3.5515718574695695E-2</v>
      </c>
      <c r="M341" s="678">
        <f t="shared" si="170"/>
        <v>1.0857324434859903</v>
      </c>
      <c r="N341" s="679">
        <f t="shared" si="171"/>
        <v>-0.4000610253178285</v>
      </c>
      <c r="O341" s="677">
        <f t="shared" si="172"/>
        <v>2296572.5882062824</v>
      </c>
      <c r="P341" s="680">
        <f t="shared" si="173"/>
        <v>1.570795891363417</v>
      </c>
      <c r="Q341" s="689">
        <f t="shared" si="163"/>
        <v>11.52632384251317</v>
      </c>
      <c r="R341" s="690">
        <f t="shared" si="164"/>
        <v>1.4839291893042543</v>
      </c>
      <c r="S341" s="677">
        <f t="shared" si="174"/>
        <v>1.002925856156708</v>
      </c>
      <c r="T341" s="680">
        <f t="shared" si="175"/>
        <v>7.6403403862853519E-2</v>
      </c>
      <c r="U341" s="681">
        <f t="shared" si="187"/>
        <v>0.33603835065092375</v>
      </c>
      <c r="V341" s="682">
        <f t="shared" si="188"/>
        <v>-1.8967978490580557</v>
      </c>
      <c r="W341" s="683">
        <f t="shared" si="176"/>
        <v>-32.496926234891575</v>
      </c>
      <c r="X341" s="684">
        <f t="shared" si="177"/>
        <v>-226.38811287696421</v>
      </c>
      <c r="Y341" s="687">
        <f t="shared" si="178"/>
        <v>-46.388112876964215</v>
      </c>
      <c r="AA341" s="170">
        <f t="shared" si="179"/>
        <v>25704</v>
      </c>
      <c r="AB341" s="170">
        <f t="shared" si="180"/>
        <v>660695616</v>
      </c>
      <c r="AD341" s="686">
        <f t="shared" si="181"/>
        <v>-0.90771364531291243</v>
      </c>
      <c r="AE341" s="687">
        <f t="shared" si="182"/>
        <v>-9.3546880006747308</v>
      </c>
      <c r="AG341" s="686">
        <f t="shared" si="183"/>
        <v>45.085048136654891</v>
      </c>
      <c r="AH341" s="687">
        <f t="shared" si="184"/>
        <v>0.32359805311541784</v>
      </c>
      <c r="AJ341" s="170">
        <f t="shared" si="185"/>
        <v>0</v>
      </c>
      <c r="AK341" s="170">
        <f t="shared" si="165"/>
        <v>0</v>
      </c>
      <c r="AM341" s="170" t="str">
        <f t="shared" si="189"/>
        <v>1.63398399148386-0.773346169927924i</v>
      </c>
      <c r="AN341" s="170" t="str">
        <f t="shared" si="190"/>
        <v>4.02569495129094i</v>
      </c>
      <c r="AO341" s="170" t="str">
        <f t="shared" si="191"/>
        <v>-0.192102526218468-0.405888675434755i</v>
      </c>
      <c r="AP341" s="170" t="str">
        <f t="shared" si="192"/>
        <v>-0.105663998580644+0.128891028321321i</v>
      </c>
      <c r="AQ341" s="170" t="str">
        <f t="shared" si="193"/>
        <v>1.10566399858064-0.128891028321321i</v>
      </c>
      <c r="AR341" s="170" t="str">
        <f t="shared" si="194"/>
        <v>0.743292565852961+0.0866481528559908i</v>
      </c>
    </row>
    <row r="342" spans="7:44">
      <c r="G342" s="688">
        <v>25853.75</v>
      </c>
      <c r="H342" s="676">
        <f t="shared" si="186"/>
        <v>25.853750000000002</v>
      </c>
      <c r="I342" s="677">
        <f t="shared" si="166"/>
        <v>22.767703280820076</v>
      </c>
      <c r="J342" s="678">
        <f t="shared" si="167"/>
        <v>1.5268603272428432</v>
      </c>
      <c r="K342" s="678">
        <f t="shared" si="168"/>
        <v>1.0006383863464294</v>
      </c>
      <c r="L342" s="679">
        <f t="shared" si="169"/>
        <v>3.5722455600387233E-2</v>
      </c>
      <c r="M342" s="678">
        <f t="shared" si="170"/>
        <v>1.0866943171121075</v>
      </c>
      <c r="N342" s="679">
        <f t="shared" si="171"/>
        <v>-0.40214906199027189</v>
      </c>
      <c r="O342" s="677">
        <f t="shared" si="172"/>
        <v>2309952.2857274394</v>
      </c>
      <c r="P342" s="680">
        <f t="shared" si="173"/>
        <v>1.5707958938855218</v>
      </c>
      <c r="Q342" s="689">
        <f t="shared" si="163"/>
        <v>11.592971537030985</v>
      </c>
      <c r="R342" s="690">
        <f t="shared" si="164"/>
        <v>1.4844298352814864</v>
      </c>
      <c r="S342" s="677">
        <f t="shared" si="174"/>
        <v>1.0029599967442682</v>
      </c>
      <c r="T342" s="680">
        <f t="shared" si="175"/>
        <v>7.6846780306438447E-2</v>
      </c>
      <c r="U342" s="681">
        <f t="shared" si="187"/>
        <v>0.33303599614106</v>
      </c>
      <c r="V342" s="682">
        <f t="shared" si="188"/>
        <v>-1.9060214943839344</v>
      </c>
      <c r="W342" s="683">
        <f t="shared" si="176"/>
        <v>-32.618156010969884</v>
      </c>
      <c r="X342" s="684">
        <f t="shared" si="177"/>
        <v>-227.03574508518295</v>
      </c>
      <c r="Y342" s="687">
        <f t="shared" si="178"/>
        <v>-47.035745085182953</v>
      </c>
      <c r="AA342" s="170">
        <f t="shared" si="179"/>
        <v>25853.75</v>
      </c>
      <c r="AB342" s="170">
        <f t="shared" si="180"/>
        <v>668416389.0625</v>
      </c>
      <c r="AD342" s="686">
        <f t="shared" si="181"/>
        <v>-0.90838691939178695</v>
      </c>
      <c r="AE342" s="687">
        <f t="shared" si="182"/>
        <v>-9.3514068426042751</v>
      </c>
      <c r="AG342" s="686">
        <f t="shared" si="183"/>
        <v>45.120398344224071</v>
      </c>
      <c r="AH342" s="687">
        <f t="shared" si="184"/>
        <v>0.72963658583081681</v>
      </c>
      <c r="AJ342" s="170">
        <f t="shared" si="185"/>
        <v>0</v>
      </c>
      <c r="AK342" s="170">
        <f t="shared" si="165"/>
        <v>0</v>
      </c>
      <c r="AM342" s="170" t="str">
        <f t="shared" si="189"/>
        <v>1.61567365009895-0.78800124147988i</v>
      </c>
      <c r="AN342" s="170" t="str">
        <f t="shared" si="190"/>
        <v>4.04914841452452i</v>
      </c>
      <c r="AO342" s="170" t="str">
        <f t="shared" si="191"/>
        <v>-0.194609127848531-0.399015665689961i</v>
      </c>
      <c r="AP342" s="170" t="str">
        <f t="shared" si="192"/>
        <v>-0.102612275016492+0.131333540246647i</v>
      </c>
      <c r="AQ342" s="170" t="str">
        <f t="shared" si="193"/>
        <v>1.10261227501649-0.131333540246647i</v>
      </c>
      <c r="AR342" s="170" t="str">
        <f t="shared" si="194"/>
        <v>0.744910211742686+0.088727195851854i</v>
      </c>
    </row>
    <row r="343" spans="7:44">
      <c r="G343" s="688">
        <v>26003.5</v>
      </c>
      <c r="H343" s="676">
        <f t="shared" si="186"/>
        <v>26.003499999999999</v>
      </c>
      <c r="I343" s="677">
        <f t="shared" si="166"/>
        <v>22.899324618901954</v>
      </c>
      <c r="J343" s="678">
        <f t="shared" si="167"/>
        <v>1.5271130249533607</v>
      </c>
      <c r="K343" s="678">
        <f t="shared" si="168"/>
        <v>1.0006458006889778</v>
      </c>
      <c r="L343" s="679">
        <f t="shared" si="169"/>
        <v>3.5929189571254766E-2</v>
      </c>
      <c r="M343" s="678">
        <f t="shared" si="170"/>
        <v>1.0876609202217524</v>
      </c>
      <c r="N343" s="679">
        <f t="shared" si="171"/>
        <v>-0.40423339646480799</v>
      </c>
      <c r="O343" s="677">
        <f t="shared" si="172"/>
        <v>2323331.9832485965</v>
      </c>
      <c r="P343" s="680">
        <f t="shared" si="173"/>
        <v>1.5707958963785775</v>
      </c>
      <c r="Q343" s="689">
        <f t="shared" ref="Q343:Q406" si="195">SQRT(1+(G343/Zero2)^2)</f>
        <v>11.659622104065871</v>
      </c>
      <c r="R343" s="690">
        <f t="shared" ref="R343:R406" si="196">ATAN(G343/Zero2)</f>
        <v>1.4849247576389215</v>
      </c>
      <c r="S343" s="677">
        <f t="shared" si="174"/>
        <v>1.0029943344829382</v>
      </c>
      <c r="T343" s="680">
        <f t="shared" si="175"/>
        <v>7.7290126478986254E-2</v>
      </c>
      <c r="U343" s="681">
        <f t="shared" si="187"/>
        <v>0.33003458150187009</v>
      </c>
      <c r="V343" s="682">
        <f t="shared" si="188"/>
        <v>-1.9152913387292576</v>
      </c>
      <c r="W343" s="683">
        <f t="shared" si="176"/>
        <v>-32.739741162411619</v>
      </c>
      <c r="X343" s="684">
        <f t="shared" si="177"/>
        <v>-227.68597018555741</v>
      </c>
      <c r="Y343" s="687">
        <f t="shared" si="178"/>
        <v>-47.685970185557409</v>
      </c>
      <c r="AA343" s="170">
        <f t="shared" si="179"/>
        <v>26003.5</v>
      </c>
      <c r="AB343" s="170">
        <f t="shared" si="180"/>
        <v>676182012.25</v>
      </c>
      <c r="AD343" s="686">
        <f t="shared" si="181"/>
        <v>-0.90905541785664279</v>
      </c>
      <c r="AE343" s="687">
        <f t="shared" si="182"/>
        <v>-9.3484518877250373</v>
      </c>
      <c r="AG343" s="686">
        <f t="shared" si="183"/>
        <v>45.156750828193999</v>
      </c>
      <c r="AH343" s="687">
        <f t="shared" si="184"/>
        <v>1.1387024472513538</v>
      </c>
      <c r="AJ343" s="170">
        <f t="shared" si="185"/>
        <v>0</v>
      </c>
      <c r="AK343" s="170">
        <f t="shared" ref="AK343:AK406" si="197">IF(AJ343&gt;0,Y343,0)</f>
        <v>0</v>
      </c>
      <c r="AM343" s="170" t="str">
        <f t="shared" si="189"/>
        <v>1.59702466374958-0.802222881046599i</v>
      </c>
      <c r="AN343" s="170" t="str">
        <f t="shared" si="190"/>
        <v>4.0726018777581i</v>
      </c>
      <c r="AO343" s="170" t="str">
        <f t="shared" si="191"/>
        <v>-0.196980432933506-0.39213866508079i</v>
      </c>
      <c r="AP343" s="170" t="str">
        <f t="shared" si="192"/>
        <v>-0.0995041106249295+0.133703813507767i</v>
      </c>
      <c r="AQ343" s="170" t="str">
        <f t="shared" si="193"/>
        <v>1.09950411062493-0.133703813507767i</v>
      </c>
      <c r="AR343" s="170" t="str">
        <f t="shared" si="194"/>
        <v>0.746574320930062+0.0907862306386338i</v>
      </c>
    </row>
    <row r="344" spans="7:44">
      <c r="G344" s="688">
        <v>26153.25</v>
      </c>
      <c r="H344" s="676">
        <f t="shared" si="186"/>
        <v>26.15325</v>
      </c>
      <c r="I344" s="677">
        <f t="shared" si="166"/>
        <v>23.030947402532508</v>
      </c>
      <c r="J344" s="678">
        <f t="shared" si="167"/>
        <v>1.5273628343246755</v>
      </c>
      <c r="K344" s="678">
        <f t="shared" si="168"/>
        <v>1.000653257797427</v>
      </c>
      <c r="L344" s="679">
        <f t="shared" si="169"/>
        <v>3.6135920469695229E-2</v>
      </c>
      <c r="M344" s="678">
        <f t="shared" si="170"/>
        <v>1.088632240216914</v>
      </c>
      <c r="N344" s="679">
        <f t="shared" si="171"/>
        <v>-0.40631402051664933</v>
      </c>
      <c r="O344" s="677">
        <f t="shared" si="172"/>
        <v>2336711.6807697541</v>
      </c>
      <c r="P344" s="680">
        <f t="shared" si="173"/>
        <v>1.5707958988430837</v>
      </c>
      <c r="Q344" s="689">
        <f t="shared" si="195"/>
        <v>11.726275494636829</v>
      </c>
      <c r="R344" s="690">
        <f t="shared" si="196"/>
        <v>1.4854140537329894</v>
      </c>
      <c r="S344" s="677">
        <f t="shared" si="174"/>
        <v>1.00302886935247</v>
      </c>
      <c r="T344" s="680">
        <f t="shared" si="175"/>
        <v>7.7733442209330261E-2</v>
      </c>
      <c r="U344" s="681">
        <f t="shared" si="187"/>
        <v>0.32703360245846635</v>
      </c>
      <c r="V344" s="682">
        <f t="shared" si="188"/>
        <v>-1.9246086937081937</v>
      </c>
      <c r="W344" s="683">
        <f t="shared" si="176"/>
        <v>-32.861710948734029</v>
      </c>
      <c r="X344" s="684">
        <f t="shared" si="177"/>
        <v>-228.33886015485317</v>
      </c>
      <c r="Y344" s="687">
        <f t="shared" si="178"/>
        <v>-48.338860154853165</v>
      </c>
      <c r="AA344" s="170">
        <f t="shared" si="179"/>
        <v>26153.25</v>
      </c>
      <c r="AB344" s="170">
        <f t="shared" si="180"/>
        <v>683992485.5625</v>
      </c>
      <c r="AD344" s="686">
        <f t="shared" si="181"/>
        <v>-0.90971928728324047</v>
      </c>
      <c r="AE344" s="687">
        <f t="shared" si="182"/>
        <v>-9.3458175481459769</v>
      </c>
      <c r="AG344" s="686">
        <f t="shared" si="183"/>
        <v>45.194127706531006</v>
      </c>
      <c r="AH344" s="687">
        <f t="shared" si="184"/>
        <v>1.5508683726330763</v>
      </c>
      <c r="AJ344" s="170">
        <f t="shared" si="185"/>
        <v>0</v>
      </c>
      <c r="AK344" s="170">
        <f t="shared" si="197"/>
        <v>0</v>
      </c>
      <c r="AM344" s="170" t="str">
        <f t="shared" si="189"/>
        <v>1.57804729011904-0.816003266161375i</v>
      </c>
      <c r="AN344" s="170" t="str">
        <f t="shared" si="190"/>
        <v>4.09605534099167i</v>
      </c>
      <c r="AO344" s="170" t="str">
        <f t="shared" si="191"/>
        <v>-0.19921685578687-0.38526024644408i</v>
      </c>
      <c r="AP344" s="170" t="str">
        <f t="shared" si="192"/>
        <v>-0.0963412150198403+0.136000544360229i</v>
      </c>
      <c r="AQ344" s="170" t="str">
        <f t="shared" si="193"/>
        <v>1.09634121501984-0.136000544360229i</v>
      </c>
      <c r="AR344" s="170" t="str">
        <f t="shared" si="194"/>
        <v>0.748285135608551+0.0928243729098418i</v>
      </c>
    </row>
    <row r="345" spans="7:44">
      <c r="G345" s="688">
        <v>26303</v>
      </c>
      <c r="H345" s="676">
        <f t="shared" si="186"/>
        <v>26.303000000000001</v>
      </c>
      <c r="I345" s="677">
        <f t="shared" si="166"/>
        <v>23.162571607068465</v>
      </c>
      <c r="J345" s="678">
        <f t="shared" si="167"/>
        <v>1.5276098045653845</v>
      </c>
      <c r="K345" s="678">
        <f t="shared" si="168"/>
        <v>1.0006607576708209</v>
      </c>
      <c r="L345" s="679">
        <f t="shared" si="169"/>
        <v>3.6342648278107119E-2</v>
      </c>
      <c r="M345" s="678">
        <f t="shared" si="170"/>
        <v>1.0896082644831364</v>
      </c>
      <c r="N345" s="679">
        <f t="shared" si="171"/>
        <v>-0.40839092607876337</v>
      </c>
      <c r="O345" s="677">
        <f t="shared" si="172"/>
        <v>2350091.3782909112</v>
      </c>
      <c r="P345" s="680">
        <f t="shared" si="173"/>
        <v>1.5707959012795276</v>
      </c>
      <c r="Q345" s="689">
        <f t="shared" si="195"/>
        <v>11.79293166086817</v>
      </c>
      <c r="R345" s="690">
        <f t="shared" si="196"/>
        <v>1.4858978187299188</v>
      </c>
      <c r="S345" s="677">
        <f t="shared" si="174"/>
        <v>1.0030636013325023</v>
      </c>
      <c r="T345" s="680">
        <f t="shared" si="175"/>
        <v>7.817672732637522E-2</v>
      </c>
      <c r="U345" s="681">
        <f t="shared" si="187"/>
        <v>0.32403255258837815</v>
      </c>
      <c r="V345" s="682">
        <f t="shared" si="188"/>
        <v>-1.933974877682278</v>
      </c>
      <c r="W345" s="683">
        <f t="shared" si="176"/>
        <v>-32.984095454636694</v>
      </c>
      <c r="X345" s="684">
        <f t="shared" si="177"/>
        <v>-228.99448742547014</v>
      </c>
      <c r="Y345" s="687">
        <f t="shared" si="178"/>
        <v>-48.99448742547014</v>
      </c>
      <c r="AA345" s="170">
        <f t="shared" si="179"/>
        <v>26303</v>
      </c>
      <c r="AB345" s="170">
        <f t="shared" si="180"/>
        <v>691847809</v>
      </c>
      <c r="AD345" s="686">
        <f t="shared" si="181"/>
        <v>-0.91037867010508877</v>
      </c>
      <c r="AE345" s="687">
        <f t="shared" si="182"/>
        <v>-9.3434983614687006</v>
      </c>
      <c r="AG345" s="686">
        <f t="shared" si="183"/>
        <v>45.232552039128564</v>
      </c>
      <c r="AH345" s="687">
        <f t="shared" si="184"/>
        <v>1.9662075402814263</v>
      </c>
      <c r="AJ345" s="170">
        <f t="shared" si="185"/>
        <v>0</v>
      </c>
      <c r="AK345" s="170">
        <f t="shared" si="197"/>
        <v>0</v>
      </c>
      <c r="AM345" s="170" t="str">
        <f t="shared" si="189"/>
        <v>1.55875196751669-0.829334817064997i</v>
      </c>
      <c r="AN345" s="170" t="str">
        <f t="shared" si="190"/>
        <v>4.11950880422525i</v>
      </c>
      <c r="AO345" s="170" t="str">
        <f t="shared" si="191"/>
        <v>-0.201318860203521-0.378382967871783i</v>
      </c>
      <c r="AP345" s="170" t="str">
        <f t="shared" si="192"/>
        <v>-0.0931253279194477+0.138222469510833i</v>
      </c>
      <c r="AQ345" s="170" t="str">
        <f t="shared" si="193"/>
        <v>1.09312532791945-0.138222469510833i</v>
      </c>
      <c r="AR345" s="170" t="str">
        <f t="shared" si="194"/>
        <v>0.750042892689291+0.094840708762904i</v>
      </c>
    </row>
    <row r="346" spans="7:44">
      <c r="G346" s="688">
        <v>26456</v>
      </c>
      <c r="H346" s="676">
        <f t="shared" si="186"/>
        <v>26.456</v>
      </c>
      <c r="I346" s="677">
        <f t="shared" si="166"/>
        <v>23.297053872844028</v>
      </c>
      <c r="J346" s="678">
        <f t="shared" si="167"/>
        <v>1.5278592525643286</v>
      </c>
      <c r="K346" s="678">
        <f t="shared" si="168"/>
        <v>1.0006684644789492</v>
      </c>
      <c r="L346" s="679">
        <f t="shared" si="169"/>
        <v>3.6553859457009785E-2</v>
      </c>
      <c r="M346" s="678">
        <f t="shared" si="170"/>
        <v>1.0906103166300707</v>
      </c>
      <c r="N346" s="679">
        <f t="shared" si="171"/>
        <v>-0.41050905774035307</v>
      </c>
      <c r="O346" s="677">
        <f t="shared" si="172"/>
        <v>2363761.4532207078</v>
      </c>
      <c r="P346" s="680">
        <f t="shared" si="173"/>
        <v>1.5707959037403627</v>
      </c>
      <c r="Q346" s="689">
        <f t="shared" si="195"/>
        <v>11.861037273075102</v>
      </c>
      <c r="R346" s="690">
        <f t="shared" si="196"/>
        <v>1.4863864671108999</v>
      </c>
      <c r="S346" s="677">
        <f t="shared" si="174"/>
        <v>1.0030992906474807</v>
      </c>
      <c r="T346" s="680">
        <f t="shared" si="175"/>
        <v>7.8629601193520665E-2</v>
      </c>
      <c r="U346" s="681">
        <f t="shared" si="187"/>
        <v>0.32096576928058057</v>
      </c>
      <c r="V346" s="682">
        <f t="shared" si="188"/>
        <v>-1.9435961428407948</v>
      </c>
      <c r="W346" s="683">
        <f t="shared" si="176"/>
        <v>-33.109596568257501</v>
      </c>
      <c r="X346" s="684">
        <f t="shared" si="177"/>
        <v>-229.6672465388092</v>
      </c>
      <c r="Y346" s="687">
        <f t="shared" si="178"/>
        <v>-49.667246538809195</v>
      </c>
      <c r="AA346" s="170">
        <f t="shared" si="179"/>
        <v>26456</v>
      </c>
      <c r="AB346" s="170">
        <f t="shared" si="180"/>
        <v>699919936</v>
      </c>
      <c r="AD346" s="686">
        <f t="shared" si="181"/>
        <v>-0.91104787366781181</v>
      </c>
      <c r="AE346" s="687">
        <f t="shared" si="182"/>
        <v>-9.3414487738049043</v>
      </c>
      <c r="AG346" s="686">
        <f t="shared" si="183"/>
        <v>45.272917098990497</v>
      </c>
      <c r="AH346" s="687">
        <f t="shared" si="184"/>
        <v>2.3939146148569344</v>
      </c>
      <c r="AJ346" s="170">
        <f t="shared" si="185"/>
        <v>0</v>
      </c>
      <c r="AK346" s="170">
        <f t="shared" si="197"/>
        <v>0</v>
      </c>
      <c r="AM346" s="170" t="str">
        <f t="shared" si="189"/>
        <v>1.5387205486641-0.842484522378338i</v>
      </c>
      <c r="AN346" s="170" t="str">
        <f t="shared" si="190"/>
        <v>4.14347127417341i</v>
      </c>
      <c r="AO346" s="170" t="str">
        <f t="shared" si="191"/>
        <v>-0.203328191902672-0.371360254928052i</v>
      </c>
      <c r="AP346" s="170" t="str">
        <f t="shared" si="192"/>
        <v>-0.0897867581106825+0.140414087063056i</v>
      </c>
      <c r="AQ346" s="170" t="str">
        <f t="shared" si="193"/>
        <v>1.08978675811068-0.140414087063056i</v>
      </c>
      <c r="AR346" s="170" t="str">
        <f t="shared" si="194"/>
        <v>0.751887519413919+0.0968773008360309i</v>
      </c>
    </row>
    <row r="347" spans="7:44">
      <c r="G347" s="688">
        <v>26609</v>
      </c>
      <c r="H347" s="676">
        <f t="shared" si="186"/>
        <v>26.609000000000002</v>
      </c>
      <c r="I347" s="677">
        <f t="shared" si="166"/>
        <v>23.431537571622428</v>
      </c>
      <c r="J347" s="678">
        <f t="shared" si="167"/>
        <v>1.5281058371991934</v>
      </c>
      <c r="K347" s="678">
        <f t="shared" si="168"/>
        <v>1.0006762159263711</v>
      </c>
      <c r="L347" s="679">
        <f t="shared" si="169"/>
        <v>3.6765067373162347E-2</v>
      </c>
      <c r="M347" s="678">
        <f t="shared" si="170"/>
        <v>1.0916172527843961</v>
      </c>
      <c r="N347" s="679">
        <f t="shared" si="171"/>
        <v>-0.412623291233364</v>
      </c>
      <c r="O347" s="677">
        <f t="shared" si="172"/>
        <v>2377431.5281505045</v>
      </c>
      <c r="P347" s="680">
        <f t="shared" si="173"/>
        <v>1.5707959061728984</v>
      </c>
      <c r="Q347" s="689">
        <f t="shared" si="195"/>
        <v>11.929145685088942</v>
      </c>
      <c r="R347" s="690">
        <f t="shared" si="196"/>
        <v>1.4868695358159034</v>
      </c>
      <c r="S347" s="677">
        <f t="shared" si="174"/>
        <v>1.0031351856781834</v>
      </c>
      <c r="T347" s="680">
        <f t="shared" si="175"/>
        <v>7.9082442743305364E-2</v>
      </c>
      <c r="U347" s="681">
        <f t="shared" si="187"/>
        <v>0.31789783671774452</v>
      </c>
      <c r="V347" s="682">
        <f t="shared" si="188"/>
        <v>-1.9532711825253897</v>
      </c>
      <c r="W347" s="683">
        <f t="shared" si="176"/>
        <v>-33.23559688614187</v>
      </c>
      <c r="X347" s="684">
        <f t="shared" si="177"/>
        <v>-230.34301732381351</v>
      </c>
      <c r="Y347" s="687">
        <f t="shared" si="178"/>
        <v>-50.343017323813513</v>
      </c>
      <c r="AA347" s="170">
        <f t="shared" si="179"/>
        <v>26609</v>
      </c>
      <c r="AB347" s="170">
        <f t="shared" si="180"/>
        <v>708038881</v>
      </c>
      <c r="AD347" s="686">
        <f t="shared" si="181"/>
        <v>-0.9117126817279475</v>
      </c>
      <c r="AE347" s="687">
        <f t="shared" si="182"/>
        <v>-9.3397170247562435</v>
      </c>
      <c r="AG347" s="686">
        <f t="shared" si="183"/>
        <v>45.314427396316212</v>
      </c>
      <c r="AH347" s="687">
        <f t="shared" si="184"/>
        <v>2.8250899631685362</v>
      </c>
      <c r="AJ347" s="170">
        <f t="shared" si="185"/>
        <v>0</v>
      </c>
      <c r="AK347" s="170">
        <f t="shared" si="197"/>
        <v>0</v>
      </c>
      <c r="AM347" s="170" t="str">
        <f t="shared" si="189"/>
        <v>1.51837981129209-0.855150496254771i</v>
      </c>
      <c r="AN347" s="170" t="str">
        <f t="shared" si="190"/>
        <v>4.16743374412157i</v>
      </c>
      <c r="AO347" s="170" t="str">
        <f t="shared" si="191"/>
        <v>-0.205198342375812-0.364344079479095i</v>
      </c>
      <c r="AP347" s="170" t="str">
        <f t="shared" si="192"/>
        <v>-0.0863966352153477+0.142525082709129i</v>
      </c>
      <c r="AQ347" s="170" t="str">
        <f t="shared" si="193"/>
        <v>1.08639663521535-0.142525082709129i</v>
      </c>
      <c r="AR347" s="170" t="str">
        <f t="shared" si="194"/>
        <v>0.753781626239282+0.0988891028763907i</v>
      </c>
    </row>
    <row r="348" spans="7:44">
      <c r="G348" s="688">
        <v>26762</v>
      </c>
      <c r="H348" s="676">
        <f t="shared" si="186"/>
        <v>26.762</v>
      </c>
      <c r="I348" s="677">
        <f t="shared" si="166"/>
        <v>23.56602267887061</v>
      </c>
      <c r="J348" s="678">
        <f t="shared" si="167"/>
        <v>1.5283496074611345</v>
      </c>
      <c r="K348" s="678">
        <f t="shared" si="168"/>
        <v>1.0006840120120495</v>
      </c>
      <c r="L348" s="679">
        <f t="shared" si="169"/>
        <v>3.6976272007797392E-2</v>
      </c>
      <c r="M348" s="678">
        <f t="shared" si="170"/>
        <v>1.092629059443222</v>
      </c>
      <c r="N348" s="679">
        <f t="shared" si="171"/>
        <v>-0.41473361846013174</v>
      </c>
      <c r="O348" s="677">
        <f t="shared" si="172"/>
        <v>2391101.6030803015</v>
      </c>
      <c r="P348" s="680">
        <f t="shared" si="173"/>
        <v>1.5707959085776202</v>
      </c>
      <c r="Q348" s="689">
        <f t="shared" si="195"/>
        <v>11.99725684922619</v>
      </c>
      <c r="R348" s="690">
        <f t="shared" si="196"/>
        <v>1.4873471196488146</v>
      </c>
      <c r="S348" s="677">
        <f t="shared" si="174"/>
        <v>1.0031712864025277</v>
      </c>
      <c r="T348" s="680">
        <f t="shared" si="175"/>
        <v>7.9535251793484113E-2</v>
      </c>
      <c r="U348" s="681">
        <f t="shared" si="187"/>
        <v>0.3148282083206988</v>
      </c>
      <c r="V348" s="682">
        <f t="shared" si="188"/>
        <v>-1.9630014234035178</v>
      </c>
      <c r="W348" s="683">
        <f t="shared" si="176"/>
        <v>-33.362131416516462</v>
      </c>
      <c r="X348" s="684">
        <f t="shared" si="177"/>
        <v>-231.02187842433031</v>
      </c>
      <c r="Y348" s="687">
        <f t="shared" si="178"/>
        <v>-51.021878424330311</v>
      </c>
      <c r="AA348" s="170">
        <f t="shared" si="179"/>
        <v>26762</v>
      </c>
      <c r="AB348" s="170">
        <f t="shared" si="180"/>
        <v>716204644</v>
      </c>
      <c r="AD348" s="686">
        <f t="shared" si="181"/>
        <v>-0.912373233681954</v>
      </c>
      <c r="AE348" s="687">
        <f t="shared" si="182"/>
        <v>-9.3382976720461066</v>
      </c>
      <c r="AG348" s="686">
        <f t="shared" si="183"/>
        <v>45.357110807799842</v>
      </c>
      <c r="AH348" s="687">
        <f t="shared" si="184"/>
        <v>3.2598129831405163</v>
      </c>
      <c r="AJ348" s="170">
        <f t="shared" si="185"/>
        <v>0</v>
      </c>
      <c r="AK348" s="170">
        <f t="shared" si="197"/>
        <v>0</v>
      </c>
      <c r="AM348" s="170" t="str">
        <f t="shared" si="189"/>
        <v>1.4977414344925-0.867325466240526i</v>
      </c>
      <c r="AN348" s="170" t="str">
        <f t="shared" si="190"/>
        <v>4.19139621406973i</v>
      </c>
      <c r="AO348" s="170" t="str">
        <f t="shared" si="191"/>
        <v>-0.20692996365485-0.357337115843371i</v>
      </c>
      <c r="AP348" s="170" t="str">
        <f t="shared" si="192"/>
        <v>-0.0829569057487503+0.144554244373421i</v>
      </c>
      <c r="AQ348" s="170" t="str">
        <f t="shared" si="193"/>
        <v>1.08295690574875-0.144554244373421i</v>
      </c>
      <c r="AR348" s="170" t="str">
        <f t="shared" si="194"/>
        <v>0.755725440803683+0.100875038950527i</v>
      </c>
    </row>
    <row r="349" spans="7:44">
      <c r="G349" s="688">
        <v>26915</v>
      </c>
      <c r="H349" s="676">
        <f t="shared" si="186"/>
        <v>26.914999999999999</v>
      </c>
      <c r="I349" s="677">
        <f t="shared" si="166"/>
        <v>23.700509170612108</v>
      </c>
      <c r="J349" s="678">
        <f t="shared" si="167"/>
        <v>1.5285906112306789</v>
      </c>
      <c r="K349" s="678">
        <f t="shared" si="168"/>
        <v>1.0006918527349407</v>
      </c>
      <c r="L349" s="679">
        <f t="shared" si="169"/>
        <v>3.7187473342149259E-2</v>
      </c>
      <c r="M349" s="678">
        <f t="shared" si="170"/>
        <v>1.0936457230884349</v>
      </c>
      <c r="N349" s="679">
        <f t="shared" si="171"/>
        <v>-0.41684003149205751</v>
      </c>
      <c r="O349" s="677">
        <f t="shared" si="172"/>
        <v>2404771.6780100986</v>
      </c>
      <c r="P349" s="680">
        <f t="shared" si="173"/>
        <v>1.5707959109550025</v>
      </c>
      <c r="Q349" s="689">
        <f t="shared" si="195"/>
        <v>12.065370718878166</v>
      </c>
      <c r="R349" s="690">
        <f t="shared" si="196"/>
        <v>1.4878193112828324</v>
      </c>
      <c r="S349" s="677">
        <f t="shared" si="174"/>
        <v>1.0032075927983082</v>
      </c>
      <c r="T349" s="680">
        <f t="shared" si="175"/>
        <v>7.9988028161891128E-2</v>
      </c>
      <c r="U349" s="681">
        <f t="shared" si="187"/>
        <v>0.31175633554624804</v>
      </c>
      <c r="V349" s="682">
        <f t="shared" si="188"/>
        <v>-1.9727882985309853</v>
      </c>
      <c r="W349" s="683">
        <f t="shared" si="176"/>
        <v>-33.489236244529749</v>
      </c>
      <c r="X349" s="684">
        <f t="shared" si="177"/>
        <v>-231.70390891836786</v>
      </c>
      <c r="Y349" s="687">
        <f t="shared" si="178"/>
        <v>-51.703908918367858</v>
      </c>
      <c r="AA349" s="170">
        <f t="shared" si="179"/>
        <v>26915</v>
      </c>
      <c r="AB349" s="170">
        <f t="shared" si="180"/>
        <v>724417225</v>
      </c>
      <c r="AD349" s="686">
        <f t="shared" si="181"/>
        <v>-0.91302966499003557</v>
      </c>
      <c r="AE349" s="687">
        <f t="shared" si="182"/>
        <v>-9.3371853954811836</v>
      </c>
      <c r="AG349" s="686">
        <f t="shared" si="183"/>
        <v>45.400996403106653</v>
      </c>
      <c r="AH349" s="687">
        <f t="shared" si="184"/>
        <v>3.6981634926704037</v>
      </c>
      <c r="AJ349" s="170">
        <f t="shared" si="185"/>
        <v>0</v>
      </c>
      <c r="AK349" s="170">
        <f t="shared" si="197"/>
        <v>0</v>
      </c>
      <c r="AM349" s="170" t="str">
        <f t="shared" si="189"/>
        <v>1.47681726825356-0.879002441802756i</v>
      </c>
      <c r="AN349" s="170" t="str">
        <f t="shared" si="190"/>
        <v>4.21535868401789i</v>
      </c>
      <c r="AO349" s="170" t="str">
        <f t="shared" si="191"/>
        <v>-0.20852375982509-0.350342018071384i</v>
      </c>
      <c r="AP349" s="170" t="str">
        <f t="shared" si="192"/>
        <v>-0.0794695447089275+0.146500406967126i</v>
      </c>
      <c r="AQ349" s="170" t="str">
        <f t="shared" si="193"/>
        <v>1.07946954470893-0.146500406967126i</v>
      </c>
      <c r="AR349" s="170" t="str">
        <f t="shared" si="194"/>
        <v>0.757719179358643+0.102833997204405i</v>
      </c>
    </row>
    <row r="350" spans="7:44">
      <c r="G350" s="688">
        <v>27071.75</v>
      </c>
      <c r="H350" s="676">
        <f t="shared" si="186"/>
        <v>27.071750000000002</v>
      </c>
      <c r="I350" s="677">
        <f t="shared" si="166"/>
        <v>23.838293311206538</v>
      </c>
      <c r="J350" s="678">
        <f t="shared" si="167"/>
        <v>1.5288347018483652</v>
      </c>
      <c r="K350" s="678">
        <f t="shared" si="168"/>
        <v>1.0006999319230101</v>
      </c>
      <c r="L350" s="679">
        <f t="shared" si="169"/>
        <v>3.7403847737567296E-2</v>
      </c>
      <c r="M350" s="678">
        <f t="shared" si="170"/>
        <v>1.094692327822177</v>
      </c>
      <c r="N350" s="679">
        <f t="shared" si="171"/>
        <v>-0.41899400490703098</v>
      </c>
      <c r="O350" s="677">
        <f t="shared" si="172"/>
        <v>2418776.8037960175</v>
      </c>
      <c r="P350" s="680">
        <f t="shared" si="173"/>
        <v>1.5707959133627856</v>
      </c>
      <c r="Q350" s="689">
        <f t="shared" si="195"/>
        <v>12.135156804282218</v>
      </c>
      <c r="R350" s="690">
        <f t="shared" si="196"/>
        <v>1.4882975788948247</v>
      </c>
      <c r="S350" s="677">
        <f t="shared" si="174"/>
        <v>1.0032450023280459</v>
      </c>
      <c r="T350" s="680">
        <f t="shared" si="175"/>
        <v>8.045186790680707E-2</v>
      </c>
      <c r="U350" s="681">
        <f t="shared" si="187"/>
        <v>0.30860626876252661</v>
      </c>
      <c r="V350" s="682">
        <f t="shared" si="188"/>
        <v>-1.9828752861138907</v>
      </c>
      <c r="W350" s="683">
        <f t="shared" si="176"/>
        <v>-33.620086737348892</v>
      </c>
      <c r="X350" s="684">
        <f t="shared" si="177"/>
        <v>-232.40602582615787</v>
      </c>
      <c r="Y350" s="687">
        <f t="shared" si="178"/>
        <v>-52.406025826157872</v>
      </c>
      <c r="AA350" s="170">
        <f t="shared" si="179"/>
        <v>27071.75</v>
      </c>
      <c r="AB350" s="170">
        <f t="shared" si="180"/>
        <v>732879648.0625</v>
      </c>
      <c r="AD350" s="686">
        <f t="shared" si="181"/>
        <v>-0.91369804955032452</v>
      </c>
      <c r="AE350" s="687">
        <f t="shared" si="182"/>
        <v>-9.3363588775451944</v>
      </c>
      <c r="AG350" s="686">
        <f t="shared" si="183"/>
        <v>45.447236067586978</v>
      </c>
      <c r="AH350" s="687">
        <f t="shared" si="184"/>
        <v>4.1511037012679299</v>
      </c>
      <c r="AJ350" s="170">
        <f t="shared" si="185"/>
        <v>0</v>
      </c>
      <c r="AK350" s="170">
        <f t="shared" si="197"/>
        <v>0</v>
      </c>
      <c r="AM350" s="170" t="str">
        <f t="shared" si="189"/>
        <v>1.45509643474916-0.890442157065019i</v>
      </c>
      <c r="AN350" s="170" t="str">
        <f t="shared" si="190"/>
        <v>4.23990846940595i</v>
      </c>
      <c r="AO350" s="170" t="str">
        <f t="shared" si="191"/>
        <v>-0.210014476371415-0.343190529995812i</v>
      </c>
      <c r="AP350" s="170" t="str">
        <f t="shared" si="192"/>
        <v>-0.0758494057915265+0.148407026177503i</v>
      </c>
      <c r="AQ350" s="170" t="str">
        <f t="shared" si="193"/>
        <v>1.07584940579153-0.148407026177503i</v>
      </c>
      <c r="AR350" s="170" t="str">
        <f t="shared" si="194"/>
        <v>0.7598137708778+0.104811790179618i</v>
      </c>
    </row>
    <row r="351" spans="7:44">
      <c r="G351" s="688">
        <v>27228.5</v>
      </c>
      <c r="H351" s="676">
        <f t="shared" si="186"/>
        <v>27.2285</v>
      </c>
      <c r="I351" s="677">
        <f t="shared" si="166"/>
        <v>23.976078855767842</v>
      </c>
      <c r="J351" s="678">
        <f t="shared" si="167"/>
        <v>1.5290759870041417</v>
      </c>
      <c r="K351" s="678">
        <f t="shared" si="168"/>
        <v>1.00070805796097</v>
      </c>
      <c r="L351" s="679">
        <f t="shared" si="169"/>
        <v>3.7620218629070272E-2</v>
      </c>
      <c r="M351" s="678">
        <f t="shared" si="170"/>
        <v>1.0957440017759876</v>
      </c>
      <c r="N351" s="679">
        <f t="shared" si="171"/>
        <v>-0.42114385359627243</v>
      </c>
      <c r="O351" s="677">
        <f t="shared" si="172"/>
        <v>2432781.9295819369</v>
      </c>
      <c r="P351" s="680">
        <f t="shared" si="173"/>
        <v>1.5707959157428464</v>
      </c>
      <c r="Q351" s="689">
        <f t="shared" si="195"/>
        <v>12.204945633737388</v>
      </c>
      <c r="R351" s="690">
        <f t="shared" si="196"/>
        <v>1.4887703770710468</v>
      </c>
      <c r="S351" s="677">
        <f t="shared" si="174"/>
        <v>1.0032826276871223</v>
      </c>
      <c r="T351" s="680">
        <f t="shared" si="175"/>
        <v>8.091567296143215E-2</v>
      </c>
      <c r="U351" s="681">
        <f t="shared" si="187"/>
        <v>0.30545267488976996</v>
      </c>
      <c r="V351" s="682">
        <f t="shared" si="188"/>
        <v>-1.9930247823385476</v>
      </c>
      <c r="W351" s="683">
        <f t="shared" si="176"/>
        <v>-33.751616192412811</v>
      </c>
      <c r="X351" s="684">
        <f t="shared" si="177"/>
        <v>-233.11163873195406</v>
      </c>
      <c r="Y351" s="687">
        <f t="shared" si="178"/>
        <v>-53.111638731954059</v>
      </c>
      <c r="AA351" s="170">
        <f t="shared" si="179"/>
        <v>27228.5</v>
      </c>
      <c r="AB351" s="170">
        <f t="shared" si="180"/>
        <v>741391212.25</v>
      </c>
      <c r="AD351" s="686">
        <f t="shared" si="181"/>
        <v>-0.9143623847439698</v>
      </c>
      <c r="AE351" s="687">
        <f t="shared" si="182"/>
        <v>-9.3358437459998918</v>
      </c>
      <c r="AG351" s="686">
        <f t="shared" si="183"/>
        <v>45.49480338940797</v>
      </c>
      <c r="AH351" s="687">
        <f t="shared" si="184"/>
        <v>4.6080222609690269</v>
      </c>
      <c r="AJ351" s="170">
        <f t="shared" si="185"/>
        <v>0</v>
      </c>
      <c r="AK351" s="170">
        <f t="shared" si="197"/>
        <v>0</v>
      </c>
      <c r="AM351" s="170" t="str">
        <f t="shared" si="189"/>
        <v>1.43310133205671-0.901345236949028i</v>
      </c>
      <c r="AN351" s="170" t="str">
        <f t="shared" si="190"/>
        <v>4.26445825479402i</v>
      </c>
      <c r="AO351" s="170" t="str">
        <f t="shared" si="191"/>
        <v>-0.211362190246734-0.336057066673275i</v>
      </c>
      <c r="AP351" s="170" t="str">
        <f t="shared" si="192"/>
        <v>-0.0721835553427858+0.150224206158171i</v>
      </c>
      <c r="AQ351" s="170" t="str">
        <f t="shared" si="193"/>
        <v>1.07218355534279-0.150224206158171i</v>
      </c>
      <c r="AR351" s="170" t="str">
        <f t="shared" si="194"/>
        <v>0.761961179365296+0.106758784653155i</v>
      </c>
    </row>
    <row r="352" spans="7:44">
      <c r="G352" s="688">
        <v>27385.25</v>
      </c>
      <c r="H352" s="676">
        <f t="shared" si="186"/>
        <v>27.385249999999999</v>
      </c>
      <c r="I352" s="677">
        <f t="shared" si="166"/>
        <v>24.113865780229411</v>
      </c>
      <c r="J352" s="678">
        <f t="shared" si="167"/>
        <v>1.5293145147610014</v>
      </c>
      <c r="K352" s="678">
        <f t="shared" si="168"/>
        <v>1.0007162308476794</v>
      </c>
      <c r="L352" s="679">
        <f t="shared" si="169"/>
        <v>3.7836585996484387E-2</v>
      </c>
      <c r="M352" s="678">
        <f t="shared" si="170"/>
        <v>1.0968007303679108</v>
      </c>
      <c r="N352" s="679">
        <f t="shared" si="171"/>
        <v>-0.42328956958092412</v>
      </c>
      <c r="O352" s="677">
        <f t="shared" si="172"/>
        <v>2446787.0553678563</v>
      </c>
      <c r="P352" s="680">
        <f t="shared" si="173"/>
        <v>1.5707959180956608</v>
      </c>
      <c r="Q352" s="689">
        <f t="shared" si="195"/>
        <v>12.274737160439228</v>
      </c>
      <c r="R352" s="690">
        <f t="shared" si="196"/>
        <v>1.4892377988924188</v>
      </c>
      <c r="S352" s="677">
        <f t="shared" si="174"/>
        <v>1.0033204688512565</v>
      </c>
      <c r="T352" s="680">
        <f t="shared" si="175"/>
        <v>8.137944313013741E-2</v>
      </c>
      <c r="U352" s="681">
        <f t="shared" si="187"/>
        <v>0.30229495862799022</v>
      </c>
      <c r="V352" s="682">
        <f t="shared" si="188"/>
        <v>-2.003238346563549</v>
      </c>
      <c r="W352" s="683">
        <f t="shared" si="176"/>
        <v>-33.883867275240725</v>
      </c>
      <c r="X352" s="684">
        <f t="shared" si="177"/>
        <v>-233.82083393390499</v>
      </c>
      <c r="Y352" s="687">
        <f t="shared" si="178"/>
        <v>-53.820833933904993</v>
      </c>
      <c r="AA352" s="170">
        <f t="shared" si="179"/>
        <v>27385.25</v>
      </c>
      <c r="AB352" s="170">
        <f t="shared" si="180"/>
        <v>749951917.5625</v>
      </c>
      <c r="AD352" s="686">
        <f t="shared" si="181"/>
        <v>-0.91502280423144466</v>
      </c>
      <c r="AE352" s="687">
        <f t="shared" si="182"/>
        <v>-9.3356346565199253</v>
      </c>
      <c r="AG352" s="686">
        <f t="shared" si="183"/>
        <v>45.543733852016608</v>
      </c>
      <c r="AH352" s="687">
        <f t="shared" si="184"/>
        <v>5.0690062186322633</v>
      </c>
      <c r="AJ352" s="170">
        <f t="shared" si="185"/>
        <v>0</v>
      </c>
      <c r="AK352" s="170">
        <f t="shared" si="197"/>
        <v>0</v>
      </c>
      <c r="AM352" s="170" t="str">
        <f t="shared" si="189"/>
        <v>1.41084521578208-0.911705110586191i</v>
      </c>
      <c r="AN352" s="170" t="str">
        <f t="shared" si="190"/>
        <v>4.28900804018209i</v>
      </c>
      <c r="AO352" s="170" t="str">
        <f t="shared" si="191"/>
        <v>-0.212567825017993-0.32894440918842i</v>
      </c>
      <c r="AP352" s="170" t="str">
        <f t="shared" si="192"/>
        <v>-0.068474202630346+0.151950851764365i</v>
      </c>
      <c r="AQ352" s="170" t="str">
        <f t="shared" si="193"/>
        <v>1.06847420263035-0.151950851764365i</v>
      </c>
      <c r="AR352" s="170" t="str">
        <f t="shared" si="194"/>
        <v>0.764161589009009+0.108673661984239i</v>
      </c>
    </row>
    <row r="353" spans="7:44">
      <c r="G353" s="688">
        <v>27542</v>
      </c>
      <c r="H353" s="676">
        <f t="shared" si="186"/>
        <v>27.542000000000002</v>
      </c>
      <c r="I353" s="677">
        <f t="shared" si="166"/>
        <v>24.251654061071331</v>
      </c>
      <c r="J353" s="678">
        <f t="shared" si="167"/>
        <v>1.5295503320909094</v>
      </c>
      <c r="K353" s="678">
        <f t="shared" si="168"/>
        <v>1.0007244505819899</v>
      </c>
      <c r="L353" s="679">
        <f t="shared" si="169"/>
        <v>3.8052949819637839E-2</v>
      </c>
      <c r="M353" s="678">
        <f t="shared" si="170"/>
        <v>1.097862499002183</v>
      </c>
      <c r="N353" s="679">
        <f t="shared" si="171"/>
        <v>-0.42543114506499224</v>
      </c>
      <c r="O353" s="677">
        <f t="shared" si="172"/>
        <v>2460792.1811537752</v>
      </c>
      <c r="P353" s="680">
        <f t="shared" si="173"/>
        <v>1.5707959204216939</v>
      </c>
      <c r="Q353" s="689">
        <f t="shared" si="195"/>
        <v>12.344531338639953</v>
      </c>
      <c r="R353" s="690">
        <f t="shared" si="196"/>
        <v>1.4896999353443181</v>
      </c>
      <c r="S353" s="677">
        <f t="shared" si="174"/>
        <v>1.0033585257960311</v>
      </c>
      <c r="T353" s="680">
        <f t="shared" si="175"/>
        <v>8.184317821738335E-2</v>
      </c>
      <c r="U353" s="681">
        <f t="shared" si="187"/>
        <v>0.29913252325896056</v>
      </c>
      <c r="V353" s="682">
        <f t="shared" si="188"/>
        <v>-2.0135175432798498</v>
      </c>
      <c r="W353" s="683">
        <f t="shared" si="176"/>
        <v>-34.016884081081272</v>
      </c>
      <c r="X353" s="684">
        <f t="shared" si="177"/>
        <v>-234.53369809225808</v>
      </c>
      <c r="Y353" s="687">
        <f t="shared" si="178"/>
        <v>-54.533698092258078</v>
      </c>
      <c r="AA353" s="170">
        <f t="shared" si="179"/>
        <v>27542</v>
      </c>
      <c r="AB353" s="170">
        <f t="shared" si="180"/>
        <v>758561764</v>
      </c>
      <c r="AD353" s="686">
        <f t="shared" si="181"/>
        <v>-0.91567943789147166</v>
      </c>
      <c r="AE353" s="687">
        <f t="shared" si="182"/>
        <v>-9.335726384850263</v>
      </c>
      <c r="AG353" s="686">
        <f t="shared" si="183"/>
        <v>45.594064485243422</v>
      </c>
      <c r="AH353" s="687">
        <f t="shared" si="184"/>
        <v>5.5341429672129756</v>
      </c>
      <c r="AJ353" s="170">
        <f t="shared" si="185"/>
        <v>0</v>
      </c>
      <c r="AK353" s="170">
        <f t="shared" si="197"/>
        <v>0</v>
      </c>
      <c r="AM353" s="170" t="str">
        <f t="shared" si="189"/>
        <v>1.38834149883397-0.921515534477517i</v>
      </c>
      <c r="AN353" s="170" t="str">
        <f t="shared" si="190"/>
        <v>4.31355782557015i</v>
      </c>
      <c r="AO353" s="170" t="str">
        <f t="shared" si="191"/>
        <v>-0.213632359120099-0.321855311780934i</v>
      </c>
      <c r="AP353" s="170" t="str">
        <f t="shared" si="192"/>
        <v>-0.0647235831389957+0.153585922412919i</v>
      </c>
      <c r="AQ353" s="170" t="str">
        <f t="shared" si="193"/>
        <v>1.064723583139-0.153585922412919i</v>
      </c>
      <c r="AR353" s="170" t="str">
        <f t="shared" si="194"/>
        <v>0.766415163543206+0.110555060212904i</v>
      </c>
    </row>
    <row r="354" spans="7:44">
      <c r="G354" s="688">
        <v>27702.5</v>
      </c>
      <c r="H354" s="676">
        <f t="shared" si="186"/>
        <v>27.702500000000001</v>
      </c>
      <c r="I354" s="677">
        <f t="shared" si="166"/>
        <v>24.392740093703893</v>
      </c>
      <c r="J354" s="678">
        <f t="shared" si="167"/>
        <v>1.5297890304623087</v>
      </c>
      <c r="K354" s="678">
        <f t="shared" si="168"/>
        <v>1.0007329155015978</v>
      </c>
      <c r="L354" s="679">
        <f t="shared" si="169"/>
        <v>3.8274486117281965E-2</v>
      </c>
      <c r="M354" s="678">
        <f t="shared" si="170"/>
        <v>1.098954875889308</v>
      </c>
      <c r="N354" s="679">
        <f t="shared" si="171"/>
        <v>-0.42761965619309622</v>
      </c>
      <c r="O354" s="677">
        <f t="shared" si="172"/>
        <v>2475132.3577958173</v>
      </c>
      <c r="P354" s="680">
        <f t="shared" si="173"/>
        <v>1.5707959227760986</v>
      </c>
      <c r="Q354" s="689">
        <f t="shared" si="195"/>
        <v>12.415997934728086</v>
      </c>
      <c r="R354" s="690">
        <f t="shared" si="196"/>
        <v>1.4901677440321233</v>
      </c>
      <c r="S354" s="677">
        <f t="shared" si="174"/>
        <v>1.0033977167540999</v>
      </c>
      <c r="T354" s="680">
        <f t="shared" si="175"/>
        <v>8.2317970890936412E-2</v>
      </c>
      <c r="U354" s="681">
        <f t="shared" si="187"/>
        <v>0.29588891728072164</v>
      </c>
      <c r="V354" s="682">
        <f t="shared" si="188"/>
        <v>-2.0241122990277822</v>
      </c>
      <c r="W354" s="683">
        <f t="shared" si="176"/>
        <v>-34.153924157905749</v>
      </c>
      <c r="X354" s="684">
        <f t="shared" si="177"/>
        <v>-235.26750893568169</v>
      </c>
      <c r="Y354" s="687">
        <f t="shared" si="178"/>
        <v>-55.26750893568169</v>
      </c>
      <c r="AA354" s="170">
        <f t="shared" si="179"/>
        <v>27702.5</v>
      </c>
      <c r="AB354" s="170">
        <f t="shared" si="180"/>
        <v>767428506.25</v>
      </c>
      <c r="AD354" s="686">
        <f t="shared" si="181"/>
        <v>-0.91634798953529761</v>
      </c>
      <c r="AE354" s="687">
        <f t="shared" si="182"/>
        <v>-9.3361266726557073</v>
      </c>
      <c r="AG354" s="686">
        <f t="shared" si="183"/>
        <v>45.647090388196432</v>
      </c>
      <c r="AH354" s="687">
        <f t="shared" si="184"/>
        <v>6.014801991639068</v>
      </c>
      <c r="AJ354" s="170">
        <f t="shared" si="185"/>
        <v>0</v>
      </c>
      <c r="AK354" s="170">
        <f t="shared" si="197"/>
        <v>0</v>
      </c>
      <c r="AM354" s="170" t="str">
        <f t="shared" si="189"/>
        <v>1.36505702437423-0.930985160437607i</v>
      </c>
      <c r="AN354" s="170" t="str">
        <f t="shared" si="190"/>
        <v>4.33869492639812i</v>
      </c>
      <c r="AO354" s="170" t="str">
        <f t="shared" si="191"/>
        <v>-0.214577234913008-0.314623878270111i</v>
      </c>
      <c r="AP354" s="170" t="str">
        <f t="shared" si="192"/>
        <v>-0.0608428373957042+0.155164193406268i</v>
      </c>
      <c r="AQ354" s="170" t="str">
        <f t="shared" si="193"/>
        <v>1.0608428373957-0.155164193406268i</v>
      </c>
      <c r="AR354" s="170" t="str">
        <f t="shared" si="194"/>
        <v>0.768777886391683+0.112445308999194i</v>
      </c>
    </row>
    <row r="355" spans="7:44">
      <c r="G355" s="688">
        <v>27863</v>
      </c>
      <c r="H355" s="676">
        <f t="shared" si="186"/>
        <v>27.863</v>
      </c>
      <c r="I355" s="677">
        <f t="shared" si="166"/>
        <v>24.533827500174588</v>
      </c>
      <c r="J355" s="678">
        <f t="shared" si="167"/>
        <v>1.5300249834674737</v>
      </c>
      <c r="K355" s="678">
        <f t="shared" si="168"/>
        <v>1.000741429534675</v>
      </c>
      <c r="L355" s="679">
        <f t="shared" si="169"/>
        <v>3.8496018656258506E-2</v>
      </c>
      <c r="M355" s="678">
        <f t="shared" si="170"/>
        <v>1.100052505841477</v>
      </c>
      <c r="N355" s="679">
        <f t="shared" si="171"/>
        <v>-0.429803810381925</v>
      </c>
      <c r="O355" s="677">
        <f t="shared" si="172"/>
        <v>2489472.534437859</v>
      </c>
      <c r="P355" s="680">
        <f t="shared" si="173"/>
        <v>1.5707959251033792</v>
      </c>
      <c r="Q355" s="689">
        <f t="shared" si="195"/>
        <v>12.487467216893364</v>
      </c>
      <c r="R355" s="690">
        <f t="shared" si="196"/>
        <v>1.490630198019149</v>
      </c>
      <c r="S355" s="677">
        <f t="shared" si="174"/>
        <v>1.0034371338884938</v>
      </c>
      <c r="T355" s="680">
        <f t="shared" si="175"/>
        <v>8.2792726369783437E-2</v>
      </c>
      <c r="U355" s="681">
        <f t="shared" si="187"/>
        <v>0.2926390940747336</v>
      </c>
      <c r="V355" s="682">
        <f t="shared" si="188"/>
        <v>-2.0347791985315209</v>
      </c>
      <c r="W355" s="683">
        <f t="shared" si="176"/>
        <v>-34.29186549868276</v>
      </c>
      <c r="X355" s="684">
        <f t="shared" si="177"/>
        <v>-236.00535126416261</v>
      </c>
      <c r="Y355" s="687">
        <f t="shared" si="178"/>
        <v>-56.005351264162613</v>
      </c>
      <c r="AA355" s="170">
        <f t="shared" si="179"/>
        <v>27863</v>
      </c>
      <c r="AB355" s="170">
        <f t="shared" si="180"/>
        <v>776346769</v>
      </c>
      <c r="AD355" s="686">
        <f t="shared" si="181"/>
        <v>-0.91701283603094097</v>
      </c>
      <c r="AE355" s="687">
        <f t="shared" si="182"/>
        <v>-9.336831629562937</v>
      </c>
      <c r="AG355" s="686">
        <f t="shared" si="183"/>
        <v>45.701668093381841</v>
      </c>
      <c r="AH355" s="687">
        <f t="shared" si="184"/>
        <v>6.5000012655709893</v>
      </c>
      <c r="AJ355" s="170">
        <f t="shared" si="185"/>
        <v>0</v>
      </c>
      <c r="AK355" s="170">
        <f t="shared" si="197"/>
        <v>0</v>
      </c>
      <c r="AM355" s="170" t="str">
        <f t="shared" si="189"/>
        <v>1.34154189207731-0.939866552206349i</v>
      </c>
      <c r="AN355" s="170" t="str">
        <f t="shared" si="190"/>
        <v>4.3638320272261i</v>
      </c>
      <c r="AO355" s="170" t="str">
        <f t="shared" si="191"/>
        <v>-0.215376427493654-0.307422898889642i</v>
      </c>
      <c r="AP355" s="170" t="str">
        <f t="shared" si="192"/>
        <v>-0.056923648679552+0.156644425367725i</v>
      </c>
      <c r="AQ355" s="170" t="str">
        <f t="shared" si="193"/>
        <v>1.05692364867955-0.156644425367725i</v>
      </c>
      <c r="AR355" s="170" t="str">
        <f t="shared" si="194"/>
        <v>0.771196620085194+0.114297424936703i</v>
      </c>
    </row>
    <row r="356" spans="7:44">
      <c r="G356" s="688">
        <v>28023.5</v>
      </c>
      <c r="H356" s="676">
        <f t="shared" si="186"/>
        <v>28.023499999999999</v>
      </c>
      <c r="I356" s="677">
        <f t="shared" si="166"/>
        <v>24.674916256917228</v>
      </c>
      <c r="J356" s="678">
        <f t="shared" si="167"/>
        <v>1.5302582381731096</v>
      </c>
      <c r="K356" s="678">
        <f t="shared" si="168"/>
        <v>1.0007499926799679</v>
      </c>
      <c r="L356" s="679">
        <f t="shared" si="169"/>
        <v>3.8717547414919506E-2</v>
      </c>
      <c r="M356" s="678">
        <f t="shared" si="170"/>
        <v>1.101155373149949</v>
      </c>
      <c r="N356" s="679">
        <f t="shared" si="171"/>
        <v>-0.4319835998525256</v>
      </c>
      <c r="O356" s="677">
        <f t="shared" si="172"/>
        <v>2503812.7110799011</v>
      </c>
      <c r="P356" s="680">
        <f t="shared" si="173"/>
        <v>1.5707959274040015</v>
      </c>
      <c r="Q356" s="689">
        <f t="shared" si="195"/>
        <v>12.55893913927873</v>
      </c>
      <c r="R356" s="690">
        <f t="shared" si="196"/>
        <v>1.4910873885254099</v>
      </c>
      <c r="S356" s="677">
        <f t="shared" si="174"/>
        <v>1.0034767771725597</v>
      </c>
      <c r="T356" s="680">
        <f t="shared" si="175"/>
        <v>8.3267444444307337E-2</v>
      </c>
      <c r="U356" s="681">
        <f t="shared" si="187"/>
        <v>0.28938241023195549</v>
      </c>
      <c r="V356" s="682">
        <f t="shared" si="188"/>
        <v>-2.0455199334994596</v>
      </c>
      <c r="W356" s="683">
        <f t="shared" si="176"/>
        <v>-34.430760576293068</v>
      </c>
      <c r="X356" s="684">
        <f t="shared" si="177"/>
        <v>-236.74731901920933</v>
      </c>
      <c r="Y356" s="687">
        <f t="shared" si="178"/>
        <v>-56.747319019209328</v>
      </c>
      <c r="AA356" s="170">
        <f t="shared" si="179"/>
        <v>28023.5</v>
      </c>
      <c r="AB356" s="170">
        <f t="shared" si="180"/>
        <v>785316552.25</v>
      </c>
      <c r="AD356" s="686">
        <f t="shared" si="181"/>
        <v>-0.91767410529262516</v>
      </c>
      <c r="AE356" s="687">
        <f t="shared" si="182"/>
        <v>-9.3378360170666337</v>
      </c>
      <c r="AG356" s="686">
        <f t="shared" si="183"/>
        <v>45.757842852125414</v>
      </c>
      <c r="AH356" s="687">
        <f t="shared" si="184"/>
        <v>6.9898354644972525</v>
      </c>
      <c r="AJ356" s="170">
        <f t="shared" si="185"/>
        <v>0</v>
      </c>
      <c r="AK356" s="170">
        <f t="shared" si="197"/>
        <v>0</v>
      </c>
      <c r="AM356" s="170" t="str">
        <f t="shared" si="189"/>
        <v>1.31781095975777-0.948154098160128i</v>
      </c>
      <c r="AN356" s="170" t="str">
        <f t="shared" si="190"/>
        <v>4.38896912805407i</v>
      </c>
      <c r="AO356" s="170" t="str">
        <f t="shared" si="191"/>
        <v>-0.21603116141774-0.300255235639364i</v>
      </c>
      <c r="AP356" s="170" t="str">
        <f t="shared" si="192"/>
        <v>-0.0529684932929615+0.158025683026688i</v>
      </c>
      <c r="AQ356" s="170" t="str">
        <f t="shared" si="193"/>
        <v>1.05296849329296-0.158025683026688i</v>
      </c>
      <c r="AR356" s="170" t="str">
        <f t="shared" si="194"/>
        <v>0.773671458186685+0.11610979948304i</v>
      </c>
    </row>
    <row r="357" spans="7:44">
      <c r="G357" s="688">
        <v>28184</v>
      </c>
      <c r="H357" s="676">
        <f t="shared" si="186"/>
        <v>28.184000000000001</v>
      </c>
      <c r="I357" s="677">
        <f t="shared" si="166"/>
        <v>24.816006340901335</v>
      </c>
      <c r="J357" s="678">
        <f t="shared" si="167"/>
        <v>1.5304888405767314</v>
      </c>
      <c r="K357" s="678">
        <f t="shared" si="168"/>
        <v>1.0007586049362156</v>
      </c>
      <c r="L357" s="679">
        <f t="shared" si="169"/>
        <v>3.8939072371619254E-2</v>
      </c>
      <c r="M357" s="678">
        <f t="shared" si="170"/>
        <v>1.1022634620940479</v>
      </c>
      <c r="N357" s="679">
        <f t="shared" si="171"/>
        <v>-0.43415901702291376</v>
      </c>
      <c r="O357" s="677">
        <f t="shared" si="172"/>
        <v>2518152.8877219432</v>
      </c>
      <c r="P357" s="680">
        <f t="shared" si="173"/>
        <v>1.5707959296784209</v>
      </c>
      <c r="Q357" s="689">
        <f t="shared" si="195"/>
        <v>12.630413657063414</v>
      </c>
      <c r="R357" s="690">
        <f t="shared" si="196"/>
        <v>1.4915394047150092</v>
      </c>
      <c r="S357" s="677">
        <f t="shared" si="174"/>
        <v>1.003516646579496</v>
      </c>
      <c r="T357" s="680">
        <f t="shared" si="175"/>
        <v>8.3742124904991416E-2</v>
      </c>
      <c r="U357" s="681">
        <f t="shared" si="187"/>
        <v>0.28611822211121263</v>
      </c>
      <c r="V357" s="682">
        <f t="shared" si="188"/>
        <v>-2.0563361979663566</v>
      </c>
      <c r="W357" s="683">
        <f t="shared" si="176"/>
        <v>-34.57066377294786</v>
      </c>
      <c r="X357" s="684">
        <f t="shared" si="177"/>
        <v>-237.49350634344694</v>
      </c>
      <c r="Y357" s="687">
        <f t="shared" si="178"/>
        <v>-57.493506343446938</v>
      </c>
      <c r="AA357" s="170">
        <f t="shared" si="179"/>
        <v>28184</v>
      </c>
      <c r="AB357" s="170">
        <f t="shared" si="180"/>
        <v>794337856</v>
      </c>
      <c r="AD357" s="686">
        <f t="shared" si="181"/>
        <v>-0.91833192161019472</v>
      </c>
      <c r="AE357" s="687">
        <f t="shared" si="182"/>
        <v>-9.3391347144616432</v>
      </c>
      <c r="AG357" s="686">
        <f t="shared" si="183"/>
        <v>45.815661942090962</v>
      </c>
      <c r="AH357" s="687">
        <f t="shared" si="184"/>
        <v>7.4843994471719677</v>
      </c>
      <c r="AJ357" s="170">
        <f t="shared" si="185"/>
        <v>0</v>
      </c>
      <c r="AK357" s="170">
        <f t="shared" si="197"/>
        <v>0</v>
      </c>
      <c r="AM357" s="170" t="str">
        <f t="shared" si="189"/>
        <v>1.29387922158131-0.955842561891215i</v>
      </c>
      <c r="AN357" s="170" t="str">
        <f t="shared" si="190"/>
        <v>4.41410622888204i</v>
      </c>
      <c r="AO357" s="170" t="str">
        <f t="shared" si="191"/>
        <v>-0.216542718350777-0.293123716215822i</v>
      </c>
      <c r="AP357" s="170" t="str">
        <f t="shared" si="192"/>
        <v>-0.0489798702635522+0.159307093648536i</v>
      </c>
      <c r="AQ357" s="170" t="str">
        <f t="shared" si="193"/>
        <v>1.04897987026355-0.159307093648536i</v>
      </c>
      <c r="AR357" s="170" t="str">
        <f t="shared" si="194"/>
        <v>0.776202460805691+0.117880773138887i</v>
      </c>
    </row>
    <row r="358" spans="7:44">
      <c r="G358" s="688">
        <v>28348</v>
      </c>
      <c r="H358" s="676">
        <f t="shared" si="186"/>
        <v>28.347999999999999</v>
      </c>
      <c r="I358" s="677">
        <f t="shared" si="166"/>
        <v>24.960174503242627</v>
      </c>
      <c r="J358" s="678">
        <f t="shared" si="167"/>
        <v>1.5307217787746112</v>
      </c>
      <c r="K358" s="678">
        <f t="shared" si="168"/>
        <v>1.0007674557264201</v>
      </c>
      <c r="L358" s="679">
        <f t="shared" si="169"/>
        <v>3.9165424140867072E-2</v>
      </c>
      <c r="M358" s="678">
        <f t="shared" si="170"/>
        <v>1.1034010922815243</v>
      </c>
      <c r="N358" s="679">
        <f t="shared" si="171"/>
        <v>-0.43637734915426513</v>
      </c>
      <c r="O358" s="677">
        <f t="shared" si="172"/>
        <v>2532805.7784963655</v>
      </c>
      <c r="P358" s="680">
        <f t="shared" si="173"/>
        <v>1.5707959319758353</v>
      </c>
      <c r="Q358" s="689">
        <f t="shared" si="195"/>
        <v>12.703449444524491</v>
      </c>
      <c r="R358" s="690">
        <f t="shared" si="196"/>
        <v>1.4919960238361707</v>
      </c>
      <c r="S358" s="677">
        <f t="shared" si="174"/>
        <v>1.0035576189578883</v>
      </c>
      <c r="T358" s="680">
        <f t="shared" si="175"/>
        <v>8.4227117581950284E-2</v>
      </c>
      <c r="U358" s="681">
        <f t="shared" si="187"/>
        <v>0.2827744313168849</v>
      </c>
      <c r="V358" s="682">
        <f t="shared" si="188"/>
        <v>-2.0674681130702268</v>
      </c>
      <c r="W358" s="683">
        <f t="shared" si="176"/>
        <v>-34.714717835404521</v>
      </c>
      <c r="X358" s="684">
        <f t="shared" si="177"/>
        <v>-238.26042235754946</v>
      </c>
      <c r="Y358" s="687">
        <f t="shared" si="178"/>
        <v>-58.260422357549459</v>
      </c>
      <c r="AA358" s="170">
        <f t="shared" si="179"/>
        <v>28348</v>
      </c>
      <c r="AB358" s="170">
        <f t="shared" si="180"/>
        <v>803609104</v>
      </c>
      <c r="AD358" s="686">
        <f t="shared" si="181"/>
        <v>-0.91900064177457463</v>
      </c>
      <c r="AE358" s="687">
        <f t="shared" si="182"/>
        <v>-9.3407605310926201</v>
      </c>
      <c r="AG358" s="686">
        <f t="shared" si="183"/>
        <v>45.876491803552611</v>
      </c>
      <c r="AH358" s="687">
        <f t="shared" si="184"/>
        <v>7.9947327578574345</v>
      </c>
      <c r="AJ358" s="170">
        <f t="shared" si="185"/>
        <v>0</v>
      </c>
      <c r="AK358" s="170">
        <f t="shared" si="197"/>
        <v>0</v>
      </c>
      <c r="AM358" s="170" t="str">
        <f t="shared" si="189"/>
        <v>1.26923391893979-0.963074813756607i</v>
      </c>
      <c r="AN358" s="170" t="str">
        <f t="shared" si="190"/>
        <v>4.43979149078726i</v>
      </c>
      <c r="AO358" s="170" t="str">
        <f t="shared" si="191"/>
        <v>-0.216918928682805-0.285876920475545i</v>
      </c>
      <c r="AP358" s="170" t="str">
        <f t="shared" si="192"/>
        <v>-0.0448723198232983+0.160512468959434i</v>
      </c>
      <c r="AQ358" s="170" t="str">
        <f t="shared" si="193"/>
        <v>1.0448723198233-0.160512468959434i</v>
      </c>
      <c r="AR358" s="170" t="str">
        <f t="shared" si="194"/>
        <v>0.778846695906847+0.119645820574563i</v>
      </c>
    </row>
    <row r="359" spans="7:44">
      <c r="G359" s="688">
        <v>28512</v>
      </c>
      <c r="H359" s="676">
        <f t="shared" si="186"/>
        <v>28.512</v>
      </c>
      <c r="I359" s="677">
        <f t="shared" si="166"/>
        <v>25.104344004372695</v>
      </c>
      <c r="J359" s="678">
        <f t="shared" si="167"/>
        <v>1.5309520415448086</v>
      </c>
      <c r="K359" s="678">
        <f t="shared" si="168"/>
        <v>1.0007763577901603</v>
      </c>
      <c r="L359" s="679">
        <f t="shared" si="169"/>
        <v>3.9391771894842206E-2</v>
      </c>
      <c r="M359" s="678">
        <f t="shared" si="170"/>
        <v>1.1045441411024248</v>
      </c>
      <c r="N359" s="679">
        <f t="shared" si="171"/>
        <v>-0.43859110083327374</v>
      </c>
      <c r="O359" s="677">
        <f t="shared" si="172"/>
        <v>2547458.6692707883</v>
      </c>
      <c r="P359" s="680">
        <f t="shared" si="173"/>
        <v>1.5707959342468203</v>
      </c>
      <c r="Q359" s="689">
        <f t="shared" si="195"/>
        <v>12.776487850385468</v>
      </c>
      <c r="R359" s="690">
        <f t="shared" si="196"/>
        <v>1.4924474224088438</v>
      </c>
      <c r="S359" s="677">
        <f t="shared" si="174"/>
        <v>1.0035988273716865</v>
      </c>
      <c r="T359" s="680">
        <f t="shared" si="175"/>
        <v>8.4712070544748067E-2</v>
      </c>
      <c r="U359" s="681">
        <f t="shared" si="187"/>
        <v>0.27942144784227407</v>
      </c>
      <c r="V359" s="682">
        <f t="shared" si="188"/>
        <v>-2.0786824665213177</v>
      </c>
      <c r="W359" s="683">
        <f t="shared" si="176"/>
        <v>-34.859945785485735</v>
      </c>
      <c r="X359" s="684">
        <f t="shared" si="177"/>
        <v>-239.03194307820613</v>
      </c>
      <c r="Y359" s="687">
        <f t="shared" si="178"/>
        <v>-59.031943078206126</v>
      </c>
      <c r="AA359" s="170">
        <f t="shared" si="179"/>
        <v>28512</v>
      </c>
      <c r="AB359" s="170">
        <f t="shared" si="180"/>
        <v>812934144</v>
      </c>
      <c r="AD359" s="686">
        <f t="shared" si="181"/>
        <v>-0.91966600806976184</v>
      </c>
      <c r="AE359" s="687">
        <f t="shared" si="182"/>
        <v>-9.3426831861509605</v>
      </c>
      <c r="AG359" s="686">
        <f t="shared" si="183"/>
        <v>45.939145180025122</v>
      </c>
      <c r="AH359" s="687">
        <f t="shared" si="184"/>
        <v>8.5102049391584771</v>
      </c>
      <c r="AJ359" s="170">
        <f t="shared" si="185"/>
        <v>0</v>
      </c>
      <c r="AK359" s="170">
        <f t="shared" si="197"/>
        <v>0</v>
      </c>
      <c r="AM359" s="170" t="str">
        <f t="shared" si="189"/>
        <v>1.24441100364867-0.96967172862544i</v>
      </c>
      <c r="AN359" s="170" t="str">
        <f t="shared" si="190"/>
        <v>4.46547675269248i</v>
      </c>
      <c r="AO359" s="170" t="str">
        <f t="shared" si="191"/>
        <v>-0.21714853358956-0.278673716730996i</v>
      </c>
      <c r="AP359" s="170" t="str">
        <f t="shared" si="192"/>
        <v>-0.0407351672747785+0.161611954770907i</v>
      </c>
      <c r="AQ359" s="170" t="str">
        <f t="shared" si="193"/>
        <v>1.04073516727478-0.161611954770907i</v>
      </c>
      <c r="AR359" s="170" t="str">
        <f t="shared" si="194"/>
        <v>0.78154957822823+0.121363973332991i</v>
      </c>
    </row>
    <row r="360" spans="7:44">
      <c r="G360" s="688">
        <v>28676</v>
      </c>
      <c r="H360" s="676">
        <f t="shared" si="186"/>
        <v>28.675999999999998</v>
      </c>
      <c r="I360" s="677">
        <f t="shared" si="166"/>
        <v>25.248514821358011</v>
      </c>
      <c r="J360" s="678">
        <f t="shared" si="167"/>
        <v>1.5311796746933415</v>
      </c>
      <c r="K360" s="678">
        <f t="shared" si="168"/>
        <v>1.0007853111260681</v>
      </c>
      <c r="L360" s="679">
        <f t="shared" si="169"/>
        <v>3.9618115610459033E-2</v>
      </c>
      <c r="M360" s="678">
        <f t="shared" si="170"/>
        <v>1.1056925917516376</v>
      </c>
      <c r="N360" s="679">
        <f t="shared" si="171"/>
        <v>-0.44080026460141236</v>
      </c>
      <c r="O360" s="677">
        <f t="shared" si="172"/>
        <v>2562111.5600452116</v>
      </c>
      <c r="P360" s="680">
        <f t="shared" si="173"/>
        <v>1.5707959364918296</v>
      </c>
      <c r="Q360" s="689">
        <f t="shared" si="195"/>
        <v>12.849528829996364</v>
      </c>
      <c r="R360" s="690">
        <f t="shared" si="196"/>
        <v>1.4928936892734694</v>
      </c>
      <c r="S360" s="677">
        <f t="shared" si="174"/>
        <v>1.0036402717918167</v>
      </c>
      <c r="T360" s="680">
        <f t="shared" si="175"/>
        <v>8.5196983570188831E-2</v>
      </c>
      <c r="U360" s="681">
        <f t="shared" si="187"/>
        <v>0.27605858726052029</v>
      </c>
      <c r="V360" s="682">
        <f t="shared" si="188"/>
        <v>-2.0899810658065152</v>
      </c>
      <c r="W360" s="683">
        <f t="shared" si="176"/>
        <v>-35.006412484825432</v>
      </c>
      <c r="X360" s="684">
        <f t="shared" si="177"/>
        <v>-239.8081691623147</v>
      </c>
      <c r="Y360" s="687">
        <f t="shared" si="178"/>
        <v>-59.808169162314698</v>
      </c>
      <c r="AA360" s="170">
        <f t="shared" si="179"/>
        <v>28676</v>
      </c>
      <c r="AB360" s="170">
        <f t="shared" si="180"/>
        <v>822312976</v>
      </c>
      <c r="AD360" s="686">
        <f t="shared" si="181"/>
        <v>-0.92032814214331082</v>
      </c>
      <c r="AE360" s="687">
        <f t="shared" si="182"/>
        <v>-9.3448975766921354</v>
      </c>
      <c r="AG360" s="686">
        <f t="shared" si="183"/>
        <v>46.003679715290737</v>
      </c>
      <c r="AH360" s="687">
        <f t="shared" si="184"/>
        <v>9.0309173539732051</v>
      </c>
      <c r="AJ360" s="170">
        <f t="shared" si="185"/>
        <v>0</v>
      </c>
      <c r="AK360" s="170">
        <f t="shared" si="197"/>
        <v>0</v>
      </c>
      <c r="AM360" s="170" t="str">
        <f t="shared" si="189"/>
        <v>1.21942685129605-0.975628954536662i</v>
      </c>
      <c r="AN360" s="170" t="str">
        <f t="shared" si="190"/>
        <v>4.49116201459769i</v>
      </c>
      <c r="AO360" s="170" t="str">
        <f t="shared" si="191"/>
        <v>-0.217233079404742-0.271517003246048i</v>
      </c>
      <c r="AP360" s="170" t="str">
        <f t="shared" si="192"/>
        <v>-0.0365711418826753+0.16260482575611i</v>
      </c>
      <c r="AQ360" s="170" t="str">
        <f t="shared" si="193"/>
        <v>1.03657114188268-0.16260482575611i</v>
      </c>
      <c r="AR360" s="170" t="str">
        <f t="shared" si="194"/>
        <v>0.784311042509274+0.123033292412696i</v>
      </c>
    </row>
    <row r="361" spans="7:44">
      <c r="G361" s="688">
        <v>28840</v>
      </c>
      <c r="H361" s="676">
        <f t="shared" si="186"/>
        <v>28.84</v>
      </c>
      <c r="I361" s="677">
        <f t="shared" si="166"/>
        <v>25.392686931785679</v>
      </c>
      <c r="J361" s="678">
        <f t="shared" si="167"/>
        <v>1.5314047229870416</v>
      </c>
      <c r="K361" s="678">
        <f t="shared" si="168"/>
        <v>1.0007943157327672</v>
      </c>
      <c r="L361" s="679">
        <f t="shared" si="169"/>
        <v>3.9844455264634406E-2</v>
      </c>
      <c r="M361" s="678">
        <f t="shared" si="170"/>
        <v>1.1068464274145449</v>
      </c>
      <c r="N361" s="679">
        <f t="shared" si="171"/>
        <v>-0.44300483321016226</v>
      </c>
      <c r="O361" s="677">
        <f t="shared" si="172"/>
        <v>2576764.4508196344</v>
      </c>
      <c r="P361" s="680">
        <f t="shared" si="173"/>
        <v>1.5707959387113062</v>
      </c>
      <c r="Q361" s="689">
        <f t="shared" si="195"/>
        <v>12.922572339715122</v>
      </c>
      <c r="R361" s="690">
        <f t="shared" si="196"/>
        <v>1.4933349112701257</v>
      </c>
      <c r="S361" s="677">
        <f t="shared" si="174"/>
        <v>1.0036819521890425</v>
      </c>
      <c r="T361" s="680">
        <f t="shared" si="175"/>
        <v>8.5681856435188594E-2</v>
      </c>
      <c r="U361" s="681">
        <f t="shared" si="187"/>
        <v>0.27268516708340812</v>
      </c>
      <c r="V361" s="682">
        <f t="shared" si="188"/>
        <v>-2.1013657156197354</v>
      </c>
      <c r="W361" s="683">
        <f t="shared" si="176"/>
        <v>-35.154185349450188</v>
      </c>
      <c r="X361" s="684">
        <f t="shared" si="177"/>
        <v>-240.58920117385719</v>
      </c>
      <c r="Y361" s="687">
        <f t="shared" si="178"/>
        <v>-60.589201173857191</v>
      </c>
      <c r="AA361" s="170">
        <f t="shared" si="179"/>
        <v>28840</v>
      </c>
      <c r="AB361" s="170">
        <f t="shared" si="180"/>
        <v>831745600</v>
      </c>
      <c r="AD361" s="686">
        <f t="shared" si="181"/>
        <v>-0.92098716219773624</v>
      </c>
      <c r="AE361" s="687">
        <f t="shared" si="182"/>
        <v>-9.3473987143897972</v>
      </c>
      <c r="AG361" s="686">
        <f t="shared" si="183"/>
        <v>46.070155723948638</v>
      </c>
      <c r="AH361" s="687">
        <f t="shared" si="184"/>
        <v>9.5569712526828958</v>
      </c>
      <c r="AJ361" s="170">
        <f t="shared" si="185"/>
        <v>0</v>
      </c>
      <c r="AK361" s="170">
        <f t="shared" si="197"/>
        <v>0</v>
      </c>
      <c r="AM361" s="170" t="str">
        <f t="shared" si="189"/>
        <v>1.19429794383751-0.980942561529734i</v>
      </c>
      <c r="AN361" s="170" t="str">
        <f t="shared" si="190"/>
        <v>4.51684727650291i</v>
      </c>
      <c r="AO361" s="170" t="str">
        <f t="shared" si="191"/>
        <v>-0.217174170716972-0.264409635909181i</v>
      </c>
      <c r="AP361" s="170" t="str">
        <f t="shared" si="192"/>
        <v>-0.0323829906395853+0.163490426921622i</v>
      </c>
      <c r="AQ361" s="170" t="str">
        <f t="shared" si="193"/>
        <v>1.03238299063959-0.163490426921622i</v>
      </c>
      <c r="AR361" s="170" t="str">
        <f t="shared" si="194"/>
        <v>0.787130972168177+0.124651781218597i</v>
      </c>
    </row>
    <row r="362" spans="7:44">
      <c r="G362" s="688">
        <v>29008</v>
      </c>
      <c r="H362" s="676">
        <f t="shared" si="186"/>
        <v>29.007999999999999</v>
      </c>
      <c r="I362" s="677">
        <f t="shared" si="166"/>
        <v>25.540376753402263</v>
      </c>
      <c r="J362" s="678">
        <f t="shared" si="167"/>
        <v>1.5316326258053659</v>
      </c>
      <c r="K362" s="678">
        <f t="shared" si="168"/>
        <v>1.0008035931243751</v>
      </c>
      <c r="L362" s="679">
        <f t="shared" si="169"/>
        <v>4.0076311162814605E-2</v>
      </c>
      <c r="M362" s="678">
        <f t="shared" si="170"/>
        <v>1.1080339714531993</v>
      </c>
      <c r="N362" s="679">
        <f t="shared" si="171"/>
        <v>-0.44525839978581105</v>
      </c>
      <c r="O362" s="677">
        <f t="shared" si="172"/>
        <v>2591774.729173921</v>
      </c>
      <c r="P362" s="680">
        <f t="shared" si="173"/>
        <v>1.5707959409588945</v>
      </c>
      <c r="Q362" s="689">
        <f t="shared" si="195"/>
        <v>12.997399977287337</v>
      </c>
      <c r="R362" s="690">
        <f t="shared" si="196"/>
        <v>1.4937817525723556</v>
      </c>
      <c r="S362" s="677">
        <f t="shared" si="174"/>
        <v>1.0037248938311862</v>
      </c>
      <c r="T362" s="680">
        <f t="shared" si="175"/>
        <v>8.6178513592882269E-2</v>
      </c>
      <c r="U362" s="681">
        <f t="shared" si="187"/>
        <v>0.26921780865544814</v>
      </c>
      <c r="V362" s="682">
        <f t="shared" si="188"/>
        <v>-2.1131191459231871</v>
      </c>
      <c r="W362" s="683">
        <f t="shared" si="176"/>
        <v>-35.306990074486549</v>
      </c>
      <c r="X362" s="684">
        <f t="shared" si="177"/>
        <v>-241.39437085185901</v>
      </c>
      <c r="Y362" s="687">
        <f t="shared" si="178"/>
        <v>-61.394370851859009</v>
      </c>
      <c r="AA362" s="170">
        <f t="shared" si="179"/>
        <v>29008</v>
      </c>
      <c r="AB362" s="170">
        <f t="shared" si="180"/>
        <v>841464064</v>
      </c>
      <c r="AD362" s="686">
        <f t="shared" si="181"/>
        <v>-0.92165914709687546</v>
      </c>
      <c r="AE362" s="687">
        <f t="shared" si="182"/>
        <v>-9.350253081441295</v>
      </c>
      <c r="AG362" s="686">
        <f t="shared" si="183"/>
        <v>46.140332179394221</v>
      </c>
      <c r="AH362" s="687">
        <f t="shared" si="184"/>
        <v>10.101499845649453</v>
      </c>
      <c r="AJ362" s="170">
        <f t="shared" si="185"/>
        <v>0</v>
      </c>
      <c r="AK362" s="170">
        <f t="shared" si="197"/>
        <v>0</v>
      </c>
      <c r="AM362" s="170" t="str">
        <f t="shared" si="189"/>
        <v>1.16842337128885-0.985714749815431i</v>
      </c>
      <c r="AN362" s="170" t="str">
        <f t="shared" si="190"/>
        <v>4.5431590082107i</v>
      </c>
      <c r="AO362" s="170" t="str">
        <f t="shared" si="191"/>
        <v>-0.216966817149473-0.257183023789658i</v>
      </c>
      <c r="AP362" s="170" t="str">
        <f t="shared" si="192"/>
        <v>-0.0280705618814757+0.164285791635905i</v>
      </c>
      <c r="AQ362" s="170" t="str">
        <f t="shared" si="193"/>
        <v>1.02807056188148-0.164285791635905i</v>
      </c>
      <c r="AR362" s="170" t="str">
        <f t="shared" si="194"/>
        <v>0.790080122073678+0.126254892536871i</v>
      </c>
    </row>
    <row r="363" spans="7:44">
      <c r="G363" s="688">
        <v>29176</v>
      </c>
      <c r="H363" s="676">
        <f t="shared" si="186"/>
        <v>29.175999999999998</v>
      </c>
      <c r="I363" s="677">
        <f t="shared" si="166"/>
        <v>25.688067886324465</v>
      </c>
      <c r="J363" s="678">
        <f t="shared" si="167"/>
        <v>1.5318579080235943</v>
      </c>
      <c r="K363" s="678">
        <f t="shared" si="168"/>
        <v>1.0008129243153405</v>
      </c>
      <c r="L363" s="679">
        <f t="shared" si="169"/>
        <v>4.0308162749989614E-2</v>
      </c>
      <c r="M363" s="678">
        <f t="shared" si="170"/>
        <v>1.109227130645712</v>
      </c>
      <c r="N363" s="679">
        <f t="shared" si="171"/>
        <v>-0.4475071295862556</v>
      </c>
      <c r="O363" s="677">
        <f t="shared" si="172"/>
        <v>2606785.0075282082</v>
      </c>
      <c r="P363" s="680">
        <f t="shared" si="173"/>
        <v>1.5707959431805989</v>
      </c>
      <c r="Q363" s="689">
        <f t="shared" si="195"/>
        <v>13.072230180302864</v>
      </c>
      <c r="R363" s="690">
        <f t="shared" si="196"/>
        <v>1.4942234781974721</v>
      </c>
      <c r="S363" s="677">
        <f t="shared" si="174"/>
        <v>1.0037680830392564</v>
      </c>
      <c r="T363" s="680">
        <f t="shared" si="175"/>
        <v>8.6675128133653287E-2</v>
      </c>
      <c r="U363" s="681">
        <f t="shared" si="187"/>
        <v>0.26573792868630325</v>
      </c>
      <c r="V363" s="682">
        <f t="shared" si="188"/>
        <v>-2.1249666930750921</v>
      </c>
      <c r="W363" s="683">
        <f t="shared" si="176"/>
        <v>-35.461317498558884</v>
      </c>
      <c r="X363" s="684">
        <f t="shared" si="177"/>
        <v>-242.20479666239086</v>
      </c>
      <c r="Y363" s="687">
        <f t="shared" si="178"/>
        <v>-62.204796662390862</v>
      </c>
      <c r="AA363" s="170">
        <f t="shared" si="179"/>
        <v>29176</v>
      </c>
      <c r="AB363" s="170">
        <f t="shared" si="180"/>
        <v>851238976</v>
      </c>
      <c r="AD363" s="686">
        <f t="shared" si="181"/>
        <v>-0.92232810473713744</v>
      </c>
      <c r="AE363" s="687">
        <f t="shared" si="182"/>
        <v>-9.3533981119482199</v>
      </c>
      <c r="AG363" s="686">
        <f t="shared" si="183"/>
        <v>46.212683287966627</v>
      </c>
      <c r="AH363" s="687">
        <f t="shared" si="184"/>
        <v>10.651847965948646</v>
      </c>
      <c r="AJ363" s="170">
        <f t="shared" si="185"/>
        <v>0</v>
      </c>
      <c r="AK363" s="170">
        <f t="shared" si="197"/>
        <v>0</v>
      </c>
      <c r="AM363" s="170" t="str">
        <f t="shared" si="189"/>
        <v>1.14243220475013-0.989804560026886i</v>
      </c>
      <c r="AN363" s="170" t="str">
        <f t="shared" si="190"/>
        <v>4.56947073991848i</v>
      </c>
      <c r="AO363" s="170" t="str">
        <f t="shared" si="191"/>
        <v>-0.216612517371004-0.250014119746943i</v>
      </c>
      <c r="AP363" s="170" t="str">
        <f t="shared" si="192"/>
        <v>-0.0237387007916885+0.164967426671148i</v>
      </c>
      <c r="AQ363" s="170" t="str">
        <f t="shared" si="193"/>
        <v>1.02373870079169-0.164967426671148i</v>
      </c>
      <c r="AR363" s="170" t="str">
        <f t="shared" si="194"/>
        <v>0.79309019303319+0.127800236683082i</v>
      </c>
    </row>
    <row r="364" spans="7:44">
      <c r="G364" s="688">
        <v>29344</v>
      </c>
      <c r="H364" s="676">
        <f t="shared" si="186"/>
        <v>29.344000000000001</v>
      </c>
      <c r="I364" s="677">
        <f t="shared" si="166"/>
        <v>25.835760308063875</v>
      </c>
      <c r="J364" s="678">
        <f t="shared" si="167"/>
        <v>1.5320806145613421</v>
      </c>
      <c r="K364" s="678">
        <f t="shared" si="168"/>
        <v>1.0008223093041584</v>
      </c>
      <c r="L364" s="679">
        <f t="shared" si="169"/>
        <v>4.0540010001353932E-2</v>
      </c>
      <c r="M364" s="678">
        <f t="shared" si="170"/>
        <v>1.1104258868915351</v>
      </c>
      <c r="N364" s="679">
        <f t="shared" si="171"/>
        <v>-0.44975101549695751</v>
      </c>
      <c r="O364" s="677">
        <f t="shared" si="172"/>
        <v>2621795.2858824953</v>
      </c>
      <c r="P364" s="680">
        <f t="shared" si="173"/>
        <v>1.5707959453768638</v>
      </c>
      <c r="Q364" s="689">
        <f t="shared" si="195"/>
        <v>13.147062904955877</v>
      </c>
      <c r="R364" s="690">
        <f t="shared" si="196"/>
        <v>1.4946601753264914</v>
      </c>
      <c r="S364" s="677">
        <f t="shared" si="174"/>
        <v>1.0038115197812976</v>
      </c>
      <c r="T364" s="680">
        <f t="shared" si="175"/>
        <v>8.7171699818062207E-2</v>
      </c>
      <c r="U364" s="681">
        <f t="shared" si="187"/>
        <v>0.26224480466341477</v>
      </c>
      <c r="V364" s="682">
        <f t="shared" si="188"/>
        <v>-2.1369102764908012</v>
      </c>
      <c r="W364" s="683">
        <f t="shared" si="176"/>
        <v>-35.617249386210233</v>
      </c>
      <c r="X364" s="684">
        <f t="shared" si="177"/>
        <v>-243.02058573854652</v>
      </c>
      <c r="Y364" s="687">
        <f t="shared" si="178"/>
        <v>-63.020585738546515</v>
      </c>
      <c r="AA364" s="170">
        <f t="shared" si="179"/>
        <v>29344</v>
      </c>
      <c r="AB364" s="170">
        <f t="shared" si="180"/>
        <v>861070336</v>
      </c>
      <c r="AD364" s="686">
        <f t="shared" si="181"/>
        <v>-0.92299415167998056</v>
      </c>
      <c r="AE364" s="687">
        <f t="shared" si="182"/>
        <v>-9.3568287971129038</v>
      </c>
      <c r="AG364" s="686">
        <f t="shared" si="183"/>
        <v>46.28728354352117</v>
      </c>
      <c r="AH364" s="687">
        <f t="shared" si="184"/>
        <v>11.208123420486736</v>
      </c>
      <c r="AJ364" s="170">
        <f t="shared" si="185"/>
        <v>0</v>
      </c>
      <c r="AK364" s="170">
        <f t="shared" si="197"/>
        <v>0</v>
      </c>
      <c r="AM364" s="170" t="str">
        <f t="shared" si="189"/>
        <v>1.11634243705564-0.993209160922287i</v>
      </c>
      <c r="AN364" s="170" t="str">
        <f t="shared" si="190"/>
        <v>4.59578247162626i</v>
      </c>
      <c r="AO364" s="170" t="str">
        <f t="shared" si="191"/>
        <v>-0.216113179214688-0.242905847687045i</v>
      </c>
      <c r="AP364" s="170" t="str">
        <f t="shared" si="192"/>
        <v>-0.0193904061759405+0.165534860153714i</v>
      </c>
      <c r="AQ364" s="170" t="str">
        <f t="shared" si="193"/>
        <v>1.01939040617594-0.165534860153714i</v>
      </c>
      <c r="AR364" s="170" t="str">
        <f t="shared" si="194"/>
        <v>0.796160863737762+0.129285479282747i</v>
      </c>
    </row>
    <row r="365" spans="7:44">
      <c r="G365" s="688">
        <v>29512</v>
      </c>
      <c r="H365" s="676">
        <f t="shared" si="186"/>
        <v>29.512</v>
      </c>
      <c r="I365" s="677">
        <f t="shared" si="166"/>
        <v>25.983453996643235</v>
      </c>
      <c r="J365" s="678">
        <f t="shared" si="167"/>
        <v>1.5323007893179414</v>
      </c>
      <c r="K365" s="678">
        <f t="shared" si="168"/>
        <v>1.0008317480893152</v>
      </c>
      <c r="L365" s="679">
        <f t="shared" si="169"/>
        <v>4.0771852892104846E-2</v>
      </c>
      <c r="M365" s="678">
        <f t="shared" si="170"/>
        <v>1.1116302220834715</v>
      </c>
      <c r="N365" s="679">
        <f t="shared" si="171"/>
        <v>-0.45199005062910647</v>
      </c>
      <c r="O365" s="677">
        <f t="shared" si="172"/>
        <v>2636805.564236782</v>
      </c>
      <c r="P365" s="680">
        <f t="shared" si="173"/>
        <v>1.5707959475481241</v>
      </c>
      <c r="Q365" s="689">
        <f t="shared" si="195"/>
        <v>13.221898108430816</v>
      </c>
      <c r="R365" s="690">
        <f t="shared" si="196"/>
        <v>1.4950919291744427</v>
      </c>
      <c r="S365" s="677">
        <f t="shared" si="174"/>
        <v>1.0038552040251782</v>
      </c>
      <c r="T365" s="680">
        <f t="shared" si="175"/>
        <v>8.7668228406795459E-2</v>
      </c>
      <c r="U365" s="681">
        <f t="shared" si="187"/>
        <v>0.2587377197016002</v>
      </c>
      <c r="V365" s="682">
        <f t="shared" si="188"/>
        <v>-2.1489518042437887</v>
      </c>
      <c r="W365" s="683">
        <f t="shared" si="176"/>
        <v>-35.774870998415992</v>
      </c>
      <c r="X365" s="684">
        <f t="shared" si="177"/>
        <v>-243.84184463070272</v>
      </c>
      <c r="Y365" s="687">
        <f t="shared" si="178"/>
        <v>-63.841844630702724</v>
      </c>
      <c r="AA365" s="170">
        <f t="shared" si="179"/>
        <v>29512</v>
      </c>
      <c r="AB365" s="170">
        <f t="shared" si="180"/>
        <v>870958144</v>
      </c>
      <c r="AD365" s="686">
        <f t="shared" si="181"/>
        <v>-0.92365740117911543</v>
      </c>
      <c r="AE365" s="687">
        <f t="shared" si="182"/>
        <v>-9.3605402407870599</v>
      </c>
      <c r="AG365" s="686">
        <f t="shared" si="183"/>
        <v>46.364211053394477</v>
      </c>
      <c r="AH365" s="687">
        <f t="shared" si="184"/>
        <v>11.770433411853128</v>
      </c>
      <c r="AJ365" s="170">
        <f t="shared" si="185"/>
        <v>0</v>
      </c>
      <c r="AK365" s="170">
        <f t="shared" si="197"/>
        <v>0</v>
      </c>
      <c r="AM365" s="170" t="str">
        <f t="shared" si="189"/>
        <v>1.09017212929804-0.995926195607816i</v>
      </c>
      <c r="AN365" s="170" t="str">
        <f t="shared" si="190"/>
        <v>4.62209420333405i</v>
      </c>
      <c r="AO365" s="170" t="str">
        <f t="shared" si="191"/>
        <v>-0.215470769697733-0.235861079705314i</v>
      </c>
      <c r="AP365" s="170" t="str">
        <f t="shared" si="192"/>
        <v>-0.0150286882163404+0.165987699267969i</v>
      </c>
      <c r="AQ365" s="170" t="str">
        <f t="shared" si="193"/>
        <v>1.01502868821634-0.165987699267969i</v>
      </c>
      <c r="AR365" s="170" t="str">
        <f t="shared" si="194"/>
        <v>0.799291736447619+0.130708223242418i</v>
      </c>
    </row>
    <row r="366" spans="7:44">
      <c r="G366" s="688">
        <v>29684</v>
      </c>
      <c r="H366" s="676">
        <f t="shared" si="186"/>
        <v>29.684000000000001</v>
      </c>
      <c r="I366" s="677">
        <f t="shared" si="166"/>
        <v>26.134665491633182</v>
      </c>
      <c r="J366" s="678">
        <f t="shared" si="167"/>
        <v>1.5325236282103205</v>
      </c>
      <c r="K366" s="678">
        <f t="shared" si="168"/>
        <v>1.000841467338748</v>
      </c>
      <c r="L366" s="679">
        <f t="shared" si="169"/>
        <v>4.1009211308201038E-2</v>
      </c>
      <c r="M366" s="678">
        <f t="shared" si="170"/>
        <v>1.1128689927844739</v>
      </c>
      <c r="N366" s="679">
        <f t="shared" si="171"/>
        <v>-0.45427736376813216</v>
      </c>
      <c r="O366" s="677">
        <f t="shared" si="172"/>
        <v>2652173.2301709331</v>
      </c>
      <c r="P366" s="680">
        <f t="shared" si="173"/>
        <v>1.5707959497456192</v>
      </c>
      <c r="Q366" s="689">
        <f t="shared" si="195"/>
        <v>13.298517626820596</v>
      </c>
      <c r="R366" s="690">
        <f t="shared" si="196"/>
        <v>1.4955289286240716</v>
      </c>
      <c r="S366" s="677">
        <f t="shared" si="174"/>
        <v>1.0039001847477083</v>
      </c>
      <c r="T366" s="680">
        <f t="shared" si="175"/>
        <v>8.8176534207998938E-2</v>
      </c>
      <c r="U366" s="681">
        <f t="shared" si="187"/>
        <v>0.25513192767416565</v>
      </c>
      <c r="V366" s="682">
        <f t="shared" si="188"/>
        <v>-2.1613834830436627</v>
      </c>
      <c r="W366" s="683">
        <f t="shared" si="176"/>
        <v>-35.938088975957228</v>
      </c>
      <c r="X366" s="684">
        <f t="shared" si="177"/>
        <v>-244.68843451993146</v>
      </c>
      <c r="Y366" s="687">
        <f t="shared" si="178"/>
        <v>-64.688434519931462</v>
      </c>
      <c r="AA366" s="170">
        <f t="shared" si="179"/>
        <v>29684</v>
      </c>
      <c r="AB366" s="170">
        <f t="shared" si="180"/>
        <v>881139856</v>
      </c>
      <c r="AD366" s="686">
        <f t="shared" si="181"/>
        <v>-0.92433365909217458</v>
      </c>
      <c r="AE366" s="687">
        <f t="shared" si="182"/>
        <v>-9.364625919696616</v>
      </c>
      <c r="AG366" s="686">
        <f t="shared" si="183"/>
        <v>46.445466770054232</v>
      </c>
      <c r="AH366" s="687">
        <f t="shared" si="184"/>
        <v>12.35249465815181</v>
      </c>
      <c r="AJ366" s="170">
        <f t="shared" si="185"/>
        <v>0</v>
      </c>
      <c r="AK366" s="170">
        <f t="shared" si="197"/>
        <v>0</v>
      </c>
      <c r="AM366" s="170" t="str">
        <f t="shared" si="189"/>
        <v>1.06331419790967-0.997993643438201i</v>
      </c>
      <c r="AN366" s="170" t="str">
        <f t="shared" si="190"/>
        <v>4.6490324048444i</v>
      </c>
      <c r="AO366" s="170" t="str">
        <f t="shared" si="191"/>
        <v>-0.214666957881014-0.228717312617927i</v>
      </c>
      <c r="AP366" s="170" t="str">
        <f t="shared" si="192"/>
        <v>-0.010552366318279+0.166332273906367i</v>
      </c>
      <c r="AQ366" s="170" t="str">
        <f t="shared" si="193"/>
        <v>1.01055236631828-0.166332273906367i</v>
      </c>
      <c r="AR366" s="170" t="str">
        <f t="shared" si="194"/>
        <v>0.802559021420423+0.132097525498133i</v>
      </c>
    </row>
    <row r="367" spans="7:44">
      <c r="G367" s="688">
        <v>29856</v>
      </c>
      <c r="H367" s="676">
        <f t="shared" si="186"/>
        <v>29.856000000000002</v>
      </c>
      <c r="I367" s="677">
        <f t="shared" si="166"/>
        <v>26.285878269465591</v>
      </c>
      <c r="J367" s="678">
        <f t="shared" si="167"/>
        <v>1.5327439032967507</v>
      </c>
      <c r="K367" s="678">
        <f t="shared" si="168"/>
        <v>1.0008512429735088</v>
      </c>
      <c r="L367" s="679">
        <f t="shared" si="169"/>
        <v>4.1246565100957887E-2</v>
      </c>
      <c r="M367" s="678">
        <f t="shared" si="170"/>
        <v>1.1141135728297555</v>
      </c>
      <c r="N367" s="679">
        <f t="shared" si="171"/>
        <v>-0.45655957849457041</v>
      </c>
      <c r="O367" s="677">
        <f t="shared" si="172"/>
        <v>2667540.8961050841</v>
      </c>
      <c r="P367" s="680">
        <f t="shared" si="173"/>
        <v>1.5707959519177948</v>
      </c>
      <c r="Q367" s="689">
        <f t="shared" si="195"/>
        <v>13.375139655712118</v>
      </c>
      <c r="R367" s="690">
        <f t="shared" si="196"/>
        <v>1.4959609212866509</v>
      </c>
      <c r="S367" s="677">
        <f t="shared" si="174"/>
        <v>1.0039454248294533</v>
      </c>
      <c r="T367" s="680">
        <f t="shared" si="175"/>
        <v>8.8684794329665445E-2</v>
      </c>
      <c r="U367" s="681">
        <f t="shared" si="187"/>
        <v>0.25151000403276003</v>
      </c>
      <c r="V367" s="682">
        <f t="shared" si="188"/>
        <v>-2.1739218259578088</v>
      </c>
      <c r="W367" s="683">
        <f t="shared" si="176"/>
        <v>-36.103271089310589</v>
      </c>
      <c r="X367" s="684">
        <f t="shared" si="177"/>
        <v>-245.54098131392573</v>
      </c>
      <c r="Y367" s="687">
        <f t="shared" si="178"/>
        <v>-65.540981313925727</v>
      </c>
      <c r="AA367" s="170">
        <f t="shared" si="179"/>
        <v>29856</v>
      </c>
      <c r="AB367" s="170">
        <f t="shared" si="180"/>
        <v>891380736</v>
      </c>
      <c r="AD367" s="686">
        <f t="shared" si="181"/>
        <v>-0.92500721486455884</v>
      </c>
      <c r="AE367" s="687">
        <f t="shared" si="182"/>
        <v>-9.3689958476779758</v>
      </c>
      <c r="AG367" s="686">
        <f t="shared" si="183"/>
        <v>46.529340061704893</v>
      </c>
      <c r="AH367" s="687">
        <f t="shared" si="184"/>
        <v>12.941106055917274</v>
      </c>
      <c r="AJ367" s="170">
        <f t="shared" si="185"/>
        <v>0</v>
      </c>
      <c r="AK367" s="170">
        <f t="shared" si="197"/>
        <v>0</v>
      </c>
      <c r="AM367" s="170" t="str">
        <f t="shared" si="189"/>
        <v>1.03641032429454-0.999336924307696i</v>
      </c>
      <c r="AN367" s="170" t="str">
        <f t="shared" si="190"/>
        <v>4.67597060635475i</v>
      </c>
      <c r="AO367" s="170" t="str">
        <f t="shared" si="191"/>
        <v>-0.213717537691442-0.221646030641432i</v>
      </c>
      <c r="AP367" s="170" t="str">
        <f t="shared" si="192"/>
        <v>-0.00606838738242273+0.166556154051283i</v>
      </c>
      <c r="AQ367" s="170" t="str">
        <f t="shared" si="193"/>
        <v>1.00606838738242-0.166556154051283i</v>
      </c>
      <c r="AR367" s="170" t="str">
        <f t="shared" si="194"/>
        <v>0.805888295957096+0.133416034986233i</v>
      </c>
    </row>
    <row r="368" spans="7:44">
      <c r="G368" s="688">
        <v>30028</v>
      </c>
      <c r="H368" s="676">
        <f t="shared" si="186"/>
        <v>30.027999999999999</v>
      </c>
      <c r="I368" s="677">
        <f t="shared" si="166"/>
        <v>26.437092308127962</v>
      </c>
      <c r="J368" s="678">
        <f t="shared" si="167"/>
        <v>1.5329616585487973</v>
      </c>
      <c r="K368" s="678">
        <f t="shared" si="168"/>
        <v>1.0008610749919455</v>
      </c>
      <c r="L368" s="679">
        <f t="shared" si="169"/>
        <v>4.1483914243767746E-2</v>
      </c>
      <c r="M368" s="678">
        <f t="shared" si="170"/>
        <v>1.1153639427722273</v>
      </c>
      <c r="N368" s="679">
        <f t="shared" si="171"/>
        <v>-0.45883668814163669</v>
      </c>
      <c r="O368" s="677">
        <f t="shared" si="172"/>
        <v>2682908.5620392347</v>
      </c>
      <c r="P368" s="680">
        <f t="shared" si="173"/>
        <v>1.570795954065086</v>
      </c>
      <c r="Q368" s="689">
        <f t="shared" si="195"/>
        <v>13.451764152205497</v>
      </c>
      <c r="R368" s="690">
        <f t="shared" si="196"/>
        <v>1.4963879925591563</v>
      </c>
      <c r="S368" s="677">
        <f t="shared" si="174"/>
        <v>1.0039909242353531</v>
      </c>
      <c r="T368" s="680">
        <f t="shared" si="175"/>
        <v>8.9193008515391817E-2</v>
      </c>
      <c r="U368" s="681">
        <f t="shared" si="187"/>
        <v>0.24787120522906655</v>
      </c>
      <c r="V368" s="682">
        <f t="shared" si="188"/>
        <v>-2.1865688264081635</v>
      </c>
      <c r="W368" s="683">
        <f t="shared" si="176"/>
        <v>-36.270521633895918</v>
      </c>
      <c r="X368" s="684">
        <f t="shared" si="177"/>
        <v>-246.39959645872835</v>
      </c>
      <c r="Y368" s="687">
        <f t="shared" si="178"/>
        <v>-66.399596458728354</v>
      </c>
      <c r="AA368" s="170">
        <f t="shared" si="179"/>
        <v>30028</v>
      </c>
      <c r="AB368" s="170">
        <f t="shared" si="180"/>
        <v>901680784</v>
      </c>
      <c r="AD368" s="686">
        <f t="shared" si="181"/>
        <v>-0.92567817997016755</v>
      </c>
      <c r="AE368" s="687">
        <f t="shared" si="182"/>
        <v>-9.3736451171789756</v>
      </c>
      <c r="AG368" s="686">
        <f t="shared" si="183"/>
        <v>46.615927911277659</v>
      </c>
      <c r="AH368" s="687">
        <f t="shared" si="184"/>
        <v>13.536379680882403</v>
      </c>
      <c r="AJ368" s="170">
        <f t="shared" si="185"/>
        <v>0</v>
      </c>
      <c r="AK368" s="170">
        <f t="shared" si="197"/>
        <v>0</v>
      </c>
      <c r="AM368" s="170" t="str">
        <f t="shared" si="189"/>
        <v>1.00948003051724-0.999955063501052i</v>
      </c>
      <c r="AN368" s="170" t="str">
        <f t="shared" si="190"/>
        <v>4.7029088078651i</v>
      </c>
      <c r="AO368" s="170" t="str">
        <f t="shared" si="191"/>
        <v>-0.212624803999758-0.214650139256155i</v>
      </c>
      <c r="AP368" s="170" t="str">
        <f t="shared" si="192"/>
        <v>-0.00158000508620727+0.166659177250175i</v>
      </c>
      <c r="AQ368" s="170" t="str">
        <f t="shared" si="193"/>
        <v>1.00158000508621-0.166659177250175i</v>
      </c>
      <c r="AR368" s="170" t="str">
        <f t="shared" si="194"/>
        <v>0.809278846879475+0.134660981750823i</v>
      </c>
    </row>
    <row r="369" spans="7:44">
      <c r="G369" s="688">
        <v>30200</v>
      </c>
      <c r="H369" s="676">
        <f t="shared" si="186"/>
        <v>30.2</v>
      </c>
      <c r="I369" s="677">
        <f t="shared" si="166"/>
        <v>26.588307586108375</v>
      </c>
      <c r="J369" s="678">
        <f t="shared" si="167"/>
        <v>1.5331769369386787</v>
      </c>
      <c r="K369" s="678">
        <f t="shared" si="168"/>
        <v>1.0008709633923967</v>
      </c>
      <c r="L369" s="679">
        <f t="shared" si="169"/>
        <v>4.1721258710026105E-2</v>
      </c>
      <c r="M369" s="678">
        <f t="shared" si="170"/>
        <v>1.1166200831616389</v>
      </c>
      <c r="N369" s="679">
        <f t="shared" si="171"/>
        <v>-0.46110868628410523</v>
      </c>
      <c r="O369" s="677">
        <f t="shared" si="172"/>
        <v>2698276.2279733857</v>
      </c>
      <c r="P369" s="680">
        <f t="shared" si="173"/>
        <v>1.5707959561879181</v>
      </c>
      <c r="Q369" s="689">
        <f t="shared" si="195"/>
        <v>13.528391074371413</v>
      </c>
      <c r="R369" s="690">
        <f t="shared" si="196"/>
        <v>1.4968102259110299</v>
      </c>
      <c r="S369" s="677">
        <f t="shared" si="174"/>
        <v>1.0040366829301526</v>
      </c>
      <c r="T369" s="680">
        <f t="shared" si="175"/>
        <v>8.9701176508916111E-2</v>
      </c>
      <c r="U369" s="681">
        <f t="shared" si="187"/>
        <v>0.24421479925161674</v>
      </c>
      <c r="V369" s="682">
        <f t="shared" si="188"/>
        <v>-2.1993264529947232</v>
      </c>
      <c r="W369" s="683">
        <f t="shared" si="176"/>
        <v>-36.439949758918893</v>
      </c>
      <c r="X369" s="684">
        <f t="shared" si="177"/>
        <v>-247.26439004521839</v>
      </c>
      <c r="Y369" s="687">
        <f t="shared" si="178"/>
        <v>-67.264390045218391</v>
      </c>
      <c r="AA369" s="170">
        <f t="shared" si="179"/>
        <v>30200</v>
      </c>
      <c r="AB369" s="170">
        <f t="shared" si="180"/>
        <v>912040000</v>
      </c>
      <c r="AD369" s="686">
        <f t="shared" si="181"/>
        <v>-0.92634666271457333</v>
      </c>
      <c r="AE369" s="687">
        <f t="shared" si="182"/>
        <v>-9.3785689310944864</v>
      </c>
      <c r="AG369" s="686">
        <f t="shared" si="183"/>
        <v>46.705332272920828</v>
      </c>
      <c r="AH369" s="687">
        <f t="shared" si="184"/>
        <v>14.138426230005903</v>
      </c>
      <c r="AJ369" s="170">
        <f t="shared" si="185"/>
        <v>0</v>
      </c>
      <c r="AK369" s="170">
        <f t="shared" si="197"/>
        <v>0</v>
      </c>
      <c r="AM369" s="170" t="str">
        <f t="shared" si="189"/>
        <v>0.982542857813483-0.999847612482362i</v>
      </c>
      <c r="AN369" s="170" t="str">
        <f t="shared" si="190"/>
        <v>4.72984700937545i</v>
      </c>
      <c r="AO369" s="170" t="str">
        <f t="shared" si="191"/>
        <v>-0.211391110642791-0.207732481804569i</v>
      </c>
      <c r="AP369" s="170" t="str">
        <f t="shared" si="192"/>
        <v>0.00290952369775287+0.16664126874706i</v>
      </c>
      <c r="AQ369" s="170" t="str">
        <f t="shared" si="193"/>
        <v>0.997090476302247-0.16664126874706i</v>
      </c>
      <c r="AR369" s="170" t="str">
        <f t="shared" si="194"/>
        <v>0.812729851086147+0.135829532778077i</v>
      </c>
    </row>
    <row r="370" spans="7:44">
      <c r="G370" s="688">
        <v>30375.75</v>
      </c>
      <c r="H370" s="676">
        <f t="shared" si="186"/>
        <v>30.37575</v>
      </c>
      <c r="I370" s="677">
        <f t="shared" si="166"/>
        <v>26.742820967081574</v>
      </c>
      <c r="J370" s="678">
        <f t="shared" si="167"/>
        <v>1.5333943941397972</v>
      </c>
      <c r="K370" s="678">
        <f t="shared" si="168"/>
        <v>1.0008811256205383</v>
      </c>
      <c r="L370" s="679">
        <f t="shared" si="169"/>
        <v>4.1963772979332931E-2</v>
      </c>
      <c r="M370" s="678">
        <f t="shared" si="170"/>
        <v>1.1179095506257408</v>
      </c>
      <c r="N370" s="679">
        <f t="shared" si="171"/>
        <v>-0.46342493295215015</v>
      </c>
      <c r="O370" s="677">
        <f t="shared" si="172"/>
        <v>2713978.9447636586</v>
      </c>
      <c r="P370" s="680">
        <f t="shared" si="173"/>
        <v>1.5707959583322002</v>
      </c>
      <c r="Q370" s="689">
        <f t="shared" si="195"/>
        <v>13.606691104581108</v>
      </c>
      <c r="R370" s="690">
        <f t="shared" si="196"/>
        <v>1.497236752530462</v>
      </c>
      <c r="S370" s="677">
        <f t="shared" si="174"/>
        <v>1.0040837070642066</v>
      </c>
      <c r="T370" s="680">
        <f t="shared" si="175"/>
        <v>9.0220375766179917E-2</v>
      </c>
      <c r="U370" s="681">
        <f t="shared" si="187"/>
        <v>0.24045974008820686</v>
      </c>
      <c r="V370" s="682">
        <f t="shared" si="188"/>
        <v>-2.2124785142030206</v>
      </c>
      <c r="W370" s="683">
        <f t="shared" si="176"/>
        <v>-36.615440087829903</v>
      </c>
      <c r="X370" s="684">
        <f t="shared" si="177"/>
        <v>-248.15453301338718</v>
      </c>
      <c r="Y370" s="687">
        <f t="shared" si="178"/>
        <v>-68.15453301338718</v>
      </c>
      <c r="AA370" s="170">
        <f t="shared" si="179"/>
        <v>30375.75</v>
      </c>
      <c r="AB370" s="170">
        <f t="shared" si="180"/>
        <v>922686188.0625</v>
      </c>
      <c r="AD370" s="686">
        <f t="shared" si="181"/>
        <v>-0.92702726528816126</v>
      </c>
      <c r="AE370" s="687">
        <f t="shared" si="182"/>
        <v>-9.3838788049829649</v>
      </c>
      <c r="AG370" s="686">
        <f t="shared" si="183"/>
        <v>46.799706747095264</v>
      </c>
      <c r="AH370" s="687">
        <f t="shared" si="184"/>
        <v>14.760708335714087</v>
      </c>
      <c r="AJ370" s="170">
        <f t="shared" si="185"/>
        <v>0</v>
      </c>
      <c r="AK370" s="170">
        <f t="shared" si="197"/>
        <v>0</v>
      </c>
      <c r="AM370" s="170" t="str">
        <f t="shared" si="189"/>
        <v>0.955031623370495-0.998988410895395i</v>
      </c>
      <c r="AN370" s="170" t="str">
        <f t="shared" si="190"/>
        <v>4.7573725263257i</v>
      </c>
      <c r="AO370" s="170" t="str">
        <f t="shared" si="191"/>
        <v>-0.209987425909434-0.200747706446294i</v>
      </c>
      <c r="AP370" s="170" t="str">
        <f t="shared" si="192"/>
        <v>0.0074947294382508+0.166498068482566i</v>
      </c>
      <c r="AQ370" s="170" t="str">
        <f t="shared" si="193"/>
        <v>0.992505270561749-0.166498068482566i</v>
      </c>
      <c r="AR370" s="170" t="str">
        <f t="shared" si="194"/>
        <v>0.816317561082107+0.136941637712053i</v>
      </c>
    </row>
    <row r="371" spans="7:44">
      <c r="G371" s="688">
        <v>30551.5</v>
      </c>
      <c r="H371" s="676">
        <f t="shared" si="186"/>
        <v>30.551500000000001</v>
      </c>
      <c r="I371" s="677">
        <f t="shared" si="166"/>
        <v>26.89733559813028</v>
      </c>
      <c r="J371" s="678">
        <f t="shared" si="167"/>
        <v>1.5336093529385237</v>
      </c>
      <c r="K371" s="678">
        <f t="shared" si="168"/>
        <v>1.0008913467124754</v>
      </c>
      <c r="L371" s="679">
        <f t="shared" si="169"/>
        <v>4.2206282309795909E-2</v>
      </c>
      <c r="M371" s="678">
        <f t="shared" si="170"/>
        <v>1.1192050018343349</v>
      </c>
      <c r="N371" s="679">
        <f t="shared" si="171"/>
        <v>-0.46573583000156105</v>
      </c>
      <c r="O371" s="677">
        <f t="shared" si="172"/>
        <v>2729681.6615539324</v>
      </c>
      <c r="P371" s="680">
        <f t="shared" si="173"/>
        <v>1.570795960451812</v>
      </c>
      <c r="Q371" s="689">
        <f t="shared" si="195"/>
        <v>13.684993581860789</v>
      </c>
      <c r="R371" s="690">
        <f t="shared" si="196"/>
        <v>1.4976583982457348</v>
      </c>
      <c r="S371" s="677">
        <f t="shared" si="174"/>
        <v>1.0041310018415719</v>
      </c>
      <c r="T371" s="680">
        <f t="shared" si="175"/>
        <v>9.0739526254594763E-2</v>
      </c>
      <c r="U371" s="681">
        <f t="shared" si="187"/>
        <v>0.23668479627553982</v>
      </c>
      <c r="V371" s="682">
        <f t="shared" si="188"/>
        <v>-2.2257501382647753</v>
      </c>
      <c r="W371" s="683">
        <f t="shared" si="176"/>
        <v>-36.793451233083843</v>
      </c>
      <c r="X371" s="684">
        <f t="shared" si="177"/>
        <v>-249.05135391249163</v>
      </c>
      <c r="Y371" s="687">
        <f t="shared" si="178"/>
        <v>-69.051353912491635</v>
      </c>
      <c r="AA371" s="170">
        <f t="shared" si="179"/>
        <v>30551.5</v>
      </c>
      <c r="AB371" s="170">
        <f t="shared" si="180"/>
        <v>933394152.25</v>
      </c>
      <c r="AD371" s="686">
        <f t="shared" si="181"/>
        <v>-0.92770549503788036</v>
      </c>
      <c r="AE371" s="687">
        <f t="shared" si="182"/>
        <v>-9.3894655384175749</v>
      </c>
      <c r="AG371" s="686">
        <f t="shared" si="183"/>
        <v>46.89725430894255</v>
      </c>
      <c r="AH371" s="687">
        <f t="shared" si="184"/>
        <v>15.390290263827664</v>
      </c>
      <c r="AJ371" s="170">
        <f t="shared" si="185"/>
        <v>0</v>
      </c>
      <c r="AK371" s="170">
        <f t="shared" si="197"/>
        <v>0</v>
      </c>
      <c r="AM371" s="170" t="str">
        <f t="shared" si="189"/>
        <v>0.927554457250591-0.997372369446709i</v>
      </c>
      <c r="AN371" s="170" t="str">
        <f t="shared" si="190"/>
        <v>4.78489804327596i</v>
      </c>
      <c r="AO371" s="170" t="str">
        <f t="shared" si="191"/>
        <v>-0.208441718177941-0.193850412038361i</v>
      </c>
      <c r="AP371" s="170" t="str">
        <f t="shared" si="192"/>
        <v>0.0120742571249014+0.166228728241118i</v>
      </c>
      <c r="AQ371" s="170" t="str">
        <f t="shared" si="193"/>
        <v>0.987925742875099-0.166228728241118i</v>
      </c>
      <c r="AR371" s="170" t="str">
        <f t="shared" si="194"/>
        <v>0.819966270136581+0.137967809087296i</v>
      </c>
    </row>
    <row r="372" spans="7:44">
      <c r="G372" s="688">
        <v>30727.25</v>
      </c>
      <c r="H372" s="676">
        <f t="shared" si="186"/>
        <v>30.727250000000002</v>
      </c>
      <c r="I372" s="677">
        <f t="shared" si="166"/>
        <v>27.051851457833973</v>
      </c>
      <c r="J372" s="678">
        <f t="shared" si="167"/>
        <v>1.533821856126248</v>
      </c>
      <c r="K372" s="678">
        <f t="shared" si="168"/>
        <v>1.0009016266664041</v>
      </c>
      <c r="L372" s="679">
        <f t="shared" si="169"/>
        <v>4.2448786673042464E-2</v>
      </c>
      <c r="M372" s="678">
        <f t="shared" si="170"/>
        <v>1.1205064160334592</v>
      </c>
      <c r="N372" s="679">
        <f t="shared" si="171"/>
        <v>-0.46804137134825774</v>
      </c>
      <c r="O372" s="677">
        <f t="shared" si="172"/>
        <v>2745384.3783442061</v>
      </c>
      <c r="P372" s="680">
        <f t="shared" si="173"/>
        <v>1.5707959625471768</v>
      </c>
      <c r="Q372" s="689">
        <f t="shared" si="195"/>
        <v>13.763298464444674</v>
      </c>
      <c r="R372" s="690">
        <f t="shared" si="196"/>
        <v>1.4980752462138478</v>
      </c>
      <c r="S372" s="677">
        <f t="shared" si="174"/>
        <v>1.004178567224008</v>
      </c>
      <c r="T372" s="680">
        <f t="shared" si="175"/>
        <v>9.1258627701231262E-2</v>
      </c>
      <c r="U372" s="681">
        <f t="shared" si="187"/>
        <v>0.2328892352121946</v>
      </c>
      <c r="V372" s="682">
        <f t="shared" si="188"/>
        <v>-2.2391433200710926</v>
      </c>
      <c r="W372" s="683">
        <f t="shared" si="176"/>
        <v>-36.97411746123003</v>
      </c>
      <c r="X372" s="684">
        <f t="shared" si="177"/>
        <v>-249.95496436601374</v>
      </c>
      <c r="Y372" s="687">
        <f t="shared" si="178"/>
        <v>-69.954964366013741</v>
      </c>
      <c r="AA372" s="170">
        <f t="shared" si="179"/>
        <v>30727.25</v>
      </c>
      <c r="AB372" s="170">
        <f t="shared" si="180"/>
        <v>944163892.5625</v>
      </c>
      <c r="AD372" s="686">
        <f t="shared" si="181"/>
        <v>-0.92838145793545668</v>
      </c>
      <c r="AE372" s="687">
        <f t="shared" si="182"/>
        <v>-9.3953243512397595</v>
      </c>
      <c r="AG372" s="686">
        <f t="shared" si="183"/>
        <v>46.99810191213647</v>
      </c>
      <c r="AH372" s="687">
        <f t="shared" si="184"/>
        <v>16.027284208388149</v>
      </c>
      <c r="AJ372" s="170">
        <f t="shared" si="185"/>
        <v>0</v>
      </c>
      <c r="AK372" s="170">
        <f t="shared" si="197"/>
        <v>0</v>
      </c>
      <c r="AM372" s="170" t="str">
        <f t="shared" si="189"/>
        <v>0.90013217632651-0.995000712459404i</v>
      </c>
      <c r="AN372" s="170" t="str">
        <f t="shared" si="190"/>
        <v>4.81242356022622i</v>
      </c>
      <c r="AO372" s="170" t="str">
        <f t="shared" si="191"/>
        <v>-0.206756678834943-0.187043423144616i</v>
      </c>
      <c r="AP372" s="170" t="str">
        <f t="shared" si="192"/>
        <v>0.016644637278915+0.165833452076567i</v>
      </c>
      <c r="AQ372" s="170" t="str">
        <f t="shared" si="193"/>
        <v>0.983355362721085-0.165833452076567i</v>
      </c>
      <c r="AR372" s="170" t="str">
        <f t="shared" si="194"/>
        <v>0.823674697590243+0.138904839153509i</v>
      </c>
    </row>
    <row r="373" spans="7:44">
      <c r="G373" s="688">
        <v>30903</v>
      </c>
      <c r="H373" s="676">
        <f t="shared" si="186"/>
        <v>30.902999999999999</v>
      </c>
      <c r="I373" s="677">
        <f t="shared" si="166"/>
        <v>27.206368525258569</v>
      </c>
      <c r="J373" s="678">
        <f t="shared" si="167"/>
        <v>1.5340319455231335</v>
      </c>
      <c r="K373" s="678">
        <f t="shared" si="168"/>
        <v>1.0009119654805112</v>
      </c>
      <c r="L373" s="679">
        <f t="shared" si="169"/>
        <v>4.2691286040703491E-2</v>
      </c>
      <c r="M373" s="678">
        <f t="shared" si="170"/>
        <v>1.1218137724701498</v>
      </c>
      <c r="N373" s="679">
        <f t="shared" si="171"/>
        <v>-0.4703415511640725</v>
      </c>
      <c r="O373" s="677">
        <f t="shared" si="172"/>
        <v>2761087.0951344795</v>
      </c>
      <c r="P373" s="680">
        <f t="shared" si="173"/>
        <v>1.5707959646187082</v>
      </c>
      <c r="Q373" s="689">
        <f t="shared" si="195"/>
        <v>13.841605711510823</v>
      </c>
      <c r="R373" s="690">
        <f t="shared" si="196"/>
        <v>1.4984873777167542</v>
      </c>
      <c r="S373" s="677">
        <f t="shared" si="174"/>
        <v>1.0042264031730632</v>
      </c>
      <c r="T373" s="680">
        <f t="shared" si="175"/>
        <v>9.1777679833317305E-2</v>
      </c>
      <c r="U373" s="681">
        <f t="shared" si="187"/>
        <v>0.22907234473050317</v>
      </c>
      <c r="V373" s="682">
        <f t="shared" si="188"/>
        <v>-2.252660009706446</v>
      </c>
      <c r="W373" s="683">
        <f t="shared" si="176"/>
        <v>-37.157579862272712</v>
      </c>
      <c r="X373" s="684">
        <f t="shared" si="177"/>
        <v>-250.86547349666085</v>
      </c>
      <c r="Y373" s="687">
        <f t="shared" si="178"/>
        <v>-70.865473496660854</v>
      </c>
      <c r="AA373" s="170">
        <f t="shared" si="179"/>
        <v>30903</v>
      </c>
      <c r="AB373" s="170">
        <f t="shared" si="180"/>
        <v>954995409</v>
      </c>
      <c r="AD373" s="686">
        <f t="shared" si="181"/>
        <v>-0.92905525694141833</v>
      </c>
      <c r="AE373" s="687">
        <f t="shared" si="182"/>
        <v>-9.4014505707316456</v>
      </c>
      <c r="AG373" s="686">
        <f t="shared" si="183"/>
        <v>47.102383450735879</v>
      </c>
      <c r="AH373" s="687">
        <f t="shared" si="184"/>
        <v>16.6717998371908</v>
      </c>
      <c r="AJ373" s="170">
        <f t="shared" si="185"/>
        <v>0</v>
      </c>
      <c r="AK373" s="170">
        <f t="shared" si="197"/>
        <v>0</v>
      </c>
      <c r="AM373" s="170" t="str">
        <f t="shared" si="189"/>
        <v>0.872785555889623-0.99187523671563i</v>
      </c>
      <c r="AN373" s="170" t="str">
        <f t="shared" si="190"/>
        <v>4.83994907717647i</v>
      </c>
      <c r="AO373" s="170" t="str">
        <f t="shared" si="191"/>
        <v>-0.204935056319698-0.180329491482747i</v>
      </c>
      <c r="AP373" s="170" t="str">
        <f t="shared" si="192"/>
        <v>0.0212024073517295+0.165312539452605i</v>
      </c>
      <c r="AQ373" s="170" t="str">
        <f t="shared" si="193"/>
        <v>0.97879759264827-0.165312539452605i</v>
      </c>
      <c r="AR373" s="170" t="str">
        <f t="shared" si="194"/>
        <v>0.827441410744812+0.139749465963005i</v>
      </c>
    </row>
    <row r="374" spans="7:44">
      <c r="G374" s="688">
        <v>31083</v>
      </c>
      <c r="H374" s="676">
        <f t="shared" si="186"/>
        <v>31.082999999999998</v>
      </c>
      <c r="I374" s="677">
        <f t="shared" si="166"/>
        <v>27.364623366780918</v>
      </c>
      <c r="J374" s="678">
        <f t="shared" si="167"/>
        <v>1.5342446559723406</v>
      </c>
      <c r="K374" s="678">
        <f t="shared" si="168"/>
        <v>1.0009226153191397</v>
      </c>
      <c r="L374" s="679">
        <f t="shared" si="169"/>
        <v>4.2939644338809237E-2</v>
      </c>
      <c r="M374" s="678">
        <f t="shared" si="170"/>
        <v>1.1231588813360749</v>
      </c>
      <c r="N374" s="679">
        <f t="shared" si="171"/>
        <v>-0.47269179070397016</v>
      </c>
      <c r="O374" s="677">
        <f t="shared" si="172"/>
        <v>2777169.5362283587</v>
      </c>
      <c r="P374" s="680">
        <f t="shared" si="173"/>
        <v>1.5707959667160512</v>
      </c>
      <c r="Q374" s="689">
        <f t="shared" si="195"/>
        <v>13.921808999689873</v>
      </c>
      <c r="R374" s="690">
        <f t="shared" si="196"/>
        <v>1.4989046695076995</v>
      </c>
      <c r="S374" s="677">
        <f t="shared" si="174"/>
        <v>1.0042756763143352</v>
      </c>
      <c r="T374" s="680">
        <f t="shared" si="175"/>
        <v>9.2309232321310927E-2</v>
      </c>
      <c r="U374" s="681">
        <f t="shared" si="187"/>
        <v>0.22514032433607928</v>
      </c>
      <c r="V374" s="682">
        <f t="shared" si="188"/>
        <v>-2.2666335700493079</v>
      </c>
      <c r="W374" s="683">
        <f t="shared" si="176"/>
        <v>-37.348532283505762</v>
      </c>
      <c r="X374" s="684">
        <f t="shared" si="177"/>
        <v>-251.80526264121636</v>
      </c>
      <c r="Y374" s="687">
        <f t="shared" si="178"/>
        <v>-71.805262641216359</v>
      </c>
      <c r="AA374" s="170">
        <f t="shared" si="179"/>
        <v>31083</v>
      </c>
      <c r="AB374" s="170">
        <f t="shared" si="180"/>
        <v>966152889</v>
      </c>
      <c r="AD374" s="686">
        <f t="shared" si="181"/>
        <v>-0.92974321131826554</v>
      </c>
      <c r="AE374" s="687">
        <f t="shared" si="182"/>
        <v>-9.4079973466131079</v>
      </c>
      <c r="AG374" s="686">
        <f t="shared" si="183"/>
        <v>47.212893935420972</v>
      </c>
      <c r="AH374" s="687">
        <f t="shared" si="184"/>
        <v>17.339809535181189</v>
      </c>
      <c r="AJ374" s="170">
        <f t="shared" si="185"/>
        <v>0</v>
      </c>
      <c r="AK374" s="170">
        <f t="shared" si="197"/>
        <v>0</v>
      </c>
      <c r="AM374" s="170" t="str">
        <f t="shared" si="189"/>
        <v>0.844877712626783-0.987895275806146i</v>
      </c>
      <c r="AN374" s="170" t="str">
        <f t="shared" si="190"/>
        <v>4.86814021829196i</v>
      </c>
      <c r="AO374" s="170" t="str">
        <f t="shared" si="191"/>
        <v>-0.202930735662491-0.173552460434925i</v>
      </c>
      <c r="AP374" s="170" t="str">
        <f t="shared" si="192"/>
        <v>0.0258537145622028+0.164649212634358i</v>
      </c>
      <c r="AQ374" s="170" t="str">
        <f t="shared" si="193"/>
        <v>0.974146285437797-0.164649212634358i</v>
      </c>
      <c r="AR374" s="170" t="str">
        <f t="shared" si="194"/>
        <v>0.83135796194323+0.140515275680326i</v>
      </c>
    </row>
    <row r="375" spans="7:44">
      <c r="G375" s="688">
        <v>31263</v>
      </c>
      <c r="H375" s="676">
        <f t="shared" si="186"/>
        <v>31.263000000000002</v>
      </c>
      <c r="I375" s="677">
        <f t="shared" si="166"/>
        <v>27.522879432197364</v>
      </c>
      <c r="J375" s="678">
        <f t="shared" si="167"/>
        <v>1.5344549202683986</v>
      </c>
      <c r="K375" s="678">
        <f t="shared" si="168"/>
        <v>1.0009333268952048</v>
      </c>
      <c r="L375" s="679">
        <f t="shared" si="169"/>
        <v>4.3187997336577209E-2</v>
      </c>
      <c r="M375" s="678">
        <f t="shared" si="170"/>
        <v>1.1245101792496195</v>
      </c>
      <c r="N375" s="679">
        <f t="shared" si="171"/>
        <v>-0.47503639471155162</v>
      </c>
      <c r="O375" s="677">
        <f t="shared" si="172"/>
        <v>2793251.9773222376</v>
      </c>
      <c r="P375" s="680">
        <f t="shared" si="173"/>
        <v>1.570795968789243</v>
      </c>
      <c r="Q375" s="689">
        <f t="shared" si="195"/>
        <v>14.002014684335244</v>
      </c>
      <c r="R375" s="690">
        <f t="shared" si="196"/>
        <v>1.499317180747211</v>
      </c>
      <c r="S375" s="677">
        <f t="shared" si="174"/>
        <v>1.004325233183849</v>
      </c>
      <c r="T375" s="680">
        <f t="shared" si="175"/>
        <v>9.28407325022019E-2</v>
      </c>
      <c r="U375" s="681">
        <f t="shared" si="187"/>
        <v>0.2211844941846936</v>
      </c>
      <c r="V375" s="682">
        <f t="shared" si="188"/>
        <v>-2.2807406576737379</v>
      </c>
      <c r="W375" s="683">
        <f t="shared" si="176"/>
        <v>-37.542741351171742</v>
      </c>
      <c r="X375" s="684">
        <f t="shared" si="177"/>
        <v>-252.75251049974347</v>
      </c>
      <c r="Y375" s="687">
        <f t="shared" si="178"/>
        <v>-72.752510499743465</v>
      </c>
      <c r="AA375" s="170">
        <f t="shared" si="179"/>
        <v>31263</v>
      </c>
      <c r="AB375" s="170">
        <f t="shared" si="180"/>
        <v>977375169</v>
      </c>
      <c r="AD375" s="686">
        <f t="shared" si="181"/>
        <v>-0.930429105247633</v>
      </c>
      <c r="AE375" s="687">
        <f t="shared" si="182"/>
        <v>-9.4148150295558164</v>
      </c>
      <c r="AG375" s="686">
        <f t="shared" si="183"/>
        <v>47.327315132700335</v>
      </c>
      <c r="AH375" s="687">
        <f t="shared" si="184"/>
        <v>18.015932525646082</v>
      </c>
      <c r="AJ375" s="170">
        <f t="shared" si="185"/>
        <v>0</v>
      </c>
      <c r="AK375" s="170">
        <f t="shared" si="197"/>
        <v>0</v>
      </c>
      <c r="AM375" s="170" t="str">
        <f t="shared" si="189"/>
        <v>0.817093143153924-0.983130246568932i</v>
      </c>
      <c r="AN375" s="170" t="str">
        <f t="shared" si="190"/>
        <v>4.89633135940744i</v>
      </c>
      <c r="AO375" s="170" t="str">
        <f t="shared" si="191"/>
        <v>-0.200789157106375-0.1668786450868i</v>
      </c>
      <c r="AP375" s="170" t="str">
        <f t="shared" si="192"/>
        <v>0.0304844761410127+0.163855041094822i</v>
      </c>
      <c r="AQ375" s="170" t="str">
        <f t="shared" si="193"/>
        <v>0.969515523858987-0.163855041094822i</v>
      </c>
      <c r="AR375" s="170" t="str">
        <f t="shared" si="194"/>
        <v>0.835332084355373+0.141177082410266i</v>
      </c>
    </row>
    <row r="376" spans="7:44">
      <c r="G376" s="688">
        <v>31443</v>
      </c>
      <c r="H376" s="676">
        <f t="shared" si="186"/>
        <v>31.443000000000001</v>
      </c>
      <c r="I376" s="677">
        <f t="shared" si="166"/>
        <v>27.681136700516507</v>
      </c>
      <c r="J376" s="678">
        <f t="shared" si="167"/>
        <v>1.5346627803476429</v>
      </c>
      <c r="K376" s="678">
        <f t="shared" si="168"/>
        <v>1.0009441002067248</v>
      </c>
      <c r="L376" s="679">
        <f t="shared" si="169"/>
        <v>4.343634500354164E-2</v>
      </c>
      <c r="M376" s="678">
        <f t="shared" si="170"/>
        <v>1.1258676439259778</v>
      </c>
      <c r="N376" s="679">
        <f t="shared" si="171"/>
        <v>-0.47737535774769785</v>
      </c>
      <c r="O376" s="677">
        <f t="shared" si="172"/>
        <v>2809334.4184161164</v>
      </c>
      <c r="P376" s="680">
        <f t="shared" si="173"/>
        <v>1.570795970838698</v>
      </c>
      <c r="Q376" s="689">
        <f t="shared" si="195"/>
        <v>14.082222724499514</v>
      </c>
      <c r="R376" s="690">
        <f t="shared" si="196"/>
        <v>1.4997249929793686</v>
      </c>
      <c r="S376" s="677">
        <f t="shared" si="174"/>
        <v>1.0043750737396067</v>
      </c>
      <c r="T376" s="680">
        <f t="shared" si="175"/>
        <v>9.3372180083465636E-2</v>
      </c>
      <c r="U376" s="681">
        <f t="shared" si="187"/>
        <v>0.21720417169000192</v>
      </c>
      <c r="V376" s="682">
        <f t="shared" si="188"/>
        <v>-2.2949831861350107</v>
      </c>
      <c r="W376" s="683">
        <f t="shared" si="176"/>
        <v>-37.740384222414299</v>
      </c>
      <c r="X376" s="684">
        <f t="shared" si="177"/>
        <v>-253.7073241148972</v>
      </c>
      <c r="Y376" s="687">
        <f t="shared" si="178"/>
        <v>-73.707324114897204</v>
      </c>
      <c r="AA376" s="170">
        <f t="shared" si="179"/>
        <v>31443</v>
      </c>
      <c r="AB376" s="170">
        <f t="shared" si="180"/>
        <v>988662249</v>
      </c>
      <c r="AD376" s="686">
        <f t="shared" si="181"/>
        <v>-0.93111304016826602</v>
      </c>
      <c r="AE376" s="687">
        <f t="shared" si="182"/>
        <v>-9.4218989306914533</v>
      </c>
      <c r="AG376" s="686">
        <f t="shared" si="183"/>
        <v>47.445816833601306</v>
      </c>
      <c r="AH376" s="687">
        <f t="shared" si="184"/>
        <v>18.700276354344695</v>
      </c>
      <c r="AJ376" s="170">
        <f t="shared" si="185"/>
        <v>0</v>
      </c>
      <c r="AK376" s="170">
        <f t="shared" si="197"/>
        <v>0</v>
      </c>
      <c r="AM376" s="170" t="str">
        <f t="shared" si="189"/>
        <v>0.789453927529545-0.97758393571461i</v>
      </c>
      <c r="AN376" s="170" t="str">
        <f t="shared" si="190"/>
        <v>4.92452250052292i</v>
      </c>
      <c r="AO376" s="170" t="str">
        <f t="shared" si="191"/>
        <v>-0.198513446859224-0.160310756514102i</v>
      </c>
      <c r="AP376" s="170" t="str">
        <f t="shared" si="192"/>
        <v>0.0350910120784092+0.162930655952435i</v>
      </c>
      <c r="AQ376" s="170" t="str">
        <f t="shared" si="193"/>
        <v>0.964908987921591-0.162930655952435i</v>
      </c>
      <c r="AR376" s="170" t="str">
        <f t="shared" si="194"/>
        <v>0.839361686702756+0.141731242954217i</v>
      </c>
    </row>
    <row r="377" spans="7:44">
      <c r="G377" s="688">
        <v>31623</v>
      </c>
      <c r="H377" s="676">
        <f t="shared" si="186"/>
        <v>31.623000000000001</v>
      </c>
      <c r="I377" s="677">
        <f t="shared" si="166"/>
        <v>27.839395151224092</v>
      </c>
      <c r="J377" s="678">
        <f t="shared" si="167"/>
        <v>1.5348682771936701</v>
      </c>
      <c r="K377" s="678">
        <f t="shared" si="168"/>
        <v>1.0009549352517062</v>
      </c>
      <c r="L377" s="679">
        <f t="shared" si="169"/>
        <v>4.3684687309240709E-2</v>
      </c>
      <c r="M377" s="678">
        <f t="shared" si="170"/>
        <v>1.1272312530862365</v>
      </c>
      <c r="N377" s="679">
        <f t="shared" si="171"/>
        <v>-0.47970867464631067</v>
      </c>
      <c r="O377" s="677">
        <f t="shared" si="172"/>
        <v>2825416.8595099952</v>
      </c>
      <c r="P377" s="680">
        <f t="shared" si="173"/>
        <v>1.570795972864822</v>
      </c>
      <c r="Q377" s="689">
        <f t="shared" si="195"/>
        <v>14.162433080161691</v>
      </c>
      <c r="R377" s="690">
        <f t="shared" si="196"/>
        <v>1.5001281859072528</v>
      </c>
      <c r="S377" s="677">
        <f t="shared" si="174"/>
        <v>1.0044251979393777</v>
      </c>
      <c r="T377" s="680">
        <f t="shared" si="175"/>
        <v>9.3903574772754281E-2</v>
      </c>
      <c r="U377" s="681">
        <f t="shared" si="187"/>
        <v>0.213198707980987</v>
      </c>
      <c r="V377" s="682">
        <f t="shared" si="188"/>
        <v>-2.3093629947659879</v>
      </c>
      <c r="W377" s="683">
        <f t="shared" si="176"/>
        <v>-37.941647993535376</v>
      </c>
      <c r="X377" s="684">
        <f t="shared" si="177"/>
        <v>-254.6698063432473</v>
      </c>
      <c r="Y377" s="687">
        <f t="shared" si="178"/>
        <v>-74.669806343247302</v>
      </c>
      <c r="AA377" s="170">
        <f t="shared" si="179"/>
        <v>31623</v>
      </c>
      <c r="AB377" s="170">
        <f t="shared" si="180"/>
        <v>1000014129</v>
      </c>
      <c r="AD377" s="686">
        <f t="shared" si="181"/>
        <v>-0.93179511463022813</v>
      </c>
      <c r="AE377" s="687">
        <f t="shared" si="182"/>
        <v>-9.4292444666428104</v>
      </c>
      <c r="AG377" s="686">
        <f t="shared" si="183"/>
        <v>47.568578885865556</v>
      </c>
      <c r="AH377" s="687">
        <f t="shared" si="184"/>
        <v>19.392944353350394</v>
      </c>
      <c r="AJ377" s="170">
        <f t="shared" si="185"/>
        <v>0</v>
      </c>
      <c r="AK377" s="170">
        <f t="shared" si="197"/>
        <v>0</v>
      </c>
      <c r="AM377" s="170" t="str">
        <f t="shared" si="189"/>
        <v>0.761982030301228-0.971260750828774i</v>
      </c>
      <c r="AN377" s="170" t="str">
        <f t="shared" si="190"/>
        <v>4.9527136416384i</v>
      </c>
      <c r="AO377" s="170" t="str">
        <f t="shared" si="191"/>
        <v>-0.196106785311228-0.153851420743388i</v>
      </c>
      <c r="AP377" s="170" t="str">
        <f t="shared" si="192"/>
        <v>0.039669661616462+0.161876791804796i</v>
      </c>
      <c r="AQ377" s="170" t="str">
        <f t="shared" si="193"/>
        <v>0.960330338383538-0.161876791804796i</v>
      </c>
      <c r="AR377" s="170" t="str">
        <f t="shared" si="194"/>
        <v>0.843444472374728+0.142174083017443i</v>
      </c>
    </row>
    <row r="378" spans="7:44">
      <c r="G378" s="688">
        <v>31807</v>
      </c>
      <c r="H378" s="676">
        <f t="shared" si="186"/>
        <v>31.806999999999999</v>
      </c>
      <c r="I378" s="677">
        <f t="shared" si="166"/>
        <v>28.001171657610428</v>
      </c>
      <c r="J378" s="678">
        <f t="shared" si="167"/>
        <v>1.5350759397494558</v>
      </c>
      <c r="K378" s="678">
        <f t="shared" si="168"/>
        <v>1.0009660748798637</v>
      </c>
      <c r="L378" s="679">
        <f t="shared" si="169"/>
        <v>4.3938542759832382E-2</v>
      </c>
      <c r="M378" s="678">
        <f t="shared" si="170"/>
        <v>1.1286314922992586</v>
      </c>
      <c r="N378" s="679">
        <f t="shared" si="171"/>
        <v>-0.48208800219975534</v>
      </c>
      <c r="O378" s="677">
        <f t="shared" si="172"/>
        <v>2841856.6881837384</v>
      </c>
      <c r="P378" s="680">
        <f t="shared" si="173"/>
        <v>1.5707959749122686</v>
      </c>
      <c r="Q378" s="689">
        <f t="shared" si="195"/>
        <v>14.24442824069612</v>
      </c>
      <c r="R378" s="690">
        <f t="shared" si="196"/>
        <v>1.5005356453727474</v>
      </c>
      <c r="S378" s="677">
        <f t="shared" si="174"/>
        <v>1.0044767291348895</v>
      </c>
      <c r="T378" s="680">
        <f t="shared" si="175"/>
        <v>9.4446723260598178E-2</v>
      </c>
      <c r="U378" s="681">
        <f t="shared" si="187"/>
        <v>0.20907761157753332</v>
      </c>
      <c r="V378" s="682">
        <f t="shared" si="188"/>
        <v>-2.3242060747601556</v>
      </c>
      <c r="W378" s="683">
        <f t="shared" si="176"/>
        <v>-38.151332814382322</v>
      </c>
      <c r="X378" s="684">
        <f t="shared" si="177"/>
        <v>-255.66170547761425</v>
      </c>
      <c r="Y378" s="687">
        <f t="shared" si="178"/>
        <v>-75.661705477614248</v>
      </c>
      <c r="AA378" s="170">
        <f t="shared" si="179"/>
        <v>31807</v>
      </c>
      <c r="AB378" s="170">
        <f t="shared" si="180"/>
        <v>1011685249</v>
      </c>
      <c r="AD378" s="686">
        <f t="shared" si="181"/>
        <v>-0.93249052306066726</v>
      </c>
      <c r="AE378" s="687">
        <f t="shared" si="182"/>
        <v>-9.4370189922686105</v>
      </c>
      <c r="AG378" s="686">
        <f t="shared" si="183"/>
        <v>47.698671002511446</v>
      </c>
      <c r="AH378" s="687">
        <f t="shared" si="184"/>
        <v>20.109711423834607</v>
      </c>
      <c r="AJ378" s="170">
        <f t="shared" si="185"/>
        <v>0</v>
      </c>
      <c r="AK378" s="170">
        <f t="shared" si="197"/>
        <v>0</v>
      </c>
      <c r="AM378" s="170" t="str">
        <f t="shared" si="189"/>
        <v>0.734095314444425-0.963999324792082i</v>
      </c>
      <c r="AN378" s="170" t="str">
        <f t="shared" si="190"/>
        <v>4.98153125255645i</v>
      </c>
      <c r="AO378" s="170" t="str">
        <f t="shared" si="191"/>
        <v>-0.193514659633496-0.147363386321766i</v>
      </c>
      <c r="AP378" s="170" t="str">
        <f t="shared" si="192"/>
        <v>0.0443174475925958+0.160666554132014i</v>
      </c>
      <c r="AQ378" s="170" t="str">
        <f t="shared" si="193"/>
        <v>0.955682552407404-0.160666554132014i</v>
      </c>
      <c r="AR378" s="170" t="str">
        <f t="shared" si="194"/>
        <v>0.847670339530987+0.142507856975399i</v>
      </c>
    </row>
    <row r="379" spans="7:44">
      <c r="G379" s="688">
        <v>31991</v>
      </c>
      <c r="H379" s="676">
        <f t="shared" si="186"/>
        <v>31.991</v>
      </c>
      <c r="I379" s="677">
        <f t="shared" si="166"/>
        <v>28.162949357639235</v>
      </c>
      <c r="J379" s="678">
        <f t="shared" si="167"/>
        <v>1.5352812165432412</v>
      </c>
      <c r="K379" s="678">
        <f t="shared" si="168"/>
        <v>1.0009772790114293</v>
      </c>
      <c r="L379" s="679">
        <f t="shared" si="169"/>
        <v>4.4192392543876538E-2</v>
      </c>
      <c r="M379" s="678">
        <f t="shared" si="170"/>
        <v>1.1300381050650379</v>
      </c>
      <c r="N379" s="679">
        <f t="shared" si="171"/>
        <v>-0.48446141983496133</v>
      </c>
      <c r="O379" s="677">
        <f t="shared" si="172"/>
        <v>2858296.5168574816</v>
      </c>
      <c r="P379" s="680">
        <f t="shared" si="173"/>
        <v>1.5707959769361628</v>
      </c>
      <c r="Q379" s="689">
        <f t="shared" si="195"/>
        <v>14.326425739065739</v>
      </c>
      <c r="R379" s="690">
        <f t="shared" si="196"/>
        <v>1.5009384407045638</v>
      </c>
      <c r="S379" s="677">
        <f t="shared" si="174"/>
        <v>1.0045285566309086</v>
      </c>
      <c r="T379" s="680">
        <f t="shared" si="175"/>
        <v>9.4989815862402641E-2</v>
      </c>
      <c r="U379" s="681">
        <f t="shared" si="187"/>
        <v>0.20492899486689631</v>
      </c>
      <c r="V379" s="682">
        <f t="shared" si="188"/>
        <v>-2.3391962225760849</v>
      </c>
      <c r="W379" s="683">
        <f t="shared" si="176"/>
        <v>-38.365231786871384</v>
      </c>
      <c r="X379" s="684">
        <f t="shared" si="177"/>
        <v>-256.66182002647417</v>
      </c>
      <c r="Y379" s="687">
        <f t="shared" si="178"/>
        <v>-76.661820026474174</v>
      </c>
      <c r="AA379" s="170">
        <f t="shared" si="179"/>
        <v>31991</v>
      </c>
      <c r="AB379" s="170">
        <f t="shared" si="180"/>
        <v>1023424081</v>
      </c>
      <c r="AD379" s="686">
        <f t="shared" si="181"/>
        <v>-0.9331841868500802</v>
      </c>
      <c r="AE379" s="687">
        <f t="shared" si="182"/>
        <v>-9.4450575496859219</v>
      </c>
      <c r="AG379" s="686">
        <f t="shared" si="183"/>
        <v>47.833630505920688</v>
      </c>
      <c r="AH379" s="687">
        <f t="shared" si="184"/>
        <v>20.835379842614731</v>
      </c>
      <c r="AJ379" s="170">
        <f t="shared" si="185"/>
        <v>0</v>
      </c>
      <c r="AK379" s="170">
        <f t="shared" si="197"/>
        <v>0</v>
      </c>
      <c r="AM379" s="170" t="str">
        <f t="shared" si="189"/>
        <v>0.706429405101782-0.955937396386974i</v>
      </c>
      <c r="AN379" s="170" t="str">
        <f t="shared" si="190"/>
        <v>5.0103488634745i</v>
      </c>
      <c r="AO379" s="170" t="str">
        <f t="shared" si="191"/>
        <v>-0.19079258200078-0.140994055374399i</v>
      </c>
      <c r="AP379" s="170" t="str">
        <f t="shared" si="192"/>
        <v>0.0489284324830363+0.159322899397829i</v>
      </c>
      <c r="AQ379" s="170" t="str">
        <f t="shared" si="193"/>
        <v>0.951071567516964-0.159322899397829i</v>
      </c>
      <c r="AR379" s="170" t="str">
        <f t="shared" si="194"/>
        <v>0.85194622986401+0.142717486368934i</v>
      </c>
    </row>
    <row r="380" spans="7:44">
      <c r="G380" s="688">
        <v>32175</v>
      </c>
      <c r="H380" s="676">
        <f t="shared" si="186"/>
        <v>32.174999999999997</v>
      </c>
      <c r="I380" s="677">
        <f t="shared" si="166"/>
        <v>28.324728230857914</v>
      </c>
      <c r="J380" s="678">
        <f t="shared" si="167"/>
        <v>1.5354841484369683</v>
      </c>
      <c r="K380" s="678">
        <f t="shared" si="168"/>
        <v>1.0009885476442371</v>
      </c>
      <c r="L380" s="679">
        <f t="shared" si="169"/>
        <v>4.4446236628847995E-2</v>
      </c>
      <c r="M380" s="678">
        <f t="shared" si="170"/>
        <v>1.1314510676128937</v>
      </c>
      <c r="N380" s="679">
        <f t="shared" si="171"/>
        <v>-0.48682892290392277</v>
      </c>
      <c r="O380" s="677">
        <f t="shared" si="172"/>
        <v>2874736.3455312243</v>
      </c>
      <c r="P380" s="680">
        <f t="shared" si="173"/>
        <v>1.570795978936909</v>
      </c>
      <c r="Q380" s="689">
        <f t="shared" si="195"/>
        <v>14.4084255353571</v>
      </c>
      <c r="R380" s="690">
        <f t="shared" si="196"/>
        <v>1.5013366514030302</v>
      </c>
      <c r="S380" s="677">
        <f t="shared" si="174"/>
        <v>1.0045806803815749</v>
      </c>
      <c r="T380" s="680">
        <f t="shared" si="175"/>
        <v>9.5532852266472373E-2</v>
      </c>
      <c r="U380" s="681">
        <f t="shared" si="187"/>
        <v>0.20075229581693219</v>
      </c>
      <c r="V380" s="682">
        <f t="shared" si="188"/>
        <v>-2.3543351145100253</v>
      </c>
      <c r="W380" s="683">
        <f t="shared" si="176"/>
        <v>-38.58358238766899</v>
      </c>
      <c r="X380" s="684">
        <f t="shared" si="177"/>
        <v>-257.670243538428</v>
      </c>
      <c r="Y380" s="687">
        <f t="shared" si="178"/>
        <v>-77.670243538427997</v>
      </c>
      <c r="AA380" s="170">
        <f t="shared" si="179"/>
        <v>32175</v>
      </c>
      <c r="AB380" s="170">
        <f t="shared" si="180"/>
        <v>1035230625</v>
      </c>
      <c r="AD380" s="686">
        <f t="shared" si="181"/>
        <v>-0.9338762025246008</v>
      </c>
      <c r="AE380" s="687">
        <f t="shared" si="182"/>
        <v>-9.4533555660257953</v>
      </c>
      <c r="AG380" s="686">
        <f t="shared" si="183"/>
        <v>47.973687494289187</v>
      </c>
      <c r="AH380" s="687">
        <f t="shared" si="184"/>
        <v>21.570043577621938</v>
      </c>
      <c r="AJ380" s="170">
        <f t="shared" si="185"/>
        <v>0</v>
      </c>
      <c r="AK380" s="170">
        <f t="shared" si="197"/>
        <v>0</v>
      </c>
      <c r="AM380" s="170" t="str">
        <f t="shared" si="189"/>
        <v>0.679007275967766-0.94708166021646i</v>
      </c>
      <c r="AN380" s="170" t="str">
        <f t="shared" si="190"/>
        <v>5.03916647439255i</v>
      </c>
      <c r="AO380" s="170" t="str">
        <f t="shared" si="191"/>
        <v>-0.187944110405804-0.134745950430149i</v>
      </c>
      <c r="AP380" s="170" t="str">
        <f t="shared" si="192"/>
        <v>0.0534987873387057+0.15784694336941i</v>
      </c>
      <c r="AQ380" s="170" t="str">
        <f t="shared" si="193"/>
        <v>0.946501212661294-0.15784694336941i</v>
      </c>
      <c r="AR380" s="170" t="str">
        <f t="shared" si="194"/>
        <v>0.856268963529093+0.142799012602562i</v>
      </c>
    </row>
    <row r="381" spans="7:44">
      <c r="G381" s="688">
        <v>32359</v>
      </c>
      <c r="H381" s="676">
        <f t="shared" si="186"/>
        <v>32.359000000000002</v>
      </c>
      <c r="I381" s="677">
        <f t="shared" si="166"/>
        <v>28.486508257278338</v>
      </c>
      <c r="J381" s="678">
        <f t="shared" si="167"/>
        <v>1.5356847753651124</v>
      </c>
      <c r="K381" s="678">
        <f t="shared" si="168"/>
        <v>1.0009998807761085</v>
      </c>
      <c r="L381" s="679">
        <f t="shared" si="169"/>
        <v>4.470007498222596E-2</v>
      </c>
      <c r="M381" s="678">
        <f t="shared" si="170"/>
        <v>1.1328703561836977</v>
      </c>
      <c r="N381" s="679">
        <f t="shared" si="171"/>
        <v>-0.48919050704698075</v>
      </c>
      <c r="O381" s="677">
        <f t="shared" si="172"/>
        <v>2891176.174204967</v>
      </c>
      <c r="P381" s="680">
        <f t="shared" si="173"/>
        <v>1.5707959809149019</v>
      </c>
      <c r="Q381" s="689">
        <f t="shared" si="195"/>
        <v>14.490427590559115</v>
      </c>
      <c r="R381" s="690">
        <f t="shared" si="196"/>
        <v>1.5017303551747812</v>
      </c>
      <c r="S381" s="677">
        <f t="shared" si="174"/>
        <v>1.0046331003407769</v>
      </c>
      <c r="T381" s="680">
        <f t="shared" si="175"/>
        <v>9.6075832161309202E-2</v>
      </c>
      <c r="U381" s="681">
        <f t="shared" si="187"/>
        <v>0.19654700450511325</v>
      </c>
      <c r="V381" s="682">
        <f t="shared" si="188"/>
        <v>-2.3696243123010081</v>
      </c>
      <c r="W381" s="683">
        <f t="shared" si="176"/>
        <v>-38.806636952875138</v>
      </c>
      <c r="X381" s="684">
        <f t="shared" si="177"/>
        <v>-258.68706306459393</v>
      </c>
      <c r="Y381" s="687">
        <f t="shared" si="178"/>
        <v>-78.687063064593929</v>
      </c>
      <c r="AA381" s="170">
        <f t="shared" si="179"/>
        <v>32359</v>
      </c>
      <c r="AB381" s="170">
        <f t="shared" si="180"/>
        <v>1047104881</v>
      </c>
      <c r="AD381" s="686">
        <f t="shared" si="181"/>
        <v>-0.93456666386040277</v>
      </c>
      <c r="AE381" s="687">
        <f t="shared" si="182"/>
        <v>-9.4619085712010982</v>
      </c>
      <c r="AG381" s="686">
        <f t="shared" si="183"/>
        <v>48.119087042566221</v>
      </c>
      <c r="AH381" s="687">
        <f t="shared" si="184"/>
        <v>22.313790069761385</v>
      </c>
      <c r="AJ381" s="170">
        <f t="shared" si="185"/>
        <v>0</v>
      </c>
      <c r="AK381" s="170">
        <f t="shared" si="197"/>
        <v>0</v>
      </c>
      <c r="AM381" s="170" t="str">
        <f t="shared" si="189"/>
        <v>0.651851698302432-0.93743947005932i</v>
      </c>
      <c r="AN381" s="170" t="str">
        <f t="shared" si="190"/>
        <v>5.0679840853106i</v>
      </c>
      <c r="AO381" s="170" t="str">
        <f t="shared" si="191"/>
        <v>-0.184972851982006-0.128621496699606i</v>
      </c>
      <c r="AP381" s="170" t="str">
        <f t="shared" si="192"/>
        <v>0.0580247169495947+0.156239911676553i</v>
      </c>
      <c r="AQ381" s="170" t="str">
        <f t="shared" si="193"/>
        <v>0.941975283050405-0.156239911676553i</v>
      </c>
      <c r="AR381" s="170" t="str">
        <f t="shared" si="194"/>
        <v>0.860635096023163+0.142748492245954i</v>
      </c>
    </row>
    <row r="382" spans="7:44">
      <c r="G382" s="688">
        <v>32547.5</v>
      </c>
      <c r="H382" s="676">
        <f t="shared" si="186"/>
        <v>32.547499999999999</v>
      </c>
      <c r="I382" s="677">
        <f t="shared" si="166"/>
        <v>28.652246035861797</v>
      </c>
      <c r="J382" s="678">
        <f t="shared" si="167"/>
        <v>1.5358879595191193</v>
      </c>
      <c r="K382" s="678">
        <f t="shared" si="168"/>
        <v>1.0010115579591623</v>
      </c>
      <c r="L382" s="679">
        <f t="shared" si="169"/>
        <v>4.4960115361247908E-2</v>
      </c>
      <c r="M382" s="678">
        <f t="shared" si="170"/>
        <v>1.1343308907746705</v>
      </c>
      <c r="N382" s="679">
        <f t="shared" si="171"/>
        <v>-0.49160370523634395</v>
      </c>
      <c r="O382" s="677">
        <f t="shared" si="172"/>
        <v>2908018.0639060573</v>
      </c>
      <c r="P382" s="680">
        <f t="shared" si="173"/>
        <v>1.5707959829180782</v>
      </c>
      <c r="Q382" s="689">
        <f t="shared" si="195"/>
        <v>14.574437433399391</v>
      </c>
      <c r="R382" s="690">
        <f t="shared" si="196"/>
        <v>1.502129093365046</v>
      </c>
      <c r="S382" s="677">
        <f t="shared" si="174"/>
        <v>1.0046871094248437</v>
      </c>
      <c r="T382" s="680">
        <f t="shared" si="175"/>
        <v>9.6632032531142983E-2</v>
      </c>
      <c r="U382" s="681">
        <f t="shared" si="187"/>
        <v>0.19220874291523343</v>
      </c>
      <c r="V382" s="682">
        <f t="shared" si="188"/>
        <v>-2.3854447977926823</v>
      </c>
      <c r="W382" s="683">
        <f t="shared" si="176"/>
        <v>-39.040305410290294</v>
      </c>
      <c r="X382" s="684">
        <f t="shared" si="177"/>
        <v>-259.73754059705766</v>
      </c>
      <c r="Y382" s="687">
        <f t="shared" si="178"/>
        <v>-79.737540597057659</v>
      </c>
      <c r="AA382" s="170">
        <f t="shared" si="179"/>
        <v>32547.5</v>
      </c>
      <c r="AB382" s="170">
        <f t="shared" si="180"/>
        <v>1059339756.25</v>
      </c>
      <c r="AD382" s="686">
        <f t="shared" si="181"/>
        <v>-0.9352724948969604</v>
      </c>
      <c r="AE382" s="687">
        <f t="shared" si="182"/>
        <v>-9.4709306043071901</v>
      </c>
      <c r="AG382" s="686">
        <f t="shared" si="183"/>
        <v>48.273856054238266</v>
      </c>
      <c r="AH382" s="687">
        <f t="shared" si="184"/>
        <v>23.085228669517047</v>
      </c>
      <c r="AJ382" s="170">
        <f t="shared" si="185"/>
        <v>0</v>
      </c>
      <c r="AK382" s="170">
        <f t="shared" si="197"/>
        <v>0</v>
      </c>
      <c r="AM382" s="170" t="str">
        <f t="shared" si="189"/>
        <v>0.624331972245354-0.926754300191229i</v>
      </c>
      <c r="AN382" s="170" t="str">
        <f t="shared" si="190"/>
        <v>5.09750647475654i</v>
      </c>
      <c r="AO382" s="170" t="str">
        <f t="shared" si="191"/>
        <v>-0.181805418939755-0.122477916474873i</v>
      </c>
      <c r="AP382" s="170" t="str">
        <f t="shared" si="192"/>
        <v>0.0626113379591077+0.154459050031871i</v>
      </c>
      <c r="AQ382" s="170" t="str">
        <f t="shared" si="193"/>
        <v>0.937388662040892-0.154459050031871i</v>
      </c>
      <c r="AR382" s="170" t="str">
        <f t="shared" si="194"/>
        <v>0.865149123716951+0.142555715890872i</v>
      </c>
    </row>
    <row r="383" spans="7:44">
      <c r="G383" s="688">
        <v>32736</v>
      </c>
      <c r="H383" s="676">
        <f t="shared" si="186"/>
        <v>32.735999999999997</v>
      </c>
      <c r="I383" s="677">
        <f t="shared" si="166"/>
        <v>28.817984983712964</v>
      </c>
      <c r="J383" s="678">
        <f t="shared" si="167"/>
        <v>1.5360888065624925</v>
      </c>
      <c r="K383" s="678">
        <f t="shared" si="168"/>
        <v>1.0010233028300357</v>
      </c>
      <c r="L383" s="679">
        <f t="shared" si="169"/>
        <v>4.5220149655816173E-2</v>
      </c>
      <c r="M383" s="678">
        <f t="shared" si="170"/>
        <v>1.1357980141591579</v>
      </c>
      <c r="N383" s="679">
        <f t="shared" si="171"/>
        <v>-0.4940106831008792</v>
      </c>
      <c r="O383" s="677">
        <f t="shared" si="172"/>
        <v>2924859.9536071471</v>
      </c>
      <c r="P383" s="680">
        <f t="shared" si="173"/>
        <v>1.5707959848981849</v>
      </c>
      <c r="Q383" s="689">
        <f t="shared" si="195"/>
        <v>14.658449566899808</v>
      </c>
      <c r="R383" s="690">
        <f t="shared" si="196"/>
        <v>1.5025232610322174</v>
      </c>
      <c r="S383" s="677">
        <f t="shared" si="174"/>
        <v>1.0047414292842898</v>
      </c>
      <c r="T383" s="680">
        <f t="shared" si="175"/>
        <v>9.7188172932707428E-2</v>
      </c>
      <c r="U383" s="681">
        <f t="shared" si="187"/>
        <v>0.18783957628330031</v>
      </c>
      <c r="V383" s="682">
        <f t="shared" si="188"/>
        <v>-2.401425939979319</v>
      </c>
      <c r="W383" s="683">
        <f t="shared" si="176"/>
        <v>-39.27950052117771</v>
      </c>
      <c r="X383" s="684">
        <f t="shared" si="177"/>
        <v>-260.79699155821453</v>
      </c>
      <c r="Y383" s="687">
        <f t="shared" si="178"/>
        <v>-80.796991558214529</v>
      </c>
      <c r="AA383" s="170">
        <f t="shared" si="179"/>
        <v>32736</v>
      </c>
      <c r="AB383" s="170">
        <f t="shared" si="180"/>
        <v>1071645696</v>
      </c>
      <c r="AD383" s="686">
        <f t="shared" si="181"/>
        <v>-0.9359768854306123</v>
      </c>
      <c r="AE383" s="687">
        <f t="shared" si="182"/>
        <v>-9.4802110718464743</v>
      </c>
      <c r="AG383" s="686">
        <f t="shared" si="183"/>
        <v>48.434806871124401</v>
      </c>
      <c r="AH383" s="687">
        <f t="shared" si="184"/>
        <v>23.866362176177557</v>
      </c>
      <c r="AJ383" s="170">
        <f t="shared" si="185"/>
        <v>0</v>
      </c>
      <c r="AK383" s="170">
        <f t="shared" si="197"/>
        <v>0</v>
      </c>
      <c r="AM383" s="170" t="str">
        <f t="shared" si="189"/>
        <v>0.597139643946448-0.915261456372115i</v>
      </c>
      <c r="AN383" s="170" t="str">
        <f t="shared" si="190"/>
        <v>5.12702886420247i</v>
      </c>
      <c r="AO383" s="170" t="str">
        <f t="shared" si="191"/>
        <v>-0.178516930685251-0.116468945223958i</v>
      </c>
      <c r="AP383" s="170" t="str">
        <f t="shared" si="192"/>
        <v>0.067143392675592+0.152543576062019i</v>
      </c>
      <c r="AQ383" s="170" t="str">
        <f t="shared" si="193"/>
        <v>0.932856607324408-0.152543576062019i</v>
      </c>
      <c r="AR383" s="170" t="str">
        <f t="shared" si="194"/>
        <v>0.869700489974524+0.142216093879762i</v>
      </c>
    </row>
    <row r="384" spans="7:44">
      <c r="G384" s="688">
        <v>32924.5</v>
      </c>
      <c r="H384" s="676">
        <f t="shared" si="186"/>
        <v>32.924500000000002</v>
      </c>
      <c r="I384" s="677">
        <f t="shared" si="166"/>
        <v>28.983725080773013</v>
      </c>
      <c r="J384" s="678">
        <f t="shared" si="167"/>
        <v>1.5362873565723822</v>
      </c>
      <c r="K384" s="678">
        <f t="shared" si="168"/>
        <v>1.0010351153863459</v>
      </c>
      <c r="L384" s="679">
        <f t="shared" si="169"/>
        <v>4.5480177830979629E-2</v>
      </c>
      <c r="M384" s="678">
        <f t="shared" si="170"/>
        <v>1.1372717008377835</v>
      </c>
      <c r="N384" s="679">
        <f t="shared" si="171"/>
        <v>-0.496411436878121</v>
      </c>
      <c r="O384" s="677">
        <f t="shared" si="172"/>
        <v>2941701.8433082374</v>
      </c>
      <c r="P384" s="680">
        <f t="shared" si="173"/>
        <v>1.5707959868556189</v>
      </c>
      <c r="Q384" s="689">
        <f t="shared" si="195"/>
        <v>14.74246395189936</v>
      </c>
      <c r="R384" s="690">
        <f t="shared" si="196"/>
        <v>1.5029129361922742</v>
      </c>
      <c r="S384" s="677">
        <f t="shared" si="174"/>
        <v>1.0047960598687136</v>
      </c>
      <c r="T384" s="680">
        <f t="shared" si="175"/>
        <v>9.7744253031736575E-2</v>
      </c>
      <c r="U384" s="681">
        <f t="shared" si="187"/>
        <v>0.18343915529723231</v>
      </c>
      <c r="V384" s="682">
        <f t="shared" si="188"/>
        <v>-2.4175689811763936</v>
      </c>
      <c r="W384" s="683">
        <f t="shared" si="176"/>
        <v>-39.524551494572677</v>
      </c>
      <c r="X384" s="684">
        <f t="shared" si="177"/>
        <v>-261.86548472106324</v>
      </c>
      <c r="Y384" s="687">
        <f t="shared" si="178"/>
        <v>-81.86548472106324</v>
      </c>
      <c r="AA384" s="170">
        <f t="shared" si="179"/>
        <v>32924.5</v>
      </c>
      <c r="AB384" s="170">
        <f t="shared" si="180"/>
        <v>1084022700.25</v>
      </c>
      <c r="AD384" s="686">
        <f t="shared" si="181"/>
        <v>-0.93667992790219023</v>
      </c>
      <c r="AE384" s="687">
        <f t="shared" si="182"/>
        <v>-9.4897454847033167</v>
      </c>
      <c r="AG384" s="686">
        <f t="shared" si="183"/>
        <v>48.60226126149206</v>
      </c>
      <c r="AH384" s="687">
        <f t="shared" si="184"/>
        <v>24.657259686495827</v>
      </c>
      <c r="AJ384" s="170">
        <f t="shared" si="185"/>
        <v>0</v>
      </c>
      <c r="AK384" s="170">
        <f t="shared" si="197"/>
        <v>0</v>
      </c>
      <c r="AM384" s="170" t="str">
        <f t="shared" si="189"/>
        <v>0.57029841174217-0.902970954709341i</v>
      </c>
      <c r="AN384" s="170" t="str">
        <f t="shared" si="190"/>
        <v>5.15655125364841i</v>
      </c>
      <c r="AO384" s="170" t="str">
        <f t="shared" si="191"/>
        <v>-0.175111408825901-0.110596866721468i</v>
      </c>
      <c r="AP384" s="170" t="str">
        <f t="shared" si="192"/>
        <v>0.071616931376305+0.150495159118224i</v>
      </c>
      <c r="AQ384" s="170" t="str">
        <f t="shared" si="193"/>
        <v>0.928383068623695-0.150495159118224i</v>
      </c>
      <c r="AR384" s="170" t="str">
        <f t="shared" si="194"/>
        <v>0.874284569739575+0.141725543996211i</v>
      </c>
    </row>
    <row r="385" spans="7:44">
      <c r="G385" s="688">
        <v>33113</v>
      </c>
      <c r="H385" s="676">
        <f t="shared" si="186"/>
        <v>33.113</v>
      </c>
      <c r="I385" s="677">
        <f t="shared" si="166"/>
        <v>29.149466307439187</v>
      </c>
      <c r="J385" s="678">
        <f t="shared" si="167"/>
        <v>1.5364836487151718</v>
      </c>
      <c r="K385" s="678">
        <f t="shared" si="168"/>
        <v>1.0010469956256971</v>
      </c>
      <c r="L385" s="679">
        <f t="shared" si="169"/>
        <v>4.5740199851792104E-2</v>
      </c>
      <c r="M385" s="678">
        <f t="shared" si="170"/>
        <v>1.1387519253293901</v>
      </c>
      <c r="N385" s="679">
        <f t="shared" si="171"/>
        <v>-0.49880596311202041</v>
      </c>
      <c r="O385" s="677">
        <f t="shared" si="172"/>
        <v>2958543.7330093272</v>
      </c>
      <c r="P385" s="680">
        <f t="shared" si="173"/>
        <v>1.5707959887907668</v>
      </c>
      <c r="Q385" s="689">
        <f t="shared" si="195"/>
        <v>14.826480550123627</v>
      </c>
      <c r="R385" s="690">
        <f t="shared" si="196"/>
        <v>1.5032981950983642</v>
      </c>
      <c r="S385" s="677">
        <f t="shared" si="174"/>
        <v>1.0048510011274352</v>
      </c>
      <c r="T385" s="680">
        <f t="shared" si="175"/>
        <v>9.8300272494186172E-2</v>
      </c>
      <c r="U385" s="681">
        <f t="shared" si="187"/>
        <v>0.17900720800407427</v>
      </c>
      <c r="V385" s="682">
        <f t="shared" si="188"/>
        <v>-2.4338749940023767</v>
      </c>
      <c r="W385" s="683">
        <f t="shared" si="176"/>
        <v>-39.775810944141206</v>
      </c>
      <c r="X385" s="684">
        <f t="shared" si="177"/>
        <v>-262.9430792020683</v>
      </c>
      <c r="Y385" s="687">
        <f t="shared" si="178"/>
        <v>-82.943079202068304</v>
      </c>
      <c r="AA385" s="170">
        <f t="shared" si="179"/>
        <v>33113</v>
      </c>
      <c r="AB385" s="170">
        <f t="shared" si="180"/>
        <v>1096470769</v>
      </c>
      <c r="AD385" s="686">
        <f t="shared" si="181"/>
        <v>-0.937381712111645</v>
      </c>
      <c r="AE385" s="687">
        <f t="shared" si="182"/>
        <v>-9.4995294547770133</v>
      </c>
      <c r="AG385" s="686">
        <f t="shared" si="183"/>
        <v>48.776564516387701</v>
      </c>
      <c r="AH385" s="687">
        <f t="shared" si="184"/>
        <v>25.457980608929606</v>
      </c>
      <c r="AJ385" s="170">
        <f t="shared" si="185"/>
        <v>0</v>
      </c>
      <c r="AK385" s="170">
        <f t="shared" si="197"/>
        <v>0</v>
      </c>
      <c r="AM385" s="170" t="str">
        <f t="shared" si="189"/>
        <v>0.543831667985886-0.889893506475613i</v>
      </c>
      <c r="AN385" s="170" t="str">
        <f t="shared" si="190"/>
        <v>5.18607364309435i</v>
      </c>
      <c r="AO385" s="170" t="str">
        <f t="shared" si="191"/>
        <v>-0.171592917439685-0.104863853738375i</v>
      </c>
      <c r="AP385" s="170" t="str">
        <f t="shared" si="192"/>
        <v>0.0760280553356857+0.148315584412602i</v>
      </c>
      <c r="AQ385" s="170" t="str">
        <f t="shared" si="193"/>
        <v>0.923971944664314-0.148315584412602i</v>
      </c>
      <c r="AR385" s="170" t="str">
        <f t="shared" si="194"/>
        <v>0.878896410601034+0.141080078815368i</v>
      </c>
    </row>
    <row r="386" spans="7:44">
      <c r="G386" s="688">
        <v>33305.75</v>
      </c>
      <c r="H386" s="676">
        <f t="shared" si="186"/>
        <v>33.305750000000003</v>
      </c>
      <c r="I386" s="677">
        <f t="shared" si="166"/>
        <v>29.31894555340094</v>
      </c>
      <c r="J386" s="678">
        <f t="shared" si="167"/>
        <v>1.5366820716198184</v>
      </c>
      <c r="K386" s="678">
        <f t="shared" si="168"/>
        <v>1.001059213708652</v>
      </c>
      <c r="L386" s="679">
        <f t="shared" si="169"/>
        <v>4.6006078037604176E-2</v>
      </c>
      <c r="M386" s="678">
        <f t="shared" si="170"/>
        <v>1.1402722576369302</v>
      </c>
      <c r="N386" s="679">
        <f t="shared" si="171"/>
        <v>-0.50124803431589326</v>
      </c>
      <c r="O386" s="677">
        <f t="shared" si="172"/>
        <v>2975765.347014023</v>
      </c>
      <c r="P386" s="680">
        <f t="shared" si="173"/>
        <v>1.5707959907468945</v>
      </c>
      <c r="Q386" s="689">
        <f t="shared" si="195"/>
        <v>14.912393671446992</v>
      </c>
      <c r="R386" s="690">
        <f t="shared" si="196"/>
        <v>1.5036876511297552</v>
      </c>
      <c r="S386" s="677">
        <f t="shared" si="174"/>
        <v>1.004907502321863</v>
      </c>
      <c r="T386" s="680">
        <f t="shared" si="175"/>
        <v>9.8868765153975677E-2</v>
      </c>
      <c r="U386" s="681">
        <f t="shared" si="187"/>
        <v>0.17444253900718615</v>
      </c>
      <c r="V386" s="682">
        <f t="shared" si="188"/>
        <v>-2.4507181010933126</v>
      </c>
      <c r="W386" s="683">
        <f t="shared" si="176"/>
        <v>-40.039549826355085</v>
      </c>
      <c r="X386" s="684">
        <f t="shared" si="177"/>
        <v>-264.0544317791348</v>
      </c>
      <c r="Y386" s="687">
        <f t="shared" si="178"/>
        <v>-84.054431779134802</v>
      </c>
      <c r="AA386" s="170">
        <f t="shared" si="179"/>
        <v>33305.75</v>
      </c>
      <c r="AB386" s="170">
        <f t="shared" si="180"/>
        <v>1109272983.0625</v>
      </c>
      <c r="AD386" s="686">
        <f t="shared" si="181"/>
        <v>-0.93809810879035349</v>
      </c>
      <c r="AE386" s="687">
        <f t="shared" si="182"/>
        <v>-9.5097876100520811</v>
      </c>
      <c r="AG386" s="686">
        <f t="shared" si="183"/>
        <v>48.962266818137152</v>
      </c>
      <c r="AH386" s="687">
        <f t="shared" si="184"/>
        <v>26.286964089738653</v>
      </c>
      <c r="AJ386" s="170">
        <f t="shared" si="185"/>
        <v>0</v>
      </c>
      <c r="AK386" s="170">
        <f t="shared" si="197"/>
        <v>0</v>
      </c>
      <c r="AM386" s="170" t="str">
        <f t="shared" si="189"/>
        <v>0.517179471800911-0.875719325782841i</v>
      </c>
      <c r="AN386" s="170" t="str">
        <f t="shared" si="190"/>
        <v>5.21626165670551i</v>
      </c>
      <c r="AO386" s="170" t="str">
        <f t="shared" si="191"/>
        <v>-0.167882553333402-0.0991475324356239i</v>
      </c>
      <c r="AP386" s="170" t="str">
        <f t="shared" si="192"/>
        <v>0.0804700880331815+0.145953220963807i</v>
      </c>
      <c r="AQ386" s="170" t="str">
        <f t="shared" si="193"/>
        <v>0.919529911966819-0.145953220963807i</v>
      </c>
      <c r="AR386" s="170" t="str">
        <f t="shared" si="194"/>
        <v>0.883635429699972+0.14025583664439i</v>
      </c>
    </row>
    <row r="387" spans="7:44">
      <c r="G387" s="688">
        <v>33498.5</v>
      </c>
      <c r="H387" s="676">
        <f t="shared" si="186"/>
        <v>33.4985</v>
      </c>
      <c r="I387" s="677">
        <f t="shared" si="166"/>
        <v>29.488425940429249</v>
      </c>
      <c r="J387" s="678">
        <f t="shared" si="167"/>
        <v>1.5368782137192454</v>
      </c>
      <c r="K387" s="678">
        <f t="shared" si="168"/>
        <v>1.0010715025559633</v>
      </c>
      <c r="L387" s="679">
        <f t="shared" si="169"/>
        <v>4.6271949714532225E-2</v>
      </c>
      <c r="M387" s="678">
        <f t="shared" si="170"/>
        <v>1.1417993720665334</v>
      </c>
      <c r="N387" s="679">
        <f t="shared" si="171"/>
        <v>-0.50368358765258281</v>
      </c>
      <c r="O387" s="677">
        <f t="shared" si="172"/>
        <v>2992986.9610187188</v>
      </c>
      <c r="P387" s="680">
        <f t="shared" si="173"/>
        <v>1.5707959926805108</v>
      </c>
      <c r="Q387" s="689">
        <f t="shared" si="195"/>
        <v>14.998309028709757</v>
      </c>
      <c r="R387" s="690">
        <f t="shared" si="196"/>
        <v>1.5040726453487814</v>
      </c>
      <c r="S387" s="677">
        <f t="shared" si="174"/>
        <v>1.004964328249641</v>
      </c>
      <c r="T387" s="680">
        <f t="shared" si="175"/>
        <v>9.9437193706371274E-2</v>
      </c>
      <c r="U387" s="681">
        <f t="shared" si="187"/>
        <v>0.16984460164008633</v>
      </c>
      <c r="V387" s="682">
        <f t="shared" si="188"/>
        <v>-2.467733286256681</v>
      </c>
      <c r="W387" s="683">
        <f t="shared" si="176"/>
        <v>-40.310611540647201</v>
      </c>
      <c r="X387" s="684">
        <f t="shared" si="177"/>
        <v>-265.17539191829144</v>
      </c>
      <c r="Y387" s="687">
        <f t="shared" si="178"/>
        <v>-85.175391918291439</v>
      </c>
      <c r="AA387" s="170">
        <f t="shared" si="179"/>
        <v>33498.5</v>
      </c>
      <c r="AB387" s="170">
        <f t="shared" si="180"/>
        <v>1122149502.25</v>
      </c>
      <c r="AD387" s="686">
        <f t="shared" si="181"/>
        <v>-0.9388133716626812</v>
      </c>
      <c r="AE387" s="687">
        <f t="shared" si="182"/>
        <v>-9.5202977339720061</v>
      </c>
      <c r="AG387" s="686">
        <f t="shared" si="183"/>
        <v>49.155946424034262</v>
      </c>
      <c r="AH387" s="687">
        <f t="shared" si="184"/>
        <v>27.126310671719104</v>
      </c>
      <c r="AJ387" s="170">
        <f t="shared" si="185"/>
        <v>0</v>
      </c>
      <c r="AK387" s="170">
        <f t="shared" si="197"/>
        <v>0</v>
      </c>
      <c r="AM387" s="170" t="str">
        <f t="shared" si="189"/>
        <v>0.490967244354384-0.860747148516816i</v>
      </c>
      <c r="AN387" s="170" t="str">
        <f t="shared" si="190"/>
        <v>5.24644967031667i</v>
      </c>
      <c r="AO387" s="170" t="str">
        <f t="shared" si="191"/>
        <v>-0.16406278580861-0.0935808547125069i</v>
      </c>
      <c r="AP387" s="170" t="str">
        <f t="shared" si="192"/>
        <v>0.0848387926076027+0.143457858086136i</v>
      </c>
      <c r="AQ387" s="170" t="str">
        <f t="shared" si="193"/>
        <v>0.915161207392397-0.143457858086136i</v>
      </c>
      <c r="AR387" s="170" t="str">
        <f t="shared" si="194"/>
        <v>0.888391929480051+0.139261588357047i</v>
      </c>
    </row>
    <row r="388" spans="7:44">
      <c r="G388" s="688">
        <v>33691.25</v>
      </c>
      <c r="H388" s="676">
        <f t="shared" si="186"/>
        <v>33.691249999999997</v>
      </c>
      <c r="I388" s="677">
        <f t="shared" si="166"/>
        <v>29.657907448962209</v>
      </c>
      <c r="J388" s="678">
        <f t="shared" si="167"/>
        <v>1.5370721140995365</v>
      </c>
      <c r="K388" s="678">
        <f t="shared" si="168"/>
        <v>1.0010838621650253</v>
      </c>
      <c r="L388" s="679">
        <f t="shared" si="169"/>
        <v>4.6537814845228898E-2</v>
      </c>
      <c r="M388" s="678">
        <f t="shared" si="170"/>
        <v>1.1433332414421953</v>
      </c>
      <c r="N388" s="679">
        <f t="shared" si="171"/>
        <v>-0.5061126204021571</v>
      </c>
      <c r="O388" s="677">
        <f t="shared" si="172"/>
        <v>3010208.5750234141</v>
      </c>
      <c r="P388" s="680">
        <f t="shared" si="173"/>
        <v>1.5707959945920027</v>
      </c>
      <c r="Q388" s="689">
        <f t="shared" si="195"/>
        <v>15.084226583706153</v>
      </c>
      <c r="R388" s="690">
        <f t="shared" si="196"/>
        <v>1.504453253881826</v>
      </c>
      <c r="S388" s="677">
        <f t="shared" si="174"/>
        <v>1.0050214788556862</v>
      </c>
      <c r="T388" s="680">
        <f t="shared" si="175"/>
        <v>0.10000555779494746</v>
      </c>
      <c r="U388" s="681">
        <f t="shared" si="187"/>
        <v>0.16521339151289088</v>
      </c>
      <c r="V388" s="682">
        <f t="shared" si="188"/>
        <v>-2.4849210683117704</v>
      </c>
      <c r="W388" s="683">
        <f t="shared" si="176"/>
        <v>-40.589466223453947</v>
      </c>
      <c r="X388" s="684">
        <f t="shared" si="177"/>
        <v>-266.3059870493409</v>
      </c>
      <c r="Y388" s="687">
        <f t="shared" si="178"/>
        <v>-86.305987049340899</v>
      </c>
      <c r="AA388" s="170">
        <f t="shared" si="179"/>
        <v>33691.25</v>
      </c>
      <c r="AB388" s="170">
        <f t="shared" si="180"/>
        <v>1135100326.5625</v>
      </c>
      <c r="AD388" s="686">
        <f t="shared" si="181"/>
        <v>-0.93952758874070619</v>
      </c>
      <c r="AE388" s="687">
        <f t="shared" si="182"/>
        <v>-9.5310554444168112</v>
      </c>
      <c r="AG388" s="686">
        <f t="shared" si="183"/>
        <v>49.358066007850553</v>
      </c>
      <c r="AH388" s="687">
        <f t="shared" si="184"/>
        <v>27.97604799525967</v>
      </c>
      <c r="AJ388" s="170">
        <f t="shared" si="185"/>
        <v>0</v>
      </c>
      <c r="AK388" s="170">
        <f t="shared" si="197"/>
        <v>0</v>
      </c>
      <c r="AM388" s="170" t="str">
        <f t="shared" si="189"/>
        <v>0.465218871458874-0.844990618028555i</v>
      </c>
      <c r="AN388" s="170" t="str">
        <f t="shared" si="190"/>
        <v>5.27663768392783i</v>
      </c>
      <c r="AO388" s="170" t="str">
        <f t="shared" si="191"/>
        <v>-0.16013807819368-0.0881657789155942i</v>
      </c>
      <c r="AP388" s="170" t="str">
        <f t="shared" si="192"/>
        <v>0.0891301880901877+0.140831769671426i</v>
      </c>
      <c r="AQ388" s="170" t="str">
        <f t="shared" si="193"/>
        <v>0.910869811909812-0.140831769671426i</v>
      </c>
      <c r="AR388" s="170" t="str">
        <f t="shared" si="194"/>
        <v>0.8931595184444+0.138093538655838i</v>
      </c>
    </row>
    <row r="389" spans="7:44">
      <c r="G389" s="688">
        <v>33884</v>
      </c>
      <c r="H389" s="676">
        <f t="shared" si="186"/>
        <v>33.884</v>
      </c>
      <c r="I389" s="677">
        <f t="shared" si="166"/>
        <v>29.82739005988239</v>
      </c>
      <c r="J389" s="678">
        <f t="shared" si="167"/>
        <v>1.5372638109590921</v>
      </c>
      <c r="K389" s="678">
        <f t="shared" si="168"/>
        <v>1.0010962925332167</v>
      </c>
      <c r="L389" s="679">
        <f t="shared" si="169"/>
        <v>4.6803673392352398E-2</v>
      </c>
      <c r="M389" s="678">
        <f t="shared" si="170"/>
        <v>1.1448738386136632</v>
      </c>
      <c r="N389" s="679">
        <f t="shared" si="171"/>
        <v>-0.50853513016700858</v>
      </c>
      <c r="O389" s="677">
        <f t="shared" si="172"/>
        <v>3027430.1890281094</v>
      </c>
      <c r="P389" s="680">
        <f t="shared" si="173"/>
        <v>1.5707959964817473</v>
      </c>
      <c r="Q389" s="689">
        <f t="shared" si="195"/>
        <v>15.170146299094959</v>
      </c>
      <c r="R389" s="690">
        <f t="shared" si="196"/>
        <v>1.5048295511357823</v>
      </c>
      <c r="S389" s="677">
        <f t="shared" si="174"/>
        <v>1.005078954084613</v>
      </c>
      <c r="T389" s="680">
        <f t="shared" si="175"/>
        <v>0.10057385706352621</v>
      </c>
      <c r="U389" s="681">
        <f t="shared" si="187"/>
        <v>0.16054901291119592</v>
      </c>
      <c r="V389" s="682">
        <f t="shared" si="188"/>
        <v>-2.5022817276547835</v>
      </c>
      <c r="W389" s="683">
        <f t="shared" si="176"/>
        <v>-40.876622703789529</v>
      </c>
      <c r="X389" s="684">
        <f t="shared" si="177"/>
        <v>-267.44623100758912</v>
      </c>
      <c r="Y389" s="687">
        <f t="shared" si="178"/>
        <v>-87.44623100758912</v>
      </c>
      <c r="AA389" s="170">
        <f t="shared" si="179"/>
        <v>33884</v>
      </c>
      <c r="AB389" s="170">
        <f t="shared" si="180"/>
        <v>1148125456</v>
      </c>
      <c r="AD389" s="686">
        <f t="shared" si="181"/>
        <v>-0.94024084551937503</v>
      </c>
      <c r="AE389" s="687">
        <f t="shared" si="182"/>
        <v>-9.5420564577996458</v>
      </c>
      <c r="AG389" s="686">
        <f t="shared" si="183"/>
        <v>49.569127054071117</v>
      </c>
      <c r="AH389" s="687">
        <f t="shared" si="184"/>
        <v>28.836190072505524</v>
      </c>
      <c r="AJ389" s="170">
        <f t="shared" si="185"/>
        <v>0</v>
      </c>
      <c r="AK389" s="170">
        <f t="shared" si="197"/>
        <v>0</v>
      </c>
      <c r="AM389" s="170" t="str">
        <f t="shared" si="189"/>
        <v>0.439957816240894-0.828464092408556i</v>
      </c>
      <c r="AN389" s="170" t="str">
        <f t="shared" si="190"/>
        <v>5.306825697539i</v>
      </c>
      <c r="AO389" s="170" t="str">
        <f t="shared" si="191"/>
        <v>-0.156112926941005-0.0829041391815301i</v>
      </c>
      <c r="AP389" s="170" t="str">
        <f t="shared" si="192"/>
        <v>0.093340363959851+0.138077348734759i</v>
      </c>
      <c r="AQ389" s="170" t="str">
        <f t="shared" si="193"/>
        <v>0.906659636040149-0.138077348734759i</v>
      </c>
      <c r="AR389" s="170" t="str">
        <f t="shared" si="194"/>
        <v>0.897931430087506+0.136748109526079i</v>
      </c>
    </row>
    <row r="390" spans="7:44">
      <c r="G390" s="688">
        <v>34081.5</v>
      </c>
      <c r="H390" s="676">
        <f t="shared" si="186"/>
        <v>34.081499999999998</v>
      </c>
      <c r="I390" s="677">
        <f t="shared" si="166"/>
        <v>30.001050409012777</v>
      </c>
      <c r="J390" s="678">
        <f t="shared" si="167"/>
        <v>1.5374579852627521</v>
      </c>
      <c r="K390" s="678">
        <f t="shared" si="168"/>
        <v>1.0011091026204224</v>
      </c>
      <c r="L390" s="679">
        <f t="shared" si="169"/>
        <v>4.7076076708844242E-2</v>
      </c>
      <c r="M390" s="678">
        <f t="shared" si="170"/>
        <v>1.146459351381458</v>
      </c>
      <c r="N390" s="679">
        <f t="shared" si="171"/>
        <v>-0.51101057035702957</v>
      </c>
      <c r="O390" s="677">
        <f t="shared" si="172"/>
        <v>3045076.2007838939</v>
      </c>
      <c r="P390" s="680">
        <f t="shared" si="173"/>
        <v>1.5707959983958899</v>
      </c>
      <c r="Q390" s="689">
        <f t="shared" si="195"/>
        <v>15.25818556429587</v>
      </c>
      <c r="R390" s="690">
        <f t="shared" si="196"/>
        <v>1.5052107257045675</v>
      </c>
      <c r="S390" s="677">
        <f t="shared" si="174"/>
        <v>1.005138182356911</v>
      </c>
      <c r="T390" s="680">
        <f t="shared" si="175"/>
        <v>0.10115609350506749</v>
      </c>
      <c r="U390" s="681">
        <f t="shared" si="187"/>
        <v>0.1557355137850106</v>
      </c>
      <c r="V390" s="682">
        <f t="shared" si="188"/>
        <v>-2.5202495594750789</v>
      </c>
      <c r="W390" s="683">
        <f t="shared" si="176"/>
        <v>-41.180044628622667</v>
      </c>
      <c r="X390" s="684">
        <f t="shared" si="177"/>
        <v>-268.62458212869609</v>
      </c>
      <c r="Y390" s="687">
        <f t="shared" si="178"/>
        <v>-88.62458212869609</v>
      </c>
      <c r="AA390" s="170">
        <f t="shared" si="179"/>
        <v>34081.5</v>
      </c>
      <c r="AB390" s="170">
        <f t="shared" si="180"/>
        <v>1161548642.25</v>
      </c>
      <c r="AD390" s="686">
        <f t="shared" si="181"/>
        <v>-0.94097077007545382</v>
      </c>
      <c r="AE390" s="687">
        <f t="shared" si="182"/>
        <v>-9.5535765642150263</v>
      </c>
      <c r="AG390" s="686">
        <f t="shared" si="183"/>
        <v>49.795234245670443</v>
      </c>
      <c r="AH390" s="687">
        <f t="shared" si="184"/>
        <v>29.728320920774198</v>
      </c>
      <c r="AJ390" s="170">
        <f t="shared" si="185"/>
        <v>0</v>
      </c>
      <c r="AK390" s="170">
        <f t="shared" si="197"/>
        <v>0</v>
      </c>
      <c r="AM390" s="170" t="str">
        <f t="shared" si="189"/>
        <v>0.414603794198906-0.810747360300164i</v>
      </c>
      <c r="AN390" s="170" t="str">
        <f t="shared" si="190"/>
        <v>5.33775764404071i</v>
      </c>
      <c r="AO390" s="170" t="str">
        <f t="shared" si="191"/>
        <v>-0.151889129174929-0.0776737764896064i</v>
      </c>
      <c r="AP390" s="170" t="str">
        <f t="shared" si="192"/>
        <v>0.0975660343001823+0.135124560050027i</v>
      </c>
      <c r="AQ390" s="170" t="str">
        <f t="shared" si="193"/>
        <v>0.902433965699818-0.135124560050027i</v>
      </c>
      <c r="AR390" s="170" t="str">
        <f t="shared" si="194"/>
        <v>0.902817951431701+0.135182055562229i</v>
      </c>
    </row>
    <row r="391" spans="7:44">
      <c r="G391" s="688">
        <v>34279</v>
      </c>
      <c r="H391" s="676">
        <f t="shared" si="186"/>
        <v>34.279000000000003</v>
      </c>
      <c r="I391" s="677">
        <f t="shared" si="166"/>
        <v>30.174711876272656</v>
      </c>
      <c r="J391" s="678">
        <f t="shared" si="167"/>
        <v>1.5376499245501192</v>
      </c>
      <c r="K391" s="678">
        <f t="shared" si="168"/>
        <v>1.0011219869915899</v>
      </c>
      <c r="L391" s="679">
        <f t="shared" si="169"/>
        <v>4.7348473033924511E-2</v>
      </c>
      <c r="M391" s="678">
        <f t="shared" si="170"/>
        <v>1.1480518699980651</v>
      </c>
      <c r="N391" s="679">
        <f t="shared" si="171"/>
        <v>-0.51347915803208832</v>
      </c>
      <c r="O391" s="677">
        <f t="shared" si="172"/>
        <v>3062722.212539678</v>
      </c>
      <c r="P391" s="680">
        <f t="shared" si="173"/>
        <v>1.5707960002879755</v>
      </c>
      <c r="Q391" s="689">
        <f t="shared" si="195"/>
        <v>15.346227020983806</v>
      </c>
      <c r="R391" s="690">
        <f t="shared" si="196"/>
        <v>1.5055875267230108</v>
      </c>
      <c r="S391" s="677">
        <f t="shared" si="174"/>
        <v>1.0051977513301014</v>
      </c>
      <c r="T391" s="680">
        <f t="shared" si="175"/>
        <v>0.101738261136175</v>
      </c>
      <c r="U391" s="681">
        <f t="shared" si="187"/>
        <v>0.15088778910062978</v>
      </c>
      <c r="V391" s="682">
        <f t="shared" si="188"/>
        <v>-2.5383986639972953</v>
      </c>
      <c r="W391" s="683">
        <f t="shared" si="176"/>
        <v>-41.493409670527079</v>
      </c>
      <c r="X391" s="684">
        <f t="shared" si="177"/>
        <v>-269.81304577613179</v>
      </c>
      <c r="Y391" s="687">
        <f t="shared" si="178"/>
        <v>-89.813045776131787</v>
      </c>
      <c r="AA391" s="170">
        <f t="shared" si="179"/>
        <v>34279</v>
      </c>
      <c r="AB391" s="170">
        <f t="shared" si="180"/>
        <v>1175049841</v>
      </c>
      <c r="AD391" s="686">
        <f t="shared" si="181"/>
        <v>-0.94169986041173326</v>
      </c>
      <c r="AE391" s="687">
        <f t="shared" si="182"/>
        <v>-9.5653433127955498</v>
      </c>
      <c r="AG391" s="686">
        <f t="shared" si="183"/>
        <v>50.03194089178529</v>
      </c>
      <c r="AH391" s="687">
        <f t="shared" si="184"/>
        <v>30.631358206425077</v>
      </c>
      <c r="AJ391" s="170">
        <f t="shared" si="185"/>
        <v>0</v>
      </c>
      <c r="AK391" s="170">
        <f t="shared" si="197"/>
        <v>0</v>
      </c>
      <c r="AM391" s="170" t="str">
        <f t="shared" si="189"/>
        <v>0.389809825993316-0.792254978870876i</v>
      </c>
      <c r="AN391" s="170" t="str">
        <f t="shared" si="190"/>
        <v>5.36868959054242i</v>
      </c>
      <c r="AO391" s="170" t="str">
        <f t="shared" si="191"/>
        <v>-0.147569526140332-0.0726080022730336i</v>
      </c>
      <c r="AP391" s="170" t="str">
        <f t="shared" si="192"/>
        <v>0.101698362334447+0.132042496478479i</v>
      </c>
      <c r="AQ391" s="170" t="str">
        <f t="shared" si="193"/>
        <v>0.898301637665553-0.132042496478479i</v>
      </c>
      <c r="AR391" s="170" t="str">
        <f t="shared" si="194"/>
        <v>0.907693428122217+0.133423007663478i</v>
      </c>
    </row>
    <row r="392" spans="7:44">
      <c r="G392" s="688">
        <v>34476.5</v>
      </c>
      <c r="H392" s="676">
        <f t="shared" si="186"/>
        <v>34.476500000000001</v>
      </c>
      <c r="I392" s="677">
        <f t="shared" si="166"/>
        <v>30.348374442467321</v>
      </c>
      <c r="J392" s="678">
        <f t="shared" si="167"/>
        <v>1.5378396671752432</v>
      </c>
      <c r="K392" s="678">
        <f t="shared" si="168"/>
        <v>1.0011349456438514</v>
      </c>
      <c r="L392" s="679">
        <f t="shared" si="169"/>
        <v>4.7620862327440443E-2</v>
      </c>
      <c r="M392" s="678">
        <f t="shared" si="170"/>
        <v>1.1496513653495848</v>
      </c>
      <c r="N392" s="679">
        <f t="shared" si="171"/>
        <v>-0.51594089164467427</v>
      </c>
      <c r="O392" s="677">
        <f t="shared" si="172"/>
        <v>3080368.2242954616</v>
      </c>
      <c r="P392" s="680">
        <f t="shared" si="173"/>
        <v>1.5707960021583833</v>
      </c>
      <c r="Q392" s="689">
        <f t="shared" si="195"/>
        <v>15.43427063165618</v>
      </c>
      <c r="R392" s="690">
        <f t="shared" si="196"/>
        <v>1.5059600289289361</v>
      </c>
      <c r="S392" s="677">
        <f t="shared" si="174"/>
        <v>1.0052576609436166</v>
      </c>
      <c r="T392" s="680">
        <f t="shared" si="175"/>
        <v>0.10232035957450106</v>
      </c>
      <c r="U392" s="681">
        <f t="shared" si="187"/>
        <v>0.14600634592808778</v>
      </c>
      <c r="V392" s="682">
        <f t="shared" si="188"/>
        <v>-2.5567284747799759</v>
      </c>
      <c r="W392" s="683">
        <f t="shared" si="176"/>
        <v>-41.817425894652267</v>
      </c>
      <c r="X392" s="684">
        <f t="shared" si="177"/>
        <v>-271.01158730230418</v>
      </c>
      <c r="Y392" s="687">
        <f t="shared" si="178"/>
        <v>-91.011587302304179</v>
      </c>
      <c r="AA392" s="170">
        <f t="shared" si="179"/>
        <v>34476.5</v>
      </c>
      <c r="AB392" s="170">
        <f t="shared" si="180"/>
        <v>1188629052.25</v>
      </c>
      <c r="AD392" s="686">
        <f t="shared" si="181"/>
        <v>-0.94242820082087309</v>
      </c>
      <c r="AE392" s="687">
        <f t="shared" si="182"/>
        <v>-9.5773523994941492</v>
      </c>
      <c r="AG392" s="686">
        <f t="shared" si="183"/>
        <v>50.279947525731821</v>
      </c>
      <c r="AH392" s="687">
        <f t="shared" si="184"/>
        <v>31.545267363593361</v>
      </c>
      <c r="AJ392" s="170">
        <f t="shared" si="185"/>
        <v>0</v>
      </c>
      <c r="AK392" s="170">
        <f t="shared" si="197"/>
        <v>0</v>
      </c>
      <c r="AM392" s="170" t="str">
        <f t="shared" si="189"/>
        <v>0.365599632237401-0.773004639948998i</v>
      </c>
      <c r="AN392" s="170" t="str">
        <f t="shared" si="190"/>
        <v>5.39962153704413i</v>
      </c>
      <c r="AO392" s="170" t="str">
        <f t="shared" si="191"/>
        <v>-0.143159040804211-0.0677083809910015i</v>
      </c>
      <c r="AP392" s="170" t="str">
        <f t="shared" si="192"/>
        <v>0.1057333946271+0.128834106658166i</v>
      </c>
      <c r="AQ392" s="170" t="str">
        <f t="shared" si="193"/>
        <v>0.8942666053729-0.128834106658166i</v>
      </c>
      <c r="AR392" s="170" t="str">
        <f t="shared" si="194"/>
        <v>0.912549374868681+0.131468046314499i</v>
      </c>
    </row>
    <row r="393" spans="7:44">
      <c r="G393" s="688">
        <v>34674</v>
      </c>
      <c r="H393" s="676">
        <f t="shared" si="186"/>
        <v>34.673999999999999</v>
      </c>
      <c r="I393" s="677">
        <f t="shared" si="166"/>
        <v>30.522038088838801</v>
      </c>
      <c r="J393" s="678">
        <f t="shared" si="167"/>
        <v>1.5380272506199113</v>
      </c>
      <c r="K393" s="678">
        <f t="shared" si="168"/>
        <v>1.0011479785743223</v>
      </c>
      <c r="L393" s="679">
        <f t="shared" si="169"/>
        <v>4.7893244549245512E-2</v>
      </c>
      <c r="M393" s="678">
        <f t="shared" si="170"/>
        <v>1.1512578083567235</v>
      </c>
      <c r="N393" s="679">
        <f t="shared" si="171"/>
        <v>-0.5183957699881484</v>
      </c>
      <c r="O393" s="677">
        <f t="shared" si="172"/>
        <v>3098014.2360512456</v>
      </c>
      <c r="P393" s="680">
        <f t="shared" si="173"/>
        <v>1.5707960040074838</v>
      </c>
      <c r="Q393" s="689">
        <f t="shared" si="195"/>
        <v>15.52231635966036</v>
      </c>
      <c r="R393" s="690">
        <f t="shared" si="196"/>
        <v>1.5063283053692886</v>
      </c>
      <c r="S393" s="677">
        <f t="shared" si="174"/>
        <v>1.005317911136558</v>
      </c>
      <c r="T393" s="680">
        <f t="shared" si="175"/>
        <v>0.10290238843797639</v>
      </c>
      <c r="U393" s="681">
        <f t="shared" si="187"/>
        <v>0.14109183748590215</v>
      </c>
      <c r="V393" s="682">
        <f t="shared" si="188"/>
        <v>-2.5752381030232092</v>
      </c>
      <c r="W393" s="683">
        <f t="shared" si="176"/>
        <v>-42.152870682127173</v>
      </c>
      <c r="X393" s="684">
        <f t="shared" si="177"/>
        <v>-272.22015365629119</v>
      </c>
      <c r="Y393" s="687">
        <f t="shared" si="178"/>
        <v>-92.220153656291188</v>
      </c>
      <c r="AA393" s="170">
        <f t="shared" si="179"/>
        <v>34674</v>
      </c>
      <c r="AB393" s="170">
        <f t="shared" si="180"/>
        <v>1202286276</v>
      </c>
      <c r="AD393" s="686">
        <f t="shared" si="181"/>
        <v>-0.94315587317667648</v>
      </c>
      <c r="AE393" s="687">
        <f t="shared" si="182"/>
        <v>-9.5895996171594202</v>
      </c>
      <c r="AG393" s="686">
        <f t="shared" si="183"/>
        <v>50.540024115939929</v>
      </c>
      <c r="AH393" s="687">
        <f t="shared" si="184"/>
        <v>32.469995387082115</v>
      </c>
      <c r="AJ393" s="170">
        <f t="shared" si="185"/>
        <v>0</v>
      </c>
      <c r="AK393" s="170">
        <f t="shared" si="197"/>
        <v>0</v>
      </c>
      <c r="AM393" s="170" t="str">
        <f t="shared" si="189"/>
        <v>0.341996375042154-0.753014760507611i</v>
      </c>
      <c r="AN393" s="170" t="str">
        <f t="shared" si="190"/>
        <v>5.43055348354584i</v>
      </c>
      <c r="AO393" s="170" t="str">
        <f t="shared" si="191"/>
        <v>-0.138662617500995-0.062976338614172i</v>
      </c>
      <c r="AP393" s="170" t="str">
        <f t="shared" si="192"/>
        <v>0.109667270826308+0.125502460084602i</v>
      </c>
      <c r="AQ393" s="170" t="str">
        <f t="shared" si="193"/>
        <v>0.890332729173692-0.125502460084602i</v>
      </c>
      <c r="AR393" s="170" t="str">
        <f t="shared" si="194"/>
        <v>0.917376916846225+0.129314643971229i</v>
      </c>
    </row>
    <row r="394" spans="7:44">
      <c r="G394" s="688">
        <v>34875.75</v>
      </c>
      <c r="H394" s="676">
        <f t="shared" si="186"/>
        <v>34.875749999999996</v>
      </c>
      <c r="I394" s="677">
        <f t="shared" si="166"/>
        <v>30.699439897248585</v>
      </c>
      <c r="J394" s="678">
        <f t="shared" si="167"/>
        <v>1.5382166793867407</v>
      </c>
      <c r="K394" s="678">
        <f t="shared" si="168"/>
        <v>1.0011613686502372</v>
      </c>
      <c r="L394" s="679">
        <f t="shared" si="169"/>
        <v>4.817148081727899E-2</v>
      </c>
      <c r="M394" s="678">
        <f t="shared" si="170"/>
        <v>1.1529059637123424</v>
      </c>
      <c r="N394" s="679">
        <f t="shared" si="171"/>
        <v>-0.52089639579134939</v>
      </c>
      <c r="O394" s="677">
        <f t="shared" si="172"/>
        <v>3116039.9721106356</v>
      </c>
      <c r="P394" s="680">
        <f t="shared" si="173"/>
        <v>1.5707960058747514</v>
      </c>
      <c r="Q394" s="689">
        <f t="shared" si="195"/>
        <v>15.612258891485123</v>
      </c>
      <c r="R394" s="690">
        <f t="shared" si="196"/>
        <v>1.5067002178451507</v>
      </c>
      <c r="S394" s="677">
        <f t="shared" si="174"/>
        <v>1.0053798094406303</v>
      </c>
      <c r="T394" s="680">
        <f t="shared" si="175"/>
        <v>0.10349686973943989</v>
      </c>
      <c r="U394" s="681">
        <f t="shared" si="187"/>
        <v>0.13603827201774427</v>
      </c>
      <c r="V394" s="682">
        <f t="shared" si="188"/>
        <v>-2.5943304268379732</v>
      </c>
      <c r="W394" s="683">
        <f t="shared" si="176"/>
        <v>-42.508225390586638</v>
      </c>
      <c r="X394" s="684">
        <f t="shared" si="177"/>
        <v>-273.46500260439819</v>
      </c>
      <c r="Y394" s="687">
        <f t="shared" si="178"/>
        <v>-93.465002604398194</v>
      </c>
      <c r="AA394" s="170">
        <f t="shared" si="179"/>
        <v>34875.75</v>
      </c>
      <c r="AB394" s="170">
        <f t="shared" si="180"/>
        <v>1216317938.0625</v>
      </c>
      <c r="AD394" s="686">
        <f t="shared" si="181"/>
        <v>-0.94389859723132696</v>
      </c>
      <c r="AE394" s="687">
        <f t="shared" si="182"/>
        <v>-9.6023519785186959</v>
      </c>
      <c r="AG394" s="686">
        <f t="shared" si="183"/>
        <v>50.819043437686545</v>
      </c>
      <c r="AH394" s="687">
        <f t="shared" si="184"/>
        <v>33.425717954200451</v>
      </c>
      <c r="AJ394" s="170">
        <f t="shared" si="185"/>
        <v>0</v>
      </c>
      <c r="AK394" s="170">
        <f t="shared" si="197"/>
        <v>0</v>
      </c>
      <c r="AM394" s="170" t="str">
        <f t="shared" si="189"/>
        <v>0.318535347200029-0.731851027863058i</v>
      </c>
      <c r="AN394" s="170" t="str">
        <f t="shared" si="190"/>
        <v>5.46215105421277i</v>
      </c>
      <c r="AO394" s="170" t="str">
        <f t="shared" si="191"/>
        <v>-0.133985863920517-0.0583168323318985i</v>
      </c>
      <c r="AP394" s="170" t="str">
        <f t="shared" si="192"/>
        <v>0.113577442133329+0.12197517131051i</v>
      </c>
      <c r="AQ394" s="170" t="str">
        <f t="shared" si="193"/>
        <v>0.886422557866671-0.12197517131051i</v>
      </c>
      <c r="AR394" s="170" t="str">
        <f t="shared" si="194"/>
        <v>0.922269393852502+0.126907834543759i</v>
      </c>
    </row>
    <row r="395" spans="7:44">
      <c r="G395" s="688">
        <v>35077.5</v>
      </c>
      <c r="H395" s="676">
        <f t="shared" si="186"/>
        <v>35.077500000000001</v>
      </c>
      <c r="I395" s="677">
        <f t="shared" si="166"/>
        <v>30.876842794595895</v>
      </c>
      <c r="J395" s="678">
        <f t="shared" si="167"/>
        <v>1.5384039314343014</v>
      </c>
      <c r="K395" s="678">
        <f t="shared" si="168"/>
        <v>1.0011748362294044</v>
      </c>
      <c r="L395" s="679">
        <f t="shared" si="169"/>
        <v>4.8449709621307555E-2</v>
      </c>
      <c r="M395" s="678">
        <f t="shared" si="170"/>
        <v>1.154561307729189</v>
      </c>
      <c r="N395" s="679">
        <f t="shared" si="171"/>
        <v>-0.52338986664066356</v>
      </c>
      <c r="O395" s="677">
        <f t="shared" si="172"/>
        <v>3134065.7081700247</v>
      </c>
      <c r="P395" s="680">
        <f t="shared" si="173"/>
        <v>1.5707960077205398</v>
      </c>
      <c r="Q395" s="689">
        <f t="shared" si="195"/>
        <v>15.702203558041052</v>
      </c>
      <c r="R395" s="690">
        <f t="shared" si="196"/>
        <v>1.5070678696262567</v>
      </c>
      <c r="S395" s="677">
        <f t="shared" si="174"/>
        <v>1.0054420630101668</v>
      </c>
      <c r="T395" s="680">
        <f t="shared" si="175"/>
        <v>0.10409127763441006</v>
      </c>
      <c r="U395" s="681">
        <f t="shared" si="187"/>
        <v>0.13095207260406175</v>
      </c>
      <c r="V395" s="682">
        <f t="shared" si="188"/>
        <v>-2.6136074268157334</v>
      </c>
      <c r="W395" s="683">
        <f t="shared" si="176"/>
        <v>-42.877411773484212</v>
      </c>
      <c r="X395" s="684">
        <f t="shared" si="177"/>
        <v>-274.72013839211616</v>
      </c>
      <c r="Y395" s="687">
        <f t="shared" si="178"/>
        <v>-94.720138392116155</v>
      </c>
      <c r="AA395" s="170">
        <f t="shared" si="179"/>
        <v>35077.5</v>
      </c>
      <c r="AB395" s="170">
        <f t="shared" si="180"/>
        <v>1230431006.25</v>
      </c>
      <c r="AD395" s="686">
        <f t="shared" si="181"/>
        <v>-0.94464078950822405</v>
      </c>
      <c r="AE395" s="687">
        <f t="shared" si="182"/>
        <v>-9.6153442525926369</v>
      </c>
      <c r="AG395" s="686">
        <f t="shared" si="183"/>
        <v>51.112548460299998</v>
      </c>
      <c r="AH395" s="687">
        <f t="shared" si="184"/>
        <v>34.392555923879456</v>
      </c>
      <c r="AJ395" s="170">
        <f t="shared" si="185"/>
        <v>0</v>
      </c>
      <c r="AK395" s="170">
        <f t="shared" si="197"/>
        <v>0</v>
      </c>
      <c r="AM395" s="170" t="str">
        <f t="shared" si="189"/>
        <v>0.295754641471733-0.709956671207048i</v>
      </c>
      <c r="AN395" s="170" t="str">
        <f t="shared" si="190"/>
        <v>5.49374862487971i</v>
      </c>
      <c r="AO395" s="170" t="str">
        <f t="shared" si="191"/>
        <v>-0.129229915615695-0.0538347605007517i</v>
      </c>
      <c r="AP395" s="170" t="str">
        <f t="shared" si="192"/>
        <v>0.117374226421378+0.118326111867841i</v>
      </c>
      <c r="AQ395" s="170" t="str">
        <f t="shared" si="193"/>
        <v>0.882625773578622-0.118326111867841i</v>
      </c>
      <c r="AR395" s="170" t="str">
        <f t="shared" si="194"/>
        <v>0.927112335286257+0.124290045887001i</v>
      </c>
    </row>
    <row r="396" spans="7:44">
      <c r="G396" s="688">
        <v>35279.25</v>
      </c>
      <c r="H396" s="676">
        <f t="shared" si="186"/>
        <v>35.279249999999998</v>
      </c>
      <c r="I396" s="677">
        <f t="shared" si="166"/>
        <v>31.05424676221849</v>
      </c>
      <c r="J396" s="678">
        <f t="shared" si="167"/>
        <v>1.5385890440542591</v>
      </c>
      <c r="K396" s="678">
        <f t="shared" si="168"/>
        <v>1.0011883813086957</v>
      </c>
      <c r="L396" s="679">
        <f t="shared" si="169"/>
        <v>4.872793091855717E-2</v>
      </c>
      <c r="M396" s="678">
        <f t="shared" si="170"/>
        <v>1.1562238095316475</v>
      </c>
      <c r="N396" s="679">
        <f t="shared" si="171"/>
        <v>-0.52587618232777078</v>
      </c>
      <c r="O396" s="677">
        <f t="shared" si="172"/>
        <v>3152091.4442294142</v>
      </c>
      <c r="P396" s="680">
        <f t="shared" si="173"/>
        <v>1.5707960095452174</v>
      </c>
      <c r="Q396" s="689">
        <f t="shared" si="195"/>
        <v>15.792150322852869</v>
      </c>
      <c r="R396" s="690">
        <f t="shared" si="196"/>
        <v>1.5074313334148015</v>
      </c>
      <c r="S396" s="677">
        <f t="shared" si="174"/>
        <v>1.0055046717791813</v>
      </c>
      <c r="T396" s="680">
        <f t="shared" si="175"/>
        <v>0.10468561171652722</v>
      </c>
      <c r="U396" s="681">
        <f t="shared" si="187"/>
        <v>0.12583444545618977</v>
      </c>
      <c r="V396" s="682">
        <f t="shared" si="188"/>
        <v>-2.6330670239577243</v>
      </c>
      <c r="W396" s="683">
        <f t="shared" si="176"/>
        <v>-43.261556815838745</v>
      </c>
      <c r="X396" s="684">
        <f t="shared" si="177"/>
        <v>-275.98543983996939</v>
      </c>
      <c r="Y396" s="687">
        <f t="shared" si="178"/>
        <v>-95.985439839969388</v>
      </c>
      <c r="AA396" s="170">
        <f t="shared" si="179"/>
        <v>35279.25</v>
      </c>
      <c r="AB396" s="170">
        <f t="shared" si="180"/>
        <v>1244625480.5625</v>
      </c>
      <c r="AD396" s="686">
        <f t="shared" si="181"/>
        <v>-0.94538252997973138</v>
      </c>
      <c r="AE396" s="687">
        <f t="shared" si="182"/>
        <v>-9.6285722505907092</v>
      </c>
      <c r="AG396" s="686">
        <f t="shared" si="183"/>
        <v>51.421658635577458</v>
      </c>
      <c r="AH396" s="687">
        <f t="shared" si="184"/>
        <v>35.370388051094174</v>
      </c>
      <c r="AJ396" s="170">
        <f t="shared" si="185"/>
        <v>0</v>
      </c>
      <c r="AK396" s="170">
        <f t="shared" si="197"/>
        <v>0</v>
      </c>
      <c r="AM396" s="170" t="str">
        <f t="shared" si="189"/>
        <v>0.273677000369028-0.687353548188316i</v>
      </c>
      <c r="AN396" s="170" t="str">
        <f t="shared" si="190"/>
        <v>5.52534619554665i</v>
      </c>
      <c r="AO396" s="170" t="str">
        <f t="shared" si="191"/>
        <v>-0.12440008713704-0.0495311950931885i</v>
      </c>
      <c r="AP396" s="170" t="str">
        <f t="shared" si="192"/>
        <v>0.121053833271829+0.114558924698053i</v>
      </c>
      <c r="AQ396" s="170" t="str">
        <f t="shared" si="193"/>
        <v>0.878946166728171-0.114558924698053i</v>
      </c>
      <c r="AR396" s="170" t="str">
        <f t="shared" si="194"/>
        <v>0.931895138195465+0.121460117814055i</v>
      </c>
    </row>
    <row r="397" spans="7:44">
      <c r="G397" s="688">
        <v>35481</v>
      </c>
      <c r="H397" s="676">
        <f t="shared" si="186"/>
        <v>35.481000000000002</v>
      </c>
      <c r="I397" s="677">
        <f t="shared" ref="I397:I460" si="198">SQRT(1+(G397/pole1)^2)</f>
        <v>31.231651781878035</v>
      </c>
      <c r="J397" s="678">
        <f t="shared" ref="J397:J460" si="199">ATAN(G397/pole1)</f>
        <v>1.5387720536915626</v>
      </c>
      <c r="K397" s="678">
        <f t="shared" ref="K397:K460" si="200">SQRT(1+(G397/Zero1)^2)</f>
        <v>1.0012020038849661</v>
      </c>
      <c r="L397" s="679">
        <f t="shared" ref="L397:L460" si="201">ATAN(G397/Zero1)</f>
        <v>4.9006144666260812E-2</v>
      </c>
      <c r="M397" s="678">
        <f t="shared" ref="M397:M460" si="202">SQRT(1+(G397/z_RHP)^2)</f>
        <v>1.1578934382883026</v>
      </c>
      <c r="N397" s="679">
        <f t="shared" ref="N397:N460" si="203">-ATAN(G397/z_RHP)</f>
        <v>-0.52835534299939513</v>
      </c>
      <c r="O397" s="677">
        <f t="shared" ref="O397:O460" si="204">SQRT(1+(G397/Pole2)^2)</f>
        <v>3170117.1802888042</v>
      </c>
      <c r="P397" s="680">
        <f t="shared" ref="P397:P460" si="205">ATAN(G397/Pole2)</f>
        <v>1.5707960113491439</v>
      </c>
      <c r="Q397" s="689">
        <f t="shared" si="195"/>
        <v>15.882099150270754</v>
      </c>
      <c r="R397" s="690">
        <f t="shared" si="196"/>
        <v>1.5077906802704584</v>
      </c>
      <c r="S397" s="677">
        <f t="shared" ref="S397:S460" si="206">SQRT(1+(G397/pole4)^2)</f>
        <v>1.0055676356813275</v>
      </c>
      <c r="T397" s="680">
        <f t="shared" ref="T397:T460" si="207">ATAN(G397/pole4)</f>
        <v>0.10527987157974114</v>
      </c>
      <c r="U397" s="681">
        <f t="shared" si="187"/>
        <v>0.12068677937412922</v>
      </c>
      <c r="V397" s="682">
        <f t="shared" si="188"/>
        <v>-2.6527067307128132</v>
      </c>
      <c r="W397" s="683">
        <f t="shared" ref="W397:W460" si="208">20*LOG10(((K397*Q397*M397*U397)/(I397*O397*S397))*Adc)</f>
        <v>-43.661922225388359</v>
      </c>
      <c r="X397" s="684">
        <f t="shared" ref="X397:X460" si="209">((L397+R397+N397+V397)-(J397+P397+T397))*radconv</f>
        <v>-277.26076242611163</v>
      </c>
      <c r="Y397" s="687">
        <f t="shared" ref="Y397:Y460" si="210">IF(X397&gt;0,X397,X397+180)</f>
        <v>-97.260762426111626</v>
      </c>
      <c r="AA397" s="170">
        <f t="shared" ref="AA397:AA460" si="211">IF(W397&lt;0,G397,1000000000)</f>
        <v>35481</v>
      </c>
      <c r="AB397" s="170">
        <f t="shared" ref="AB397:AB460" si="212">G397^2</f>
        <v>1258901361</v>
      </c>
      <c r="AD397" s="686">
        <f t="shared" ref="AD397:AD460" si="213">20*LOG10((Q397/(O397*S397))*Aea)</f>
        <v>-0.94612389632191585</v>
      </c>
      <c r="AE397" s="687">
        <f t="shared" ref="AE397:AE460" si="214">(R397-(P397+T397))*radconv</f>
        <v>-9.6420318778492202</v>
      </c>
      <c r="AG397" s="686">
        <f t="shared" ref="AG397:AG460" si="215">20*LOG10((K397*M397/(I397*U397))*Acs*Am)</f>
        <v>51.747628256764472</v>
      </c>
      <c r="AH397" s="687">
        <f t="shared" ref="AH397:AH460" si="216">(L397+N397-(J397+V397))*radconv</f>
        <v>36.3590697106644</v>
      </c>
      <c r="AJ397" s="170">
        <f t="shared" ref="AJ397:AJ460" si="217">SUM((W398&lt;0)*(W397&gt;0))*G397</f>
        <v>0</v>
      </c>
      <c r="AK397" s="170">
        <f t="shared" si="197"/>
        <v>0</v>
      </c>
      <c r="AM397" s="170" t="str">
        <f t="shared" si="189"/>
        <v>0.252324464517795-0.664064224033639i</v>
      </c>
      <c r="AN397" s="170" t="str">
        <f t="shared" si="190"/>
        <v>5.55694376621359i</v>
      </c>
      <c r="AO397" s="170" t="str">
        <f t="shared" si="191"/>
        <v>-0.119501699490136-0.0454070573922192i</v>
      </c>
      <c r="AP397" s="170" t="str">
        <f t="shared" si="192"/>
        <v>0.124612589247034+0.110677370672273i</v>
      </c>
      <c r="AQ397" s="170" t="str">
        <f t="shared" si="193"/>
        <v>0.875387410752966-0.110677370672273i</v>
      </c>
      <c r="AR397" s="170" t="str">
        <f t="shared" si="194"/>
        <v>0.936606870015081+0.118417496588958i</v>
      </c>
    </row>
    <row r="398" spans="7:44">
      <c r="G398" s="688">
        <v>35687.75</v>
      </c>
      <c r="H398" s="676">
        <f t="shared" ref="H398:H461" si="218">G398/1000</f>
        <v>35.687750000000001</v>
      </c>
      <c r="I398" s="677">
        <f t="shared" si="198"/>
        <v>31.41345452912439</v>
      </c>
      <c r="J398" s="678">
        <f t="shared" si="199"/>
        <v>1.5389574543348115</v>
      </c>
      <c r="K398" s="678">
        <f t="shared" si="200"/>
        <v>1.0012160444699509</v>
      </c>
      <c r="L398" s="679">
        <f t="shared" si="201"/>
        <v>4.9291245549053161E-2</v>
      </c>
      <c r="M398" s="678">
        <f t="shared" si="202"/>
        <v>1.1596118075829867</v>
      </c>
      <c r="N398" s="679">
        <f t="shared" si="203"/>
        <v>-0.5308885223998745</v>
      </c>
      <c r="O398" s="677">
        <f t="shared" si="204"/>
        <v>3188589.6508230236</v>
      </c>
      <c r="P398" s="680">
        <f t="shared" si="205"/>
        <v>1.5707960131766172</v>
      </c>
      <c r="Q398" s="689">
        <f t="shared" si="195"/>
        <v>15.974279296211375</v>
      </c>
      <c r="R398" s="690">
        <f t="shared" si="196"/>
        <v>1.5081547342812458</v>
      </c>
      <c r="S398" s="677">
        <f t="shared" si="206"/>
        <v>1.0056325284015333</v>
      </c>
      <c r="T398" s="680">
        <f t="shared" si="207"/>
        <v>0.10588878164758905</v>
      </c>
      <c r="U398" s="681">
        <f t="shared" ref="U398:U461" si="219">IMABS(IMPRODUCT(AO398, AR398))</f>
        <v>0.11538202249579156</v>
      </c>
      <c r="V398" s="682">
        <f t="shared" ref="V398:V461" si="220">IMARGUMENT(IMPRODUCT(AO398, AR398))</f>
        <v>-2.6730169870376836</v>
      </c>
      <c r="W398" s="683">
        <f t="shared" si="208"/>
        <v>-44.090525029057304</v>
      </c>
      <c r="X398" s="684">
        <f t="shared" si="209"/>
        <v>-278.57791180467962</v>
      </c>
      <c r="Y398" s="687">
        <f t="shared" si="210"/>
        <v>-98.577911804679616</v>
      </c>
      <c r="AA398" s="170">
        <f t="shared" si="211"/>
        <v>35687.75</v>
      </c>
      <c r="AB398" s="170">
        <f t="shared" si="212"/>
        <v>1273615500.0625</v>
      </c>
      <c r="AD398" s="686">
        <f t="shared" si="213"/>
        <v>-0.94688332682098875</v>
      </c>
      <c r="AE398" s="687">
        <f t="shared" si="214"/>
        <v>-9.6560612012295373</v>
      </c>
      <c r="AG398" s="686">
        <f t="shared" si="215"/>
        <v>52.100646909112697</v>
      </c>
      <c r="AH398" s="687">
        <f t="shared" si="216"/>
        <v>37.383333594624098</v>
      </c>
      <c r="AJ398" s="170">
        <f t="shared" si="217"/>
        <v>0</v>
      </c>
      <c r="AK398" s="170">
        <f t="shared" si="197"/>
        <v>0</v>
      </c>
      <c r="AM398" s="170" t="str">
        <f t="shared" ref="AM398:AM461" si="221">IMSUB(1,IMEXP(COMPLEX(0,-2*Pi*G398*Tsw)))</f>
        <v>0.231217322762697-0.639510121248948i</v>
      </c>
      <c r="AN398" s="170" t="str">
        <f t="shared" ref="AN398:AN461" si="222">COMPLEX(0, 2*Pi*G398*Tsw)</f>
        <v>5.58932442413373i</v>
      </c>
      <c r="AO398" s="170" t="str">
        <f t="shared" ref="AO398:AO461" si="223">IMDIV(AM398, AN398)</f>
        <v>-0.114416353877698-0.0413676690092171i</v>
      </c>
      <c r="AP398" s="170" t="str">
        <f t="shared" ref="AP398:AP461" si="224">IMDIV(IMEXP(COMPLEX(0,-2*Pi*G398*Tsw)),6)</f>
        <v>0.128130446206217+0.106585020208158i</v>
      </c>
      <c r="AQ398" s="170" t="str">
        <f t="shared" ref="AQ398:AQ461" si="225">IMSUB(1, AP398)</f>
        <v>0.871869553793783-0.106585020208158i</v>
      </c>
      <c r="AR398" s="170" t="str">
        <f t="shared" ref="AR398:AR461" si="226">IMDIV(0.833, AQ398)</f>
        <v>0.941349894067847+0.115078909506112i</v>
      </c>
    </row>
    <row r="399" spans="7:44">
      <c r="G399" s="688">
        <v>35894.5</v>
      </c>
      <c r="H399" s="676">
        <f t="shared" si="218"/>
        <v>35.894500000000001</v>
      </c>
      <c r="I399" s="677">
        <f t="shared" si="198"/>
        <v>31.595258343731469</v>
      </c>
      <c r="J399" s="678">
        <f t="shared" si="199"/>
        <v>1.5391407213385604</v>
      </c>
      <c r="K399" s="678">
        <f t="shared" si="200"/>
        <v>1.001230166434006</v>
      </c>
      <c r="L399" s="679">
        <f t="shared" si="201"/>
        <v>4.9576338412542782E-2</v>
      </c>
      <c r="M399" s="678">
        <f t="shared" si="202"/>
        <v>1.1613375960555974</v>
      </c>
      <c r="N399" s="679">
        <f t="shared" si="203"/>
        <v>-0.53341418918032246</v>
      </c>
      <c r="O399" s="677">
        <f t="shared" si="204"/>
        <v>3207062.1213572435</v>
      </c>
      <c r="P399" s="680">
        <f t="shared" si="205"/>
        <v>1.5707960149830382</v>
      </c>
      <c r="Q399" s="689">
        <f t="shared" si="195"/>
        <v>16.066461535014039</v>
      </c>
      <c r="R399" s="690">
        <f t="shared" si="196"/>
        <v>1.5085146107780008</v>
      </c>
      <c r="S399" s="677">
        <f t="shared" si="206"/>
        <v>1.0056977939333926</v>
      </c>
      <c r="T399" s="680">
        <f t="shared" si="207"/>
        <v>0.1064976129097755</v>
      </c>
      <c r="U399" s="681">
        <f t="shared" si="219"/>
        <v>0.11004927778155685</v>
      </c>
      <c r="V399" s="682">
        <f t="shared" si="220"/>
        <v>-2.693509736272361</v>
      </c>
      <c r="W399" s="683">
        <f t="shared" si="208"/>
        <v>-44.53938783679601</v>
      </c>
      <c r="X399" s="684">
        <f t="shared" si="209"/>
        <v>-279.90519986378001</v>
      </c>
      <c r="Y399" s="687">
        <f t="shared" si="210"/>
        <v>-99.905199863780012</v>
      </c>
      <c r="AA399" s="170">
        <f t="shared" si="211"/>
        <v>35894.5</v>
      </c>
      <c r="AB399" s="170">
        <f t="shared" si="212"/>
        <v>1288415130.25</v>
      </c>
      <c r="AD399" s="686">
        <f t="shared" si="213"/>
        <v>-0.94764252252179981</v>
      </c>
      <c r="AE399" s="687">
        <f t="shared" si="214"/>
        <v>-9.670325362095026</v>
      </c>
      <c r="AG399" s="686">
        <f t="shared" si="215"/>
        <v>52.474581318694362</v>
      </c>
      <c r="AH399" s="687">
        <f t="shared" si="216"/>
        <v>38.418605782606399</v>
      </c>
      <c r="AJ399" s="170">
        <f t="shared" si="217"/>
        <v>0</v>
      </c>
      <c r="AK399" s="170">
        <f t="shared" si="197"/>
        <v>0</v>
      </c>
      <c r="AM399" s="170" t="str">
        <f t="shared" si="221"/>
        <v>0.210916184603071-0.614285546206832i</v>
      </c>
      <c r="AN399" s="170" t="str">
        <f t="shared" si="222"/>
        <v>5.62170508205388i</v>
      </c>
      <c r="AO399" s="170" t="str">
        <f t="shared" si="223"/>
        <v>-0.109270325860353-0.0375181873692337i</v>
      </c>
      <c r="AP399" s="170" t="str">
        <f t="shared" si="224"/>
        <v>0.131513969232821+0.102380924367805i</v>
      </c>
      <c r="AQ399" s="170" t="str">
        <f t="shared" si="225"/>
        <v>0.868486030767179-0.102380924367805i</v>
      </c>
      <c r="AR399" s="170" t="str">
        <f t="shared" si="226"/>
        <v>0.945994136173701+0.111517918166666i</v>
      </c>
    </row>
    <row r="400" spans="7:44">
      <c r="G400" s="688">
        <v>36101.25</v>
      </c>
      <c r="H400" s="676">
        <f t="shared" si="218"/>
        <v>36.10125</v>
      </c>
      <c r="I400" s="677">
        <f t="shared" si="198"/>
        <v>31.777063207379442</v>
      </c>
      <c r="J400" s="678">
        <f t="shared" si="199"/>
        <v>1.5393218913117153</v>
      </c>
      <c r="K400" s="678">
        <f t="shared" si="200"/>
        <v>1.0012443697736877</v>
      </c>
      <c r="L400" s="679">
        <f t="shared" si="201"/>
        <v>4.9861423210726452E-2</v>
      </c>
      <c r="M400" s="678">
        <f t="shared" si="202"/>
        <v>1.1630707706799455</v>
      </c>
      <c r="N400" s="679">
        <f t="shared" si="203"/>
        <v>-0.53593234463222339</v>
      </c>
      <c r="O400" s="677">
        <f t="shared" si="204"/>
        <v>3225534.5918914629</v>
      </c>
      <c r="P400" s="680">
        <f t="shared" si="205"/>
        <v>1.5707960167687687</v>
      </c>
      <c r="Q400" s="689">
        <f t="shared" si="195"/>
        <v>16.158645830860511</v>
      </c>
      <c r="R400" s="690">
        <f t="shared" si="196"/>
        <v>1.5088703811642488</v>
      </c>
      <c r="S400" s="677">
        <f t="shared" si="206"/>
        <v>1.0057634322043283</v>
      </c>
      <c r="T400" s="680">
        <f t="shared" si="207"/>
        <v>0.10710636493032841</v>
      </c>
      <c r="U400" s="681">
        <f t="shared" si="219"/>
        <v>0.10469066051812015</v>
      </c>
      <c r="V400" s="682">
        <f t="shared" si="220"/>
        <v>-2.7141808946925812</v>
      </c>
      <c r="W400" s="683">
        <f t="shared" si="208"/>
        <v>-45.010492619775206</v>
      </c>
      <c r="X400" s="684">
        <f t="shared" si="209"/>
        <v>-281.24239068133653</v>
      </c>
      <c r="Y400" s="687">
        <f t="shared" si="210"/>
        <v>-101.24239068133653</v>
      </c>
      <c r="AA400" s="170">
        <f t="shared" si="211"/>
        <v>36101.25</v>
      </c>
      <c r="AB400" s="170">
        <f t="shared" si="212"/>
        <v>1303300251.5625</v>
      </c>
      <c r="AD400" s="686">
        <f t="shared" si="213"/>
        <v>-0.94840156001016918</v>
      </c>
      <c r="AE400" s="687">
        <f t="shared" si="214"/>
        <v>-9.6848202443663975</v>
      </c>
      <c r="AG400" s="686">
        <f t="shared" si="215"/>
        <v>52.871405848493119</v>
      </c>
      <c r="AH400" s="687">
        <f t="shared" si="216"/>
        <v>39.464650120277817</v>
      </c>
      <c r="AJ400" s="170">
        <f t="shared" si="217"/>
        <v>0</v>
      </c>
      <c r="AK400" s="170">
        <f t="shared" si="197"/>
        <v>0</v>
      </c>
      <c r="AM400" s="170" t="str">
        <f t="shared" si="221"/>
        <v>0.191442334064746-0.588416944740151i</v>
      </c>
      <c r="AN400" s="170" t="str">
        <f t="shared" si="222"/>
        <v>5.65408573997402i</v>
      </c>
      <c r="AO400" s="170" t="str">
        <f t="shared" si="223"/>
        <v>-0.10406933530917-0.0338591140759082i</v>
      </c>
      <c r="AP400" s="170" t="str">
        <f t="shared" si="224"/>
        <v>0.134759610989209+0.0980694907900252i</v>
      </c>
      <c r="AQ400" s="170" t="str">
        <f t="shared" si="225"/>
        <v>0.865240389010791-0.0980694907900252i</v>
      </c>
      <c r="AR400" s="170" t="str">
        <f t="shared" si="226"/>
        <v>0.950527018170175+0.10773618735099i</v>
      </c>
    </row>
    <row r="401" spans="7:44">
      <c r="G401" s="688">
        <v>36308</v>
      </c>
      <c r="H401" s="676">
        <f t="shared" si="218"/>
        <v>36.308</v>
      </c>
      <c r="I401" s="677">
        <f t="shared" si="198"/>
        <v>31.958869102165224</v>
      </c>
      <c r="J401" s="678">
        <f t="shared" si="199"/>
        <v>1.5395010000307048</v>
      </c>
      <c r="K401" s="678">
        <f t="shared" si="200"/>
        <v>1.0012586544855333</v>
      </c>
      <c r="L401" s="679">
        <f t="shared" si="201"/>
        <v>5.0146499897608804E-2</v>
      </c>
      <c r="M401" s="678">
        <f t="shared" si="202"/>
        <v>1.1648112984854793</v>
      </c>
      <c r="N401" s="679">
        <f t="shared" si="203"/>
        <v>-0.53844299042043031</v>
      </c>
      <c r="O401" s="677">
        <f t="shared" si="204"/>
        <v>3244007.0624256823</v>
      </c>
      <c r="P401" s="680">
        <f t="shared" si="205"/>
        <v>1.5707960185341621</v>
      </c>
      <c r="Q401" s="689">
        <f t="shared" si="195"/>
        <v>16.2508321487445</v>
      </c>
      <c r="R401" s="690">
        <f t="shared" si="196"/>
        <v>1.5092221152275209</v>
      </c>
      <c r="S401" s="677">
        <f t="shared" si="206"/>
        <v>1.0058294431413679</v>
      </c>
      <c r="T401" s="680">
        <f t="shared" si="207"/>
        <v>0.1077150372736241</v>
      </c>
      <c r="U401" s="681">
        <f t="shared" si="219"/>
        <v>9.9308499671529729E-2</v>
      </c>
      <c r="V401" s="682">
        <f t="shared" si="220"/>
        <v>-2.7350258862339731</v>
      </c>
      <c r="W401" s="683">
        <f t="shared" si="208"/>
        <v>-45.506122277933159</v>
      </c>
      <c r="X401" s="684">
        <f t="shared" si="209"/>
        <v>-282.58922019256619</v>
      </c>
      <c r="Y401" s="687">
        <f t="shared" si="210"/>
        <v>-102.58922019256619</v>
      </c>
      <c r="AA401" s="170">
        <f t="shared" si="211"/>
        <v>36308</v>
      </c>
      <c r="AB401" s="170">
        <f t="shared" si="212"/>
        <v>1318270864</v>
      </c>
      <c r="AD401" s="686">
        <f t="shared" si="213"/>
        <v>-0.94916051366392529</v>
      </c>
      <c r="AE401" s="687">
        <f t="shared" si="214"/>
        <v>-9.6995418245735188</v>
      </c>
      <c r="AG401" s="686">
        <f t="shared" si="215"/>
        <v>53.293395910152775</v>
      </c>
      <c r="AH401" s="687">
        <f t="shared" si="216"/>
        <v>40.521202270600043</v>
      </c>
      <c r="AJ401" s="170">
        <f t="shared" si="217"/>
        <v>0</v>
      </c>
      <c r="AK401" s="170">
        <f t="shared" si="197"/>
        <v>0</v>
      </c>
      <c r="AM401" s="170" t="str">
        <f t="shared" si="221"/>
        <v>0.172816187832452-0.561931437888967i</v>
      </c>
      <c r="AN401" s="170" t="str">
        <f t="shared" si="222"/>
        <v>5.68646639789416i</v>
      </c>
      <c r="AO401" s="170" t="str">
        <f t="shared" si="223"/>
        <v>-0.0988190905510431-0.0303907867804249i</v>
      </c>
      <c r="AP401" s="170" t="str">
        <f t="shared" si="224"/>
        <v>0.137863968694591+0.0936552396481612i</v>
      </c>
      <c r="AQ401" s="170" t="str">
        <f t="shared" si="225"/>
        <v>0.862136031305409-0.0936552396481612i</v>
      </c>
      <c r="AR401" s="170" t="str">
        <f t="shared" si="226"/>
        <v>0.954935797481616+0.103736229219339i</v>
      </c>
    </row>
    <row r="402" spans="7:44">
      <c r="G402" s="688">
        <v>36519.5</v>
      </c>
      <c r="H402" s="676">
        <f t="shared" si="218"/>
        <v>36.519500000000001</v>
      </c>
      <c r="I402" s="677">
        <f t="shared" si="198"/>
        <v>32.144852964639306</v>
      </c>
      <c r="J402" s="678">
        <f t="shared" si="199"/>
        <v>1.5396821273233057</v>
      </c>
      <c r="K402" s="678">
        <f t="shared" si="200"/>
        <v>1.0012733515772676</v>
      </c>
      <c r="L402" s="679">
        <f t="shared" si="201"/>
        <v>5.0438117668419179E-2</v>
      </c>
      <c r="M402" s="678">
        <f t="shared" si="202"/>
        <v>1.1665993884431787</v>
      </c>
      <c r="N402" s="679">
        <f t="shared" si="203"/>
        <v>-0.54100354898853986</v>
      </c>
      <c r="O402" s="677">
        <f t="shared" si="204"/>
        <v>3262903.9307109904</v>
      </c>
      <c r="P402" s="680">
        <f t="shared" si="205"/>
        <v>1.5707960203194313</v>
      </c>
      <c r="Q402" s="689">
        <f t="shared" si="195"/>
        <v>16.34513846763636</v>
      </c>
      <c r="R402" s="690">
        <f t="shared" si="196"/>
        <v>1.509577824872236</v>
      </c>
      <c r="S402" s="677">
        <f t="shared" si="206"/>
        <v>1.0058973561844879</v>
      </c>
      <c r="T402" s="680">
        <f t="shared" si="207"/>
        <v>0.10833761072685522</v>
      </c>
      <c r="U402" s="681">
        <f t="shared" si="219"/>
        <v>9.3780976914547315E-2</v>
      </c>
      <c r="V402" s="682">
        <f t="shared" si="220"/>
        <v>-2.7565243599577416</v>
      </c>
      <c r="W402" s="683">
        <f t="shared" si="208"/>
        <v>-46.041281941602712</v>
      </c>
      <c r="X402" s="684">
        <f t="shared" si="209"/>
        <v>-283.97666083778853</v>
      </c>
      <c r="Y402" s="687">
        <f t="shared" si="210"/>
        <v>-103.97666083778853</v>
      </c>
      <c r="AA402" s="170">
        <f t="shared" si="211"/>
        <v>36519.5</v>
      </c>
      <c r="AB402" s="170">
        <f t="shared" si="212"/>
        <v>1333673880.25</v>
      </c>
      <c r="AD402" s="686">
        <f t="shared" si="213"/>
        <v>-0.94993689254663338</v>
      </c>
      <c r="AE402" s="687">
        <f t="shared" si="214"/>
        <v>-9.7148320968121347</v>
      </c>
      <c r="AG402" s="686">
        <f t="shared" si="215"/>
        <v>53.753879355863027</v>
      </c>
      <c r="AH402" s="687">
        <f t="shared" si="216"/>
        <v>41.612595521121023</v>
      </c>
      <c r="AJ402" s="170">
        <f t="shared" si="217"/>
        <v>0</v>
      </c>
      <c r="AK402" s="170">
        <f t="shared" si="197"/>
        <v>0</v>
      </c>
      <c r="AM402" s="170" t="str">
        <f t="shared" si="221"/>
        <v>0.154659610131892-0.534228064835267i</v>
      </c>
      <c r="AN402" s="170" t="str">
        <f t="shared" si="222"/>
        <v>5.71959098870486i</v>
      </c>
      <c r="AO402" s="170" t="str">
        <f t="shared" si="223"/>
        <v>-0.0934031936707134-0.027040326911018i</v>
      </c>
      <c r="AP402" s="170" t="str">
        <f t="shared" si="224"/>
        <v>0.140890064978018+0.0890380108058778i</v>
      </c>
      <c r="AQ402" s="170" t="str">
        <f t="shared" si="225"/>
        <v>0.859109935021982-0.0890380108058778i</v>
      </c>
      <c r="AR402" s="170" t="str">
        <f t="shared" si="226"/>
        <v>0.959304064782138+0.0994221137531241i</v>
      </c>
    </row>
    <row r="403" spans="7:44">
      <c r="G403" s="688">
        <v>36731</v>
      </c>
      <c r="H403" s="676">
        <f t="shared" si="218"/>
        <v>36.731000000000002</v>
      </c>
      <c r="I403" s="677">
        <f t="shared" si="198"/>
        <v>32.330837869559666</v>
      </c>
      <c r="J403" s="678">
        <f t="shared" si="199"/>
        <v>1.5398611707325021</v>
      </c>
      <c r="K403" s="678">
        <f t="shared" si="200"/>
        <v>1.0012881338157096</v>
      </c>
      <c r="L403" s="679">
        <f t="shared" si="201"/>
        <v>5.0729726853592214E-2</v>
      </c>
      <c r="M403" s="678">
        <f t="shared" si="202"/>
        <v>1.1683951037230682</v>
      </c>
      <c r="N403" s="679">
        <f t="shared" si="203"/>
        <v>-0.54355625356689774</v>
      </c>
      <c r="O403" s="677">
        <f t="shared" si="204"/>
        <v>3281800.7989962986</v>
      </c>
      <c r="P403" s="680">
        <f t="shared" si="205"/>
        <v>1.5707960220841415</v>
      </c>
      <c r="Q403" s="689">
        <f t="shared" si="195"/>
        <v>16.439446830939708</v>
      </c>
      <c r="R403" s="690">
        <f t="shared" si="196"/>
        <v>1.5099294533538157</v>
      </c>
      <c r="S403" s="677">
        <f t="shared" si="206"/>
        <v>1.0059656590583839</v>
      </c>
      <c r="T403" s="680">
        <f t="shared" si="207"/>
        <v>0.10896009987857561</v>
      </c>
      <c r="U403" s="681">
        <f t="shared" si="219"/>
        <v>8.8234429293643113E-2</v>
      </c>
      <c r="V403" s="682">
        <f t="shared" si="220"/>
        <v>-2.7781934619559419</v>
      </c>
      <c r="W403" s="683">
        <f t="shared" si="208"/>
        <v>-46.608214224574951</v>
      </c>
      <c r="X403" s="684">
        <f t="shared" si="209"/>
        <v>-285.37353785886819</v>
      </c>
      <c r="Y403" s="687">
        <f t="shared" si="210"/>
        <v>-105.37353785886819</v>
      </c>
      <c r="AA403" s="170">
        <f t="shared" si="211"/>
        <v>36731</v>
      </c>
      <c r="AB403" s="170">
        <f t="shared" si="212"/>
        <v>1349166361</v>
      </c>
      <c r="AD403" s="686">
        <f t="shared" si="213"/>
        <v>-0.95071333439811734</v>
      </c>
      <c r="AE403" s="687">
        <f t="shared" si="214"/>
        <v>-9.730351371175459</v>
      </c>
      <c r="AG403" s="686">
        <f t="shared" si="215"/>
        <v>54.246790373703647</v>
      </c>
      <c r="AH403" s="687">
        <f t="shared" si="216"/>
        <v>42.714333957912764</v>
      </c>
      <c r="AJ403" s="170">
        <f t="shared" si="217"/>
        <v>0</v>
      </c>
      <c r="AK403" s="170">
        <f t="shared" si="197"/>
        <v>0</v>
      </c>
      <c r="AM403" s="170" t="str">
        <f t="shared" si="221"/>
        <v>0.137430487658597-0.505938569768222i</v>
      </c>
      <c r="AN403" s="170" t="str">
        <f t="shared" si="222"/>
        <v>5.75271557951555i</v>
      </c>
      <c r="AO403" s="170" t="str">
        <f t="shared" si="223"/>
        <v>-0.0879477809697013-0.0238896718878235i</v>
      </c>
      <c r="AP403" s="170" t="str">
        <f t="shared" si="224"/>
        <v>0.143761585390234+0.0843230949613703i</v>
      </c>
      <c r="AQ403" s="170" t="str">
        <f t="shared" si="225"/>
        <v>0.856238414609766-0.0843230949613703i</v>
      </c>
      <c r="AR403" s="170" t="str">
        <f t="shared" si="226"/>
        <v>0.963515245468141+0.0948878094629362i</v>
      </c>
    </row>
    <row r="404" spans="7:44">
      <c r="G404" s="688">
        <v>36942.5</v>
      </c>
      <c r="H404" s="676">
        <f t="shared" si="218"/>
        <v>36.942500000000003</v>
      </c>
      <c r="I404" s="677">
        <f t="shared" si="198"/>
        <v>32.516823799039024</v>
      </c>
      <c r="J404" s="678">
        <f t="shared" si="199"/>
        <v>1.5400381660041735</v>
      </c>
      <c r="K404" s="678">
        <f t="shared" si="200"/>
        <v>1.0013030011970876</v>
      </c>
      <c r="L404" s="679">
        <f t="shared" si="201"/>
        <v>5.1021327403914747E-2</v>
      </c>
      <c r="M404" s="678">
        <f t="shared" si="202"/>
        <v>1.170198409221082</v>
      </c>
      <c r="N404" s="679">
        <f t="shared" si="203"/>
        <v>-0.54610110712049886</v>
      </c>
      <c r="O404" s="677">
        <f t="shared" si="204"/>
        <v>3300697.6672816067</v>
      </c>
      <c r="P404" s="680">
        <f t="shared" si="205"/>
        <v>1.5707960238286449</v>
      </c>
      <c r="Q404" s="689">
        <f t="shared" si="195"/>
        <v>16.53375720367065</v>
      </c>
      <c r="R404" s="690">
        <f t="shared" si="196"/>
        <v>1.5102770704227675</v>
      </c>
      <c r="S404" s="677">
        <f t="shared" si="206"/>
        <v>1.0060343516836552</v>
      </c>
      <c r="T404" s="680">
        <f t="shared" si="207"/>
        <v>0.1095825042635851</v>
      </c>
      <c r="U404" s="681">
        <f t="shared" si="219"/>
        <v>8.267203666026908E-2</v>
      </c>
      <c r="V404" s="682">
        <f t="shared" si="220"/>
        <v>-2.8000266724296647</v>
      </c>
      <c r="W404" s="683">
        <f t="shared" si="208"/>
        <v>-47.210878375479012</v>
      </c>
      <c r="X404" s="684">
        <f t="shared" si="209"/>
        <v>-286.77947589658999</v>
      </c>
      <c r="Y404" s="687">
        <f t="shared" si="210"/>
        <v>-106.77947589658999</v>
      </c>
      <c r="AA404" s="170">
        <f t="shared" si="211"/>
        <v>36942.5</v>
      </c>
      <c r="AB404" s="170">
        <f t="shared" si="212"/>
        <v>1364748306.25</v>
      </c>
      <c r="AD404" s="686">
        <f t="shared" si="213"/>
        <v>-0.95148991214293788</v>
      </c>
      <c r="AE404" s="687">
        <f t="shared" si="214"/>
        <v>-9.7460956246199721</v>
      </c>
      <c r="AG404" s="686">
        <f t="shared" si="215"/>
        <v>54.776080568668533</v>
      </c>
      <c r="AH404" s="687">
        <f t="shared" si="216"/>
        <v>43.826041803224633</v>
      </c>
      <c r="AJ404" s="170">
        <f t="shared" si="217"/>
        <v>0</v>
      </c>
      <c r="AK404" s="170">
        <f t="shared" si="197"/>
        <v>0</v>
      </c>
      <c r="AM404" s="170" t="str">
        <f t="shared" si="221"/>
        <v>0.121147723140847-0.477093990173302i</v>
      </c>
      <c r="AN404" s="170" t="str">
        <f t="shared" si="222"/>
        <v>5.78584017032624i</v>
      </c>
      <c r="AO404" s="170" t="str">
        <f t="shared" si="223"/>
        <v>-0.0824588955326086-0.0209386570617999i</v>
      </c>
      <c r="AP404" s="170" t="str">
        <f t="shared" si="224"/>
        <v>0.146475379476526+0.0795156650288837i</v>
      </c>
      <c r="AQ404" s="170" t="str">
        <f t="shared" si="225"/>
        <v>0.853524620523474-0.0795156650288837i</v>
      </c>
      <c r="AR404" s="170" t="str">
        <f t="shared" si="226"/>
        <v>0.967555616059405+0.0901389677736648i</v>
      </c>
    </row>
    <row r="405" spans="7:44">
      <c r="G405" s="688">
        <v>37154</v>
      </c>
      <c r="H405" s="676">
        <f t="shared" si="218"/>
        <v>37.154000000000003</v>
      </c>
      <c r="I405" s="677">
        <f t="shared" si="198"/>
        <v>32.702810735596891</v>
      </c>
      <c r="J405" s="678">
        <f t="shared" si="199"/>
        <v>1.5402131480715462</v>
      </c>
      <c r="K405" s="678">
        <f t="shared" si="200"/>
        <v>1.0013179537176096</v>
      </c>
      <c r="L405" s="679">
        <f t="shared" si="201"/>
        <v>5.131291927018241E-2</v>
      </c>
      <c r="M405" s="678">
        <f t="shared" si="202"/>
        <v>1.1720092699012805</v>
      </c>
      <c r="N405" s="679">
        <f t="shared" si="203"/>
        <v>-0.54863811300288967</v>
      </c>
      <c r="O405" s="677">
        <f t="shared" si="204"/>
        <v>3319594.5355669153</v>
      </c>
      <c r="P405" s="680">
        <f t="shared" si="205"/>
        <v>1.5707960255532873</v>
      </c>
      <c r="Q405" s="689">
        <f t="shared" si="195"/>
        <v>16.62806955163822</v>
      </c>
      <c r="R405" s="690">
        <f t="shared" si="196"/>
        <v>1.5106207442510622</v>
      </c>
      <c r="S405" s="677">
        <f t="shared" si="206"/>
        <v>1.0061034339804702</v>
      </c>
      <c r="T405" s="680">
        <f t="shared" si="207"/>
        <v>0.1102048234170728</v>
      </c>
      <c r="U405" s="681">
        <f t="shared" si="219"/>
        <v>7.7097201748056954E-2</v>
      </c>
      <c r="V405" s="682">
        <f t="shared" si="220"/>
        <v>-2.8220169284134125</v>
      </c>
      <c r="W405" s="683">
        <f t="shared" si="208"/>
        <v>-47.854034277130204</v>
      </c>
      <c r="X405" s="684">
        <f t="shared" si="209"/>
        <v>-288.1940685367511</v>
      </c>
      <c r="Y405" s="687">
        <f t="shared" si="210"/>
        <v>-108.1940685367511</v>
      </c>
      <c r="AA405" s="170">
        <f t="shared" si="211"/>
        <v>37154</v>
      </c>
      <c r="AB405" s="170">
        <f t="shared" si="212"/>
        <v>1380419716</v>
      </c>
      <c r="AD405" s="686">
        <f t="shared" si="213"/>
        <v>-0.95226669659763252</v>
      </c>
      <c r="AE405" s="687">
        <f t="shared" si="214"/>
        <v>-9.7620609245675478</v>
      </c>
      <c r="AG405" s="686">
        <f t="shared" si="215"/>
        <v>55.346502300194835</v>
      </c>
      <c r="AH405" s="687">
        <f t="shared" si="216"/>
        <v>44.94731218245262</v>
      </c>
      <c r="AJ405" s="170">
        <f t="shared" si="217"/>
        <v>0</v>
      </c>
      <c r="AK405" s="170">
        <f t="shared" si="197"/>
        <v>0</v>
      </c>
      <c r="AM405" s="170" t="str">
        <f t="shared" si="221"/>
        <v>0.105829181021471-0.447725972540422i</v>
      </c>
      <c r="AN405" s="170" t="str">
        <f t="shared" si="222"/>
        <v>5.81896476113693i</v>
      </c>
      <c r="AO405" s="170" t="str">
        <f t="shared" si="223"/>
        <v>-0.0769425475009998-0.0181869431016787i</v>
      </c>
      <c r="AP405" s="170" t="str">
        <f t="shared" si="224"/>
        <v>0.149028469829755+0.0746209954234037i</v>
      </c>
      <c r="AQ405" s="170" t="str">
        <f t="shared" si="225"/>
        <v>0.850971530170245-0.0746209954234037i</v>
      </c>
      <c r="AR405" s="170" t="str">
        <f t="shared" si="226"/>
        <v>0.971411596878267+0.0851822860752963i</v>
      </c>
    </row>
    <row r="406" spans="7:44">
      <c r="G406" s="688">
        <v>37370.25</v>
      </c>
      <c r="H406" s="676">
        <f t="shared" si="218"/>
        <v>37.370249999999999</v>
      </c>
      <c r="I406" s="677">
        <f t="shared" si="198"/>
        <v>32.892975707196186</v>
      </c>
      <c r="J406" s="678">
        <f t="shared" si="199"/>
        <v>1.5403900140256246</v>
      </c>
      <c r="K406" s="678">
        <f t="shared" si="200"/>
        <v>1.001333330076045</v>
      </c>
      <c r="L406" s="679">
        <f t="shared" si="201"/>
        <v>5.1611050859908948E-2</v>
      </c>
      <c r="M406" s="678">
        <f t="shared" si="202"/>
        <v>1.1738685752124323</v>
      </c>
      <c r="N406" s="679">
        <f t="shared" si="203"/>
        <v>-0.55122398643146309</v>
      </c>
      <c r="O406" s="677">
        <f t="shared" si="204"/>
        <v>3338915.8016033112</v>
      </c>
      <c r="P406" s="680">
        <f t="shared" si="205"/>
        <v>1.5707960272964787</v>
      </c>
      <c r="Q406" s="689">
        <f t="shared" si="195"/>
        <v>16.724502033091515</v>
      </c>
      <c r="R406" s="690">
        <f t="shared" si="196"/>
        <v>1.5109681288540255</v>
      </c>
      <c r="S406" s="677">
        <f t="shared" si="206"/>
        <v>1.0061744705843876</v>
      </c>
      <c r="T406" s="680">
        <f t="shared" si="207"/>
        <v>0.11084103039738397</v>
      </c>
      <c r="U406" s="681">
        <f t="shared" si="219"/>
        <v>7.1388069106277055E-2</v>
      </c>
      <c r="V406" s="682">
        <f t="shared" si="220"/>
        <v>-2.8446555127059314</v>
      </c>
      <c r="W406" s="683">
        <f t="shared" si="208"/>
        <v>-48.559548085107679</v>
      </c>
      <c r="X406" s="684">
        <f t="shared" si="209"/>
        <v>-289.64892390034413</v>
      </c>
      <c r="Y406" s="687">
        <f t="shared" si="210"/>
        <v>-109.64892390034413</v>
      </c>
      <c r="AA406" s="170">
        <f t="shared" si="211"/>
        <v>37370.25</v>
      </c>
      <c r="AB406" s="170">
        <f t="shared" si="212"/>
        <v>1396535585.0625</v>
      </c>
      <c r="AD406" s="686">
        <f t="shared" si="213"/>
        <v>-0.9530612119262144</v>
      </c>
      <c r="AE406" s="687">
        <f t="shared" si="214"/>
        <v>-9.778609327714932</v>
      </c>
      <c r="AG406" s="686">
        <f t="shared" si="215"/>
        <v>55.97830221483504</v>
      </c>
      <c r="AH406" s="687">
        <f t="shared" si="216"/>
        <v>46.103195893196229</v>
      </c>
      <c r="AJ406" s="170">
        <f t="shared" si="217"/>
        <v>0</v>
      </c>
      <c r="AK406" s="170">
        <f t="shared" si="197"/>
        <v>0</v>
      </c>
      <c r="AM406" s="170" t="str">
        <f t="shared" si="221"/>
        <v>0.091181054477417-0.417190752844812i</v>
      </c>
      <c r="AN406" s="170" t="str">
        <f t="shared" si="222"/>
        <v>5.85283328483817i</v>
      </c>
      <c r="AO406" s="170" t="str">
        <f t="shared" si="223"/>
        <v>-0.0712801360540286-0.015578959802874i</v>
      </c>
      <c r="AP406" s="170" t="str">
        <f t="shared" si="224"/>
        <v>0.151469824253764+0.069531792140802i</v>
      </c>
      <c r="AQ406" s="170" t="str">
        <f t="shared" si="225"/>
        <v>0.848530175746236-0.069531792140802i</v>
      </c>
      <c r="AR406" s="170" t="str">
        <f t="shared" si="226"/>
        <v>0.975149633902717+0.0799074724609211i</v>
      </c>
    </row>
    <row r="407" spans="7:44">
      <c r="G407" s="688">
        <v>37586.5</v>
      </c>
      <c r="H407" s="676">
        <f t="shared" si="218"/>
        <v>37.586500000000001</v>
      </c>
      <c r="I407" s="677">
        <f t="shared" si="198"/>
        <v>33.083141695910314</v>
      </c>
      <c r="J407" s="678">
        <f t="shared" si="199"/>
        <v>1.5405648466903781</v>
      </c>
      <c r="K407" s="678">
        <f t="shared" si="200"/>
        <v>1.0013487954326967</v>
      </c>
      <c r="L407" s="679">
        <f t="shared" si="201"/>
        <v>5.1909173267130987E-2</v>
      </c>
      <c r="M407" s="678">
        <f t="shared" si="202"/>
        <v>1.1757357050227093</v>
      </c>
      <c r="N407" s="679">
        <f t="shared" si="203"/>
        <v>-0.55380166404621656</v>
      </c>
      <c r="O407" s="677">
        <f t="shared" si="204"/>
        <v>3358237.0676397085</v>
      </c>
      <c r="P407" s="680">
        <f t="shared" si="205"/>
        <v>1.5707960290196117</v>
      </c>
      <c r="Q407" s="689">
        <f t="shared" ref="Q407:Q470" si="227">SQRT(1+(G407/Zero2)^2)</f>
        <v>16.820936509650963</v>
      </c>
      <c r="R407" s="690">
        <f t="shared" ref="R407:R470" si="228">ATAN(G407/Zero2)</f>
        <v>1.5113115303842126</v>
      </c>
      <c r="S407" s="677">
        <f t="shared" si="206"/>
        <v>1.0062459143892037</v>
      </c>
      <c r="T407" s="680">
        <f t="shared" si="207"/>
        <v>0.11147714729331165</v>
      </c>
      <c r="U407" s="681">
        <f t="shared" si="219"/>
        <v>6.5673801426374565E-2</v>
      </c>
      <c r="V407" s="682">
        <f t="shared" si="220"/>
        <v>-2.8674416414918977</v>
      </c>
      <c r="W407" s="683">
        <f t="shared" si="208"/>
        <v>-49.321145410891347</v>
      </c>
      <c r="X407" s="684">
        <f t="shared" si="209"/>
        <v>-291.11187043304699</v>
      </c>
      <c r="Y407" s="687">
        <f t="shared" si="210"/>
        <v>-111.11187043304699</v>
      </c>
      <c r="AA407" s="170">
        <f t="shared" si="211"/>
        <v>37586.5</v>
      </c>
      <c r="AB407" s="170">
        <f t="shared" si="212"/>
        <v>1412744982.25</v>
      </c>
      <c r="AD407" s="686">
        <f t="shared" si="213"/>
        <v>-0.95385608664005239</v>
      </c>
      <c r="AE407" s="687">
        <f t="shared" si="214"/>
        <v>-9.7953807815179079</v>
      </c>
      <c r="AG407" s="686">
        <f t="shared" si="215"/>
        <v>56.666838960028429</v>
      </c>
      <c r="AH407" s="687">
        <f t="shared" si="216"/>
        <v>47.268118839034756</v>
      </c>
      <c r="AJ407" s="170">
        <f t="shared" si="217"/>
        <v>0</v>
      </c>
      <c r="AK407" s="170">
        <f t="shared" ref="AK407:AK470" si="229">IF(AJ407&gt;0,Y407,0)</f>
        <v>0</v>
      </c>
      <c r="AM407" s="170" t="str">
        <f t="shared" si="221"/>
        <v>0.077575313502884-0.386177029017389i</v>
      </c>
      <c r="AN407" s="170" t="str">
        <f t="shared" si="222"/>
        <v>5.88670180853941i</v>
      </c>
      <c r="AO407" s="170" t="str">
        <f t="shared" si="223"/>
        <v>-0.0656015951847926-0.0131780606570476i</v>
      </c>
      <c r="AP407" s="170" t="str">
        <f t="shared" si="224"/>
        <v>0.153737447749519+0.0643628381695648i</v>
      </c>
      <c r="AQ407" s="170" t="str">
        <f t="shared" si="225"/>
        <v>0.846262552250481-0.0643628381695648i</v>
      </c>
      <c r="AR407" s="170" t="str">
        <f t="shared" si="226"/>
        <v>0.978667062659146+0.0744329163665627i</v>
      </c>
    </row>
    <row r="408" spans="7:44">
      <c r="G408" s="688">
        <v>37802.75</v>
      </c>
      <c r="H408" s="676">
        <f t="shared" si="218"/>
        <v>37.802750000000003</v>
      </c>
      <c r="I408" s="677">
        <f t="shared" si="198"/>
        <v>33.273308684300019</v>
      </c>
      <c r="J408" s="678">
        <f t="shared" si="199"/>
        <v>1.5407376809176099</v>
      </c>
      <c r="K408" s="678">
        <f t="shared" si="200"/>
        <v>1.0013643497834417</v>
      </c>
      <c r="L408" s="679">
        <f t="shared" si="201"/>
        <v>5.2207286439282775E-2</v>
      </c>
      <c r="M408" s="678">
        <f t="shared" si="202"/>
        <v>1.1776106221143205</v>
      </c>
      <c r="N408" s="679">
        <f t="shared" si="203"/>
        <v>-0.55637115065826237</v>
      </c>
      <c r="O408" s="677">
        <f t="shared" si="204"/>
        <v>3377558.3336761049</v>
      </c>
      <c r="P408" s="680">
        <f t="shared" si="205"/>
        <v>1.5707960307230302</v>
      </c>
      <c r="Q408" s="689">
        <f t="shared" si="227"/>
        <v>16.917372947198324</v>
      </c>
      <c r="R408" s="690">
        <f t="shared" si="228"/>
        <v>1.5116510168757116</v>
      </c>
      <c r="S408" s="677">
        <f t="shared" si="206"/>
        <v>1.0063177653081907</v>
      </c>
      <c r="T408" s="680">
        <f t="shared" si="207"/>
        <v>0.11211317360929497</v>
      </c>
      <c r="U408" s="681">
        <f t="shared" si="219"/>
        <v>5.9958699328502368E-2</v>
      </c>
      <c r="V408" s="682">
        <f t="shared" si="220"/>
        <v>-2.890366070567647</v>
      </c>
      <c r="W408" s="683">
        <f t="shared" si="208"/>
        <v>-50.148549575945921</v>
      </c>
      <c r="X408" s="684">
        <f t="shared" si="209"/>
        <v>-292.58237683009378</v>
      </c>
      <c r="Y408" s="687">
        <f t="shared" si="210"/>
        <v>-112.58237683009378</v>
      </c>
      <c r="AA408" s="170">
        <f t="shared" si="211"/>
        <v>37802.75</v>
      </c>
      <c r="AB408" s="170">
        <f t="shared" si="212"/>
        <v>1429047907.5625</v>
      </c>
      <c r="AD408" s="686">
        <f t="shared" si="213"/>
        <v>-0.95465139005083122</v>
      </c>
      <c r="AE408" s="687">
        <f t="shared" si="214"/>
        <v>-9.8123713595365274</v>
      </c>
      <c r="AG408" s="686">
        <f t="shared" si="215"/>
        <v>57.421828188784396</v>
      </c>
      <c r="AH408" s="687">
        <f t="shared" si="216"/>
        <v>48.441549090583194</v>
      </c>
      <c r="AJ408" s="170">
        <f t="shared" si="217"/>
        <v>0</v>
      </c>
      <c r="AK408" s="170">
        <f t="shared" si="229"/>
        <v>0</v>
      </c>
      <c r="AM408" s="170" t="str">
        <f t="shared" si="221"/>
        <v>0.065027563437223-0.354720372783779i</v>
      </c>
      <c r="AN408" s="170" t="str">
        <f t="shared" si="222"/>
        <v>5.92057033224065i</v>
      </c>
      <c r="AO408" s="170" t="str">
        <f t="shared" si="223"/>
        <v>-0.0599132098561752-0.0109833275830055i</v>
      </c>
      <c r="AP408" s="170" t="str">
        <f t="shared" si="224"/>
        <v>0.155828739427129+0.0591200621306298i</v>
      </c>
      <c r="AQ408" s="170" t="str">
        <f t="shared" si="225"/>
        <v>0.844171260572871-0.0591200621306298i</v>
      </c>
      <c r="AR408" s="170" t="str">
        <f t="shared" si="226"/>
        <v>0.981950464348311+0.0687691884015064i</v>
      </c>
    </row>
    <row r="409" spans="7:44">
      <c r="G409" s="688">
        <v>38019</v>
      </c>
      <c r="H409" s="676">
        <f t="shared" si="218"/>
        <v>38.018999999999998</v>
      </c>
      <c r="I409" s="677">
        <f t="shared" si="198"/>
        <v>33.463476655322353</v>
      </c>
      <c r="J409" s="678">
        <f t="shared" si="199"/>
        <v>1.5409085507673765</v>
      </c>
      <c r="K409" s="678">
        <f t="shared" si="200"/>
        <v>1.0013799931241325</v>
      </c>
      <c r="L409" s="679">
        <f t="shared" si="201"/>
        <v>5.2505390323808396E-2</v>
      </c>
      <c r="M409" s="678">
        <f t="shared" si="202"/>
        <v>1.1794932893513872</v>
      </c>
      <c r="N409" s="679">
        <f t="shared" si="203"/>
        <v>-0.55893245148081672</v>
      </c>
      <c r="O409" s="677">
        <f t="shared" si="204"/>
        <v>3396879.5997125017</v>
      </c>
      <c r="P409" s="680">
        <f t="shared" si="205"/>
        <v>1.5707960324070709</v>
      </c>
      <c r="Q409" s="689">
        <f t="shared" si="227"/>
        <v>17.013811312388217</v>
      </c>
      <c r="R409" s="690">
        <f t="shared" si="228"/>
        <v>1.5119866548237331</v>
      </c>
      <c r="S409" s="677">
        <f t="shared" si="206"/>
        <v>1.0063900232541512</v>
      </c>
      <c r="T409" s="680">
        <f t="shared" si="207"/>
        <v>0.11274910885020729</v>
      </c>
      <c r="U409" s="681">
        <f t="shared" si="219"/>
        <v>5.4247259159184824E-2</v>
      </c>
      <c r="V409" s="682">
        <f t="shared" si="220"/>
        <v>-2.9134190217640414</v>
      </c>
      <c r="W409" s="683">
        <f t="shared" si="208"/>
        <v>-51.054323952813697</v>
      </c>
      <c r="X409" s="684">
        <f t="shared" si="209"/>
        <v>-294.05988125862046</v>
      </c>
      <c r="Y409" s="687">
        <f t="shared" si="210"/>
        <v>-114.05988125862046</v>
      </c>
      <c r="AA409" s="170">
        <f t="shared" si="211"/>
        <v>38019</v>
      </c>
      <c r="AB409" s="170">
        <f t="shared" si="212"/>
        <v>1445444361</v>
      </c>
      <c r="AD409" s="686">
        <f t="shared" si="213"/>
        <v>-0.95544718946146401</v>
      </c>
      <c r="AE409" s="687">
        <f t="shared" si="214"/>
        <v>-9.8295772235264529</v>
      </c>
      <c r="AG409" s="686">
        <f t="shared" si="215"/>
        <v>58.255825725624611</v>
      </c>
      <c r="AH409" s="687">
        <f t="shared" si="216"/>
        <v>49.622924146813929</v>
      </c>
      <c r="AJ409" s="170">
        <f t="shared" si="217"/>
        <v>0</v>
      </c>
      <c r="AK409" s="170">
        <f t="shared" si="229"/>
        <v>0</v>
      </c>
      <c r="AM409" s="170" t="str">
        <f t="shared" si="221"/>
        <v>0.053552196138859-0.322856863898575i</v>
      </c>
      <c r="AN409" s="170" t="str">
        <f t="shared" si="222"/>
        <v>5.95443885594189i</v>
      </c>
      <c r="AO409" s="170" t="str">
        <f t="shared" si="223"/>
        <v>-0.0542212073563235-0.00899365959319906i</v>
      </c>
      <c r="AP409" s="170" t="str">
        <f t="shared" si="224"/>
        <v>0.157741300643524+0.0538094773164292i</v>
      </c>
      <c r="AQ409" s="170" t="str">
        <f t="shared" si="225"/>
        <v>0.842258699356476-0.0538094773164292i</v>
      </c>
      <c r="AR409" s="170" t="str">
        <f t="shared" si="226"/>
        <v>0.984987010610587+0.0629279771701063i</v>
      </c>
    </row>
    <row r="410" spans="7:44">
      <c r="G410" s="688">
        <v>38240.5</v>
      </c>
      <c r="H410" s="676">
        <f t="shared" si="218"/>
        <v>38.240499999999997</v>
      </c>
      <c r="I410" s="677">
        <f t="shared" si="198"/>
        <v>33.658262422316163</v>
      </c>
      <c r="J410" s="678">
        <f t="shared" si="199"/>
        <v>1.541081567198332</v>
      </c>
      <c r="K410" s="678">
        <f t="shared" si="200"/>
        <v>1.0013961084978351</v>
      </c>
      <c r="L410" s="679">
        <f t="shared" si="201"/>
        <v>5.2810721728968051E-2</v>
      </c>
      <c r="M410" s="678">
        <f t="shared" si="202"/>
        <v>1.1814296588981128</v>
      </c>
      <c r="N410" s="679">
        <f t="shared" si="203"/>
        <v>-0.56154745374114734</v>
      </c>
      <c r="O410" s="677">
        <f t="shared" si="204"/>
        <v>3416669.9369474696</v>
      </c>
      <c r="P410" s="680">
        <f t="shared" si="205"/>
        <v>1.57079603411225</v>
      </c>
      <c r="Q410" s="689">
        <f t="shared" si="227"/>
        <v>17.112592920156509</v>
      </c>
      <c r="R410" s="690">
        <f t="shared" si="228"/>
        <v>1.5123265193023678</v>
      </c>
      <c r="S410" s="677">
        <f t="shared" si="206"/>
        <v>1.0064644573169319</v>
      </c>
      <c r="T410" s="680">
        <f t="shared" si="207"/>
        <v>0.113400388045846</v>
      </c>
      <c r="U410" s="681">
        <f t="shared" si="219"/>
        <v>4.8405842051924247E-2</v>
      </c>
      <c r="V410" s="682">
        <f t="shared" si="220"/>
        <v>-2.9371541274488213</v>
      </c>
      <c r="W410" s="683">
        <f t="shared" si="208"/>
        <v>-52.080765044820097</v>
      </c>
      <c r="X410" s="684">
        <f t="shared" si="209"/>
        <v>-295.57989299240012</v>
      </c>
      <c r="Y410" s="687">
        <f t="shared" si="210"/>
        <v>-115.57989299240012</v>
      </c>
      <c r="AA410" s="170">
        <f t="shared" si="211"/>
        <v>38240.5</v>
      </c>
      <c r="AB410" s="170">
        <f t="shared" si="212"/>
        <v>1462335840.25</v>
      </c>
      <c r="AD410" s="686">
        <f t="shared" si="213"/>
        <v>-0.9562628913636928</v>
      </c>
      <c r="AE410" s="687">
        <f t="shared" si="214"/>
        <v>-9.8474200702089991</v>
      </c>
      <c r="AG410" s="686">
        <f t="shared" si="215"/>
        <v>59.209401175288434</v>
      </c>
      <c r="AH410" s="687">
        <f t="shared" si="216"/>
        <v>50.840598026894348</v>
      </c>
      <c r="AJ410" s="170">
        <f t="shared" si="217"/>
        <v>0</v>
      </c>
      <c r="AK410" s="170">
        <f t="shared" si="229"/>
        <v>0</v>
      </c>
      <c r="AM410" s="170" t="str">
        <f t="shared" si="221"/>
        <v>0.042923734589987-0.289836198893139i</v>
      </c>
      <c r="AN410" s="170" t="str">
        <f t="shared" si="222"/>
        <v>5.989129621259i</v>
      </c>
      <c r="AO410" s="170" t="str">
        <f t="shared" si="223"/>
        <v>-0.0483937094739672-0.00716694032428769i</v>
      </c>
      <c r="AP410" s="170" t="str">
        <f t="shared" si="224"/>
        <v>0.159512710901669+0.0483060331488565i</v>
      </c>
      <c r="AQ410" s="170" t="str">
        <f t="shared" si="225"/>
        <v>0.840487289098331-0.0483060331488565i</v>
      </c>
      <c r="AR410" s="170" t="str">
        <f t="shared" si="226"/>
        <v>0.987828690680442+0.0567743094944274i</v>
      </c>
    </row>
    <row r="411" spans="7:44">
      <c r="G411" s="688">
        <v>38462</v>
      </c>
      <c r="H411" s="676">
        <f t="shared" si="218"/>
        <v>38.462000000000003</v>
      </c>
      <c r="I411" s="677">
        <f t="shared" si="198"/>
        <v>33.853049185264851</v>
      </c>
      <c r="J411" s="678">
        <f t="shared" si="199"/>
        <v>1.5412525925989073</v>
      </c>
      <c r="K411" s="678">
        <f t="shared" si="200"/>
        <v>1.0014123172259506</v>
      </c>
      <c r="L411" s="679">
        <f t="shared" si="201"/>
        <v>5.3116043278483252E-2</v>
      </c>
      <c r="M411" s="678">
        <f t="shared" si="202"/>
        <v>1.1833740808692752</v>
      </c>
      <c r="N411" s="679">
        <f t="shared" si="203"/>
        <v>-0.56415388026725</v>
      </c>
      <c r="O411" s="677">
        <f t="shared" si="204"/>
        <v>3436460.2741824379</v>
      </c>
      <c r="P411" s="680">
        <f t="shared" si="205"/>
        <v>1.570796035797789</v>
      </c>
      <c r="Q411" s="689">
        <f t="shared" si="227"/>
        <v>17.211376481874598</v>
      </c>
      <c r="R411" s="690">
        <f t="shared" si="228"/>
        <v>1.5126624825598576</v>
      </c>
      <c r="S411" s="677">
        <f t="shared" si="206"/>
        <v>1.0065393182230515</v>
      </c>
      <c r="T411" s="680">
        <f t="shared" si="207"/>
        <v>0.1140515706404685</v>
      </c>
      <c r="U411" s="681">
        <f t="shared" si="219"/>
        <v>4.2578365291918885E-2</v>
      </c>
      <c r="V411" s="682">
        <f t="shared" si="220"/>
        <v>-2.9610017064098719</v>
      </c>
      <c r="W411" s="683">
        <f t="shared" si="208"/>
        <v>-53.231455060603842</v>
      </c>
      <c r="X411" s="684">
        <f t="shared" si="209"/>
        <v>-297.10596209144751</v>
      </c>
      <c r="Y411" s="687">
        <f t="shared" si="210"/>
        <v>-117.10596209144751</v>
      </c>
      <c r="AA411" s="170">
        <f t="shared" si="211"/>
        <v>38462</v>
      </c>
      <c r="AB411" s="170">
        <f t="shared" si="212"/>
        <v>1479325444</v>
      </c>
      <c r="AD411" s="686">
        <f t="shared" si="213"/>
        <v>-0.95707925040538422</v>
      </c>
      <c r="AE411" s="687">
        <f t="shared" si="214"/>
        <v>-9.8654809044425278</v>
      </c>
      <c r="AG411" s="686">
        <f t="shared" si="215"/>
        <v>60.287879349814176</v>
      </c>
      <c r="AH411" s="687">
        <f t="shared" si="216"/>
        <v>52.065321017349461</v>
      </c>
      <c r="AJ411" s="170">
        <f t="shared" si="217"/>
        <v>0</v>
      </c>
      <c r="AK411" s="170">
        <f t="shared" si="229"/>
        <v>0</v>
      </c>
      <c r="AM411" s="170" t="str">
        <f t="shared" si="221"/>
        <v>0.033446950199726-0.256466765725677i</v>
      </c>
      <c r="AN411" s="170" t="str">
        <f t="shared" si="222"/>
        <v>6.02382038657611i</v>
      </c>
      <c r="AO411" s="170" t="str">
        <f t="shared" si="223"/>
        <v>-0.0425754337392272-0.00555244812316474i</v>
      </c>
      <c r="AP411" s="170" t="str">
        <f t="shared" si="224"/>
        <v>0.161092174966712+0.0427444609542795i</v>
      </c>
      <c r="AQ411" s="170" t="str">
        <f t="shared" si="225"/>
        <v>0.838907825033288-0.0427444609542795i</v>
      </c>
      <c r="AR411" s="170" t="str">
        <f t="shared" si="226"/>
        <v>0.990386518178963+0.0504626808723184i</v>
      </c>
    </row>
    <row r="412" spans="7:44">
      <c r="G412" s="688">
        <v>38683.5</v>
      </c>
      <c r="H412" s="676">
        <f t="shared" si="218"/>
        <v>38.683500000000002</v>
      </c>
      <c r="I412" s="677">
        <f t="shared" si="198"/>
        <v>34.047836927074925</v>
      </c>
      <c r="J412" s="678">
        <f t="shared" si="199"/>
        <v>1.5414216611310767</v>
      </c>
      <c r="K412" s="678">
        <f t="shared" si="200"/>
        <v>1.0014286193039454</v>
      </c>
      <c r="L412" s="679">
        <f t="shared" si="201"/>
        <v>5.3421354915909061E-2</v>
      </c>
      <c r="M412" s="678">
        <f t="shared" si="202"/>
        <v>1.1853265156370321</v>
      </c>
      <c r="N412" s="679">
        <f t="shared" si="203"/>
        <v>-0.56675173793614286</v>
      </c>
      <c r="O412" s="677">
        <f t="shared" si="204"/>
        <v>3456250.6114174062</v>
      </c>
      <c r="P412" s="680">
        <f t="shared" si="205"/>
        <v>1.5707960374640255</v>
      </c>
      <c r="Q412" s="689">
        <f t="shared" si="227"/>
        <v>17.310161964090774</v>
      </c>
      <c r="R412" s="690">
        <f t="shared" si="228"/>
        <v>1.5129946113100694</v>
      </c>
      <c r="S412" s="677">
        <f t="shared" si="206"/>
        <v>1.0066146058772787</v>
      </c>
      <c r="T412" s="680">
        <f t="shared" si="207"/>
        <v>0.11470265610343569</v>
      </c>
      <c r="U412" s="681">
        <f t="shared" si="219"/>
        <v>3.6770171104988203E-2</v>
      </c>
      <c r="V412" s="682">
        <f t="shared" si="220"/>
        <v>-2.9849497018704345</v>
      </c>
      <c r="W412" s="683">
        <f t="shared" si="208"/>
        <v>-54.541513145005027</v>
      </c>
      <c r="X412" s="684">
        <f t="shared" si="209"/>
        <v>-298.63739625512699</v>
      </c>
      <c r="Y412" s="687">
        <f t="shared" si="210"/>
        <v>-118.63739625512699</v>
      </c>
      <c r="AA412" s="170">
        <f t="shared" si="211"/>
        <v>38683.5</v>
      </c>
      <c r="AB412" s="170">
        <f t="shared" si="212"/>
        <v>1496413172.25</v>
      </c>
      <c r="AD412" s="686">
        <f t="shared" si="213"/>
        <v>-0.95789633278960129</v>
      </c>
      <c r="AE412" s="687">
        <f t="shared" si="214"/>
        <v>-9.8837558734199717</v>
      </c>
      <c r="AG412" s="686">
        <f t="shared" si="215"/>
        <v>61.526371659080425</v>
      </c>
      <c r="AH412" s="687">
        <f t="shared" si="216"/>
        <v>53.29639996116056</v>
      </c>
      <c r="AJ412" s="170">
        <f t="shared" si="217"/>
        <v>0</v>
      </c>
      <c r="AK412" s="170">
        <f t="shared" si="229"/>
        <v>0</v>
      </c>
      <c r="AM412" s="170" t="str">
        <f t="shared" si="221"/>
        <v>0.025133246652938-0.222788718786563i</v>
      </c>
      <c r="AN412" s="170" t="str">
        <f t="shared" si="222"/>
        <v>6.05851115189322i</v>
      </c>
      <c r="AO412" s="170" t="str">
        <f t="shared" si="223"/>
        <v>-0.0367728495006474-0.00414841964020882i</v>
      </c>
      <c r="AP412" s="170" t="str">
        <f t="shared" si="224"/>
        <v>0.16247779222451+0.0371314531310938i</v>
      </c>
      <c r="AQ412" s="170" t="str">
        <f t="shared" si="225"/>
        <v>0.83752220777549-0.0371314531310938i</v>
      </c>
      <c r="AR412" s="170" t="str">
        <f t="shared" si="226"/>
        <v>0.992649358115307+0.044008997939729i</v>
      </c>
    </row>
    <row r="413" spans="7:44">
      <c r="G413" s="688">
        <v>38905</v>
      </c>
      <c r="H413" s="676">
        <f t="shared" si="218"/>
        <v>38.905000000000001</v>
      </c>
      <c r="I413" s="677">
        <f t="shared" si="198"/>
        <v>34.242625631041754</v>
      </c>
      <c r="J413" s="678">
        <f t="shared" si="199"/>
        <v>1.5415888061799485</v>
      </c>
      <c r="K413" s="678">
        <f t="shared" si="200"/>
        <v>1.0014450147272611</v>
      </c>
      <c r="L413" s="679">
        <f t="shared" si="201"/>
        <v>5.3726656584811558E-2</v>
      </c>
      <c r="M413" s="678">
        <f t="shared" si="202"/>
        <v>1.1872869236714385</v>
      </c>
      <c r="N413" s="679">
        <f t="shared" si="203"/>
        <v>-0.56934103404233949</v>
      </c>
      <c r="O413" s="677">
        <f t="shared" si="204"/>
        <v>3476040.9486523741</v>
      </c>
      <c r="P413" s="680">
        <f t="shared" si="205"/>
        <v>1.5707960391112892</v>
      </c>
      <c r="Q413" s="689">
        <f t="shared" si="227"/>
        <v>17.408949334111966</v>
      </c>
      <c r="R413" s="690">
        <f t="shared" si="228"/>
        <v>1.5133229707560227</v>
      </c>
      <c r="S413" s="677">
        <f t="shared" si="206"/>
        <v>1.0066903201838671</v>
      </c>
      <c r="T413" s="680">
        <f t="shared" si="207"/>
        <v>0.1153536439045962</v>
      </c>
      <c r="U413" s="681">
        <f t="shared" si="219"/>
        <v>3.0986722633512521E-2</v>
      </c>
      <c r="V413" s="682">
        <f t="shared" si="220"/>
        <v>-3.0089856163595554</v>
      </c>
      <c r="W413" s="683">
        <f t="shared" si="208"/>
        <v>-56.063785862692875</v>
      </c>
      <c r="X413" s="684">
        <f t="shared" si="209"/>
        <v>-300.17347799888722</v>
      </c>
      <c r="Y413" s="687">
        <f t="shared" si="210"/>
        <v>-120.17347799888722</v>
      </c>
      <c r="AA413" s="170">
        <f t="shared" si="211"/>
        <v>38905</v>
      </c>
      <c r="AB413" s="170">
        <f t="shared" si="212"/>
        <v>1513599025</v>
      </c>
      <c r="AD413" s="686">
        <f t="shared" si="213"/>
        <v>-0.95871420279149988</v>
      </c>
      <c r="AE413" s="687">
        <f t="shared" si="214"/>
        <v>-9.9022412109269666</v>
      </c>
      <c r="AG413" s="686">
        <f t="shared" si="215"/>
        <v>62.977717054317964</v>
      </c>
      <c r="AH413" s="687">
        <f t="shared" si="216"/>
        <v>54.53311647198251</v>
      </c>
      <c r="AJ413" s="170">
        <f t="shared" si="217"/>
        <v>0</v>
      </c>
      <c r="AK413" s="170">
        <f t="shared" si="229"/>
        <v>0</v>
      </c>
      <c r="AM413" s="170" t="str">
        <f t="shared" si="221"/>
        <v>0.017992628066142-0.188842583829913i</v>
      </c>
      <c r="AN413" s="170" t="str">
        <f t="shared" si="222"/>
        <v>6.09320191721033i</v>
      </c>
      <c r="AO413" s="170" t="str">
        <f t="shared" si="223"/>
        <v>-0.0309923397247881-0.00295290198989165i</v>
      </c>
      <c r="AP413" s="170" t="str">
        <f t="shared" si="224"/>
        <v>0.16366789532231+0.0314737639716522i</v>
      </c>
      <c r="AQ413" s="170" t="str">
        <f t="shared" si="225"/>
        <v>0.83633210467769-0.0314737639716522i</v>
      </c>
      <c r="AR413" s="170" t="str">
        <f t="shared" si="226"/>
        <v>0.994607199445449+0.0374301453510698i</v>
      </c>
    </row>
    <row r="414" spans="7:44">
      <c r="G414" s="688">
        <v>39131.5</v>
      </c>
      <c r="H414" s="676">
        <f t="shared" si="218"/>
        <v>39.131500000000003</v>
      </c>
      <c r="I414" s="677">
        <f t="shared" si="198"/>
        <v>34.441812349187423</v>
      </c>
      <c r="J414" s="678">
        <f t="shared" si="199"/>
        <v>1.541757769145093</v>
      </c>
      <c r="K414" s="678">
        <f t="shared" si="200"/>
        <v>1.0014618767754289</v>
      </c>
      <c r="L414" s="679">
        <f t="shared" si="201"/>
        <v>5.403883957185799E-2</v>
      </c>
      <c r="M414" s="678">
        <f t="shared" si="202"/>
        <v>1.1892997889005463</v>
      </c>
      <c r="N414" s="679">
        <f t="shared" si="203"/>
        <v>-0.5719799336626189</v>
      </c>
      <c r="O414" s="677">
        <f t="shared" si="204"/>
        <v>3496278.0203621723</v>
      </c>
      <c r="P414" s="680">
        <f t="shared" si="205"/>
        <v>1.5707960407764523</v>
      </c>
      <c r="Q414" s="689">
        <f t="shared" si="227"/>
        <v>17.509968586255827</v>
      </c>
      <c r="R414" s="690">
        <f t="shared" si="228"/>
        <v>1.5136549108821187</v>
      </c>
      <c r="S414" s="677">
        <f t="shared" si="206"/>
        <v>1.0067681847242507</v>
      </c>
      <c r="T414" s="680">
        <f t="shared" si="207"/>
        <v>0.11601922514461049</v>
      </c>
      <c r="U414" s="681">
        <f t="shared" si="219"/>
        <v>2.5104100089900026E-2</v>
      </c>
      <c r="V414" s="682">
        <f t="shared" si="220"/>
        <v>-3.0336415894192101</v>
      </c>
      <c r="W414" s="683">
        <f t="shared" si="208"/>
        <v>-57.92876219013629</v>
      </c>
      <c r="X414" s="684">
        <f t="shared" si="209"/>
        <v>-301.74826942790349</v>
      </c>
      <c r="Y414" s="687">
        <f t="shared" si="210"/>
        <v>-121.74826942790349</v>
      </c>
      <c r="AA414" s="170">
        <f t="shared" si="211"/>
        <v>39131.5</v>
      </c>
      <c r="AB414" s="170">
        <f t="shared" si="212"/>
        <v>1531274292.25</v>
      </c>
      <c r="AD414" s="686">
        <f t="shared" si="213"/>
        <v>-0.95955141437350688</v>
      </c>
      <c r="AE414" s="687">
        <f t="shared" si="214"/>
        <v>-9.9213575340551916</v>
      </c>
      <c r="AG414" s="686">
        <f t="shared" si="215"/>
        <v>64.770817416652093</v>
      </c>
      <c r="AH414" s="687">
        <f t="shared" si="216"/>
        <v>55.802807761535888</v>
      </c>
      <c r="AJ414" s="170">
        <f t="shared" si="217"/>
        <v>0</v>
      </c>
      <c r="AK414" s="170">
        <f t="shared" si="229"/>
        <v>0</v>
      </c>
      <c r="AM414" s="170" t="str">
        <f t="shared" si="221"/>
        <v>0.011912870398591-0.153895498036975i</v>
      </c>
      <c r="AN414" s="170" t="str">
        <f t="shared" si="222"/>
        <v>6.12867576978064i</v>
      </c>
      <c r="AO414" s="170" t="str">
        <f t="shared" si="223"/>
        <v>-0.025110726006392-0.00194379191298243i</v>
      </c>
      <c r="AP414" s="170" t="str">
        <f t="shared" si="224"/>
        <v>0.164681188266902+0.0256492496728292i</v>
      </c>
      <c r="AQ414" s="170" t="str">
        <f t="shared" si="225"/>
        <v>0.835318811733098-0.0256492496728292i</v>
      </c>
      <c r="AR414" s="170" t="str">
        <f t="shared" si="226"/>
        <v>0.996284688072913+0.0305918582829234i</v>
      </c>
    </row>
    <row r="415" spans="7:44">
      <c r="G415" s="688">
        <v>39358</v>
      </c>
      <c r="H415" s="676">
        <f t="shared" si="218"/>
        <v>39.357999999999997</v>
      </c>
      <c r="I415" s="677">
        <f t="shared" si="198"/>
        <v>34.641000039287036</v>
      </c>
      <c r="J415" s="678">
        <f t="shared" si="199"/>
        <v>1.5419247890219372</v>
      </c>
      <c r="K415" s="678">
        <f t="shared" si="200"/>
        <v>1.0014788364209939</v>
      </c>
      <c r="L415" s="679">
        <f t="shared" si="201"/>
        <v>5.4351012015938019E-2</v>
      </c>
      <c r="M415" s="678">
        <f t="shared" si="202"/>
        <v>1.1913209081447025</v>
      </c>
      <c r="N415" s="679">
        <f t="shared" si="203"/>
        <v>-0.57460989756741887</v>
      </c>
      <c r="O415" s="677">
        <f t="shared" si="204"/>
        <v>3516515.0920719705</v>
      </c>
      <c r="P415" s="680">
        <f t="shared" si="205"/>
        <v>1.5707960424224501</v>
      </c>
      <c r="Q415" s="689">
        <f t="shared" si="227"/>
        <v>17.610989745588508</v>
      </c>
      <c r="R415" s="690">
        <f t="shared" si="228"/>
        <v>1.5139830428564267</v>
      </c>
      <c r="S415" s="677">
        <f t="shared" si="206"/>
        <v>1.0068464951922187</v>
      </c>
      <c r="T415" s="680">
        <f t="shared" si="207"/>
        <v>0.11668470314428819</v>
      </c>
      <c r="U415" s="681">
        <f t="shared" si="219"/>
        <v>1.9259166512920322E-2</v>
      </c>
      <c r="V415" s="682">
        <f t="shared" si="220"/>
        <v>-3.0583618692057417</v>
      </c>
      <c r="W415" s="683">
        <f t="shared" si="208"/>
        <v>-60.266936710775177</v>
      </c>
      <c r="X415" s="684">
        <f t="shared" si="209"/>
        <v>-303.32633493018415</v>
      </c>
      <c r="Y415" s="687">
        <f t="shared" si="210"/>
        <v>-123.32633493018415</v>
      </c>
      <c r="AA415" s="170">
        <f t="shared" si="211"/>
        <v>39358</v>
      </c>
      <c r="AB415" s="170">
        <f t="shared" si="212"/>
        <v>1549052164</v>
      </c>
      <c r="AD415" s="686">
        <f t="shared" si="213"/>
        <v>-0.96038957957537974</v>
      </c>
      <c r="AE415" s="687">
        <f t="shared" si="214"/>
        <v>-9.9406861318752036</v>
      </c>
      <c r="AG415" s="686">
        <f t="shared" si="215"/>
        <v>67.037767850267016</v>
      </c>
      <c r="AH415" s="687">
        <f t="shared" si="216"/>
        <v>57.076806260613786</v>
      </c>
      <c r="AJ415" s="170">
        <f t="shared" si="217"/>
        <v>0</v>
      </c>
      <c r="AK415" s="170">
        <f t="shared" si="229"/>
        <v>0</v>
      </c>
      <c r="AM415" s="170" t="str">
        <f t="shared" si="221"/>
        <v>0.00707638547453904-0.118754771347062i</v>
      </c>
      <c r="AN415" s="170" t="str">
        <f t="shared" si="222"/>
        <v>6.16414962235096i</v>
      </c>
      <c r="AO415" s="170" t="str">
        <f t="shared" si="223"/>
        <v>-0.0192653940320433-0.00114799054339634i</v>
      </c>
      <c r="AP415" s="170" t="str">
        <f t="shared" si="224"/>
        <v>0.165487269087577+0.019792461891177i</v>
      </c>
      <c r="AQ415" s="170" t="str">
        <f t="shared" si="225"/>
        <v>0.834512730912423-0.019792461891177i</v>
      </c>
      <c r="AR415" s="170" t="str">
        <f t="shared" si="226"/>
        <v>0.997626109267921+0.023661085107401i</v>
      </c>
    </row>
    <row r="416" spans="7:44">
      <c r="G416" s="688">
        <v>39584.5</v>
      </c>
      <c r="H416" s="676">
        <f t="shared" si="218"/>
        <v>39.584499999999998</v>
      </c>
      <c r="I416" s="677">
        <f t="shared" si="198"/>
        <v>34.840188684670075</v>
      </c>
      <c r="J416" s="678">
        <f t="shared" si="199"/>
        <v>1.5420898991282086</v>
      </c>
      <c r="K416" s="678">
        <f t="shared" si="200"/>
        <v>1.0014958936589977</v>
      </c>
      <c r="L416" s="679">
        <f t="shared" si="201"/>
        <v>5.4663173856745399E-2</v>
      </c>
      <c r="M416" s="678">
        <f t="shared" si="202"/>
        <v>1.1933502394656361</v>
      </c>
      <c r="N416" s="679">
        <f t="shared" si="203"/>
        <v>-0.57723093486972821</v>
      </c>
      <c r="O416" s="677">
        <f t="shared" si="204"/>
        <v>3536752.1637817686</v>
      </c>
      <c r="P416" s="680">
        <f t="shared" si="205"/>
        <v>1.5707960440496112</v>
      </c>
      <c r="Q416" s="689">
        <f t="shared" si="227"/>
        <v>17.712012779476836</v>
      </c>
      <c r="R416" s="690">
        <f t="shared" si="228"/>
        <v>1.5143074317687133</v>
      </c>
      <c r="S416" s="677">
        <f t="shared" si="206"/>
        <v>1.006925251483729</v>
      </c>
      <c r="T416" s="680">
        <f t="shared" si="207"/>
        <v>0.11735007733835749</v>
      </c>
      <c r="U416" s="681">
        <f t="shared" si="219"/>
        <v>1.3457957195186648E-2</v>
      </c>
      <c r="V416" s="682">
        <f t="shared" si="220"/>
        <v>-3.0831320015366614</v>
      </c>
      <c r="W416" s="683">
        <f t="shared" si="208"/>
        <v>-63.415813195948886</v>
      </c>
      <c r="X416" s="684">
        <f t="shared" si="209"/>
        <v>-304.90684501489375</v>
      </c>
      <c r="Y416" s="687">
        <f t="shared" si="210"/>
        <v>-124.90684501489375</v>
      </c>
      <c r="AA416" s="170">
        <f t="shared" si="211"/>
        <v>39584.5</v>
      </c>
      <c r="AB416" s="170">
        <f t="shared" si="212"/>
        <v>1566932640.25</v>
      </c>
      <c r="AD416" s="686">
        <f t="shared" si="213"/>
        <v>-0.96122876128296619</v>
      </c>
      <c r="AE416" s="687">
        <f t="shared" si="214"/>
        <v>-9.9602232426492243</v>
      </c>
      <c r="AG416" s="686">
        <f t="shared" si="215"/>
        <v>70.116064363273679</v>
      </c>
      <c r="AH416" s="687">
        <f t="shared" si="216"/>
        <v>58.354281371006067</v>
      </c>
      <c r="AJ416" s="170">
        <f t="shared" si="217"/>
        <v>0</v>
      </c>
      <c r="AK416" s="170">
        <f t="shared" si="229"/>
        <v>0</v>
      </c>
      <c r="AM416" s="170" t="str">
        <f t="shared" si="221"/>
        <v>0.00348925886043205-0.0834646200103304i</v>
      </c>
      <c r="AN416" s="170" t="str">
        <f t="shared" si="222"/>
        <v>6.19962347492127i</v>
      </c>
      <c r="AO416" s="170" t="str">
        <f t="shared" si="223"/>
        <v>-0.0134628530826044-0.000562817867011893i</v>
      </c>
      <c r="AP416" s="170" t="str">
        <f t="shared" si="224"/>
        <v>0.166085123523261+0.0139107700017217i</v>
      </c>
      <c r="AQ416" s="170" t="str">
        <f t="shared" si="225"/>
        <v>0.833914876476739-0.0139107700017217i</v>
      </c>
      <c r="AR416" s="170" t="str">
        <f t="shared" si="226"/>
        <v>0.998625031236901+0.0166583466962364i</v>
      </c>
    </row>
    <row r="417" spans="7:44">
      <c r="G417" s="688">
        <v>39811</v>
      </c>
      <c r="H417" s="676">
        <f t="shared" si="218"/>
        <v>39.811</v>
      </c>
      <c r="I417" s="677">
        <f t="shared" si="198"/>
        <v>35.039378269045017</v>
      </c>
      <c r="J417" s="678">
        <f t="shared" si="199"/>
        <v>1.5422531320244468</v>
      </c>
      <c r="K417" s="678">
        <f t="shared" si="200"/>
        <v>1.0015130484844541</v>
      </c>
      <c r="L417" s="679">
        <f t="shared" si="201"/>
        <v>5.4975325033986208E-2</v>
      </c>
      <c r="M417" s="678">
        <f t="shared" si="202"/>
        <v>1.1953877410400371</v>
      </c>
      <c r="N417" s="679">
        <f t="shared" si="203"/>
        <v>-0.57984305511137202</v>
      </c>
      <c r="O417" s="677">
        <f t="shared" si="204"/>
        <v>3556989.2354915673</v>
      </c>
      <c r="P417" s="680">
        <f t="shared" si="205"/>
        <v>1.5707960456582573</v>
      </c>
      <c r="Q417" s="689">
        <f t="shared" si="227"/>
        <v>17.813037656027316</v>
      </c>
      <c r="R417" s="690">
        <f t="shared" si="228"/>
        <v>1.5146281412353364</v>
      </c>
      <c r="S417" s="677">
        <f t="shared" si="206"/>
        <v>1.0070044534941804</v>
      </c>
      <c r="T417" s="680">
        <f t="shared" si="207"/>
        <v>0.11801534716209058</v>
      </c>
      <c r="U417" s="681">
        <f t="shared" si="219"/>
        <v>7.7065009841844291E-3</v>
      </c>
      <c r="V417" s="682">
        <f t="shared" si="220"/>
        <v>-3.107937292284904</v>
      </c>
      <c r="W417" s="683">
        <f t="shared" si="208"/>
        <v>-68.293643163503148</v>
      </c>
      <c r="X417" s="684">
        <f t="shared" si="209"/>
        <v>-306.48895650902244</v>
      </c>
      <c r="Y417" s="687">
        <f t="shared" si="210"/>
        <v>-126.48895650902244</v>
      </c>
      <c r="AA417" s="170">
        <f t="shared" si="211"/>
        <v>39811</v>
      </c>
      <c r="AB417" s="170">
        <f t="shared" si="212"/>
        <v>1584915721</v>
      </c>
      <c r="AD417" s="686">
        <f t="shared" si="213"/>
        <v>-0.96206902054408605</v>
      </c>
      <c r="AE417" s="687">
        <f t="shared" si="214"/>
        <v>-9.9799651890903363</v>
      </c>
      <c r="AG417" s="686">
        <f t="shared" si="215"/>
        <v>74.92395083214673</v>
      </c>
      <c r="AH417" s="687">
        <f t="shared" si="216"/>
        <v>59.634388765504916</v>
      </c>
      <c r="AJ417" s="170">
        <f t="shared" si="217"/>
        <v>0</v>
      </c>
      <c r="AK417" s="170">
        <f t="shared" si="229"/>
        <v>0</v>
      </c>
      <c r="AM417" s="170" t="str">
        <f t="shared" si="221"/>
        <v>0.00115600410230499-0.0480694482922918i</v>
      </c>
      <c r="AN417" s="170" t="str">
        <f t="shared" si="222"/>
        <v>6.23509732749159i</v>
      </c>
      <c r="AO417" s="170" t="str">
        <f t="shared" si="223"/>
        <v>-0.00770949445814511-0.000185402735769332i</v>
      </c>
      <c r="AP417" s="170" t="str">
        <f t="shared" si="224"/>
        <v>0.166473999316283+0.00801157471538197i</v>
      </c>
      <c r="AQ417" s="170" t="str">
        <f t="shared" si="225"/>
        <v>0.833526000683717-0.00801157471538197i</v>
      </c>
      <c r="AR417" s="170" t="str">
        <f t="shared" si="226"/>
        <v>0.999276627757241+0.00960471461963414i</v>
      </c>
    </row>
    <row r="418" spans="7:44">
      <c r="G418" s="688">
        <v>40042.75</v>
      </c>
      <c r="H418" s="676">
        <f t="shared" si="218"/>
        <v>40.042749999999998</v>
      </c>
      <c r="I418" s="677">
        <f t="shared" si="198"/>
        <v>35.243185785826128</v>
      </c>
      <c r="J418" s="678">
        <f t="shared" si="199"/>
        <v>1.5424182386730243</v>
      </c>
      <c r="K418" s="678">
        <f t="shared" si="200"/>
        <v>1.0015307019396928</v>
      </c>
      <c r="L418" s="679">
        <f t="shared" si="201"/>
        <v>5.5294700403354942E-2</v>
      </c>
      <c r="M418" s="678">
        <f t="shared" si="202"/>
        <v>1.1974808824849199</v>
      </c>
      <c r="N418" s="679">
        <f t="shared" si="203"/>
        <v>-0.58250650209517929</v>
      </c>
      <c r="O418" s="677">
        <f t="shared" si="204"/>
        <v>3577695.3783999365</v>
      </c>
      <c r="P418" s="680">
        <f t="shared" si="205"/>
        <v>1.5707960472853537</v>
      </c>
      <c r="Q418" s="689">
        <f t="shared" si="227"/>
        <v>17.916406043500515</v>
      </c>
      <c r="R418" s="690">
        <f t="shared" si="228"/>
        <v>1.5149525408552125</v>
      </c>
      <c r="S418" s="677">
        <f t="shared" si="206"/>
        <v>1.0070859525386562</v>
      </c>
      <c r="T418" s="680">
        <f t="shared" si="207"/>
        <v>0.11869592853170126</v>
      </c>
      <c r="U418" s="681">
        <f t="shared" si="219"/>
        <v>1.8794712743523821E-3</v>
      </c>
      <c r="V418" s="682">
        <f t="shared" si="220"/>
        <v>-3.1333384255561851</v>
      </c>
      <c r="W418" s="683">
        <f t="shared" si="208"/>
        <v>-80.585961424811416</v>
      </c>
      <c r="X418" s="684">
        <f t="shared" si="209"/>
        <v>-308.10850737090868</v>
      </c>
      <c r="Y418" s="687">
        <f t="shared" si="210"/>
        <v>-128.10850737090868</v>
      </c>
      <c r="AA418" s="170">
        <f t="shared" si="211"/>
        <v>40042.75</v>
      </c>
      <c r="AB418" s="170">
        <f t="shared" si="212"/>
        <v>1603421827.5625</v>
      </c>
      <c r="AD418" s="686">
        <f t="shared" si="213"/>
        <v>-0.96292993313251574</v>
      </c>
      <c r="AE418" s="687">
        <f t="shared" si="214"/>
        <v>-10.000372993338793</v>
      </c>
      <c r="AG418" s="686">
        <f t="shared" si="215"/>
        <v>87.145355316254438</v>
      </c>
      <c r="AH418" s="687">
        <f t="shared" si="216"/>
        <v>60.946001173780608</v>
      </c>
      <c r="AJ418" s="170">
        <f t="shared" si="217"/>
        <v>0</v>
      </c>
      <c r="AK418" s="170">
        <f t="shared" si="229"/>
        <v>0</v>
      </c>
      <c r="AM418" s="170" t="str">
        <f t="shared" si="221"/>
        <v>0.0000695234762430053-0.0117916122295929i</v>
      </c>
      <c r="AN418" s="170" t="str">
        <f t="shared" si="222"/>
        <v>6.27139342167777i</v>
      </c>
      <c r="AO418" s="170" t="str">
        <f t="shared" si="223"/>
        <v>-0.00188022205541019-0.0000110858100534228i</v>
      </c>
      <c r="AP418" s="170" t="str">
        <f t="shared" si="224"/>
        <v>0.166655079420626+0.00196526870493215i</v>
      </c>
      <c r="AQ418" s="170" t="str">
        <f t="shared" si="225"/>
        <v>0.833344920579374-0.00196526870493215i</v>
      </c>
      <c r="AR418" s="170" t="str">
        <f t="shared" si="226"/>
        <v>0.999580541862624+0.0023573004508337i</v>
      </c>
    </row>
    <row r="419" spans="7:44">
      <c r="G419" s="688">
        <v>40274.5</v>
      </c>
      <c r="H419" s="676">
        <f t="shared" si="218"/>
        <v>40.274500000000003</v>
      </c>
      <c r="I419" s="677">
        <f t="shared" si="198"/>
        <v>35.446994252295944</v>
      </c>
      <c r="J419" s="678">
        <f t="shared" si="199"/>
        <v>1.5425814467090135</v>
      </c>
      <c r="K419" s="678">
        <f t="shared" si="200"/>
        <v>1.0015484575480835</v>
      </c>
      <c r="L419" s="679">
        <f t="shared" si="201"/>
        <v>5.5614064481424613E-2</v>
      </c>
      <c r="M419" s="678">
        <f t="shared" si="202"/>
        <v>1.1995824891187774</v>
      </c>
      <c r="N419" s="679">
        <f t="shared" si="203"/>
        <v>-0.58516063540902219</v>
      </c>
      <c r="O419" s="677">
        <f t="shared" si="204"/>
        <v>3598401.5213083061</v>
      </c>
      <c r="P419" s="680">
        <f t="shared" si="205"/>
        <v>1.5707960488937247</v>
      </c>
      <c r="Q419" s="689">
        <f t="shared" si="227"/>
        <v>18.019776294777451</v>
      </c>
      <c r="R419" s="690">
        <f t="shared" si="228"/>
        <v>1.515273218678711</v>
      </c>
      <c r="S419" s="677">
        <f t="shared" si="206"/>
        <v>1.007167917980663</v>
      </c>
      <c r="T419" s="680">
        <f t="shared" si="207"/>
        <v>0.11937639944217271</v>
      </c>
      <c r="U419" s="681">
        <f t="shared" si="219"/>
        <v>3.88288445442821E-3</v>
      </c>
      <c r="V419" s="682">
        <f t="shared" si="220"/>
        <v>-1.7152122207566144E-2</v>
      </c>
      <c r="W419" s="683">
        <f t="shared" si="208"/>
        <v>-74.319148642593433</v>
      </c>
      <c r="X419" s="684">
        <f t="shared" si="209"/>
        <v>-129.7279220812556</v>
      </c>
      <c r="Y419" s="687">
        <f t="shared" si="210"/>
        <v>50.272077918744401</v>
      </c>
      <c r="AA419" s="170">
        <f t="shared" si="211"/>
        <v>40274.5</v>
      </c>
      <c r="AB419" s="170">
        <f t="shared" si="212"/>
        <v>1622035350.25</v>
      </c>
      <c r="AD419" s="686">
        <f t="shared" si="213"/>
        <v>-0.96379209747952665</v>
      </c>
      <c r="AE419" s="687">
        <f t="shared" si="214"/>
        <v>-10.020987710896742</v>
      </c>
      <c r="AG419" s="686">
        <f t="shared" si="215"/>
        <v>80.808279272377035</v>
      </c>
      <c r="AH419" s="687">
        <f t="shared" si="216"/>
        <v>-117.74144594374069</v>
      </c>
      <c r="AJ419" s="170">
        <f t="shared" si="217"/>
        <v>0</v>
      </c>
      <c r="AK419" s="170">
        <f t="shared" si="229"/>
        <v>0</v>
      </c>
      <c r="AM419" s="170" t="str">
        <f t="shared" si="221"/>
        <v>0.000300213099103996+0.0245017564738155i</v>
      </c>
      <c r="AN419" s="170" t="str">
        <f t="shared" si="222"/>
        <v>6.30768951586396i</v>
      </c>
      <c r="AO419" s="170" t="str">
        <f t="shared" si="223"/>
        <v>0.00388442652609852-0.0000475947806798281i</v>
      </c>
      <c r="AP419" s="170" t="str">
        <f t="shared" si="224"/>
        <v>0.166616631150149-0.00408362607896925i</v>
      </c>
      <c r="AQ419" s="170" t="str">
        <f t="shared" si="225"/>
        <v>0.833383368849851+0.00408362607896925i</v>
      </c>
      <c r="AR419" s="170" t="str">
        <f t="shared" si="226"/>
        <v>0.999515986062718-0.00489768538657719i</v>
      </c>
    </row>
    <row r="420" spans="7:44">
      <c r="G420" s="688">
        <v>40506.25</v>
      </c>
      <c r="H420" s="676">
        <f t="shared" si="218"/>
        <v>40.506250000000001</v>
      </c>
      <c r="I420" s="677">
        <f t="shared" si="198"/>
        <v>35.6508036521669</v>
      </c>
      <c r="J420" s="678">
        <f t="shared" si="199"/>
        <v>1.5427427886857512</v>
      </c>
      <c r="K420" s="678">
        <f t="shared" si="200"/>
        <v>1.0015663153041929</v>
      </c>
      <c r="L420" s="679">
        <f t="shared" si="201"/>
        <v>5.5933417203651414E-2</v>
      </c>
      <c r="M420" s="678">
        <f t="shared" si="202"/>
        <v>1.2016925165280088</v>
      </c>
      <c r="N420" s="679">
        <f t="shared" si="203"/>
        <v>-0.58780546662255562</v>
      </c>
      <c r="O420" s="677">
        <f t="shared" si="204"/>
        <v>3619107.6642166763</v>
      </c>
      <c r="P420" s="680">
        <f t="shared" si="205"/>
        <v>1.5707960504836915</v>
      </c>
      <c r="Q420" s="689">
        <f t="shared" si="227"/>
        <v>18.123148377966015</v>
      </c>
      <c r="R420" s="690">
        <f t="shared" si="228"/>
        <v>1.5155902383252366</v>
      </c>
      <c r="S420" s="677">
        <f t="shared" si="206"/>
        <v>1.0072503497063408</v>
      </c>
      <c r="T420" s="680">
        <f t="shared" si="207"/>
        <v>0.12005675929037679</v>
      </c>
      <c r="U420" s="681">
        <f t="shared" si="219"/>
        <v>9.574374181776887E-3</v>
      </c>
      <c r="V420" s="682">
        <f t="shared" si="220"/>
        <v>-4.2547634520503079E-2</v>
      </c>
      <c r="W420" s="683">
        <f t="shared" si="208"/>
        <v>-66.515272071503574</v>
      </c>
      <c r="X420" s="684">
        <f t="shared" si="209"/>
        <v>-131.34628002561635</v>
      </c>
      <c r="Y420" s="687">
        <f t="shared" si="210"/>
        <v>48.653719974383648</v>
      </c>
      <c r="AA420" s="170">
        <f t="shared" si="211"/>
        <v>40506.25</v>
      </c>
      <c r="AB420" s="170">
        <f t="shared" si="212"/>
        <v>1640756289.0625</v>
      </c>
      <c r="AD420" s="686">
        <f t="shared" si="213"/>
        <v>-0.96465557339640062</v>
      </c>
      <c r="AE420" s="687">
        <f t="shared" si="214"/>
        <v>-10.041805662102529</v>
      </c>
      <c r="AG420" s="686">
        <f t="shared" si="215"/>
        <v>72.934782149463871</v>
      </c>
      <c r="AH420" s="687">
        <f t="shared" si="216"/>
        <v>-116.42887458536273</v>
      </c>
      <c r="AJ420" s="170">
        <f t="shared" si="217"/>
        <v>0</v>
      </c>
      <c r="AK420" s="170">
        <f t="shared" si="229"/>
        <v>0</v>
      </c>
      <c r="AM420" s="170" t="str">
        <f t="shared" si="221"/>
        <v>0.00184776909225004+0.0607628499486536i</v>
      </c>
      <c r="AN420" s="170" t="str">
        <f t="shared" si="222"/>
        <v>6.34398561005014i</v>
      </c>
      <c r="AO420" s="170" t="str">
        <f t="shared" si="223"/>
        <v>0.00957802455484658-0.000291263127918009i</v>
      </c>
      <c r="AP420" s="170" t="str">
        <f t="shared" si="224"/>
        <v>0.166358705151292-0.0101271416581089i</v>
      </c>
      <c r="AQ420" s="170" t="str">
        <f t="shared" si="225"/>
        <v>0.833641294848708+0.0101271416581089i</v>
      </c>
      <c r="AR420" s="170" t="str">
        <f t="shared" si="226"/>
        <v>0.999083289889575-0.0121369443518239i</v>
      </c>
    </row>
    <row r="421" spans="7:44">
      <c r="G421" s="688">
        <v>40738</v>
      </c>
      <c r="H421" s="676">
        <f t="shared" si="218"/>
        <v>40.738</v>
      </c>
      <c r="I421" s="677">
        <f t="shared" si="198"/>
        <v>35.854613969521729</v>
      </c>
      <c r="J421" s="678">
        <f t="shared" si="199"/>
        <v>1.5429022964167891</v>
      </c>
      <c r="K421" s="678">
        <f t="shared" si="200"/>
        <v>1.0015842752025577</v>
      </c>
      <c r="L421" s="679">
        <f t="shared" si="201"/>
        <v>5.6252758505505374E-2</v>
      </c>
      <c r="M421" s="678">
        <f t="shared" si="202"/>
        <v>1.20381092043307</v>
      </c>
      <c r="N421" s="679">
        <f t="shared" si="203"/>
        <v>-0.59044100774503405</v>
      </c>
      <c r="O421" s="677">
        <f t="shared" si="204"/>
        <v>3639813.8071250459</v>
      </c>
      <c r="P421" s="680">
        <f t="shared" si="205"/>
        <v>1.5707960520555684</v>
      </c>
      <c r="Q421" s="689">
        <f t="shared" si="227"/>
        <v>18.226522261897031</v>
      </c>
      <c r="R421" s="690">
        <f t="shared" si="228"/>
        <v>1.5159036619738733</v>
      </c>
      <c r="S421" s="677">
        <f t="shared" si="206"/>
        <v>1.0073332476012191</v>
      </c>
      <c r="T421" s="680">
        <f t="shared" si="207"/>
        <v>0.12073700747379353</v>
      </c>
      <c r="U421" s="681">
        <f t="shared" si="219"/>
        <v>1.5188976364762095E-2</v>
      </c>
      <c r="V421" s="682">
        <f t="shared" si="220"/>
        <v>-6.7916309286047694E-2</v>
      </c>
      <c r="W421" s="683">
        <f t="shared" si="208"/>
        <v>-62.541835058574918</v>
      </c>
      <c r="X421" s="684">
        <f t="shared" si="209"/>
        <v>-132.96266320511467</v>
      </c>
      <c r="Y421" s="687">
        <f t="shared" si="210"/>
        <v>47.037336794885334</v>
      </c>
      <c r="AA421" s="170">
        <f t="shared" si="211"/>
        <v>40738</v>
      </c>
      <c r="AB421" s="170">
        <f t="shared" si="212"/>
        <v>1659584644</v>
      </c>
      <c r="AD421" s="686">
        <f t="shared" si="213"/>
        <v>-0.96552041893767626</v>
      </c>
      <c r="AE421" s="687">
        <f t="shared" si="214"/>
        <v>-10.062823249853203</v>
      </c>
      <c r="AG421" s="686">
        <f t="shared" si="215"/>
        <v>68.892359611381565</v>
      </c>
      <c r="AH421" s="687">
        <f t="shared" si="216"/>
        <v>-115.1172041819771</v>
      </c>
      <c r="AJ421" s="170">
        <f t="shared" si="217"/>
        <v>0</v>
      </c>
      <c r="AK421" s="170">
        <f t="shared" si="229"/>
        <v>0</v>
      </c>
      <c r="AM421" s="170" t="str">
        <f t="shared" si="221"/>
        <v>0.00471015291924604+0.0969439028406097i</v>
      </c>
      <c r="AN421" s="170" t="str">
        <f t="shared" si="222"/>
        <v>6.38028170423633i</v>
      </c>
      <c r="AO421" s="170" t="str">
        <f t="shared" si="223"/>
        <v>0.0151942982041438-0.00073823588637452i</v>
      </c>
      <c r="AP421" s="170" t="str">
        <f t="shared" si="224"/>
        <v>0.165881641180126-0.0161573171401016i</v>
      </c>
      <c r="AQ421" s="170" t="str">
        <f t="shared" si="225"/>
        <v>0.834118358819874+0.0161573171401016i</v>
      </c>
      <c r="AR421" s="170" t="str">
        <f t="shared" si="226"/>
        <v>0.998284658540258-0.0193373058554345i</v>
      </c>
    </row>
    <row r="422" spans="7:44">
      <c r="G422" s="688">
        <v>40975.25</v>
      </c>
      <c r="H422" s="676">
        <f t="shared" si="218"/>
        <v>40.975250000000003</v>
      </c>
      <c r="I422" s="677">
        <f t="shared" si="198"/>
        <v>36.063262143349533</v>
      </c>
      <c r="J422" s="678">
        <f t="shared" si="199"/>
        <v>1.5430637220621</v>
      </c>
      <c r="K422" s="678">
        <f t="shared" si="200"/>
        <v>1.0016027671350924</v>
      </c>
      <c r="L422" s="679">
        <f t="shared" si="201"/>
        <v>5.6579666667833178E-2</v>
      </c>
      <c r="M422" s="678">
        <f t="shared" si="202"/>
        <v>1.2059882302547951</v>
      </c>
      <c r="N422" s="679">
        <f t="shared" si="203"/>
        <v>-0.59312948633877782</v>
      </c>
      <c r="O422" s="677">
        <f t="shared" si="204"/>
        <v>3661011.3579557282</v>
      </c>
      <c r="P422" s="680">
        <f t="shared" si="205"/>
        <v>1.5707960536463312</v>
      </c>
      <c r="Q422" s="689">
        <f t="shared" si="227"/>
        <v>18.332351297010327</v>
      </c>
      <c r="R422" s="690">
        <f t="shared" si="228"/>
        <v>1.5162208623661313</v>
      </c>
      <c r="S422" s="677">
        <f t="shared" si="206"/>
        <v>1.007418595643274</v>
      </c>
      <c r="T422" s="680">
        <f t="shared" si="207"/>
        <v>0.12143328332725331</v>
      </c>
      <c r="U422" s="681">
        <f t="shared" si="219"/>
        <v>2.0851113179006175E-2</v>
      </c>
      <c r="V422" s="682">
        <f t="shared" si="220"/>
        <v>-9.3842683846891956E-2</v>
      </c>
      <c r="W422" s="683">
        <f t="shared" si="208"/>
        <v>-59.825250099541393</v>
      </c>
      <c r="X422" s="684">
        <f t="shared" si="209"/>
        <v>-134.61441158952616</v>
      </c>
      <c r="Y422" s="687">
        <f t="shared" si="210"/>
        <v>45.385588410473844</v>
      </c>
      <c r="AA422" s="170">
        <f t="shared" si="211"/>
        <v>40975.25</v>
      </c>
      <c r="AB422" s="170">
        <f t="shared" si="212"/>
        <v>1678971112.5625</v>
      </c>
      <c r="AD422" s="686">
        <f t="shared" si="213"/>
        <v>-0.96640726699747315</v>
      </c>
      <c r="AE422" s="687">
        <f t="shared" si="214"/>
        <v>-10.084542765065862</v>
      </c>
      <c r="AG422" s="686">
        <f t="shared" si="215"/>
        <v>66.105801846054973</v>
      </c>
      <c r="AH422" s="687">
        <f t="shared" si="216"/>
        <v>-113.77628936695768</v>
      </c>
      <c r="AJ422" s="170">
        <f t="shared" si="217"/>
        <v>0</v>
      </c>
      <c r="AK422" s="170">
        <f t="shared" si="229"/>
        <v>0</v>
      </c>
      <c r="AM422" s="170" t="str">
        <f t="shared" si="221"/>
        <v>0.00899852506344101+0.1338509494683i</v>
      </c>
      <c r="AN422" s="170" t="str">
        <f t="shared" si="222"/>
        <v>6.41743919440104i</v>
      </c>
      <c r="AO422" s="170" t="str">
        <f t="shared" si="223"/>
        <v>0.0208573771271693-0.00140219872613548i</v>
      </c>
      <c r="AP422" s="170" t="str">
        <f t="shared" si="224"/>
        <v>0.165166912489426-0.02230849157805i</v>
      </c>
      <c r="AQ422" s="170" t="str">
        <f t="shared" si="225"/>
        <v>0.834833087510574+0.02230849157805i</v>
      </c>
      <c r="AR422" s="170" t="str">
        <f t="shared" si="226"/>
        <v>0.997092252510788-0.0266443968865741i</v>
      </c>
    </row>
    <row r="423" spans="7:44">
      <c r="G423" s="688">
        <v>41212.5</v>
      </c>
      <c r="H423" s="676">
        <f t="shared" si="218"/>
        <v>41.212499999999999</v>
      </c>
      <c r="I423" s="677">
        <f t="shared" si="198"/>
        <v>36.271911246110967</v>
      </c>
      <c r="J423" s="678">
        <f t="shared" si="199"/>
        <v>1.5432232905545777</v>
      </c>
      <c r="K423" s="678">
        <f t="shared" si="200"/>
        <v>1.0016213661039011</v>
      </c>
      <c r="L423" s="679">
        <f t="shared" si="201"/>
        <v>5.6906562724469915E-2</v>
      </c>
      <c r="M423" s="678">
        <f t="shared" si="202"/>
        <v>1.2081742254049737</v>
      </c>
      <c r="N423" s="679">
        <f t="shared" si="203"/>
        <v>-0.59580825550495875</v>
      </c>
      <c r="O423" s="677">
        <f t="shared" si="204"/>
        <v>3682208.9087864114</v>
      </c>
      <c r="P423" s="680">
        <f t="shared" si="205"/>
        <v>1.570796055218779</v>
      </c>
      <c r="Q423" s="689">
        <f t="shared" si="227"/>
        <v>18.43818215547903</v>
      </c>
      <c r="R423" s="690">
        <f t="shared" si="228"/>
        <v>1.5165344214773282</v>
      </c>
      <c r="S423" s="677">
        <f t="shared" si="206"/>
        <v>1.0075044319990443</v>
      </c>
      <c r="T423" s="680">
        <f t="shared" si="207"/>
        <v>0.1221294408769338</v>
      </c>
      <c r="U423" s="681">
        <f t="shared" si="219"/>
        <v>2.6420608536026412E-2</v>
      </c>
      <c r="V423" s="682">
        <f t="shared" si="220"/>
        <v>-0.11970752383890898</v>
      </c>
      <c r="W423" s="683">
        <f t="shared" si="208"/>
        <v>-57.804084482621647</v>
      </c>
      <c r="X423" s="684">
        <f t="shared" si="209"/>
        <v>-136.2621741308902</v>
      </c>
      <c r="Y423" s="687">
        <f t="shared" si="210"/>
        <v>43.737825869109798</v>
      </c>
      <c r="AA423" s="170">
        <f t="shared" si="211"/>
        <v>41212.5</v>
      </c>
      <c r="AB423" s="170">
        <f t="shared" si="212"/>
        <v>1698470156.25</v>
      </c>
      <c r="AD423" s="686">
        <f t="shared" si="213"/>
        <v>-0.96729566820286661</v>
      </c>
      <c r="AE423" s="687">
        <f t="shared" si="214"/>
        <v>-10.106464130958932</v>
      </c>
      <c r="AG423" s="686">
        <f t="shared" si="215"/>
        <v>64.015313035566962</v>
      </c>
      <c r="AH423" s="687">
        <f t="shared" si="216"/>
        <v>-112.43823820039442</v>
      </c>
      <c r="AJ423" s="170">
        <f t="shared" si="217"/>
        <v>0</v>
      </c>
      <c r="AK423" s="170">
        <f t="shared" si="229"/>
        <v>0</v>
      </c>
      <c r="AM423" s="170" t="str">
        <f t="shared" si="221"/>
        <v>0.014654994788204+0.170573212152922i</v>
      </c>
      <c r="AN423" s="170" t="str">
        <f t="shared" si="222"/>
        <v>6.45459668456575i</v>
      </c>
      <c r="AO423" s="170" t="str">
        <f t="shared" si="223"/>
        <v>0.0264266259363342-0.00227047412942889i</v>
      </c>
      <c r="AP423" s="170" t="str">
        <f t="shared" si="224"/>
        <v>0.164224167535299-0.0284288686921537i</v>
      </c>
      <c r="AQ423" s="170" t="str">
        <f t="shared" si="225"/>
        <v>0.835775832464701+0.0284288686921537i</v>
      </c>
      <c r="AR423" s="170" t="str">
        <f t="shared" si="226"/>
        <v>0.995526894660728-0.0338627922326441i</v>
      </c>
    </row>
    <row r="424" spans="7:44">
      <c r="G424" s="688">
        <v>41449.75</v>
      </c>
      <c r="H424" s="676">
        <f t="shared" si="218"/>
        <v>41.449750000000002</v>
      </c>
      <c r="I424" s="677">
        <f t="shared" si="198"/>
        <v>36.480561261867031</v>
      </c>
      <c r="J424" s="678">
        <f t="shared" si="199"/>
        <v>1.5433810337518981</v>
      </c>
      <c r="K424" s="678">
        <f t="shared" si="200"/>
        <v>1.0016400721030205</v>
      </c>
      <c r="L424" s="679">
        <f t="shared" si="201"/>
        <v>5.7233446606226979E-2</v>
      </c>
      <c r="M424" s="678">
        <f t="shared" si="202"/>
        <v>1.2103688588250119</v>
      </c>
      <c r="N424" s="679">
        <f t="shared" si="203"/>
        <v>-0.59847732951038501</v>
      </c>
      <c r="O424" s="677">
        <f t="shared" si="204"/>
        <v>3703406.4596170941</v>
      </c>
      <c r="P424" s="680">
        <f t="shared" si="205"/>
        <v>1.5707960567732258</v>
      </c>
      <c r="Q424" s="689">
        <f t="shared" si="227"/>
        <v>18.544014806085425</v>
      </c>
      <c r="R424" s="690">
        <f t="shared" si="228"/>
        <v>1.5168444015887987</v>
      </c>
      <c r="S424" s="677">
        <f t="shared" si="206"/>
        <v>1.0075907565437316</v>
      </c>
      <c r="T424" s="680">
        <f t="shared" si="207"/>
        <v>0.12282547947839131</v>
      </c>
      <c r="U424" s="681">
        <f t="shared" si="219"/>
        <v>3.1891798338454867E-2</v>
      </c>
      <c r="V424" s="682">
        <f t="shared" si="220"/>
        <v>-0.14549436906147883</v>
      </c>
      <c r="W424" s="683">
        <f t="shared" si="208"/>
        <v>-56.204146350804571</v>
      </c>
      <c r="X424" s="684">
        <f t="shared" si="209"/>
        <v>-137.90500677051926</v>
      </c>
      <c r="Y424" s="687">
        <f t="shared" si="210"/>
        <v>42.094993229480735</v>
      </c>
      <c r="AA424" s="170">
        <f t="shared" si="211"/>
        <v>41449.75</v>
      </c>
      <c r="AB424" s="170">
        <f t="shared" si="212"/>
        <v>1718081775.0625</v>
      </c>
      <c r="AD424" s="686">
        <f t="shared" si="213"/>
        <v>-0.96818567949643664</v>
      </c>
      <c r="AE424" s="687">
        <f t="shared" si="214"/>
        <v>-10.1285837421689</v>
      </c>
      <c r="AG424" s="686">
        <f t="shared" si="215"/>
        <v>62.346693461987783</v>
      </c>
      <c r="AH424" s="687">
        <f t="shared" si="216"/>
        <v>-111.10399642901631</v>
      </c>
      <c r="AJ424" s="170">
        <f t="shared" si="217"/>
        <v>0</v>
      </c>
      <c r="AK424" s="170">
        <f t="shared" si="229"/>
        <v>0</v>
      </c>
      <c r="AM424" s="170" t="str">
        <f t="shared" si="221"/>
        <v>0.021671753222669+0.207059995068081i</v>
      </c>
      <c r="AN424" s="170" t="str">
        <f t="shared" si="222"/>
        <v>6.49175417473046i</v>
      </c>
      <c r="AO424" s="170" t="str">
        <f t="shared" si="223"/>
        <v>0.0318958465608686-0.00333835087394831i</v>
      </c>
      <c r="AP424" s="170" t="str">
        <f t="shared" si="224"/>
        <v>0.163054707796222-0.0345099991780135i</v>
      </c>
      <c r="AQ424" s="170" t="str">
        <f t="shared" si="225"/>
        <v>0.836945292203778+0.0345099991780135i</v>
      </c>
      <c r="AR424" s="170" t="str">
        <f t="shared" si="226"/>
        <v>0.993596784433042-0.0409692539446324i</v>
      </c>
    </row>
    <row r="425" spans="7:44">
      <c r="G425" s="688">
        <v>41687</v>
      </c>
      <c r="H425" s="676">
        <f t="shared" si="218"/>
        <v>41.686999999999998</v>
      </c>
      <c r="I425" s="677">
        <f t="shared" si="198"/>
        <v>36.689212175041249</v>
      </c>
      <c r="J425" s="678">
        <f t="shared" si="199"/>
        <v>1.5435369827874088</v>
      </c>
      <c r="K425" s="678">
        <f t="shared" si="200"/>
        <v>1.001658885126455</v>
      </c>
      <c r="L425" s="679">
        <f t="shared" si="201"/>
        <v>5.756031824393136E-2</v>
      </c>
      <c r="M425" s="678">
        <f t="shared" si="202"/>
        <v>1.2125720836117138</v>
      </c>
      <c r="N425" s="679">
        <f t="shared" si="203"/>
        <v>-0.60113672307132426</v>
      </c>
      <c r="O425" s="677">
        <f t="shared" si="204"/>
        <v>3724604.0104477764</v>
      </c>
      <c r="P425" s="680">
        <f t="shared" si="205"/>
        <v>1.5707960583099791</v>
      </c>
      <c r="Q425" s="689">
        <f t="shared" si="227"/>
        <v>18.649849218319879</v>
      </c>
      <c r="R425" s="690">
        <f t="shared" si="228"/>
        <v>1.5171508635709252</v>
      </c>
      <c r="S425" s="677">
        <f t="shared" si="206"/>
        <v>1.0076775691518718</v>
      </c>
      <c r="T425" s="680">
        <f t="shared" si="207"/>
        <v>0.12352139848786342</v>
      </c>
      <c r="U425" s="681">
        <f t="shared" si="219"/>
        <v>3.725935821126701E-2</v>
      </c>
      <c r="V425" s="682">
        <f t="shared" si="220"/>
        <v>-0.17118716552432969</v>
      </c>
      <c r="W425" s="683">
        <f t="shared" si="208"/>
        <v>-54.887488688959884</v>
      </c>
      <c r="X425" s="684">
        <f t="shared" si="209"/>
        <v>-139.54198878899487</v>
      </c>
      <c r="Y425" s="687">
        <f t="shared" si="210"/>
        <v>40.458011211005129</v>
      </c>
      <c r="AA425" s="170">
        <f t="shared" si="211"/>
        <v>41687</v>
      </c>
      <c r="AB425" s="170">
        <f t="shared" si="212"/>
        <v>1737805969</v>
      </c>
      <c r="AD425" s="686">
        <f t="shared" si="213"/>
        <v>-0.9690773561380005</v>
      </c>
      <c r="AE425" s="687">
        <f t="shared" si="214"/>
        <v>-10.150898074212488</v>
      </c>
      <c r="AG425" s="686">
        <f t="shared" si="215"/>
        <v>60.961988372809017</v>
      </c>
      <c r="AH425" s="687">
        <f t="shared" si="216"/>
        <v>-109.77448650966411</v>
      </c>
      <c r="AJ425" s="170">
        <f t="shared" si="217"/>
        <v>0</v>
      </c>
      <c r="AK425" s="170">
        <f t="shared" si="229"/>
        <v>0</v>
      </c>
      <c r="AM425" s="170" t="str">
        <f t="shared" si="221"/>
        <v>0.030039113589896+0.243260927471974i</v>
      </c>
      <c r="AN425" s="170" t="str">
        <f t="shared" si="222"/>
        <v>6.52891166489518i</v>
      </c>
      <c r="AO425" s="170" t="str">
        <f t="shared" si="223"/>
        <v>0.0372590318199503-0.00460093735858169i</v>
      </c>
      <c r="AP425" s="170" t="str">
        <f t="shared" si="224"/>
        <v>0.161660147735017-0.0405434879119957i</v>
      </c>
      <c r="AQ425" s="170" t="str">
        <f t="shared" si="225"/>
        <v>0.838339852264983+0.0405434879119957i</v>
      </c>
      <c r="AR425" s="170" t="str">
        <f t="shared" si="226"/>
        <v>0.99131191658159-0.0479414674112848i</v>
      </c>
    </row>
    <row r="426" spans="7:44">
      <c r="G426" s="688">
        <v>41929.75</v>
      </c>
      <c r="H426" s="676">
        <f t="shared" si="218"/>
        <v>41.929749999999999</v>
      </c>
      <c r="I426" s="677">
        <f t="shared" si="198"/>
        <v>36.902701008674526</v>
      </c>
      <c r="J426" s="678">
        <f t="shared" si="199"/>
        <v>1.5436947217817178</v>
      </c>
      <c r="K426" s="678">
        <f t="shared" si="200"/>
        <v>1.0016782450473762</v>
      </c>
      <c r="L426" s="679">
        <f t="shared" si="201"/>
        <v>5.7894754771827976E-2</v>
      </c>
      <c r="M426" s="678">
        <f t="shared" si="202"/>
        <v>1.2148352278799122</v>
      </c>
      <c r="N426" s="679">
        <f t="shared" si="203"/>
        <v>-0.60384776362835046</v>
      </c>
      <c r="O426" s="677">
        <f t="shared" si="204"/>
        <v>3746292.9692007727</v>
      </c>
      <c r="P426" s="680">
        <f t="shared" si="205"/>
        <v>1.570796059864358</v>
      </c>
      <c r="Q426" s="689">
        <f t="shared" si="227"/>
        <v>18.758138907606309</v>
      </c>
      <c r="R426" s="690">
        <f t="shared" si="228"/>
        <v>1.5174608506854941</v>
      </c>
      <c r="S426" s="677">
        <f t="shared" si="206"/>
        <v>1.0077668993103748</v>
      </c>
      <c r="T426" s="680">
        <f t="shared" si="207"/>
        <v>0.12423332604511042</v>
      </c>
      <c r="U426" s="681">
        <f t="shared" si="219"/>
        <v>4.2638922940348774E-2</v>
      </c>
      <c r="V426" s="682">
        <f t="shared" si="220"/>
        <v>-0.19736199837534485</v>
      </c>
      <c r="W426" s="683">
        <f t="shared" si="208"/>
        <v>-53.751016951535405</v>
      </c>
      <c r="X426" s="684">
        <f t="shared" si="209"/>
        <v>-141.20993298184621</v>
      </c>
      <c r="Y426" s="687">
        <f t="shared" si="210"/>
        <v>38.790067018153792</v>
      </c>
      <c r="AA426" s="170">
        <f t="shared" si="211"/>
        <v>41929.75</v>
      </c>
      <c r="AB426" s="170">
        <f t="shared" si="212"/>
        <v>1758103935.0625</v>
      </c>
      <c r="AD426" s="686">
        <f t="shared" si="213"/>
        <v>-0.96999148353013143</v>
      </c>
      <c r="AE426" s="687">
        <f t="shared" si="214"/>
        <v>-10.173927654279238</v>
      </c>
      <c r="AG426" s="686">
        <f t="shared" si="215"/>
        <v>59.756540000492642</v>
      </c>
      <c r="AH426" s="687">
        <f t="shared" si="216"/>
        <v>-108.41998621537428</v>
      </c>
      <c r="AJ426" s="170">
        <f t="shared" si="217"/>
        <v>0</v>
      </c>
      <c r="AK426" s="170">
        <f t="shared" si="229"/>
        <v>0</v>
      </c>
      <c r="AM426" s="170" t="str">
        <f t="shared" si="221"/>
        <v>0.0399863188483019+0.279953088930209i</v>
      </c>
      <c r="AN426" s="170" t="str">
        <f t="shared" si="222"/>
        <v>6.56693055103842i</v>
      </c>
      <c r="AO426" s="170" t="str">
        <f t="shared" si="223"/>
        <v>0.0426307369560868-0.00608904244342571i</v>
      </c>
      <c r="AP426" s="170" t="str">
        <f t="shared" si="224"/>
        <v>0.16000228019195-0.0466588481550348i</v>
      </c>
      <c r="AQ426" s="170" t="str">
        <f t="shared" si="225"/>
        <v>0.83999771980805+0.0466588481550348i</v>
      </c>
      <c r="AR426" s="170" t="str">
        <f t="shared" si="226"/>
        <v>0.988619070917331-0.0549142289620073i</v>
      </c>
    </row>
    <row r="427" spans="7:44">
      <c r="G427" s="688">
        <v>42172.5</v>
      </c>
      <c r="H427" s="676">
        <f t="shared" si="218"/>
        <v>42.172499999999999</v>
      </c>
      <c r="I427" s="677">
        <f t="shared" si="198"/>
        <v>37.116190749942909</v>
      </c>
      <c r="J427" s="678">
        <f t="shared" si="199"/>
        <v>1.5438506461724755</v>
      </c>
      <c r="K427" s="678">
        <f t="shared" si="200"/>
        <v>1.0016977169994588</v>
      </c>
      <c r="L427" s="679">
        <f t="shared" si="201"/>
        <v>5.8229178334937876E-2</v>
      </c>
      <c r="M427" s="678">
        <f t="shared" si="202"/>
        <v>1.2171072676291288</v>
      </c>
      <c r="N427" s="679">
        <f t="shared" si="203"/>
        <v>-0.60654870228385549</v>
      </c>
      <c r="O427" s="677">
        <f t="shared" si="204"/>
        <v>3767981.9279537681</v>
      </c>
      <c r="P427" s="680">
        <f t="shared" si="205"/>
        <v>1.5707960614008425</v>
      </c>
      <c r="Q427" s="689">
        <f t="shared" si="227"/>
        <v>18.86643037870784</v>
      </c>
      <c r="R427" s="690">
        <f t="shared" si="228"/>
        <v>1.5177672792375929</v>
      </c>
      <c r="S427" s="677">
        <f t="shared" si="206"/>
        <v>1.0078567401556109</v>
      </c>
      <c r="T427" s="680">
        <f t="shared" si="207"/>
        <v>0.12494512703992897</v>
      </c>
      <c r="U427" s="681">
        <f t="shared" si="219"/>
        <v>4.7899930591819934E-2</v>
      </c>
      <c r="V427" s="682">
        <f t="shared" si="220"/>
        <v>-0.22340599700505878</v>
      </c>
      <c r="W427" s="683">
        <f t="shared" si="208"/>
        <v>-52.775066221816651</v>
      </c>
      <c r="X427" s="684">
        <f t="shared" si="209"/>
        <v>-142.86989554146476</v>
      </c>
      <c r="Y427" s="687">
        <f t="shared" si="210"/>
        <v>37.130104458535243</v>
      </c>
      <c r="AA427" s="170">
        <f t="shared" si="211"/>
        <v>42172.5</v>
      </c>
      <c r="AB427" s="170">
        <f t="shared" si="212"/>
        <v>1778519756.25</v>
      </c>
      <c r="AD427" s="686">
        <f t="shared" si="213"/>
        <v>-0.97090746626876756</v>
      </c>
      <c r="AE427" s="687">
        <f t="shared" si="214"/>
        <v>-10.197153872438593</v>
      </c>
      <c r="AG427" s="686">
        <f t="shared" si="215"/>
        <v>58.712260383437346</v>
      </c>
      <c r="AH427" s="687">
        <f t="shared" si="216"/>
        <v>-107.07230014716902</v>
      </c>
      <c r="AJ427" s="170">
        <f t="shared" si="217"/>
        <v>0</v>
      </c>
      <c r="AK427" s="170">
        <f t="shared" si="229"/>
        <v>0</v>
      </c>
      <c r="AM427" s="170" t="str">
        <f t="shared" si="221"/>
        <v>0.051320995020284+0.316240644937831i</v>
      </c>
      <c r="AN427" s="170" t="str">
        <f t="shared" si="222"/>
        <v>6.60494943718166i</v>
      </c>
      <c r="AO427" s="170" t="str">
        <f t="shared" si="223"/>
        <v>0.0478793438080839-0.00777008143792585i</v>
      </c>
      <c r="AP427" s="170" t="str">
        <f t="shared" si="224"/>
        <v>0.158113167496619-0.0527067741563052i</v>
      </c>
      <c r="AQ427" s="170" t="str">
        <f t="shared" si="225"/>
        <v>0.841886832503381+0.0527067741563052i</v>
      </c>
      <c r="AR427" s="170" t="str">
        <f t="shared" si="226"/>
        <v>0.985581209323287-0.0617028372543076i</v>
      </c>
    </row>
    <row r="428" spans="7:44">
      <c r="G428" s="688">
        <v>42415.25</v>
      </c>
      <c r="H428" s="676">
        <f t="shared" si="218"/>
        <v>42.41525</v>
      </c>
      <c r="I428" s="677">
        <f t="shared" si="198"/>
        <v>37.329681383274</v>
      </c>
      <c r="J428" s="678">
        <f t="shared" si="199"/>
        <v>1.5440047870855063</v>
      </c>
      <c r="K428" s="678">
        <f t="shared" si="200"/>
        <v>1.0017173009761695</v>
      </c>
      <c r="L428" s="679">
        <f t="shared" si="201"/>
        <v>5.8563588859216011E-2</v>
      </c>
      <c r="M428" s="678">
        <f t="shared" si="202"/>
        <v>1.2193881531355266</v>
      </c>
      <c r="N428" s="679">
        <f t="shared" si="203"/>
        <v>-0.60923955620832315</v>
      </c>
      <c r="O428" s="677">
        <f t="shared" si="204"/>
        <v>3789670.8867067643</v>
      </c>
      <c r="P428" s="680">
        <f t="shared" si="205"/>
        <v>1.5707960629197397</v>
      </c>
      <c r="Q428" s="689">
        <f t="shared" si="227"/>
        <v>18.974723601117244</v>
      </c>
      <c r="R428" s="690">
        <f t="shared" si="228"/>
        <v>1.5180702100978423</v>
      </c>
      <c r="S428" s="677">
        <f t="shared" si="206"/>
        <v>1.0079470915510242</v>
      </c>
      <c r="T428" s="680">
        <f t="shared" si="207"/>
        <v>0.12565680078497529</v>
      </c>
      <c r="U428" s="681">
        <f t="shared" si="219"/>
        <v>5.3037955009625298E-2</v>
      </c>
      <c r="V428" s="682">
        <f t="shared" si="220"/>
        <v>-0.24930376671575527</v>
      </c>
      <c r="W428" s="683">
        <f t="shared" si="208"/>
        <v>-51.924331960066951</v>
      </c>
      <c r="X428" s="684">
        <f t="shared" si="209"/>
        <v>-144.5209936610666</v>
      </c>
      <c r="Y428" s="687">
        <f t="shared" si="210"/>
        <v>35.479006338933402</v>
      </c>
      <c r="AA428" s="170">
        <f t="shared" si="211"/>
        <v>42415.25</v>
      </c>
      <c r="AB428" s="170">
        <f t="shared" si="212"/>
        <v>1799053432.5625</v>
      </c>
      <c r="AD428" s="686">
        <f t="shared" si="213"/>
        <v>-0.9718253584370522</v>
      </c>
      <c r="AE428" s="687">
        <f t="shared" si="214"/>
        <v>-10.220573201696622</v>
      </c>
      <c r="AG428" s="686">
        <f t="shared" si="215"/>
        <v>57.793837078678735</v>
      </c>
      <c r="AH428" s="687">
        <f t="shared" si="216"/>
        <v>-105.7323131276725</v>
      </c>
      <c r="AJ428" s="170">
        <f t="shared" si="217"/>
        <v>0</v>
      </c>
      <c r="AK428" s="170">
        <f t="shared" si="229"/>
        <v>0</v>
      </c>
      <c r="AM428" s="170" t="str">
        <f t="shared" si="221"/>
        <v>0.064026760533566+0.352071150483406i</v>
      </c>
      <c r="AN428" s="170" t="str">
        <f t="shared" si="222"/>
        <v>6.6429683233249i</v>
      </c>
      <c r="AO428" s="170" t="str">
        <f t="shared" si="223"/>
        <v>0.0529990711000695-0.00963827575524547i</v>
      </c>
      <c r="AP428" s="170" t="str">
        <f t="shared" si="224"/>
        <v>0.155995539911072-0.0586785250805677i</v>
      </c>
      <c r="AQ428" s="170" t="str">
        <f t="shared" si="225"/>
        <v>0.844004460088928+0.0586785250805677i</v>
      </c>
      <c r="AR428" s="170" t="str">
        <f t="shared" si="226"/>
        <v>0.982213999313039-0.068287398371215i</v>
      </c>
    </row>
    <row r="429" spans="7:44">
      <c r="G429" s="688">
        <v>42658</v>
      </c>
      <c r="H429" s="676">
        <f t="shared" si="218"/>
        <v>42.658000000000001</v>
      </c>
      <c r="I429" s="677">
        <f t="shared" si="198"/>
        <v>37.543172893449551</v>
      </c>
      <c r="J429" s="678">
        <f t="shared" si="199"/>
        <v>1.544157174938982</v>
      </c>
      <c r="K429" s="678">
        <f t="shared" si="200"/>
        <v>1.001736996970938</v>
      </c>
      <c r="L429" s="679">
        <f t="shared" si="201"/>
        <v>5.8897986270634799E-2</v>
      </c>
      <c r="M429" s="678">
        <f t="shared" si="202"/>
        <v>1.221677834853738</v>
      </c>
      <c r="N429" s="679">
        <f t="shared" si="203"/>
        <v>-0.61192034302842024</v>
      </c>
      <c r="O429" s="677">
        <f t="shared" si="204"/>
        <v>3811359.8454597597</v>
      </c>
      <c r="P429" s="680">
        <f t="shared" si="205"/>
        <v>1.5707960644213501</v>
      </c>
      <c r="Q429" s="689">
        <f t="shared" si="227"/>
        <v>19.083018545019318</v>
      </c>
      <c r="R429" s="690">
        <f t="shared" si="228"/>
        <v>1.518369702757717</v>
      </c>
      <c r="S429" s="677">
        <f t="shared" si="206"/>
        <v>1.0080379533593311</v>
      </c>
      <c r="T429" s="680">
        <f t="shared" si="207"/>
        <v>0.12636834659366697</v>
      </c>
      <c r="U429" s="681">
        <f t="shared" si="219"/>
        <v>5.8049041654732937E-2</v>
      </c>
      <c r="V429" s="682">
        <f t="shared" si="220"/>
        <v>-0.27504065881439382</v>
      </c>
      <c r="W429" s="683">
        <f t="shared" si="208"/>
        <v>-51.174154702178782</v>
      </c>
      <c r="X429" s="684">
        <f t="shared" si="209"/>
        <v>-146.16238734144068</v>
      </c>
      <c r="Y429" s="687">
        <f t="shared" si="210"/>
        <v>33.837612658559323</v>
      </c>
      <c r="AA429" s="170">
        <f t="shared" si="211"/>
        <v>42658</v>
      </c>
      <c r="AB429" s="170">
        <f t="shared" si="212"/>
        <v>1819704964</v>
      </c>
      <c r="AD429" s="686">
        <f t="shared" si="213"/>
        <v>-0.97274521250954527</v>
      </c>
      <c r="AE429" s="687">
        <f t="shared" si="214"/>
        <v>-10.244182194121827</v>
      </c>
      <c r="AG429" s="686">
        <f t="shared" si="215"/>
        <v>56.976602843214849</v>
      </c>
      <c r="AH429" s="687">
        <f t="shared" si="216"/>
        <v>-104.40086722218018</v>
      </c>
      <c r="AJ429" s="170">
        <f t="shared" si="217"/>
        <v>0</v>
      </c>
      <c r="AK429" s="170">
        <f t="shared" si="229"/>
        <v>0</v>
      </c>
      <c r="AM429" s="170" t="str">
        <f t="shared" si="221"/>
        <v>0.078085252233091+0.387392821112984i</v>
      </c>
      <c r="AN429" s="170" t="str">
        <f t="shared" si="222"/>
        <v>6.68098720946814i</v>
      </c>
      <c r="AO429" s="170" t="str">
        <f t="shared" si="223"/>
        <v>0.0579843680233334-0.0116876817429661i</v>
      </c>
      <c r="AP429" s="170" t="str">
        <f t="shared" si="224"/>
        <v>0.153652457961151-0.0645654701854973i</v>
      </c>
      <c r="AQ429" s="170" t="str">
        <f t="shared" si="225"/>
        <v>0.846347542038849+0.0645654701854973i</v>
      </c>
      <c r="AR429" s="170" t="str">
        <f t="shared" si="226"/>
        <v>0.978534431821227-0.074649635693437i</v>
      </c>
    </row>
    <row r="430" spans="7:44">
      <c r="G430" s="688">
        <v>42906.5</v>
      </c>
      <c r="H430" s="676">
        <f t="shared" si="218"/>
        <v>42.906500000000001</v>
      </c>
      <c r="I430" s="677">
        <f t="shared" si="198"/>
        <v>37.761722252815566</v>
      </c>
      <c r="J430" s="678">
        <f t="shared" si="199"/>
        <v>1.5443113875874177</v>
      </c>
      <c r="K430" s="678">
        <f t="shared" si="200"/>
        <v>1.0017572755258013</v>
      </c>
      <c r="L430" s="679">
        <f t="shared" si="201"/>
        <v>5.92402908673118E-2</v>
      </c>
      <c r="M430" s="678">
        <f t="shared" si="202"/>
        <v>1.2240308117580589</v>
      </c>
      <c r="N430" s="679">
        <f t="shared" si="203"/>
        <v>-0.61465422068832309</v>
      </c>
      <c r="O430" s="677">
        <f t="shared" si="204"/>
        <v>3833562.5488588098</v>
      </c>
      <c r="P430" s="680">
        <f t="shared" si="205"/>
        <v>1.5707960659409292</v>
      </c>
      <c r="Q430" s="689">
        <f t="shared" si="227"/>
        <v>19.193880415390122</v>
      </c>
      <c r="R430" s="690">
        <f t="shared" si="228"/>
        <v>1.5186727888520573</v>
      </c>
      <c r="S430" s="677">
        <f t="shared" si="206"/>
        <v>1.0081314959512484</v>
      </c>
      <c r="T430" s="680">
        <f t="shared" si="207"/>
        <v>0.12709661349764972</v>
      </c>
      <c r="U430" s="681">
        <f t="shared" si="219"/>
        <v>6.304372096135745E-2</v>
      </c>
      <c r="V430" s="682">
        <f t="shared" si="220"/>
        <v>-0.30120608925461356</v>
      </c>
      <c r="W430" s="683">
        <f t="shared" si="208"/>
        <v>-50.491690210716051</v>
      </c>
      <c r="X430" s="684">
        <f t="shared" si="209"/>
        <v>-147.8317800065268</v>
      </c>
      <c r="Y430" s="687">
        <f t="shared" si="210"/>
        <v>32.168219993473201</v>
      </c>
      <c r="AA430" s="170">
        <f t="shared" si="211"/>
        <v>42906.5</v>
      </c>
      <c r="AB430" s="170">
        <f t="shared" si="212"/>
        <v>1840967742.25</v>
      </c>
      <c r="AD430" s="686">
        <f t="shared" si="213"/>
        <v>-0.97368894040481235</v>
      </c>
      <c r="AE430" s="687">
        <f t="shared" si="214"/>
        <v>-10.268543347137603</v>
      </c>
      <c r="AG430" s="686">
        <f t="shared" si="215"/>
        <v>56.226139707879419</v>
      </c>
      <c r="AH430" s="687">
        <f t="shared" si="216"/>
        <v>-103.04756126408901</v>
      </c>
      <c r="AJ430" s="170">
        <f t="shared" si="217"/>
        <v>0</v>
      </c>
      <c r="AK430" s="170">
        <f t="shared" si="229"/>
        <v>0</v>
      </c>
      <c r="AM430" s="170" t="str">
        <f t="shared" si="221"/>
        <v>0.093856690936539+0.422970806840758i</v>
      </c>
      <c r="AN430" s="170" t="str">
        <f t="shared" si="222"/>
        <v>6.71990664595257i</v>
      </c>
      <c r="AO430" s="170" t="str">
        <f t="shared" si="223"/>
        <v>0.0629429587530826-0.0139669635132609i</v>
      </c>
      <c r="AP430" s="170" t="str">
        <f t="shared" si="224"/>
        <v>0.15102388484391-0.0704951344734597i</v>
      </c>
      <c r="AQ430" s="170" t="str">
        <f t="shared" si="225"/>
        <v>0.84897611515609+0.0704951344734597i</v>
      </c>
      <c r="AR430" s="170" t="str">
        <f t="shared" si="226"/>
        <v>0.974463086880324-0.0809150047011877i</v>
      </c>
    </row>
    <row r="431" spans="7:44">
      <c r="G431" s="688">
        <v>43155</v>
      </c>
      <c r="H431" s="676">
        <f t="shared" si="218"/>
        <v>43.155000000000001</v>
      </c>
      <c r="I431" s="677">
        <f t="shared" si="198"/>
        <v>37.980272499878453</v>
      </c>
      <c r="J431" s="678">
        <f t="shared" si="199"/>
        <v>1.544463825464794</v>
      </c>
      <c r="K431" s="678">
        <f t="shared" si="200"/>
        <v>1.0017776714542459</v>
      </c>
      <c r="L431" s="679">
        <f t="shared" si="201"/>
        <v>5.9582581565632363E-2</v>
      </c>
      <c r="M431" s="678">
        <f t="shared" si="202"/>
        <v>1.226392902030468</v>
      </c>
      <c r="N431" s="679">
        <f t="shared" si="203"/>
        <v>-0.61737758748443339</v>
      </c>
      <c r="O431" s="677">
        <f t="shared" si="204"/>
        <v>3855765.2522578603</v>
      </c>
      <c r="P431" s="680">
        <f t="shared" si="205"/>
        <v>1.5707960674430081</v>
      </c>
      <c r="Q431" s="689">
        <f t="shared" si="227"/>
        <v>19.30474402868251</v>
      </c>
      <c r="R431" s="690">
        <f t="shared" si="228"/>
        <v>1.518972393837672</v>
      </c>
      <c r="S431" s="677">
        <f t="shared" si="206"/>
        <v>1.0082255731291916</v>
      </c>
      <c r="T431" s="680">
        <f t="shared" si="207"/>
        <v>0.12782474487908999</v>
      </c>
      <c r="U431" s="681">
        <f t="shared" si="219"/>
        <v>6.7898549328552965E-2</v>
      </c>
      <c r="V431" s="682">
        <f t="shared" si="220"/>
        <v>-0.3271744915181346</v>
      </c>
      <c r="W431" s="683">
        <f t="shared" si="208"/>
        <v>-49.881466201849946</v>
      </c>
      <c r="X431" s="684">
        <f t="shared" si="209"/>
        <v>-149.48937235688652</v>
      </c>
      <c r="Y431" s="687">
        <f t="shared" si="210"/>
        <v>30.51062764311348</v>
      </c>
      <c r="AA431" s="170">
        <f t="shared" si="211"/>
        <v>43155</v>
      </c>
      <c r="AB431" s="170">
        <f t="shared" si="212"/>
        <v>1862354025</v>
      </c>
      <c r="AD431" s="686">
        <f t="shared" si="213"/>
        <v>-0.97463483059652778</v>
      </c>
      <c r="AE431" s="687">
        <f t="shared" si="214"/>
        <v>-10.293096187119193</v>
      </c>
      <c r="AG431" s="686">
        <f t="shared" si="215"/>
        <v>55.548563309921491</v>
      </c>
      <c r="AH431" s="687">
        <f t="shared" si="216"/>
        <v>-101.70484107027141</v>
      </c>
      <c r="AJ431" s="170">
        <f t="shared" si="217"/>
        <v>0</v>
      </c>
      <c r="AK431" s="170">
        <f t="shared" si="229"/>
        <v>0</v>
      </c>
      <c r="AM431" s="170" t="str">
        <f t="shared" si="221"/>
        <v>0.11100051208664+0.457908190022611i</v>
      </c>
      <c r="AN431" s="170" t="str">
        <f t="shared" si="222"/>
        <v>6.758826082437i</v>
      </c>
      <c r="AO431" s="170" t="str">
        <f t="shared" si="223"/>
        <v>0.0677496630979303-0.0164230460634396i</v>
      </c>
      <c r="AP431" s="170" t="str">
        <f t="shared" si="224"/>
        <v>0.148166581318893-0.0763180316704352i</v>
      </c>
      <c r="AQ431" s="170" t="str">
        <f t="shared" si="225"/>
        <v>0.851833418681107+0.0763180316704352i</v>
      </c>
      <c r="AR431" s="170" t="str">
        <f t="shared" si="226"/>
        <v>0.970103850755065-0.0869141956418741i</v>
      </c>
    </row>
    <row r="432" spans="7:44">
      <c r="G432" s="688">
        <v>43403.5</v>
      </c>
      <c r="H432" s="676">
        <f t="shared" si="218"/>
        <v>43.403500000000001</v>
      </c>
      <c r="I432" s="677">
        <f t="shared" si="198"/>
        <v>38.198823619401637</v>
      </c>
      <c r="J432" s="678">
        <f t="shared" si="199"/>
        <v>1.5446145190265419</v>
      </c>
      <c r="K432" s="678">
        <f t="shared" si="200"/>
        <v>1.0017981847491026</v>
      </c>
      <c r="L432" s="679">
        <f t="shared" si="201"/>
        <v>5.9924858286240272E-2</v>
      </c>
      <c r="M432" s="678">
        <f t="shared" si="202"/>
        <v>1.2287640531142574</v>
      </c>
      <c r="N432" s="679">
        <f t="shared" si="203"/>
        <v>-0.62009046375227761</v>
      </c>
      <c r="O432" s="677">
        <f t="shared" si="204"/>
        <v>3877967.9556569103</v>
      </c>
      <c r="P432" s="680">
        <f t="shared" si="205"/>
        <v>1.570796068927887</v>
      </c>
      <c r="Q432" s="689">
        <f t="shared" si="227"/>
        <v>19.415609355040111</v>
      </c>
      <c r="R432" s="690">
        <f t="shared" si="228"/>
        <v>1.5192685772928824</v>
      </c>
      <c r="S432" s="677">
        <f t="shared" si="206"/>
        <v>1.0083201847435284</v>
      </c>
      <c r="T432" s="680">
        <f t="shared" si="207"/>
        <v>0.12855274000395486</v>
      </c>
      <c r="U432" s="681">
        <f t="shared" si="219"/>
        <v>7.26108722899651E-2</v>
      </c>
      <c r="V432" s="682">
        <f t="shared" si="220"/>
        <v>-0.35293290834807178</v>
      </c>
      <c r="W432" s="683">
        <f t="shared" si="208"/>
        <v>-49.33247412927112</v>
      </c>
      <c r="X432" s="684">
        <f t="shared" si="209"/>
        <v>-151.13442145541367</v>
      </c>
      <c r="Y432" s="687">
        <f t="shared" si="210"/>
        <v>28.865578544586327</v>
      </c>
      <c r="AA432" s="170">
        <f t="shared" si="211"/>
        <v>43403.5</v>
      </c>
      <c r="AB432" s="170">
        <f t="shared" si="212"/>
        <v>1883863812.25</v>
      </c>
      <c r="AD432" s="686">
        <f t="shared" si="213"/>
        <v>-0.97558293448424482</v>
      </c>
      <c r="AE432" s="687">
        <f t="shared" si="214"/>
        <v>-10.317837258440454</v>
      </c>
      <c r="AG432" s="686">
        <f t="shared" si="215"/>
        <v>54.932857146215198</v>
      </c>
      <c r="AH432" s="687">
        <f t="shared" si="216"/>
        <v>-100.37345195151615</v>
      </c>
      <c r="AJ432" s="170">
        <f t="shared" si="217"/>
        <v>0</v>
      </c>
      <c r="AK432" s="170">
        <f t="shared" si="229"/>
        <v>0</v>
      </c>
      <c r="AM432" s="170" t="str">
        <f t="shared" si="221"/>
        <v>0.12949075082885+0.492152056896525i</v>
      </c>
      <c r="AN432" s="170" t="str">
        <f t="shared" si="222"/>
        <v>6.79774551892143i</v>
      </c>
      <c r="AO432" s="170" t="str">
        <f t="shared" si="223"/>
        <v>0.0723993058473029-0.0190490730299353i</v>
      </c>
      <c r="AP432" s="170" t="str">
        <f t="shared" si="224"/>
        <v>0.145084874861858-0.0820253428160875i</v>
      </c>
      <c r="AQ432" s="170" t="str">
        <f t="shared" si="225"/>
        <v>0.854915125138142+0.0820253428160875i</v>
      </c>
      <c r="AR432" s="170" t="str">
        <f t="shared" si="226"/>
        <v>0.965477966825867-0.0926333607648763i</v>
      </c>
    </row>
    <row r="433" spans="7:44">
      <c r="G433" s="688">
        <v>43652</v>
      </c>
      <c r="H433" s="676">
        <f t="shared" si="218"/>
        <v>43.652000000000001</v>
      </c>
      <c r="I433" s="677">
        <f t="shared" si="198"/>
        <v>38.417375596495191</v>
      </c>
      <c r="J433" s="678">
        <f t="shared" si="199"/>
        <v>1.5447634980353837</v>
      </c>
      <c r="K433" s="678">
        <f t="shared" si="200"/>
        <v>1.001818815403162</v>
      </c>
      <c r="L433" s="679">
        <f t="shared" si="201"/>
        <v>6.0267120949798914E-2</v>
      </c>
      <c r="M433" s="678">
        <f t="shared" si="202"/>
        <v>1.2311442126567815</v>
      </c>
      <c r="N433" s="679">
        <f t="shared" si="203"/>
        <v>-0.62279287028867558</v>
      </c>
      <c r="O433" s="677">
        <f t="shared" si="204"/>
        <v>3900170.6590559604</v>
      </c>
      <c r="P433" s="680">
        <f t="shared" si="205"/>
        <v>1.5707960703958599</v>
      </c>
      <c r="Q433" s="689">
        <f t="shared" si="227"/>
        <v>19.526476365284143</v>
      </c>
      <c r="R433" s="690">
        <f t="shared" si="228"/>
        <v>1.5195613974453521</v>
      </c>
      <c r="S433" s="677">
        <f t="shared" si="206"/>
        <v>1.008415330643833</v>
      </c>
      <c r="T433" s="680">
        <f t="shared" si="207"/>
        <v>0.1292805981390639</v>
      </c>
      <c r="U433" s="681">
        <f t="shared" si="219"/>
        <v>7.7178568879325907E-2</v>
      </c>
      <c r="V433" s="682">
        <f t="shared" si="220"/>
        <v>-0.37846938931173474</v>
      </c>
      <c r="W433" s="683">
        <f t="shared" si="208"/>
        <v>-48.836089782570873</v>
      </c>
      <c r="X433" s="684">
        <f t="shared" si="209"/>
        <v>-152.76624211595416</v>
      </c>
      <c r="Y433" s="687">
        <f t="shared" si="210"/>
        <v>27.233757884045843</v>
      </c>
      <c r="AA433" s="170">
        <f t="shared" si="211"/>
        <v>43652</v>
      </c>
      <c r="AB433" s="170">
        <f t="shared" si="212"/>
        <v>1905497104</v>
      </c>
      <c r="AD433" s="686">
        <f t="shared" si="213"/>
        <v>-0.97653330192675991</v>
      </c>
      <c r="AE433" s="687">
        <f t="shared" si="214"/>
        <v>-10.34276318291071</v>
      </c>
      <c r="AG433" s="686">
        <f t="shared" si="215"/>
        <v>54.370389174962916</v>
      </c>
      <c r="AH433" s="687">
        <f t="shared" si="216"/>
        <v>-99.05408151857452</v>
      </c>
      <c r="AJ433" s="170">
        <f t="shared" si="217"/>
        <v>0</v>
      </c>
      <c r="AK433" s="170">
        <f t="shared" si="229"/>
        <v>0</v>
      </c>
      <c r="AM433" s="170" t="str">
        <f t="shared" si="221"/>
        <v>0.149299403116976+0.525650544052669i</v>
      </c>
      <c r="AN433" s="170" t="str">
        <f t="shared" si="222"/>
        <v>6.83666495540586i</v>
      </c>
      <c r="AO433" s="170" t="str">
        <f t="shared" si="223"/>
        <v>0.0768869832705534-0.0218380459026184i</v>
      </c>
      <c r="AP433" s="170" t="str">
        <f t="shared" si="224"/>
        <v>0.141783432813837-0.0876084240087782i</v>
      </c>
      <c r="AQ433" s="170" t="str">
        <f t="shared" si="225"/>
        <v>0.858216567186163+0.0876084240087782i</v>
      </c>
      <c r="AR433" s="170" t="str">
        <f t="shared" si="226"/>
        <v>0.960607253662364-0.0980606653407858i</v>
      </c>
    </row>
    <row r="434" spans="7:44">
      <c r="G434" s="688">
        <v>43906</v>
      </c>
      <c r="H434" s="676">
        <f t="shared" si="218"/>
        <v>43.905999999999999</v>
      </c>
      <c r="I434" s="677">
        <f t="shared" si="198"/>
        <v>38.640765611186012</v>
      </c>
      <c r="J434" s="678">
        <f t="shared" si="199"/>
        <v>1.5449140327521924</v>
      </c>
      <c r="K434" s="678">
        <f t="shared" si="200"/>
        <v>1.001840023947925</v>
      </c>
      <c r="L434" s="679">
        <f t="shared" si="201"/>
        <v>6.0616944233586455E-2</v>
      </c>
      <c r="M434" s="678">
        <f t="shared" si="202"/>
        <v>1.2335863072384241</v>
      </c>
      <c r="N434" s="679">
        <f t="shared" si="203"/>
        <v>-0.62554429088078822</v>
      </c>
      <c r="O434" s="677">
        <f t="shared" si="204"/>
        <v>3922864.770377324</v>
      </c>
      <c r="P434" s="680">
        <f t="shared" si="205"/>
        <v>1.5707960718791505</v>
      </c>
      <c r="Q434" s="689">
        <f t="shared" si="227"/>
        <v>19.63979888305029</v>
      </c>
      <c r="R434" s="690">
        <f t="shared" si="228"/>
        <v>1.5198572819863452</v>
      </c>
      <c r="S434" s="677">
        <f t="shared" si="206"/>
        <v>1.0085131343862754</v>
      </c>
      <c r="T434" s="680">
        <f t="shared" si="207"/>
        <v>0.13002442347670951</v>
      </c>
      <c r="U434" s="681">
        <f t="shared" si="219"/>
        <v>8.1696237947999295E-2</v>
      </c>
      <c r="V434" s="682">
        <f t="shared" si="220"/>
        <v>-0.40433034135172546</v>
      </c>
      <c r="W434" s="683">
        <f t="shared" si="208"/>
        <v>-48.375921297403039</v>
      </c>
      <c r="X434" s="684">
        <f t="shared" si="209"/>
        <v>-154.4198571198319</v>
      </c>
      <c r="Y434" s="687">
        <f t="shared" si="210"/>
        <v>25.580142880168097</v>
      </c>
      <c r="AA434" s="170">
        <f t="shared" si="211"/>
        <v>43906</v>
      </c>
      <c r="AB434" s="170">
        <f t="shared" si="212"/>
        <v>1927736836</v>
      </c>
      <c r="AD434" s="686">
        <f t="shared" si="213"/>
        <v>-0.97750709326389251</v>
      </c>
      <c r="AE434" s="687">
        <f t="shared" si="214"/>
        <v>-10.368428385046254</v>
      </c>
      <c r="AG434" s="686">
        <f t="shared" si="215"/>
        <v>53.843317977324773</v>
      </c>
      <c r="AH434" s="687">
        <f t="shared" si="216"/>
        <v>-97.718584504767136</v>
      </c>
      <c r="AJ434" s="170">
        <f t="shared" si="217"/>
        <v>0</v>
      </c>
      <c r="AK434" s="170">
        <f t="shared" si="229"/>
        <v>0</v>
      </c>
      <c r="AM434" s="170" t="str">
        <f t="shared" si="221"/>
        <v>0.170877738808141+0.559067326890151i</v>
      </c>
      <c r="AN434" s="170" t="str">
        <f t="shared" si="222"/>
        <v>6.87644578786882i</v>
      </c>
      <c r="AO434" s="170" t="str">
        <f t="shared" si="223"/>
        <v>0.0813017864368883-0.0248497180199686i</v>
      </c>
      <c r="AP434" s="170" t="str">
        <f t="shared" si="224"/>
        <v>0.138187043531977-0.0931778878150252i</v>
      </c>
      <c r="AQ434" s="170" t="str">
        <f t="shared" si="225"/>
        <v>0.861812956468023+0.0931778878150252i</v>
      </c>
      <c r="AR434" s="170" t="str">
        <f t="shared" si="226"/>
        <v>0.95539881106503-0.10329624609134i</v>
      </c>
    </row>
    <row r="435" spans="7:44">
      <c r="G435" s="688">
        <v>44160</v>
      </c>
      <c r="H435" s="676">
        <f t="shared" si="218"/>
        <v>44.16</v>
      </c>
      <c r="I435" s="677">
        <f t="shared" si="198"/>
        <v>38.864156491437491</v>
      </c>
      <c r="J435" s="678">
        <f t="shared" si="199"/>
        <v>1.5450628369274928</v>
      </c>
      <c r="K435" s="678">
        <f t="shared" si="200"/>
        <v>1.0018613550889941</v>
      </c>
      <c r="L435" s="679">
        <f t="shared" si="201"/>
        <v>6.0966752663648857E-2</v>
      </c>
      <c r="M435" s="678">
        <f t="shared" si="202"/>
        <v>1.2360377035146648</v>
      </c>
      <c r="N435" s="679">
        <f t="shared" si="203"/>
        <v>-0.62828481853229745</v>
      </c>
      <c r="O435" s="677">
        <f t="shared" si="204"/>
        <v>3945558.8816986871</v>
      </c>
      <c r="P435" s="680">
        <f t="shared" si="205"/>
        <v>1.5707960733453779</v>
      </c>
      <c r="Q435" s="689">
        <f t="shared" si="227"/>
        <v>19.753123100506411</v>
      </c>
      <c r="R435" s="690">
        <f t="shared" si="228"/>
        <v>1.5201497715569934</v>
      </c>
      <c r="S435" s="677">
        <f t="shared" si="206"/>
        <v>1.0086114960065702</v>
      </c>
      <c r="T435" s="680">
        <f t="shared" si="207"/>
        <v>0.13076810414736031</v>
      </c>
      <c r="U435" s="681">
        <f t="shared" si="219"/>
        <v>8.6059983914872448E-2</v>
      </c>
      <c r="V435" s="682">
        <f t="shared" si="220"/>
        <v>-0.42993747857095643</v>
      </c>
      <c r="W435" s="683">
        <f t="shared" si="208"/>
        <v>-47.957555467424491</v>
      </c>
      <c r="X435" s="684">
        <f t="shared" si="209"/>
        <v>-156.05839341217953</v>
      </c>
      <c r="Y435" s="687">
        <f t="shared" si="210"/>
        <v>23.941606587820473</v>
      </c>
      <c r="AA435" s="170">
        <f t="shared" si="211"/>
        <v>44160</v>
      </c>
      <c r="AB435" s="170">
        <f t="shared" si="212"/>
        <v>1950105600</v>
      </c>
      <c r="AD435" s="686">
        <f t="shared" si="213"/>
        <v>-0.97848335009020238</v>
      </c>
      <c r="AE435" s="687">
        <f t="shared" si="214"/>
        <v>-10.39427981486844</v>
      </c>
      <c r="AG435" s="686">
        <f t="shared" si="215"/>
        <v>53.3586919631434</v>
      </c>
      <c r="AH435" s="687">
        <f t="shared" si="216"/>
        <v>-96.396907587790935</v>
      </c>
      <c r="AJ435" s="170">
        <f t="shared" si="217"/>
        <v>0</v>
      </c>
      <c r="AK435" s="170">
        <f t="shared" si="229"/>
        <v>0</v>
      </c>
      <c r="AM435" s="170" t="str">
        <f t="shared" si="221"/>
        <v>0.193767999583489+0.591599494171852i</v>
      </c>
      <c r="AN435" s="170" t="str">
        <f t="shared" si="222"/>
        <v>6.91622662033178i</v>
      </c>
      <c r="AO435" s="170" t="str">
        <f t="shared" si="223"/>
        <v>0.0855378990087911-0.0280164329800682i</v>
      </c>
      <c r="AP435" s="170" t="str">
        <f t="shared" si="224"/>
        <v>0.134372000069418-0.0985999156953087i</v>
      </c>
      <c r="AQ435" s="170" t="str">
        <f t="shared" si="225"/>
        <v>0.865627999930582+0.0985999156953087i</v>
      </c>
      <c r="AR435" s="170" t="str">
        <f t="shared" si="226"/>
        <v>0.949981601853262-0.108208267133616i</v>
      </c>
    </row>
    <row r="436" spans="7:44">
      <c r="G436" s="688">
        <v>44414</v>
      </c>
      <c r="H436" s="676">
        <f t="shared" si="218"/>
        <v>44.414000000000001</v>
      </c>
      <c r="I436" s="677">
        <f t="shared" si="198"/>
        <v>39.087548222409239</v>
      </c>
      <c r="J436" s="678">
        <f t="shared" si="199"/>
        <v>1.545209940225621</v>
      </c>
      <c r="K436" s="678">
        <f t="shared" si="200"/>
        <v>1.0018828088185381</v>
      </c>
      <c r="L436" s="679">
        <f t="shared" si="201"/>
        <v>6.1316546155328347E-2</v>
      </c>
      <c r="M436" s="678">
        <f t="shared" si="202"/>
        <v>1.2384983462521499</v>
      </c>
      <c r="N436" s="679">
        <f t="shared" si="203"/>
        <v>-0.63101447688205581</v>
      </c>
      <c r="O436" s="677">
        <f t="shared" si="204"/>
        <v>3968252.9930200507</v>
      </c>
      <c r="P436" s="680">
        <f t="shared" si="205"/>
        <v>1.5707960747948346</v>
      </c>
      <c r="Q436" s="689">
        <f t="shared" si="227"/>
        <v>19.866448988565867</v>
      </c>
      <c r="R436" s="690">
        <f t="shared" si="228"/>
        <v>1.5204389242054797</v>
      </c>
      <c r="S436" s="677">
        <f t="shared" si="206"/>
        <v>1.0087104153415178</v>
      </c>
      <c r="T436" s="680">
        <f t="shared" si="207"/>
        <v>0.13151163937085611</v>
      </c>
      <c r="U436" s="681">
        <f t="shared" si="219"/>
        <v>9.0269183876200476E-2</v>
      </c>
      <c r="V436" s="682">
        <f t="shared" si="220"/>
        <v>-0.45528140003451001</v>
      </c>
      <c r="W436" s="683">
        <f t="shared" si="208"/>
        <v>-47.576092558669359</v>
      </c>
      <c r="X436" s="684">
        <f t="shared" si="209"/>
        <v>-157.68131204740132</v>
      </c>
      <c r="Y436" s="687">
        <f t="shared" si="210"/>
        <v>22.31868795259868</v>
      </c>
      <c r="AA436" s="170">
        <f t="shared" si="211"/>
        <v>44414</v>
      </c>
      <c r="AB436" s="170">
        <f t="shared" si="212"/>
        <v>1972603396</v>
      </c>
      <c r="AD436" s="686">
        <f t="shared" si="213"/>
        <v>-0.97946212098664232</v>
      </c>
      <c r="AE436" s="687">
        <f t="shared" si="214"/>
        <v>-10.420314101778283</v>
      </c>
      <c r="AG436" s="686">
        <f t="shared" si="215"/>
        <v>52.91160342494446</v>
      </c>
      <c r="AH436" s="687">
        <f t="shared" si="216"/>
        <v>-95.089592460439093</v>
      </c>
      <c r="AJ436" s="170">
        <f t="shared" si="217"/>
        <v>0</v>
      </c>
      <c r="AK436" s="170">
        <f t="shared" si="229"/>
        <v>0</v>
      </c>
      <c r="AM436" s="170" t="str">
        <f t="shared" si="221"/>
        <v>0.217933966047281+0.623195570056034i</v>
      </c>
      <c r="AN436" s="170" t="str">
        <f t="shared" si="222"/>
        <v>6.95600745279474i</v>
      </c>
      <c r="AO436" s="170" t="str">
        <f t="shared" si="223"/>
        <v>0.0895909865372054-0.0313303238281783i</v>
      </c>
      <c r="AP436" s="170" t="str">
        <f t="shared" si="224"/>
        <v>0.13034433899212-0.103865928342672i</v>
      </c>
      <c r="AQ436" s="170" t="str">
        <f t="shared" si="225"/>
        <v>0.86965566100788+0.103865928342672i</v>
      </c>
      <c r="AR436" s="170" t="str">
        <f t="shared" si="226"/>
        <v>0.944379428432163-0.112790441596332i</v>
      </c>
    </row>
    <row r="437" spans="7:44">
      <c r="G437" s="688">
        <v>44668</v>
      </c>
      <c r="H437" s="676">
        <f t="shared" si="218"/>
        <v>44.667999999999999</v>
      </c>
      <c r="I437" s="677">
        <f t="shared" si="198"/>
        <v>39.310940789598121</v>
      </c>
      <c r="J437" s="678">
        <f t="shared" si="199"/>
        <v>1.5453553716369168</v>
      </c>
      <c r="K437" s="678">
        <f t="shared" si="200"/>
        <v>1.0019043851286824</v>
      </c>
      <c r="L437" s="679">
        <f t="shared" si="201"/>
        <v>6.1666324623989008E-2</v>
      </c>
      <c r="M437" s="678">
        <f t="shared" si="202"/>
        <v>1.2409681804480901</v>
      </c>
      <c r="N437" s="679">
        <f t="shared" si="203"/>
        <v>-0.63373329002968137</v>
      </c>
      <c r="O437" s="677">
        <f t="shared" si="204"/>
        <v>3990947.1043414138</v>
      </c>
      <c r="P437" s="680">
        <f t="shared" si="205"/>
        <v>1.5707960762278073</v>
      </c>
      <c r="Q437" s="689">
        <f t="shared" si="227"/>
        <v>19.979776518801533</v>
      </c>
      <c r="R437" s="690">
        <f t="shared" si="228"/>
        <v>1.5207247966652249</v>
      </c>
      <c r="S437" s="677">
        <f t="shared" si="206"/>
        <v>1.0088098922270572</v>
      </c>
      <c r="T437" s="680">
        <f t="shared" si="207"/>
        <v>0.13225502836798511</v>
      </c>
      <c r="U437" s="681">
        <f t="shared" si="219"/>
        <v>9.4323723631540526E-2</v>
      </c>
      <c r="V437" s="682">
        <f t="shared" si="220"/>
        <v>-0.48035383644926438</v>
      </c>
      <c r="W437" s="683">
        <f t="shared" si="208"/>
        <v>-47.227454263653705</v>
      </c>
      <c r="X437" s="684">
        <f t="shared" si="209"/>
        <v>-159.28813898136647</v>
      </c>
      <c r="Y437" s="687">
        <f t="shared" si="210"/>
        <v>20.711861018633527</v>
      </c>
      <c r="AA437" s="170">
        <f t="shared" si="211"/>
        <v>44668</v>
      </c>
      <c r="AB437" s="170">
        <f t="shared" si="212"/>
        <v>1995230224</v>
      </c>
      <c r="AD437" s="686">
        <f t="shared" si="213"/>
        <v>-0.98044345306698677</v>
      </c>
      <c r="AE437" s="687">
        <f t="shared" si="214"/>
        <v>-10.446527950561045</v>
      </c>
      <c r="AG437" s="686">
        <f t="shared" si="215"/>
        <v>52.497966207553795</v>
      </c>
      <c r="AH437" s="687">
        <f t="shared" si="216"/>
        <v>-93.797115964987384</v>
      </c>
      <c r="AJ437" s="170">
        <f t="shared" si="217"/>
        <v>0</v>
      </c>
      <c r="AK437" s="170">
        <f t="shared" si="229"/>
        <v>0</v>
      </c>
      <c r="AM437" s="170" t="str">
        <f t="shared" si="221"/>
        <v>0.24333740024708+0.65380555988394i</v>
      </c>
      <c r="AN437" s="170" t="str">
        <f t="shared" si="222"/>
        <v>6.9957882852577i</v>
      </c>
      <c r="AO437" s="170" t="str">
        <f t="shared" si="223"/>
        <v>0.093457024887633-0.0347834140092357i</v>
      </c>
      <c r="AP437" s="170" t="str">
        <f t="shared" si="224"/>
        <v>0.126110433292153-0.10896759331399i</v>
      </c>
      <c r="AQ437" s="170" t="str">
        <f t="shared" si="225"/>
        <v>0.873889566707847+0.10896759331399i</v>
      </c>
      <c r="AR437" s="170" t="str">
        <f t="shared" si="226"/>
        <v>0.938615849541493-0.11703848411443i</v>
      </c>
    </row>
    <row r="438" spans="7:44">
      <c r="G438" s="688">
        <v>44928.25</v>
      </c>
      <c r="H438" s="676">
        <f t="shared" si="218"/>
        <v>44.928249999999998</v>
      </c>
      <c r="I438" s="677">
        <f t="shared" si="198"/>
        <v>39.539831073650312</v>
      </c>
      <c r="J438" s="678">
        <f t="shared" si="199"/>
        <v>1.5455026771023759</v>
      </c>
      <c r="K438" s="678">
        <f t="shared" si="200"/>
        <v>1.0019266194857803</v>
      </c>
      <c r="L438" s="679">
        <f t="shared" si="201"/>
        <v>6.2024694175767184E-2</v>
      </c>
      <c r="M438" s="678">
        <f t="shared" si="202"/>
        <v>1.2435082643429556</v>
      </c>
      <c r="N438" s="679">
        <f t="shared" si="203"/>
        <v>-0.63650778000641928</v>
      </c>
      <c r="O438" s="677">
        <f t="shared" si="204"/>
        <v>4014199.6337563144</v>
      </c>
      <c r="P438" s="680">
        <f t="shared" si="205"/>
        <v>1.5707960776792345</v>
      </c>
      <c r="Q438" s="689">
        <f t="shared" si="227"/>
        <v>20.095894294387804</v>
      </c>
      <c r="R438" s="690">
        <f t="shared" si="228"/>
        <v>1.5210143591195366</v>
      </c>
      <c r="S438" s="677">
        <f t="shared" si="206"/>
        <v>1.0089123949964074</v>
      </c>
      <c r="T438" s="680">
        <f t="shared" si="207"/>
        <v>0.1330165569356053</v>
      </c>
      <c r="U438" s="681">
        <f t="shared" si="219"/>
        <v>9.8318000631471988E-2</v>
      </c>
      <c r="V438" s="682">
        <f t="shared" si="220"/>
        <v>-0.50575415150192493</v>
      </c>
      <c r="W438" s="683">
        <f t="shared" si="208"/>
        <v>-46.900694509501193</v>
      </c>
      <c r="X438" s="684">
        <f t="shared" si="209"/>
        <v>-160.91738506819019</v>
      </c>
      <c r="Y438" s="687">
        <f t="shared" si="210"/>
        <v>19.082614931809815</v>
      </c>
      <c r="AA438" s="170">
        <f t="shared" si="211"/>
        <v>44928.25</v>
      </c>
      <c r="AB438" s="170">
        <f t="shared" si="212"/>
        <v>2018547648.0625</v>
      </c>
      <c r="AD438" s="686">
        <f t="shared" si="213"/>
        <v>-0.9814516363652569</v>
      </c>
      <c r="AE438" s="687">
        <f t="shared" si="214"/>
        <v>-10.473569700118359</v>
      </c>
      <c r="AG438" s="686">
        <f t="shared" si="215"/>
        <v>52.105250099436489</v>
      </c>
      <c r="AH438" s="687">
        <f t="shared" si="216"/>
        <v>-92.488658597287767</v>
      </c>
      <c r="AJ438" s="170">
        <f t="shared" si="217"/>
        <v>0</v>
      </c>
      <c r="AK438" s="170">
        <f t="shared" si="229"/>
        <v>0</v>
      </c>
      <c r="AM438" s="170" t="str">
        <f t="shared" si="221"/>
        <v>0.270607389547341+0.684095329480516i</v>
      </c>
      <c r="AN438" s="170" t="str">
        <f t="shared" si="222"/>
        <v>7.03654797678717i</v>
      </c>
      <c r="AO438" s="170" t="str">
        <f t="shared" si="223"/>
        <v>0.097220303441016-0.0384574070183343i</v>
      </c>
      <c r="AP438" s="170" t="str">
        <f t="shared" si="224"/>
        <v>0.121565435075443-0.114015888246753i</v>
      </c>
      <c r="AQ438" s="170" t="str">
        <f t="shared" si="225"/>
        <v>0.878434564924557+0.114015888246753i</v>
      </c>
      <c r="AR438" s="170" t="str">
        <f t="shared" si="226"/>
        <v>0.932567229246132-0.121042004991508i</v>
      </c>
    </row>
    <row r="439" spans="7:44">
      <c r="G439" s="688">
        <v>45188.5</v>
      </c>
      <c r="H439" s="676">
        <f t="shared" si="218"/>
        <v>45.188499999999998</v>
      </c>
      <c r="I439" s="677">
        <f t="shared" si="198"/>
        <v>39.768722205797189</v>
      </c>
      <c r="J439" s="678">
        <f t="shared" si="199"/>
        <v>1.5456482869210721</v>
      </c>
      <c r="K439" s="678">
        <f t="shared" si="200"/>
        <v>1.0019489825133268</v>
      </c>
      <c r="L439" s="679">
        <f t="shared" si="201"/>
        <v>6.2383047776288642E-2</v>
      </c>
      <c r="M439" s="678">
        <f t="shared" si="202"/>
        <v>1.2460578814401087</v>
      </c>
      <c r="N439" s="679">
        <f t="shared" si="203"/>
        <v>-0.63927093715455419</v>
      </c>
      <c r="O439" s="677">
        <f t="shared" si="204"/>
        <v>4037452.1631712154</v>
      </c>
      <c r="P439" s="680">
        <f t="shared" si="205"/>
        <v>1.5707960791139435</v>
      </c>
      <c r="Q439" s="689">
        <f t="shared" si="227"/>
        <v>20.212013735582442</v>
      </c>
      <c r="R439" s="690">
        <f t="shared" si="228"/>
        <v>1.521300594484267</v>
      </c>
      <c r="S439" s="677">
        <f t="shared" si="206"/>
        <v>1.0090154827409707</v>
      </c>
      <c r="T439" s="680">
        <f t="shared" si="207"/>
        <v>0.1337779303390258</v>
      </c>
      <c r="U439" s="681">
        <f t="shared" si="219"/>
        <v>0.10215118016694788</v>
      </c>
      <c r="V439" s="682">
        <f t="shared" si="220"/>
        <v>-0.53085544484237146</v>
      </c>
      <c r="W439" s="683">
        <f t="shared" si="208"/>
        <v>-46.601650345449848</v>
      </c>
      <c r="X439" s="684">
        <f t="shared" si="209"/>
        <v>-162.52893464716823</v>
      </c>
      <c r="Y439" s="687">
        <f t="shared" si="210"/>
        <v>17.471065352831772</v>
      </c>
      <c r="AA439" s="170">
        <f t="shared" si="211"/>
        <v>45188.5</v>
      </c>
      <c r="AB439" s="170">
        <f t="shared" si="212"/>
        <v>2042000532.25</v>
      </c>
      <c r="AD439" s="686">
        <f t="shared" si="213"/>
        <v>-0.98246260406712804</v>
      </c>
      <c r="AE439" s="687">
        <f t="shared" si="214"/>
        <v>-10.500793186655313</v>
      </c>
      <c r="AG439" s="686">
        <f t="shared" si="215"/>
        <v>51.740891223560297</v>
      </c>
      <c r="AH439" s="687">
        <f t="shared" si="216"/>
        <v>-91.19658834898722</v>
      </c>
      <c r="AJ439" s="170">
        <f t="shared" si="217"/>
        <v>0</v>
      </c>
      <c r="AK439" s="170">
        <f t="shared" si="229"/>
        <v>0</v>
      </c>
      <c r="AM439" s="170" t="str">
        <f t="shared" si="221"/>
        <v>0.299088989293999+0.713248732961435i</v>
      </c>
      <c r="AN439" s="170" t="str">
        <f t="shared" si="222"/>
        <v>7.07730766831664i</v>
      </c>
      <c r="AO439" s="170" t="str">
        <f t="shared" si="223"/>
        <v>0.100779670234555-0.0422602779631789i</v>
      </c>
      <c r="AP439" s="170" t="str">
        <f t="shared" si="224"/>
        <v>0.116818501784334-0.118874788826906i</v>
      </c>
      <c r="AQ439" s="170" t="str">
        <f t="shared" si="225"/>
        <v>0.883181498215666+0.118874788826906i</v>
      </c>
      <c r="AR439" s="170" t="str">
        <f t="shared" si="226"/>
        <v>0.926397701649721-0.124691619305696i</v>
      </c>
    </row>
    <row r="440" spans="7:44">
      <c r="G440" s="688">
        <v>45448.75</v>
      </c>
      <c r="H440" s="676">
        <f t="shared" si="218"/>
        <v>45.448749999999997</v>
      </c>
      <c r="I440" s="677">
        <f t="shared" si="198"/>
        <v>39.997614171478759</v>
      </c>
      <c r="J440" s="678">
        <f t="shared" si="199"/>
        <v>1.5457922301975078</v>
      </c>
      <c r="K440" s="678">
        <f t="shared" si="200"/>
        <v>1.0019714742027062</v>
      </c>
      <c r="L440" s="679">
        <f t="shared" si="201"/>
        <v>6.2741385334586938E-2</v>
      </c>
      <c r="M440" s="678">
        <f t="shared" si="202"/>
        <v>1.248616973340499</v>
      </c>
      <c r="N440" s="679">
        <f t="shared" si="203"/>
        <v>-0.64202278883288411</v>
      </c>
      <c r="O440" s="677">
        <f t="shared" si="204"/>
        <v>4060704.692586116</v>
      </c>
      <c r="P440" s="680">
        <f t="shared" si="205"/>
        <v>1.5707960805322216</v>
      </c>
      <c r="Q440" s="689">
        <f t="shared" si="227"/>
        <v>20.328134813842308</v>
      </c>
      <c r="R440" s="690">
        <f t="shared" si="228"/>
        <v>1.5215835597284384</v>
      </c>
      <c r="S440" s="677">
        <f t="shared" si="206"/>
        <v>1.0091191552814707</v>
      </c>
      <c r="T440" s="680">
        <f t="shared" si="207"/>
        <v>0.13453914774321518</v>
      </c>
      <c r="U440" s="681">
        <f t="shared" si="219"/>
        <v>0.10582460066987331</v>
      </c>
      <c r="V440" s="682">
        <f t="shared" si="220"/>
        <v>-0.55565237777036824</v>
      </c>
      <c r="W440" s="683">
        <f t="shared" si="208"/>
        <v>-46.327632805647276</v>
      </c>
      <c r="X440" s="684">
        <f t="shared" si="209"/>
        <v>-164.12248176171752</v>
      </c>
      <c r="Y440" s="687">
        <f t="shared" si="210"/>
        <v>15.877518238282477</v>
      </c>
      <c r="AA440" s="170">
        <f t="shared" si="211"/>
        <v>45448.75</v>
      </c>
      <c r="AB440" s="170">
        <f t="shared" si="212"/>
        <v>2065588876.5625</v>
      </c>
      <c r="AD440" s="686">
        <f t="shared" si="213"/>
        <v>-0.98347640237298539</v>
      </c>
      <c r="AE440" s="687">
        <f t="shared" si="214"/>
        <v>-10.528195098260023</v>
      </c>
      <c r="AG440" s="686">
        <f t="shared" si="215"/>
        <v>51.402192566782361</v>
      </c>
      <c r="AH440" s="687">
        <f t="shared" si="216"/>
        <v>-89.921214345398525</v>
      </c>
      <c r="AJ440" s="170">
        <f t="shared" si="217"/>
        <v>0</v>
      </c>
      <c r="AK440" s="170">
        <f t="shared" si="229"/>
        <v>0</v>
      </c>
      <c r="AM440" s="170" t="str">
        <f t="shared" si="221"/>
        <v>0.328734888062056+0.741217342953428i</v>
      </c>
      <c r="AN440" s="170" t="str">
        <f t="shared" si="222"/>
        <v>7.11806735984611i</v>
      </c>
      <c r="AO440" s="170" t="str">
        <f t="shared" si="223"/>
        <v>0.104131824761132-0.0461831662224061i</v>
      </c>
      <c r="AP440" s="170" t="str">
        <f t="shared" si="224"/>
        <v>0.111877518656324-0.123536223825571i</v>
      </c>
      <c r="AQ440" s="170" t="str">
        <f t="shared" si="225"/>
        <v>0.888122481343676+0.123536223825571i</v>
      </c>
      <c r="AR440" s="170" t="str">
        <f t="shared" si="226"/>
        <v>0.920130724824153-0.127988512348754i</v>
      </c>
    </row>
    <row r="441" spans="7:44">
      <c r="G441" s="688">
        <v>45709</v>
      </c>
      <c r="H441" s="676">
        <f t="shared" si="218"/>
        <v>45.709000000000003</v>
      </c>
      <c r="I441" s="677">
        <f t="shared" si="198"/>
        <v>40.226506956466395</v>
      </c>
      <c r="J441" s="678">
        <f t="shared" si="199"/>
        <v>1.545934535374035</v>
      </c>
      <c r="K441" s="678">
        <f t="shared" si="200"/>
        <v>1.0019940945452543</v>
      </c>
      <c r="L441" s="679">
        <f t="shared" si="201"/>
        <v>6.3099706759720223E-2</v>
      </c>
      <c r="M441" s="678">
        <f t="shared" si="202"/>
        <v>1.2511854819067234</v>
      </c>
      <c r="N441" s="679">
        <f t="shared" si="203"/>
        <v>-0.64476336286169422</v>
      </c>
      <c r="O441" s="677">
        <f t="shared" si="204"/>
        <v>4083957.2220010171</v>
      </c>
      <c r="P441" s="680">
        <f t="shared" si="205"/>
        <v>1.5707960819343494</v>
      </c>
      <c r="Q441" s="689">
        <f t="shared" si="227"/>
        <v>20.444257501272375</v>
      </c>
      <c r="R441" s="690">
        <f t="shared" si="228"/>
        <v>1.5218633105288677</v>
      </c>
      <c r="S441" s="677">
        <f t="shared" si="206"/>
        <v>1.0092234124376873</v>
      </c>
      <c r="T441" s="680">
        <f t="shared" si="207"/>
        <v>0.1353002083142073</v>
      </c>
      <c r="U441" s="681">
        <f t="shared" si="219"/>
        <v>0.10934001822272467</v>
      </c>
      <c r="V441" s="682">
        <f t="shared" si="220"/>
        <v>-0.58014073727324444</v>
      </c>
      <c r="W441" s="683">
        <f t="shared" si="208"/>
        <v>-46.076318791449694</v>
      </c>
      <c r="X441" s="684">
        <f t="shared" si="209"/>
        <v>-165.6977850150017</v>
      </c>
      <c r="Y441" s="687">
        <f t="shared" si="210"/>
        <v>14.302214984998301</v>
      </c>
      <c r="AA441" s="170">
        <f t="shared" si="211"/>
        <v>45709</v>
      </c>
      <c r="AB441" s="170">
        <f t="shared" si="212"/>
        <v>2089312681</v>
      </c>
      <c r="AD441" s="686">
        <f t="shared" si="213"/>
        <v>-0.98449307607239667</v>
      </c>
      <c r="AE441" s="687">
        <f t="shared" si="214"/>
        <v>-10.555772197119202</v>
      </c>
      <c r="AG441" s="686">
        <f t="shared" si="215"/>
        <v>51.086823110651203</v>
      </c>
      <c r="AH441" s="687">
        <f t="shared" si="216"/>
        <v>-88.662781203189283</v>
      </c>
      <c r="AJ441" s="170">
        <f t="shared" si="217"/>
        <v>0</v>
      </c>
      <c r="AK441" s="170">
        <f t="shared" si="229"/>
        <v>0</v>
      </c>
      <c r="AM441" s="170" t="str">
        <f t="shared" si="221"/>
        <v>0.35949584038326+0.767954700170299i</v>
      </c>
      <c r="AN441" s="170" t="str">
        <f t="shared" si="222"/>
        <v>7.15882705137558i</v>
      </c>
      <c r="AO441" s="170" t="str">
        <f t="shared" si="223"/>
        <v>0.107273816598591-0.0502171428089162i</v>
      </c>
      <c r="AP441" s="170" t="str">
        <f t="shared" si="224"/>
        <v>0.106750693269457-0.127992450028383i</v>
      </c>
      <c r="AQ441" s="170" t="str">
        <f t="shared" si="225"/>
        <v>0.893249306730543+0.127992450028383i</v>
      </c>
      <c r="AR441" s="170" t="str">
        <f t="shared" si="226"/>
        <v>0.913788832038324-0.130935530024924i</v>
      </c>
    </row>
    <row r="442" spans="7:44">
      <c r="G442" s="688">
        <v>45975.25</v>
      </c>
      <c r="H442" s="676">
        <f t="shared" si="218"/>
        <v>45.975250000000003</v>
      </c>
      <c r="I442" s="677">
        <f t="shared" si="198"/>
        <v>40.460677641900268</v>
      </c>
      <c r="J442" s="678">
        <f t="shared" si="199"/>
        <v>1.5460784551622631</v>
      </c>
      <c r="K442" s="678">
        <f t="shared" si="200"/>
        <v>1.0020173695216334</v>
      </c>
      <c r="L442" s="679">
        <f t="shared" si="201"/>
        <v>6.3466272407356639E-2</v>
      </c>
      <c r="M442" s="678">
        <f t="shared" si="202"/>
        <v>1.2538228912760689</v>
      </c>
      <c r="N442" s="679">
        <f t="shared" si="203"/>
        <v>-0.64755547898456611</v>
      </c>
      <c r="O442" s="677">
        <f t="shared" si="204"/>
        <v>4107745.8327857135</v>
      </c>
      <c r="P442" s="680">
        <f t="shared" si="205"/>
        <v>1.570796083352376</v>
      </c>
      <c r="Q442" s="689">
        <f t="shared" si="227"/>
        <v>20.563059005633988</v>
      </c>
      <c r="R442" s="690">
        <f t="shared" si="228"/>
        <v>1.5221462411980278</v>
      </c>
      <c r="S442" s="677">
        <f t="shared" si="206"/>
        <v>1.0093306780165245</v>
      </c>
      <c r="T442" s="680">
        <f t="shared" si="207"/>
        <v>0.13607865178319503</v>
      </c>
      <c r="U442" s="681">
        <f t="shared" si="219"/>
        <v>0.11277520100664051</v>
      </c>
      <c r="V442" s="682">
        <f t="shared" si="220"/>
        <v>-0.60487108010882595</v>
      </c>
      <c r="W442" s="683">
        <f t="shared" si="208"/>
        <v>-45.840597437094146</v>
      </c>
      <c r="X442" s="684">
        <f t="shared" si="209"/>
        <v>-167.29033996226451</v>
      </c>
      <c r="Y442" s="687">
        <f t="shared" si="210"/>
        <v>12.709660037735489</v>
      </c>
      <c r="AA442" s="170">
        <f t="shared" si="211"/>
        <v>45975.25</v>
      </c>
      <c r="AB442" s="170">
        <f t="shared" si="212"/>
        <v>2113723612.5625</v>
      </c>
      <c r="AD442" s="686">
        <f t="shared" si="213"/>
        <v>-0.98553620980647083</v>
      </c>
      <c r="AE442" s="687">
        <f t="shared" si="214"/>
        <v>-10.584163070523415</v>
      </c>
      <c r="AG442" s="686">
        <f t="shared" si="215"/>
        <v>50.786208882482384</v>
      </c>
      <c r="AH442" s="687">
        <f t="shared" si="216"/>
        <v>-87.393056733028814</v>
      </c>
      <c r="AJ442" s="170">
        <f t="shared" si="217"/>
        <v>0</v>
      </c>
      <c r="AK442" s="170">
        <f t="shared" si="229"/>
        <v>0</v>
      </c>
      <c r="AM442" s="170" t="str">
        <f t="shared" si="221"/>
        <v>0.392066594299017+0.793988018947896i</v>
      </c>
      <c r="AN442" s="170" t="str">
        <f t="shared" si="222"/>
        <v>7.20052644760889i</v>
      </c>
      <c r="AO442" s="170" t="str">
        <f t="shared" si="223"/>
        <v>0.11026805119389-0.0544497124136267i</v>
      </c>
      <c r="AP442" s="170" t="str">
        <f t="shared" si="224"/>
        <v>0.101322234283497-0.132331336491316i</v>
      </c>
      <c r="AQ442" s="170" t="str">
        <f t="shared" si="225"/>
        <v>0.898677765716503+0.132331336491316i</v>
      </c>
      <c r="AR442" s="170" t="str">
        <f t="shared" si="226"/>
        <v>0.907245617750979-0.133592962575587i</v>
      </c>
    </row>
    <row r="443" spans="7:44">
      <c r="G443" s="688">
        <v>46241.5</v>
      </c>
      <c r="H443" s="676">
        <f t="shared" si="218"/>
        <v>46.241500000000002</v>
      </c>
      <c r="I443" s="677">
        <f t="shared" si="198"/>
        <v>40.694849155747427</v>
      </c>
      <c r="J443" s="678">
        <f t="shared" si="199"/>
        <v>1.5462207186300476</v>
      </c>
      <c r="K443" s="678">
        <f t="shared" si="200"/>
        <v>1.0020407791331958</v>
      </c>
      <c r="L443" s="679">
        <f t="shared" si="201"/>
        <v>6.3832820976878743E-2</v>
      </c>
      <c r="M443" s="678">
        <f t="shared" si="202"/>
        <v>1.2564700342591624</v>
      </c>
      <c r="N443" s="679">
        <f t="shared" si="203"/>
        <v>-0.65033585179361042</v>
      </c>
      <c r="O443" s="677">
        <f t="shared" si="204"/>
        <v>4131534.4435704104</v>
      </c>
      <c r="P443" s="680">
        <f t="shared" si="205"/>
        <v>1.570796084754073</v>
      </c>
      <c r="Q443" s="689">
        <f t="shared" si="227"/>
        <v>20.681862137152727</v>
      </c>
      <c r="R443" s="690">
        <f t="shared" si="228"/>
        <v>1.5224259214035718</v>
      </c>
      <c r="S443" s="677">
        <f t="shared" si="206"/>
        <v>1.0094385550935441</v>
      </c>
      <c r="T443" s="680">
        <f t="shared" si="207"/>
        <v>0.13685692934170873</v>
      </c>
      <c r="U443" s="681">
        <f t="shared" si="219"/>
        <v>0.11604989594357831</v>
      </c>
      <c r="V443" s="682">
        <f t="shared" si="220"/>
        <v>-0.62927293251788907</v>
      </c>
      <c r="W443" s="683">
        <f t="shared" si="208"/>
        <v>-45.624624837638649</v>
      </c>
      <c r="X443" s="684">
        <f t="shared" si="209"/>
        <v>-168.86348376140938</v>
      </c>
      <c r="Y443" s="687">
        <f t="shared" si="210"/>
        <v>11.136516238590616</v>
      </c>
      <c r="AA443" s="170">
        <f t="shared" si="211"/>
        <v>46241.5</v>
      </c>
      <c r="AB443" s="170">
        <f t="shared" si="212"/>
        <v>2138276322.25</v>
      </c>
      <c r="AD443" s="686">
        <f t="shared" si="213"/>
        <v>-0.98658244356326863</v>
      </c>
      <c r="AE443" s="687">
        <f t="shared" si="214"/>
        <v>-10.612730674868935</v>
      </c>
      <c r="AG443" s="686">
        <f t="shared" si="215"/>
        <v>50.505981894137989</v>
      </c>
      <c r="AH443" s="687">
        <f t="shared" si="216"/>
        <v>-86.141386613952065</v>
      </c>
      <c r="AJ443" s="170">
        <f t="shared" si="217"/>
        <v>0</v>
      </c>
      <c r="AK443" s="170">
        <f t="shared" si="229"/>
        <v>0</v>
      </c>
      <c r="AM443" s="170" t="str">
        <f t="shared" si="221"/>
        <v>0.425694293754659+0.818640919924017i</v>
      </c>
      <c r="AN443" s="170" t="str">
        <f t="shared" si="222"/>
        <v>7.24222584384221i</v>
      </c>
      <c r="AO443" s="170" t="str">
        <f t="shared" si="223"/>
        <v>0.113037198449159-0.0587794833982719i</v>
      </c>
      <c r="AP443" s="170" t="str">
        <f t="shared" si="224"/>
        <v>0.0957176177075568-0.136440153320669i</v>
      </c>
      <c r="AQ443" s="170" t="str">
        <f t="shared" si="225"/>
        <v>0.904282382292443+0.136440153320669i</v>
      </c>
      <c r="AR443" s="170" t="str">
        <f t="shared" si="226"/>
        <v>0.900668310285435-0.135894854033185i</v>
      </c>
    </row>
    <row r="444" spans="7:44">
      <c r="G444" s="688">
        <v>46507.75</v>
      </c>
      <c r="H444" s="676">
        <f t="shared" si="218"/>
        <v>46.507750000000001</v>
      </c>
      <c r="I444" s="677">
        <f t="shared" si="198"/>
        <v>40.929021483788809</v>
      </c>
      <c r="J444" s="678">
        <f t="shared" si="199"/>
        <v>1.5463613542011203</v>
      </c>
      <c r="K444" s="678">
        <f t="shared" si="200"/>
        <v>1.002064323370506</v>
      </c>
      <c r="L444" s="679">
        <f t="shared" si="201"/>
        <v>6.4199352370989532E-2</v>
      </c>
      <c r="M444" s="678">
        <f t="shared" si="202"/>
        <v>1.2591268494652066</v>
      </c>
      <c r="N444" s="679">
        <f t="shared" si="203"/>
        <v>-0.65310451250319768</v>
      </c>
      <c r="O444" s="677">
        <f t="shared" si="204"/>
        <v>4155323.0543551072</v>
      </c>
      <c r="P444" s="680">
        <f t="shared" si="205"/>
        <v>1.5707960861397208</v>
      </c>
      <c r="Q444" s="689">
        <f t="shared" si="227"/>
        <v>20.800666867948046</v>
      </c>
      <c r="R444" s="690">
        <f t="shared" si="228"/>
        <v>1.522702406797243</v>
      </c>
      <c r="S444" s="677">
        <f t="shared" si="206"/>
        <v>1.0095470434727174</v>
      </c>
      <c r="T444" s="680">
        <f t="shared" si="207"/>
        <v>0.13763504010025596</v>
      </c>
      <c r="U444" s="681">
        <f t="shared" si="219"/>
        <v>0.11916707818514885</v>
      </c>
      <c r="V444" s="682">
        <f t="shared" si="220"/>
        <v>-0.65334510710694826</v>
      </c>
      <c r="W444" s="683">
        <f t="shared" si="208"/>
        <v>-45.426730804202947</v>
      </c>
      <c r="X444" s="684">
        <f t="shared" si="209"/>
        <v>-170.41714856282903</v>
      </c>
      <c r="Y444" s="687">
        <f t="shared" si="210"/>
        <v>9.582851437170973</v>
      </c>
      <c r="AA444" s="170">
        <f t="shared" si="211"/>
        <v>46507.75</v>
      </c>
      <c r="AB444" s="170">
        <f t="shared" si="212"/>
        <v>2162970810.0625</v>
      </c>
      <c r="AD444" s="686">
        <f t="shared" si="213"/>
        <v>-0.98763182101922353</v>
      </c>
      <c r="AE444" s="687">
        <f t="shared" si="214"/>
        <v>-10.641471770597651</v>
      </c>
      <c r="AG444" s="686">
        <f t="shared" si="215"/>
        <v>50.244463873672785</v>
      </c>
      <c r="AH444" s="687">
        <f t="shared" si="216"/>
        <v>-84.907842301180708</v>
      </c>
      <c r="AJ444" s="170">
        <f t="shared" si="217"/>
        <v>0</v>
      </c>
      <c r="AK444" s="170">
        <f t="shared" si="229"/>
        <v>0</v>
      </c>
      <c r="AM444" s="170" t="str">
        <f t="shared" si="221"/>
        <v>0.460320474045622+0.84187054186832i</v>
      </c>
      <c r="AN444" s="170" t="str">
        <f t="shared" si="222"/>
        <v>7.28392524007553i</v>
      </c>
      <c r="AO444" s="170" t="str">
        <f t="shared" si="223"/>
        <v>0.115579239780829-0.0631967598339668i</v>
      </c>
      <c r="AP444" s="170" t="str">
        <f t="shared" si="224"/>
        <v>0.089946587659063-0.140311756978053i</v>
      </c>
      <c r="AQ444" s="170" t="str">
        <f t="shared" si="225"/>
        <v>0.910053412340937+0.140311756978053i</v>
      </c>
      <c r="AR444" s="170" t="str">
        <f t="shared" si="226"/>
        <v>0.894077437284368-0.137848586026517i</v>
      </c>
    </row>
    <row r="445" spans="7:44">
      <c r="G445" s="688">
        <v>46774</v>
      </c>
      <c r="H445" s="676">
        <f t="shared" si="218"/>
        <v>46.774000000000001</v>
      </c>
      <c r="I445" s="677">
        <f t="shared" si="198"/>
        <v>41.163194612128869</v>
      </c>
      <c r="J445" s="678">
        <f t="shared" si="199"/>
        <v>1.5465003896526743</v>
      </c>
      <c r="K445" s="678">
        <f t="shared" si="200"/>
        <v>1.0020880022240743</v>
      </c>
      <c r="L445" s="679">
        <f t="shared" si="201"/>
        <v>6.4565866492419619E-2</v>
      </c>
      <c r="M445" s="678">
        <f t="shared" si="202"/>
        <v>1.26179327579709</v>
      </c>
      <c r="N445" s="679">
        <f t="shared" si="203"/>
        <v>-0.65586149278351236</v>
      </c>
      <c r="O445" s="677">
        <f t="shared" si="204"/>
        <v>4179111.6651398041</v>
      </c>
      <c r="P445" s="680">
        <f t="shared" si="205"/>
        <v>1.5707960875095939</v>
      </c>
      <c r="Q445" s="689">
        <f t="shared" si="227"/>
        <v>20.919473170772363</v>
      </c>
      <c r="R445" s="690">
        <f t="shared" si="228"/>
        <v>1.5229757517685296</v>
      </c>
      <c r="S445" s="677">
        <f t="shared" si="206"/>
        <v>1.0096561429569897</v>
      </c>
      <c r="T445" s="680">
        <f t="shared" si="207"/>
        <v>0.13841298317053347</v>
      </c>
      <c r="U445" s="681">
        <f t="shared" si="219"/>
        <v>0.12213000472701845</v>
      </c>
      <c r="V445" s="682">
        <f t="shared" si="220"/>
        <v>-0.67708741083591117</v>
      </c>
      <c r="W445" s="683">
        <f t="shared" si="208"/>
        <v>-45.245436200977693</v>
      </c>
      <c r="X445" s="684">
        <f t="shared" si="209"/>
        <v>-171.95132355062955</v>
      </c>
      <c r="Y445" s="687">
        <f t="shared" si="210"/>
        <v>8.048676449370447</v>
      </c>
      <c r="AA445" s="170">
        <f t="shared" si="211"/>
        <v>46774</v>
      </c>
      <c r="AB445" s="170">
        <f t="shared" si="212"/>
        <v>2187807076</v>
      </c>
      <c r="AD445" s="686">
        <f t="shared" si="213"/>
        <v>-0.98868438450222518</v>
      </c>
      <c r="AE445" s="687">
        <f t="shared" si="214"/>
        <v>-10.670383190541134</v>
      </c>
      <c r="AG445" s="686">
        <f t="shared" si="215"/>
        <v>50.000167730640285</v>
      </c>
      <c r="AH445" s="687">
        <f t="shared" si="216"/>
        <v>-83.692438266754294</v>
      </c>
      <c r="AJ445" s="170">
        <f t="shared" si="217"/>
        <v>0</v>
      </c>
      <c r="AK445" s="170">
        <f t="shared" si="229"/>
        <v>0</v>
      </c>
      <c r="AM445" s="170" t="str">
        <f t="shared" si="221"/>
        <v>0.49588493452085+0.863636498045881i</v>
      </c>
      <c r="AN445" s="170" t="str">
        <f t="shared" si="222"/>
        <v>7.32562463630885i</v>
      </c>
      <c r="AO445" s="170" t="str">
        <f t="shared" si="223"/>
        <v>0.117892540352851-0.0676918295899352i</v>
      </c>
      <c r="AP445" s="170" t="str">
        <f t="shared" si="224"/>
        <v>0.0840191775798583-0.14393941634098i</v>
      </c>
      <c r="AQ445" s="170" t="str">
        <f t="shared" si="225"/>
        <v>0.915980822420142+0.14393941634098i</v>
      </c>
      <c r="AR445" s="170" t="str">
        <f t="shared" si="226"/>
        <v>0.887492192404611-0.139462644910378i</v>
      </c>
    </row>
    <row r="446" spans="7:44">
      <c r="G446" s="688">
        <v>47046.25</v>
      </c>
      <c r="H446" s="676">
        <f t="shared" si="218"/>
        <v>47.046250000000001</v>
      </c>
      <c r="I446" s="677">
        <f t="shared" si="198"/>
        <v>41.402645694796092</v>
      </c>
      <c r="J446" s="678">
        <f t="shared" si="199"/>
        <v>1.5466409319639509</v>
      </c>
      <c r="K446" s="678">
        <f t="shared" si="200"/>
        <v>1.0021123538765175</v>
      </c>
      <c r="L446" s="679">
        <f t="shared" si="201"/>
        <v>6.4940622124768282E-2</v>
      </c>
      <c r="M446" s="678">
        <f t="shared" si="202"/>
        <v>1.2645296657159852</v>
      </c>
      <c r="N446" s="679">
        <f t="shared" si="203"/>
        <v>-0.65866855742982533</v>
      </c>
      <c r="O446" s="677">
        <f t="shared" si="204"/>
        <v>4203436.3572942968</v>
      </c>
      <c r="P446" s="680">
        <f t="shared" si="205"/>
        <v>1.570796088894304</v>
      </c>
      <c r="Q446" s="689">
        <f t="shared" si="227"/>
        <v>21.04095839655513</v>
      </c>
      <c r="R446" s="690">
        <f t="shared" si="228"/>
        <v>1.5232520646308281</v>
      </c>
      <c r="S446" s="677">
        <f t="shared" si="206"/>
        <v>1.0097683327321627</v>
      </c>
      <c r="T446" s="680">
        <f t="shared" si="207"/>
        <v>0.13920828302886498</v>
      </c>
      <c r="U446" s="681">
        <f t="shared" si="219"/>
        <v>0.12500383671547458</v>
      </c>
      <c r="V446" s="682">
        <f t="shared" si="220"/>
        <v>-0.70102441686743033</v>
      </c>
      <c r="W446" s="683">
        <f t="shared" si="208"/>
        <v>-45.075849532343035</v>
      </c>
      <c r="X446" s="684">
        <f t="shared" si="209"/>
        <v>-173.4999623382682</v>
      </c>
      <c r="Y446" s="687">
        <f t="shared" si="210"/>
        <v>6.5000376617317954</v>
      </c>
      <c r="AA446" s="170">
        <f t="shared" si="211"/>
        <v>47046.25</v>
      </c>
      <c r="AB446" s="170">
        <f t="shared" si="212"/>
        <v>2213349639.0625</v>
      </c>
      <c r="AD446" s="686">
        <f t="shared" si="213"/>
        <v>-0.98976400499112405</v>
      </c>
      <c r="AE446" s="687">
        <f t="shared" si="214"/>
        <v>-10.700119034408029</v>
      </c>
      <c r="AG446" s="686">
        <f t="shared" si="215"/>
        <v>49.766795259363363</v>
      </c>
      <c r="AH446" s="687">
        <f t="shared" si="216"/>
        <v>-82.468362367821285</v>
      </c>
      <c r="AJ446" s="170">
        <f t="shared" si="217"/>
        <v>0</v>
      </c>
      <c r="AK446" s="170">
        <f t="shared" si="229"/>
        <v>0</v>
      </c>
      <c r="AM446" s="170" t="str">
        <f t="shared" si="221"/>
        <v>0.533156655490389+0.884340031711265i</v>
      </c>
      <c r="AN446" s="170" t="str">
        <f t="shared" si="222"/>
        <v>7.36826373724602i</v>
      </c>
      <c r="AO446" s="170" t="str">
        <f t="shared" si="223"/>
        <v>0.120020138155614-0.072358519524121i</v>
      </c>
      <c r="AP446" s="170" t="str">
        <f t="shared" si="224"/>
        <v>0.0778072240849352-0.147390005285211i</v>
      </c>
      <c r="AQ446" s="170" t="str">
        <f t="shared" si="225"/>
        <v>0.922192775915065+0.147390005285211i</v>
      </c>
      <c r="AR446" s="170" t="str">
        <f t="shared" si="226"/>
        <v>0.880782940831274-0.140771653926079i</v>
      </c>
    </row>
    <row r="447" spans="7:44">
      <c r="G447" s="688">
        <v>47318.5</v>
      </c>
      <c r="H447" s="676">
        <f t="shared" si="218"/>
        <v>47.3185</v>
      </c>
      <c r="I447" s="677">
        <f t="shared" si="198"/>
        <v>41.642097585849271</v>
      </c>
      <c r="J447" s="678">
        <f t="shared" si="199"/>
        <v>1.5467798579750134</v>
      </c>
      <c r="K447" s="678">
        <f t="shared" si="200"/>
        <v>1.0021368462605558</v>
      </c>
      <c r="L447" s="679">
        <f t="shared" si="201"/>
        <v>6.5315359491568983E-2</v>
      </c>
      <c r="M447" s="678">
        <f t="shared" si="202"/>
        <v>1.2672759765623052</v>
      </c>
      <c r="N447" s="679">
        <f t="shared" si="203"/>
        <v>-0.66146347765303681</v>
      </c>
      <c r="O447" s="677">
        <f t="shared" si="204"/>
        <v>4227761.04944879</v>
      </c>
      <c r="P447" s="680">
        <f t="shared" si="205"/>
        <v>1.5707960902630802</v>
      </c>
      <c r="Q447" s="689">
        <f t="shared" si="227"/>
        <v>21.162445210345695</v>
      </c>
      <c r="R447" s="690">
        <f t="shared" si="228"/>
        <v>1.5235252050666548</v>
      </c>
      <c r="S447" s="677">
        <f t="shared" si="206"/>
        <v>1.0098811610455489</v>
      </c>
      <c r="T447" s="680">
        <f t="shared" si="207"/>
        <v>0.14000340568130479</v>
      </c>
      <c r="U447" s="681">
        <f t="shared" si="219"/>
        <v>0.12772399388288252</v>
      </c>
      <c r="V447" s="682">
        <f t="shared" si="220"/>
        <v>-0.72461899995490042</v>
      </c>
      <c r="W447" s="683">
        <f t="shared" si="208"/>
        <v>-44.920983806824275</v>
      </c>
      <c r="X447" s="684">
        <f t="shared" si="209"/>
        <v>-175.0283659641361</v>
      </c>
      <c r="Y447" s="687">
        <f t="shared" si="210"/>
        <v>4.9716340358639002</v>
      </c>
      <c r="AA447" s="170">
        <f t="shared" si="211"/>
        <v>47318.5</v>
      </c>
      <c r="AB447" s="170">
        <f t="shared" si="212"/>
        <v>2239040442.25</v>
      </c>
      <c r="AD447" s="686">
        <f t="shared" si="213"/>
        <v>-0.99084704210848462</v>
      </c>
      <c r="AE447" s="687">
        <f t="shared" si="214"/>
        <v>-10.730026490860121</v>
      </c>
      <c r="AG447" s="686">
        <f t="shared" si="215"/>
        <v>49.548778126318169</v>
      </c>
      <c r="AH447" s="687">
        <f t="shared" si="216"/>
        <v>-81.263118473582026</v>
      </c>
      <c r="AJ447" s="170">
        <f t="shared" si="217"/>
        <v>0</v>
      </c>
      <c r="AK447" s="170">
        <f t="shared" si="229"/>
        <v>0</v>
      </c>
      <c r="AM447" s="170" t="str">
        <f t="shared" si="221"/>
        <v>0.571277012456784+0.903435996599659i</v>
      </c>
      <c r="AN447" s="170" t="str">
        <f t="shared" si="222"/>
        <v>7.41090283818318i</v>
      </c>
      <c r="AO447" s="170" t="str">
        <f t="shared" si="223"/>
        <v>0.121906333995487-0.0770860210868499i</v>
      </c>
      <c r="AP447" s="170" t="str">
        <f t="shared" si="224"/>
        <v>0.0714538312572027-0.150572666099943i</v>
      </c>
      <c r="AQ447" s="170" t="str">
        <f t="shared" si="225"/>
        <v>0.928546168742797+0.150572666099943i</v>
      </c>
      <c r="AR447" s="170" t="str">
        <f t="shared" si="226"/>
        <v>0.874115811146512-0.141746261623855i</v>
      </c>
    </row>
    <row r="448" spans="7:44">
      <c r="G448" s="688">
        <v>47590.75</v>
      </c>
      <c r="H448" s="676">
        <f t="shared" si="218"/>
        <v>47.59075</v>
      </c>
      <c r="I448" s="677">
        <f t="shared" si="198"/>
        <v>41.881550271422896</v>
      </c>
      <c r="J448" s="678">
        <f t="shared" si="199"/>
        <v>1.5469171954034544</v>
      </c>
      <c r="K448" s="678">
        <f t="shared" si="200"/>
        <v>1.0021614793658713</v>
      </c>
      <c r="L448" s="679">
        <f t="shared" si="201"/>
        <v>6.5690078488917489E-2</v>
      </c>
      <c r="M448" s="678">
        <f t="shared" si="202"/>
        <v>1.2700321439771669</v>
      </c>
      <c r="N448" s="679">
        <f t="shared" si="203"/>
        <v>-0.66424628871221825</v>
      </c>
      <c r="O448" s="677">
        <f t="shared" si="204"/>
        <v>4252085.7416032823</v>
      </c>
      <c r="P448" s="680">
        <f t="shared" si="205"/>
        <v>1.5707960916161958</v>
      </c>
      <c r="Q448" s="689">
        <f t="shared" si="227"/>
        <v>21.283933584951431</v>
      </c>
      <c r="R448" s="690">
        <f t="shared" si="228"/>
        <v>1.5237952273593895</v>
      </c>
      <c r="S448" s="677">
        <f t="shared" si="206"/>
        <v>1.0099946276831515</v>
      </c>
      <c r="T448" s="680">
        <f t="shared" si="207"/>
        <v>0.14079835018202508</v>
      </c>
      <c r="U448" s="681">
        <f t="shared" si="219"/>
        <v>0.13029460716970637</v>
      </c>
      <c r="V448" s="682">
        <f t="shared" si="220"/>
        <v>-0.74787373493283371</v>
      </c>
      <c r="W448" s="683">
        <f t="shared" si="208"/>
        <v>-44.779710602283693</v>
      </c>
      <c r="X448" s="684">
        <f t="shared" si="209"/>
        <v>-176.53668240524931</v>
      </c>
      <c r="Y448" s="687">
        <f t="shared" si="210"/>
        <v>3.4633175947506913</v>
      </c>
      <c r="AA448" s="170">
        <f t="shared" si="211"/>
        <v>47590.75</v>
      </c>
      <c r="AB448" s="170">
        <f t="shared" si="212"/>
        <v>2264879485.5625</v>
      </c>
      <c r="AD448" s="686">
        <f t="shared" si="213"/>
        <v>-0.99193353702163534</v>
      </c>
      <c r="AE448" s="687">
        <f t="shared" si="214"/>
        <v>-10.760102395512559</v>
      </c>
      <c r="AG448" s="686">
        <f t="shared" si="215"/>
        <v>49.344979804283248</v>
      </c>
      <c r="AH448" s="687">
        <f t="shared" si="216"/>
        <v>-80.076562671136188</v>
      </c>
      <c r="AJ448" s="170">
        <f t="shared" si="217"/>
        <v>0</v>
      </c>
      <c r="AK448" s="170">
        <f t="shared" si="229"/>
        <v>0</v>
      </c>
      <c r="AM448" s="170" t="str">
        <f t="shared" si="221"/>
        <v>0.610176709568421+0.920889679732104i</v>
      </c>
      <c r="AN448" s="170" t="str">
        <f t="shared" si="222"/>
        <v>7.45354193912035i</v>
      </c>
      <c r="AO448" s="170" t="str">
        <f t="shared" si="223"/>
        <v>0.123550613554445-0.0818639935955647i</v>
      </c>
      <c r="AP448" s="170" t="str">
        <f t="shared" si="224"/>
        <v>0.0649705484052632-0.153481613288684i</v>
      </c>
      <c r="AQ448" s="170" t="str">
        <f t="shared" si="225"/>
        <v>0.935029451594737+0.153481613288684i</v>
      </c>
      <c r="AR448" s="170" t="str">
        <f t="shared" si="226"/>
        <v>0.8675069193423-0.142398040289175i</v>
      </c>
    </row>
    <row r="449" spans="7:44">
      <c r="G449" s="688">
        <v>47863</v>
      </c>
      <c r="H449" s="676">
        <f t="shared" si="218"/>
        <v>47.863</v>
      </c>
      <c r="I449" s="677">
        <f t="shared" si="198"/>
        <v>42.12100373796671</v>
      </c>
      <c r="J449" s="678">
        <f t="shared" si="199"/>
        <v>1.5470529713368224</v>
      </c>
      <c r="K449" s="678">
        <f t="shared" si="200"/>
        <v>1.0021862531820873</v>
      </c>
      <c r="L449" s="679">
        <f t="shared" si="201"/>
        <v>6.6064779012940417E-2</v>
      </c>
      <c r="M449" s="678">
        <f t="shared" si="202"/>
        <v>1.2727981039291607</v>
      </c>
      <c r="N449" s="679">
        <f t="shared" si="203"/>
        <v>-0.66701702631177606</v>
      </c>
      <c r="O449" s="677">
        <f t="shared" si="204"/>
        <v>4276410.4337577755</v>
      </c>
      <c r="P449" s="680">
        <f t="shared" si="205"/>
        <v>1.5707960929539182</v>
      </c>
      <c r="Q449" s="689">
        <f t="shared" si="227"/>
        <v>21.405423493796711</v>
      </c>
      <c r="R449" s="690">
        <f t="shared" si="228"/>
        <v>1.5240621845618789</v>
      </c>
      <c r="S449" s="677">
        <f t="shared" si="206"/>
        <v>1.0101087324298592</v>
      </c>
      <c r="T449" s="680">
        <f t="shared" si="207"/>
        <v>0.14159311558652263</v>
      </c>
      <c r="U449" s="681">
        <f t="shared" si="219"/>
        <v>0.13271994462890116</v>
      </c>
      <c r="V449" s="682">
        <f t="shared" si="220"/>
        <v>-0.77079198431047968</v>
      </c>
      <c r="W449" s="683">
        <f t="shared" si="208"/>
        <v>-44.651013980670029</v>
      </c>
      <c r="X449" s="684">
        <f t="shared" si="209"/>
        <v>-178.02510482905726</v>
      </c>
      <c r="Y449" s="687">
        <f t="shared" si="210"/>
        <v>1.9748951709427445</v>
      </c>
      <c r="AA449" s="170">
        <f t="shared" si="211"/>
        <v>47863</v>
      </c>
      <c r="AB449" s="170">
        <f t="shared" si="212"/>
        <v>2290866769</v>
      </c>
      <c r="AD449" s="686">
        <f t="shared" si="213"/>
        <v>-0.99302352961115881</v>
      </c>
      <c r="AE449" s="687">
        <f t="shared" si="214"/>
        <v>-10.790343654560417</v>
      </c>
      <c r="AG449" s="686">
        <f t="shared" si="215"/>
        <v>49.15437637928764</v>
      </c>
      <c r="AH449" s="687">
        <f t="shared" si="216"/>
        <v>-78.908505906560507</v>
      </c>
      <c r="AJ449" s="170">
        <f t="shared" si="217"/>
        <v>0</v>
      </c>
      <c r="AK449" s="170">
        <f t="shared" si="229"/>
        <v>0</v>
      </c>
      <c r="AM449" s="170" t="str">
        <f t="shared" si="221"/>
        <v>0.649785034275518+0.936669353498127i</v>
      </c>
      <c r="AN449" s="170" t="str">
        <f t="shared" si="222"/>
        <v>7.49618104005752i</v>
      </c>
      <c r="AO449" s="170" t="str">
        <f t="shared" si="223"/>
        <v>0.124952872468371-0.086682142654139i</v>
      </c>
      <c r="AP449" s="170" t="str">
        <f t="shared" si="224"/>
        <v>0.0583691609540803-0.156111558916355i</v>
      </c>
      <c r="AQ449" s="170" t="str">
        <f t="shared" si="225"/>
        <v>0.94163083904592+0.156111558916355i</v>
      </c>
      <c r="AR449" s="170" t="str">
        <f t="shared" si="226"/>
        <v>0.860970931469193-0.142739074295301i</v>
      </c>
    </row>
    <row r="450" spans="7:44">
      <c r="G450" s="688">
        <v>48141.75</v>
      </c>
      <c r="H450" s="676">
        <f t="shared" si="218"/>
        <v>48.141750000000002</v>
      </c>
      <c r="I450" s="677">
        <f t="shared" si="198"/>
        <v>42.366174978841833</v>
      </c>
      <c r="J450" s="678">
        <f t="shared" si="199"/>
        <v>1.5471903987203339</v>
      </c>
      <c r="K450" s="678">
        <f t="shared" si="200"/>
        <v>1.0022117642553494</v>
      </c>
      <c r="L450" s="679">
        <f t="shared" si="201"/>
        <v>6.644840630636728E-2</v>
      </c>
      <c r="M450" s="678">
        <f t="shared" si="202"/>
        <v>1.2756401809922573</v>
      </c>
      <c r="N450" s="679">
        <f t="shared" si="203"/>
        <v>-0.66984144404785284</v>
      </c>
      <c r="O450" s="677">
        <f t="shared" si="204"/>
        <v>4301315.8807295477</v>
      </c>
      <c r="P450" s="680">
        <f t="shared" si="205"/>
        <v>1.5707960943079025</v>
      </c>
      <c r="Q450" s="689">
        <f t="shared" si="227"/>
        <v>21.529815550658583</v>
      </c>
      <c r="R450" s="690">
        <f t="shared" si="228"/>
        <v>1.5243323938145041</v>
      </c>
      <c r="S450" s="677">
        <f t="shared" si="206"/>
        <v>1.0102262223580394</v>
      </c>
      <c r="T450" s="680">
        <f t="shared" si="207"/>
        <v>0.14240666956010981</v>
      </c>
      <c r="U450" s="681">
        <f t="shared" si="219"/>
        <v>0.13505723030363598</v>
      </c>
      <c r="V450" s="682">
        <f t="shared" si="220"/>
        <v>-0.79391303943705249</v>
      </c>
      <c r="W450" s="683">
        <f t="shared" si="208"/>
        <v>-44.5313170736828</v>
      </c>
      <c r="X450" s="684">
        <f t="shared" si="209"/>
        <v>-179.52869614443117</v>
      </c>
      <c r="Y450" s="687">
        <f t="shared" si="210"/>
        <v>0.47130385556883425</v>
      </c>
      <c r="AA450" s="170">
        <f t="shared" si="211"/>
        <v>48141.75</v>
      </c>
      <c r="AB450" s="170">
        <f t="shared" si="212"/>
        <v>2317628093.0625</v>
      </c>
      <c r="AD450" s="686">
        <f t="shared" si="213"/>
        <v>-0.99414321017569174</v>
      </c>
      <c r="AE450" s="687">
        <f t="shared" si="214"/>
        <v>-10.821475091505407</v>
      </c>
      <c r="AG450" s="686">
        <f t="shared" si="215"/>
        <v>48.971927074000313</v>
      </c>
      <c r="AH450" s="687">
        <f t="shared" si="216"/>
        <v>-77.731488028678086</v>
      </c>
      <c r="AJ450" s="170">
        <f t="shared" si="217"/>
        <v>0</v>
      </c>
      <c r="AK450" s="170">
        <f t="shared" si="229"/>
        <v>0</v>
      </c>
      <c r="AM450" s="170" t="str">
        <f t="shared" si="221"/>
        <v>0.690998018859456+0.951061394259708i</v>
      </c>
      <c r="AN450" s="170" t="str">
        <f t="shared" si="222"/>
        <v>7.53983815442386i</v>
      </c>
      <c r="AO450" s="170" t="str">
        <f t="shared" si="223"/>
        <v>0.126138170976746-0.091646266764231i</v>
      </c>
      <c r="AP450" s="170" t="str">
        <f t="shared" si="224"/>
        <v>0.0515003301900907-0.158510232376618i</v>
      </c>
      <c r="AQ450" s="170" t="str">
        <f t="shared" si="225"/>
        <v>0.948499669809909+0.158510232376618i</v>
      </c>
      <c r="AR450" s="170" t="str">
        <f t="shared" si="226"/>
        <v>0.854368268945782-0.142779293611084i</v>
      </c>
    </row>
    <row r="451" spans="7:44">
      <c r="G451" s="688">
        <v>48420.5</v>
      </c>
      <c r="H451" s="676">
        <f t="shared" si="218"/>
        <v>48.420499999999997</v>
      </c>
      <c r="I451" s="677">
        <f t="shared" si="198"/>
        <v>42.611347010649162</v>
      </c>
      <c r="J451" s="678">
        <f t="shared" si="199"/>
        <v>1.5473262446801606</v>
      </c>
      <c r="K451" s="678">
        <f t="shared" si="200"/>
        <v>1.0022374228164954</v>
      </c>
      <c r="L451" s="679">
        <f t="shared" si="201"/>
        <v>6.6832014013547561E-2</v>
      </c>
      <c r="M451" s="678">
        <f t="shared" si="202"/>
        <v>1.2784923889746382</v>
      </c>
      <c r="N451" s="679">
        <f t="shared" si="203"/>
        <v>-0.67265328205932817</v>
      </c>
      <c r="O451" s="677">
        <f t="shared" si="204"/>
        <v>4326221.327701319</v>
      </c>
      <c r="P451" s="680">
        <f t="shared" si="205"/>
        <v>1.5707960956462974</v>
      </c>
      <c r="Q451" s="689">
        <f t="shared" si="227"/>
        <v>21.65420916141754</v>
      </c>
      <c r="R451" s="690">
        <f t="shared" si="228"/>
        <v>1.5245994986272293</v>
      </c>
      <c r="S451" s="677">
        <f t="shared" si="206"/>
        <v>1.0103443807689516</v>
      </c>
      <c r="T451" s="680">
        <f t="shared" si="207"/>
        <v>0.14322003378385664</v>
      </c>
      <c r="U451" s="681">
        <f t="shared" si="219"/>
        <v>0.13725156253749002</v>
      </c>
      <c r="V451" s="682">
        <f t="shared" si="220"/>
        <v>-0.81669070088796314</v>
      </c>
      <c r="W451" s="683">
        <f t="shared" si="208"/>
        <v>-44.422949986199455</v>
      </c>
      <c r="X451" s="684">
        <f t="shared" si="209"/>
        <v>-181.01196919818017</v>
      </c>
      <c r="Y451" s="687">
        <f t="shared" si="210"/>
        <v>-1.011969198180168</v>
      </c>
      <c r="AA451" s="170">
        <f t="shared" si="211"/>
        <v>48420.5</v>
      </c>
      <c r="AB451" s="170">
        <f t="shared" si="212"/>
        <v>2344544820.25</v>
      </c>
      <c r="AD451" s="686">
        <f t="shared" si="213"/>
        <v>-0.99526663808858773</v>
      </c>
      <c r="AE451" s="687">
        <f t="shared" si="214"/>
        <v>-10.852773526996398</v>
      </c>
      <c r="AG451" s="686">
        <f t="shared" si="215"/>
        <v>48.801439260676716</v>
      </c>
      <c r="AH451" s="687">
        <f t="shared" si="216"/>
        <v>-76.573334907323527</v>
      </c>
      <c r="AJ451" s="170">
        <f t="shared" si="217"/>
        <v>0</v>
      </c>
      <c r="AK451" s="170">
        <f t="shared" si="229"/>
        <v>0</v>
      </c>
      <c r="AM451" s="170" t="str">
        <f t="shared" si="221"/>
        <v>0.732799850267837+0.963641053496119i</v>
      </c>
      <c r="AN451" s="170" t="str">
        <f t="shared" si="222"/>
        <v>7.5834952687902i</v>
      </c>
      <c r="AO451" s="170" t="str">
        <f t="shared" si="223"/>
        <v>0.127070832029391-0.0966308838199804i</v>
      </c>
      <c r="AP451" s="170" t="str">
        <f t="shared" si="224"/>
        <v>0.0445333582886938-0.160606842249353i</v>
      </c>
      <c r="AQ451" s="170" t="str">
        <f t="shared" si="225"/>
        <v>0.955466641711306+0.160606842249353i</v>
      </c>
      <c r="AR451" s="170" t="str">
        <f t="shared" si="226"/>
        <v>0.847868684457329-0.142520425212238i</v>
      </c>
    </row>
    <row r="452" spans="7:44">
      <c r="G452" s="688">
        <v>48699.25</v>
      </c>
      <c r="H452" s="676">
        <f t="shared" si="218"/>
        <v>48.699249999999999</v>
      </c>
      <c r="I452" s="677">
        <f t="shared" si="198"/>
        <v>42.856519819814494</v>
      </c>
      <c r="J452" s="678">
        <f t="shared" si="199"/>
        <v>1.5474605363521858</v>
      </c>
      <c r="K452" s="678">
        <f t="shared" si="200"/>
        <v>1.0022632288541982</v>
      </c>
      <c r="L452" s="679">
        <f t="shared" si="201"/>
        <v>6.7215602023090362E-2</v>
      </c>
      <c r="M452" s="678">
        <f t="shared" si="202"/>
        <v>1.281354660224101</v>
      </c>
      <c r="N452" s="679">
        <f t="shared" si="203"/>
        <v>-0.67545258003603936</v>
      </c>
      <c r="O452" s="677">
        <f t="shared" si="204"/>
        <v>4351126.7746730912</v>
      </c>
      <c r="P452" s="680">
        <f t="shared" si="205"/>
        <v>1.5707960969693706</v>
      </c>
      <c r="Q452" s="689">
        <f t="shared" si="227"/>
        <v>21.778604299447231</v>
      </c>
      <c r="R452" s="690">
        <f t="shared" si="228"/>
        <v>1.5248635521574763</v>
      </c>
      <c r="S452" s="677">
        <f t="shared" si="206"/>
        <v>1.0104632074280895</v>
      </c>
      <c r="T452" s="680">
        <f t="shared" si="207"/>
        <v>0.14403320724833721</v>
      </c>
      <c r="U452" s="681">
        <f t="shared" si="219"/>
        <v>0.13930774339055246</v>
      </c>
      <c r="V452" s="682">
        <f t="shared" si="220"/>
        <v>-0.8391306740779112</v>
      </c>
      <c r="W452" s="683">
        <f t="shared" si="208"/>
        <v>-44.325103000715899</v>
      </c>
      <c r="X452" s="684">
        <f t="shared" si="209"/>
        <v>-182.47525161818479</v>
      </c>
      <c r="Y452" s="687">
        <f t="shared" si="210"/>
        <v>-2.4752516181847852</v>
      </c>
      <c r="AA452" s="170">
        <f t="shared" si="211"/>
        <v>48699.25</v>
      </c>
      <c r="AB452" s="170">
        <f t="shared" si="212"/>
        <v>2371616950.5625</v>
      </c>
      <c r="AD452" s="686">
        <f t="shared" si="213"/>
        <v>-0.99639385223745369</v>
      </c>
      <c r="AE452" s="687">
        <f t="shared" si="214"/>
        <v>-10.884235857516945</v>
      </c>
      <c r="AG452" s="686">
        <f t="shared" si="215"/>
        <v>48.642095064610487</v>
      </c>
      <c r="AH452" s="687">
        <f t="shared" si="216"/>
        <v>-75.433723481527835</v>
      </c>
      <c r="AJ452" s="170">
        <f t="shared" si="217"/>
        <v>0</v>
      </c>
      <c r="AK452" s="170">
        <f t="shared" si="229"/>
        <v>0</v>
      </c>
      <c r="AM452" s="170" t="str">
        <f t="shared" si="221"/>
        <v>0.775110869219536+0.974384358893762i</v>
      </c>
      <c r="AN452" s="170" t="str">
        <f t="shared" si="222"/>
        <v>7.62715238315653i</v>
      </c>
      <c r="AO452" s="170" t="str">
        <f t="shared" si="223"/>
        <v>0.127752050823784-0.101625197751556i</v>
      </c>
      <c r="AP452" s="170" t="str">
        <f t="shared" si="224"/>
        <v>0.037481521796744-0.16239739314896i</v>
      </c>
      <c r="AQ452" s="170" t="str">
        <f t="shared" si="225"/>
        <v>0.962518478203256+0.16239739314896i</v>
      </c>
      <c r="AR452" s="170" t="str">
        <f t="shared" si="226"/>
        <v>0.841483515711708-0.141976213884743i</v>
      </c>
    </row>
    <row r="453" spans="7:44">
      <c r="G453" s="688">
        <v>48978</v>
      </c>
      <c r="H453" s="676">
        <f t="shared" si="218"/>
        <v>48.978000000000002</v>
      </c>
      <c r="I453" s="677">
        <f t="shared" si="198"/>
        <v>43.101693393072431</v>
      </c>
      <c r="J453" s="678">
        <f t="shared" si="199"/>
        <v>1.5475933002550963</v>
      </c>
      <c r="K453" s="678">
        <f t="shared" si="200"/>
        <v>1.0022891823570663</v>
      </c>
      <c r="L453" s="679">
        <f t="shared" si="201"/>
        <v>6.759917022363944E-2</v>
      </c>
      <c r="M453" s="678">
        <f t="shared" si="202"/>
        <v>1.2842269274539411</v>
      </c>
      <c r="N453" s="679">
        <f t="shared" si="203"/>
        <v>-0.67823937810072643</v>
      </c>
      <c r="O453" s="677">
        <f t="shared" si="204"/>
        <v>4376032.2216448635</v>
      </c>
      <c r="P453" s="680">
        <f t="shared" si="205"/>
        <v>1.5707960982773836</v>
      </c>
      <c r="Q453" s="689">
        <f t="shared" si="227"/>
        <v>21.903000938725885</v>
      </c>
      <c r="R453" s="690">
        <f t="shared" si="228"/>
        <v>1.5251246063567738</v>
      </c>
      <c r="S453" s="677">
        <f t="shared" si="206"/>
        <v>1.0105827020997304</v>
      </c>
      <c r="T453" s="680">
        <f t="shared" si="207"/>
        <v>0.14484618894560813</v>
      </c>
      <c r="U453" s="681">
        <f t="shared" si="219"/>
        <v>0.14123058447889139</v>
      </c>
      <c r="V453" s="682">
        <f t="shared" si="220"/>
        <v>-0.86123922303975498</v>
      </c>
      <c r="W453" s="683">
        <f t="shared" si="208"/>
        <v>-44.237039397204725</v>
      </c>
      <c r="X453" s="684">
        <f t="shared" si="209"/>
        <v>-183.91890309740447</v>
      </c>
      <c r="Y453" s="687">
        <f t="shared" si="210"/>
        <v>-3.918903097404467</v>
      </c>
      <c r="AA453" s="170">
        <f t="shared" si="211"/>
        <v>48978</v>
      </c>
      <c r="AB453" s="170">
        <f t="shared" si="212"/>
        <v>2398844484</v>
      </c>
      <c r="AD453" s="686">
        <f t="shared" si="213"/>
        <v>-0.99752489027538882</v>
      </c>
      <c r="AE453" s="687">
        <f t="shared" si="214"/>
        <v>-10.915859048727791</v>
      </c>
      <c r="AG453" s="686">
        <f t="shared" si="215"/>
        <v>48.493149739196951</v>
      </c>
      <c r="AH453" s="687">
        <f t="shared" si="216"/>
        <v>-74.312298673297789</v>
      </c>
      <c r="AJ453" s="170">
        <f t="shared" si="217"/>
        <v>0</v>
      </c>
      <c r="AK453" s="170">
        <f t="shared" si="229"/>
        <v>0</v>
      </c>
      <c r="AM453" s="170" t="str">
        <f t="shared" si="221"/>
        <v>0.817850446104832+0.983270837570092i</v>
      </c>
      <c r="AN453" s="170" t="str">
        <f t="shared" si="222"/>
        <v>7.67080949752287i</v>
      </c>
      <c r="AO453" s="170" t="str">
        <f t="shared" si="223"/>
        <v>0.12818345154936-0.106618531768901i</v>
      </c>
      <c r="AP453" s="170" t="str">
        <f t="shared" si="224"/>
        <v>0.030358258982528-0.163878472928349i</v>
      </c>
      <c r="AQ453" s="170" t="str">
        <f t="shared" si="225"/>
        <v>0.969641741017472+0.163878472928349i</v>
      </c>
      <c r="AR453" s="170" t="str">
        <f t="shared" si="226"/>
        <v>0.8352227556132-0.141160414155925i</v>
      </c>
    </row>
    <row r="454" spans="7:44">
      <c r="G454" s="688">
        <v>49263.25</v>
      </c>
      <c r="H454" s="676">
        <f t="shared" si="218"/>
        <v>49.263249999999999</v>
      </c>
      <c r="I454" s="677">
        <f t="shared" si="198"/>
        <v>43.352584795764407</v>
      </c>
      <c r="J454" s="678">
        <f t="shared" si="199"/>
        <v>1.5477276054133196</v>
      </c>
      <c r="K454" s="678">
        <f t="shared" si="200"/>
        <v>1.0023158937050032</v>
      </c>
      <c r="L454" s="679">
        <f t="shared" si="201"/>
        <v>6.7991661992021196E-2</v>
      </c>
      <c r="M454" s="678">
        <f t="shared" si="202"/>
        <v>1.2871764498367677</v>
      </c>
      <c r="N454" s="679">
        <f t="shared" si="203"/>
        <v>-0.68107826156997509</v>
      </c>
      <c r="O454" s="677">
        <f t="shared" si="204"/>
        <v>4401518.4234339138</v>
      </c>
      <c r="P454" s="680">
        <f t="shared" si="205"/>
        <v>1.5707960996005732</v>
      </c>
      <c r="Q454" s="689">
        <f t="shared" si="227"/>
        <v>22.030299834447995</v>
      </c>
      <c r="R454" s="690">
        <f t="shared" si="228"/>
        <v>1.525388695834061</v>
      </c>
      <c r="S454" s="677">
        <f t="shared" si="206"/>
        <v>1.0107056745065834</v>
      </c>
      <c r="T454" s="680">
        <f t="shared" si="207"/>
        <v>0.14567792848670322</v>
      </c>
      <c r="U454" s="681">
        <f t="shared" si="219"/>
        <v>0.14306522461408278</v>
      </c>
      <c r="V454" s="682">
        <f t="shared" si="220"/>
        <v>-0.88352725030218904</v>
      </c>
      <c r="W454" s="683">
        <f t="shared" si="208"/>
        <v>-44.156349829795573</v>
      </c>
      <c r="X454" s="684">
        <f t="shared" si="209"/>
        <v>-185.376300061818</v>
      </c>
      <c r="Y454" s="687">
        <f t="shared" si="210"/>
        <v>-5.3763000618180001</v>
      </c>
      <c r="AA454" s="170">
        <f t="shared" si="211"/>
        <v>49263.25</v>
      </c>
      <c r="AB454" s="170">
        <f t="shared" si="212"/>
        <v>2426867800.5625</v>
      </c>
      <c r="AD454" s="686">
        <f t="shared" si="213"/>
        <v>-0.99868629900473316</v>
      </c>
      <c r="AE454" s="687">
        <f t="shared" si="214"/>
        <v>-10.948383077474654</v>
      </c>
      <c r="AG454" s="686">
        <f t="shared" si="215"/>
        <v>48.350787730891767</v>
      </c>
      <c r="AH454" s="687">
        <f t="shared" si="216"/>
        <v>-73.183151814426083</v>
      </c>
      <c r="AJ454" s="170">
        <f t="shared" si="217"/>
        <v>0</v>
      </c>
      <c r="AK454" s="170">
        <f t="shared" si="229"/>
        <v>0</v>
      </c>
      <c r="AM454" s="170" t="str">
        <f t="shared" si="221"/>
        <v>0.861945328479055+0.990424609786754i</v>
      </c>
      <c r="AN454" s="170" t="str">
        <f t="shared" si="222"/>
        <v>7.71548462531838i</v>
      </c>
      <c r="AO454" s="170" t="str">
        <f t="shared" si="223"/>
        <v>0.128368425041853-0.111716291372104i</v>
      </c>
      <c r="AP454" s="170" t="str">
        <f t="shared" si="224"/>
        <v>0.0230091119201575-0.165070768297792i</v>
      </c>
      <c r="AQ454" s="170" t="str">
        <f t="shared" si="225"/>
        <v>0.976990888079842+0.165070768297792i</v>
      </c>
      <c r="AR454" s="170" t="str">
        <f t="shared" si="226"/>
        <v>0.828953898647112-0.140058682842031i</v>
      </c>
    </row>
    <row r="455" spans="7:44">
      <c r="G455" s="688">
        <v>49548.5</v>
      </c>
      <c r="H455" s="676">
        <f t="shared" si="218"/>
        <v>49.548499999999997</v>
      </c>
      <c r="I455" s="677">
        <f t="shared" si="198"/>
        <v>43.603476971445893</v>
      </c>
      <c r="J455" s="678">
        <f t="shared" si="199"/>
        <v>1.5478603650038962</v>
      </c>
      <c r="K455" s="678">
        <f t="shared" si="200"/>
        <v>1.002342759451248</v>
      </c>
      <c r="L455" s="679">
        <f t="shared" si="201"/>
        <v>6.8384132780983153E-2</v>
      </c>
      <c r="M455" s="678">
        <f t="shared" si="202"/>
        <v>1.2901362984269347</v>
      </c>
      <c r="N455" s="679">
        <f t="shared" si="203"/>
        <v>-0.68390414171519687</v>
      </c>
      <c r="O455" s="677">
        <f t="shared" si="204"/>
        <v>4427004.6252229642</v>
      </c>
      <c r="P455" s="680">
        <f t="shared" si="205"/>
        <v>1.5707961009085276</v>
      </c>
      <c r="Q455" s="689">
        <f t="shared" si="227"/>
        <v>22.15760024898033</v>
      </c>
      <c r="R455" s="690">
        <f t="shared" si="228"/>
        <v>1.5256497508220739</v>
      </c>
      <c r="S455" s="677">
        <f t="shared" si="206"/>
        <v>1.010829345939783</v>
      </c>
      <c r="T455" s="680">
        <f t="shared" si="207"/>
        <v>0.14650946508208601</v>
      </c>
      <c r="U455" s="681">
        <f t="shared" si="219"/>
        <v>0.14477034625071772</v>
      </c>
      <c r="V455" s="682">
        <f t="shared" si="220"/>
        <v>-0.90548299045723302</v>
      </c>
      <c r="W455" s="683">
        <f t="shared" si="208"/>
        <v>-44.084544189017834</v>
      </c>
      <c r="X455" s="684">
        <f t="shared" si="209"/>
        <v>-186.81398822393439</v>
      </c>
      <c r="Y455" s="687">
        <f t="shared" si="210"/>
        <v>-6.8139882239343876</v>
      </c>
      <c r="AA455" s="170">
        <f t="shared" si="211"/>
        <v>49548.5</v>
      </c>
      <c r="AB455" s="170">
        <f t="shared" si="212"/>
        <v>2455053852.25</v>
      </c>
      <c r="AD455" s="686">
        <f t="shared" si="213"/>
        <v>-0.99985178803101327</v>
      </c>
      <c r="AE455" s="687">
        <f t="shared" si="214"/>
        <v>-10.981069340844408</v>
      </c>
      <c r="AG455" s="686">
        <f t="shared" si="215"/>
        <v>48.217937577895583</v>
      </c>
      <c r="AH455" s="687">
        <f t="shared" si="216"/>
        <v>-72.072211216357985</v>
      </c>
      <c r="AJ455" s="170">
        <f t="shared" si="217"/>
        <v>0</v>
      </c>
      <c r="AK455" s="170">
        <f t="shared" si="229"/>
        <v>0</v>
      </c>
      <c r="AM455" s="170" t="str">
        <f t="shared" si="221"/>
        <v>0.906315703797194+0.995601954922239i</v>
      </c>
      <c r="AN455" s="170" t="str">
        <f t="shared" si="222"/>
        <v>7.76015975311389i</v>
      </c>
      <c r="AO455" s="170" t="str">
        <f t="shared" si="223"/>
        <v>0.128296579786613-0.116790856455438i</v>
      </c>
      <c r="AP455" s="170" t="str">
        <f t="shared" si="224"/>
        <v>0.0156140493671343-0.165933659153707i</v>
      </c>
      <c r="AQ455" s="170" t="str">
        <f t="shared" si="225"/>
        <v>0.984385950632866+0.165933659153707i</v>
      </c>
      <c r="AR455" s="170" t="str">
        <f t="shared" si="226"/>
        <v>0.822832533210194-0.138701302084312i</v>
      </c>
    </row>
    <row r="456" spans="7:44">
      <c r="G456" s="688">
        <v>49833.75</v>
      </c>
      <c r="H456" s="676">
        <f t="shared" si="218"/>
        <v>49.833750000000002</v>
      </c>
      <c r="I456" s="677">
        <f t="shared" si="198"/>
        <v>43.854369906849989</v>
      </c>
      <c r="J456" s="678">
        <f t="shared" si="199"/>
        <v>1.5479916055489038</v>
      </c>
      <c r="K456" s="678">
        <f t="shared" si="200"/>
        <v>1.0023697795833859</v>
      </c>
      <c r="L456" s="679">
        <f t="shared" si="201"/>
        <v>6.8776582471309938E-2</v>
      </c>
      <c r="M456" s="678">
        <f t="shared" si="202"/>
        <v>1.2931064023161019</v>
      </c>
      <c r="N456" s="679">
        <f t="shared" si="203"/>
        <v>-0.68671706285005185</v>
      </c>
      <c r="O456" s="677">
        <f t="shared" si="204"/>
        <v>4452490.8270120146</v>
      </c>
      <c r="P456" s="680">
        <f t="shared" si="205"/>
        <v>1.5707961022015087</v>
      </c>
      <c r="Q456" s="689">
        <f t="shared" si="227"/>
        <v>22.284902156294709</v>
      </c>
      <c r="R456" s="690">
        <f t="shared" si="228"/>
        <v>1.5259078232882386</v>
      </c>
      <c r="S456" s="677">
        <f t="shared" si="206"/>
        <v>1.0109537161427899</v>
      </c>
      <c r="T456" s="680">
        <f t="shared" si="207"/>
        <v>0.1473407976565112</v>
      </c>
      <c r="U456" s="681">
        <f t="shared" si="219"/>
        <v>0.14635097304841996</v>
      </c>
      <c r="V456" s="682">
        <f t="shared" si="220"/>
        <v>-0.92711454333818322</v>
      </c>
      <c r="W456" s="683">
        <f t="shared" si="208"/>
        <v>-44.021021357136945</v>
      </c>
      <c r="X456" s="684">
        <f t="shared" si="209"/>
        <v>-188.23243269632991</v>
      </c>
      <c r="Y456" s="687">
        <f t="shared" si="210"/>
        <v>-8.2324326963299086</v>
      </c>
      <c r="AA456" s="170">
        <f t="shared" si="211"/>
        <v>49833.75</v>
      </c>
      <c r="AB456" s="170">
        <f t="shared" si="212"/>
        <v>2483402639.0625</v>
      </c>
      <c r="AD456" s="686">
        <f t="shared" si="213"/>
        <v>-1.0010213939510155</v>
      </c>
      <c r="AE456" s="687">
        <f t="shared" si="214"/>
        <v>-11.013914799730845</v>
      </c>
      <c r="AG456" s="686">
        <f t="shared" si="215"/>
        <v>48.093989968779894</v>
      </c>
      <c r="AH456" s="687">
        <f t="shared" si="216"/>
        <v>-70.979016858249665</v>
      </c>
      <c r="AJ456" s="170">
        <f t="shared" si="217"/>
        <v>0</v>
      </c>
      <c r="AK456" s="170">
        <f t="shared" si="229"/>
        <v>0</v>
      </c>
      <c r="AM456" s="170" t="str">
        <f t="shared" si="221"/>
        <v>0.950873029417524+0.998792541402562i</v>
      </c>
      <c r="AN456" s="170" t="str">
        <f t="shared" si="222"/>
        <v>7.8048348809094i</v>
      </c>
      <c r="AO456" s="170" t="str">
        <f t="shared" si="223"/>
        <v>0.127971002159905-0.121831280728739i</v>
      </c>
      <c r="AP456" s="170" t="str">
        <f t="shared" si="224"/>
        <v>0.00818782843041273-0.166465423567094i</v>
      </c>
      <c r="AQ456" s="170" t="str">
        <f t="shared" si="225"/>
        <v>0.991812171569587+0.166465423567094i</v>
      </c>
      <c r="AR456" s="170" t="str">
        <f t="shared" si="226"/>
        <v>0.816865539265865-0.137102439241153i</v>
      </c>
    </row>
    <row r="457" spans="7:44">
      <c r="G457" s="688">
        <v>50119</v>
      </c>
      <c r="H457" s="676">
        <f t="shared" si="218"/>
        <v>50.119</v>
      </c>
      <c r="I457" s="677">
        <f t="shared" si="198"/>
        <v>44.105263589011635</v>
      </c>
      <c r="J457" s="678">
        <f t="shared" si="199"/>
        <v>1.5481213529671465</v>
      </c>
      <c r="K457" s="678">
        <f t="shared" si="200"/>
        <v>1.0023969540889324</v>
      </c>
      <c r="L457" s="679">
        <f t="shared" si="201"/>
        <v>6.9169010943824979E-2</v>
      </c>
      <c r="M457" s="678">
        <f t="shared" si="202"/>
        <v>1.2960866910013407</v>
      </c>
      <c r="N457" s="679">
        <f t="shared" si="203"/>
        <v>-0.68951706970302062</v>
      </c>
      <c r="O457" s="677">
        <f t="shared" si="204"/>
        <v>4477977.0288010659</v>
      </c>
      <c r="P457" s="680">
        <f t="shared" si="205"/>
        <v>1.5707961034797715</v>
      </c>
      <c r="Q457" s="689">
        <f t="shared" si="227"/>
        <v>22.412205530954015</v>
      </c>
      <c r="R457" s="690">
        <f t="shared" si="228"/>
        <v>1.5261629640208729</v>
      </c>
      <c r="S457" s="677">
        <f t="shared" si="206"/>
        <v>1.0110787848577429</v>
      </c>
      <c r="T457" s="680">
        <f t="shared" si="207"/>
        <v>0.14817192513638922</v>
      </c>
      <c r="U457" s="681">
        <f t="shared" si="219"/>
        <v>0.14781204022330932</v>
      </c>
      <c r="V457" s="682">
        <f t="shared" si="220"/>
        <v>-0.9484303478164049</v>
      </c>
      <c r="W457" s="683">
        <f t="shared" si="208"/>
        <v>-43.96523084353398</v>
      </c>
      <c r="X457" s="684">
        <f t="shared" si="209"/>
        <v>-189.63211807388404</v>
      </c>
      <c r="Y457" s="687">
        <f t="shared" si="210"/>
        <v>-9.632118073884044</v>
      </c>
      <c r="AA457" s="170">
        <f t="shared" si="211"/>
        <v>50119</v>
      </c>
      <c r="AB457" s="170">
        <f t="shared" si="212"/>
        <v>2511914161</v>
      </c>
      <c r="AD457" s="686">
        <f t="shared" si="213"/>
        <v>-1.0021951521795254</v>
      </c>
      <c r="AE457" s="687">
        <f t="shared" si="214"/>
        <v>-11.046916482680151</v>
      </c>
      <c r="AG457" s="686">
        <f t="shared" si="215"/>
        <v>47.978386351076942</v>
      </c>
      <c r="AH457" s="687">
        <f t="shared" si="216"/>
        <v>-69.903089283007034</v>
      </c>
      <c r="AJ457" s="170">
        <f t="shared" si="217"/>
        <v>0</v>
      </c>
      <c r="AK457" s="170">
        <f t="shared" si="229"/>
        <v>0</v>
      </c>
      <c r="AM457" s="170" t="str">
        <f t="shared" si="221"/>
        <v>0.995528389632416+0.999990002300383i</v>
      </c>
      <c r="AN457" s="170" t="str">
        <f t="shared" si="222"/>
        <v>7.8495100087049i</v>
      </c>
      <c r="AO457" s="170" t="str">
        <f t="shared" si="223"/>
        <v>0.127395213356174-0.126826819575795i</v>
      </c>
      <c r="AP457" s="170" t="str">
        <f t="shared" si="224"/>
        <v>0.000745268394597345-0.166665000383397i</v>
      </c>
      <c r="AQ457" s="170" t="str">
        <f t="shared" si="225"/>
        <v>0.999254731605403+0.166665000383397i</v>
      </c>
      <c r="AR457" s="170" t="str">
        <f t="shared" si="226"/>
        <v>0.811058696028902-0.135275914748427i</v>
      </c>
    </row>
    <row r="458" spans="7:44">
      <c r="G458" s="688">
        <v>50410.75</v>
      </c>
      <c r="H458" s="676">
        <f t="shared" si="218"/>
        <v>50.41075</v>
      </c>
      <c r="I458" s="677">
        <f t="shared" si="198"/>
        <v>44.361875152035047</v>
      </c>
      <c r="J458" s="678">
        <f t="shared" si="199"/>
        <v>1.5482525387939454</v>
      </c>
      <c r="K458" s="678">
        <f t="shared" si="200"/>
        <v>1.002424907497691</v>
      </c>
      <c r="L458" s="679">
        <f t="shared" si="201"/>
        <v>6.9570359622559766E-2</v>
      </c>
      <c r="M458" s="678">
        <f t="shared" si="202"/>
        <v>1.299145354114106</v>
      </c>
      <c r="N458" s="679">
        <f t="shared" si="203"/>
        <v>-0.69236756838106683</v>
      </c>
      <c r="O458" s="677">
        <f t="shared" si="204"/>
        <v>4504043.9854073962</v>
      </c>
      <c r="P458" s="680">
        <f t="shared" si="205"/>
        <v>1.5707961047721981</v>
      </c>
      <c r="Q458" s="689">
        <f t="shared" si="227"/>
        <v>22.542411263263045</v>
      </c>
      <c r="R458" s="690">
        <f t="shared" si="228"/>
        <v>1.5264209376853735</v>
      </c>
      <c r="S458" s="677">
        <f t="shared" si="206"/>
        <v>1.0112074258157828</v>
      </c>
      <c r="T458" s="680">
        <f t="shared" si="207"/>
        <v>0.14902177826689478</v>
      </c>
      <c r="U458" s="681">
        <f t="shared" si="219"/>
        <v>0.1491877570731508</v>
      </c>
      <c r="V458" s="682">
        <f t="shared" si="220"/>
        <v>-0.9699143450656097</v>
      </c>
      <c r="W458" s="683">
        <f t="shared" si="208"/>
        <v>-43.915641595391548</v>
      </c>
      <c r="X458" s="684">
        <f t="shared" si="209"/>
        <v>-191.04481506694404</v>
      </c>
      <c r="Y458" s="687">
        <f t="shared" si="210"/>
        <v>-11.044815066944039</v>
      </c>
      <c r="AA458" s="170">
        <f t="shared" si="211"/>
        <v>50410.75</v>
      </c>
      <c r="AB458" s="170">
        <f t="shared" si="212"/>
        <v>2541243715.5625</v>
      </c>
      <c r="AD458" s="686">
        <f t="shared" si="213"/>
        <v>-1.0033999879004842</v>
      </c>
      <c r="AE458" s="687">
        <f t="shared" si="214"/>
        <v>-11.080828752152032</v>
      </c>
      <c r="AG458" s="686">
        <f t="shared" si="215"/>
        <v>47.868245507687021</v>
      </c>
      <c r="AH458" s="687">
        <f t="shared" si="216"/>
        <v>-68.819989264881841</v>
      </c>
      <c r="AJ458" s="170">
        <f t="shared" si="217"/>
        <v>0</v>
      </c>
      <c r="AK458" s="170">
        <f t="shared" si="229"/>
        <v>0</v>
      </c>
      <c r="AM458" s="170" t="str">
        <f t="shared" si="221"/>
        <v>1.04120984292166+0.999150513609622i</v>
      </c>
      <c r="AN458" s="170" t="str">
        <f t="shared" si="222"/>
        <v>7.89520314992958i</v>
      </c>
      <c r="AO458" s="170" t="str">
        <f t="shared" si="223"/>
        <v>0.126551590204304-0.131878790595901i</v>
      </c>
      <c r="AP458" s="170" t="str">
        <f t="shared" si="224"/>
        <v>-0.00686830715361063-0.166525085601604i</v>
      </c>
      <c r="AQ458" s="170" t="str">
        <f t="shared" si="225"/>
        <v>1.00686830715361+0.166525085601604i</v>
      </c>
      <c r="AR458" s="170" t="str">
        <f t="shared" si="226"/>
        <v>0.805290168079126-0.133186250099188i</v>
      </c>
    </row>
    <row r="459" spans="7:44">
      <c r="G459" s="688">
        <v>50702.5</v>
      </c>
      <c r="H459" s="676">
        <f t="shared" si="218"/>
        <v>50.702500000000001</v>
      </c>
      <c r="I459" s="677">
        <f t="shared" si="198"/>
        <v>44.618487469732315</v>
      </c>
      <c r="J459" s="678">
        <f t="shared" si="199"/>
        <v>1.548382215656561</v>
      </c>
      <c r="K459" s="678">
        <f t="shared" si="200"/>
        <v>1.0024530223687971</v>
      </c>
      <c r="L459" s="679">
        <f t="shared" si="201"/>
        <v>6.9971685853428417E-2</v>
      </c>
      <c r="M459" s="678">
        <f t="shared" si="202"/>
        <v>1.3022145235899885</v>
      </c>
      <c r="N459" s="679">
        <f t="shared" si="203"/>
        <v>-0.69520465342767745</v>
      </c>
      <c r="O459" s="677">
        <f t="shared" si="204"/>
        <v>4530110.9420137256</v>
      </c>
      <c r="P459" s="680">
        <f t="shared" si="205"/>
        <v>1.5707961060497508</v>
      </c>
      <c r="Q459" s="689">
        <f t="shared" si="227"/>
        <v>22.672618478547804</v>
      </c>
      <c r="R459" s="690">
        <f t="shared" si="228"/>
        <v>1.5266759483183256</v>
      </c>
      <c r="S459" s="677">
        <f t="shared" si="206"/>
        <v>1.0113367969326272</v>
      </c>
      <c r="T459" s="680">
        <f t="shared" si="207"/>
        <v>0.14987141458295933</v>
      </c>
      <c r="U459" s="681">
        <f t="shared" si="219"/>
        <v>0.15044849409910341</v>
      </c>
      <c r="V459" s="682">
        <f t="shared" si="220"/>
        <v>-0.99108674518805207</v>
      </c>
      <c r="W459" s="683">
        <f t="shared" si="208"/>
        <v>-43.873117201811986</v>
      </c>
      <c r="X459" s="684">
        <f t="shared" si="209"/>
        <v>-192.43896248992826</v>
      </c>
      <c r="Y459" s="687">
        <f t="shared" si="210"/>
        <v>-12.438962489928258</v>
      </c>
      <c r="AA459" s="170">
        <f t="shared" si="211"/>
        <v>50702.5</v>
      </c>
      <c r="AB459" s="170">
        <f t="shared" si="212"/>
        <v>2570743506.25</v>
      </c>
      <c r="AD459" s="686">
        <f t="shared" si="213"/>
        <v>-1.0046092386442353</v>
      </c>
      <c r="AE459" s="687">
        <f t="shared" si="214"/>
        <v>-11.114898367421766</v>
      </c>
      <c r="AG459" s="686">
        <f t="shared" si="215"/>
        <v>47.765792737656064</v>
      </c>
      <c r="AH459" s="687">
        <f t="shared" si="216"/>
        <v>-67.753888731467597</v>
      </c>
      <c r="AJ459" s="170">
        <f t="shared" si="217"/>
        <v>0</v>
      </c>
      <c r="AK459" s="170">
        <f t="shared" si="229"/>
        <v>0</v>
      </c>
      <c r="AM459" s="170" t="str">
        <f t="shared" si="221"/>
        <v>1.08680527066728+0.99622529830575i</v>
      </c>
      <c r="AN459" s="170" t="str">
        <f t="shared" si="222"/>
        <v>7.94089629115426i</v>
      </c>
      <c r="AO459" s="170" t="str">
        <f t="shared" si="223"/>
        <v>0.125455019405743-0.136861788747691i</v>
      </c>
      <c r="AP459" s="170" t="str">
        <f t="shared" si="224"/>
        <v>-0.0144675451112132-0.166037549717625i</v>
      </c>
      <c r="AQ459" s="170" t="str">
        <f t="shared" si="225"/>
        <v>1.01446754511121+0.166037549717625i</v>
      </c>
      <c r="AR459" s="170" t="str">
        <f t="shared" si="226"/>
        <v>0.799698281972166-0.130886339234733i</v>
      </c>
    </row>
    <row r="460" spans="7:44">
      <c r="G460" s="688">
        <v>50994.25</v>
      </c>
      <c r="H460" s="676">
        <f t="shared" si="218"/>
        <v>50.994250000000001</v>
      </c>
      <c r="I460" s="677">
        <f t="shared" si="198"/>
        <v>44.875100529156946</v>
      </c>
      <c r="J460" s="678">
        <f t="shared" si="199"/>
        <v>1.5485104094371041</v>
      </c>
      <c r="K460" s="678">
        <f t="shared" si="200"/>
        <v>1.002481298688666</v>
      </c>
      <c r="L460" s="679">
        <f t="shared" si="201"/>
        <v>7.0372989509047648E-2</v>
      </c>
      <c r="M460" s="678">
        <f t="shared" si="202"/>
        <v>1.3052941253173973</v>
      </c>
      <c r="N460" s="679">
        <f t="shared" si="203"/>
        <v>-0.698028373951326</v>
      </c>
      <c r="O460" s="677">
        <f t="shared" si="204"/>
        <v>4556177.898620056</v>
      </c>
      <c r="P460" s="680">
        <f t="shared" si="205"/>
        <v>1.5707961073126855</v>
      </c>
      <c r="Q460" s="689">
        <f t="shared" si="227"/>
        <v>22.802827151404312</v>
      </c>
      <c r="R460" s="690">
        <f t="shared" si="228"/>
        <v>1.5269280466447712</v>
      </c>
      <c r="S460" s="677">
        <f t="shared" si="206"/>
        <v>1.0114668979281047</v>
      </c>
      <c r="T460" s="680">
        <f t="shared" si="207"/>
        <v>0.15072083294133973</v>
      </c>
      <c r="U460" s="681">
        <f t="shared" si="219"/>
        <v>0.15159914670953237</v>
      </c>
      <c r="V460" s="682">
        <f t="shared" si="220"/>
        <v>-1.0119573298367994</v>
      </c>
      <c r="W460" s="683">
        <f t="shared" si="208"/>
        <v>-43.837202502767283</v>
      </c>
      <c r="X460" s="684">
        <f t="shared" si="209"/>
        <v>-193.81512212239815</v>
      </c>
      <c r="Y460" s="687">
        <f t="shared" si="210"/>
        <v>-13.815122122398151</v>
      </c>
      <c r="AA460" s="170">
        <f t="shared" si="211"/>
        <v>50994.25</v>
      </c>
      <c r="AB460" s="170">
        <f t="shared" si="212"/>
        <v>2600413533.0625</v>
      </c>
      <c r="AD460" s="686">
        <f t="shared" si="213"/>
        <v>-1.005822938715442</v>
      </c>
      <c r="AE460" s="687">
        <f t="shared" si="214"/>
        <v>-11.149122356670174</v>
      </c>
      <c r="AG460" s="686">
        <f t="shared" si="215"/>
        <v>47.67056466602196</v>
      </c>
      <c r="AH460" s="687">
        <f t="shared" si="216"/>
        <v>-66.704231539268747</v>
      </c>
      <c r="AJ460" s="170">
        <f t="shared" si="217"/>
        <v>0</v>
      </c>
      <c r="AK460" s="170">
        <f t="shared" si="229"/>
        <v>0</v>
      </c>
      <c r="AM460" s="170" t="str">
        <f t="shared" si="221"/>
        <v>1.13221949241768+0.991220462775467i</v>
      </c>
      <c r="AN460" s="170" t="str">
        <f t="shared" si="222"/>
        <v>7.98658943237894i</v>
      </c>
      <c r="AO460" s="170" t="str">
        <f t="shared" si="223"/>
        <v>0.124110607057989-0.141765080326713i</v>
      </c>
      <c r="AP460" s="170" t="str">
        <f t="shared" si="224"/>
        <v>-0.0220365820696132-0.165203410462578i</v>
      </c>
      <c r="AQ460" s="170" t="str">
        <f t="shared" si="225"/>
        <v>1.02203658206961+0.165203410462578i</v>
      </c>
      <c r="AR460" s="170" t="str">
        <f t="shared" si="226"/>
        <v>0.794286257136967-0.128389532101549i</v>
      </c>
    </row>
    <row r="461" spans="7:44">
      <c r="G461" s="688">
        <v>51286</v>
      </c>
      <c r="H461" s="676">
        <f t="shared" si="218"/>
        <v>51.286000000000001</v>
      </c>
      <c r="I461" s="677">
        <f t="shared" ref="I461:I524" si="230">SQRT(1+(G461/pole1)^2)</f>
        <v>45.131714317656822</v>
      </c>
      <c r="J461" s="678">
        <f t="shared" ref="J461:J524" si="231">ATAN(G461/pole1)</f>
        <v>1.5486371454292327</v>
      </c>
      <c r="K461" s="678">
        <f t="shared" ref="K461:K524" si="232">SQRT(1+(G461/Zero1)^2)</f>
        <v>1.0025097364436362</v>
      </c>
      <c r="L461" s="679">
        <f t="shared" ref="L461:L524" si="233">ATAN(G461/Zero1)</f>
        <v>7.077427046207764E-2</v>
      </c>
      <c r="M461" s="678">
        <f t="shared" ref="M461:M524" si="234">SQRT(1+(G461/z_RHP)^2)</f>
        <v>1.3083840856317732</v>
      </c>
      <c r="N461" s="679">
        <f t="shared" ref="N461:N524" si="235">-ATAN(G461/z_RHP)</f>
        <v>-0.70083877945140804</v>
      </c>
      <c r="O461" s="677">
        <f t="shared" ref="O461:O524" si="236">SQRT(1+(G461/Pole2)^2)</f>
        <v>4582244.8552263854</v>
      </c>
      <c r="P461" s="680">
        <f t="shared" ref="P461:P524" si="237">ATAN(G461/Pole2)</f>
        <v>1.570796108561251</v>
      </c>
      <c r="Q461" s="689">
        <f t="shared" si="227"/>
        <v>22.933037257005278</v>
      </c>
      <c r="R461" s="690">
        <f t="shared" si="228"/>
        <v>1.5271772822392176</v>
      </c>
      <c r="S461" s="677">
        <f t="shared" ref="S461:S524" si="238">SQRT(1+(G461/pole4)^2)</f>
        <v>1.0115977285206077</v>
      </c>
      <c r="T461" s="680">
        <f t="shared" ref="T461:T524" si="239">ATAN(G461/pole4)</f>
        <v>0.15157003220063736</v>
      </c>
      <c r="U461" s="681">
        <f t="shared" si="219"/>
        <v>0.15264445706268531</v>
      </c>
      <c r="V461" s="682">
        <f t="shared" si="220"/>
        <v>-1.0325360347557841</v>
      </c>
      <c r="W461" s="683">
        <f t="shared" ref="W461:W524" si="240">20*LOG10(((K461*Q461*M461*U461)/(I461*O461*S461))*Adc)</f>
        <v>-43.80747918612294</v>
      </c>
      <c r="X461" s="684">
        <f t="shared" ref="X461:X524" si="241">((L461+R461+N461+V461)-(J461+P461+T461))*radconv</f>
        <v>-195.17386462737718</v>
      </c>
      <c r="Y461" s="687">
        <f t="shared" ref="Y461:Y524" si="242">IF(X461&gt;0,X461,X461+180)</f>
        <v>-15.173864627377185</v>
      </c>
      <c r="AA461" s="170">
        <f t="shared" ref="AA461:AA524" si="243">IF(W461&lt;0,G461,1000000000)</f>
        <v>51286</v>
      </c>
      <c r="AB461" s="170">
        <f t="shared" ref="AB461:AB524" si="244">G461^2</f>
        <v>2630253796</v>
      </c>
      <c r="AD461" s="686">
        <f t="shared" ref="AD461:AD524" si="245">20*LOG10((Q461/(O461*S461))*Aea)</f>
        <v>-1.0070411212890054</v>
      </c>
      <c r="AE461" s="687">
        <f t="shared" ref="AE461:AE524" si="246">(R461-(P461+T461))*radconv</f>
        <v>-11.183497814104179</v>
      </c>
      <c r="AG461" s="686">
        <f t="shared" ref="AG461:AG524" si="247">20*LOG10((K461*M461/(I461*U461))*Acs*Am)</f>
        <v>47.582134898546791</v>
      </c>
      <c r="AH461" s="687">
        <f t="shared" ref="AH461:AH524" si="248">(L461+N461-(J461+V461))*radconv</f>
        <v>-65.670452704713384</v>
      </c>
      <c r="AJ461" s="170">
        <f t="shared" ref="AJ461:AJ524" si="249">SUM((W462&lt;0)*(W461&gt;0))*G461</f>
        <v>0</v>
      </c>
      <c r="AK461" s="170">
        <f t="shared" si="229"/>
        <v>0</v>
      </c>
      <c r="AM461" s="170" t="str">
        <f t="shared" si="221"/>
        <v>1.17735770598878+0.984146454612522i</v>
      </c>
      <c r="AN461" s="170" t="str">
        <f t="shared" si="222"/>
        <v>8.03228257360362i</v>
      </c>
      <c r="AO461" s="170" t="str">
        <f t="shared" si="223"/>
        <v>0.122523883540491-0.146578222964654i</v>
      </c>
      <c r="AP461" s="170" t="str">
        <f t="shared" si="224"/>
        <v>-0.0295596176647965-0.164024409102087i</v>
      </c>
      <c r="AQ461" s="170" t="str">
        <f t="shared" si="225"/>
        <v>1.0295596176648+0.164024409102087i</v>
      </c>
      <c r="AR461" s="170" t="str">
        <f t="shared" si="226"/>
        <v>0.789056507812899-0.125708628448075i</v>
      </c>
    </row>
    <row r="462" spans="7:44">
      <c r="G462" s="688">
        <v>51584.75</v>
      </c>
      <c r="H462" s="676">
        <f t="shared" ref="H462:H525" si="250">G462/1000</f>
        <v>51.58475</v>
      </c>
      <c r="I462" s="677">
        <f t="shared" si="230"/>
        <v>45.394485820554884</v>
      </c>
      <c r="J462" s="678">
        <f t="shared" si="231"/>
        <v>1.5487654373630309</v>
      </c>
      <c r="K462" s="678">
        <f t="shared" si="232"/>
        <v>1.0025390237870011</v>
      </c>
      <c r="L462" s="679">
        <f t="shared" si="233"/>
        <v>7.1185155747972892E-2</v>
      </c>
      <c r="M462" s="678">
        <f t="shared" si="234"/>
        <v>1.3115588417055271</v>
      </c>
      <c r="N462" s="679">
        <f t="shared" si="235"/>
        <v>-0.70370286945761196</v>
      </c>
      <c r="O462" s="677">
        <f t="shared" si="236"/>
        <v>4608937.2400974771</v>
      </c>
      <c r="P462" s="680">
        <f t="shared" si="237"/>
        <v>1.5707961098251382</v>
      </c>
      <c r="Q462" s="689">
        <f t="shared" si="227"/>
        <v>23.066372971902389</v>
      </c>
      <c r="R462" s="690">
        <f t="shared" si="228"/>
        <v>1.5274295818034853</v>
      </c>
      <c r="S462" s="677">
        <f t="shared" si="238"/>
        <v>1.0117324539198187</v>
      </c>
      <c r="T462" s="680">
        <f t="shared" si="239"/>
        <v>0.15243937818296108</v>
      </c>
      <c r="U462" s="681">
        <f t="shared" ref="U462:U525" si="251">IMABS(IMPRODUCT(AO462, AR462))</f>
        <v>0.15361046819567403</v>
      </c>
      <c r="V462" s="682">
        <f t="shared" ref="V462:V525" si="252">IMARGUMENT(IMPRODUCT(AO462, AR462))</f>
        <v>-1.0533165155815667</v>
      </c>
      <c r="W462" s="683">
        <f t="shared" si="240"/>
        <v>-43.783056928226031</v>
      </c>
      <c r="X462" s="684">
        <f t="shared" si="241"/>
        <v>-196.5477615675581</v>
      </c>
      <c r="Y462" s="687">
        <f t="shared" si="242"/>
        <v>-16.547761567558098</v>
      </c>
      <c r="AA462" s="170">
        <f t="shared" si="243"/>
        <v>51584.75</v>
      </c>
      <c r="AB462" s="170">
        <f t="shared" si="244"/>
        <v>2660986432.5625</v>
      </c>
      <c r="AD462" s="686">
        <f t="shared" si="245"/>
        <v>-1.0082932105157336</v>
      </c>
      <c r="AE462" s="687">
        <f t="shared" si="246"/>
        <v>-11.21885204207825</v>
      </c>
      <c r="AG462" s="686">
        <f t="shared" si="247"/>
        <v>47.498218271277949</v>
      </c>
      <c r="AH462" s="687">
        <f t="shared" si="248"/>
        <v>-64.627727719059479</v>
      </c>
      <c r="AJ462" s="170">
        <f t="shared" si="249"/>
        <v>0</v>
      </c>
      <c r="AK462" s="170">
        <f t="shared" si="229"/>
        <v>0</v>
      </c>
      <c r="AM462" s="170" t="str">
        <f t="shared" ref="AM462:AM525" si="253">IMSUB(1,IMEXP(COMPLEX(0,-2*Pi*G462*Tsw)))</f>
        <v>1.22319448553969+0.97477393359931i</v>
      </c>
      <c r="AN462" s="170" t="str">
        <f t="shared" ref="AN462:AN525" si="254">COMPLEX(0, 2*Pi*G462*Tsw)</f>
        <v>8.07907203698279i</v>
      </c>
      <c r="AO462" s="170" t="str">
        <f t="shared" ref="AO462:AO525" si="255">IMDIV(AM462, AN462)</f>
        <v>0.120654195077997-0.151402844279688i</v>
      </c>
      <c r="AP462" s="170" t="str">
        <f t="shared" ref="AP462:AP525" si="256">IMDIV(IMEXP(COMPLEX(0,-2*Pi*G462*Tsw)),6)</f>
        <v>-0.0371990809232822-0.162462322266552i</v>
      </c>
      <c r="AQ462" s="170" t="str">
        <f t="shared" ref="AQ462:AQ525" si="257">IMSUB(1, AP462)</f>
        <v>1.03719908092328+0.162462322266552i</v>
      </c>
      <c r="AR462" s="170" t="str">
        <f t="shared" ref="AR462:AR525" si="258">IMDIV(0.833, AQ462)</f>
        <v>0.783891938979879-0.122785400753861i</v>
      </c>
    </row>
    <row r="463" spans="7:44">
      <c r="G463" s="688">
        <v>51883.5</v>
      </c>
      <c r="H463" s="676">
        <f t="shared" si="250"/>
        <v>51.883499999999998</v>
      </c>
      <c r="I463" s="677">
        <f t="shared" si="230"/>
        <v>45.6572580619926</v>
      </c>
      <c r="J463" s="678">
        <f t="shared" si="231"/>
        <v>1.5488922525760078</v>
      </c>
      <c r="K463" s="678">
        <f t="shared" si="232"/>
        <v>1.0025684803758339</v>
      </c>
      <c r="L463" s="679">
        <f t="shared" si="233"/>
        <v>7.1596016958686046E-2</v>
      </c>
      <c r="M463" s="678">
        <f t="shared" si="234"/>
        <v>1.314744304501362</v>
      </c>
      <c r="N463" s="679">
        <f t="shared" si="235"/>
        <v>-0.70655310407863714</v>
      </c>
      <c r="O463" s="677">
        <f t="shared" si="236"/>
        <v>4635629.6249685697</v>
      </c>
      <c r="P463" s="680">
        <f t="shared" si="237"/>
        <v>1.5707961110744701</v>
      </c>
      <c r="Q463" s="689">
        <f t="shared" si="227"/>
        <v>23.199710138213607</v>
      </c>
      <c r="R463" s="690">
        <f t="shared" si="228"/>
        <v>1.5276789812688842</v>
      </c>
      <c r="S463" s="677">
        <f t="shared" si="238"/>
        <v>1.0118679437444642</v>
      </c>
      <c r="T463" s="680">
        <f t="shared" si="239"/>
        <v>0.15330849200991331</v>
      </c>
      <c r="U463" s="681">
        <f t="shared" si="251"/>
        <v>0.15447556223394793</v>
      </c>
      <c r="V463" s="682">
        <f t="shared" si="252"/>
        <v>-1.0738123493951144</v>
      </c>
      <c r="W463" s="683">
        <f t="shared" si="240"/>
        <v>-43.764343278214248</v>
      </c>
      <c r="X463" s="684">
        <f t="shared" si="241"/>
        <v>-197.9046252107774</v>
      </c>
      <c r="Y463" s="687">
        <f t="shared" si="242"/>
        <v>-17.904625210777397</v>
      </c>
      <c r="AA463" s="170">
        <f t="shared" si="243"/>
        <v>51883.5</v>
      </c>
      <c r="AB463" s="170">
        <f t="shared" si="244"/>
        <v>2691897572.25</v>
      </c>
      <c r="AD463" s="686">
        <f t="shared" si="245"/>
        <v>-1.0095500668603417</v>
      </c>
      <c r="AE463" s="687">
        <f t="shared" si="246"/>
        <v>-11.254359131120912</v>
      </c>
      <c r="AG463" s="686">
        <f t="shared" si="247"/>
        <v>47.420629909660583</v>
      </c>
      <c r="AH463" s="687">
        <f t="shared" si="248"/>
        <v>-63.60043472031677</v>
      </c>
      <c r="AJ463" s="170">
        <f t="shared" si="249"/>
        <v>0</v>
      </c>
      <c r="AK463" s="170">
        <f t="shared" si="229"/>
        <v>0</v>
      </c>
      <c r="AM463" s="170" t="str">
        <f t="shared" si="253"/>
        <v>1.26854272483438+0.963267774265559i</v>
      </c>
      <c r="AN463" s="170" t="str">
        <f t="shared" si="254"/>
        <v>8.12586150036196i</v>
      </c>
      <c r="AO463" s="170" t="str">
        <f t="shared" si="255"/>
        <v>0.118543464495752-0.156111782704871i</v>
      </c>
      <c r="AP463" s="170" t="str">
        <f t="shared" si="256"/>
        <v>-0.0447571208057307-0.16054462904426i</v>
      </c>
      <c r="AQ463" s="170" t="str">
        <f t="shared" si="257"/>
        <v>1.04475712080573+0.16054462904426i</v>
      </c>
      <c r="AR463" s="170" t="str">
        <f t="shared" si="258"/>
        <v>0.778921415823688-0.119694469908568i</v>
      </c>
    </row>
    <row r="464" spans="7:44">
      <c r="G464" s="688">
        <v>52182.25</v>
      </c>
      <c r="H464" s="676">
        <f t="shared" si="250"/>
        <v>52.182250000000003</v>
      </c>
      <c r="I464" s="677">
        <f t="shared" si="230"/>
        <v>45.920031029291309</v>
      </c>
      <c r="J464" s="678">
        <f t="shared" si="231"/>
        <v>1.5490176164152285</v>
      </c>
      <c r="K464" s="678">
        <f t="shared" si="232"/>
        <v>1.0025981061952169</v>
      </c>
      <c r="L464" s="679">
        <f t="shared" si="233"/>
        <v>7.2006853957632802E-2</v>
      </c>
      <c r="M464" s="678">
        <f t="shared" si="234"/>
        <v>1.3179403963848177</v>
      </c>
      <c r="N464" s="679">
        <f t="shared" si="235"/>
        <v>-0.70938953763777035</v>
      </c>
      <c r="O464" s="677">
        <f t="shared" si="236"/>
        <v>4662322.0098396614</v>
      </c>
      <c r="P464" s="680">
        <f t="shared" si="237"/>
        <v>1.5707961123094969</v>
      </c>
      <c r="Q464" s="689">
        <f t="shared" si="227"/>
        <v>23.333048731056529</v>
      </c>
      <c r="R464" s="690">
        <f t="shared" si="228"/>
        <v>1.5279255303226675</v>
      </c>
      <c r="S464" s="677">
        <f t="shared" si="238"/>
        <v>1.0120041976875143</v>
      </c>
      <c r="T464" s="680">
        <f t="shared" si="239"/>
        <v>0.15417737246201801</v>
      </c>
      <c r="U464" s="681">
        <f t="shared" si="251"/>
        <v>0.15524428959496325</v>
      </c>
      <c r="V464" s="682">
        <f t="shared" si="252"/>
        <v>-1.094034453360025</v>
      </c>
      <c r="W464" s="683">
        <f t="shared" si="240"/>
        <v>-43.750988768648973</v>
      </c>
      <c r="X464" s="684">
        <f t="shared" si="241"/>
        <v>-199.2450827203084</v>
      </c>
      <c r="Y464" s="687">
        <f t="shared" si="242"/>
        <v>-19.245082720308403</v>
      </c>
      <c r="AA464" s="170">
        <f t="shared" si="243"/>
        <v>52182.25</v>
      </c>
      <c r="AB464" s="170">
        <f t="shared" si="244"/>
        <v>2722987215.0625</v>
      </c>
      <c r="AD464" s="686">
        <f t="shared" si="245"/>
        <v>-1.0108117225005804</v>
      </c>
      <c r="AE464" s="687">
        <f t="shared" si="246"/>
        <v>-11.290016164505765</v>
      </c>
      <c r="AG464" s="686">
        <f t="shared" si="247"/>
        <v>47.349012083841593</v>
      </c>
      <c r="AH464" s="687">
        <f t="shared" si="248"/>
        <v>-62.58795277368673</v>
      </c>
      <c r="AJ464" s="170">
        <f t="shared" si="249"/>
        <v>0</v>
      </c>
      <c r="AK464" s="170">
        <f t="shared" si="229"/>
        <v>0</v>
      </c>
      <c r="AM464" s="170" t="str">
        <f t="shared" si="253"/>
        <v>1.31330316317476+0.949653161920018i</v>
      </c>
      <c r="AN464" s="170" t="str">
        <f t="shared" si="254"/>
        <v>8.17265096374113i</v>
      </c>
      <c r="AO464" s="170" t="str">
        <f t="shared" si="255"/>
        <v>0.116198913441093-0.160694879666509i</v>
      </c>
      <c r="AP464" s="170" t="str">
        <f t="shared" si="256"/>
        <v>-0.0522171938624605-0.15827552698667i</v>
      </c>
      <c r="AQ464" s="170" t="str">
        <f t="shared" si="257"/>
        <v>1.05221719386246+0.15827552698667i</v>
      </c>
      <c r="AR464" s="170" t="str">
        <f t="shared" si="258"/>
        <v>0.774145473077714-0.116447710064445i</v>
      </c>
    </row>
    <row r="465" spans="7:44">
      <c r="G465" s="688">
        <v>52481</v>
      </c>
      <c r="H465" s="676">
        <f t="shared" si="250"/>
        <v>52.481000000000002</v>
      </c>
      <c r="I465" s="677">
        <f t="shared" si="230"/>
        <v>46.182804710060928</v>
      </c>
      <c r="J465" s="678">
        <f t="shared" si="231"/>
        <v>1.5491415536510575</v>
      </c>
      <c r="K465" s="678">
        <f t="shared" si="232"/>
        <v>1.0026279012301493</v>
      </c>
      <c r="L465" s="679">
        <f t="shared" si="233"/>
        <v>7.241766660827767E-2</v>
      </c>
      <c r="M465" s="678">
        <f t="shared" si="234"/>
        <v>1.3211470402148826</v>
      </c>
      <c r="N465" s="679">
        <f t="shared" si="235"/>
        <v>-0.71221222482178737</v>
      </c>
      <c r="O465" s="677">
        <f t="shared" si="236"/>
        <v>4689014.394710754</v>
      </c>
      <c r="P465" s="680">
        <f t="shared" si="237"/>
        <v>1.5707961135304629</v>
      </c>
      <c r="Q465" s="689">
        <f t="shared" si="227"/>
        <v>23.466388726114026</v>
      </c>
      <c r="R465" s="690">
        <f t="shared" si="228"/>
        <v>1.5281692775241682</v>
      </c>
      <c r="S465" s="677">
        <f t="shared" si="238"/>
        <v>1.0121412154403728</v>
      </c>
      <c r="T465" s="680">
        <f t="shared" si="239"/>
        <v>0.15504601832186346</v>
      </c>
      <c r="U465" s="681">
        <f t="shared" si="251"/>
        <v>0.15592101084204196</v>
      </c>
      <c r="V465" s="682">
        <f t="shared" si="252"/>
        <v>-1.1139937596211196</v>
      </c>
      <c r="W465" s="683">
        <f t="shared" si="240"/>
        <v>-43.742671889475105</v>
      </c>
      <c r="X465" s="684">
        <f t="shared" si="241"/>
        <v>-200.56976217030939</v>
      </c>
      <c r="Y465" s="687">
        <f t="shared" si="242"/>
        <v>-20.569762170309389</v>
      </c>
      <c r="AA465" s="170">
        <f t="shared" si="243"/>
        <v>52481</v>
      </c>
      <c r="AB465" s="170">
        <f t="shared" si="244"/>
        <v>2754255361</v>
      </c>
      <c r="AD465" s="686">
        <f t="shared" si="245"/>
        <v>-1.012078208528989</v>
      </c>
      <c r="AE465" s="687">
        <f t="shared" si="246"/>
        <v>-11.325820290249421</v>
      </c>
      <c r="AG465" s="686">
        <f t="shared" si="247"/>
        <v>47.283035155827982</v>
      </c>
      <c r="AH465" s="687">
        <f t="shared" si="248"/>
        <v>-61.589660073791102</v>
      </c>
      <c r="AJ465" s="170">
        <f t="shared" si="249"/>
        <v>0</v>
      </c>
      <c r="AK465" s="170">
        <f t="shared" si="229"/>
        <v>0</v>
      </c>
      <c r="AM465" s="170" t="str">
        <f t="shared" si="253"/>
        <v>1.35737782647351+0.933959896968317i</v>
      </c>
      <c r="AN465" s="170" t="str">
        <f t="shared" si="254"/>
        <v>8.2194404271203i</v>
      </c>
      <c r="AO465" s="170" t="str">
        <f t="shared" si="255"/>
        <v>0.113628160608925-0.165142364435759i</v>
      </c>
      <c r="AP465" s="170" t="str">
        <f t="shared" si="256"/>
        <v>-0.0595629710789185-0.155659982828053i</v>
      </c>
      <c r="AQ465" s="170" t="str">
        <f t="shared" si="257"/>
        <v>1.05956297107892+0.155659982828053i</v>
      </c>
      <c r="AR465" s="170" t="str">
        <f t="shared" si="258"/>
        <v>0.769564122573677-0.113056365100156i</v>
      </c>
    </row>
    <row r="466" spans="7:44">
      <c r="G466" s="688">
        <v>52786.5</v>
      </c>
      <c r="H466" s="676">
        <f t="shared" si="250"/>
        <v>52.786499999999997</v>
      </c>
      <c r="I466" s="677">
        <f t="shared" si="230"/>
        <v>46.451516261973332</v>
      </c>
      <c r="J466" s="678">
        <f t="shared" si="231"/>
        <v>1.5492668410475687</v>
      </c>
      <c r="K466" s="678">
        <f t="shared" si="232"/>
        <v>1.0026585444362823</v>
      </c>
      <c r="L466" s="679">
        <f t="shared" si="233"/>
        <v>7.2837735896473202E-2</v>
      </c>
      <c r="M466" s="678">
        <f t="shared" si="234"/>
        <v>1.3244369678114127</v>
      </c>
      <c r="N466" s="679">
        <f t="shared" si="235"/>
        <v>-0.71508452978045889</v>
      </c>
      <c r="O466" s="677">
        <f t="shared" si="236"/>
        <v>4716309.8711228659</v>
      </c>
      <c r="P466" s="680">
        <f t="shared" si="237"/>
        <v>1.5707961147647231</v>
      </c>
      <c r="Q466" s="689">
        <f t="shared" si="227"/>
        <v>23.602742849322613</v>
      </c>
      <c r="R466" s="690">
        <f t="shared" si="228"/>
        <v>1.528415683906275</v>
      </c>
      <c r="S466" s="677">
        <f t="shared" si="238"/>
        <v>1.0122821185598685</v>
      </c>
      <c r="T466" s="680">
        <f t="shared" si="239"/>
        <v>0.15593404662079327</v>
      </c>
      <c r="U466" s="681">
        <f t="shared" si="251"/>
        <v>0.15652221780604797</v>
      </c>
      <c r="V466" s="682">
        <f t="shared" si="252"/>
        <v>-1.1341436356222319</v>
      </c>
      <c r="W466" s="683">
        <f t="shared" si="240"/>
        <v>-43.739068574575917</v>
      </c>
      <c r="X466" s="684">
        <f t="shared" si="241"/>
        <v>-201.908708516346</v>
      </c>
      <c r="Y466" s="687">
        <f t="shared" si="242"/>
        <v>-21.908708516345996</v>
      </c>
      <c r="AA466" s="170">
        <f t="shared" si="243"/>
        <v>52786.5</v>
      </c>
      <c r="AB466" s="170">
        <f t="shared" si="244"/>
        <v>2786414582.25</v>
      </c>
      <c r="AD466" s="686">
        <f t="shared" si="245"/>
        <v>-1.0133783363487872</v>
      </c>
      <c r="AE466" s="687">
        <f t="shared" si="246"/>
        <v>-11.362582588886385</v>
      </c>
      <c r="AG466" s="686">
        <f t="shared" si="247"/>
        <v>47.221084548848403</v>
      </c>
      <c r="AH466" s="687">
        <f t="shared" si="248"/>
        <v>-60.582838413400928</v>
      </c>
      <c r="AJ466" s="170">
        <f t="shared" si="249"/>
        <v>0</v>
      </c>
      <c r="AK466" s="170">
        <f t="shared" si="229"/>
        <v>0</v>
      </c>
      <c r="AM466" s="170" t="str">
        <f t="shared" si="253"/>
        <v>1.40163861836651+0.915798242101742i</v>
      </c>
      <c r="AN466" s="170" t="str">
        <f t="shared" si="254"/>
        <v>8.26728705829129i</v>
      </c>
      <c r="AO466" s="170" t="str">
        <f t="shared" si="255"/>
        <v>0.110773732137834-0.16954033511644i</v>
      </c>
      <c r="AP466" s="170" t="str">
        <f t="shared" si="256"/>
        <v>-0.0669397697277515-0.15263304035029i</v>
      </c>
      <c r="AQ466" s="170" t="str">
        <f t="shared" si="257"/>
        <v>1.06693976972775+0.15263304035029i</v>
      </c>
      <c r="AR466" s="170" t="str">
        <f t="shared" si="258"/>
        <v>0.76508004124657-0.109449939087552i</v>
      </c>
    </row>
    <row r="467" spans="7:44">
      <c r="G467" s="688">
        <v>53092</v>
      </c>
      <c r="H467" s="676">
        <f t="shared" si="250"/>
        <v>53.091999999999999</v>
      </c>
      <c r="I467" s="677">
        <f t="shared" si="230"/>
        <v>46.72022853464464</v>
      </c>
      <c r="J467" s="678">
        <f t="shared" si="231"/>
        <v>1.5493906872603729</v>
      </c>
      <c r="K467" s="678">
        <f t="shared" si="232"/>
        <v>1.0026893645589119</v>
      </c>
      <c r="L467" s="679">
        <f t="shared" si="233"/>
        <v>7.3257779435060524E-2</v>
      </c>
      <c r="M467" s="678">
        <f t="shared" si="234"/>
        <v>1.3277377679905729</v>
      </c>
      <c r="N467" s="679">
        <f t="shared" si="235"/>
        <v>-0.71794257692994479</v>
      </c>
      <c r="O467" s="677">
        <f t="shared" si="236"/>
        <v>4743605.3475349778</v>
      </c>
      <c r="P467" s="680">
        <f t="shared" si="237"/>
        <v>1.5707961159847792</v>
      </c>
      <c r="Q467" s="689">
        <f t="shared" si="227"/>
        <v>23.739098389135091</v>
      </c>
      <c r="R467" s="690">
        <f t="shared" si="228"/>
        <v>1.5286592596247373</v>
      </c>
      <c r="S467" s="677">
        <f t="shared" si="238"/>
        <v>1.0124238197366651</v>
      </c>
      <c r="T467" s="680">
        <f t="shared" si="239"/>
        <v>0.15682182703867412</v>
      </c>
      <c r="U467" s="681">
        <f t="shared" si="251"/>
        <v>0.15703582689250756</v>
      </c>
      <c r="V467" s="682">
        <f t="shared" si="252"/>
        <v>-1.1540417616034515</v>
      </c>
      <c r="W467" s="683">
        <f t="shared" si="240"/>
        <v>-43.74013275353888</v>
      </c>
      <c r="X467" s="684">
        <f t="shared" si="241"/>
        <v>-203.23248061976983</v>
      </c>
      <c r="Y467" s="687">
        <f t="shared" si="242"/>
        <v>-23.232480619769831</v>
      </c>
      <c r="AA467" s="170">
        <f t="shared" si="243"/>
        <v>53092</v>
      </c>
      <c r="AB467" s="170">
        <f t="shared" si="244"/>
        <v>2818760464</v>
      </c>
      <c r="AD467" s="686">
        <f t="shared" si="245"/>
        <v>-1.0146835777406413</v>
      </c>
      <c r="AE467" s="687">
        <f t="shared" si="246"/>
        <v>-11.399492869251805</v>
      </c>
      <c r="AG467" s="686">
        <f t="shared" si="247"/>
        <v>47.16441549964258</v>
      </c>
      <c r="AH467" s="687">
        <f t="shared" si="248"/>
        <v>-59.589542955966941</v>
      </c>
      <c r="AJ467" s="170">
        <f t="shared" si="249"/>
        <v>0</v>
      </c>
      <c r="AK467" s="170">
        <f t="shared" si="229"/>
        <v>0</v>
      </c>
      <c r="AM467" s="170" t="str">
        <f t="shared" si="253"/>
        <v>1.4449801143233+0.895540450151091i</v>
      </c>
      <c r="AN467" s="170" t="str">
        <f t="shared" si="254"/>
        <v>8.31513368946229i</v>
      </c>
      <c r="AO467" s="170" t="str">
        <f t="shared" si="255"/>
        <v>0.107700066360449-0.173777135556403i</v>
      </c>
      <c r="AP467" s="170" t="str">
        <f t="shared" si="256"/>
        <v>-0.0741633523872175-0.149256741691848i</v>
      </c>
      <c r="AQ467" s="170" t="str">
        <f t="shared" si="257"/>
        <v>1.07416335238722+0.149256741691848i</v>
      </c>
      <c r="AR467" s="170" t="str">
        <f t="shared" si="258"/>
        <v>0.76079811429409-0.105714133118092i</v>
      </c>
    </row>
    <row r="468" spans="7:44">
      <c r="G468" s="688">
        <v>53397.5</v>
      </c>
      <c r="H468" s="676">
        <f t="shared" si="250"/>
        <v>53.397500000000001</v>
      </c>
      <c r="I468" s="677">
        <f t="shared" si="230"/>
        <v>46.988941515709584</v>
      </c>
      <c r="J468" s="678">
        <f t="shared" si="231"/>
        <v>1.5495131170104832</v>
      </c>
      <c r="K468" s="678">
        <f t="shared" si="232"/>
        <v>1.0027203615817244</v>
      </c>
      <c r="L468" s="679">
        <f t="shared" si="233"/>
        <v>7.3677797078198798E-2</v>
      </c>
      <c r="M468" s="678">
        <f t="shared" si="234"/>
        <v>1.3310493598653064</v>
      </c>
      <c r="N468" s="679">
        <f t="shared" si="235"/>
        <v>-0.72078642582359931</v>
      </c>
      <c r="O468" s="677">
        <f t="shared" si="236"/>
        <v>4770900.8239470897</v>
      </c>
      <c r="P468" s="680">
        <f t="shared" si="237"/>
        <v>1.5707961171908749</v>
      </c>
      <c r="Q468" s="689">
        <f t="shared" si="227"/>
        <v>23.875455321280278</v>
      </c>
      <c r="R468" s="690">
        <f t="shared" si="228"/>
        <v>1.5289000531496586</v>
      </c>
      <c r="S468" s="677">
        <f t="shared" si="238"/>
        <v>1.0125663186357161</v>
      </c>
      <c r="T468" s="680">
        <f t="shared" si="239"/>
        <v>0.15770935828045288</v>
      </c>
      <c r="U468" s="681">
        <f t="shared" si="251"/>
        <v>0.1574658849786795</v>
      </c>
      <c r="V468" s="682">
        <f t="shared" si="252"/>
        <v>-1.1736997156428159</v>
      </c>
      <c r="W468" s="683">
        <f t="shared" si="240"/>
        <v>-43.745597012225545</v>
      </c>
      <c r="X468" s="684">
        <f t="shared" si="241"/>
        <v>-204.54174384119034</v>
      </c>
      <c r="Y468" s="687">
        <f t="shared" si="242"/>
        <v>-24.541743841190339</v>
      </c>
      <c r="AA468" s="170">
        <f t="shared" si="243"/>
        <v>53397.5</v>
      </c>
      <c r="AB468" s="170">
        <f t="shared" si="244"/>
        <v>2851293006.25</v>
      </c>
      <c r="AD468" s="686">
        <f t="shared" si="245"/>
        <v>-1.0159939626608063</v>
      </c>
      <c r="AE468" s="687">
        <f t="shared" si="246"/>
        <v>-11.436548280026201</v>
      </c>
      <c r="AG468" s="686">
        <f t="shared" si="247"/>
        <v>47.112752321326113</v>
      </c>
      <c r="AH468" s="687">
        <f t="shared" si="248"/>
        <v>-58.609115163403573</v>
      </c>
      <c r="AJ468" s="170">
        <f t="shared" si="249"/>
        <v>0</v>
      </c>
      <c r="AK468" s="170">
        <f t="shared" si="229"/>
        <v>0</v>
      </c>
      <c r="AM468" s="170" t="str">
        <f t="shared" si="253"/>
        <v>1.48730311157981+0.873232888435056i</v>
      </c>
      <c r="AN468" s="170" t="str">
        <f t="shared" si="254"/>
        <v>8.36298032063329i</v>
      </c>
      <c r="AO468" s="170" t="str">
        <f t="shared" si="255"/>
        <v>0.104416470559018-0.177843669906805i</v>
      </c>
      <c r="AP468" s="170" t="str">
        <f t="shared" si="256"/>
        <v>-0.0812171852633023-0.145538814739176i</v>
      </c>
      <c r="AQ468" s="170" t="str">
        <f t="shared" si="257"/>
        <v>1.0812171852633+0.145538814739176i</v>
      </c>
      <c r="AR468" s="170" t="str">
        <f t="shared" si="258"/>
        <v>0.756717125268328-0.101859011311931i</v>
      </c>
    </row>
    <row r="469" spans="7:44">
      <c r="G469" s="688">
        <v>53703</v>
      </c>
      <c r="H469" s="676">
        <f t="shared" si="250"/>
        <v>53.703000000000003</v>
      </c>
      <c r="I469" s="677">
        <f t="shared" si="230"/>
        <v>47.257655193084126</v>
      </c>
      <c r="J469" s="678">
        <f t="shared" si="231"/>
        <v>1.5496341544568166</v>
      </c>
      <c r="K469" s="678">
        <f t="shared" si="232"/>
        <v>1.0027515354883152</v>
      </c>
      <c r="L469" s="679">
        <f t="shared" si="233"/>
        <v>7.4097788680101681E-2</v>
      </c>
      <c r="M469" s="678">
        <f t="shared" si="234"/>
        <v>1.3343716630883802</v>
      </c>
      <c r="N469" s="679">
        <f t="shared" si="235"/>
        <v>-0.72361613634318867</v>
      </c>
      <c r="O469" s="677">
        <f t="shared" si="236"/>
        <v>4798196.3003592025</v>
      </c>
      <c r="P469" s="680">
        <f t="shared" si="237"/>
        <v>1.5707961183832482</v>
      </c>
      <c r="Q469" s="689">
        <f t="shared" si="227"/>
        <v>24.011813622038083</v>
      </c>
      <c r="R469" s="690">
        <f t="shared" si="228"/>
        <v>1.5291381118514418</v>
      </c>
      <c r="S469" s="677">
        <f t="shared" si="238"/>
        <v>1.0127096149202779</v>
      </c>
      <c r="T469" s="680">
        <f t="shared" si="239"/>
        <v>0.15859663905337362</v>
      </c>
      <c r="U469" s="681">
        <f t="shared" si="251"/>
        <v>0.15781623545650544</v>
      </c>
      <c r="V469" s="682">
        <f t="shared" si="252"/>
        <v>-1.1931289976472632</v>
      </c>
      <c r="W469" s="683">
        <f t="shared" si="240"/>
        <v>-43.755215658316843</v>
      </c>
      <c r="X469" s="684">
        <f t="shared" si="241"/>
        <v>-205.83715911208998</v>
      </c>
      <c r="Y469" s="687">
        <f t="shared" si="242"/>
        <v>-25.837159112089978</v>
      </c>
      <c r="AA469" s="170">
        <f t="shared" si="243"/>
        <v>53703</v>
      </c>
      <c r="AB469" s="170">
        <f t="shared" si="244"/>
        <v>2884012209</v>
      </c>
      <c r="AD469" s="686">
        <f t="shared" si="245"/>
        <v>-1.0173095200284306</v>
      </c>
      <c r="AE469" s="687">
        <f t="shared" si="246"/>
        <v>-11.473746033029578</v>
      </c>
      <c r="AG469" s="686">
        <f t="shared" si="247"/>
        <v>47.065841184249919</v>
      </c>
      <c r="AH469" s="687">
        <f t="shared" si="248"/>
        <v>-57.640900963107121</v>
      </c>
      <c r="AJ469" s="170">
        <f t="shared" si="249"/>
        <v>0</v>
      </c>
      <c r="AK469" s="170">
        <f t="shared" si="229"/>
        <v>0</v>
      </c>
      <c r="AM469" s="170" t="str">
        <f t="shared" si="253"/>
        <v>1.52851073857636+0.848926615915342i</v>
      </c>
      <c r="AN469" s="170" t="str">
        <f t="shared" si="254"/>
        <v>8.41082695180429i</v>
      </c>
      <c r="AO469" s="170" t="str">
        <f t="shared" si="255"/>
        <v>0.10093259804058-0.181731326459934i</v>
      </c>
      <c r="AP469" s="170" t="str">
        <f t="shared" si="256"/>
        <v>-0.0880851230960595-0.141487769319224i</v>
      </c>
      <c r="AQ469" s="170" t="str">
        <f t="shared" si="257"/>
        <v>1.08808512309606+0.141487769319224i</v>
      </c>
      <c r="AR469" s="170" t="str">
        <f t="shared" si="258"/>
        <v>0.752835578856916-0.0978940199214617i</v>
      </c>
    </row>
    <row r="470" spans="7:44">
      <c r="G470" s="688">
        <v>54015.75</v>
      </c>
      <c r="H470" s="676">
        <f t="shared" si="250"/>
        <v>54.015749999999997</v>
      </c>
      <c r="I470" s="677">
        <f t="shared" si="230"/>
        <v>47.532746581585023</v>
      </c>
      <c r="J470" s="678">
        <f t="shared" si="231"/>
        <v>1.5497566467057831</v>
      </c>
      <c r="K470" s="678">
        <f t="shared" si="232"/>
        <v>1.0027836324141626</v>
      </c>
      <c r="L470" s="679">
        <f t="shared" si="233"/>
        <v>7.4527720221757882E-2</v>
      </c>
      <c r="M470" s="678">
        <f t="shared" si="234"/>
        <v>1.3377838221801623</v>
      </c>
      <c r="N470" s="679">
        <f t="shared" si="235"/>
        <v>-0.72649841758961298</v>
      </c>
      <c r="O470" s="677">
        <f t="shared" si="236"/>
        <v>4826139.5417598188</v>
      </c>
      <c r="P470" s="680">
        <f t="shared" si="237"/>
        <v>1.5707961195899471</v>
      </c>
      <c r="Q470" s="689">
        <f t="shared" si="227"/>
        <v>24.151409315263923</v>
      </c>
      <c r="R470" s="690">
        <f t="shared" si="228"/>
        <v>1.5293790354542571</v>
      </c>
      <c r="S470" s="677">
        <f t="shared" si="238"/>
        <v>1.0128571374946862</v>
      </c>
      <c r="T470" s="680">
        <f t="shared" si="239"/>
        <v>0.15950471560491539</v>
      </c>
      <c r="U470" s="681">
        <f t="shared" si="251"/>
        <v>0.15809613579647214</v>
      </c>
      <c r="V470" s="682">
        <f t="shared" si="252"/>
        <v>-1.2127944003407727</v>
      </c>
      <c r="W470" s="683">
        <f t="shared" si="240"/>
        <v>-43.76913052356273</v>
      </c>
      <c r="X470" s="684">
        <f t="shared" si="241"/>
        <v>-207.14965638460569</v>
      </c>
      <c r="Y470" s="687">
        <f t="shared" si="242"/>
        <v>-27.149656384605692</v>
      </c>
      <c r="AA470" s="170">
        <f t="shared" si="243"/>
        <v>54015.75</v>
      </c>
      <c r="AB470" s="170">
        <f t="shared" si="244"/>
        <v>2917701248.0625</v>
      </c>
      <c r="AD470" s="686">
        <f t="shared" si="245"/>
        <v>-1.0186616848310546</v>
      </c>
      <c r="AE470" s="687">
        <f t="shared" si="246"/>
        <v>-11.511971150463753</v>
      </c>
      <c r="AG470" s="686">
        <f t="shared" si="247"/>
        <v>47.022495465222974</v>
      </c>
      <c r="AH470" s="687">
        <f t="shared" si="248"/>
        <v>-56.661683962087118</v>
      </c>
      <c r="AJ470" s="170">
        <f t="shared" si="249"/>
        <v>0</v>
      </c>
      <c r="AK470" s="170">
        <f t="shared" si="229"/>
        <v>0</v>
      </c>
      <c r="AM470" s="170" t="str">
        <f t="shared" si="253"/>
        <v>1.56944244070878+0.822031207874512i</v>
      </c>
      <c r="AN470" s="170" t="str">
        <f t="shared" si="254"/>
        <v>8.45980905949245i</v>
      </c>
      <c r="AO470" s="170" t="str">
        <f t="shared" si="255"/>
        <v>0.0971690025263797-0.185517477956286i</v>
      </c>
      <c r="AP470" s="170" t="str">
        <f t="shared" si="256"/>
        <v>-0.094907073451463-0.137005201312419i</v>
      </c>
      <c r="AQ470" s="170" t="str">
        <f t="shared" si="257"/>
        <v>1.09490707345146+0.137005201312419i</v>
      </c>
      <c r="AR470" s="170" t="str">
        <f t="shared" si="258"/>
        <v>0.749066722353834-0.0937303626772766i</v>
      </c>
    </row>
    <row r="471" spans="7:44">
      <c r="G471" s="688">
        <v>54328.5</v>
      </c>
      <c r="H471" s="676">
        <f t="shared" si="250"/>
        <v>54.328499999999998</v>
      </c>
      <c r="I471" s="677">
        <f t="shared" si="230"/>
        <v>47.807838675076297</v>
      </c>
      <c r="J471" s="678">
        <f t="shared" si="231"/>
        <v>1.549877729286079</v>
      </c>
      <c r="K471" s="678">
        <f t="shared" si="232"/>
        <v>1.0028159146837849</v>
      </c>
      <c r="L471" s="679">
        <f t="shared" si="233"/>
        <v>7.4957624162487468E-2</v>
      </c>
      <c r="M471" s="678">
        <f t="shared" si="234"/>
        <v>1.3412070383691626</v>
      </c>
      <c r="N471" s="679">
        <f t="shared" si="235"/>
        <v>-0.72936600943495222</v>
      </c>
      <c r="O471" s="677">
        <f t="shared" si="236"/>
        <v>4854082.783160435</v>
      </c>
      <c r="P471" s="680">
        <f t="shared" si="237"/>
        <v>1.570796120782753</v>
      </c>
      <c r="Q471" s="689">
        <f t="shared" ref="Q471:Q534" si="259">SQRT(1+(G471/Zero2)^2)</f>
        <v>24.291006394226216</v>
      </c>
      <c r="R471" s="690">
        <f t="shared" ref="R471:R534" si="260">ATAN(G471/Zero2)</f>
        <v>1.5296171899610236</v>
      </c>
      <c r="S471" s="677">
        <f t="shared" si="238"/>
        <v>1.0130054950304912</v>
      </c>
      <c r="T471" s="680">
        <f t="shared" si="239"/>
        <v>0.16041252692407168</v>
      </c>
      <c r="U471" s="681">
        <f t="shared" si="251"/>
        <v>0.15830001515708836</v>
      </c>
      <c r="V471" s="682">
        <f t="shared" si="252"/>
        <v>-1.2322442298317071</v>
      </c>
      <c r="W471" s="683">
        <f t="shared" si="240"/>
        <v>-43.786940847783001</v>
      </c>
      <c r="X471" s="684">
        <f t="shared" si="241"/>
        <v>-208.44902485511267</v>
      </c>
      <c r="Y471" s="687">
        <f t="shared" si="242"/>
        <v>-28.449024855112668</v>
      </c>
      <c r="AA471" s="170">
        <f t="shared" si="243"/>
        <v>54328.5</v>
      </c>
      <c r="AB471" s="170">
        <f t="shared" si="244"/>
        <v>2951585912.25</v>
      </c>
      <c r="AD471" s="686">
        <f t="shared" si="245"/>
        <v>-1.0200193286464225</v>
      </c>
      <c r="AE471" s="687">
        <f t="shared" si="246"/>
        <v>-11.550339727922459</v>
      </c>
      <c r="AG471" s="686">
        <f t="shared" si="247"/>
        <v>46.983654726486037</v>
      </c>
      <c r="AH471" s="687">
        <f t="shared" si="248"/>
        <v>-55.693897568429364</v>
      </c>
      <c r="AJ471" s="170">
        <f t="shared" si="249"/>
        <v>0</v>
      </c>
      <c r="AK471" s="170">
        <f t="shared" ref="AK471:AK534" si="261">IF(AJ471&gt;0,Y471,0)</f>
        <v>0</v>
      </c>
      <c r="AM471" s="170" t="str">
        <f t="shared" si="253"/>
        <v>1.60900818298465+0.793163938324061i</v>
      </c>
      <c r="AN471" s="170" t="str">
        <f t="shared" si="254"/>
        <v>8.5087911671806i</v>
      </c>
      <c r="AO471" s="170" t="str">
        <f t="shared" si="255"/>
        <v>0.093216994369704-0.189099503251506i</v>
      </c>
      <c r="AP471" s="170" t="str">
        <f t="shared" si="256"/>
        <v>-0.101501363830775-0.132193989720677i</v>
      </c>
      <c r="AQ471" s="170" t="str">
        <f t="shared" si="257"/>
        <v>1.10150136383077+0.132193989720677i</v>
      </c>
      <c r="AR471" s="170" t="str">
        <f t="shared" si="258"/>
        <v>0.745503062500587-0.089469725065249i</v>
      </c>
    </row>
    <row r="472" spans="7:44">
      <c r="G472" s="688">
        <v>54641.25</v>
      </c>
      <c r="H472" s="676">
        <f t="shared" si="250"/>
        <v>54.641249999999999</v>
      </c>
      <c r="I472" s="677">
        <f t="shared" si="230"/>
        <v>48.082931461457775</v>
      </c>
      <c r="J472" s="678">
        <f t="shared" si="231"/>
        <v>1.5499974263891756</v>
      </c>
      <c r="K472" s="678">
        <f t="shared" si="232"/>
        <v>1.0028483822792833</v>
      </c>
      <c r="L472" s="679">
        <f t="shared" si="233"/>
        <v>7.5387500346056194E-2</v>
      </c>
      <c r="M472" s="678">
        <f t="shared" si="234"/>
        <v>1.3446412272072046</v>
      </c>
      <c r="N472" s="679">
        <f t="shared" si="235"/>
        <v>-0.73221897708773609</v>
      </c>
      <c r="O472" s="677">
        <f t="shared" si="236"/>
        <v>4882026.0245610503</v>
      </c>
      <c r="P472" s="680">
        <f t="shared" si="237"/>
        <v>1.5707961219619042</v>
      </c>
      <c r="Q472" s="689">
        <f t="shared" si="259"/>
        <v>24.43060483517057</v>
      </c>
      <c r="R472" s="690">
        <f t="shared" si="260"/>
        <v>1.529852622813004</v>
      </c>
      <c r="S472" s="677">
        <f t="shared" si="238"/>
        <v>1.0131546871608996</v>
      </c>
      <c r="T472" s="680">
        <f t="shared" si="239"/>
        <v>0.16132007163139406</v>
      </c>
      <c r="U472" s="681">
        <f t="shared" si="251"/>
        <v>0.15843136121195445</v>
      </c>
      <c r="V472" s="682">
        <f t="shared" si="252"/>
        <v>-1.251490489171823</v>
      </c>
      <c r="W472" s="683">
        <f t="shared" si="240"/>
        <v>-43.80844340451371</v>
      </c>
      <c r="X472" s="684">
        <f t="shared" si="241"/>
        <v>-209.73595458180586</v>
      </c>
      <c r="Y472" s="687">
        <f t="shared" si="242"/>
        <v>-29.735954581805856</v>
      </c>
      <c r="AA472" s="170">
        <f t="shared" si="243"/>
        <v>54641.25</v>
      </c>
      <c r="AB472" s="170">
        <f t="shared" si="244"/>
        <v>2985666201.5625</v>
      </c>
      <c r="AD472" s="686">
        <f t="shared" si="245"/>
        <v>-1.0213824793430883</v>
      </c>
      <c r="AE472" s="687">
        <f t="shared" si="246"/>
        <v>-11.588848968198647</v>
      </c>
      <c r="AG472" s="686">
        <f t="shared" si="247"/>
        <v>46.949107434306477</v>
      </c>
      <c r="AH472" s="687">
        <f t="shared" si="248"/>
        <v>-54.736859189120466</v>
      </c>
      <c r="AJ472" s="170">
        <f t="shared" si="249"/>
        <v>0</v>
      </c>
      <c r="AK472" s="170">
        <f t="shared" si="261"/>
        <v>0</v>
      </c>
      <c r="AM472" s="170" t="str">
        <f t="shared" si="253"/>
        <v>1.64711305639864+0.762394053123715i</v>
      </c>
      <c r="AN472" s="170" t="str">
        <f t="shared" si="254"/>
        <v>8.55777327486875i</v>
      </c>
      <c r="AO472" s="170" t="str">
        <f t="shared" si="255"/>
        <v>0.0890879003960768-0.19246981703005i</v>
      </c>
      <c r="AP472" s="170" t="str">
        <f t="shared" si="256"/>
        <v>-0.10785217606644-0.127065675520619i</v>
      </c>
      <c r="AQ472" s="170" t="str">
        <f t="shared" si="257"/>
        <v>1.10785217606644+0.127065675520619i</v>
      </c>
      <c r="AR472" s="170" t="str">
        <f t="shared" si="258"/>
        <v>0.742142440542872-0.0851204091821412i</v>
      </c>
    </row>
    <row r="473" spans="7:44">
      <c r="G473" s="688">
        <v>54954</v>
      </c>
      <c r="H473" s="676">
        <f t="shared" si="250"/>
        <v>54.954000000000001</v>
      </c>
      <c r="I473" s="677">
        <f t="shared" si="230"/>
        <v>48.358024928904584</v>
      </c>
      <c r="J473" s="678">
        <f t="shared" si="231"/>
        <v>1.5501157616562347</v>
      </c>
      <c r="K473" s="678">
        <f t="shared" si="232"/>
        <v>1.0028810351826583</v>
      </c>
      <c r="L473" s="679">
        <f t="shared" si="233"/>
        <v>7.5817348616290942E-2</v>
      </c>
      <c r="M473" s="678">
        <f t="shared" si="234"/>
        <v>1.3480863048373108</v>
      </c>
      <c r="N473" s="679">
        <f t="shared" si="235"/>
        <v>-0.73505738604536786</v>
      </c>
      <c r="O473" s="677">
        <f t="shared" si="236"/>
        <v>4909969.2659616666</v>
      </c>
      <c r="P473" s="680">
        <f t="shared" si="237"/>
        <v>1.5707961231276339</v>
      </c>
      <c r="Q473" s="689">
        <f t="shared" si="259"/>
        <v>24.570204614882208</v>
      </c>
      <c r="R473" s="690">
        <f t="shared" si="260"/>
        <v>1.5300853803745023</v>
      </c>
      <c r="S473" s="677">
        <f t="shared" si="238"/>
        <v>1.0133047135172712</v>
      </c>
      <c r="T473" s="680">
        <f t="shared" si="239"/>
        <v>0.16222734835000097</v>
      </c>
      <c r="U473" s="681">
        <f t="shared" si="251"/>
        <v>0.15849345821489241</v>
      </c>
      <c r="V473" s="682">
        <f t="shared" si="252"/>
        <v>-1.2705450516856618</v>
      </c>
      <c r="W473" s="683">
        <f t="shared" si="240"/>
        <v>-43.833452391148185</v>
      </c>
      <c r="X473" s="684">
        <f t="shared" si="241"/>
        <v>-211.01112823692753</v>
      </c>
      <c r="Y473" s="687">
        <f t="shared" si="242"/>
        <v>-31.011128236927533</v>
      </c>
      <c r="AA473" s="170">
        <f t="shared" si="243"/>
        <v>54954</v>
      </c>
      <c r="AB473" s="170">
        <f t="shared" si="244"/>
        <v>3019942116</v>
      </c>
      <c r="AD473" s="686">
        <f t="shared" si="245"/>
        <v>-1.0227511637936844</v>
      </c>
      <c r="AE473" s="687">
        <f t="shared" si="246"/>
        <v>-11.627496135937253</v>
      </c>
      <c r="AG473" s="686">
        <f t="shared" si="247"/>
        <v>46.918659615787945</v>
      </c>
      <c r="AH473" s="687">
        <f t="shared" si="248"/>
        <v>-53.789893648986265</v>
      </c>
      <c r="AJ473" s="170">
        <f t="shared" si="249"/>
        <v>0</v>
      </c>
      <c r="AK473" s="170">
        <f t="shared" si="261"/>
        <v>0</v>
      </c>
      <c r="AM473" s="170" t="str">
        <f t="shared" si="253"/>
        <v>1.68366565622975+0.729795362065243i</v>
      </c>
      <c r="AN473" s="170" t="str">
        <f t="shared" si="254"/>
        <v>8.6067553825569i</v>
      </c>
      <c r="AO473" s="170" t="str">
        <f t="shared" si="255"/>
        <v>0.0847933198548086-0.195621413807344i</v>
      </c>
      <c r="AP473" s="170" t="str">
        <f t="shared" si="256"/>
        <v>-0.113944276038292-0.121632560344207i</v>
      </c>
      <c r="AQ473" s="170" t="str">
        <f t="shared" si="257"/>
        <v>1.11394427603829+0.121632560344207i</v>
      </c>
      <c r="AR473" s="170" t="str">
        <f t="shared" si="258"/>
        <v>0.738982610171225-0.0806901645427383i</v>
      </c>
    </row>
    <row r="474" spans="7:44">
      <c r="G474" s="688">
        <v>55274</v>
      </c>
      <c r="H474" s="676">
        <f t="shared" si="250"/>
        <v>55.274000000000001</v>
      </c>
      <c r="I474" s="677">
        <f t="shared" si="230"/>
        <v>48.639496156019995</v>
      </c>
      <c r="J474" s="678">
        <f t="shared" si="231"/>
        <v>1.5502354546487049</v>
      </c>
      <c r="K474" s="678">
        <f t="shared" si="232"/>
        <v>1.0029146368101849</v>
      </c>
      <c r="L474" s="679">
        <f t="shared" si="233"/>
        <v>7.6257132340516995E-2</v>
      </c>
      <c r="M474" s="678">
        <f t="shared" si="234"/>
        <v>1.3516224278771096</v>
      </c>
      <c r="N474" s="679">
        <f t="shared" si="235"/>
        <v>-0.73794659320871481</v>
      </c>
      <c r="O474" s="677">
        <f t="shared" si="236"/>
        <v>4938560.2723507863</v>
      </c>
      <c r="P474" s="680">
        <f t="shared" si="237"/>
        <v>1.570796124306733</v>
      </c>
      <c r="Q474" s="689">
        <f t="shared" si="259"/>
        <v>24.71304188259737</v>
      </c>
      <c r="R474" s="690">
        <f t="shared" si="260"/>
        <v>1.5303208118218579</v>
      </c>
      <c r="S474" s="677">
        <f t="shared" si="238"/>
        <v>1.0134590807743769</v>
      </c>
      <c r="T474" s="680">
        <f t="shared" si="239"/>
        <v>0.1631553782501739</v>
      </c>
      <c r="U474" s="681">
        <f t="shared" si="251"/>
        <v>0.15848853782950978</v>
      </c>
      <c r="V474" s="682">
        <f t="shared" si="252"/>
        <v>-1.2898551567554366</v>
      </c>
      <c r="W474" s="683">
        <f t="shared" si="240"/>
        <v>-43.862493595583246</v>
      </c>
      <c r="X474" s="684">
        <f t="shared" si="241"/>
        <v>-212.30439832526659</v>
      </c>
      <c r="Y474" s="687">
        <f t="shared" si="242"/>
        <v>-32.30439832526659</v>
      </c>
      <c r="AA474" s="170">
        <f t="shared" si="243"/>
        <v>55274</v>
      </c>
      <c r="AB474" s="170">
        <f t="shared" si="244"/>
        <v>3055215076</v>
      </c>
      <c r="AD474" s="686">
        <f t="shared" si="245"/>
        <v>-1.0241573310214456</v>
      </c>
      <c r="AE474" s="687">
        <f t="shared" si="246"/>
        <v>-11.667179171783726</v>
      </c>
      <c r="AG474" s="686">
        <f t="shared" si="247"/>
        <v>46.891563889014009</v>
      </c>
      <c r="AH474" s="687">
        <f t="shared" si="248"/>
        <v>-52.83070565404585</v>
      </c>
      <c r="AJ474" s="170">
        <f t="shared" si="249"/>
        <v>0</v>
      </c>
      <c r="AK474" s="170">
        <f t="shared" si="261"/>
        <v>0</v>
      </c>
      <c r="AM474" s="170" t="str">
        <f t="shared" si="253"/>
        <v>1.71936750056847+0.694629684886756i</v>
      </c>
      <c r="AN474" s="170" t="str">
        <f t="shared" si="254"/>
        <v>8.6568729667622i</v>
      </c>
      <c r="AO474" s="170" t="str">
        <f t="shared" si="255"/>
        <v>0.0802402539062044-0.198612998847266i</v>
      </c>
      <c r="AP474" s="170" t="str">
        <f t="shared" si="256"/>
        <v>-0.119894583428078-0.115771614147793i</v>
      </c>
      <c r="AQ474" s="170" t="str">
        <f t="shared" si="257"/>
        <v>1.11989458342808+0.115771614147793i</v>
      </c>
      <c r="AR474" s="170" t="str">
        <f t="shared" si="258"/>
        <v>0.735954966279904-0.0760809951642924i</v>
      </c>
    </row>
    <row r="475" spans="7:44">
      <c r="G475" s="688">
        <v>55594</v>
      </c>
      <c r="H475" s="676">
        <f t="shared" si="250"/>
        <v>55.594000000000001</v>
      </c>
      <c r="I475" s="677">
        <f t="shared" si="230"/>
        <v>48.920968071946341</v>
      </c>
      <c r="J475" s="678">
        <f t="shared" si="231"/>
        <v>1.5503537703105059</v>
      </c>
      <c r="K475" s="678">
        <f t="shared" si="232"/>
        <v>1.0029484323981357</v>
      </c>
      <c r="L475" s="679">
        <f t="shared" si="233"/>
        <v>7.6696886511677942E-2</v>
      </c>
      <c r="M475" s="678">
        <f t="shared" si="234"/>
        <v>1.3551697746735565</v>
      </c>
      <c r="N475" s="679">
        <f t="shared" si="235"/>
        <v>-0.74082069845001852</v>
      </c>
      <c r="O475" s="677">
        <f t="shared" si="236"/>
        <v>4967151.278739905</v>
      </c>
      <c r="P475" s="680">
        <f t="shared" si="237"/>
        <v>1.5707961254722584</v>
      </c>
      <c r="Q475" s="689">
        <f t="shared" si="259"/>
        <v>24.855880504362784</v>
      </c>
      <c r="R475" s="690">
        <f t="shared" si="260"/>
        <v>1.5305535373868231</v>
      </c>
      <c r="S475" s="677">
        <f t="shared" si="238"/>
        <v>1.0136143205961781</v>
      </c>
      <c r="T475" s="680">
        <f t="shared" si="239"/>
        <v>0.1640831246848283</v>
      </c>
      <c r="U475" s="681">
        <f t="shared" si="251"/>
        <v>0.15841745156317805</v>
      </c>
      <c r="V475" s="682">
        <f t="shared" si="252"/>
        <v>-1.3089892926740705</v>
      </c>
      <c r="W475" s="683">
        <f t="shared" si="240"/>
        <v>-43.894862801837988</v>
      </c>
      <c r="X475" s="684">
        <f t="shared" si="241"/>
        <v>-213.58678241902956</v>
      </c>
      <c r="Y475" s="687">
        <f t="shared" si="242"/>
        <v>-33.586782419029561</v>
      </c>
      <c r="AA475" s="170">
        <f t="shared" si="243"/>
        <v>55594</v>
      </c>
      <c r="AB475" s="170">
        <f t="shared" si="244"/>
        <v>3090692836</v>
      </c>
      <c r="AD475" s="686">
        <f t="shared" si="245"/>
        <v>-1.0255693454027939</v>
      </c>
      <c r="AE475" s="687">
        <f t="shared" si="246"/>
        <v>-11.707001001115609</v>
      </c>
      <c r="AG475" s="686">
        <f t="shared" si="247"/>
        <v>46.86840014371672</v>
      </c>
      <c r="AH475" s="687">
        <f t="shared" si="248"/>
        <v>-51.880657450436694</v>
      </c>
      <c r="AJ475" s="170">
        <f t="shared" si="249"/>
        <v>0</v>
      </c>
      <c r="AK475" s="170">
        <f t="shared" si="261"/>
        <v>0</v>
      </c>
      <c r="AM475" s="170" t="str">
        <f t="shared" si="253"/>
        <v>1.75326283575996+0.657719621315088i</v>
      </c>
      <c r="AN475" s="170" t="str">
        <f t="shared" si="254"/>
        <v>8.70699055096751i</v>
      </c>
      <c r="AO475" s="170" t="str">
        <f t="shared" si="255"/>
        <v>0.0755392598010805-0.201362666640903i</v>
      </c>
      <c r="AP475" s="170" t="str">
        <f t="shared" si="256"/>
        <v>-0.125543805959994-0.109619936885848i</v>
      </c>
      <c r="AQ475" s="170" t="str">
        <f t="shared" si="257"/>
        <v>1.12554380595999+0.109619936885848i</v>
      </c>
      <c r="AR475" s="170" t="str">
        <f t="shared" si="258"/>
        <v>0.733132664248781-0.0714018912088098i</v>
      </c>
    </row>
    <row r="476" spans="7:44">
      <c r="G476" s="688">
        <v>55914</v>
      </c>
      <c r="H476" s="676">
        <f t="shared" si="250"/>
        <v>55.914000000000001</v>
      </c>
      <c r="I476" s="677">
        <f t="shared" si="230"/>
        <v>49.202440664862202</v>
      </c>
      <c r="J476" s="678">
        <f t="shared" si="231"/>
        <v>1.550470732276199</v>
      </c>
      <c r="K476" s="678">
        <f t="shared" si="232"/>
        <v>1.0029824219269039</v>
      </c>
      <c r="L476" s="679">
        <f t="shared" si="233"/>
        <v>7.7136610962687174E-2</v>
      </c>
      <c r="M476" s="678">
        <f t="shared" si="234"/>
        <v>1.358728257318222</v>
      </c>
      <c r="N476" s="679">
        <f t="shared" si="235"/>
        <v>-0.74367977275535346</v>
      </c>
      <c r="O476" s="677">
        <f t="shared" si="236"/>
        <v>4995742.2851290246</v>
      </c>
      <c r="P476" s="680">
        <f t="shared" si="237"/>
        <v>1.5707961266244428</v>
      </c>
      <c r="Q476" s="689">
        <f t="shared" si="259"/>
        <v>24.99872045696798</v>
      </c>
      <c r="R476" s="690">
        <f t="shared" si="260"/>
        <v>1.5307836034273172</v>
      </c>
      <c r="S476" s="677">
        <f t="shared" si="238"/>
        <v>1.0137704325818242</v>
      </c>
      <c r="T476" s="680">
        <f t="shared" si="239"/>
        <v>0.16501058618750716</v>
      </c>
      <c r="U476" s="681">
        <f t="shared" si="251"/>
        <v>0.15828309740352081</v>
      </c>
      <c r="V476" s="682">
        <f t="shared" si="252"/>
        <v>-1.3279597402021348</v>
      </c>
      <c r="W476" s="683">
        <f t="shared" si="240"/>
        <v>-43.93041003968456</v>
      </c>
      <c r="X476" s="684">
        <f t="shared" si="241"/>
        <v>-214.85898684478198</v>
      </c>
      <c r="Y476" s="687">
        <f t="shared" si="242"/>
        <v>-34.858986844781981</v>
      </c>
      <c r="AA476" s="170">
        <f t="shared" si="243"/>
        <v>55914</v>
      </c>
      <c r="AB476" s="170">
        <f t="shared" si="244"/>
        <v>3126375396</v>
      </c>
      <c r="AD476" s="686">
        <f t="shared" si="245"/>
        <v>-1.0269872326946567</v>
      </c>
      <c r="AE476" s="687">
        <f t="shared" si="246"/>
        <v>-11.746958883811327</v>
      </c>
      <c r="AG476" s="686">
        <f t="shared" si="247"/>
        <v>46.84901008524109</v>
      </c>
      <c r="AH476" s="687">
        <f t="shared" si="248"/>
        <v>-50.939050833344503</v>
      </c>
      <c r="AJ476" s="170">
        <f t="shared" si="249"/>
        <v>0</v>
      </c>
      <c r="AK476" s="170">
        <f t="shared" si="261"/>
        <v>0</v>
      </c>
      <c r="AM476" s="170" t="str">
        <f t="shared" si="253"/>
        <v>1.78526654226098+0.619157861619708i</v>
      </c>
      <c r="AN476" s="170" t="str">
        <f t="shared" si="254"/>
        <v>8.75710813517281i</v>
      </c>
      <c r="AO476" s="170" t="str">
        <f t="shared" si="255"/>
        <v>0.0707034619263029-0.203864850668051i</v>
      </c>
      <c r="AP476" s="170" t="str">
        <f t="shared" si="256"/>
        <v>-0.130877757043496-0.103192976936618i</v>
      </c>
      <c r="AQ476" s="170" t="str">
        <f t="shared" si="257"/>
        <v>1.1308777570435+0.103192976936618i</v>
      </c>
      <c r="AR476" s="170" t="str">
        <f t="shared" si="258"/>
        <v>0.730513262092668-0.0666595816722943i</v>
      </c>
    </row>
    <row r="477" spans="7:44">
      <c r="G477" s="688">
        <v>56234</v>
      </c>
      <c r="H477" s="676">
        <f t="shared" si="250"/>
        <v>56.234000000000002</v>
      </c>
      <c r="I477" s="677">
        <f t="shared" si="230"/>
        <v>49.483913923215091</v>
      </c>
      <c r="J477" s="678">
        <f t="shared" si="231"/>
        <v>1.5505863636427453</v>
      </c>
      <c r="K477" s="678">
        <f t="shared" si="232"/>
        <v>1.0030166053767731</v>
      </c>
      <c r="L477" s="679">
        <f t="shared" si="233"/>
        <v>7.7576305526526668E-2</v>
      </c>
      <c r="M477" s="678">
        <f t="shared" si="234"/>
        <v>1.3622977885466587</v>
      </c>
      <c r="N477" s="679">
        <f t="shared" si="235"/>
        <v>-0.74652388735321584</v>
      </c>
      <c r="O477" s="677">
        <f t="shared" si="236"/>
        <v>5024333.2915181443</v>
      </c>
      <c r="P477" s="680">
        <f t="shared" si="237"/>
        <v>1.5707961277635143</v>
      </c>
      <c r="Q477" s="689">
        <f t="shared" si="259"/>
        <v>25.141561717729747</v>
      </c>
      <c r="R477" s="690">
        <f t="shared" si="260"/>
        <v>1.5310110552488747</v>
      </c>
      <c r="S477" s="677">
        <f t="shared" si="238"/>
        <v>1.0139274163284604</v>
      </c>
      <c r="T477" s="680">
        <f t="shared" si="239"/>
        <v>0.16593776129461479</v>
      </c>
      <c r="U477" s="681">
        <f t="shared" si="251"/>
        <v>0.15808817860175117</v>
      </c>
      <c r="V477" s="682">
        <f t="shared" si="252"/>
        <v>-1.3467786347115529</v>
      </c>
      <c r="W477" s="683">
        <f t="shared" si="240"/>
        <v>-43.968999735383854</v>
      </c>
      <c r="X477" s="684">
        <f t="shared" si="241"/>
        <v>-216.12170964247815</v>
      </c>
      <c r="Y477" s="687">
        <f t="shared" si="242"/>
        <v>-36.121709642478152</v>
      </c>
      <c r="AA477" s="170">
        <f t="shared" si="243"/>
        <v>56234</v>
      </c>
      <c r="AB477" s="170">
        <f t="shared" si="244"/>
        <v>3162262756</v>
      </c>
      <c r="AD477" s="686">
        <f t="shared" si="245"/>
        <v>-1.0284110176992629</v>
      </c>
      <c r="AE477" s="687">
        <f t="shared" si="246"/>
        <v>-11.787050140210178</v>
      </c>
      <c r="AG477" s="686">
        <f t="shared" si="247"/>
        <v>46.833249953682255</v>
      </c>
      <c r="AH477" s="687">
        <f t="shared" si="248"/>
        <v>-50.005195911194491</v>
      </c>
      <c r="AJ477" s="170">
        <f t="shared" si="249"/>
        <v>0</v>
      </c>
      <c r="AK477" s="170">
        <f t="shared" si="261"/>
        <v>0</v>
      </c>
      <c r="AM477" s="170" t="str">
        <f t="shared" si="253"/>
        <v>1.81529825087428+0.579041243886247i</v>
      </c>
      <c r="AN477" s="170" t="str">
        <f t="shared" si="254"/>
        <v>8.80722571937811i</v>
      </c>
      <c r="AO477" s="170" t="str">
        <f t="shared" si="255"/>
        <v>0.06574615688709-0.206114650482974i</v>
      </c>
      <c r="AP477" s="170" t="str">
        <f t="shared" si="256"/>
        <v>-0.135883041812381-0.0965068739810412i</v>
      </c>
      <c r="AQ477" s="170" t="str">
        <f t="shared" si="257"/>
        <v>1.13588304181238+0.0965068739810412i</v>
      </c>
      <c r="AR477" s="170" t="str">
        <f t="shared" si="258"/>
        <v>0.728094373673954-0.061860340704042i</v>
      </c>
    </row>
    <row r="478" spans="7:44">
      <c r="G478" s="688">
        <v>56561.5</v>
      </c>
      <c r="H478" s="676">
        <f t="shared" si="250"/>
        <v>56.561500000000002</v>
      </c>
      <c r="I478" s="677">
        <f t="shared" si="230"/>
        <v>49.77198488829373</v>
      </c>
      <c r="J478" s="678">
        <f t="shared" si="231"/>
        <v>1.5507033509298487</v>
      </c>
      <c r="K478" s="678">
        <f t="shared" si="232"/>
        <v>1.0030517907724605</v>
      </c>
      <c r="L478" s="679">
        <f t="shared" si="233"/>
        <v>7.8026274311392502E-2</v>
      </c>
      <c r="M478" s="678">
        <f t="shared" si="234"/>
        <v>1.3659623303207478</v>
      </c>
      <c r="N478" s="679">
        <f t="shared" si="235"/>
        <v>-0.74941924570756935</v>
      </c>
      <c r="O478" s="677">
        <f t="shared" si="236"/>
        <v>5053594.3996195085</v>
      </c>
      <c r="P478" s="680">
        <f t="shared" si="237"/>
        <v>1.5707961289159373</v>
      </c>
      <c r="Q478" s="689">
        <f t="shared" si="259"/>
        <v>25.287752151913715</v>
      </c>
      <c r="R478" s="690">
        <f t="shared" si="260"/>
        <v>1.5312411773333265</v>
      </c>
      <c r="S478" s="677">
        <f t="shared" si="238"/>
        <v>1.0140889816074463</v>
      </c>
      <c r="T478" s="680">
        <f t="shared" si="239"/>
        <v>0.16688636900119325</v>
      </c>
      <c r="U478" s="681">
        <f t="shared" si="251"/>
        <v>0.15782860493111117</v>
      </c>
      <c r="V478" s="682">
        <f t="shared" si="252"/>
        <v>-1.3658941897161225</v>
      </c>
      <c r="W478" s="683">
        <f t="shared" si="240"/>
        <v>-44.011516823794778</v>
      </c>
      <c r="X478" s="684">
        <f t="shared" si="241"/>
        <v>-217.40492990797878</v>
      </c>
      <c r="Y478" s="687">
        <f t="shared" si="242"/>
        <v>-37.404929907978783</v>
      </c>
      <c r="AA478" s="170">
        <f t="shared" si="243"/>
        <v>56561.5</v>
      </c>
      <c r="AB478" s="170">
        <f t="shared" si="244"/>
        <v>3199203282.25</v>
      </c>
      <c r="AD478" s="686">
        <f t="shared" si="245"/>
        <v>-1.0298743042514884</v>
      </c>
      <c r="AE478" s="687">
        <f t="shared" si="246"/>
        <v>-11.828216400074886</v>
      </c>
      <c r="AG478" s="686">
        <f t="shared" si="247"/>
        <v>46.820743274116836</v>
      </c>
      <c r="AH478" s="687">
        <f t="shared" si="248"/>
        <v>-49.056768664703398</v>
      </c>
      <c r="AJ478" s="170">
        <f t="shared" si="249"/>
        <v>0</v>
      </c>
      <c r="AK478" s="170">
        <f t="shared" si="261"/>
        <v>0</v>
      </c>
      <c r="AM478" s="170" t="str">
        <f t="shared" si="253"/>
        <v>1.84391329212663+0.536479594553226i</v>
      </c>
      <c r="AN478" s="170" t="str">
        <f t="shared" si="254"/>
        <v>8.85851793446323i</v>
      </c>
      <c r="AO478" s="170" t="str">
        <f t="shared" si="255"/>
        <v>0.0605608746883158-0.20815144313848i</v>
      </c>
      <c r="AP478" s="170" t="str">
        <f t="shared" si="256"/>
        <v>-0.140652215354438-0.089413265758871i</v>
      </c>
      <c r="AQ478" s="170" t="str">
        <f t="shared" si="257"/>
        <v>1.14065221535444+0.089413265758871i</v>
      </c>
      <c r="AR478" s="170" t="str">
        <f t="shared" si="258"/>
        <v>0.725824008019075-0.0568957777397665i</v>
      </c>
    </row>
    <row r="479" spans="7:44">
      <c r="G479" s="688">
        <v>56889</v>
      </c>
      <c r="H479" s="676">
        <f t="shared" si="250"/>
        <v>56.889000000000003</v>
      </c>
      <c r="I479" s="677">
        <f t="shared" si="230"/>
        <v>50.060056526713282</v>
      </c>
      <c r="J479" s="678">
        <f t="shared" si="231"/>
        <v>1.5508189918069566</v>
      </c>
      <c r="K479" s="678">
        <f t="shared" si="232"/>
        <v>1.003087179243686</v>
      </c>
      <c r="L479" s="679">
        <f t="shared" si="233"/>
        <v>7.8476211437953913E-2</v>
      </c>
      <c r="M479" s="678">
        <f t="shared" si="234"/>
        <v>1.3696382617622824</v>
      </c>
      <c r="N479" s="679">
        <f t="shared" si="235"/>
        <v>-0.75229908656364886</v>
      </c>
      <c r="O479" s="677">
        <f t="shared" si="236"/>
        <v>5082855.5077208737</v>
      </c>
      <c r="P479" s="680">
        <f t="shared" si="237"/>
        <v>1.5707961300550919</v>
      </c>
      <c r="Q479" s="689">
        <f t="shared" si="259"/>
        <v>25.433943909845862</v>
      </c>
      <c r="R479" s="690">
        <f t="shared" si="260"/>
        <v>1.5314686539924007</v>
      </c>
      <c r="S479" s="677">
        <f t="shared" si="238"/>
        <v>1.0142514591298724</v>
      </c>
      <c r="T479" s="680">
        <f t="shared" si="239"/>
        <v>0.16783467363737622</v>
      </c>
      <c r="U479" s="681">
        <f t="shared" si="251"/>
        <v>0.15751072960468013</v>
      </c>
      <c r="V479" s="682">
        <f t="shared" si="252"/>
        <v>-1.3848762774545964</v>
      </c>
      <c r="W479" s="683">
        <f t="shared" si="240"/>
        <v>-44.056975749870844</v>
      </c>
      <c r="X479" s="684">
        <f t="shared" si="241"/>
        <v>-218.67967285183099</v>
      </c>
      <c r="Y479" s="687">
        <f t="shared" si="242"/>
        <v>-38.679672851830986</v>
      </c>
      <c r="AA479" s="170">
        <f t="shared" si="243"/>
        <v>56889</v>
      </c>
      <c r="AB479" s="170">
        <f t="shared" si="244"/>
        <v>3236358321</v>
      </c>
      <c r="AD479" s="686">
        <f t="shared" si="245"/>
        <v>-1.0313438178479102</v>
      </c>
      <c r="AE479" s="687">
        <f t="shared" si="246"/>
        <v>-11.869516866234109</v>
      </c>
      <c r="AG479" s="686">
        <f t="shared" si="247"/>
        <v>46.811776843382418</v>
      </c>
      <c r="AH479" s="687">
        <f t="shared" si="248"/>
        <v>-48.11502411238768</v>
      </c>
      <c r="AJ479" s="170">
        <f t="shared" si="249"/>
        <v>0</v>
      </c>
      <c r="AK479" s="170">
        <f t="shared" si="261"/>
        <v>0</v>
      </c>
      <c r="AM479" s="170" t="str">
        <f t="shared" si="253"/>
        <v>1.87030857594259+0.492506835120883i</v>
      </c>
      <c r="AN479" s="170" t="str">
        <f t="shared" si="254"/>
        <v>8.90981014954834i</v>
      </c>
      <c r="AO479" s="170" t="str">
        <f t="shared" si="255"/>
        <v>0.0552769168876005-0.209915648543578i</v>
      </c>
      <c r="AP479" s="170" t="str">
        <f t="shared" si="256"/>
        <v>-0.145051429323764-0.0820844725201472i</v>
      </c>
      <c r="AQ479" s="170" t="str">
        <f t="shared" si="257"/>
        <v>1.14505142932376+0.0820844725201472i</v>
      </c>
      <c r="AR479" s="170" t="str">
        <f t="shared" si="258"/>
        <v>0.72375890066487-0.0518835801357178i</v>
      </c>
    </row>
    <row r="480" spans="7:44">
      <c r="G480" s="688">
        <v>57216.5</v>
      </c>
      <c r="H480" s="676">
        <f t="shared" si="250"/>
        <v>57.216500000000003</v>
      </c>
      <c r="I480" s="677">
        <f t="shared" si="230"/>
        <v>50.348128826916003</v>
      </c>
      <c r="J480" s="678">
        <f t="shared" si="231"/>
        <v>1.5509333093818436</v>
      </c>
      <c r="K480" s="678">
        <f t="shared" si="232"/>
        <v>1.0031227707689563</v>
      </c>
      <c r="L480" s="679">
        <f t="shared" si="233"/>
        <v>7.8926116727397522E-2</v>
      </c>
      <c r="M480" s="678">
        <f t="shared" si="234"/>
        <v>1.3733254914123136</v>
      </c>
      <c r="N480" s="679">
        <f t="shared" si="235"/>
        <v>-0.75516348695028113</v>
      </c>
      <c r="O480" s="677">
        <f t="shared" si="236"/>
        <v>5112116.615822237</v>
      </c>
      <c r="P480" s="680">
        <f t="shared" si="237"/>
        <v>1.5707961311812055</v>
      </c>
      <c r="Q480" s="689">
        <f t="shared" si="259"/>
        <v>25.580136968830335</v>
      </c>
      <c r="R480" s="690">
        <f t="shared" si="260"/>
        <v>1.5316935305589687</v>
      </c>
      <c r="S480" s="677">
        <f t="shared" si="238"/>
        <v>1.0144148484574</v>
      </c>
      <c r="T480" s="680">
        <f t="shared" si="239"/>
        <v>0.16878267364361646</v>
      </c>
      <c r="U480" s="681">
        <f t="shared" si="251"/>
        <v>0.15713686317308798</v>
      </c>
      <c r="V480" s="682">
        <f t="shared" si="252"/>
        <v>-1.4037374678642658</v>
      </c>
      <c r="W480" s="683">
        <f t="shared" si="240"/>
        <v>-44.105272553884028</v>
      </c>
      <c r="X480" s="684">
        <f t="shared" si="241"/>
        <v>-219.94666173931628</v>
      </c>
      <c r="Y480" s="687">
        <f t="shared" si="242"/>
        <v>-39.946661739316284</v>
      </c>
      <c r="AA480" s="170">
        <f t="shared" si="243"/>
        <v>57216.5</v>
      </c>
      <c r="AB480" s="170">
        <f t="shared" si="244"/>
        <v>3273727872.25</v>
      </c>
      <c r="AD480" s="686">
        <f t="shared" si="245"/>
        <v>-1.0328195821697579</v>
      </c>
      <c r="AE480" s="687">
        <f t="shared" si="246"/>
        <v>-11.910948851963216</v>
      </c>
      <c r="AG480" s="686">
        <f t="shared" si="247"/>
        <v>46.806238358104011</v>
      </c>
      <c r="AH480" s="687">
        <f t="shared" si="248"/>
        <v>-47.17924779754086</v>
      </c>
      <c r="AJ480" s="170">
        <f t="shared" si="249"/>
        <v>0</v>
      </c>
      <c r="AK480" s="170">
        <f t="shared" si="261"/>
        <v>0</v>
      </c>
      <c r="AM480" s="170" t="str">
        <f t="shared" si="253"/>
        <v>1.8944146744223+0.447238627779452i</v>
      </c>
      <c r="AN480" s="170" t="str">
        <f t="shared" si="254"/>
        <v>8.96110236463346i</v>
      </c>
      <c r="AO480" s="170" t="str">
        <f t="shared" si="255"/>
        <v>0.0499088850434916-0.211404199766642i</v>
      </c>
      <c r="AP480" s="170" t="str">
        <f t="shared" si="256"/>
        <v>-0.149069112403717-0.0745397712965753i</v>
      </c>
      <c r="AQ480" s="170" t="str">
        <f t="shared" si="257"/>
        <v>1.14906911240372+0.0745397712965753i</v>
      </c>
      <c r="AR480" s="170" t="str">
        <f t="shared" si="258"/>
        <v>0.72189683868815-0.0468292330501958i</v>
      </c>
    </row>
    <row r="481" spans="7:44">
      <c r="G481" s="688">
        <v>57544</v>
      </c>
      <c r="H481" s="676">
        <f t="shared" si="250"/>
        <v>57.543999999999997</v>
      </c>
      <c r="I481" s="677">
        <f t="shared" si="230"/>
        <v>50.636201777607127</v>
      </c>
      <c r="J481" s="678">
        <f t="shared" si="231"/>
        <v>1.5510463262365772</v>
      </c>
      <c r="K481" s="678">
        <f t="shared" si="232"/>
        <v>1.0031585653266593</v>
      </c>
      <c r="L481" s="679">
        <f t="shared" si="233"/>
        <v>7.9375990000986815E-2</v>
      </c>
      <c r="M481" s="678">
        <f t="shared" si="234"/>
        <v>1.3770239285118784</v>
      </c>
      <c r="N481" s="679">
        <f t="shared" si="235"/>
        <v>-0.75801252408602904</v>
      </c>
      <c r="O481" s="677">
        <f t="shared" si="236"/>
        <v>5141377.7239236021</v>
      </c>
      <c r="P481" s="680">
        <f t="shared" si="237"/>
        <v>1.5707961322945012</v>
      </c>
      <c r="Q481" s="689">
        <f t="shared" si="259"/>
        <v>25.726331306686951</v>
      </c>
      <c r="R481" s="690">
        <f t="shared" si="260"/>
        <v>1.5319158513365196</v>
      </c>
      <c r="S481" s="677">
        <f t="shared" si="238"/>
        <v>1.0145791491495142</v>
      </c>
      <c r="T481" s="680">
        <f t="shared" si="239"/>
        <v>0.16973036746355874</v>
      </c>
      <c r="U481" s="681">
        <f t="shared" si="251"/>
        <v>0.15670913312397594</v>
      </c>
      <c r="V481" s="682">
        <f t="shared" si="252"/>
        <v>-1.422490199438601</v>
      </c>
      <c r="W481" s="683">
        <f t="shared" si="240"/>
        <v>-44.156315708286812</v>
      </c>
      <c r="X481" s="684">
        <f t="shared" si="241"/>
        <v>-221.20661234444793</v>
      </c>
      <c r="Y481" s="687">
        <f t="shared" si="242"/>
        <v>-41.206612344447933</v>
      </c>
      <c r="AA481" s="170">
        <f t="shared" si="243"/>
        <v>57544</v>
      </c>
      <c r="AB481" s="170">
        <f t="shared" si="244"/>
        <v>3311311936</v>
      </c>
      <c r="AD481" s="686">
        <f t="shared" si="245"/>
        <v>-1.0343016199817372</v>
      </c>
      <c r="AE481" s="687">
        <f t="shared" si="246"/>
        <v>-11.952509729699434</v>
      </c>
      <c r="AG481" s="686">
        <f t="shared" si="247"/>
        <v>46.804028086775233</v>
      </c>
      <c r="AH481" s="687">
        <f t="shared" si="248"/>
        <v>-46.248732775378535</v>
      </c>
      <c r="AJ481" s="170">
        <f t="shared" si="249"/>
        <v>0</v>
      </c>
      <c r="AK481" s="170">
        <f t="shared" si="261"/>
        <v>0</v>
      </c>
      <c r="AM481" s="170" t="str">
        <f t="shared" si="253"/>
        <v>1.91616818094348+0.400794042154722i</v>
      </c>
      <c r="AN481" s="170" t="str">
        <f t="shared" si="254"/>
        <v>9.01239457971857i</v>
      </c>
      <c r="AO481" s="170" t="str">
        <f t="shared" si="255"/>
        <v>0.0444714263905695-0.212614767806063i</v>
      </c>
      <c r="AP481" s="170" t="str">
        <f t="shared" si="256"/>
        <v>-0.152694696823913-0.066799007025787i</v>
      </c>
      <c r="AQ481" s="170" t="str">
        <f t="shared" si="257"/>
        <v>1.15269469682391+0.066799007025787i</v>
      </c>
      <c r="AR481" s="170" t="str">
        <f t="shared" si="258"/>
        <v>0.720235768652742-0.0417378810738185i</v>
      </c>
    </row>
    <row r="482" spans="7:44">
      <c r="G482" s="688">
        <v>57879</v>
      </c>
      <c r="H482" s="676">
        <f t="shared" si="250"/>
        <v>57.878999999999998</v>
      </c>
      <c r="I482" s="677">
        <f t="shared" si="230"/>
        <v>50.930872480269066</v>
      </c>
      <c r="J482" s="678">
        <f t="shared" si="231"/>
        <v>1.5511606085276166</v>
      </c>
      <c r="K482" s="678">
        <f t="shared" si="232"/>
        <v>1.0031953896444685</v>
      </c>
      <c r="L482" s="679">
        <f t="shared" si="233"/>
        <v>7.9836132405671362E-2</v>
      </c>
      <c r="M482" s="678">
        <f t="shared" si="234"/>
        <v>1.380818564135994</v>
      </c>
      <c r="N482" s="679">
        <f t="shared" si="235"/>
        <v>-0.76091099200328771</v>
      </c>
      <c r="O482" s="677">
        <f t="shared" si="236"/>
        <v>5171308.9337372119</v>
      </c>
      <c r="P482" s="680">
        <f t="shared" si="237"/>
        <v>1.5707961334202574</v>
      </c>
      <c r="Q482" s="689">
        <f t="shared" si="259"/>
        <v>25.875874907019714</v>
      </c>
      <c r="R482" s="690">
        <f t="shared" si="260"/>
        <v>1.5321406643142843</v>
      </c>
      <c r="S482" s="677">
        <f t="shared" si="238"/>
        <v>1.0147481549013635</v>
      </c>
      <c r="T482" s="680">
        <f t="shared" si="239"/>
        <v>0.17069944579181406</v>
      </c>
      <c r="U482" s="681">
        <f t="shared" si="251"/>
        <v>0.15621791314630495</v>
      </c>
      <c r="V482" s="682">
        <f t="shared" si="252"/>
        <v>-1.4415730102753284</v>
      </c>
      <c r="W482" s="683">
        <f t="shared" si="240"/>
        <v>-44.21128616684706</v>
      </c>
      <c r="X482" s="684">
        <f t="shared" si="241"/>
        <v>-222.48887384992531</v>
      </c>
      <c r="Y482" s="687">
        <f t="shared" si="242"/>
        <v>-42.488873849925312</v>
      </c>
      <c r="AA482" s="170">
        <f t="shared" si="243"/>
        <v>57879</v>
      </c>
      <c r="AB482" s="170">
        <f t="shared" si="244"/>
        <v>3349978641</v>
      </c>
      <c r="AD482" s="686">
        <f t="shared" si="245"/>
        <v>-1.035824111030673</v>
      </c>
      <c r="AE482" s="687">
        <f t="shared" si="246"/>
        <v>-11.995153057670185</v>
      </c>
      <c r="AG482" s="686">
        <f t="shared" si="247"/>
        <v>46.805119170068174</v>
      </c>
      <c r="AH482" s="687">
        <f t="shared" si="248"/>
        <v>-45.301621906004527</v>
      </c>
      <c r="AJ482" s="170">
        <f t="shared" si="249"/>
        <v>0</v>
      </c>
      <c r="AK482" s="170">
        <f t="shared" si="261"/>
        <v>0</v>
      </c>
      <c r="AM482" s="170" t="str">
        <f t="shared" si="253"/>
        <v>1.93592622295662+0.352196117500127i</v>
      </c>
      <c r="AN482" s="170" t="str">
        <f t="shared" si="254"/>
        <v>9.0648614256835i</v>
      </c>
      <c r="AO482" s="170" t="str">
        <f t="shared" si="255"/>
        <v>0.0388528959198702-0.213563796736214i</v>
      </c>
      <c r="AP482" s="170" t="str">
        <f t="shared" si="256"/>
        <v>-0.155987703826103-0.0586993529166878i</v>
      </c>
      <c r="AQ482" s="170" t="str">
        <f t="shared" si="257"/>
        <v>1.1559877038261+0.0586993529166878i</v>
      </c>
      <c r="AR482" s="170" t="str">
        <f t="shared" si="258"/>
        <v>0.718742651825156-0.0364966932054042i</v>
      </c>
    </row>
    <row r="483" spans="7:44">
      <c r="G483" s="688">
        <v>58214</v>
      </c>
      <c r="H483" s="676">
        <f t="shared" si="250"/>
        <v>58.213999999999999</v>
      </c>
      <c r="I483" s="677">
        <f t="shared" si="230"/>
        <v>51.225543840457931</v>
      </c>
      <c r="J483" s="678">
        <f t="shared" si="231"/>
        <v>1.5512735760183358</v>
      </c>
      <c r="K483" s="678">
        <f t="shared" si="232"/>
        <v>1.0032324263542545</v>
      </c>
      <c r="L483" s="679">
        <f t="shared" si="233"/>
        <v>8.0296240933267843E-2</v>
      </c>
      <c r="M483" s="678">
        <f t="shared" si="234"/>
        <v>1.3846247365376554</v>
      </c>
      <c r="N483" s="679">
        <f t="shared" si="235"/>
        <v>-0.7637935489240042</v>
      </c>
      <c r="O483" s="677">
        <f t="shared" si="236"/>
        <v>5201240.1435508206</v>
      </c>
      <c r="P483" s="680">
        <f t="shared" si="237"/>
        <v>1.5707961345330568</v>
      </c>
      <c r="Q483" s="689">
        <f t="shared" si="259"/>
        <v>26.025419800112527</v>
      </c>
      <c r="R483" s="690">
        <f t="shared" si="260"/>
        <v>1.5323628937035247</v>
      </c>
      <c r="S483" s="677">
        <f t="shared" si="238"/>
        <v>1.0149181132983003</v>
      </c>
      <c r="T483" s="680">
        <f t="shared" si="239"/>
        <v>0.17166820046547193</v>
      </c>
      <c r="U483" s="681">
        <f t="shared" si="251"/>
        <v>0.15567428097744837</v>
      </c>
      <c r="V483" s="682">
        <f t="shared" si="252"/>
        <v>-1.460568289823736</v>
      </c>
      <c r="W483" s="683">
        <f t="shared" si="240"/>
        <v>-44.268973728812462</v>
      </c>
      <c r="X483" s="684">
        <f t="shared" si="241"/>
        <v>-223.76526464148881</v>
      </c>
      <c r="Y483" s="687">
        <f t="shared" si="242"/>
        <v>-43.765264641488812</v>
      </c>
      <c r="AA483" s="170">
        <f t="shared" si="243"/>
        <v>58214</v>
      </c>
      <c r="AB483" s="170">
        <f t="shared" si="244"/>
        <v>3388869796</v>
      </c>
      <c r="AD483" s="686">
        <f t="shared" si="245"/>
        <v>-1.0373532115709179</v>
      </c>
      <c r="AE483" s="687">
        <f t="shared" si="246"/>
        <v>-12.037925869574691</v>
      </c>
      <c r="AG483" s="686">
        <f t="shared" si="247"/>
        <v>46.809519246410254</v>
      </c>
      <c r="AH483" s="687">
        <f t="shared" si="248"/>
        <v>-44.358541185586397</v>
      </c>
      <c r="AJ483" s="170">
        <f t="shared" si="249"/>
        <v>0</v>
      </c>
      <c r="AK483" s="170">
        <f t="shared" si="261"/>
        <v>0</v>
      </c>
      <c r="AM483" s="170" t="str">
        <f t="shared" si="253"/>
        <v>1.95310846637378+0.302628900349283i</v>
      </c>
      <c r="AN483" s="170" t="str">
        <f t="shared" si="254"/>
        <v>9.11732827164842i</v>
      </c>
      <c r="AO483" s="170" t="str">
        <f t="shared" si="255"/>
        <v>0.0331927173545291-0.214219386226033i</v>
      </c>
      <c r="AP483" s="170" t="str">
        <f t="shared" si="256"/>
        <v>-0.158851411062297-0.0504381500582138i</v>
      </c>
      <c r="AQ483" s="170" t="str">
        <f t="shared" si="257"/>
        <v>1.1588514110623+0.0504381500582138i</v>
      </c>
      <c r="AR483" s="170" t="str">
        <f t="shared" si="258"/>
        <v>0.717456071447581-0.0312267445562132i</v>
      </c>
    </row>
    <row r="484" spans="7:44">
      <c r="G484" s="688">
        <v>58549</v>
      </c>
      <c r="H484" s="676">
        <f t="shared" si="250"/>
        <v>58.548999999999999</v>
      </c>
      <c r="I484" s="677">
        <f t="shared" si="230"/>
        <v>51.520215846891482</v>
      </c>
      <c r="J484" s="678">
        <f t="shared" si="231"/>
        <v>1.5513852512659914</v>
      </c>
      <c r="K484" s="678">
        <f t="shared" si="232"/>
        <v>1.0032696754324946</v>
      </c>
      <c r="L484" s="679">
        <f t="shared" si="233"/>
        <v>8.0756315392729122E-2</v>
      </c>
      <c r="M484" s="678">
        <f t="shared" si="234"/>
        <v>1.3884423508386792</v>
      </c>
      <c r="N484" s="679">
        <f t="shared" si="235"/>
        <v>-0.76666027799311731</v>
      </c>
      <c r="O484" s="677">
        <f t="shared" si="236"/>
        <v>5231171.3533644294</v>
      </c>
      <c r="P484" s="680">
        <f t="shared" si="237"/>
        <v>1.5707961356331219</v>
      </c>
      <c r="Q484" s="689">
        <f t="shared" si="259"/>
        <v>26.174965963807697</v>
      </c>
      <c r="R484" s="690">
        <f t="shared" si="260"/>
        <v>1.5325825837647657</v>
      </c>
      <c r="S484" s="677">
        <f t="shared" si="238"/>
        <v>1.0150890238618153</v>
      </c>
      <c r="T484" s="680">
        <f t="shared" si="239"/>
        <v>0.17263662982923675</v>
      </c>
      <c r="U484" s="681">
        <f t="shared" si="251"/>
        <v>0.15507996391871223</v>
      </c>
      <c r="V484" s="682">
        <f t="shared" si="252"/>
        <v>-1.4794889958603825</v>
      </c>
      <c r="W484" s="683">
        <f t="shared" si="240"/>
        <v>-44.329317109312498</v>
      </c>
      <c r="X484" s="684">
        <f t="shared" si="241"/>
        <v>-225.03653058151372</v>
      </c>
      <c r="Y484" s="687">
        <f t="shared" si="242"/>
        <v>-45.036530581513716</v>
      </c>
      <c r="AA484" s="170">
        <f t="shared" si="243"/>
        <v>58549</v>
      </c>
      <c r="AB484" s="170">
        <f t="shared" si="244"/>
        <v>3427985401</v>
      </c>
      <c r="AD484" s="686">
        <f t="shared" si="245"/>
        <v>-1.038888943181753</v>
      </c>
      <c r="AE484" s="687">
        <f t="shared" si="246"/>
        <v>-12.080825534642987</v>
      </c>
      <c r="AG484" s="686">
        <f t="shared" si="247"/>
        <v>46.817158685672631</v>
      </c>
      <c r="AH484" s="687">
        <f t="shared" si="248"/>
        <v>-43.41875425545048</v>
      </c>
      <c r="AJ484" s="170">
        <f t="shared" si="249"/>
        <v>0</v>
      </c>
      <c r="AK484" s="170">
        <f t="shared" si="261"/>
        <v>0</v>
      </c>
      <c r="AM484" s="170" t="str">
        <f t="shared" si="253"/>
        <v>1.96766762328127+0.252228806549073i</v>
      </c>
      <c r="AN484" s="170" t="str">
        <f t="shared" si="254"/>
        <v>9.16979511761335i</v>
      </c>
      <c r="AO484" s="170" t="str">
        <f t="shared" si="255"/>
        <v>0.0275064822402184-0.214581416274151i</v>
      </c>
      <c r="AP484" s="170" t="str">
        <f t="shared" si="256"/>
        <v>-0.161277937213546-0.0420381344248455i</v>
      </c>
      <c r="AQ484" s="170" t="str">
        <f t="shared" si="257"/>
        <v>1.16127793721355+0.0420381344248455i</v>
      </c>
      <c r="AR484" s="170" t="str">
        <f t="shared" si="258"/>
        <v>0.716374445767065-0.0259326766527057i</v>
      </c>
    </row>
    <row r="485" spans="7:44">
      <c r="G485" s="688">
        <v>58884</v>
      </c>
      <c r="H485" s="676">
        <f t="shared" si="250"/>
        <v>58.884</v>
      </c>
      <c r="I485" s="677">
        <f t="shared" si="230"/>
        <v>51.814888488544106</v>
      </c>
      <c r="J485" s="678">
        <f t="shared" si="231"/>
        <v>1.5514956563148348</v>
      </c>
      <c r="K485" s="678">
        <f t="shared" si="232"/>
        <v>1.003307136855536</v>
      </c>
      <c r="L485" s="679">
        <f t="shared" si="233"/>
        <v>8.1216355593093981E-2</v>
      </c>
      <c r="M485" s="678">
        <f t="shared" si="234"/>
        <v>1.3922713129178477</v>
      </c>
      <c r="N485" s="679">
        <f t="shared" si="235"/>
        <v>-0.76951126248562374</v>
      </c>
      <c r="O485" s="677">
        <f t="shared" si="236"/>
        <v>5261102.5631780401</v>
      </c>
      <c r="P485" s="680">
        <f t="shared" si="237"/>
        <v>1.5707961367206702</v>
      </c>
      <c r="Q485" s="689">
        <f t="shared" si="259"/>
        <v>26.324513376450831</v>
      </c>
      <c r="R485" s="690">
        <f t="shared" si="260"/>
        <v>1.5327997777537641</v>
      </c>
      <c r="S485" s="677">
        <f t="shared" si="238"/>
        <v>1.0152608861110406</v>
      </c>
      <c r="T485" s="680">
        <f t="shared" si="239"/>
        <v>0.17360473223136519</v>
      </c>
      <c r="U485" s="681">
        <f t="shared" si="251"/>
        <v>0.1544365177666292</v>
      </c>
      <c r="V485" s="682">
        <f t="shared" si="252"/>
        <v>-1.4983479937966568</v>
      </c>
      <c r="W485" s="683">
        <f t="shared" si="240"/>
        <v>-44.392266415594285</v>
      </c>
      <c r="X485" s="684">
        <f t="shared" si="241"/>
        <v>-226.30341227606721</v>
      </c>
      <c r="Y485" s="687">
        <f t="shared" si="242"/>
        <v>-46.303412276067206</v>
      </c>
      <c r="AA485" s="170">
        <f t="shared" si="243"/>
        <v>58884</v>
      </c>
      <c r="AB485" s="170">
        <f t="shared" si="244"/>
        <v>3467325456</v>
      </c>
      <c r="AD485" s="686">
        <f t="shared" si="245"/>
        <v>-1.0404313265639296</v>
      </c>
      <c r="AE485" s="687">
        <f t="shared" si="246"/>
        <v>-12.123849479877295</v>
      </c>
      <c r="AG485" s="686">
        <f t="shared" si="247"/>
        <v>46.827979390663437</v>
      </c>
      <c r="AH485" s="687">
        <f t="shared" si="248"/>
        <v>-42.481530027111361</v>
      </c>
      <c r="AJ485" s="170">
        <f t="shared" si="249"/>
        <v>0</v>
      </c>
      <c r="AK485" s="170">
        <f t="shared" si="261"/>
        <v>0</v>
      </c>
      <c r="AM485" s="170" t="str">
        <f t="shared" si="253"/>
        <v>1.97956362486276+0.20113454413832i</v>
      </c>
      <c r="AN485" s="170" t="str">
        <f t="shared" si="254"/>
        <v>9.22226196357827i</v>
      </c>
      <c r="AO485" s="170" t="str">
        <f t="shared" si="255"/>
        <v>0.0218096758618077-0.214650552400344i</v>
      </c>
      <c r="AP485" s="170" t="str">
        <f t="shared" si="256"/>
        <v>-0.163260604143793-0.0335224240230533i</v>
      </c>
      <c r="AQ485" s="170" t="str">
        <f t="shared" si="257"/>
        <v>1.16326060414379+0.0335224240230533i</v>
      </c>
      <c r="AR485" s="170" t="str">
        <f t="shared" si="258"/>
        <v>0.715496425251709-0.0206189176086822i</v>
      </c>
    </row>
    <row r="486" spans="7:44">
      <c r="G486" s="688">
        <v>59227</v>
      </c>
      <c r="H486" s="676">
        <f t="shared" si="250"/>
        <v>59.226999999999997</v>
      </c>
      <c r="I486" s="677">
        <f t="shared" si="230"/>
        <v>52.116598735705011</v>
      </c>
      <c r="J486" s="678">
        <f t="shared" si="231"/>
        <v>1.5516074043398431</v>
      </c>
      <c r="K486" s="678">
        <f t="shared" si="232"/>
        <v>1.0033457128666143</v>
      </c>
      <c r="L486" s="679">
        <f t="shared" si="233"/>
        <v>8.1687346132697652E-2</v>
      </c>
      <c r="M486" s="678">
        <f t="shared" si="234"/>
        <v>1.3962033728954626</v>
      </c>
      <c r="N486" s="679">
        <f t="shared" si="235"/>
        <v>-0.77241410422473067</v>
      </c>
      <c r="O486" s="677">
        <f t="shared" si="236"/>
        <v>5291748.5481513767</v>
      </c>
      <c r="P486" s="680">
        <f t="shared" si="237"/>
        <v>1.5707961378214428</v>
      </c>
      <c r="Q486" s="689">
        <f t="shared" si="259"/>
        <v>26.477633342531398</v>
      </c>
      <c r="R486" s="690">
        <f t="shared" si="260"/>
        <v>1.5330196164179866</v>
      </c>
      <c r="S486" s="677">
        <f t="shared" si="238"/>
        <v>1.0154378380760254</v>
      </c>
      <c r="T486" s="680">
        <f t="shared" si="239"/>
        <v>0.17459561300864565</v>
      </c>
      <c r="U486" s="681">
        <f t="shared" si="251"/>
        <v>0.15372825400287329</v>
      </c>
      <c r="V486" s="682">
        <f t="shared" si="252"/>
        <v>-1.5176067744719284</v>
      </c>
      <c r="W486" s="683">
        <f t="shared" si="240"/>
        <v>-44.459378486243224</v>
      </c>
      <c r="X486" s="684">
        <f t="shared" si="241"/>
        <v>-227.59677415111824</v>
      </c>
      <c r="Y486" s="687">
        <f t="shared" si="242"/>
        <v>-47.59677415111824</v>
      </c>
      <c r="AA486" s="170">
        <f t="shared" si="243"/>
        <v>59227</v>
      </c>
      <c r="AB486" s="170">
        <f t="shared" si="244"/>
        <v>3507837529</v>
      </c>
      <c r="AD486" s="686">
        <f t="shared" si="245"/>
        <v>-1.042017455648611</v>
      </c>
      <c r="AE486" s="687">
        <f t="shared" si="246"/>
        <v>-12.16802700190247</v>
      </c>
      <c r="AG486" s="686">
        <f t="shared" si="247"/>
        <v>46.84230568767169</v>
      </c>
      <c r="AH486" s="687">
        <f t="shared" si="248"/>
        <v>-41.52382067509312</v>
      </c>
      <c r="AJ486" s="170">
        <f t="shared" si="249"/>
        <v>0</v>
      </c>
      <c r="AK486" s="170">
        <f t="shared" si="261"/>
        <v>0</v>
      </c>
      <c r="AM486" s="170" t="str">
        <f t="shared" si="253"/>
        <v>1.98895025336265+0.14824775335214i</v>
      </c>
      <c r="AN486" s="170" t="str">
        <f t="shared" si="254"/>
        <v>9.27598174914833i</v>
      </c>
      <c r="AO486" s="170" t="str">
        <f t="shared" si="255"/>
        <v>0.0159818936001843-0.214419379764871i</v>
      </c>
      <c r="AP486" s="170" t="str">
        <f t="shared" si="256"/>
        <v>-0.164825042227108-0.0247079588920233i</v>
      </c>
      <c r="AQ486" s="170" t="str">
        <f t="shared" si="257"/>
        <v>1.16482504222711+0.0247079588920233i</v>
      </c>
      <c r="AR486" s="170" t="str">
        <f t="shared" si="258"/>
        <v>0.71480723740246-0.0151623009440908i</v>
      </c>
    </row>
    <row r="487" spans="7:44">
      <c r="G487" s="688">
        <v>59570</v>
      </c>
      <c r="H487" s="676">
        <f t="shared" si="250"/>
        <v>59.57</v>
      </c>
      <c r="I487" s="677">
        <f t="shared" si="230"/>
        <v>52.418309626186321</v>
      </c>
      <c r="J487" s="678">
        <f t="shared" si="231"/>
        <v>1.5517178659608994</v>
      </c>
      <c r="K487" s="678">
        <f t="shared" si="232"/>
        <v>1.0033845114348245</v>
      </c>
      <c r="L487" s="679">
        <f t="shared" si="233"/>
        <v>8.2158300352528454E-2</v>
      </c>
      <c r="M487" s="678">
        <f t="shared" si="234"/>
        <v>1.4001471318291436</v>
      </c>
      <c r="N487" s="679">
        <f t="shared" si="235"/>
        <v>-0.77530061745162526</v>
      </c>
      <c r="O487" s="677">
        <f t="shared" si="236"/>
        <v>5322394.5331247151</v>
      </c>
      <c r="P487" s="680">
        <f t="shared" si="237"/>
        <v>1.5707961389095391</v>
      </c>
      <c r="Q487" s="689">
        <f t="shared" si="259"/>
        <v>26.630754573535302</v>
      </c>
      <c r="R487" s="690">
        <f t="shared" si="260"/>
        <v>1.5332369270405577</v>
      </c>
      <c r="S487" s="677">
        <f t="shared" si="238"/>
        <v>1.0156157866952962</v>
      </c>
      <c r="T487" s="680">
        <f t="shared" si="239"/>
        <v>0.1755861475287229</v>
      </c>
      <c r="U487" s="681">
        <f t="shared" si="251"/>
        <v>0.15297126318090573</v>
      </c>
      <c r="V487" s="682">
        <f t="shared" si="252"/>
        <v>-1.5368279293254572</v>
      </c>
      <c r="W487" s="683">
        <f t="shared" si="240"/>
        <v>-44.529151688660569</v>
      </c>
      <c r="X487" s="684">
        <f t="shared" si="241"/>
        <v>-228.88709805231062</v>
      </c>
      <c r="Y487" s="687">
        <f t="shared" si="242"/>
        <v>-48.88709805231062</v>
      </c>
      <c r="AA487" s="170">
        <f t="shared" si="243"/>
        <v>59570</v>
      </c>
      <c r="AB487" s="170">
        <f t="shared" si="244"/>
        <v>3548584900</v>
      </c>
      <c r="AD487" s="686">
        <f t="shared" si="245"/>
        <v>-1.0436105992154034</v>
      </c>
      <c r="AE487" s="687">
        <f t="shared" si="246"/>
        <v>-12.212329530242169</v>
      </c>
      <c r="AG487" s="686">
        <f t="shared" si="247"/>
        <v>46.859879296108637</v>
      </c>
      <c r="AH487" s="687">
        <f t="shared" si="248"/>
        <v>-40.567259944479758</v>
      </c>
      <c r="AJ487" s="170">
        <f t="shared" si="249"/>
        <v>0</v>
      </c>
      <c r="AK487" s="170">
        <f t="shared" si="261"/>
        <v>0</v>
      </c>
      <c r="AM487" s="170" t="str">
        <f t="shared" si="253"/>
        <v>1.99548364028914+0.0949332497951847i</v>
      </c>
      <c r="AN487" s="170" t="str">
        <f t="shared" si="254"/>
        <v>9.32970153471839i</v>
      </c>
      <c r="AO487" s="170" t="str">
        <f t="shared" si="255"/>
        <v>0.0101753790774455-0.213885045825249i</v>
      </c>
      <c r="AP487" s="170" t="str">
        <f t="shared" si="256"/>
        <v>-0.165913940048191-0.0158222082991974i</v>
      </c>
      <c r="AQ487" s="170" t="str">
        <f t="shared" si="257"/>
        <v>1.16591394004819+0.0158222082991974i</v>
      </c>
      <c r="AR487" s="170" t="str">
        <f t="shared" si="258"/>
        <v>0.714329413411455-0.00969391340562613i</v>
      </c>
    </row>
    <row r="488" spans="7:44">
      <c r="G488" s="688">
        <v>59913</v>
      </c>
      <c r="H488" s="676">
        <f t="shared" si="250"/>
        <v>59.912999999999997</v>
      </c>
      <c r="I488" s="677">
        <f t="shared" si="230"/>
        <v>52.720021148943111</v>
      </c>
      <c r="J488" s="678">
        <f t="shared" si="231"/>
        <v>1.5518270632611766</v>
      </c>
      <c r="K488" s="678">
        <f t="shared" si="232"/>
        <v>1.0034235325343503</v>
      </c>
      <c r="L488" s="679">
        <f t="shared" si="233"/>
        <v>8.2629218047898342E-2</v>
      </c>
      <c r="M488" s="678">
        <f t="shared" si="234"/>
        <v>1.4041024911409141</v>
      </c>
      <c r="N488" s="679">
        <f t="shared" si="235"/>
        <v>-0.77817089185533406</v>
      </c>
      <c r="O488" s="677">
        <f t="shared" si="236"/>
        <v>5353040.5180980517</v>
      </c>
      <c r="P488" s="680">
        <f t="shared" si="237"/>
        <v>1.5707961399851766</v>
      </c>
      <c r="Q488" s="689">
        <f t="shared" si="259"/>
        <v>26.783877047768154</v>
      </c>
      <c r="R488" s="690">
        <f t="shared" si="260"/>
        <v>1.5334517529589484</v>
      </c>
      <c r="S488" s="677">
        <f t="shared" si="238"/>
        <v>1.0157947314450662</v>
      </c>
      <c r="T488" s="680">
        <f t="shared" si="239"/>
        <v>0.1765763340303407</v>
      </c>
      <c r="U488" s="681">
        <f t="shared" si="251"/>
        <v>0.1521666955314217</v>
      </c>
      <c r="V488" s="682">
        <f t="shared" si="252"/>
        <v>-1.5560250668845479</v>
      </c>
      <c r="W488" s="683">
        <f t="shared" si="240"/>
        <v>-44.601567535941165</v>
      </c>
      <c r="X488" s="684">
        <f t="shared" si="241"/>
        <v>-230.17516752267392</v>
      </c>
      <c r="Y488" s="687">
        <f t="shared" si="242"/>
        <v>-50.175167522673917</v>
      </c>
      <c r="AA488" s="170">
        <f t="shared" si="243"/>
        <v>59913</v>
      </c>
      <c r="AB488" s="170">
        <f t="shared" si="244"/>
        <v>3589567569</v>
      </c>
      <c r="AD488" s="686">
        <f t="shared" si="245"/>
        <v>-1.0452107768041083</v>
      </c>
      <c r="AE488" s="687">
        <f t="shared" si="246"/>
        <v>-12.256754480942147</v>
      </c>
      <c r="AG488" s="686">
        <f t="shared" si="247"/>
        <v>46.880673363004192</v>
      </c>
      <c r="AH488" s="687">
        <f t="shared" si="248"/>
        <v>-39.611074539893508</v>
      </c>
      <c r="AJ488" s="170">
        <f t="shared" si="249"/>
        <v>0</v>
      </c>
      <c r="AK488" s="170">
        <f t="shared" si="261"/>
        <v>0</v>
      </c>
      <c r="AM488" s="170" t="str">
        <f t="shared" si="253"/>
        <v>1.99914493602759+0.0413448522844218i</v>
      </c>
      <c r="AN488" s="170" t="str">
        <f t="shared" si="254"/>
        <v>9.38342132028845i</v>
      </c>
      <c r="AO488" s="170" t="str">
        <f t="shared" si="255"/>
        <v>0.00440615963763959-0.213050748526566i</v>
      </c>
      <c r="AP488" s="170" t="str">
        <f t="shared" si="256"/>
        <v>-0.166524156004598-0.0068908087140703i</v>
      </c>
      <c r="AQ488" s="170" t="str">
        <f t="shared" si="257"/>
        <v>1.1665241560046+0.0068908087140703i</v>
      </c>
      <c r="AR488" s="170" t="str">
        <f t="shared" si="258"/>
        <v>0.714062310566035-0.00421805820883336i</v>
      </c>
    </row>
    <row r="489" spans="7:44">
      <c r="G489" s="688">
        <v>60256</v>
      </c>
      <c r="H489" s="676">
        <f t="shared" si="250"/>
        <v>60.256</v>
      </c>
      <c r="I489" s="677">
        <f t="shared" si="230"/>
        <v>53.021733293181768</v>
      </c>
      <c r="J489" s="678">
        <f t="shared" si="231"/>
        <v>1.5519350178213258</v>
      </c>
      <c r="K489" s="678">
        <f t="shared" si="232"/>
        <v>1.0034627761392316</v>
      </c>
      <c r="L489" s="679">
        <f t="shared" si="233"/>
        <v>8.3100099014215736E-2</v>
      </c>
      <c r="M489" s="678">
        <f t="shared" si="234"/>
        <v>1.4080693530721051</v>
      </c>
      <c r="N489" s="679">
        <f t="shared" si="235"/>
        <v>-0.78102501718888262</v>
      </c>
      <c r="O489" s="677">
        <f t="shared" si="236"/>
        <v>5383686.5030713901</v>
      </c>
      <c r="P489" s="680">
        <f t="shared" si="237"/>
        <v>1.5707961410485685</v>
      </c>
      <c r="Q489" s="689">
        <f t="shared" si="259"/>
        <v>26.937000744028673</v>
      </c>
      <c r="R489" s="690">
        <f t="shared" si="260"/>
        <v>1.533664136526149</v>
      </c>
      <c r="S489" s="677">
        <f t="shared" si="238"/>
        <v>1.0159746717989862</v>
      </c>
      <c r="T489" s="680">
        <f t="shared" si="239"/>
        <v>0.1775661707562099</v>
      </c>
      <c r="U489" s="681">
        <f t="shared" si="251"/>
        <v>0.15131553759806929</v>
      </c>
      <c r="V489" s="682">
        <f t="shared" si="252"/>
        <v>-1.5752117633016678</v>
      </c>
      <c r="W489" s="683">
        <f t="shared" si="240"/>
        <v>-44.676618933756316</v>
      </c>
      <c r="X489" s="684">
        <f t="shared" si="241"/>
        <v>-231.46176428179891</v>
      </c>
      <c r="Y489" s="687">
        <f t="shared" si="242"/>
        <v>-51.461764281798906</v>
      </c>
      <c r="AA489" s="170">
        <f t="shared" si="243"/>
        <v>60256</v>
      </c>
      <c r="AB489" s="170">
        <f t="shared" si="244"/>
        <v>3630785536</v>
      </c>
      <c r="AD489" s="686">
        <f t="shared" si="245"/>
        <v>-1.0468180071087572</v>
      </c>
      <c r="AE489" s="687">
        <f t="shared" si="246"/>
        <v>-12.301299326681738</v>
      </c>
      <c r="AG489" s="686">
        <f t="shared" si="247"/>
        <v>46.904672570443473</v>
      </c>
      <c r="AH489" s="687">
        <f t="shared" si="248"/>
        <v>-38.654492995767121</v>
      </c>
      <c r="AJ489" s="170">
        <f t="shared" si="249"/>
        <v>0</v>
      </c>
      <c r="AK489" s="170">
        <f t="shared" si="261"/>
        <v>0</v>
      </c>
      <c r="AM489" s="170" t="str">
        <f t="shared" si="253"/>
        <v>1.99992357729518-0.012362830145863i</v>
      </c>
      <c r="AN489" s="170" t="str">
        <f t="shared" si="254"/>
        <v>9.43714110585851i</v>
      </c>
      <c r="AO489" s="170" t="str">
        <f t="shared" si="255"/>
        <v>-0.0013100185752429-0.21192049105355i</v>
      </c>
      <c r="AP489" s="170" t="str">
        <f t="shared" si="256"/>
        <v>-0.166653929549196+0.00206047169097717i</v>
      </c>
      <c r="AQ489" s="170" t="str">
        <f t="shared" si="257"/>
        <v>1.1666539295492-0.00206047169097717i</v>
      </c>
      <c r="AR489" s="170" t="str">
        <f t="shared" si="258"/>
        <v>0.714005568044131+0.00126103227606106i</v>
      </c>
    </row>
    <row r="490" spans="7:44">
      <c r="G490" s="688">
        <v>60607</v>
      </c>
      <c r="H490" s="676">
        <f t="shared" si="250"/>
        <v>60.606999999999999</v>
      </c>
      <c r="I490" s="677">
        <f t="shared" si="230"/>
        <v>53.330483087750871</v>
      </c>
      <c r="J490" s="678">
        <f t="shared" si="231"/>
        <v>1.552044225719019</v>
      </c>
      <c r="K490" s="678">
        <f t="shared" si="232"/>
        <v>1.0035031653699344</v>
      </c>
      <c r="L490" s="679">
        <f t="shared" si="233"/>
        <v>8.3581924389604101E-2</v>
      </c>
      <c r="M490" s="678">
        <f t="shared" si="234"/>
        <v>1.4121405436003518</v>
      </c>
      <c r="N490" s="679">
        <f t="shared" si="235"/>
        <v>-0.78392908628599756</v>
      </c>
      <c r="O490" s="677">
        <f t="shared" si="236"/>
        <v>5415047.2632044544</v>
      </c>
      <c r="P490" s="680">
        <f t="shared" si="237"/>
        <v>1.5707961421243015</v>
      </c>
      <c r="Q490" s="689">
        <f t="shared" si="259"/>
        <v>27.093697081949276</v>
      </c>
      <c r="R490" s="690">
        <f t="shared" si="260"/>
        <v>1.5338789883670676</v>
      </c>
      <c r="S490" s="677">
        <f t="shared" si="238"/>
        <v>1.016159839167232</v>
      </c>
      <c r="T490" s="680">
        <f t="shared" si="239"/>
        <v>0.17857873011579567</v>
      </c>
      <c r="U490" s="681">
        <f t="shared" si="251"/>
        <v>0.15039715744304386</v>
      </c>
      <c r="V490" s="682">
        <f t="shared" si="252"/>
        <v>-1.5948493029295161</v>
      </c>
      <c r="W490" s="683">
        <f t="shared" si="240"/>
        <v>-44.756153731389851</v>
      </c>
      <c r="X490" s="684">
        <f t="shared" si="241"/>
        <v>-232.77765925357392</v>
      </c>
      <c r="Y490" s="687">
        <f t="shared" si="242"/>
        <v>-52.777659253573916</v>
      </c>
      <c r="AA490" s="170">
        <f t="shared" si="243"/>
        <v>60607</v>
      </c>
      <c r="AB490" s="170">
        <f t="shared" si="244"/>
        <v>3673208449</v>
      </c>
      <c r="AD490" s="686">
        <f t="shared" si="245"/>
        <v>-1.0484700438558989</v>
      </c>
      <c r="AE490" s="687">
        <f t="shared" si="246"/>
        <v>-12.347004662474408</v>
      </c>
      <c r="AG490" s="686">
        <f t="shared" si="247"/>
        <v>46.932545695070203</v>
      </c>
      <c r="AH490" s="687">
        <f t="shared" si="248"/>
        <v>-37.674386347784882</v>
      </c>
      <c r="AJ490" s="170">
        <f t="shared" si="249"/>
        <v>0</v>
      </c>
      <c r="AK490" s="170">
        <f t="shared" si="261"/>
        <v>0</v>
      </c>
      <c r="AM490" s="170" t="str">
        <f t="shared" si="253"/>
        <v>1.99773379675171-0.0672849969860805i</v>
      </c>
      <c r="AN490" s="170" t="str">
        <f t="shared" si="254"/>
        <v>9.4921138310337i</v>
      </c>
      <c r="AO490" s="170" t="str">
        <f t="shared" si="255"/>
        <v>-0.00708851560187759-0.210462477832944i</v>
      </c>
      <c r="AP490" s="170" t="str">
        <f t="shared" si="256"/>
        <v>-0.166288966125285+0.0112141661643467i</v>
      </c>
      <c r="AQ490" s="170" t="str">
        <f t="shared" si="257"/>
        <v>1.16628896612528-0.0112141661643467i</v>
      </c>
      <c r="AR490" s="170" t="str">
        <f t="shared" si="258"/>
        <v>0.714165200778348+0.00686688073276527i</v>
      </c>
    </row>
    <row r="491" spans="7:44">
      <c r="G491" s="688">
        <v>60958</v>
      </c>
      <c r="H491" s="676">
        <f t="shared" si="250"/>
        <v>60.957999999999998</v>
      </c>
      <c r="I491" s="677">
        <f t="shared" si="230"/>
        <v>53.639233511036629</v>
      </c>
      <c r="J491" s="678">
        <f t="shared" si="231"/>
        <v>1.5521521764044728</v>
      </c>
      <c r="K491" s="678">
        <f t="shared" si="232"/>
        <v>1.0035437875508255</v>
      </c>
      <c r="L491" s="679">
        <f t="shared" si="233"/>
        <v>8.4063710869473118E-2</v>
      </c>
      <c r="M491" s="678">
        <f t="shared" si="234"/>
        <v>1.4162235750514027</v>
      </c>
      <c r="N491" s="679">
        <f t="shared" si="235"/>
        <v>-0.78681643451327588</v>
      </c>
      <c r="O491" s="677">
        <f t="shared" si="236"/>
        <v>5446408.0233375207</v>
      </c>
      <c r="P491" s="680">
        <f t="shared" si="237"/>
        <v>1.5707961431876465</v>
      </c>
      <c r="Q491" s="689">
        <f t="shared" si="259"/>
        <v>27.25039465616706</v>
      </c>
      <c r="R491" s="690">
        <f t="shared" si="260"/>
        <v>1.5340913692984517</v>
      </c>
      <c r="S491" s="677">
        <f t="shared" si="238"/>
        <v>1.016346047999988</v>
      </c>
      <c r="T491" s="680">
        <f t="shared" si="239"/>
        <v>0.17959091948272249</v>
      </c>
      <c r="U491" s="681">
        <f t="shared" si="251"/>
        <v>0.14943157482740424</v>
      </c>
      <c r="V491" s="682">
        <f t="shared" si="252"/>
        <v>-1.6145046488424779</v>
      </c>
      <c r="W491" s="683">
        <f t="shared" si="240"/>
        <v>-44.838469644742119</v>
      </c>
      <c r="X491" s="684">
        <f t="shared" si="241"/>
        <v>-234.09366698361754</v>
      </c>
      <c r="Y491" s="687">
        <f t="shared" si="242"/>
        <v>-54.093666983617538</v>
      </c>
      <c r="AA491" s="170">
        <f t="shared" si="243"/>
        <v>60958</v>
      </c>
      <c r="AB491" s="170">
        <f t="shared" si="244"/>
        <v>3715877764</v>
      </c>
      <c r="AD491" s="686">
        <f t="shared" si="245"/>
        <v>-1.0501295031586075</v>
      </c>
      <c r="AE491" s="687">
        <f t="shared" si="246"/>
        <v>-12.392830371227509</v>
      </c>
      <c r="AG491" s="686">
        <f t="shared" si="247"/>
        <v>46.96377942535355</v>
      </c>
      <c r="AH491" s="687">
        <f t="shared" si="248"/>
        <v>-36.692231635136892</v>
      </c>
      <c r="AJ491" s="170">
        <f t="shared" si="249"/>
        <v>0</v>
      </c>
      <c r="AK491" s="170">
        <f t="shared" si="261"/>
        <v>0</v>
      </c>
      <c r="AM491" s="170" t="str">
        <f t="shared" si="253"/>
        <v>1.99252962340187-0.122003879732332i</v>
      </c>
      <c r="AN491" s="170" t="str">
        <f t="shared" si="254"/>
        <v>9.54708655620889i</v>
      </c>
      <c r="AO491" s="170" t="str">
        <f t="shared" si="255"/>
        <v>-0.0127791739410792-0.208705515726789i</v>
      </c>
      <c r="AP491" s="170" t="str">
        <f t="shared" si="256"/>
        <v>-0.165421603900312+0.0203339799553887i</v>
      </c>
      <c r="AQ491" s="170" t="str">
        <f t="shared" si="257"/>
        <v>1.16542160390031-0.0203339799553887i</v>
      </c>
      <c r="AR491" s="170" t="str">
        <f t="shared" si="258"/>
        <v>0.714545267851628+0.0124672042332894i</v>
      </c>
    </row>
    <row r="492" spans="7:44">
      <c r="G492" s="688">
        <v>61309</v>
      </c>
      <c r="H492" s="676">
        <f t="shared" si="250"/>
        <v>61.308999999999997</v>
      </c>
      <c r="I492" s="677">
        <f t="shared" si="230"/>
        <v>53.947984552244414</v>
      </c>
      <c r="J492" s="678">
        <f t="shared" si="231"/>
        <v>1.5522588914606965</v>
      </c>
      <c r="K492" s="678">
        <f t="shared" si="232"/>
        <v>1.0035846426536172</v>
      </c>
      <c r="L492" s="679">
        <f t="shared" si="233"/>
        <v>8.4545458234896689E-2</v>
      </c>
      <c r="M492" s="678">
        <f t="shared" si="234"/>
        <v>1.4203183453069017</v>
      </c>
      <c r="N492" s="679">
        <f t="shared" si="235"/>
        <v>-0.78968715813918255</v>
      </c>
      <c r="O492" s="677">
        <f t="shared" si="236"/>
        <v>5477768.7834705859</v>
      </c>
      <c r="P492" s="680">
        <f t="shared" si="237"/>
        <v>1.5707961442388159</v>
      </c>
      <c r="Q492" s="689">
        <f t="shared" si="259"/>
        <v>27.407093445476772</v>
      </c>
      <c r="R492" s="690">
        <f t="shared" si="260"/>
        <v>1.5343013216829091</v>
      </c>
      <c r="S492" s="677">
        <f t="shared" si="238"/>
        <v>1.0165332977249271</v>
      </c>
      <c r="T492" s="680">
        <f t="shared" si="239"/>
        <v>0.18060273698685747</v>
      </c>
      <c r="U492" s="681">
        <f t="shared" si="251"/>
        <v>0.14841934548557079</v>
      </c>
      <c r="V492" s="682">
        <f t="shared" si="252"/>
        <v>-1.6341923643182938</v>
      </c>
      <c r="W492" s="683">
        <f t="shared" si="240"/>
        <v>-44.923595851949038</v>
      </c>
      <c r="X492" s="684">
        <f t="shared" si="241"/>
        <v>-235.41062611687968</v>
      </c>
      <c r="Y492" s="687">
        <f t="shared" si="242"/>
        <v>-55.410626116879683</v>
      </c>
      <c r="AA492" s="170">
        <f t="shared" si="243"/>
        <v>61309</v>
      </c>
      <c r="AB492" s="170">
        <f t="shared" si="244"/>
        <v>3758793481</v>
      </c>
      <c r="AD492" s="686">
        <f t="shared" si="245"/>
        <v>-1.0517964024740567</v>
      </c>
      <c r="AE492" s="687">
        <f t="shared" si="246"/>
        <v>-12.43877391860385</v>
      </c>
      <c r="AG492" s="686">
        <f t="shared" si="247"/>
        <v>46.998394571494153</v>
      </c>
      <c r="AH492" s="687">
        <f t="shared" si="248"/>
        <v>-35.70720120840744</v>
      </c>
      <c r="AJ492" s="170">
        <f t="shared" si="249"/>
        <v>0</v>
      </c>
      <c r="AK492" s="170">
        <f t="shared" si="261"/>
        <v>0</v>
      </c>
      <c r="AM492" s="170" t="str">
        <f t="shared" si="253"/>
        <v>1.9843267803-0.176354159531973i</v>
      </c>
      <c r="AN492" s="170" t="str">
        <f t="shared" si="254"/>
        <v>9.60205928138408i</v>
      </c>
      <c r="AO492" s="170" t="str">
        <f t="shared" si="255"/>
        <v>-0.0183662852273656-0.206656376736509i</v>
      </c>
      <c r="AP492" s="170" t="str">
        <f t="shared" si="256"/>
        <v>-0.164054463383334+0.0293923599219955i</v>
      </c>
      <c r="AQ492" s="170" t="str">
        <f t="shared" si="257"/>
        <v>1.16405446338333-0.0293923599219955i</v>
      </c>
      <c r="AR492" s="170" t="str">
        <f t="shared" si="258"/>
        <v>0.715146305918022+0.0180574348380004i</v>
      </c>
    </row>
    <row r="493" spans="7:44">
      <c r="G493" s="688">
        <v>61660</v>
      </c>
      <c r="H493" s="676">
        <f t="shared" si="250"/>
        <v>61.66</v>
      </c>
      <c r="I493" s="677">
        <f t="shared" si="230"/>
        <v>54.256736200825252</v>
      </c>
      <c r="J493" s="678">
        <f t="shared" si="231"/>
        <v>1.5523643919795351</v>
      </c>
      <c r="K493" s="678">
        <f t="shared" si="232"/>
        <v>1.0036257306498648</v>
      </c>
      <c r="L493" s="679">
        <f t="shared" si="233"/>
        <v>8.5027166267056975E-2</v>
      </c>
      <c r="M493" s="678">
        <f t="shared" si="234"/>
        <v>1.4244247531308114</v>
      </c>
      <c r="N493" s="679">
        <f t="shared" si="235"/>
        <v>-0.79254135342286691</v>
      </c>
      <c r="O493" s="677">
        <f t="shared" si="236"/>
        <v>5509129.5436036512</v>
      </c>
      <c r="P493" s="680">
        <f t="shared" si="237"/>
        <v>1.5707961452780177</v>
      </c>
      <c r="Q493" s="689">
        <f t="shared" si="259"/>
        <v>27.563793429155204</v>
      </c>
      <c r="R493" s="690">
        <f t="shared" si="260"/>
        <v>1.5345088869205901</v>
      </c>
      <c r="S493" s="677">
        <f t="shared" si="238"/>
        <v>1.016721587766946</v>
      </c>
      <c r="T493" s="680">
        <f t="shared" si="239"/>
        <v>0.18161418076248712</v>
      </c>
      <c r="U493" s="681">
        <f t="shared" si="251"/>
        <v>0.1473608648048999</v>
      </c>
      <c r="V493" s="682">
        <f t="shared" si="252"/>
        <v>-1.653927058210974</v>
      </c>
      <c r="W493" s="683">
        <f t="shared" si="240"/>
        <v>-45.011574121381827</v>
      </c>
      <c r="X493" s="684">
        <f t="shared" si="241"/>
        <v>-236.72937793635398</v>
      </c>
      <c r="Y493" s="687">
        <f t="shared" si="242"/>
        <v>-56.729377936353984</v>
      </c>
      <c r="AA493" s="170">
        <f t="shared" si="243"/>
        <v>61660</v>
      </c>
      <c r="AB493" s="170">
        <f t="shared" si="244"/>
        <v>3801955600</v>
      </c>
      <c r="AD493" s="686">
        <f t="shared" si="245"/>
        <v>-1.0534707584464442</v>
      </c>
      <c r="AE493" s="687">
        <f t="shared" si="246"/>
        <v>-12.484832825663968</v>
      </c>
      <c r="AG493" s="686">
        <f t="shared" si="247"/>
        <v>47.036424677735049</v>
      </c>
      <c r="AH493" s="687">
        <f t="shared" si="248"/>
        <v>-34.718464778171281</v>
      </c>
      <c r="AJ493" s="170">
        <f t="shared" si="249"/>
        <v>0</v>
      </c>
      <c r="AK493" s="170">
        <f t="shared" si="261"/>
        <v>0</v>
      </c>
      <c r="AM493" s="170" t="str">
        <f t="shared" si="253"/>
        <v>1.9731500502001-0.230171631170172i</v>
      </c>
      <c r="AN493" s="170" t="str">
        <f t="shared" si="254"/>
        <v>9.65703200655928i</v>
      </c>
      <c r="AO493" s="170" t="str">
        <f t="shared" si="255"/>
        <v>-0.023834614094044-0.204322616810205i</v>
      </c>
      <c r="AP493" s="170" t="str">
        <f t="shared" si="256"/>
        <v>-0.16219167503335+0.038361938528362i</v>
      </c>
      <c r="AQ493" s="170" t="str">
        <f t="shared" si="257"/>
        <v>1.16219167503335-0.038361938528362i</v>
      </c>
      <c r="AR493" s="170" t="str">
        <f t="shared" si="258"/>
        <v>0.715969158828037+0.0236329044934658i</v>
      </c>
    </row>
    <row r="494" spans="7:44">
      <c r="G494" s="688">
        <v>62019</v>
      </c>
      <c r="H494" s="676">
        <f t="shared" si="250"/>
        <v>62.018999999999998</v>
      </c>
      <c r="I494" s="677">
        <f t="shared" si="230"/>
        <v>54.572525541568275</v>
      </c>
      <c r="J494" s="678">
        <f t="shared" si="231"/>
        <v>1.5524710621770503</v>
      </c>
      <c r="K494" s="678">
        <f t="shared" si="232"/>
        <v>1.0036679960109625</v>
      </c>
      <c r="L494" s="679">
        <f t="shared" si="233"/>
        <v>8.551981248349734E-2</v>
      </c>
      <c r="M494" s="678">
        <f t="shared" si="234"/>
        <v>1.4286366881534378</v>
      </c>
      <c r="N494" s="679">
        <f t="shared" si="235"/>
        <v>-0.79544360418581561</v>
      </c>
      <c r="O494" s="677">
        <f t="shared" si="236"/>
        <v>5541205.0788964452</v>
      </c>
      <c r="P494" s="680">
        <f t="shared" si="237"/>
        <v>1.570796146328737</v>
      </c>
      <c r="Q494" s="689">
        <f t="shared" si="259"/>
        <v>27.724066136836225</v>
      </c>
      <c r="R494" s="690">
        <f t="shared" si="260"/>
        <v>1.5347187557826061</v>
      </c>
      <c r="S494" s="677">
        <f t="shared" si="238"/>
        <v>1.0169152448712433</v>
      </c>
      <c r="T494" s="680">
        <f t="shared" si="239"/>
        <v>0.18264828884508896</v>
      </c>
      <c r="U494" s="681">
        <f t="shared" si="251"/>
        <v>0.14623066243127023</v>
      </c>
      <c r="V494" s="682">
        <f t="shared" si="252"/>
        <v>-1.6741754382693055</v>
      </c>
      <c r="W494" s="683">
        <f t="shared" si="240"/>
        <v>-45.104564888740704</v>
      </c>
      <c r="X494" s="684">
        <f t="shared" si="241"/>
        <v>-238.08092206899605</v>
      </c>
      <c r="Y494" s="687">
        <f t="shared" si="242"/>
        <v>-58.080922068996045</v>
      </c>
      <c r="AA494" s="170">
        <f t="shared" si="243"/>
        <v>62019</v>
      </c>
      <c r="AB494" s="170">
        <f t="shared" si="244"/>
        <v>3846356361</v>
      </c>
      <c r="AD494" s="686">
        <f t="shared" si="245"/>
        <v>-1.055191006424204</v>
      </c>
      <c r="AE494" s="687">
        <f t="shared" si="246"/>
        <v>-12.532058314568426</v>
      </c>
      <c r="AG494" s="686">
        <f t="shared" si="247"/>
        <v>47.078902726255492</v>
      </c>
      <c r="AH494" s="687">
        <f t="shared" si="248"/>
        <v>-33.702489980619013</v>
      </c>
      <c r="AJ494" s="170">
        <f t="shared" si="249"/>
        <v>0</v>
      </c>
      <c r="AK494" s="170">
        <f t="shared" si="261"/>
        <v>0</v>
      </c>
      <c r="AM494" s="170" t="str">
        <f t="shared" si="253"/>
        <v>1.95867749810577-0.284495087173165i</v>
      </c>
      <c r="AN494" s="170" t="str">
        <f t="shared" si="254"/>
        <v>9.7132576713396i</v>
      </c>
      <c r="AO494" s="170" t="str">
        <f t="shared" si="255"/>
        <v>-0.0292893586064961-0.201649906177732i</v>
      </c>
      <c r="AP494" s="170" t="str">
        <f t="shared" si="256"/>
        <v>-0.159779583017628+0.0474158478621942i</v>
      </c>
      <c r="AQ494" s="170" t="str">
        <f t="shared" si="257"/>
        <v>1.15977958301763-0.0474158478621942i</v>
      </c>
      <c r="AR494" s="170" t="str">
        <f t="shared" si="258"/>
        <v>0.71704141795413+0.0293151623657167i</v>
      </c>
    </row>
    <row r="495" spans="7:44">
      <c r="G495" s="688">
        <v>62378</v>
      </c>
      <c r="H495" s="676">
        <f t="shared" si="250"/>
        <v>62.378</v>
      </c>
      <c r="I495" s="677">
        <f t="shared" si="230"/>
        <v>54.888315496121386</v>
      </c>
      <c r="J495" s="678">
        <f t="shared" si="231"/>
        <v>1.5525765049605371</v>
      </c>
      <c r="K495" s="678">
        <f t="shared" si="232"/>
        <v>1.003710504942029</v>
      </c>
      <c r="L495" s="679">
        <f t="shared" si="233"/>
        <v>8.6012417090591736E-2</v>
      </c>
      <c r="M495" s="678">
        <f t="shared" si="234"/>
        <v>1.4328605858633616</v>
      </c>
      <c r="N495" s="679">
        <f t="shared" si="235"/>
        <v>-0.7983287681711948</v>
      </c>
      <c r="O495" s="677">
        <f t="shared" si="236"/>
        <v>5573280.6141892383</v>
      </c>
      <c r="P495" s="680">
        <f t="shared" si="237"/>
        <v>1.5707961473673622</v>
      </c>
      <c r="Q495" s="689">
        <f t="shared" si="259"/>
        <v>27.884340051584772</v>
      </c>
      <c r="R495" s="690">
        <f t="shared" si="260"/>
        <v>1.5349262120805909</v>
      </c>
      <c r="S495" s="677">
        <f t="shared" si="238"/>
        <v>1.0171099890290989</v>
      </c>
      <c r="T495" s="680">
        <f t="shared" si="239"/>
        <v>0.18368200203526819</v>
      </c>
      <c r="U495" s="681">
        <f t="shared" si="251"/>
        <v>0.1450524145382544</v>
      </c>
      <c r="V495" s="682">
        <f t="shared" si="252"/>
        <v>-1.6945041076171929</v>
      </c>
      <c r="W495" s="683">
        <f t="shared" si="240"/>
        <v>-45.200669039785559</v>
      </c>
      <c r="X495" s="684">
        <f t="shared" si="241"/>
        <v>-239.43613510060476</v>
      </c>
      <c r="Y495" s="687">
        <f t="shared" si="242"/>
        <v>-59.436135100604758</v>
      </c>
      <c r="AA495" s="170">
        <f t="shared" si="243"/>
        <v>62378</v>
      </c>
      <c r="AB495" s="170">
        <f t="shared" si="244"/>
        <v>3891014884</v>
      </c>
      <c r="AD495" s="686">
        <f t="shared" si="245"/>
        <v>-1.0569190875651819</v>
      </c>
      <c r="AE495" s="687">
        <f t="shared" si="246"/>
        <v>-12.579399406847708</v>
      </c>
      <c r="AG495" s="686">
        <f t="shared" si="247"/>
        <v>47.125066053144877</v>
      </c>
      <c r="AH495" s="687">
        <f t="shared" si="248"/>
        <v>-32.680868003784802</v>
      </c>
      <c r="AJ495" s="170">
        <f t="shared" si="249"/>
        <v>0</v>
      </c>
      <c r="AK495" s="170">
        <f t="shared" si="261"/>
        <v>0</v>
      </c>
      <c r="AM495" s="170" t="str">
        <f t="shared" si="253"/>
        <v>1.94117505283815-0.337919398548105i</v>
      </c>
      <c r="AN495" s="170" t="str">
        <f t="shared" si="254"/>
        <v>9.76948333611992i</v>
      </c>
      <c r="AO495" s="170" t="str">
        <f t="shared" si="255"/>
        <v>-0.0345892804073623-0.198697821169437i</v>
      </c>
      <c r="AP495" s="170" t="str">
        <f t="shared" si="256"/>
        <v>-0.156862508806358+0.0563198997580175i</v>
      </c>
      <c r="AQ495" s="170" t="str">
        <f t="shared" si="257"/>
        <v>1.15686250880636-0.0563198997580175i</v>
      </c>
      <c r="AR495" s="170" t="str">
        <f t="shared" si="258"/>
        <v>0.718348461998683+0.0349715831078624i</v>
      </c>
    </row>
    <row r="496" spans="7:44">
      <c r="G496" s="688">
        <v>62737</v>
      </c>
      <c r="H496" s="676">
        <f t="shared" si="250"/>
        <v>62.737000000000002</v>
      </c>
      <c r="I496" s="677">
        <f t="shared" si="230"/>
        <v>55.204106053950852</v>
      </c>
      <c r="J496" s="678">
        <f t="shared" si="231"/>
        <v>1.5526807413915946</v>
      </c>
      <c r="K496" s="678">
        <f t="shared" si="232"/>
        <v>1.0037532574121188</v>
      </c>
      <c r="L496" s="679">
        <f t="shared" si="233"/>
        <v>8.6504979854571687E-2</v>
      </c>
      <c r="M496" s="678">
        <f t="shared" si="234"/>
        <v>1.4370963407787916</v>
      </c>
      <c r="N496" s="679">
        <f t="shared" si="235"/>
        <v>-0.80119694822062015</v>
      </c>
      <c r="O496" s="677">
        <f t="shared" si="236"/>
        <v>5605356.1494820323</v>
      </c>
      <c r="P496" s="680">
        <f t="shared" si="237"/>
        <v>1.5707961483941004</v>
      </c>
      <c r="Q496" s="689">
        <f t="shared" si="259"/>
        <v>28.044615152705806</v>
      </c>
      <c r="R496" s="690">
        <f t="shared" si="260"/>
        <v>1.5351312971599753</v>
      </c>
      <c r="S496" s="677">
        <f t="shared" si="238"/>
        <v>1.0173058196162248</v>
      </c>
      <c r="T496" s="680">
        <f t="shared" si="239"/>
        <v>0.18471531835127097</v>
      </c>
      <c r="U496" s="681">
        <f t="shared" si="251"/>
        <v>0.14382604524599224</v>
      </c>
      <c r="V496" s="682">
        <f t="shared" si="252"/>
        <v>-1.714928974601406</v>
      </c>
      <c r="W496" s="683">
        <f t="shared" si="240"/>
        <v>-45.299974115852322</v>
      </c>
      <c r="X496" s="684">
        <f t="shared" si="241"/>
        <v>-240.79593314238241</v>
      </c>
      <c r="Y496" s="687">
        <f t="shared" si="242"/>
        <v>-60.79593314238241</v>
      </c>
      <c r="AA496" s="170">
        <f t="shared" si="243"/>
        <v>62737</v>
      </c>
      <c r="AB496" s="170">
        <f t="shared" si="244"/>
        <v>3935931169</v>
      </c>
      <c r="AD496" s="686">
        <f t="shared" si="245"/>
        <v>-1.0586550172057028</v>
      </c>
      <c r="AE496" s="687">
        <f t="shared" si="246"/>
        <v>-12.626853620048834</v>
      </c>
      <c r="AG496" s="686">
        <f t="shared" si="247"/>
        <v>47.174993848219565</v>
      </c>
      <c r="AH496" s="687">
        <f t="shared" si="248"/>
        <v>-31.652694479063875</v>
      </c>
      <c r="AJ496" s="170">
        <f t="shared" si="249"/>
        <v>0</v>
      </c>
      <c r="AK496" s="170">
        <f t="shared" si="261"/>
        <v>0</v>
      </c>
      <c r="AM496" s="170" t="str">
        <f t="shared" si="253"/>
        <v>1.92069803074662-0.390275718152302i</v>
      </c>
      <c r="AN496" s="170" t="str">
        <f t="shared" si="254"/>
        <v>9.82570900090025i</v>
      </c>
      <c r="AO496" s="170" t="str">
        <f t="shared" si="255"/>
        <v>-0.0397198531033785-0.195476787534685i</v>
      </c>
      <c r="AP496" s="170" t="str">
        <f t="shared" si="256"/>
        <v>-0.153449671791103+0.0650459530253837i</v>
      </c>
      <c r="AQ496" s="170" t="str">
        <f t="shared" si="257"/>
        <v>1.1534496717911-0.0650459530253837i</v>
      </c>
      <c r="AR496" s="170" t="str">
        <f t="shared" si="258"/>
        <v>0.719892145617173+0.0405965442900035i</v>
      </c>
    </row>
    <row r="497" spans="7:44">
      <c r="G497" s="688">
        <v>63096</v>
      </c>
      <c r="H497" s="676">
        <f t="shared" si="250"/>
        <v>63.095999999999997</v>
      </c>
      <c r="I497" s="677">
        <f t="shared" si="230"/>
        <v>55.519897204762565</v>
      </c>
      <c r="J497" s="678">
        <f t="shared" si="231"/>
        <v>1.5527837920527428</v>
      </c>
      <c r="K497" s="678">
        <f t="shared" si="232"/>
        <v>1.003796253390115</v>
      </c>
      <c r="L497" s="679">
        <f t="shared" si="233"/>
        <v>8.6997500541789688E-2</v>
      </c>
      <c r="M497" s="678">
        <f t="shared" si="234"/>
        <v>1.441343848363503</v>
      </c>
      <c r="N497" s="679">
        <f t="shared" si="235"/>
        <v>-0.80404824708626876</v>
      </c>
      <c r="O497" s="677">
        <f t="shared" si="236"/>
        <v>5637431.6847748253</v>
      </c>
      <c r="P497" s="680">
        <f t="shared" si="237"/>
        <v>1.5707961494091551</v>
      </c>
      <c r="Q497" s="689">
        <f t="shared" si="259"/>
        <v>28.204891419974537</v>
      </c>
      <c r="R497" s="690">
        <f t="shared" si="260"/>
        <v>1.5353340514272051</v>
      </c>
      <c r="S497" s="677">
        <f t="shared" si="238"/>
        <v>1.0175027360053317</v>
      </c>
      <c r="T497" s="680">
        <f t="shared" si="239"/>
        <v>0.18574823581625494</v>
      </c>
      <c r="U497" s="681">
        <f t="shared" si="251"/>
        <v>0.1425513162924274</v>
      </c>
      <c r="V497" s="682">
        <f t="shared" si="252"/>
        <v>-1.7354660828455009</v>
      </c>
      <c r="W497" s="683">
        <f t="shared" si="240"/>
        <v>-45.402583125588343</v>
      </c>
      <c r="X497" s="684">
        <f t="shared" si="241"/>
        <v>-242.16124007782068</v>
      </c>
      <c r="Y497" s="687">
        <f t="shared" si="242"/>
        <v>-62.161240077820679</v>
      </c>
      <c r="AA497" s="170">
        <f t="shared" si="243"/>
        <v>63096</v>
      </c>
      <c r="AB497" s="170">
        <f t="shared" si="244"/>
        <v>3981105216</v>
      </c>
      <c r="AD497" s="686">
        <f t="shared" si="245"/>
        <v>-1.0603988099016914</v>
      </c>
      <c r="AE497" s="687">
        <f t="shared" si="246"/>
        <v>-12.674418525799929</v>
      </c>
      <c r="AG497" s="686">
        <f t="shared" si="247"/>
        <v>47.228780913413914</v>
      </c>
      <c r="AH497" s="687">
        <f t="shared" si="248"/>
        <v>-30.617057254481978</v>
      </c>
      <c r="AJ497" s="170">
        <f t="shared" si="249"/>
        <v>0</v>
      </c>
      <c r="AK497" s="170">
        <f t="shared" si="261"/>
        <v>0</v>
      </c>
      <c r="AM497" s="170" t="str">
        <f t="shared" si="253"/>
        <v>1.89731114930873-0.441398574223168i</v>
      </c>
      <c r="AN497" s="170" t="str">
        <f t="shared" si="254"/>
        <v>9.88193466568057i</v>
      </c>
      <c r="AO497" s="170" t="str">
        <f t="shared" si="255"/>
        <v>-0.0446672224778131-0.191997945088424i</v>
      </c>
      <c r="AP497" s="170" t="str">
        <f t="shared" si="256"/>
        <v>-0.149551858218122+0.0735664290371947i</v>
      </c>
      <c r="AQ497" s="170" t="str">
        <f t="shared" si="257"/>
        <v>1.14955185821812-0.0735664290371947i</v>
      </c>
      <c r="AR497" s="170" t="str">
        <f t="shared" si="258"/>
        <v>0.721674619829496+0.0461841058566297i</v>
      </c>
    </row>
    <row r="498" spans="7:44">
      <c r="G498" s="688">
        <v>63463.25</v>
      </c>
      <c r="H498" s="676">
        <f t="shared" si="250"/>
        <v>63.463250000000002</v>
      </c>
      <c r="I498" s="677">
        <f t="shared" si="230"/>
        <v>55.842945997645629</v>
      </c>
      <c r="J498" s="678">
        <f t="shared" si="231"/>
        <v>1.5528880048848306</v>
      </c>
      <c r="K498" s="678">
        <f t="shared" si="232"/>
        <v>1.0038404893707231</v>
      </c>
      <c r="L498" s="679">
        <f t="shared" si="233"/>
        <v>8.7501295819568531E-2</v>
      </c>
      <c r="M498" s="678">
        <f t="shared" si="234"/>
        <v>1.4457010186882444</v>
      </c>
      <c r="N498" s="679">
        <f t="shared" si="235"/>
        <v>-0.80694770970344376</v>
      </c>
      <c r="O498" s="677">
        <f t="shared" si="236"/>
        <v>5670244.3319510883</v>
      </c>
      <c r="P498" s="680">
        <f t="shared" si="237"/>
        <v>1.5707961504356533</v>
      </c>
      <c r="Q498" s="689">
        <f t="shared" si="259"/>
        <v>28.368852102271628</v>
      </c>
      <c r="R498" s="690">
        <f t="shared" si="260"/>
        <v>1.5355390944901652</v>
      </c>
      <c r="S498" s="677">
        <f t="shared" si="238"/>
        <v>1.017705300491706</v>
      </c>
      <c r="T498" s="680">
        <f t="shared" si="239"/>
        <v>0.18680447548144422</v>
      </c>
      <c r="U498" s="681">
        <f t="shared" si="251"/>
        <v>0.1411968376948598</v>
      </c>
      <c r="V498" s="682">
        <f t="shared" si="252"/>
        <v>-1.7566081744511608</v>
      </c>
      <c r="W498" s="683">
        <f t="shared" si="240"/>
        <v>-45.511093207165544</v>
      </c>
      <c r="X498" s="684">
        <f t="shared" si="241"/>
        <v>-243.56459531327965</v>
      </c>
      <c r="Y498" s="687">
        <f t="shared" si="242"/>
        <v>-63.564595313279654</v>
      </c>
      <c r="AA498" s="170">
        <f t="shared" si="243"/>
        <v>63463.25</v>
      </c>
      <c r="AB498" s="170">
        <f t="shared" si="244"/>
        <v>4027584100.5625</v>
      </c>
      <c r="AD498" s="686">
        <f t="shared" si="245"/>
        <v>-1.0621908263902005</v>
      </c>
      <c r="AE498" s="687">
        <f t="shared" si="246"/>
        <v>-12.723188557513275</v>
      </c>
      <c r="AG498" s="686">
        <f t="shared" si="247"/>
        <v>47.287913315530631</v>
      </c>
      <c r="AH498" s="687">
        <f t="shared" si="248"/>
        <v>-29.548937217292664</v>
      </c>
      <c r="AJ498" s="170">
        <f t="shared" si="249"/>
        <v>0</v>
      </c>
      <c r="AK498" s="170">
        <f t="shared" si="261"/>
        <v>0</v>
      </c>
      <c r="AM498" s="170" t="str">
        <f t="shared" si="253"/>
        <v>1.87045301417349-0.492251511035046i</v>
      </c>
      <c r="AN498" s="170" t="str">
        <f t="shared" si="254"/>
        <v>9.93945242442869i</v>
      </c>
      <c r="AO498" s="170" t="str">
        <f t="shared" si="255"/>
        <v>-0.0495250130505394-0.188184714238018i</v>
      </c>
      <c r="AP498" s="170" t="str">
        <f t="shared" si="256"/>
        <v>-0.145075502362248+0.082041918505841i</v>
      </c>
      <c r="AQ498" s="170" t="str">
        <f t="shared" si="257"/>
        <v>1.14507550236225-0.082041918505841i</v>
      </c>
      <c r="AR498" s="170" t="str">
        <f t="shared" si="258"/>
        <v>0.72374767599865+0.0518547883790886i</v>
      </c>
    </row>
    <row r="499" spans="7:44">
      <c r="G499" s="688">
        <v>63830.5</v>
      </c>
      <c r="H499" s="676">
        <f t="shared" si="250"/>
        <v>63.830500000000001</v>
      </c>
      <c r="I499" s="677">
        <f t="shared" si="230"/>
        <v>56.165995390024158</v>
      </c>
      <c r="J499" s="678">
        <f t="shared" si="231"/>
        <v>1.5529910189182243</v>
      </c>
      <c r="K499" s="678">
        <f t="shared" si="232"/>
        <v>1.0038849801132745</v>
      </c>
      <c r="L499" s="679">
        <f t="shared" si="233"/>
        <v>8.8005046570226439E-2</v>
      </c>
      <c r="M499" s="678">
        <f t="shared" si="234"/>
        <v>1.4500702697538814</v>
      </c>
      <c r="N499" s="679">
        <f t="shared" si="235"/>
        <v>-0.8098297235090709</v>
      </c>
      <c r="O499" s="677">
        <f t="shared" si="236"/>
        <v>5703056.9791273512</v>
      </c>
      <c r="P499" s="680">
        <f t="shared" si="237"/>
        <v>1.5707961514503395</v>
      </c>
      <c r="Q499" s="689">
        <f t="shared" si="259"/>
        <v>28.532813963563164</v>
      </c>
      <c r="R499" s="690">
        <f t="shared" si="260"/>
        <v>1.5357417810297287</v>
      </c>
      <c r="S499" s="677">
        <f t="shared" si="238"/>
        <v>1.0179089999204645</v>
      </c>
      <c r="T499" s="680">
        <f t="shared" si="239"/>
        <v>0.18786029358417441</v>
      </c>
      <c r="U499" s="681">
        <f t="shared" si="251"/>
        <v>0.139790736043611</v>
      </c>
      <c r="V499" s="682">
        <f t="shared" si="252"/>
        <v>-1.7779022056352591</v>
      </c>
      <c r="W499" s="683">
        <f t="shared" si="240"/>
        <v>-45.623331639914809</v>
      </c>
      <c r="X499" s="684">
        <f t="shared" si="241"/>
        <v>-244.97570103160263</v>
      </c>
      <c r="Y499" s="687">
        <f t="shared" si="242"/>
        <v>-64.975701031602625</v>
      </c>
      <c r="AA499" s="170">
        <f t="shared" si="243"/>
        <v>63830.5</v>
      </c>
      <c r="AB499" s="170">
        <f t="shared" si="244"/>
        <v>4074332730.25</v>
      </c>
      <c r="AD499" s="686">
        <f t="shared" si="245"/>
        <v>-1.0639910999021072</v>
      </c>
      <c r="AE499" s="687">
        <f t="shared" si="246"/>
        <v>-12.772069453645218</v>
      </c>
      <c r="AG499" s="686">
        <f t="shared" si="247"/>
        <v>47.351338299739787</v>
      </c>
      <c r="AH499" s="687">
        <f t="shared" si="248"/>
        <v>-28.471045805357903</v>
      </c>
      <c r="AJ499" s="170">
        <f t="shared" si="249"/>
        <v>0</v>
      </c>
      <c r="AK499" s="170">
        <f t="shared" si="261"/>
        <v>0</v>
      </c>
      <c r="AM499" s="170" t="str">
        <f t="shared" si="253"/>
        <v>1.84071595962132-0.541476384746378i</v>
      </c>
      <c r="AN499" s="170" t="str">
        <f t="shared" si="254"/>
        <v>9.99697018317681i</v>
      </c>
      <c r="AO499" s="170" t="str">
        <f t="shared" si="255"/>
        <v>-0.0541640491893824-0.184127383186451i</v>
      </c>
      <c r="AP499" s="170" t="str">
        <f t="shared" si="256"/>
        <v>-0.140119326603553+0.0902460641243963i</v>
      </c>
      <c r="AQ499" s="170" t="str">
        <f t="shared" si="257"/>
        <v>1.14011932660355-0.0902460641243963i</v>
      </c>
      <c r="AR499" s="170" t="str">
        <f t="shared" si="258"/>
        <v>0.726076046572031+0.0574724977720798i</v>
      </c>
    </row>
    <row r="500" spans="7:44">
      <c r="G500" s="688">
        <v>64197.75</v>
      </c>
      <c r="H500" s="676">
        <f t="shared" si="250"/>
        <v>64.197749999999999</v>
      </c>
      <c r="I500" s="677">
        <f t="shared" si="230"/>
        <v>56.48904537161301</v>
      </c>
      <c r="J500" s="678">
        <f t="shared" si="231"/>
        <v>1.5530928547178158</v>
      </c>
      <c r="K500" s="678">
        <f t="shared" si="232"/>
        <v>1.0039297255838993</v>
      </c>
      <c r="L500" s="679">
        <f t="shared" si="233"/>
        <v>8.8508752544031927E-2</v>
      </c>
      <c r="M500" s="678">
        <f t="shared" si="234"/>
        <v>1.4544514926868179</v>
      </c>
      <c r="N500" s="679">
        <f t="shared" si="235"/>
        <v>-0.81269439809356159</v>
      </c>
      <c r="O500" s="677">
        <f t="shared" si="236"/>
        <v>5735869.6263036141</v>
      </c>
      <c r="P500" s="680">
        <f t="shared" si="237"/>
        <v>1.5707961524534166</v>
      </c>
      <c r="Q500" s="689">
        <f t="shared" si="259"/>
        <v>28.696776983640241</v>
      </c>
      <c r="R500" s="690">
        <f t="shared" si="260"/>
        <v>1.5359421514220688</v>
      </c>
      <c r="S500" s="677">
        <f t="shared" si="238"/>
        <v>1.018113833610385</v>
      </c>
      <c r="T500" s="680">
        <f t="shared" si="239"/>
        <v>0.18891568802423719</v>
      </c>
      <c r="U500" s="681">
        <f t="shared" si="251"/>
        <v>0.13833224244345621</v>
      </c>
      <c r="V500" s="682">
        <f t="shared" si="252"/>
        <v>-1.7993659123292882</v>
      </c>
      <c r="W500" s="683">
        <f t="shared" si="240"/>
        <v>-45.739464176568731</v>
      </c>
      <c r="X500" s="684">
        <f t="shared" si="241"/>
        <v>-246.3955784647635</v>
      </c>
      <c r="Y500" s="687">
        <f t="shared" si="242"/>
        <v>-66.395578464763503</v>
      </c>
      <c r="AA500" s="170">
        <f t="shared" si="243"/>
        <v>64197.75</v>
      </c>
      <c r="AB500" s="170">
        <f t="shared" si="244"/>
        <v>4121351105.0625</v>
      </c>
      <c r="AD500" s="686">
        <f t="shared" si="245"/>
        <v>-1.065799643644662</v>
      </c>
      <c r="AE500" s="687">
        <f t="shared" si="246"/>
        <v>-12.821058780489992</v>
      </c>
      <c r="AG500" s="686">
        <f t="shared" si="247"/>
        <v>47.419213284367274</v>
      </c>
      <c r="AH500" s="687">
        <f t="shared" si="248"/>
        <v>-27.382374296314417</v>
      </c>
      <c r="AJ500" s="170">
        <f t="shared" si="249"/>
        <v>0</v>
      </c>
      <c r="AK500" s="170">
        <f t="shared" si="261"/>
        <v>0</v>
      </c>
      <c r="AM500" s="170" t="str">
        <f t="shared" si="253"/>
        <v>1.80819833740971-0.58891038996453i</v>
      </c>
      <c r="AN500" s="170" t="str">
        <f t="shared" si="254"/>
        <v>10.0544879419249i</v>
      </c>
      <c r="AO500" s="170" t="str">
        <f t="shared" si="255"/>
        <v>-0.0585718928070826-0.179839923012881i</v>
      </c>
      <c r="AP500" s="170" t="str">
        <f t="shared" si="256"/>
        <v>-0.134699722901619+0.098151731660755i</v>
      </c>
      <c r="AQ500" s="170" t="str">
        <f t="shared" si="257"/>
        <v>1.13469972290162-0.098151731660755i</v>
      </c>
      <c r="AR500" s="170" t="str">
        <f t="shared" si="258"/>
        <v>0.728662862710228+0.0630294696723854i</v>
      </c>
    </row>
    <row r="501" spans="7:44">
      <c r="G501" s="688">
        <v>64565</v>
      </c>
      <c r="H501" s="676">
        <f t="shared" si="250"/>
        <v>64.564999999999998</v>
      </c>
      <c r="I501" s="677">
        <f t="shared" si="230"/>
        <v>56.81209593236089</v>
      </c>
      <c r="J501" s="678">
        <f t="shared" si="231"/>
        <v>1.5531935323808432</v>
      </c>
      <c r="K501" s="678">
        <f t="shared" si="232"/>
        <v>1.0039747257485385</v>
      </c>
      <c r="L501" s="679">
        <f t="shared" si="233"/>
        <v>8.9012413491388748E-2</v>
      </c>
      <c r="M501" s="678">
        <f t="shared" si="234"/>
        <v>1.4588445796248084</v>
      </c>
      <c r="N501" s="679">
        <f t="shared" si="235"/>
        <v>-0.81554184287100295</v>
      </c>
      <c r="O501" s="677">
        <f t="shared" si="236"/>
        <v>5768682.273479877</v>
      </c>
      <c r="P501" s="680">
        <f t="shared" si="237"/>
        <v>1.5707961534450825</v>
      </c>
      <c r="Q501" s="689">
        <f t="shared" si="259"/>
        <v>28.860741142753064</v>
      </c>
      <c r="R501" s="690">
        <f t="shared" si="260"/>
        <v>1.5361402451265684</v>
      </c>
      <c r="S501" s="677">
        <f t="shared" si="238"/>
        <v>1.0183198008770025</v>
      </c>
      <c r="T501" s="680">
        <f t="shared" si="239"/>
        <v>0.18997065670688468</v>
      </c>
      <c r="U501" s="681">
        <f t="shared" si="251"/>
        <v>0.13682041854535565</v>
      </c>
      <c r="V501" s="682">
        <f t="shared" si="252"/>
        <v>-1.8210172543830327</v>
      </c>
      <c r="W501" s="683">
        <f t="shared" si="240"/>
        <v>-45.859677562195884</v>
      </c>
      <c r="X501" s="684">
        <f t="shared" si="241"/>
        <v>-247.82526169024487</v>
      </c>
      <c r="Y501" s="687">
        <f t="shared" si="242"/>
        <v>-67.825261690244872</v>
      </c>
      <c r="AA501" s="170">
        <f t="shared" si="243"/>
        <v>64565</v>
      </c>
      <c r="AB501" s="170">
        <f t="shared" si="244"/>
        <v>4168639225</v>
      </c>
      <c r="AD501" s="686">
        <f t="shared" si="245"/>
        <v>-1.0676164700748767</v>
      </c>
      <c r="AE501" s="687">
        <f t="shared" si="246"/>
        <v>-12.870154157182586</v>
      </c>
      <c r="AG501" s="686">
        <f t="shared" si="247"/>
        <v>47.49171682594838</v>
      </c>
      <c r="AH501" s="687">
        <f t="shared" si="248"/>
        <v>-26.28190110132083</v>
      </c>
      <c r="AJ501" s="170">
        <f t="shared" si="249"/>
        <v>0</v>
      </c>
      <c r="AK501" s="170">
        <f t="shared" si="261"/>
        <v>0</v>
      </c>
      <c r="AM501" s="170" t="str">
        <f t="shared" si="253"/>
        <v>1.77300769569169-0.634396644380642i</v>
      </c>
      <c r="AN501" s="170" t="str">
        <f t="shared" si="254"/>
        <v>10.112005700673i</v>
      </c>
      <c r="AO501" s="170" t="str">
        <f t="shared" si="255"/>
        <v>-0.062736974558709-0.175336896375928i</v>
      </c>
      <c r="AP501" s="170" t="str">
        <f t="shared" si="256"/>
        <v>-0.128834615948616+0.10573277406344i</v>
      </c>
      <c r="AQ501" s="170" t="str">
        <f t="shared" si="257"/>
        <v>1.12883461594862-0.10573277406344i</v>
      </c>
      <c r="AR501" s="170" t="str">
        <f t="shared" si="258"/>
        <v>0.731511472668895+0.0685173329837317i</v>
      </c>
    </row>
    <row r="502" spans="7:44">
      <c r="G502" s="688">
        <v>64941</v>
      </c>
      <c r="H502" s="676">
        <f t="shared" si="250"/>
        <v>64.941000000000003</v>
      </c>
      <c r="I502" s="677">
        <f t="shared" si="230"/>
        <v>57.142843998888338</v>
      </c>
      <c r="J502" s="678">
        <f t="shared" si="231"/>
        <v>1.5532954294166514</v>
      </c>
      <c r="K502" s="678">
        <f t="shared" si="232"/>
        <v>1.0040210619079801</v>
      </c>
      <c r="L502" s="679">
        <f t="shared" si="233"/>
        <v>8.9528027620481732E-2</v>
      </c>
      <c r="M502" s="678">
        <f t="shared" si="234"/>
        <v>1.463354514869754</v>
      </c>
      <c r="N502" s="679">
        <f t="shared" si="235"/>
        <v>-0.81843939368865104</v>
      </c>
      <c r="O502" s="677">
        <f t="shared" si="236"/>
        <v>5802276.705987093</v>
      </c>
      <c r="P502" s="680">
        <f t="shared" si="237"/>
        <v>1.5707961544487554</v>
      </c>
      <c r="Q502" s="689">
        <f t="shared" si="259"/>
        <v>29.028613027855567</v>
      </c>
      <c r="R502" s="690">
        <f t="shared" si="260"/>
        <v>1.5363407401285842</v>
      </c>
      <c r="S502" s="677">
        <f t="shared" si="238"/>
        <v>1.0185318491572068</v>
      </c>
      <c r="T502" s="680">
        <f t="shared" si="239"/>
        <v>0.19105031751449575</v>
      </c>
      <c r="U502" s="681">
        <f t="shared" si="251"/>
        <v>0.13521616687027521</v>
      </c>
      <c r="V502" s="682">
        <f t="shared" si="252"/>
        <v>-1.8433978540798512</v>
      </c>
      <c r="W502" s="683">
        <f t="shared" si="240"/>
        <v>-45.987201566401311</v>
      </c>
      <c r="X502" s="684">
        <f t="shared" si="241"/>
        <v>-249.30026133460711</v>
      </c>
      <c r="Y502" s="687">
        <f t="shared" si="242"/>
        <v>-69.300261334607114</v>
      </c>
      <c r="AA502" s="170">
        <f t="shared" si="243"/>
        <v>64941</v>
      </c>
      <c r="AB502" s="170">
        <f t="shared" si="244"/>
        <v>4217333481</v>
      </c>
      <c r="AD502" s="686">
        <f t="shared" si="245"/>
        <v>-1.0694851770198448</v>
      </c>
      <c r="AE502" s="687">
        <f t="shared" si="246"/>
        <v>-12.920526704899199</v>
      </c>
      <c r="AG502" s="686">
        <f t="shared" si="247"/>
        <v>47.570953301087243</v>
      </c>
      <c r="AH502" s="687">
        <f t="shared" si="248"/>
        <v>-25.141900383837001</v>
      </c>
      <c r="AJ502" s="170">
        <f t="shared" si="249"/>
        <v>0</v>
      </c>
      <c r="AK502" s="170">
        <f t="shared" si="261"/>
        <v>0</v>
      </c>
      <c r="AM502" s="170" t="str">
        <f t="shared" si="253"/>
        <v>1.73433089520441-0.67879167374703i</v>
      </c>
      <c r="AN502" s="170" t="str">
        <f t="shared" si="254"/>
        <v>10.1708938621143i</v>
      </c>
      <c r="AO502" s="170" t="str">
        <f t="shared" si="255"/>
        <v>-0.0667386448968335-0.170519024061852i</v>
      </c>
      <c r="AP502" s="170" t="str">
        <f t="shared" si="256"/>
        <v>-0.122388482534068+0.113131945624505i</v>
      </c>
      <c r="AQ502" s="170" t="str">
        <f t="shared" si="257"/>
        <v>1.12238848253407-0.113131945624505i</v>
      </c>
      <c r="AR502" s="170" t="str">
        <f t="shared" si="258"/>
        <v>0.73470285754464+0.0740548972333076i</v>
      </c>
    </row>
    <row r="503" spans="7:44">
      <c r="G503" s="688">
        <v>65317</v>
      </c>
      <c r="H503" s="676">
        <f t="shared" si="250"/>
        <v>65.316999999999993</v>
      </c>
      <c r="I503" s="677">
        <f t="shared" si="230"/>
        <v>57.473592651901484</v>
      </c>
      <c r="J503" s="678">
        <f t="shared" si="231"/>
        <v>1.5533961536607124</v>
      </c>
      <c r="K503" s="678">
        <f t="shared" si="232"/>
        <v>1.0040676649697053</v>
      </c>
      <c r="L503" s="679">
        <f t="shared" si="233"/>
        <v>9.0043594022930898E-2</v>
      </c>
      <c r="M503" s="678">
        <f t="shared" si="234"/>
        <v>1.4678766605919278</v>
      </c>
      <c r="N503" s="679">
        <f t="shared" si="235"/>
        <v>-0.82131911536107083</v>
      </c>
      <c r="O503" s="677">
        <f t="shared" si="236"/>
        <v>5835871.1384943081</v>
      </c>
      <c r="P503" s="680">
        <f t="shared" si="237"/>
        <v>1.5707961554408731</v>
      </c>
      <c r="Q503" s="689">
        <f t="shared" si="259"/>
        <v>29.196486066438656</v>
      </c>
      <c r="R503" s="690">
        <f t="shared" si="260"/>
        <v>1.5365389295387597</v>
      </c>
      <c r="S503" s="677">
        <f t="shared" si="238"/>
        <v>1.0187450842117853</v>
      </c>
      <c r="T503" s="680">
        <f t="shared" si="239"/>
        <v>0.19212952760883803</v>
      </c>
      <c r="U503" s="681">
        <f t="shared" si="251"/>
        <v>0.13355348591284863</v>
      </c>
      <c r="V503" s="682">
        <f t="shared" si="252"/>
        <v>-1.8660140112903933</v>
      </c>
      <c r="W503" s="683">
        <f t="shared" si="240"/>
        <v>-46.119473280171633</v>
      </c>
      <c r="X503" s="684">
        <f t="shared" si="241"/>
        <v>-250.78777771014819</v>
      </c>
      <c r="Y503" s="687">
        <f t="shared" si="242"/>
        <v>-70.787777710148191</v>
      </c>
      <c r="AA503" s="170">
        <f t="shared" si="243"/>
        <v>65317</v>
      </c>
      <c r="AB503" s="170">
        <f t="shared" si="244"/>
        <v>4266310489</v>
      </c>
      <c r="AD503" s="686">
        <f t="shared" si="245"/>
        <v>-1.071362590155416</v>
      </c>
      <c r="AE503" s="687">
        <f t="shared" si="246"/>
        <v>-12.97100552866752</v>
      </c>
      <c r="AG503" s="686">
        <f t="shared" si="247"/>
        <v>47.655494688076168</v>
      </c>
      <c r="AH503" s="687">
        <f t="shared" si="248"/>
        <v>-23.987317218711532</v>
      </c>
      <c r="AJ503" s="170">
        <f t="shared" si="249"/>
        <v>0</v>
      </c>
      <c r="AK503" s="170">
        <f t="shared" si="261"/>
        <v>0</v>
      </c>
      <c r="AM503" s="170" t="str">
        <f t="shared" si="253"/>
        <v>1.69310830643539-0.720833458955855i</v>
      </c>
      <c r="AN503" s="170" t="str">
        <f t="shared" si="254"/>
        <v>10.2297820235555i</v>
      </c>
      <c r="AO503" s="170" t="str">
        <f t="shared" si="255"/>
        <v>-0.0704642051312565-0.165507759846375i</v>
      </c>
      <c r="AP503" s="170" t="str">
        <f t="shared" si="256"/>
        <v>-0.115518051072565+0.120138909825976i</v>
      </c>
      <c r="AQ503" s="170" t="str">
        <f t="shared" si="257"/>
        <v>1.11551805107257-0.120138909825976i</v>
      </c>
      <c r="AR503" s="170" t="str">
        <f t="shared" si="258"/>
        <v>0.738176271618764+0.0795000066977065i</v>
      </c>
    </row>
    <row r="504" spans="7:44">
      <c r="G504" s="688">
        <v>65693</v>
      </c>
      <c r="H504" s="676">
        <f t="shared" si="250"/>
        <v>65.692999999999998</v>
      </c>
      <c r="I504" s="677">
        <f t="shared" si="230"/>
        <v>57.804341881332938</v>
      </c>
      <c r="J504" s="678">
        <f t="shared" si="231"/>
        <v>1.5534957252426687</v>
      </c>
      <c r="K504" s="678">
        <f t="shared" si="232"/>
        <v>1.0041145348965514</v>
      </c>
      <c r="L504" s="679">
        <f t="shared" si="233"/>
        <v>9.0559112431316591E-2</v>
      </c>
      <c r="M504" s="678">
        <f t="shared" si="234"/>
        <v>1.4724109042869571</v>
      </c>
      <c r="N504" s="679">
        <f t="shared" si="235"/>
        <v>-0.82418112461895265</v>
      </c>
      <c r="O504" s="677">
        <f t="shared" si="236"/>
        <v>5869465.5710015241</v>
      </c>
      <c r="P504" s="680">
        <f t="shared" si="237"/>
        <v>1.5707961564216339</v>
      </c>
      <c r="Q504" s="689">
        <f t="shared" si="259"/>
        <v>29.364360238719343</v>
      </c>
      <c r="R504" s="690">
        <f t="shared" si="260"/>
        <v>1.5367348528841542</v>
      </c>
      <c r="S504" s="677">
        <f t="shared" si="238"/>
        <v>1.0189595052956777</v>
      </c>
      <c r="T504" s="680">
        <f t="shared" si="239"/>
        <v>0.19320828475976282</v>
      </c>
      <c r="U504" s="681">
        <f t="shared" si="251"/>
        <v>0.1318308281626048</v>
      </c>
      <c r="V504" s="682">
        <f t="shared" si="252"/>
        <v>-1.8888858046599522</v>
      </c>
      <c r="W504" s="683">
        <f t="shared" si="240"/>
        <v>-46.256772029791236</v>
      </c>
      <c r="X504" s="684">
        <f t="shared" si="241"/>
        <v>-252.28896670284411</v>
      </c>
      <c r="Y504" s="687">
        <f t="shared" si="242"/>
        <v>-72.288966702844107</v>
      </c>
      <c r="AA504" s="170">
        <f t="shared" si="243"/>
        <v>65693</v>
      </c>
      <c r="AB504" s="170">
        <f t="shared" si="244"/>
        <v>4315570249</v>
      </c>
      <c r="AD504" s="686">
        <f t="shared" si="245"/>
        <v>-1.0732487205591519</v>
      </c>
      <c r="AE504" s="687">
        <f t="shared" si="246"/>
        <v>-13.02158823598713</v>
      </c>
      <c r="AG504" s="686">
        <f t="shared" si="247"/>
        <v>47.745611981057799</v>
      </c>
      <c r="AH504" s="687">
        <f t="shared" si="248"/>
        <v>-22.817009041150971</v>
      </c>
      <c r="AJ504" s="170">
        <f t="shared" si="249"/>
        <v>0</v>
      </c>
      <c r="AK504" s="170">
        <f t="shared" si="261"/>
        <v>0</v>
      </c>
      <c r="AM504" s="170" t="str">
        <f t="shared" si="253"/>
        <v>1.64948284041301-0.760376248977474i</v>
      </c>
      <c r="AN504" s="170" t="str">
        <f t="shared" si="254"/>
        <v>10.2886701849967i</v>
      </c>
      <c r="AO504" s="170" t="str">
        <f t="shared" si="255"/>
        <v>-0.0739042301196788-0.160320314555164i</v>
      </c>
      <c r="AP504" s="170" t="str">
        <f t="shared" si="256"/>
        <v>-0.108247140068834+0.126729374829579i</v>
      </c>
      <c r="AQ504" s="170" t="str">
        <f t="shared" si="257"/>
        <v>1.10824714006883-0.126729374829579i</v>
      </c>
      <c r="AR504" s="170" t="str">
        <f t="shared" si="258"/>
        <v>0.741935705945167+0.084841227898259i</v>
      </c>
    </row>
    <row r="505" spans="7:44">
      <c r="G505" s="688">
        <v>66069</v>
      </c>
      <c r="H505" s="676">
        <f t="shared" si="250"/>
        <v>66.069000000000003</v>
      </c>
      <c r="I505" s="677">
        <f t="shared" si="230"/>
        <v>58.135091677344427</v>
      </c>
      <c r="J505" s="678">
        <f t="shared" si="231"/>
        <v>1.5535941638341584</v>
      </c>
      <c r="K505" s="678">
        <f t="shared" si="232"/>
        <v>1.0041616716511501</v>
      </c>
      <c r="L505" s="679">
        <f t="shared" si="233"/>
        <v>9.1074582578371005E-2</v>
      </c>
      <c r="M505" s="678">
        <f t="shared" si="234"/>
        <v>1.4769571345328774</v>
      </c>
      <c r="N505" s="679">
        <f t="shared" si="235"/>
        <v>-0.82702553792216382</v>
      </c>
      <c r="O505" s="677">
        <f t="shared" si="236"/>
        <v>5903060.0035087392</v>
      </c>
      <c r="P505" s="680">
        <f t="shared" si="237"/>
        <v>1.5707961573912315</v>
      </c>
      <c r="Q505" s="689">
        <f t="shared" si="259"/>
        <v>29.532235525364317</v>
      </c>
      <c r="R505" s="690">
        <f t="shared" si="260"/>
        <v>1.5369285487937703</v>
      </c>
      <c r="S505" s="677">
        <f t="shared" si="238"/>
        <v>1.0191751116603094</v>
      </c>
      <c r="T505" s="680">
        <f t="shared" si="239"/>
        <v>0.19428658674320978</v>
      </c>
      <c r="U505" s="681">
        <f t="shared" si="251"/>
        <v>0.13004646850318538</v>
      </c>
      <c r="V505" s="682">
        <f t="shared" si="252"/>
        <v>-1.9120335953471705</v>
      </c>
      <c r="W505" s="683">
        <f t="shared" si="240"/>
        <v>-46.399408188183465</v>
      </c>
      <c r="X505" s="684">
        <f t="shared" si="241"/>
        <v>-253.80500039552953</v>
      </c>
      <c r="Y505" s="687">
        <f t="shared" si="242"/>
        <v>-73.805000395529532</v>
      </c>
      <c r="AA505" s="170">
        <f t="shared" si="243"/>
        <v>66069</v>
      </c>
      <c r="AB505" s="170">
        <f t="shared" si="244"/>
        <v>4365112761</v>
      </c>
      <c r="AD505" s="686">
        <f t="shared" si="245"/>
        <v>-1.0751435785843728</v>
      </c>
      <c r="AE505" s="687">
        <f t="shared" si="246"/>
        <v>-13.072272486161044</v>
      </c>
      <c r="AG505" s="686">
        <f t="shared" si="247"/>
        <v>47.841607368185407</v>
      </c>
      <c r="AH505" s="687">
        <f t="shared" si="248"/>
        <v>-21.629817057771799</v>
      </c>
      <c r="AJ505" s="170">
        <f t="shared" si="249"/>
        <v>0</v>
      </c>
      <c r="AK505" s="170">
        <f t="shared" si="261"/>
        <v>0</v>
      </c>
      <c r="AM505" s="170" t="str">
        <f t="shared" si="253"/>
        <v>1.60360573849296-0.797282956332551i</v>
      </c>
      <c r="AN505" s="170" t="str">
        <f t="shared" si="254"/>
        <v>10.347558346438i</v>
      </c>
      <c r="AO505" s="170" t="str">
        <f t="shared" si="255"/>
        <v>-0.0770503465300106-0.154974312277734i</v>
      </c>
      <c r="AP505" s="170" t="str">
        <f t="shared" si="256"/>
        <v>-0.100600956415493+0.132880492722092i</v>
      </c>
      <c r="AQ505" s="170" t="str">
        <f t="shared" si="257"/>
        <v>1.10060095641549-0.132880492722092i</v>
      </c>
      <c r="AR505" s="170" t="str">
        <f t="shared" si="258"/>
        <v>0.74598514824926+0.0900661347647447i</v>
      </c>
    </row>
    <row r="506" spans="7:44">
      <c r="G506" s="688">
        <v>66453.75</v>
      </c>
      <c r="H506" s="676">
        <f t="shared" si="250"/>
        <v>66.453749999999999</v>
      </c>
      <c r="I506" s="677">
        <f t="shared" si="230"/>
        <v>58.473539019824059</v>
      </c>
      <c r="J506" s="678">
        <f t="shared" si="231"/>
        <v>1.5536937404255646</v>
      </c>
      <c r="K506" s="678">
        <f t="shared" si="232"/>
        <v>1.0042101815131408</v>
      </c>
      <c r="L506" s="679">
        <f t="shared" si="233"/>
        <v>9.1601998136085216E-2</v>
      </c>
      <c r="M506" s="678">
        <f t="shared" si="234"/>
        <v>1.4816214544619795</v>
      </c>
      <c r="N506" s="679">
        <f t="shared" si="235"/>
        <v>-0.8299180506032342</v>
      </c>
      <c r="O506" s="677">
        <f t="shared" si="236"/>
        <v>5937436.2213469073</v>
      </c>
      <c r="P506" s="680">
        <f t="shared" si="237"/>
        <v>1.5707961583720349</v>
      </c>
      <c r="Q506" s="689">
        <f t="shared" si="259"/>
        <v>29.704018618093265</v>
      </c>
      <c r="R506" s="690">
        <f t="shared" si="260"/>
        <v>1.5371244858451287</v>
      </c>
      <c r="S506" s="677">
        <f t="shared" si="238"/>
        <v>1.0193969616518719</v>
      </c>
      <c r="T506" s="680">
        <f t="shared" si="239"/>
        <v>0.19538950869740332</v>
      </c>
      <c r="U506" s="681">
        <f t="shared" si="251"/>
        <v>0.12815472945944012</v>
      </c>
      <c r="V506" s="682">
        <f t="shared" si="252"/>
        <v>-1.9360273047701158</v>
      </c>
      <c r="W506" s="683">
        <f t="shared" si="240"/>
        <v>-46.551248108907274</v>
      </c>
      <c r="X506" s="684">
        <f t="shared" si="241"/>
        <v>-255.37292054706234</v>
      </c>
      <c r="Y506" s="687">
        <f t="shared" si="242"/>
        <v>-75.372920547062336</v>
      </c>
      <c r="AA506" s="170">
        <f t="shared" si="243"/>
        <v>66453.75</v>
      </c>
      <c r="AB506" s="170">
        <f t="shared" si="244"/>
        <v>4416100889.0625</v>
      </c>
      <c r="AD506" s="686">
        <f t="shared" si="245"/>
        <v>-1.0770915770787466</v>
      </c>
      <c r="AE506" s="687">
        <f t="shared" si="246"/>
        <v>-13.124238949430859</v>
      </c>
      <c r="AG506" s="686">
        <f t="shared" si="247"/>
        <v>47.946272445781659</v>
      </c>
      <c r="AH506" s="687">
        <f t="shared" si="248"/>
        <v>-20.39629417329698</v>
      </c>
      <c r="AJ506" s="170">
        <f t="shared" si="249"/>
        <v>0</v>
      </c>
      <c r="AK506" s="170">
        <f t="shared" si="261"/>
        <v>0</v>
      </c>
      <c r="AM506" s="170" t="str">
        <f t="shared" si="253"/>
        <v>1.55449613872077-0.832186296536872i</v>
      </c>
      <c r="AN506" s="170" t="str">
        <f t="shared" si="254"/>
        <v>10.4078169105723i</v>
      </c>
      <c r="AO506" s="170" t="str">
        <f t="shared" si="255"/>
        <v>-0.0799578147547478-0.149358520819261i</v>
      </c>
      <c r="AP506" s="170" t="str">
        <f t="shared" si="256"/>
        <v>-0.0924160231201285+0.138697716089479i</v>
      </c>
      <c r="AQ506" s="170" t="str">
        <f t="shared" si="257"/>
        <v>1.09241602312013-0.138697716089479i</v>
      </c>
      <c r="AR506" s="170" t="str">
        <f t="shared" si="258"/>
        <v>0.750433098293563+0.0952781308662871i</v>
      </c>
    </row>
    <row r="507" spans="7:44">
      <c r="G507" s="688">
        <v>66838.5</v>
      </c>
      <c r="H507" s="676">
        <f t="shared" si="250"/>
        <v>66.838499999999996</v>
      </c>
      <c r="I507" s="677">
        <f t="shared" si="230"/>
        <v>58.811986935424798</v>
      </c>
      <c r="J507" s="678">
        <f t="shared" si="231"/>
        <v>1.5537921709423987</v>
      </c>
      <c r="K507" s="678">
        <f t="shared" si="232"/>
        <v>1.0042589706864045</v>
      </c>
      <c r="L507" s="679">
        <f t="shared" si="233"/>
        <v>9.2129362594400577E-2</v>
      </c>
      <c r="M507" s="678">
        <f t="shared" si="234"/>
        <v>1.4862980927050407</v>
      </c>
      <c r="N507" s="679">
        <f t="shared" si="235"/>
        <v>-0.83279238461964611</v>
      </c>
      <c r="O507" s="677">
        <f t="shared" si="236"/>
        <v>5971812.4391850755</v>
      </c>
      <c r="P507" s="680">
        <f t="shared" si="237"/>
        <v>1.5707961593415463</v>
      </c>
      <c r="Q507" s="689">
        <f t="shared" si="259"/>
        <v>29.875802838084791</v>
      </c>
      <c r="R507" s="690">
        <f t="shared" si="260"/>
        <v>1.5373181696493556</v>
      </c>
      <c r="S507" s="677">
        <f t="shared" si="238"/>
        <v>1.0196200511349556</v>
      </c>
      <c r="T507" s="680">
        <f t="shared" si="239"/>
        <v>0.19649194936083256</v>
      </c>
      <c r="U507" s="681">
        <f t="shared" si="251"/>
        <v>0.1261941739265785</v>
      </c>
      <c r="V507" s="682">
        <f t="shared" si="252"/>
        <v>-1.9603540264664665</v>
      </c>
      <c r="W507" s="683">
        <f t="shared" si="240"/>
        <v>-46.709446139037787</v>
      </c>
      <c r="X507" s="684">
        <f t="shared" si="241"/>
        <v>-256.9589181231641</v>
      </c>
      <c r="Y507" s="687">
        <f t="shared" si="242"/>
        <v>-76.958918123164096</v>
      </c>
      <c r="AA507" s="170">
        <f t="shared" si="243"/>
        <v>66838.5</v>
      </c>
      <c r="AB507" s="170">
        <f t="shared" si="244"/>
        <v>4467385082.25</v>
      </c>
      <c r="AD507" s="686">
        <f t="shared" si="245"/>
        <v>-1.0790487338361143</v>
      </c>
      <c r="AE507" s="687">
        <f t="shared" si="246"/>
        <v>-13.176306937675122</v>
      </c>
      <c r="AG507" s="686">
        <f t="shared" si="247"/>
        <v>48.057844895566603</v>
      </c>
      <c r="AH507" s="687">
        <f t="shared" si="248"/>
        <v>-19.142586792788677</v>
      </c>
      <c r="AJ507" s="170">
        <f t="shared" si="249"/>
        <v>0</v>
      </c>
      <c r="AK507" s="170">
        <f t="shared" si="261"/>
        <v>0</v>
      </c>
      <c r="AM507" s="170" t="str">
        <f t="shared" si="253"/>
        <v>1.5033737202122-0.864068803857496i</v>
      </c>
      <c r="AN507" s="170" t="str">
        <f t="shared" si="254"/>
        <v>10.4680754747067i</v>
      </c>
      <c r="AO507" s="170" t="str">
        <f t="shared" si="255"/>
        <v>-0.0825432340400379-0.143615101347397i</v>
      </c>
      <c r="AP507" s="170" t="str">
        <f t="shared" si="256"/>
        <v>-0.0838956200353675+0.144011467309583i</v>
      </c>
      <c r="AQ507" s="170" t="str">
        <f t="shared" si="257"/>
        <v>1.08389562003537-0.144011467309583i</v>
      </c>
      <c r="AR507" s="170" t="str">
        <f t="shared" si="258"/>
        <v>0.755192747562367+0.100338458489631i</v>
      </c>
    </row>
    <row r="508" spans="7:44">
      <c r="G508" s="688">
        <v>67223.25</v>
      </c>
      <c r="H508" s="676">
        <f t="shared" si="250"/>
        <v>67.223249999999993</v>
      </c>
      <c r="I508" s="677">
        <f t="shared" si="230"/>
        <v>59.15043541430876</v>
      </c>
      <c r="J508" s="678">
        <f t="shared" si="231"/>
        <v>1.5538894750556536</v>
      </c>
      <c r="K508" s="678">
        <f t="shared" si="232"/>
        <v>1.0043080391302348</v>
      </c>
      <c r="L508" s="679">
        <f t="shared" si="233"/>
        <v>9.2656675667451643E-2</v>
      </c>
      <c r="M508" s="678">
        <f t="shared" si="234"/>
        <v>1.4909869333489811</v>
      </c>
      <c r="N508" s="679">
        <f t="shared" si="235"/>
        <v>-0.83564866375752056</v>
      </c>
      <c r="O508" s="677">
        <f t="shared" si="236"/>
        <v>6006188.6570232427</v>
      </c>
      <c r="P508" s="680">
        <f t="shared" si="237"/>
        <v>1.5707961602999601</v>
      </c>
      <c r="Q508" s="689">
        <f t="shared" si="259"/>
        <v>30.047588166004974</v>
      </c>
      <c r="R508" s="690">
        <f t="shared" si="260"/>
        <v>1.5375096388379701</v>
      </c>
      <c r="S508" s="677">
        <f t="shared" si="238"/>
        <v>1.0198443792961496</v>
      </c>
      <c r="T508" s="680">
        <f t="shared" si="239"/>
        <v>0.19759390637046684</v>
      </c>
      <c r="U508" s="681">
        <f t="shared" si="251"/>
        <v>0.12416240132492393</v>
      </c>
      <c r="V508" s="682">
        <f t="shared" si="252"/>
        <v>-1.9850364415878492</v>
      </c>
      <c r="W508" s="683">
        <f t="shared" si="240"/>
        <v>-46.8744556494878</v>
      </c>
      <c r="X508" s="684">
        <f t="shared" si="241"/>
        <v>-258.56429854516153</v>
      </c>
      <c r="Y508" s="687">
        <f t="shared" si="242"/>
        <v>-78.564298545161535</v>
      </c>
      <c r="AA508" s="170">
        <f t="shared" si="243"/>
        <v>67223.25</v>
      </c>
      <c r="AB508" s="170">
        <f t="shared" si="244"/>
        <v>4518965340.5625</v>
      </c>
      <c r="AD508" s="686">
        <f t="shared" si="245"/>
        <v>-1.0810150577410387</v>
      </c>
      <c r="AE508" s="687">
        <f t="shared" si="246"/>
        <v>-13.228474102090292</v>
      </c>
      <c r="AG508" s="686">
        <f t="shared" si="247"/>
        <v>48.176769778308817</v>
      </c>
      <c r="AH508" s="687">
        <f t="shared" si="248"/>
        <v>-17.867403617848797</v>
      </c>
      <c r="AJ508" s="170">
        <f t="shared" si="249"/>
        <v>0</v>
      </c>
      <c r="AK508" s="170">
        <f t="shared" si="261"/>
        <v>0</v>
      </c>
      <c r="AM508" s="170" t="str">
        <f t="shared" si="253"/>
        <v>1.45042405713942-0.892814744921959i</v>
      </c>
      <c r="AN508" s="170" t="str">
        <f t="shared" si="254"/>
        <v>10.528334038841i</v>
      </c>
      <c r="AO508" s="170" t="str">
        <f t="shared" si="255"/>
        <v>-0.0848011415318129-0.137763871452837i</v>
      </c>
      <c r="AP508" s="170" t="str">
        <f t="shared" si="256"/>
        <v>-0.0750706761899037+0.148802457486993i</v>
      </c>
      <c r="AQ508" s="170" t="str">
        <f t="shared" si="257"/>
        <v>1.0750706761899-0.148802457486993i</v>
      </c>
      <c r="AR508" s="170" t="str">
        <f t="shared" si="258"/>
        <v>0.760267704580353+0.105230014449365i</v>
      </c>
    </row>
    <row r="509" spans="7:44">
      <c r="G509" s="688">
        <v>67608</v>
      </c>
      <c r="H509" s="676">
        <f t="shared" si="250"/>
        <v>67.608000000000004</v>
      </c>
      <c r="I509" s="677">
        <f t="shared" si="230"/>
        <v>59.488884446861938</v>
      </c>
      <c r="J509" s="678">
        <f t="shared" si="231"/>
        <v>1.5539856719887533</v>
      </c>
      <c r="K509" s="678">
        <f t="shared" si="232"/>
        <v>1.0043573868036997</v>
      </c>
      <c r="L509" s="679">
        <f t="shared" si="233"/>
        <v>9.3183937069543005E-2</v>
      </c>
      <c r="M509" s="678">
        <f t="shared" si="234"/>
        <v>1.4956878616336711</v>
      </c>
      <c r="N509" s="679">
        <f t="shared" si="235"/>
        <v>-0.83848701143119175</v>
      </c>
      <c r="O509" s="677">
        <f t="shared" si="236"/>
        <v>6040564.8748614118</v>
      </c>
      <c r="P509" s="680">
        <f t="shared" si="237"/>
        <v>1.570796161247465</v>
      </c>
      <c r="Q509" s="689">
        <f t="shared" si="259"/>
        <v>30.219374582959386</v>
      </c>
      <c r="R509" s="690">
        <f t="shared" si="260"/>
        <v>1.5376989311647229</v>
      </c>
      <c r="S509" s="677">
        <f t="shared" si="238"/>
        <v>1.0200699453182438</v>
      </c>
      <c r="T509" s="680">
        <f t="shared" si="239"/>
        <v>0.19869537737004694</v>
      </c>
      <c r="U509" s="681">
        <f t="shared" si="251"/>
        <v>0.12205683783350206</v>
      </c>
      <c r="V509" s="682">
        <f t="shared" si="252"/>
        <v>-2.0100974750354306</v>
      </c>
      <c r="W509" s="683">
        <f t="shared" si="240"/>
        <v>-47.046779097029599</v>
      </c>
      <c r="X509" s="684">
        <f t="shared" si="241"/>
        <v>-260.19038120392588</v>
      </c>
      <c r="Y509" s="687">
        <f t="shared" si="242"/>
        <v>-80.190381203925881</v>
      </c>
      <c r="AA509" s="170">
        <f t="shared" si="243"/>
        <v>67608</v>
      </c>
      <c r="AB509" s="170">
        <f t="shared" si="244"/>
        <v>4570841664</v>
      </c>
      <c r="AD509" s="686">
        <f t="shared" si="245"/>
        <v>-1.082990556979869</v>
      </c>
      <c r="AE509" s="687">
        <f t="shared" si="246"/>
        <v>-13.280738144552894</v>
      </c>
      <c r="AG509" s="686">
        <f t="shared" si="247"/>
        <v>48.303541389125897</v>
      </c>
      <c r="AH509" s="687">
        <f t="shared" si="248"/>
        <v>-16.569439337303919</v>
      </c>
      <c r="AJ509" s="170">
        <f t="shared" si="249"/>
        <v>0</v>
      </c>
      <c r="AK509" s="170">
        <f t="shared" si="261"/>
        <v>0</v>
      </c>
      <c r="AM509" s="170" t="str">
        <f t="shared" si="253"/>
        <v>1.3958393565647-0.918319772080751i</v>
      </c>
      <c r="AN509" s="170" t="str">
        <f t="shared" si="254"/>
        <v>10.5885926029753i</v>
      </c>
      <c r="AO509" s="170" t="str">
        <f t="shared" si="255"/>
        <v>-0.0867272740121016-0.131824824025478i</v>
      </c>
      <c r="AP509" s="170" t="str">
        <f t="shared" si="256"/>
        <v>-0.0659732260941168+0.153053295346792i</v>
      </c>
      <c r="AQ509" s="170" t="str">
        <f t="shared" si="257"/>
        <v>1.06597322609412-0.153053295346792i</v>
      </c>
      <c r="AR509" s="170" t="str">
        <f t="shared" si="258"/>
        <v>0.765661072169218+0.109934234130482i</v>
      </c>
    </row>
    <row r="510" spans="7:44">
      <c r="G510" s="688">
        <v>68001.75</v>
      </c>
      <c r="H510" s="676">
        <f t="shared" si="250"/>
        <v>68.001750000000001</v>
      </c>
      <c r="I510" s="677">
        <f t="shared" si="230"/>
        <v>59.83525097929347</v>
      </c>
      <c r="J510" s="678">
        <f t="shared" si="231"/>
        <v>1.5540829924130002</v>
      </c>
      <c r="K510" s="678">
        <f t="shared" si="232"/>
        <v>1.0044081778693215</v>
      </c>
      <c r="L510" s="679">
        <f t="shared" si="233"/>
        <v>9.372347827564588E-2</v>
      </c>
      <c r="M510" s="678">
        <f t="shared" si="234"/>
        <v>1.5005111496848311</v>
      </c>
      <c r="N510" s="679">
        <f t="shared" si="235"/>
        <v>-0.84137331602468923</v>
      </c>
      <c r="O510" s="677">
        <f t="shared" si="236"/>
        <v>6075745.2147542732</v>
      </c>
      <c r="P510" s="680">
        <f t="shared" si="237"/>
        <v>1.5707961622060331</v>
      </c>
      <c r="Q510" s="689">
        <f t="shared" si="259"/>
        <v>30.395180503909028</v>
      </c>
      <c r="R510" s="690">
        <f t="shared" si="260"/>
        <v>1.5378904360420518</v>
      </c>
      <c r="S510" s="677">
        <f t="shared" si="238"/>
        <v>1.0203020685151194</v>
      </c>
      <c r="T510" s="680">
        <f t="shared" si="239"/>
        <v>0.19982210812565082</v>
      </c>
      <c r="U510" s="681">
        <f t="shared" si="251"/>
        <v>0.11982276395569552</v>
      </c>
      <c r="V510" s="682">
        <f t="shared" si="252"/>
        <v>-2.0361608694355442</v>
      </c>
      <c r="W510" s="683">
        <f t="shared" si="240"/>
        <v>-47.231287382333072</v>
      </c>
      <c r="X510" s="684">
        <f t="shared" si="241"/>
        <v>-261.87732394258671</v>
      </c>
      <c r="Y510" s="687">
        <f t="shared" si="242"/>
        <v>-81.877323942586713</v>
      </c>
      <c r="AA510" s="170">
        <f t="shared" si="243"/>
        <v>68001.75</v>
      </c>
      <c r="AB510" s="170">
        <f t="shared" si="244"/>
        <v>4624238003.0625</v>
      </c>
      <c r="AD510" s="686">
        <f t="shared" si="245"/>
        <v>-1.0850217743451605</v>
      </c>
      <c r="AE510" s="687">
        <f t="shared" si="246"/>
        <v>-13.334322695252609</v>
      </c>
      <c r="AG510" s="686">
        <f t="shared" si="247"/>
        <v>48.441975565253763</v>
      </c>
      <c r="AH510" s="687">
        <f t="shared" si="248"/>
        <v>-15.216152524029454</v>
      </c>
      <c r="AJ510" s="170">
        <f t="shared" si="249"/>
        <v>0</v>
      </c>
      <c r="AK510" s="170">
        <f t="shared" si="261"/>
        <v>0</v>
      </c>
      <c r="AM510" s="170" t="str">
        <f t="shared" si="253"/>
        <v>1.33849174743429-0.940969360244466i</v>
      </c>
      <c r="AN510" s="170" t="str">
        <f t="shared" si="254"/>
        <v>10.6502607241655i</v>
      </c>
      <c r="AO510" s="170" t="str">
        <f t="shared" si="255"/>
        <v>-0.0883517675871917-0.125676899570848i</v>
      </c>
      <c r="AP510" s="170" t="str">
        <f t="shared" si="256"/>
        <v>-0.0564152912390487+0.156828226707411i</v>
      </c>
      <c r="AQ510" s="170" t="str">
        <f t="shared" si="257"/>
        <v>1.05641529123905-0.156828226707411i</v>
      </c>
      <c r="AR510" s="170" t="str">
        <f t="shared" si="258"/>
        <v>0.771512789372082+0.114533539643675i</v>
      </c>
    </row>
    <row r="511" spans="7:44">
      <c r="G511" s="688">
        <v>68395.5</v>
      </c>
      <c r="H511" s="676">
        <f t="shared" si="250"/>
        <v>68.395499999999998</v>
      </c>
      <c r="I511" s="677">
        <f t="shared" si="230"/>
        <v>60.181618071917214</v>
      </c>
      <c r="J511" s="678">
        <f t="shared" si="231"/>
        <v>1.5541791926092998</v>
      </c>
      <c r="K511" s="678">
        <f t="shared" si="232"/>
        <v>1.0044592612932786</v>
      </c>
      <c r="L511" s="679">
        <f t="shared" si="233"/>
        <v>9.4262964760275764E-2</v>
      </c>
      <c r="M511" s="678">
        <f t="shared" si="234"/>
        <v>1.5053468579599421</v>
      </c>
      <c r="N511" s="679">
        <f t="shared" si="235"/>
        <v>-0.84424110071229808</v>
      </c>
      <c r="O511" s="677">
        <f t="shared" si="236"/>
        <v>6110925.5546471355</v>
      </c>
      <c r="P511" s="680">
        <f t="shared" si="237"/>
        <v>1.5707961631535643</v>
      </c>
      <c r="Q511" s="689">
        <f t="shared" si="259"/>
        <v>30.570987526754188</v>
      </c>
      <c r="R511" s="690">
        <f t="shared" si="260"/>
        <v>1.53807973832143</v>
      </c>
      <c r="S511" s="677">
        <f t="shared" si="238"/>
        <v>1.0205354864179221</v>
      </c>
      <c r="T511" s="680">
        <f t="shared" si="239"/>
        <v>0.20094832489648509</v>
      </c>
      <c r="U511" s="681">
        <f t="shared" si="251"/>
        <v>0.11750544120160024</v>
      </c>
      <c r="V511" s="682">
        <f t="shared" si="252"/>
        <v>-2.062669965808773</v>
      </c>
      <c r="W511" s="683">
        <f t="shared" si="240"/>
        <v>-47.424701385456586</v>
      </c>
      <c r="X511" s="684">
        <f t="shared" si="241"/>
        <v>-263.58877811156344</v>
      </c>
      <c r="Y511" s="687">
        <f t="shared" si="242"/>
        <v>-83.588778111563443</v>
      </c>
      <c r="AA511" s="170">
        <f t="shared" si="243"/>
        <v>68395.5</v>
      </c>
      <c r="AB511" s="170">
        <f t="shared" si="244"/>
        <v>4677944420.25</v>
      </c>
      <c r="AD511" s="686">
        <f t="shared" si="245"/>
        <v>-1.0870626165223982</v>
      </c>
      <c r="AE511" s="687">
        <f t="shared" si="246"/>
        <v>-13.388003995728569</v>
      </c>
      <c r="AG511" s="686">
        <f t="shared" si="247"/>
        <v>48.58985663476129</v>
      </c>
      <c r="AH511" s="687">
        <f t="shared" si="248"/>
        <v>-13.836206707275952</v>
      </c>
      <c r="AJ511" s="170">
        <f t="shared" si="249"/>
        <v>0</v>
      </c>
      <c r="AK511" s="170">
        <f t="shared" si="261"/>
        <v>0</v>
      </c>
      <c r="AM511" s="170" t="str">
        <f t="shared" si="253"/>
        <v>1.2798572765866-0.960041616150848i</v>
      </c>
      <c r="AN511" s="170" t="str">
        <f t="shared" si="254"/>
        <v>10.7119288453556i</v>
      </c>
      <c r="AO511" s="170" t="str">
        <f t="shared" si="255"/>
        <v>-0.0896235990745118-0.119479628278292i</v>
      </c>
      <c r="AP511" s="170" t="str">
        <f t="shared" si="256"/>
        <v>-0.0466428794310997+0.160006936025141i</v>
      </c>
      <c r="AQ511" s="170" t="str">
        <f t="shared" si="257"/>
        <v>1.0466428794311-0.160006936025141i</v>
      </c>
      <c r="AR511" s="170" t="str">
        <f t="shared" si="258"/>
        <v>0.777702146284414+0.118892260208929i</v>
      </c>
    </row>
    <row r="512" spans="7:44">
      <c r="G512" s="688">
        <v>68789.25</v>
      </c>
      <c r="H512" s="676">
        <f t="shared" si="250"/>
        <v>68.789249999999996</v>
      </c>
      <c r="I512" s="677">
        <f t="shared" si="230"/>
        <v>60.527985715116195</v>
      </c>
      <c r="J512" s="678">
        <f t="shared" si="231"/>
        <v>1.5542742918071606</v>
      </c>
      <c r="K512" s="678">
        <f t="shared" si="232"/>
        <v>1.004510637030968</v>
      </c>
      <c r="L512" s="679">
        <f t="shared" si="233"/>
        <v>9.4802396217774795E-2</v>
      </c>
      <c r="M512" s="678">
        <f t="shared" si="234"/>
        <v>1.5101948671487508</v>
      </c>
      <c r="N512" s="679">
        <f t="shared" si="235"/>
        <v>-0.84709049645377388</v>
      </c>
      <c r="O512" s="677">
        <f t="shared" si="236"/>
        <v>6146105.894539997</v>
      </c>
      <c r="P512" s="680">
        <f t="shared" si="237"/>
        <v>1.5707961640902479</v>
      </c>
      <c r="Q512" s="689">
        <f t="shared" si="259"/>
        <v>30.74679563259329</v>
      </c>
      <c r="R512" s="690">
        <f t="shared" si="260"/>
        <v>1.5382668757720925</v>
      </c>
      <c r="S512" s="677">
        <f t="shared" si="238"/>
        <v>1.0207701981384767</v>
      </c>
      <c r="T512" s="680">
        <f t="shared" si="239"/>
        <v>0.20207402517922396</v>
      </c>
      <c r="U512" s="681">
        <f t="shared" si="251"/>
        <v>0.11510162314064079</v>
      </c>
      <c r="V512" s="682">
        <f t="shared" si="252"/>
        <v>-2.0896497832623786</v>
      </c>
      <c r="W512" s="683">
        <f t="shared" si="240"/>
        <v>-47.627757233453082</v>
      </c>
      <c r="X512" s="684">
        <f t="shared" si="241"/>
        <v>-265.32618351539787</v>
      </c>
      <c r="Y512" s="687">
        <f t="shared" si="242"/>
        <v>-85.326183515397872</v>
      </c>
      <c r="AA512" s="170">
        <f t="shared" si="243"/>
        <v>68789.25</v>
      </c>
      <c r="AB512" s="170">
        <f t="shared" si="244"/>
        <v>4731960915.5625</v>
      </c>
      <c r="AD512" s="686">
        <f t="shared" si="245"/>
        <v>-1.0891130901549353</v>
      </c>
      <c r="AE512" s="687">
        <f t="shared" si="246"/>
        <v>-13.441779738543845</v>
      </c>
      <c r="AG512" s="686">
        <f t="shared" si="247"/>
        <v>48.74791243978926</v>
      </c>
      <c r="AH512" s="687">
        <f t="shared" si="248"/>
        <v>-12.428177020512381</v>
      </c>
      <c r="AJ512" s="170">
        <f t="shared" si="249"/>
        <v>0</v>
      </c>
      <c r="AK512" s="170">
        <f t="shared" si="261"/>
        <v>0</v>
      </c>
      <c r="AM512" s="170" t="str">
        <f t="shared" si="253"/>
        <v>1.2201588577452-0.975464031810671i</v>
      </c>
      <c r="AN512" s="170" t="str">
        <f t="shared" si="254"/>
        <v>10.7735969665457i</v>
      </c>
      <c r="AO512" s="170" t="str">
        <f t="shared" si="255"/>
        <v>-0.0905420942364647-0.1132545482752i</v>
      </c>
      <c r="AP512" s="170" t="str">
        <f t="shared" si="256"/>
        <v>-0.0366931429575327+0.162577338635112i</v>
      </c>
      <c r="AQ512" s="170" t="str">
        <f t="shared" si="257"/>
        <v>1.03669314295753-0.162577338635112i</v>
      </c>
      <c r="AR512" s="170" t="str">
        <f t="shared" si="258"/>
        <v>0.784229540862049+0.122985236758348i</v>
      </c>
    </row>
    <row r="513" spans="7:44">
      <c r="G513" s="688">
        <v>69183</v>
      </c>
      <c r="H513" s="676">
        <f t="shared" si="250"/>
        <v>69.183000000000007</v>
      </c>
      <c r="I513" s="677">
        <f t="shared" si="230"/>
        <v>60.874353899492299</v>
      </c>
      <c r="J513" s="678">
        <f t="shared" si="231"/>
        <v>1.5543683087985172</v>
      </c>
      <c r="K513" s="678">
        <f t="shared" si="232"/>
        <v>1.0045623050375412</v>
      </c>
      <c r="L513" s="679">
        <f t="shared" si="233"/>
        <v>9.5341772342675463E-2</v>
      </c>
      <c r="M513" s="678">
        <f t="shared" si="234"/>
        <v>1.5150550591665581</v>
      </c>
      <c r="N513" s="679">
        <f t="shared" si="235"/>
        <v>-0.84992163372922558</v>
      </c>
      <c r="O513" s="677">
        <f t="shared" si="236"/>
        <v>6181286.2344328593</v>
      </c>
      <c r="P513" s="680">
        <f t="shared" si="237"/>
        <v>1.5707961650162696</v>
      </c>
      <c r="Q513" s="689">
        <f t="shared" si="259"/>
        <v>30.922604802954496</v>
      </c>
      <c r="R513" s="690">
        <f t="shared" si="260"/>
        <v>1.5384518853049469</v>
      </c>
      <c r="S513" s="677">
        <f t="shared" si="238"/>
        <v>1.0210062027845037</v>
      </c>
      <c r="T513" s="680">
        <f t="shared" si="239"/>
        <v>0.20319920647807305</v>
      </c>
      <c r="U513" s="681">
        <f t="shared" si="251"/>
        <v>0.11260793632782402</v>
      </c>
      <c r="V513" s="682">
        <f t="shared" si="252"/>
        <v>-2.1171253159564243</v>
      </c>
      <c r="W513" s="683">
        <f t="shared" si="240"/>
        <v>-47.841273901156356</v>
      </c>
      <c r="X513" s="684">
        <f t="shared" si="241"/>
        <v>-267.09097852630885</v>
      </c>
      <c r="Y513" s="687">
        <f t="shared" si="242"/>
        <v>-87.090978526308845</v>
      </c>
      <c r="AA513" s="170">
        <f t="shared" si="243"/>
        <v>69183</v>
      </c>
      <c r="AB513" s="170">
        <f t="shared" si="244"/>
        <v>4786287489</v>
      </c>
      <c r="AD513" s="686">
        <f t="shared" si="245"/>
        <v>-1.0911732012120625</v>
      </c>
      <c r="AE513" s="687">
        <f t="shared" si="246"/>
        <v>-13.495647665871392</v>
      </c>
      <c r="AG513" s="686">
        <f t="shared" si="247"/>
        <v>48.916953819865547</v>
      </c>
      <c r="AH513" s="687">
        <f t="shared" si="248"/>
        <v>-10.990639974013096</v>
      </c>
      <c r="AJ513" s="170">
        <f t="shared" si="249"/>
        <v>0</v>
      </c>
      <c r="AK513" s="170">
        <f t="shared" si="261"/>
        <v>0</v>
      </c>
      <c r="AM513" s="170" t="str">
        <f t="shared" si="253"/>
        <v>1.1596234495003-0.987177975022552i</v>
      </c>
      <c r="AN513" s="170" t="str">
        <f t="shared" si="254"/>
        <v>10.8352650877358i</v>
      </c>
      <c r="AO513" s="170" t="str">
        <f t="shared" si="255"/>
        <v>-0.0911078747985517-0.107023080663975i</v>
      </c>
      <c r="AP513" s="170" t="str">
        <f t="shared" si="256"/>
        <v>-0.0266039082500495+0.164529662503759i</v>
      </c>
      <c r="AQ513" s="170" t="str">
        <f t="shared" si="257"/>
        <v>1.02660390825005-0.164529662503759i</v>
      </c>
      <c r="AR513" s="170" t="str">
        <f t="shared" si="258"/>
        <v>0.791093850000432+0.12678541655977i</v>
      </c>
    </row>
    <row r="514" spans="7:44">
      <c r="G514" s="688">
        <v>69586</v>
      </c>
      <c r="H514" s="676">
        <f t="shared" si="250"/>
        <v>69.585999999999999</v>
      </c>
      <c r="I514" s="677">
        <f t="shared" si="230"/>
        <v>61.228859538059027</v>
      </c>
      <c r="J514" s="678">
        <f t="shared" si="231"/>
        <v>1.5544634329683789</v>
      </c>
      <c r="K514" s="678">
        <f t="shared" si="232"/>
        <v>1.0046154894336723</v>
      </c>
      <c r="L514" s="679">
        <f t="shared" si="233"/>
        <v>9.589376190947442E-2</v>
      </c>
      <c r="M514" s="678">
        <f t="shared" si="234"/>
        <v>1.5200419206542883</v>
      </c>
      <c r="N514" s="679">
        <f t="shared" si="235"/>
        <v>-0.85280050901477222</v>
      </c>
      <c r="O514" s="677">
        <f t="shared" si="236"/>
        <v>6217293.0331041571</v>
      </c>
      <c r="P514" s="680">
        <f t="shared" si="237"/>
        <v>1.5707961659531935</v>
      </c>
      <c r="Q514" s="689">
        <f t="shared" si="259"/>
        <v>31.102545176996568</v>
      </c>
      <c r="R514" s="690">
        <f t="shared" si="260"/>
        <v>1.5386390752503341</v>
      </c>
      <c r="S514" s="677">
        <f t="shared" si="238"/>
        <v>1.0212490895736372</v>
      </c>
      <c r="T514" s="680">
        <f t="shared" si="239"/>
        <v>0.20435028059559887</v>
      </c>
      <c r="U514" s="681">
        <f t="shared" si="251"/>
        <v>0.10995898140456777</v>
      </c>
      <c r="V514" s="682">
        <f t="shared" si="252"/>
        <v>-2.1457855526845253</v>
      </c>
      <c r="W514" s="683">
        <f t="shared" si="240"/>
        <v>-48.071591500855874</v>
      </c>
      <c r="X514" s="684">
        <f t="shared" si="241"/>
        <v>-268.92708662601399</v>
      </c>
      <c r="Y514" s="687">
        <f t="shared" si="242"/>
        <v>-88.927086626013988</v>
      </c>
      <c r="AA514" s="170">
        <f t="shared" si="243"/>
        <v>69586</v>
      </c>
      <c r="AB514" s="170">
        <f t="shared" si="244"/>
        <v>4842211396</v>
      </c>
      <c r="AD514" s="686">
        <f t="shared" si="245"/>
        <v>-1.0932916937615875</v>
      </c>
      <c r="AE514" s="687">
        <f t="shared" si="246"/>
        <v>-13.550874214619288</v>
      </c>
      <c r="AG514" s="686">
        <f t="shared" si="247"/>
        <v>49.102286370714722</v>
      </c>
      <c r="AH514" s="687">
        <f t="shared" si="248"/>
        <v>-9.4873003124855284</v>
      </c>
      <c r="AJ514" s="170">
        <f t="shared" si="249"/>
        <v>0</v>
      </c>
      <c r="AK514" s="170">
        <f t="shared" si="261"/>
        <v>0</v>
      </c>
      <c r="AM514" s="170" t="str">
        <f t="shared" si="253"/>
        <v>1.09703942052301-0.995280538775153i</v>
      </c>
      <c r="AN514" s="170" t="str">
        <f t="shared" si="254"/>
        <v>10.8983819203444i</v>
      </c>
      <c r="AO514" s="170" t="str">
        <f t="shared" si="255"/>
        <v>-0.0913236979626514-0.100660761252561i</v>
      </c>
      <c r="AP514" s="170" t="str">
        <f t="shared" si="256"/>
        <v>-0.0161732367538353+0.165880089795859i</v>
      </c>
      <c r="AQ514" s="170" t="str">
        <f t="shared" si="257"/>
        <v>1.01617323675384-0.165880089795859i</v>
      </c>
      <c r="AR514" s="170" t="str">
        <f t="shared" si="258"/>
        <v>0.798465184802211+0.130341433687987i</v>
      </c>
    </row>
    <row r="515" spans="7:44">
      <c r="G515" s="688">
        <v>69989</v>
      </c>
      <c r="H515" s="676">
        <f t="shared" si="250"/>
        <v>69.989000000000004</v>
      </c>
      <c r="I515" s="677">
        <f t="shared" si="230"/>
        <v>61.583365724283055</v>
      </c>
      <c r="J515" s="678">
        <f t="shared" si="231"/>
        <v>1.5545574619697538</v>
      </c>
      <c r="K515" s="678">
        <f t="shared" si="232"/>
        <v>1.0046689798961279</v>
      </c>
      <c r="L515" s="679">
        <f t="shared" si="233"/>
        <v>9.6445692866506255E-2</v>
      </c>
      <c r="M515" s="678">
        <f t="shared" si="234"/>
        <v>1.5250412976811334</v>
      </c>
      <c r="N515" s="679">
        <f t="shared" si="235"/>
        <v>-0.85566053286728283</v>
      </c>
      <c r="O515" s="677">
        <f t="shared" si="236"/>
        <v>6253299.8317754548</v>
      </c>
      <c r="P515" s="680">
        <f t="shared" si="237"/>
        <v>1.5707961668793278</v>
      </c>
      <c r="Q515" s="689">
        <f t="shared" si="259"/>
        <v>31.282486628336446</v>
      </c>
      <c r="R515" s="690">
        <f t="shared" si="260"/>
        <v>1.5388241117141002</v>
      </c>
      <c r="S515" s="677">
        <f t="shared" si="238"/>
        <v>1.0214933288443073</v>
      </c>
      <c r="T515" s="680">
        <f t="shared" si="239"/>
        <v>0.2055008057928028</v>
      </c>
      <c r="U515" s="681">
        <f t="shared" si="251"/>
        <v>0.10720844843883398</v>
      </c>
      <c r="V515" s="682">
        <f t="shared" si="252"/>
        <v>-2.1750174042877317</v>
      </c>
      <c r="W515" s="683">
        <f t="shared" si="240"/>
        <v>-48.31491581056472</v>
      </c>
      <c r="X515" s="684">
        <f t="shared" si="241"/>
        <v>-270.79489828158739</v>
      </c>
      <c r="Y515" s="687">
        <f t="shared" si="242"/>
        <v>-90.794898281587393</v>
      </c>
      <c r="AA515" s="170">
        <f t="shared" si="243"/>
        <v>69989</v>
      </c>
      <c r="AB515" s="170">
        <f t="shared" si="244"/>
        <v>4898460121</v>
      </c>
      <c r="AD515" s="686">
        <f t="shared" si="245"/>
        <v>-1.0954202924401888</v>
      </c>
      <c r="AE515" s="687">
        <f t="shared" si="246"/>
        <v>-13.606192697339502</v>
      </c>
      <c r="AG515" s="686">
        <f t="shared" si="247"/>
        <v>49.301158553968314</v>
      </c>
      <c r="AH515" s="687">
        <f t="shared" si="248"/>
        <v>-7.9500700330782035</v>
      </c>
      <c r="AJ515" s="170">
        <f t="shared" si="249"/>
        <v>0</v>
      </c>
      <c r="AK515" s="170">
        <f t="shared" si="261"/>
        <v>0</v>
      </c>
      <c r="AM515" s="170" t="str">
        <f t="shared" si="253"/>
        <v>1.03406894057148-0.99941948514542i</v>
      </c>
      <c r="AN515" s="170" t="str">
        <f t="shared" si="254"/>
        <v>10.9614987529529i</v>
      </c>
      <c r="AO515" s="170" t="str">
        <f t="shared" si="255"/>
        <v>-0.0911754412120138-0.0943364556140568i</v>
      </c>
      <c r="AP515" s="170" t="str">
        <f t="shared" si="256"/>
        <v>-0.00567815676191353+0.166569914190903i</v>
      </c>
      <c r="AQ515" s="170" t="str">
        <f t="shared" si="257"/>
        <v>1.00567815676191-0.166569914190903i</v>
      </c>
      <c r="AR515" s="170" t="str">
        <f t="shared" si="258"/>
        <v>0.806180753374522+0.133527270140106i</v>
      </c>
    </row>
    <row r="516" spans="7:44">
      <c r="G516" s="688">
        <v>70392</v>
      </c>
      <c r="H516" s="676">
        <f t="shared" si="250"/>
        <v>70.391999999999996</v>
      </c>
      <c r="I516" s="677">
        <f t="shared" si="230"/>
        <v>61.937872448760686</v>
      </c>
      <c r="J516" s="678">
        <f t="shared" si="231"/>
        <v>1.5546504146058369</v>
      </c>
      <c r="K516" s="678">
        <f t="shared" si="232"/>
        <v>1.0047227763760236</v>
      </c>
      <c r="L516" s="679">
        <f t="shared" si="233"/>
        <v>9.6997564886891915E-2</v>
      </c>
      <c r="M516" s="678">
        <f t="shared" si="234"/>
        <v>1.5300530675652773</v>
      </c>
      <c r="N516" s="679">
        <f t="shared" si="235"/>
        <v>-0.85850184351509029</v>
      </c>
      <c r="O516" s="677">
        <f t="shared" si="236"/>
        <v>6289306.6304467516</v>
      </c>
      <c r="P516" s="680">
        <f t="shared" si="237"/>
        <v>1.5707961677948576</v>
      </c>
      <c r="Q516" s="689">
        <f t="shared" si="259"/>
        <v>31.462429138490123</v>
      </c>
      <c r="R516" s="690">
        <f t="shared" si="260"/>
        <v>1.5390070316325719</v>
      </c>
      <c r="S516" s="677">
        <f t="shared" si="238"/>
        <v>1.0217389196266118</v>
      </c>
      <c r="T516" s="680">
        <f t="shared" si="239"/>
        <v>0.20665077941850843</v>
      </c>
      <c r="U516" s="681">
        <f t="shared" si="251"/>
        <v>0.10435250853326121</v>
      </c>
      <c r="V516" s="682">
        <f t="shared" si="252"/>
        <v>-2.204846653421503</v>
      </c>
      <c r="W516" s="683">
        <f t="shared" si="240"/>
        <v>-48.572471239795632</v>
      </c>
      <c r="X516" s="684">
        <f t="shared" si="241"/>
        <v>-272.69589747815962</v>
      </c>
      <c r="Y516" s="687">
        <f t="shared" si="242"/>
        <v>-92.695897478159623</v>
      </c>
      <c r="AA516" s="170">
        <f t="shared" si="243"/>
        <v>70392</v>
      </c>
      <c r="AB516" s="170">
        <f t="shared" si="244"/>
        <v>4955033664</v>
      </c>
      <c r="AD516" s="686">
        <f t="shared" si="245"/>
        <v>-1.097559001588758</v>
      </c>
      <c r="AE516" s="687">
        <f t="shared" si="246"/>
        <v>-13.661600845845797</v>
      </c>
      <c r="AG516" s="686">
        <f t="shared" si="247"/>
        <v>49.514786523411601</v>
      </c>
      <c r="AH516" s="687">
        <f t="shared" si="248"/>
        <v>-6.3774809144195697</v>
      </c>
      <c r="AJ516" s="170">
        <f t="shared" si="249"/>
        <v>0</v>
      </c>
      <c r="AK516" s="170">
        <f t="shared" si="261"/>
        <v>0</v>
      </c>
      <c r="AM516" s="170" t="str">
        <f t="shared" si="253"/>
        <v>0.970962784054516-0.999578331142755i</v>
      </c>
      <c r="AN516" s="170" t="str">
        <f t="shared" si="254"/>
        <v>11.0246155855615i</v>
      </c>
      <c r="AO516" s="170" t="str">
        <f t="shared" si="255"/>
        <v>-0.0906678626012015-0.0880722576237622i</v>
      </c>
      <c r="AP516" s="170" t="str">
        <f t="shared" si="256"/>
        <v>0.00483953599091407+0.166596388523792i</v>
      </c>
      <c r="AQ516" s="170" t="str">
        <f t="shared" si="257"/>
        <v>0.995160464009086-0.166596388523792i</v>
      </c>
      <c r="AR516" s="170" t="str">
        <f t="shared" si="258"/>
        <v>0.814232118949096+0.13630779692606i</v>
      </c>
    </row>
    <row r="517" spans="7:44">
      <c r="G517" s="688">
        <v>70795</v>
      </c>
      <c r="H517" s="676">
        <f t="shared" si="250"/>
        <v>70.795000000000002</v>
      </c>
      <c r="I517" s="677">
        <f t="shared" si="230"/>
        <v>62.292379702302327</v>
      </c>
      <c r="J517" s="678">
        <f t="shared" si="231"/>
        <v>1.5547423092518611</v>
      </c>
      <c r="K517" s="678">
        <f t="shared" si="232"/>
        <v>1.0047768788242066</v>
      </c>
      <c r="L517" s="679">
        <f t="shared" si="233"/>
        <v>9.7549377643965748E-2</v>
      </c>
      <c r="M517" s="678">
        <f t="shared" si="234"/>
        <v>1.5350771089249087</v>
      </c>
      <c r="N517" s="679">
        <f t="shared" si="235"/>
        <v>-0.861324578592222</v>
      </c>
      <c r="O517" s="677">
        <f t="shared" si="236"/>
        <v>6325313.4291180503</v>
      </c>
      <c r="P517" s="680">
        <f t="shared" si="237"/>
        <v>1.5707961686999641</v>
      </c>
      <c r="Q517" s="689">
        <f t="shared" si="259"/>
        <v>31.642372689393948</v>
      </c>
      <c r="R517" s="690">
        <f t="shared" si="260"/>
        <v>1.5391878711024529</v>
      </c>
      <c r="S517" s="677">
        <f t="shared" si="238"/>
        <v>1.0219858609462158</v>
      </c>
      <c r="T517" s="680">
        <f t="shared" si="239"/>
        <v>0.20780019882991604</v>
      </c>
      <c r="U517" s="681">
        <f t="shared" si="251"/>
        <v>0.10138735415701694</v>
      </c>
      <c r="V517" s="682">
        <f t="shared" si="252"/>
        <v>-2.2352983202342966</v>
      </c>
      <c r="W517" s="683">
        <f t="shared" si="240"/>
        <v>-48.845633177669171</v>
      </c>
      <c r="X517" s="684">
        <f t="shared" si="241"/>
        <v>-274.63152450243075</v>
      </c>
      <c r="Y517" s="687">
        <f t="shared" si="242"/>
        <v>-94.63152450243075</v>
      </c>
      <c r="AA517" s="170">
        <f t="shared" si="243"/>
        <v>70795</v>
      </c>
      <c r="AB517" s="170">
        <f t="shared" si="244"/>
        <v>5011932025</v>
      </c>
      <c r="AD517" s="686">
        <f t="shared" si="245"/>
        <v>-1.0997078248965111</v>
      </c>
      <c r="AE517" s="687">
        <f t="shared" si="246"/>
        <v>-13.717096440538494</v>
      </c>
      <c r="AG517" s="686">
        <f t="shared" si="247"/>
        <v>49.74453756313801</v>
      </c>
      <c r="AH517" s="687">
        <f t="shared" si="248"/>
        <v>-4.7681083649873317</v>
      </c>
      <c r="AJ517" s="170">
        <f t="shared" si="249"/>
        <v>0</v>
      </c>
      <c r="AK517" s="170">
        <f t="shared" si="261"/>
        <v>0</v>
      </c>
      <c r="AM517" s="170" t="str">
        <f t="shared" si="253"/>
        <v>0.907972265701335-0.995756444176915i</v>
      </c>
      <c r="AN517" s="170" t="str">
        <f t="shared" si="254"/>
        <v>11.08773241817i</v>
      </c>
      <c r="AO517" s="170" t="str">
        <f t="shared" si="255"/>
        <v>-0.0898070413879326-0.0818898068114809i</v>
      </c>
      <c r="AP517" s="170" t="str">
        <f t="shared" si="256"/>
        <v>0.0153379557164442+0.165959407362819i</v>
      </c>
      <c r="AQ517" s="170" t="str">
        <f t="shared" si="257"/>
        <v>0.984662044283556-0.165959407362819i</v>
      </c>
      <c r="AR517" s="170" t="str">
        <f t="shared" si="258"/>
        <v>0.82260750939613+0.1386460009748i</v>
      </c>
    </row>
    <row r="518" spans="7:44">
      <c r="G518" s="688">
        <v>71207.25</v>
      </c>
      <c r="H518" s="676">
        <f t="shared" si="250"/>
        <v>71.207250000000002</v>
      </c>
      <c r="I518" s="677">
        <f t="shared" si="230"/>
        <v>62.655024446989472</v>
      </c>
      <c r="J518" s="678">
        <f t="shared" si="231"/>
        <v>1.5548352371698322</v>
      </c>
      <c r="K518" s="678">
        <f t="shared" si="232"/>
        <v>1.0048325396095847</v>
      </c>
      <c r="L518" s="679">
        <f t="shared" si="233"/>
        <v>9.8113794418790645E-2</v>
      </c>
      <c r="M518" s="678">
        <f t="shared" si="234"/>
        <v>1.5402290383737616</v>
      </c>
      <c r="N518" s="679">
        <f t="shared" si="235"/>
        <v>-0.86419302634617778</v>
      </c>
      <c r="O518" s="677">
        <f t="shared" si="236"/>
        <v>6362146.6865677824</v>
      </c>
      <c r="P518" s="680">
        <f t="shared" si="237"/>
        <v>1.570796169615245</v>
      </c>
      <c r="Q518" s="689">
        <f t="shared" si="259"/>
        <v>31.826447516729083</v>
      </c>
      <c r="R518" s="690">
        <f t="shared" si="260"/>
        <v>1.539370745508555</v>
      </c>
      <c r="S518" s="677">
        <f t="shared" si="238"/>
        <v>1.0222398666443782</v>
      </c>
      <c r="T518" s="680">
        <f t="shared" si="239"/>
        <v>0.20897542450871551</v>
      </c>
      <c r="U518" s="681">
        <f t="shared" si="251"/>
        <v>9.8237255331619477E-2</v>
      </c>
      <c r="V518" s="682">
        <f t="shared" si="252"/>
        <v>-2.2671179509678785</v>
      </c>
      <c r="W518" s="683">
        <f t="shared" si="240"/>
        <v>-49.142829432974509</v>
      </c>
      <c r="X518" s="684">
        <f t="shared" si="241"/>
        <v>-276.64884827206686</v>
      </c>
      <c r="Y518" s="687">
        <f t="shared" si="242"/>
        <v>-96.648848272066857</v>
      </c>
      <c r="AA518" s="170">
        <f t="shared" si="243"/>
        <v>71207.25</v>
      </c>
      <c r="AB518" s="170">
        <f t="shared" si="244"/>
        <v>5070472452.5625</v>
      </c>
      <c r="AD518" s="686">
        <f t="shared" si="245"/>
        <v>-1.1019164380619892</v>
      </c>
      <c r="AE518" s="687">
        <f t="shared" si="246"/>
        <v>-13.773954032765188</v>
      </c>
      <c r="AG518" s="686">
        <f t="shared" si="247"/>
        <v>49.997852703145213</v>
      </c>
      <c r="AH518" s="687">
        <f t="shared" si="248"/>
        <v>-3.0823134448323044</v>
      </c>
      <c r="AJ518" s="170">
        <f t="shared" si="249"/>
        <v>0</v>
      </c>
      <c r="AK518" s="170">
        <f t="shared" si="261"/>
        <v>0</v>
      </c>
      <c r="AM518" s="170" t="str">
        <f t="shared" si="253"/>
        <v>0.843917120475479-0.987743962127501i</v>
      </c>
      <c r="AN518" s="170" t="str">
        <f t="shared" si="254"/>
        <v>11.152297962197i</v>
      </c>
      <c r="AO518" s="170" t="str">
        <f t="shared" si="255"/>
        <v>-0.0885686488538651-0.0756720384745914i</v>
      </c>
      <c r="AP518" s="170" t="str">
        <f t="shared" si="256"/>
        <v>0.0260138132540868+0.164623993687917i</v>
      </c>
      <c r="AQ518" s="170" t="str">
        <f t="shared" si="257"/>
        <v>0.973986186745913-0.164623993687917i</v>
      </c>
      <c r="AR518" s="170" t="str">
        <f t="shared" si="258"/>
        <v>0.83149409969722+0.140539857015246i</v>
      </c>
    </row>
    <row r="519" spans="7:44">
      <c r="G519" s="688">
        <v>71619.5</v>
      </c>
      <c r="H519" s="676">
        <f t="shared" si="250"/>
        <v>71.619500000000002</v>
      </c>
      <c r="I519" s="677">
        <f t="shared" si="230"/>
        <v>63.017669726512942</v>
      </c>
      <c r="J519" s="678">
        <f t="shared" si="231"/>
        <v>1.5549270955513963</v>
      </c>
      <c r="K519" s="678">
        <f t="shared" si="232"/>
        <v>1.0048885204652218</v>
      </c>
      <c r="L519" s="679">
        <f t="shared" si="233"/>
        <v>9.8678148487732889E-2</v>
      </c>
      <c r="M519" s="678">
        <f t="shared" si="234"/>
        <v>1.5453935562582763</v>
      </c>
      <c r="N519" s="679">
        <f t="shared" si="235"/>
        <v>-0.86704232540470061</v>
      </c>
      <c r="O519" s="677">
        <f t="shared" si="236"/>
        <v>6398979.9440175164</v>
      </c>
      <c r="P519" s="680">
        <f t="shared" si="237"/>
        <v>1.5707961705199889</v>
      </c>
      <c r="Q519" s="689">
        <f t="shared" si="259"/>
        <v>32.010523396196376</v>
      </c>
      <c r="R519" s="690">
        <f t="shared" si="260"/>
        <v>1.5395515166893594</v>
      </c>
      <c r="S519" s="677">
        <f t="shared" si="238"/>
        <v>1.022495283512044</v>
      </c>
      <c r="T519" s="680">
        <f t="shared" si="239"/>
        <v>0.21015006467209421</v>
      </c>
      <c r="U519" s="681">
        <f t="shared" si="251"/>
        <v>9.4965156361246028E-2</v>
      </c>
      <c r="V519" s="682">
        <f t="shared" si="252"/>
        <v>-2.2996382087348013</v>
      </c>
      <c r="W519" s="683">
        <f t="shared" si="240"/>
        <v>-49.45985631240486</v>
      </c>
      <c r="X519" s="684">
        <f t="shared" si="241"/>
        <v>-278.70524714496639</v>
      </c>
      <c r="Y519" s="687">
        <f t="shared" si="242"/>
        <v>-98.705247144966393</v>
      </c>
      <c r="AA519" s="170">
        <f t="shared" si="243"/>
        <v>71619.5</v>
      </c>
      <c r="AB519" s="170">
        <f t="shared" si="244"/>
        <v>5129352780.25</v>
      </c>
      <c r="AD519" s="686">
        <f t="shared" si="245"/>
        <v>-1.1041356408205105</v>
      </c>
      <c r="AE519" s="687">
        <f t="shared" si="246"/>
        <v>-13.830898582758733</v>
      </c>
      <c r="AG519" s="686">
        <f t="shared" si="247"/>
        <v>50.271522325916905</v>
      </c>
      <c r="AH519" s="687">
        <f t="shared" si="248"/>
        <v>-1.3552207260356568</v>
      </c>
      <c r="AJ519" s="170">
        <f t="shared" si="249"/>
        <v>0</v>
      </c>
      <c r="AK519" s="170">
        <f t="shared" si="261"/>
        <v>0</v>
      </c>
      <c r="AM519" s="170" t="str">
        <f t="shared" si="253"/>
        <v>0.780512413424041-0.975615292694339i</v>
      </c>
      <c r="AN519" s="170" t="str">
        <f t="shared" si="254"/>
        <v>11.216863506224i</v>
      </c>
      <c r="AO519" s="170" t="str">
        <f t="shared" si="255"/>
        <v>-0.0869775487731478-0.0695838380302079i</v>
      </c>
      <c r="AP519" s="170" t="str">
        <f t="shared" si="256"/>
        <v>0.0365812644293265+0.16260254878239i</v>
      </c>
      <c r="AQ519" s="170" t="str">
        <f t="shared" si="257"/>
        <v>0.963418735570673-0.16260254878239i</v>
      </c>
      <c r="AR519" s="170" t="str">
        <f t="shared" si="258"/>
        <v>0.840681947663253+0.141887449722905i</v>
      </c>
    </row>
    <row r="520" spans="7:44">
      <c r="G520" s="688">
        <v>72031.75</v>
      </c>
      <c r="H520" s="676">
        <f t="shared" si="250"/>
        <v>72.031750000000002</v>
      </c>
      <c r="I520" s="677">
        <f t="shared" si="230"/>
        <v>63.38031553169219</v>
      </c>
      <c r="J520" s="678">
        <f t="shared" si="231"/>
        <v>1.5550179027538231</v>
      </c>
      <c r="K520" s="678">
        <f t="shared" si="232"/>
        <v>1.0049448213376293</v>
      </c>
      <c r="L520" s="679">
        <f t="shared" si="233"/>
        <v>9.9242439501813343E-2</v>
      </c>
      <c r="M520" s="678">
        <f t="shared" si="234"/>
        <v>1.550570536792756</v>
      </c>
      <c r="N520" s="679">
        <f t="shared" si="235"/>
        <v>-0.86987262107063079</v>
      </c>
      <c r="O520" s="677">
        <f t="shared" si="236"/>
        <v>6435813.2014672486</v>
      </c>
      <c r="P520" s="680">
        <f t="shared" si="237"/>
        <v>1.570796171414377</v>
      </c>
      <c r="Q520" s="689">
        <f t="shared" si="259"/>
        <v>32.194600309748814</v>
      </c>
      <c r="R520" s="690">
        <f t="shared" si="260"/>
        <v>1.5397302207093608</v>
      </c>
      <c r="S520" s="677">
        <f t="shared" si="238"/>
        <v>1.0227521104919581</v>
      </c>
      <c r="T520" s="680">
        <f t="shared" si="239"/>
        <v>0.2113241165184534</v>
      </c>
      <c r="U520" s="681">
        <f t="shared" si="251"/>
        <v>9.1567502454088193E-2</v>
      </c>
      <c r="V520" s="682">
        <f t="shared" si="252"/>
        <v>-2.332881440206179</v>
      </c>
      <c r="W520" s="683">
        <f t="shared" si="240"/>
        <v>-49.798850389798815</v>
      </c>
      <c r="X520" s="684">
        <f t="shared" si="241"/>
        <v>-280.80200866124761</v>
      </c>
      <c r="Y520" s="687">
        <f t="shared" si="242"/>
        <v>-100.80200866124761</v>
      </c>
      <c r="AA520" s="170">
        <f t="shared" si="243"/>
        <v>72031.75</v>
      </c>
      <c r="AB520" s="170">
        <f t="shared" si="244"/>
        <v>5188573008.0625</v>
      </c>
      <c r="AD520" s="686">
        <f t="shared" si="245"/>
        <v>-1.1063654351331937</v>
      </c>
      <c r="AE520" s="687">
        <f t="shared" si="246"/>
        <v>-13.887927863666384</v>
      </c>
      <c r="AG520" s="686">
        <f t="shared" si="247"/>
        <v>50.567674798152339</v>
      </c>
      <c r="AH520" s="687">
        <f t="shared" si="248"/>
        <v>0.41444076431644405</v>
      </c>
      <c r="AJ520" s="170">
        <f t="shared" si="249"/>
        <v>0</v>
      </c>
      <c r="AK520" s="170">
        <f t="shared" si="261"/>
        <v>0</v>
      </c>
      <c r="AM520" s="170" t="str">
        <f t="shared" si="253"/>
        <v>0.718022368541537-0.959420979214586i</v>
      </c>
      <c r="AN520" s="170" t="str">
        <f t="shared" si="254"/>
        <v>11.281429050251i</v>
      </c>
      <c r="AO520" s="170" t="str">
        <f t="shared" si="255"/>
        <v>-0.0850442771869615-0.0636464020066289i</v>
      </c>
      <c r="AP520" s="170" t="str">
        <f t="shared" si="256"/>
        <v>0.0469962719097438+0.159903496535764i</v>
      </c>
      <c r="AQ520" s="170" t="str">
        <f t="shared" si="257"/>
        <v>0.953003728090256-0.159903496535764i</v>
      </c>
      <c r="AR520" s="170" t="str">
        <f t="shared" si="258"/>
        <v>0.850144205144545+0.142644805004746i</v>
      </c>
    </row>
    <row r="521" spans="7:44">
      <c r="G521" s="688">
        <v>72444</v>
      </c>
      <c r="H521" s="676">
        <f t="shared" si="250"/>
        <v>72.444000000000003</v>
      </c>
      <c r="I521" s="677">
        <f t="shared" si="230"/>
        <v>63.742961853555521</v>
      </c>
      <c r="J521" s="678">
        <f t="shared" si="231"/>
        <v>1.5551076767167007</v>
      </c>
      <c r="K521" s="678">
        <f t="shared" si="232"/>
        <v>1.0050014421730242</v>
      </c>
      <c r="L521" s="679">
        <f t="shared" si="233"/>
        <v>9.9806667112291483E-2</v>
      </c>
      <c r="M521" s="678">
        <f t="shared" si="234"/>
        <v>1.5557598555642453</v>
      </c>
      <c r="N521" s="679">
        <f t="shared" si="235"/>
        <v>-0.87268405793296466</v>
      </c>
      <c r="O521" s="677">
        <f t="shared" si="236"/>
        <v>6472646.4589169817</v>
      </c>
      <c r="P521" s="680">
        <f t="shared" si="237"/>
        <v>1.5707961722985857</v>
      </c>
      <c r="Q521" s="689">
        <f t="shared" si="259"/>
        <v>32.378678239749675</v>
      </c>
      <c r="R521" s="690">
        <f t="shared" si="260"/>
        <v>1.53990689281346</v>
      </c>
      <c r="S521" s="677">
        <f t="shared" si="238"/>
        <v>1.0230103465220941</v>
      </c>
      <c r="T521" s="680">
        <f t="shared" si="239"/>
        <v>0.21249757725548746</v>
      </c>
      <c r="U521" s="681">
        <f t="shared" si="251"/>
        <v>8.8041107962541193E-2</v>
      </c>
      <c r="V521" s="682">
        <f t="shared" si="252"/>
        <v>-2.3668676826540387</v>
      </c>
      <c r="W521" s="683">
        <f t="shared" si="240"/>
        <v>-50.162254976617824</v>
      </c>
      <c r="X521" s="684">
        <f t="shared" si="241"/>
        <v>-282.94028802485406</v>
      </c>
      <c r="Y521" s="687">
        <f t="shared" si="242"/>
        <v>-102.94028802485406</v>
      </c>
      <c r="AA521" s="170">
        <f t="shared" si="243"/>
        <v>72444</v>
      </c>
      <c r="AB521" s="170">
        <f t="shared" si="244"/>
        <v>5248133136</v>
      </c>
      <c r="AD521" s="686">
        <f t="shared" si="245"/>
        <v>-1.1086058223317987</v>
      </c>
      <c r="AE521" s="687">
        <f t="shared" si="246"/>
        <v>-13.945039696126846</v>
      </c>
      <c r="AG521" s="686">
        <f t="shared" si="247"/>
        <v>50.888745375560433</v>
      </c>
      <c r="AH521" s="687">
        <f t="shared" si="248"/>
        <v>2.2278097451621117</v>
      </c>
      <c r="AJ521" s="170">
        <f t="shared" si="249"/>
        <v>0</v>
      </c>
      <c r="AK521" s="170">
        <f t="shared" si="261"/>
        <v>0</v>
      </c>
      <c r="AM521" s="170" t="str">
        <f t="shared" si="253"/>
        <v>0.656707398186049-0.939228507627302i</v>
      </c>
      <c r="AN521" s="170" t="str">
        <f t="shared" si="254"/>
        <v>11.345994594278i</v>
      </c>
      <c r="AO521" s="170" t="str">
        <f t="shared" si="255"/>
        <v>-0.082780623578031-0.0578801085025405i</v>
      </c>
      <c r="AP521" s="170" t="str">
        <f t="shared" si="256"/>
        <v>0.0572154336356585+0.15653808460455i</v>
      </c>
      <c r="AQ521" s="170" t="str">
        <f t="shared" si="257"/>
        <v>0.942784566364341-0.15653808460455i</v>
      </c>
      <c r="AR521" s="170" t="str">
        <f t="shared" si="258"/>
        <v>0.859848032272883+0.14276746652954i</v>
      </c>
    </row>
    <row r="522" spans="7:44">
      <c r="G522" s="688">
        <v>72865.75</v>
      </c>
      <c r="H522" s="676">
        <f t="shared" si="250"/>
        <v>72.865750000000006</v>
      </c>
      <c r="I522" s="677">
        <f t="shared" si="230"/>
        <v>64.113965620442457</v>
      </c>
      <c r="J522" s="678">
        <f t="shared" si="231"/>
        <v>1.5551984685071232</v>
      </c>
      <c r="K522" s="678">
        <f t="shared" si="232"/>
        <v>1.0050596988457177</v>
      </c>
      <c r="L522" s="679">
        <f t="shared" si="233"/>
        <v>0.10038383096026593</v>
      </c>
      <c r="M522" s="678">
        <f t="shared" si="234"/>
        <v>1.5610813980869738</v>
      </c>
      <c r="N522" s="679">
        <f t="shared" si="235"/>
        <v>-0.87554091662255984</v>
      </c>
      <c r="O522" s="677">
        <f t="shared" si="236"/>
        <v>6510328.5118688913</v>
      </c>
      <c r="P522" s="680">
        <f t="shared" si="237"/>
        <v>1.5707961731928168</v>
      </c>
      <c r="Q522" s="689">
        <f t="shared" si="259"/>
        <v>32.566999145013355</v>
      </c>
      <c r="R522" s="690">
        <f t="shared" si="260"/>
        <v>1.5400855694231643</v>
      </c>
      <c r="S522" s="677">
        <f t="shared" si="238"/>
        <v>1.0232759904305453</v>
      </c>
      <c r="T522" s="680">
        <f t="shared" si="239"/>
        <v>0.21369746493691974</v>
      </c>
      <c r="U522" s="681">
        <f t="shared" si="251"/>
        <v>8.4297416235861594E-2</v>
      </c>
      <c r="V522" s="682">
        <f t="shared" si="252"/>
        <v>-2.4024239641357088</v>
      </c>
      <c r="W522" s="683">
        <f t="shared" si="240"/>
        <v>-50.562227450516119</v>
      </c>
      <c r="X522" s="684">
        <f t="shared" si="241"/>
        <v>-285.17184290652881</v>
      </c>
      <c r="Y522" s="687">
        <f t="shared" si="242"/>
        <v>-105.17184290652881</v>
      </c>
      <c r="AA522" s="170">
        <f t="shared" si="243"/>
        <v>72865.75</v>
      </c>
      <c r="AB522" s="170">
        <f t="shared" si="244"/>
        <v>5309417523.0625</v>
      </c>
      <c r="AD522" s="686">
        <f t="shared" si="245"/>
        <v>-1.1109088002217258</v>
      </c>
      <c r="AE522" s="687">
        <f t="shared" si="246"/>
        <v>-14.003550831831424</v>
      </c>
      <c r="AG522" s="686">
        <f t="shared" si="247"/>
        <v>51.245925315000392</v>
      </c>
      <c r="AH522" s="687">
        <f t="shared" si="248"/>
        <v>4.1292157320053908</v>
      </c>
      <c r="AJ522" s="170">
        <f t="shared" si="249"/>
        <v>0</v>
      </c>
      <c r="AK522" s="170">
        <f t="shared" si="261"/>
        <v>0</v>
      </c>
      <c r="AM522" s="170" t="str">
        <f t="shared" si="253"/>
        <v>0.595461885893642-0.914521139304757i</v>
      </c>
      <c r="AN522" s="170" t="str">
        <f t="shared" si="254"/>
        <v>11.4120480040861i</v>
      </c>
      <c r="AO522" s="170" t="str">
        <f t="shared" si="255"/>
        <v>-0.0801364609557646-0.0521783544619192i</v>
      </c>
      <c r="AP522" s="170" t="str">
        <f t="shared" si="256"/>
        <v>0.0674230190177263+0.152420189884126i</v>
      </c>
      <c r="AQ522" s="170" t="str">
        <f t="shared" si="257"/>
        <v>0.932576980982274-0.152420189884126i</v>
      </c>
      <c r="AR522" s="170" t="str">
        <f t="shared" si="258"/>
        <v>0.869984334281148+0.142190060586396i</v>
      </c>
    </row>
    <row r="523" spans="7:44">
      <c r="G523" s="688">
        <v>73287.5</v>
      </c>
      <c r="H523" s="676">
        <f t="shared" si="250"/>
        <v>73.287499999999994</v>
      </c>
      <c r="I523" s="677">
        <f t="shared" si="230"/>
        <v>64.484969909749097</v>
      </c>
      <c r="J523" s="678">
        <f t="shared" si="231"/>
        <v>1.555288215585263</v>
      </c>
      <c r="K523" s="678">
        <f t="shared" si="232"/>
        <v>1.0051182902831204</v>
      </c>
      <c r="L523" s="679">
        <f t="shared" si="233"/>
        <v>0.10096092771115044</v>
      </c>
      <c r="M523" s="678">
        <f t="shared" si="234"/>
        <v>1.5664155949668785</v>
      </c>
      <c r="N523" s="679">
        <f t="shared" si="235"/>
        <v>-0.87837834111871349</v>
      </c>
      <c r="O523" s="677">
        <f t="shared" si="236"/>
        <v>6548010.5648208018</v>
      </c>
      <c r="P523" s="680">
        <f t="shared" si="237"/>
        <v>1.5707961740767558</v>
      </c>
      <c r="Q523" s="689">
        <f t="shared" si="259"/>
        <v>32.755321078033973</v>
      </c>
      <c r="R523" s="690">
        <f t="shared" si="260"/>
        <v>1.5402621914883272</v>
      </c>
      <c r="S523" s="677">
        <f t="shared" si="238"/>
        <v>1.0235431068146481</v>
      </c>
      <c r="T523" s="680">
        <f t="shared" si="239"/>
        <v>0.214896728069357</v>
      </c>
      <c r="U523" s="681">
        <f t="shared" si="251"/>
        <v>8.0413946573907769E-2</v>
      </c>
      <c r="V523" s="682">
        <f t="shared" si="252"/>
        <v>-2.4387907798437052</v>
      </c>
      <c r="W523" s="683">
        <f t="shared" si="240"/>
        <v>-50.994181141714762</v>
      </c>
      <c r="X523" s="684">
        <f t="shared" si="241"/>
        <v>-287.4487504002077</v>
      </c>
      <c r="Y523" s="687">
        <f t="shared" si="242"/>
        <v>-107.4487504002077</v>
      </c>
      <c r="AA523" s="170">
        <f t="shared" si="243"/>
        <v>73287.5</v>
      </c>
      <c r="AB523" s="170">
        <f t="shared" si="244"/>
        <v>5371057656.25</v>
      </c>
      <c r="AD523" s="686">
        <f t="shared" si="245"/>
        <v>-1.1132228657186212</v>
      </c>
      <c r="AE523" s="687">
        <f t="shared" si="246"/>
        <v>-14.062143899655926</v>
      </c>
      <c r="AG523" s="686">
        <f t="shared" si="247"/>
        <v>51.63560114576471</v>
      </c>
      <c r="AH523" s="687">
        <f t="shared" si="248"/>
        <v>6.0782314197094385</v>
      </c>
      <c r="AJ523" s="170">
        <f t="shared" si="249"/>
        <v>0</v>
      </c>
      <c r="AK523" s="170">
        <f t="shared" si="261"/>
        <v>0</v>
      </c>
      <c r="AM523" s="170" t="str">
        <f t="shared" si="253"/>
        <v>0.535980753165604-0.885825117372069i</v>
      </c>
      <c r="AN523" s="170" t="str">
        <f t="shared" si="254"/>
        <v>11.4781014138941i</v>
      </c>
      <c r="AO523" s="170" t="str">
        <f t="shared" si="255"/>
        <v>-0.0771752300689545-0.0466959415881102i</v>
      </c>
      <c r="AP523" s="170" t="str">
        <f t="shared" si="256"/>
        <v>0.077336541139066+0.147637519562012i</v>
      </c>
      <c r="AQ523" s="170" t="str">
        <f t="shared" si="257"/>
        <v>0.922663458860934-0.147637519562012i</v>
      </c>
      <c r="AR523" s="170" t="str">
        <f t="shared" si="258"/>
        <v>0.880282359255127+0.140856021539064i</v>
      </c>
    </row>
    <row r="524" spans="7:44">
      <c r="G524" s="688">
        <v>73709.25</v>
      </c>
      <c r="H524" s="676">
        <f t="shared" si="250"/>
        <v>73.709249999999997</v>
      </c>
      <c r="I524" s="677">
        <f t="shared" si="230"/>
        <v>64.855974712510019</v>
      </c>
      <c r="J524" s="678">
        <f t="shared" si="231"/>
        <v>1.5553769358783081</v>
      </c>
      <c r="K524" s="678">
        <f t="shared" si="232"/>
        <v>1.0051772164266926</v>
      </c>
      <c r="L524" s="679">
        <f t="shared" si="233"/>
        <v>0.10153795699231857</v>
      </c>
      <c r="M524" s="678">
        <f t="shared" si="234"/>
        <v>1.5717623173661017</v>
      </c>
      <c r="N524" s="679">
        <f t="shared" si="235"/>
        <v>-0.88119648383022686</v>
      </c>
      <c r="O524" s="677">
        <f t="shared" si="236"/>
        <v>6585692.6177727114</v>
      </c>
      <c r="P524" s="680">
        <f t="shared" si="237"/>
        <v>1.5707961749505792</v>
      </c>
      <c r="Q524" s="689">
        <f t="shared" si="259"/>
        <v>32.943644021186024</v>
      </c>
      <c r="R524" s="690">
        <f t="shared" si="260"/>
        <v>1.540436794232358</v>
      </c>
      <c r="S524" s="677">
        <f t="shared" si="238"/>
        <v>1.0238116945218789</v>
      </c>
      <c r="T524" s="680">
        <f t="shared" si="239"/>
        <v>0.21609536369335905</v>
      </c>
      <c r="U524" s="681">
        <f t="shared" si="251"/>
        <v>7.6389323432239212E-2</v>
      </c>
      <c r="V524" s="682">
        <f t="shared" si="252"/>
        <v>-2.4759787080404028</v>
      </c>
      <c r="W524" s="683">
        <f t="shared" si="240"/>
        <v>-51.462203657967265</v>
      </c>
      <c r="X524" s="684">
        <f t="shared" si="241"/>
        <v>-289.77162418885712</v>
      </c>
      <c r="Y524" s="687">
        <f t="shared" si="242"/>
        <v>-109.77162418885712</v>
      </c>
      <c r="AA524" s="170">
        <f t="shared" si="243"/>
        <v>73709.25</v>
      </c>
      <c r="AB524" s="170">
        <f t="shared" si="244"/>
        <v>5433053535.5625</v>
      </c>
      <c r="AD524" s="686">
        <f t="shared" si="245"/>
        <v>-1.1155480183267867</v>
      </c>
      <c r="AE524" s="687">
        <f t="shared" si="246"/>
        <v>-14.120816711894349</v>
      </c>
      <c r="AG524" s="686">
        <f t="shared" si="247"/>
        <v>52.061852321032291</v>
      </c>
      <c r="AH524" s="687">
        <f t="shared" si="248"/>
        <v>8.0754531171804071</v>
      </c>
      <c r="AJ524" s="170">
        <f t="shared" si="249"/>
        <v>0</v>
      </c>
      <c r="AK524" s="170">
        <f t="shared" si="261"/>
        <v>0</v>
      </c>
      <c r="AM524" s="170" t="str">
        <f t="shared" si="253"/>
        <v>0.478523424988882-0.853265598576829i</v>
      </c>
      <c r="AN524" s="170" t="str">
        <f t="shared" si="254"/>
        <v>11.5441548237022i</v>
      </c>
      <c r="AO524" s="170" t="str">
        <f t="shared" si="255"/>
        <v>-0.0739132150952206-0.0414515772091334i</v>
      </c>
      <c r="AP524" s="170" t="str">
        <f t="shared" si="256"/>
        <v>0.086912762501853+0.142210933096138i</v>
      </c>
      <c r="AQ524" s="170" t="str">
        <f t="shared" si="257"/>
        <v>0.913087237498147-0.142210933096138i</v>
      </c>
      <c r="AR524" s="170" t="str">
        <f t="shared" si="258"/>
        <v>0.890684070877657+0.138721698882179i</v>
      </c>
    </row>
    <row r="525" spans="7:44">
      <c r="G525" s="688">
        <v>74131</v>
      </c>
      <c r="H525" s="676">
        <f t="shared" si="250"/>
        <v>74.131</v>
      </c>
      <c r="I525" s="677">
        <f t="shared" ref="I525:I588" si="262">SQRT(1+(G525/pole1)^2)</f>
        <v>65.226980019963804</v>
      </c>
      <c r="J525" s="678">
        <f t="shared" ref="J525:J588" si="263">ATAN(G525/pole1)</f>
        <v>1.5554646469056388</v>
      </c>
      <c r="K525" s="678">
        <f t="shared" ref="K525:K588" si="264">SQRT(1+(G525/Zero1)^2)</f>
        <v>1.005236477217573</v>
      </c>
      <c r="L525" s="679">
        <f t="shared" ref="L525:L588" si="265">ATAN(G525/Zero1)</f>
        <v>0.10211491843141079</v>
      </c>
      <c r="M525" s="678">
        <f t="shared" ref="M525:M588" si="266">SQRT(1+(G525/z_RHP)^2)</f>
        <v>1.5771214378934288</v>
      </c>
      <c r="N525" s="679">
        <f t="shared" ref="N525:N588" si="267">-ATAN(G525/z_RHP)</f>
        <v>-0.88399549632668606</v>
      </c>
      <c r="O525" s="677">
        <f t="shared" ref="O525:O588" si="268">SQRT(1+(G525/Pole2)^2)</f>
        <v>6623374.670724622</v>
      </c>
      <c r="P525" s="680">
        <f t="shared" ref="P525:P588" si="269">ATAN(G525/Pole2)</f>
        <v>1.57079617581446</v>
      </c>
      <c r="Q525" s="689">
        <f t="shared" si="259"/>
        <v>33.131967957244669</v>
      </c>
      <c r="R525" s="690">
        <f t="shared" si="260"/>
        <v>1.5406094120783176</v>
      </c>
      <c r="S525" s="677">
        <f t="shared" ref="S525:S588" si="270">SQRT(1+(G525/pole4)^2)</f>
        <v>1.0240817523945784</v>
      </c>
      <c r="T525" s="680">
        <f t="shared" ref="T525:T588" si="271">ATAN(G525/pole4)</f>
        <v>0.21729336885979433</v>
      </c>
      <c r="U525" s="681">
        <f t="shared" si="251"/>
        <v>7.2223181036924322E-2</v>
      </c>
      <c r="V525" s="682">
        <f t="shared" si="252"/>
        <v>-2.5139933898770273</v>
      </c>
      <c r="W525" s="683">
        <f t="shared" ref="W525:W588" si="272">20*LOG10(((K525*Q525*M525*U525)/(I525*O525*S525))*Adc)</f>
        <v>-51.971129204431634</v>
      </c>
      <c r="X525" s="684">
        <f t="shared" ref="X525:X588" si="273">((L525+R525+N525+V525)-(J525+P525+T525))*radconv</f>
        <v>-292.14079505479424</v>
      </c>
      <c r="Y525" s="687">
        <f t="shared" ref="Y525:Y588" si="274">IF(X525&gt;0,X525,X525+180)</f>
        <v>-112.14079505479424</v>
      </c>
      <c r="AA525" s="170">
        <f t="shared" ref="AA525:AA588" si="275">IF(W525&lt;0,G525,1000000000)</f>
        <v>74131</v>
      </c>
      <c r="AB525" s="170">
        <f t="shared" ref="AB525:AB588" si="276">G525^2</f>
        <v>5495405161</v>
      </c>
      <c r="AD525" s="686">
        <f t="shared" ref="AD525:AD588" si="277">20*LOG10((Q525/(O525*S525))*Aea)</f>
        <v>-1.1178842569417708</v>
      </c>
      <c r="AE525" s="687">
        <f t="shared" ref="AE525:AE588" si="278">(R525-(P525+T525))*radconv</f>
        <v>-14.17956712728769</v>
      </c>
      <c r="AG525" s="686">
        <f t="shared" ref="AG525:AG588" si="279">20*LOG10((K525*M525/(I525*U525))*Acs*Am)</f>
        <v>52.529505043416584</v>
      </c>
      <c r="AH525" s="687">
        <f t="shared" ref="AH525:AH588" si="280">(L525+N525-(J525+V525))*radconv</f>
        <v>10.121194329156697</v>
      </c>
      <c r="AJ525" s="170">
        <f t="shared" ref="AJ525:AJ588" si="281">SUM((W526&lt;0)*(W525&gt;0))*G525</f>
        <v>0</v>
      </c>
      <c r="AK525" s="170">
        <f t="shared" si="261"/>
        <v>0</v>
      </c>
      <c r="AM525" s="170" t="str">
        <f t="shared" si="253"/>
        <v>0.423340499594288-0.816984590180154i</v>
      </c>
      <c r="AN525" s="170" t="str">
        <f t="shared" si="254"/>
        <v>11.6102082335103i</v>
      </c>
      <c r="AO525" s="170" t="str">
        <f t="shared" si="255"/>
        <v>-0.070367780986228-0.0364627826719257i</v>
      </c>
      <c r="AP525" s="170" t="str">
        <f t="shared" si="256"/>
        <v>0.0961099167342853+0.136164098363359i</v>
      </c>
      <c r="AQ525" s="170" t="str">
        <f t="shared" si="257"/>
        <v>0.903890083265715-0.136164098363359i</v>
      </c>
      <c r="AR525" s="170" t="str">
        <f t="shared" si="258"/>
        <v>0.901122949627185+0.135747250934765i</v>
      </c>
    </row>
    <row r="526" spans="7:44">
      <c r="G526" s="688">
        <v>74562.75</v>
      </c>
      <c r="H526" s="676">
        <f t="shared" ref="H526:H589" si="282">G526/1000</f>
        <v>74.562749999999994</v>
      </c>
      <c r="I526" s="677">
        <f t="shared" si="262"/>
        <v>65.606782647604675</v>
      </c>
      <c r="J526" s="678">
        <f t="shared" si="263"/>
        <v>1.5555534100550266</v>
      </c>
      <c r="K526" s="678">
        <f t="shared" si="264"/>
        <v>1.0052974897066991</v>
      </c>
      <c r="L526" s="679">
        <f t="shared" si="265"/>
        <v>0.10270548938439106</v>
      </c>
      <c r="M526" s="678">
        <f t="shared" si="266"/>
        <v>1.5826203381453392</v>
      </c>
      <c r="N526" s="679">
        <f t="shared" si="267"/>
        <v>-0.88684121681989247</v>
      </c>
      <c r="O526" s="677">
        <f t="shared" si="268"/>
        <v>6661950.1926261922</v>
      </c>
      <c r="P526" s="680">
        <f t="shared" si="269"/>
        <v>1.5707961766887009</v>
      </c>
      <c r="Q526" s="689">
        <f t="shared" si="259"/>
        <v>33.32475820206021</v>
      </c>
      <c r="R526" s="690">
        <f t="shared" si="260"/>
        <v>1.5407841018903117</v>
      </c>
      <c r="S526" s="677">
        <f t="shared" si="270"/>
        <v>1.0243597351891089</v>
      </c>
      <c r="T526" s="680">
        <f t="shared" si="271"/>
        <v>0.21851912347636232</v>
      </c>
      <c r="U526" s="681">
        <f t="shared" ref="U526:U589" si="283">IMABS(IMPRODUCT(AO526, AR526))</f>
        <v>6.7812529048606948E-2</v>
      </c>
      <c r="V526" s="682">
        <f t="shared" ref="V526:V589" si="284">IMARGUMENT(IMPRODUCT(AO526, AR526))</f>
        <v>-2.5537658079206667</v>
      </c>
      <c r="W526" s="683">
        <f t="shared" si="272"/>
        <v>-52.540535808579421</v>
      </c>
      <c r="X526" s="684">
        <f t="shared" si="273"/>
        <v>-294.61410468460008</v>
      </c>
      <c r="Y526" s="687">
        <f t="shared" si="274"/>
        <v>-114.61410468460008</v>
      </c>
      <c r="AA526" s="170">
        <f t="shared" si="275"/>
        <v>74562.75</v>
      </c>
      <c r="AB526" s="170">
        <f t="shared" si="276"/>
        <v>5559603687.5625</v>
      </c>
      <c r="AD526" s="686">
        <f t="shared" si="277"/>
        <v>-1.1202873711137931</v>
      </c>
      <c r="AE526" s="687">
        <f t="shared" si="278"/>
        <v>-14.239788754743641</v>
      </c>
      <c r="AG526" s="686">
        <f t="shared" si="279"/>
        <v>53.057168403351433</v>
      </c>
      <c r="AH526" s="687">
        <f t="shared" si="280"/>
        <v>12.265689721875608</v>
      </c>
      <c r="AJ526" s="170">
        <f t="shared" si="281"/>
        <v>0</v>
      </c>
      <c r="AK526" s="170">
        <f t="shared" si="261"/>
        <v>0</v>
      </c>
      <c r="AM526" s="170" t="str">
        <f t="shared" ref="AM526:AM589" si="285">IMSUB(1,IMEXP(COMPLEX(0,-2*Pi*G526*Tsw)))</f>
        <v>0.369456290443342-0.776153741431766i</v>
      </c>
      <c r="AN526" s="170" t="str">
        <f t="shared" ref="AN526:AN589" si="286">COMPLEX(0, 2*Pi*G526*Tsw)</f>
        <v>11.6778278178248i</v>
      </c>
      <c r="AO526" s="170" t="str">
        <f t="shared" ref="AO526:AO589" si="287">IMDIV(AM526, AN526)</f>
        <v>-0.0664638795450521-0.0316374154686038i</v>
      </c>
      <c r="AP526" s="170" t="str">
        <f t="shared" ref="AP526:AP589" si="288">IMDIV(IMEXP(COMPLEX(0,-2*Pi*G526*Tsw)),6)</f>
        <v>0.105090618259443+0.129358956905294i</v>
      </c>
      <c r="AQ526" s="170" t="str">
        <f t="shared" ref="AQ526:AQ589" si="289">IMSUB(1, AP526)</f>
        <v>0.894909381740557-0.129358956905294i</v>
      </c>
      <c r="AR526" s="170" t="str">
        <f t="shared" ref="AR526:AR589" si="290">IMDIV(0.833, AQ526)</f>
        <v>0.911769408713575+0.131796070145053i</v>
      </c>
    </row>
    <row r="527" spans="7:44">
      <c r="G527" s="688">
        <v>74994.5</v>
      </c>
      <c r="H527" s="676">
        <f t="shared" si="282"/>
        <v>74.994500000000002</v>
      </c>
      <c r="I527" s="677">
        <f t="shared" si="262"/>
        <v>65.986585786204216</v>
      </c>
      <c r="J527" s="678">
        <f t="shared" si="263"/>
        <v>1.555641151405825</v>
      </c>
      <c r="K527" s="678">
        <f t="shared" si="264"/>
        <v>1.0053588527748749</v>
      </c>
      <c r="L527" s="679">
        <f t="shared" si="265"/>
        <v>0.10329598845114113</v>
      </c>
      <c r="M527" s="678">
        <f t="shared" si="266"/>
        <v>1.5881319658419983</v>
      </c>
      <c r="N527" s="679">
        <f t="shared" si="267"/>
        <v>-0.88966720786403553</v>
      </c>
      <c r="O527" s="677">
        <f t="shared" si="268"/>
        <v>6700525.7145277625</v>
      </c>
      <c r="P527" s="680">
        <f t="shared" si="269"/>
        <v>1.5707961775528756</v>
      </c>
      <c r="Q527" s="689">
        <f t="shared" si="259"/>
        <v>33.517549452132833</v>
      </c>
      <c r="R527" s="690">
        <f t="shared" si="260"/>
        <v>1.5409567820935897</v>
      </c>
      <c r="S527" s="677">
        <f t="shared" si="270"/>
        <v>1.0246392562214528</v>
      </c>
      <c r="T527" s="680">
        <f t="shared" si="271"/>
        <v>0.21974421116237169</v>
      </c>
      <c r="U527" s="681">
        <f t="shared" si="283"/>
        <v>6.325679620936242E-2</v>
      </c>
      <c r="V527" s="682">
        <f t="shared" si="284"/>
        <v>-2.5943978481601162</v>
      </c>
      <c r="W527" s="683">
        <f t="shared" si="272"/>
        <v>-53.166416810867638</v>
      </c>
      <c r="X527" s="684">
        <f t="shared" si="273"/>
        <v>-297.13555912733898</v>
      </c>
      <c r="Y527" s="687">
        <f t="shared" si="274"/>
        <v>-117.13555912733898</v>
      </c>
      <c r="AA527" s="170">
        <f t="shared" si="275"/>
        <v>74994.5</v>
      </c>
      <c r="AB527" s="170">
        <f t="shared" si="276"/>
        <v>5624175030.25</v>
      </c>
      <c r="AD527" s="686">
        <f t="shared" si="277"/>
        <v>-1.1227020990219114</v>
      </c>
      <c r="AE527" s="687">
        <f t="shared" si="278"/>
        <v>-14.300087311414602</v>
      </c>
      <c r="AG527" s="686">
        <f t="shared" si="279"/>
        <v>53.641812101143898</v>
      </c>
      <c r="AH527" s="687">
        <f t="shared" si="280"/>
        <v>14.46062267858037</v>
      </c>
      <c r="AJ527" s="170">
        <f t="shared" si="281"/>
        <v>0</v>
      </c>
      <c r="AK527" s="170">
        <f t="shared" si="261"/>
        <v>0</v>
      </c>
      <c r="AM527" s="170" t="str">
        <f t="shared" si="285"/>
        <v>0.318454086116656-0.731775353007272i</v>
      </c>
      <c r="AN527" s="170" t="str">
        <f t="shared" si="286"/>
        <v>11.7454474021393i</v>
      </c>
      <c r="AO527" s="170" t="str">
        <f t="shared" si="287"/>
        <v>-0.0623028930233843-0.0271129804777512i</v>
      </c>
      <c r="AP527" s="170" t="str">
        <f t="shared" si="288"/>
        <v>0.113590985647224+0.121962558834545i</v>
      </c>
      <c r="AQ527" s="170" t="str">
        <f t="shared" si="289"/>
        <v>0.886409014352776-0.121962558834545i</v>
      </c>
      <c r="AR527" s="170" t="str">
        <f t="shared" si="290"/>
        <v>0.92228650584524+0.126899005323845i</v>
      </c>
    </row>
    <row r="528" spans="7:44">
      <c r="G528" s="688">
        <v>75426.25</v>
      </c>
      <c r="H528" s="676">
        <f t="shared" si="282"/>
        <v>75.426249999999996</v>
      </c>
      <c r="I528" s="677">
        <f t="shared" si="262"/>
        <v>66.366389426990011</v>
      </c>
      <c r="J528" s="678">
        <f t="shared" si="263"/>
        <v>1.5557278884994135</v>
      </c>
      <c r="K528" s="678">
        <f t="shared" si="264"/>
        <v>1.0054205663579103</v>
      </c>
      <c r="L528" s="679">
        <f t="shared" si="265"/>
        <v>0.10388641523305982</v>
      </c>
      <c r="M528" s="678">
        <f t="shared" si="266"/>
        <v>1.5936561889305807</v>
      </c>
      <c r="N528" s="679">
        <f t="shared" si="267"/>
        <v>-0.89247362925578877</v>
      </c>
      <c r="O528" s="677">
        <f t="shared" si="268"/>
        <v>6739101.2364293328</v>
      </c>
      <c r="P528" s="680">
        <f t="shared" si="269"/>
        <v>1.5707961784071569</v>
      </c>
      <c r="Q528" s="689">
        <f t="shared" si="259"/>
        <v>33.710341690215174</v>
      </c>
      <c r="R528" s="690">
        <f t="shared" si="260"/>
        <v>1.5411274871571206</v>
      </c>
      <c r="S528" s="677">
        <f t="shared" si="270"/>
        <v>1.0249203142330638</v>
      </c>
      <c r="T528" s="680">
        <f t="shared" si="271"/>
        <v>0.22096862878767728</v>
      </c>
      <c r="U528" s="681">
        <f t="shared" si="283"/>
        <v>5.8560036448602137E-2</v>
      </c>
      <c r="V528" s="682">
        <f t="shared" si="284"/>
        <v>-2.6358750804180868</v>
      </c>
      <c r="W528" s="683">
        <f t="shared" si="272"/>
        <v>-53.85811679627917</v>
      </c>
      <c r="X528" s="684">
        <f t="shared" si="273"/>
        <v>-299.70433962405326</v>
      </c>
      <c r="Y528" s="687">
        <f t="shared" si="274"/>
        <v>-119.70433962405326</v>
      </c>
      <c r="AA528" s="170">
        <f t="shared" si="275"/>
        <v>75426.25</v>
      </c>
      <c r="AB528" s="170">
        <f t="shared" si="276"/>
        <v>5689119189.0625</v>
      </c>
      <c r="AD528" s="686">
        <f t="shared" si="277"/>
        <v>-1.1251284376171837</v>
      </c>
      <c r="AE528" s="687">
        <f t="shared" si="278"/>
        <v>-14.360460643039909</v>
      </c>
      <c r="AG528" s="686">
        <f t="shared" si="279"/>
        <v>54.292772610327617</v>
      </c>
      <c r="AH528" s="687">
        <f t="shared" si="280"/>
        <v>16.70515622745361</v>
      </c>
      <c r="AJ528" s="170">
        <f t="shared" si="281"/>
        <v>0</v>
      </c>
      <c r="AK528" s="170">
        <f t="shared" si="261"/>
        <v>0</v>
      </c>
      <c r="AM528" s="170" t="str">
        <f t="shared" si="285"/>
        <v>0.270567000665941-0.684052263706889i</v>
      </c>
      <c r="AN528" s="170" t="str">
        <f t="shared" si="286"/>
        <v>11.8130669864538i</v>
      </c>
      <c r="AO528" s="170" t="str">
        <f t="shared" si="287"/>
        <v>-0.0579064069044306-0.0229040435456943i</v>
      </c>
      <c r="AP528" s="170" t="str">
        <f t="shared" si="288"/>
        <v>0.121572166555677+0.114008710617815i</v>
      </c>
      <c r="AQ528" s="170" t="str">
        <f t="shared" si="289"/>
        <v>0.878427833444323-0.114008710617815i</v>
      </c>
      <c r="AR528" s="170" t="str">
        <f t="shared" si="290"/>
        <v>0.932576084072233+0.121036461790148i</v>
      </c>
    </row>
    <row r="529" spans="7:44">
      <c r="G529" s="688">
        <v>75858</v>
      </c>
      <c r="H529" s="676">
        <f t="shared" si="282"/>
        <v>75.858000000000004</v>
      </c>
      <c r="I529" s="677">
        <f t="shared" si="262"/>
        <v>66.746193561389376</v>
      </c>
      <c r="J529" s="678">
        <f t="shared" si="263"/>
        <v>1.5558136384779724</v>
      </c>
      <c r="K529" s="678">
        <f t="shared" si="264"/>
        <v>1.0054826303912645</v>
      </c>
      <c r="L529" s="679">
        <f t="shared" si="265"/>
        <v>0.10447676933184505</v>
      </c>
      <c r="M529" s="678">
        <f t="shared" si="266"/>
        <v>1.5991928768832064</v>
      </c>
      <c r="N529" s="679">
        <f t="shared" si="267"/>
        <v>-0.89526063981945592</v>
      </c>
      <c r="O529" s="677">
        <f t="shared" si="268"/>
        <v>6777676.7583309021</v>
      </c>
      <c r="P529" s="680">
        <f t="shared" si="269"/>
        <v>1.570796179251714</v>
      </c>
      <c r="Q529" s="689">
        <f t="shared" si="259"/>
        <v>33.903134899452112</v>
      </c>
      <c r="R529" s="690">
        <f t="shared" si="260"/>
        <v>1.5412962507662959</v>
      </c>
      <c r="S529" s="677">
        <f t="shared" si="270"/>
        <v>1.0252029079598601</v>
      </c>
      <c r="T529" s="680">
        <f t="shared" si="271"/>
        <v>0.22219237323359342</v>
      </c>
      <c r="U529" s="681">
        <f t="shared" si="283"/>
        <v>5.3728170424058613E-2</v>
      </c>
      <c r="V529" s="682">
        <f t="shared" si="284"/>
        <v>-2.6781747932867424</v>
      </c>
      <c r="W529" s="683">
        <f t="shared" si="272"/>
        <v>-54.627446298984466</v>
      </c>
      <c r="X529" s="684">
        <f t="shared" si="273"/>
        <v>-302.319152903175</v>
      </c>
      <c r="Y529" s="687">
        <f t="shared" si="274"/>
        <v>-122.319152903175</v>
      </c>
      <c r="AA529" s="170">
        <f t="shared" si="275"/>
        <v>75858</v>
      </c>
      <c r="AB529" s="170">
        <f t="shared" si="276"/>
        <v>5754436164</v>
      </c>
      <c r="AD529" s="686">
        <f t="shared" si="277"/>
        <v>-1.1275663832596234</v>
      </c>
      <c r="AE529" s="687">
        <f t="shared" si="278"/>
        <v>-14.420906640910966</v>
      </c>
      <c r="AG529" s="686">
        <f t="shared" si="279"/>
        <v>55.021852506584345</v>
      </c>
      <c r="AH529" s="687">
        <f t="shared" si="280"/>
        <v>18.997978995720093</v>
      </c>
      <c r="AJ529" s="170">
        <f t="shared" si="281"/>
        <v>0</v>
      </c>
      <c r="AK529" s="170">
        <f t="shared" si="261"/>
        <v>0</v>
      </c>
      <c r="AM529" s="170" t="str">
        <f t="shared" si="285"/>
        <v>0.22601390997434-0.633202599842097i</v>
      </c>
      <c r="AN529" s="170" t="str">
        <f t="shared" si="286"/>
        <v>11.8806865707683i</v>
      </c>
      <c r="AO529" s="170" t="str">
        <f t="shared" si="287"/>
        <v>-0.0532968020046967-0.0190236404797037i</v>
      </c>
      <c r="AP529" s="170" t="str">
        <f t="shared" si="288"/>
        <v>0.128997681670943+0.10553376664035i</v>
      </c>
      <c r="AQ529" s="170" t="str">
        <f t="shared" si="289"/>
        <v>0.871002318329057-0.10553376664035i</v>
      </c>
      <c r="AR529" s="170" t="str">
        <f t="shared" si="290"/>
        <v>0.94253248393547+0.114200618204344i</v>
      </c>
    </row>
    <row r="530" spans="7:44">
      <c r="G530" s="688">
        <v>76299.75</v>
      </c>
      <c r="H530" s="676">
        <f t="shared" si="282"/>
        <v>76.299750000000003</v>
      </c>
      <c r="I530" s="677">
        <f t="shared" si="262"/>
        <v>67.134795051087949</v>
      </c>
      <c r="J530" s="678">
        <f t="shared" si="263"/>
        <v>1.5559003703570653</v>
      </c>
      <c r="K530" s="678">
        <f t="shared" si="264"/>
        <v>1.0055464945760397</v>
      </c>
      <c r="L530" s="679">
        <f t="shared" si="265"/>
        <v>0.10508072130475926</v>
      </c>
      <c r="M530" s="678">
        <f t="shared" si="266"/>
        <v>1.6048705698287007</v>
      </c>
      <c r="N530" s="679">
        <f t="shared" si="267"/>
        <v>-0.89809227608325071</v>
      </c>
      <c r="O530" s="677">
        <f t="shared" si="268"/>
        <v>6817145.749182133</v>
      </c>
      <c r="P530" s="680">
        <f t="shared" si="269"/>
        <v>1.5707961801059396</v>
      </c>
      <c r="Q530" s="689">
        <f t="shared" si="259"/>
        <v>34.100394486571204</v>
      </c>
      <c r="R530" s="690">
        <f t="shared" si="260"/>
        <v>1.5414669481120282</v>
      </c>
      <c r="S530" s="677">
        <f t="shared" si="270"/>
        <v>1.0254936351531128</v>
      </c>
      <c r="T530" s="680">
        <f t="shared" si="271"/>
        <v>0.22344376151140208</v>
      </c>
      <c r="U530" s="681">
        <f t="shared" si="283"/>
        <v>4.8652844080939707E-2</v>
      </c>
      <c r="V530" s="682">
        <f t="shared" si="284"/>
        <v>-2.7222725549079407</v>
      </c>
      <c r="W530" s="683">
        <f t="shared" si="272"/>
        <v>-55.510917382065557</v>
      </c>
      <c r="X530" s="684">
        <f t="shared" si="273"/>
        <v>-305.04029389003881</v>
      </c>
      <c r="Y530" s="687">
        <f t="shared" si="274"/>
        <v>-125.04029389003881</v>
      </c>
      <c r="AA530" s="170">
        <f t="shared" si="275"/>
        <v>76299.75</v>
      </c>
      <c r="AB530" s="170">
        <f t="shared" si="276"/>
        <v>5821651850.0625</v>
      </c>
      <c r="AD530" s="686">
        <f t="shared" si="277"/>
        <v>-1.1300728045249453</v>
      </c>
      <c r="AE530" s="687">
        <f t="shared" si="278"/>
        <v>-14.482825719291263</v>
      </c>
      <c r="AG530" s="686">
        <f t="shared" si="279"/>
        <v>55.864640616508623</v>
      </c>
      <c r="AH530" s="687">
        <f t="shared" si="280"/>
        <v>21.391988346747979</v>
      </c>
      <c r="AJ530" s="170">
        <f t="shared" si="281"/>
        <v>0</v>
      </c>
      <c r="AK530" s="170">
        <f t="shared" si="261"/>
        <v>0</v>
      </c>
      <c r="AM530" s="170" t="str">
        <f t="shared" si="285"/>
        <v>0.184091917712323-0.578181633448906i</v>
      </c>
      <c r="AN530" s="170" t="str">
        <f t="shared" si="286"/>
        <v>11.9498723295892i</v>
      </c>
      <c r="AO530" s="170" t="str">
        <f t="shared" si="287"/>
        <v>-0.0483839172086604-0.0154053459848681i</v>
      </c>
      <c r="AP530" s="170" t="str">
        <f t="shared" si="288"/>
        <v>0.13598468038128+0.0963636055748177i</v>
      </c>
      <c r="AQ530" s="170" t="str">
        <f t="shared" si="289"/>
        <v>0.86401531961872-0.0963636055748177i</v>
      </c>
      <c r="AR530" s="170" t="str">
        <f t="shared" si="290"/>
        <v>0.952258198029438+0.106205331452675i</v>
      </c>
    </row>
    <row r="531" spans="7:44">
      <c r="G531" s="688">
        <v>76741.5</v>
      </c>
      <c r="H531" s="676">
        <f t="shared" si="282"/>
        <v>76.741500000000002</v>
      </c>
      <c r="I531" s="677">
        <f t="shared" si="262"/>
        <v>67.523397039989788</v>
      </c>
      <c r="J531" s="678">
        <f t="shared" si="263"/>
        <v>1.5559861039404379</v>
      </c>
      <c r="K531" s="678">
        <f t="shared" si="264"/>
        <v>1.0056107254952635</v>
      </c>
      <c r="L531" s="679">
        <f t="shared" si="265"/>
        <v>0.10568459634601571</v>
      </c>
      <c r="M531" s="678">
        <f t="shared" si="266"/>
        <v>1.6105610401019212</v>
      </c>
      <c r="N531" s="679">
        <f t="shared" si="267"/>
        <v>-0.9009039251577684</v>
      </c>
      <c r="O531" s="677">
        <f t="shared" si="268"/>
        <v>6856614.7400333621</v>
      </c>
      <c r="P531" s="680">
        <f t="shared" si="269"/>
        <v>1.5707961809503308</v>
      </c>
      <c r="Q531" s="689">
        <f t="shared" si="259"/>
        <v>34.297655055864162</v>
      </c>
      <c r="R531" s="690">
        <f t="shared" si="260"/>
        <v>1.5416356819548893</v>
      </c>
      <c r="S531" s="677">
        <f t="shared" si="270"/>
        <v>1.0257859673295735</v>
      </c>
      <c r="T531" s="680">
        <f t="shared" si="271"/>
        <v>0.22469443849653925</v>
      </c>
      <c r="U531" s="681">
        <f t="shared" si="283"/>
        <v>4.3455197919623358E-2</v>
      </c>
      <c r="V531" s="682">
        <f t="shared" si="284"/>
        <v>-2.7671544843504066</v>
      </c>
      <c r="W531" s="683">
        <f t="shared" si="272"/>
        <v>-56.513599936359221</v>
      </c>
      <c r="X531" s="684">
        <f t="shared" si="273"/>
        <v>-307.80523815747529</v>
      </c>
      <c r="Y531" s="687">
        <f t="shared" si="274"/>
        <v>-127.80523815747529</v>
      </c>
      <c r="AA531" s="170">
        <f t="shared" si="275"/>
        <v>76741.5</v>
      </c>
      <c r="AB531" s="170">
        <f t="shared" si="276"/>
        <v>5889257822.25</v>
      </c>
      <c r="AD531" s="686">
        <f t="shared" si="277"/>
        <v>-1.1325913672103809</v>
      </c>
      <c r="AE531" s="687">
        <f t="shared" si="278"/>
        <v>-14.544816543467698</v>
      </c>
      <c r="AG531" s="686">
        <f t="shared" si="279"/>
        <v>56.827136642805101</v>
      </c>
      <c r="AH531" s="687">
        <f t="shared" si="280"/>
        <v>23.832125176279256</v>
      </c>
      <c r="AJ531" s="170">
        <f t="shared" si="281"/>
        <v>0</v>
      </c>
      <c r="AK531" s="170">
        <f t="shared" si="261"/>
        <v>0</v>
      </c>
      <c r="AM531" s="170" t="str">
        <f t="shared" si="285"/>
        <v>0.146073849951391-0.520394206600304i</v>
      </c>
      <c r="AN531" s="170" t="str">
        <f t="shared" si="286"/>
        <v>12.0190580884101i</v>
      </c>
      <c r="AO531" s="170" t="str">
        <f t="shared" si="287"/>
        <v>-0.0432974200450963-0.0121535189261003i</v>
      </c>
      <c r="AP531" s="170" t="str">
        <f t="shared" si="288"/>
        <v>0.142321025008101+0.0867323677667173i</v>
      </c>
      <c r="AQ531" s="170" t="str">
        <f t="shared" si="289"/>
        <v>0.857678974991899-0.0867323677667173i</v>
      </c>
      <c r="AR531" s="170" t="str">
        <f t="shared" si="290"/>
        <v>0.96139447947182+0.0972205475402136i</v>
      </c>
    </row>
    <row r="532" spans="7:44">
      <c r="G532" s="688">
        <v>77183.25</v>
      </c>
      <c r="H532" s="676">
        <f t="shared" si="282"/>
        <v>77.183250000000001</v>
      </c>
      <c r="I532" s="677">
        <f t="shared" si="262"/>
        <v>67.911999519525338</v>
      </c>
      <c r="J532" s="678">
        <f t="shared" si="263"/>
        <v>1.5560708563640047</v>
      </c>
      <c r="K532" s="678">
        <f t="shared" si="264"/>
        <v>1.0056753230786681</v>
      </c>
      <c r="L532" s="679">
        <f t="shared" si="265"/>
        <v>0.106288394029973</v>
      </c>
      <c r="M532" s="678">
        <f t="shared" si="266"/>
        <v>1.6162641527453476</v>
      </c>
      <c r="N532" s="679">
        <f t="shared" si="267"/>
        <v>-0.90369575393228518</v>
      </c>
      <c r="O532" s="677">
        <f t="shared" si="268"/>
        <v>6896083.730884593</v>
      </c>
      <c r="P532" s="680">
        <f t="shared" si="269"/>
        <v>1.5707961817850564</v>
      </c>
      <c r="Q532" s="689">
        <f t="shared" si="259"/>
        <v>34.494916590481189</v>
      </c>
      <c r="R532" s="690">
        <f t="shared" si="260"/>
        <v>1.5418024859704633</v>
      </c>
      <c r="S532" s="677">
        <f t="shared" si="270"/>
        <v>1.0260799031174532</v>
      </c>
      <c r="T532" s="680">
        <f t="shared" si="271"/>
        <v>0.22594440088602957</v>
      </c>
      <c r="U532" s="681">
        <f t="shared" si="283"/>
        <v>3.8148421533700266E-2</v>
      </c>
      <c r="V532" s="682">
        <f t="shared" si="284"/>
        <v>-2.8127664246862403</v>
      </c>
      <c r="W532" s="683">
        <f t="shared" si="272"/>
        <v>-57.666017539630602</v>
      </c>
      <c r="X532" s="684">
        <f t="shared" si="273"/>
        <v>-310.61089119162926</v>
      </c>
      <c r="Y532" s="687">
        <f t="shared" si="274"/>
        <v>-130.61089119162926</v>
      </c>
      <c r="AA532" s="170">
        <f t="shared" si="275"/>
        <v>77183.25</v>
      </c>
      <c r="AB532" s="170">
        <f t="shared" si="276"/>
        <v>5957254080.5625</v>
      </c>
      <c r="AD532" s="686">
        <f t="shared" si="277"/>
        <v>-1.1351220656096412</v>
      </c>
      <c r="AE532" s="687">
        <f t="shared" si="278"/>
        <v>-14.606876994734529</v>
      </c>
      <c r="AG532" s="686">
        <f t="shared" si="279"/>
        <v>57.939856114606336</v>
      </c>
      <c r="AH532" s="687">
        <f t="shared" si="280"/>
        <v>26.315275952656119</v>
      </c>
      <c r="AJ532" s="170">
        <f t="shared" si="281"/>
        <v>0</v>
      </c>
      <c r="AK532" s="170">
        <f t="shared" si="261"/>
        <v>0</v>
      </c>
      <c r="AM532" s="170" t="str">
        <f t="shared" si="285"/>
        <v>0.112141614028213-0.46011681827507i</v>
      </c>
      <c r="AN532" s="170" t="str">
        <f t="shared" si="286"/>
        <v>12.088243847231i</v>
      </c>
      <c r="AO532" s="170" t="str">
        <f t="shared" si="287"/>
        <v>-0.0380631648475942-0.00927691527780528i</v>
      </c>
      <c r="AP532" s="170" t="str">
        <f t="shared" si="288"/>
        <v>0.147976397661964+0.0766861363791783i</v>
      </c>
      <c r="AQ532" s="170" t="str">
        <f t="shared" si="289"/>
        <v>0.852023602338036-0.0766861363791783i</v>
      </c>
      <c r="AR532" s="170" t="str">
        <f t="shared" si="290"/>
        <v>0.969816114185937+0.0872880171289915i</v>
      </c>
    </row>
    <row r="533" spans="7:44">
      <c r="G533" s="688">
        <v>77625</v>
      </c>
      <c r="H533" s="676">
        <f t="shared" si="282"/>
        <v>77.625</v>
      </c>
      <c r="I533" s="677">
        <f t="shared" si="262"/>
        <v>68.300602481320098</v>
      </c>
      <c r="J533" s="678">
        <f t="shared" si="263"/>
        <v>1.5561546443737519</v>
      </c>
      <c r="K533" s="678">
        <f t="shared" si="264"/>
        <v>1.0057402872556016</v>
      </c>
      <c r="L533" s="679">
        <f t="shared" si="265"/>
        <v>0.10689211393132449</v>
      </c>
      <c r="M533" s="678">
        <f t="shared" si="266"/>
        <v>1.6219797744018454</v>
      </c>
      <c r="N533" s="679">
        <f t="shared" si="267"/>
        <v>-0.90646792818740329</v>
      </c>
      <c r="O533" s="677">
        <f t="shared" si="268"/>
        <v>6935552.721735823</v>
      </c>
      <c r="P533" s="680">
        <f t="shared" si="269"/>
        <v>1.5707961826102814</v>
      </c>
      <c r="Q533" s="689">
        <f t="shared" si="259"/>
        <v>34.692179073955629</v>
      </c>
      <c r="R533" s="690">
        <f t="shared" si="260"/>
        <v>1.5419673930688409</v>
      </c>
      <c r="S533" s="677">
        <f t="shared" si="270"/>
        <v>1.0263754411390147</v>
      </c>
      <c r="T533" s="680">
        <f t="shared" si="271"/>
        <v>0.22719364538960288</v>
      </c>
      <c r="U533" s="681">
        <f t="shared" si="283"/>
        <v>3.2748081325508105E-2</v>
      </c>
      <c r="V533" s="682">
        <f t="shared" si="284"/>
        <v>-2.8590438736212676</v>
      </c>
      <c r="W533" s="683">
        <f t="shared" si="272"/>
        <v>-59.01271202139381</v>
      </c>
      <c r="X533" s="684">
        <f t="shared" si="273"/>
        <v>-313.45356569152443</v>
      </c>
      <c r="Y533" s="687">
        <f t="shared" si="274"/>
        <v>-133.45356569152443</v>
      </c>
      <c r="AA533" s="170">
        <f t="shared" si="275"/>
        <v>77625</v>
      </c>
      <c r="AB533" s="170">
        <f t="shared" si="276"/>
        <v>6025640625</v>
      </c>
      <c r="AD533" s="686">
        <f t="shared" si="277"/>
        <v>-1.1376648934431419</v>
      </c>
      <c r="AE533" s="687">
        <f t="shared" si="278"/>
        <v>-14.669004998973309</v>
      </c>
      <c r="AG533" s="686">
        <f t="shared" si="279"/>
        <v>59.247332966239242</v>
      </c>
      <c r="AH533" s="687">
        <f t="shared" si="280"/>
        <v>28.837734484277778</v>
      </c>
      <c r="AJ533" s="170">
        <f t="shared" si="281"/>
        <v>0</v>
      </c>
      <c r="AK533" s="170">
        <f t="shared" si="261"/>
        <v>0</v>
      </c>
      <c r="AM533" s="170" t="str">
        <f t="shared" si="285"/>
        <v>0.082457567553948-0.397637881320407i</v>
      </c>
      <c r="AN533" s="170" t="str">
        <f t="shared" si="286"/>
        <v>12.157429606052i</v>
      </c>
      <c r="AO533" s="170" t="str">
        <f t="shared" si="287"/>
        <v>-0.0327073973862421-0.00678248365204602i</v>
      </c>
      <c r="AP533" s="170" t="str">
        <f t="shared" si="288"/>
        <v>0.152923738741009+0.0662729802200678i</v>
      </c>
      <c r="AQ533" s="170" t="str">
        <f t="shared" si="289"/>
        <v>0.847076261258991-0.0662729802200678i</v>
      </c>
      <c r="AR533" s="170" t="str">
        <f t="shared" si="290"/>
        <v>0.977399792389464+0.0764691445984466i</v>
      </c>
    </row>
    <row r="534" spans="7:44">
      <c r="G534" s="688">
        <v>78077</v>
      </c>
      <c r="H534" s="676">
        <f t="shared" si="282"/>
        <v>78.076999999999998</v>
      </c>
      <c r="I534" s="677">
        <f t="shared" si="262"/>
        <v>68.698222754031619</v>
      </c>
      <c r="J534" s="678">
        <f t="shared" si="263"/>
        <v>1.5562393953611804</v>
      </c>
      <c r="K534" s="678">
        <f t="shared" si="264"/>
        <v>1.0058071381846405</v>
      </c>
      <c r="L534" s="679">
        <f t="shared" si="265"/>
        <v>0.10750976109367981</v>
      </c>
      <c r="M534" s="678">
        <f t="shared" si="266"/>
        <v>1.6278408269065499</v>
      </c>
      <c r="N534" s="679">
        <f t="shared" si="267"/>
        <v>-0.90928425353973674</v>
      </c>
      <c r="O534" s="677">
        <f t="shared" si="268"/>
        <v>6975937.5182604548</v>
      </c>
      <c r="P534" s="680">
        <f t="shared" si="269"/>
        <v>1.5707961834449888</v>
      </c>
      <c r="Q534" s="689">
        <f t="shared" si="259"/>
        <v>34.894019637565705</v>
      </c>
      <c r="R534" s="690">
        <f t="shared" si="260"/>
        <v>1.5421341966324866</v>
      </c>
      <c r="S534" s="677">
        <f t="shared" si="270"/>
        <v>1.0266794935663401</v>
      </c>
      <c r="T534" s="680">
        <f t="shared" si="271"/>
        <v>0.22847112984112486</v>
      </c>
      <c r="U534" s="681">
        <f t="shared" si="283"/>
        <v>2.7144219815436389E-2</v>
      </c>
      <c r="V534" s="682">
        <f t="shared" si="284"/>
        <v>-2.9070061507936518</v>
      </c>
      <c r="W534" s="683">
        <f t="shared" si="272"/>
        <v>-60.664008306226897</v>
      </c>
      <c r="X534" s="684">
        <f t="shared" si="273"/>
        <v>-316.39606998246984</v>
      </c>
      <c r="Y534" s="687">
        <f t="shared" si="274"/>
        <v>-136.39606998246984</v>
      </c>
      <c r="AA534" s="170">
        <f t="shared" si="275"/>
        <v>78077</v>
      </c>
      <c r="AB534" s="170">
        <f t="shared" si="276"/>
        <v>6096017929</v>
      </c>
      <c r="AD534" s="686">
        <f t="shared" si="277"/>
        <v>-1.1402792706689291</v>
      </c>
      <c r="AE534" s="687">
        <f t="shared" si="278"/>
        <v>-14.732642374132388</v>
      </c>
      <c r="AG534" s="686">
        <f t="shared" si="279"/>
        <v>60.858990924182692</v>
      </c>
      <c r="AH534" s="687">
        <f t="shared" si="280"/>
        <v>31.454939690400217</v>
      </c>
      <c r="AJ534" s="170">
        <f t="shared" si="281"/>
        <v>0</v>
      </c>
      <c r="AK534" s="170">
        <f t="shared" si="261"/>
        <v>0</v>
      </c>
      <c r="AM534" s="170" t="str">
        <f t="shared" si="285"/>
        <v>0.056629970656925-0.331742351437446i</v>
      </c>
      <c r="AN534" s="170" t="str">
        <f t="shared" si="286"/>
        <v>12.228220693742i</v>
      </c>
      <c r="AO534" s="170" t="str">
        <f t="shared" si="287"/>
        <v>-0.0271292414281679-0.00463108837133651i</v>
      </c>
      <c r="AP534" s="170" t="str">
        <f t="shared" si="288"/>
        <v>0.157228338223846+0.055290391906241i</v>
      </c>
      <c r="AQ534" s="170" t="str">
        <f t="shared" si="289"/>
        <v>0.842771661776154-0.055290391906241i</v>
      </c>
      <c r="AR534" s="170" t="str">
        <f t="shared" si="290"/>
        <v>0.984169391527191+0.064566849868901i</v>
      </c>
    </row>
    <row r="535" spans="7:44">
      <c r="G535" s="688">
        <v>78529</v>
      </c>
      <c r="H535" s="676">
        <f t="shared" si="282"/>
        <v>78.528999999999996</v>
      </c>
      <c r="I535" s="677">
        <f t="shared" si="262"/>
        <v>69.095843514504779</v>
      </c>
      <c r="J535" s="678">
        <f t="shared" si="263"/>
        <v>1.5563231709286771</v>
      </c>
      <c r="K535" s="678">
        <f t="shared" si="264"/>
        <v>1.0058743727659625</v>
      </c>
      <c r="L535" s="679">
        <f t="shared" si="265"/>
        <v>0.10812732592214956</v>
      </c>
      <c r="M535" s="678">
        <f t="shared" si="266"/>
        <v>1.6337146982363151</v>
      </c>
      <c r="N535" s="679">
        <f t="shared" si="267"/>
        <v>-0.91208034925835346</v>
      </c>
      <c r="O535" s="677">
        <f t="shared" si="268"/>
        <v>7016322.3147850856</v>
      </c>
      <c r="P535" s="680">
        <f t="shared" si="269"/>
        <v>1.5707961842700873</v>
      </c>
      <c r="Q535" s="689">
        <f t="shared" ref="Q535:Q598" si="291">SQRT(1+(G535/Zero2)^2)</f>
        <v>35.095861160879842</v>
      </c>
      <c r="R535" s="690">
        <f t="shared" ref="R535:R598" si="292">ATAN(G535/Zero2)</f>
        <v>1.5422990815764128</v>
      </c>
      <c r="S535" s="677">
        <f t="shared" si="270"/>
        <v>1.026985220506524</v>
      </c>
      <c r="T535" s="680">
        <f t="shared" si="271"/>
        <v>0.22974785577726739</v>
      </c>
      <c r="U535" s="681">
        <f t="shared" si="283"/>
        <v>2.1482480351478969E-2</v>
      </c>
      <c r="V535" s="682">
        <f t="shared" si="284"/>
        <v>-2.9554970772907949</v>
      </c>
      <c r="W535" s="683">
        <f t="shared" si="272"/>
        <v>-62.716756400887846</v>
      </c>
      <c r="X535" s="684">
        <f t="shared" si="273"/>
        <v>-319.36771987443723</v>
      </c>
      <c r="Y535" s="687">
        <f t="shared" si="274"/>
        <v>-139.36771987443723</v>
      </c>
      <c r="AA535" s="170">
        <f t="shared" si="275"/>
        <v>78529</v>
      </c>
      <c r="AB535" s="170">
        <f t="shared" si="276"/>
        <v>6166803841</v>
      </c>
      <c r="AD535" s="686">
        <f t="shared" si="277"/>
        <v>-1.1429063316754253</v>
      </c>
      <c r="AE535" s="687">
        <f t="shared" si="278"/>
        <v>-14.796346217823476</v>
      </c>
      <c r="AG535" s="686">
        <f t="shared" si="279"/>
        <v>62.872587504399874</v>
      </c>
      <c r="AH535" s="687">
        <f t="shared" si="280"/>
        <v>34.103644514404024</v>
      </c>
      <c r="AJ535" s="170">
        <f t="shared" si="281"/>
        <v>0</v>
      </c>
      <c r="AK535" s="170">
        <f t="shared" ref="AK535:AK598" si="293">IF(AJ535&gt;0,Y535,0)</f>
        <v>0</v>
      </c>
      <c r="AM535" s="170" t="str">
        <f t="shared" si="285"/>
        <v>0.035527983682285-0.264185029363969i</v>
      </c>
      <c r="AN535" s="170" t="str">
        <f t="shared" si="286"/>
        <v>12.2990117814319i</v>
      </c>
      <c r="AO535" s="170" t="str">
        <f t="shared" si="287"/>
        <v>-0.021480183453667-0.0028886860435342i</v>
      </c>
      <c r="AP535" s="170" t="str">
        <f t="shared" si="288"/>
        <v>0.160745336052952+0.0440308382273282i</v>
      </c>
      <c r="AQ535" s="170" t="str">
        <f t="shared" si="289"/>
        <v>0.839254663947048-0.0440308382273282i</v>
      </c>
      <c r="AR535" s="170" t="str">
        <f t="shared" si="290"/>
        <v>0.989822877203535+0.0519302815368175i</v>
      </c>
    </row>
    <row r="536" spans="7:44">
      <c r="G536" s="688">
        <v>78981</v>
      </c>
      <c r="H536" s="676">
        <f t="shared" si="282"/>
        <v>78.980999999999995</v>
      </c>
      <c r="I536" s="677">
        <f t="shared" si="262"/>
        <v>69.49346475436711</v>
      </c>
      <c r="J536" s="678">
        <f t="shared" si="263"/>
        <v>1.556405987818257</v>
      </c>
      <c r="K536" s="678">
        <f t="shared" si="264"/>
        <v>1.0059419909226406</v>
      </c>
      <c r="L536" s="679">
        <f t="shared" si="265"/>
        <v>0.10874480796222859</v>
      </c>
      <c r="M536" s="678">
        <f t="shared" si="266"/>
        <v>1.6396012506208286</v>
      </c>
      <c r="N536" s="679">
        <f t="shared" si="267"/>
        <v>-0.91485638927430468</v>
      </c>
      <c r="O536" s="677">
        <f t="shared" si="268"/>
        <v>7056707.1113097174</v>
      </c>
      <c r="P536" s="680">
        <f t="shared" si="269"/>
        <v>1.5707961850857419</v>
      </c>
      <c r="Q536" s="689">
        <f t="shared" si="291"/>
        <v>35.297703627434515</v>
      </c>
      <c r="R536" s="690">
        <f t="shared" si="292"/>
        <v>1.5424620808052418</v>
      </c>
      <c r="S536" s="677">
        <f t="shared" si="270"/>
        <v>1.0272926204645383</v>
      </c>
      <c r="T536" s="680">
        <f t="shared" si="271"/>
        <v>0.23102381971490782</v>
      </c>
      <c r="U536" s="681">
        <f t="shared" si="283"/>
        <v>1.5786226260880498E-2</v>
      </c>
      <c r="V536" s="682">
        <f t="shared" si="284"/>
        <v>-3.0044173995515555</v>
      </c>
      <c r="W536" s="683">
        <f t="shared" si="272"/>
        <v>-65.413534611766934</v>
      </c>
      <c r="X536" s="684">
        <f t="shared" si="273"/>
        <v>-322.36283742321376</v>
      </c>
      <c r="Y536" s="687">
        <f t="shared" si="274"/>
        <v>-142.36283742321376</v>
      </c>
      <c r="AA536" s="170">
        <f t="shared" si="275"/>
        <v>78981</v>
      </c>
      <c r="AB536" s="170">
        <f t="shared" si="276"/>
        <v>6237998361</v>
      </c>
      <c r="AD536" s="686">
        <f t="shared" si="277"/>
        <v>-1.1455460679811436</v>
      </c>
      <c r="AE536" s="687">
        <f t="shared" si="278"/>
        <v>-14.860114445191817</v>
      </c>
      <c r="AG536" s="686">
        <f t="shared" si="279"/>
        <v>65.530693032805175</v>
      </c>
      <c r="AH536" s="687">
        <f t="shared" si="280"/>
        <v>36.778151195324455</v>
      </c>
      <c r="AJ536" s="170">
        <f t="shared" si="281"/>
        <v>0</v>
      </c>
      <c r="AK536" s="170">
        <f t="shared" si="293"/>
        <v>0</v>
      </c>
      <c r="AM536" s="170" t="str">
        <f t="shared" si="285"/>
        <v>0.0192573125098749-0.19530432902178i</v>
      </c>
      <c r="AN536" s="170" t="str">
        <f t="shared" si="286"/>
        <v>12.3698028691219i</v>
      </c>
      <c r="AO536" s="170" t="str">
        <f t="shared" si="287"/>
        <v>-0.0157887988263183-0.0015568002751237i</v>
      </c>
      <c r="AP536" s="170" t="str">
        <f t="shared" si="288"/>
        <v>0.163457114581688+0.03255072150363i</v>
      </c>
      <c r="AQ536" s="170" t="str">
        <f t="shared" si="289"/>
        <v>0.836542885418312-0.03255072150363i</v>
      </c>
      <c r="AR536" s="170" t="str">
        <f t="shared" si="290"/>
        <v>0.994259474516969+0.0386876319450902i</v>
      </c>
    </row>
    <row r="537" spans="7:44">
      <c r="G537" s="688">
        <v>79433</v>
      </c>
      <c r="H537" s="676">
        <f t="shared" si="282"/>
        <v>79.433000000000007</v>
      </c>
      <c r="I537" s="677">
        <f t="shared" si="262"/>
        <v>69.891086465436643</v>
      </c>
      <c r="J537" s="678">
        <f t="shared" si="263"/>
        <v>1.5564878623909961</v>
      </c>
      <c r="K537" s="678">
        <f t="shared" si="264"/>
        <v>1.0060099925773296</v>
      </c>
      <c r="L537" s="679">
        <f t="shared" si="265"/>
        <v>0.10936220675978608</v>
      </c>
      <c r="M537" s="678">
        <f t="shared" si="266"/>
        <v>1.6455003479658796</v>
      </c>
      <c r="N537" s="679">
        <f t="shared" si="267"/>
        <v>-0.91761254626899258</v>
      </c>
      <c r="O537" s="677">
        <f t="shared" si="268"/>
        <v>7097091.9078343501</v>
      </c>
      <c r="P537" s="680">
        <f t="shared" si="269"/>
        <v>1.5707961858921138</v>
      </c>
      <c r="Q537" s="689">
        <f t="shared" si="291"/>
        <v>35.499547021140572</v>
      </c>
      <c r="R537" s="690">
        <f t="shared" si="292"/>
        <v>1.5426232264756454</v>
      </c>
      <c r="S537" s="677">
        <f t="shared" si="270"/>
        <v>1.0276016919389681</v>
      </c>
      <c r="T537" s="680">
        <f t="shared" si="271"/>
        <v>0.23229901818500465</v>
      </c>
      <c r="U537" s="681">
        <f t="shared" si="283"/>
        <v>1.0080383762840695E-2</v>
      </c>
      <c r="V537" s="682">
        <f t="shared" si="284"/>
        <v>-3.0536600789496213</v>
      </c>
      <c r="W537" s="683">
        <f t="shared" si="272"/>
        <v>-69.329986792483083</v>
      </c>
      <c r="X537" s="684">
        <f t="shared" si="273"/>
        <v>-325.3752985834218</v>
      </c>
      <c r="Y537" s="687">
        <f t="shared" si="274"/>
        <v>-145.3752985834218</v>
      </c>
      <c r="AA537" s="170">
        <f t="shared" si="275"/>
        <v>79433</v>
      </c>
      <c r="AB537" s="170">
        <f t="shared" si="276"/>
        <v>6309601489</v>
      </c>
      <c r="AD537" s="686">
        <f t="shared" si="277"/>
        <v>-1.1481984705477026</v>
      </c>
      <c r="AE537" s="687">
        <f t="shared" si="278"/>
        <v>-14.923945015043607</v>
      </c>
      <c r="AG537" s="686">
        <f t="shared" si="279"/>
        <v>69.408943536373997</v>
      </c>
      <c r="AH537" s="687">
        <f t="shared" si="280"/>
        <v>39.472316014265999</v>
      </c>
      <c r="AJ537" s="170">
        <f t="shared" si="281"/>
        <v>0</v>
      </c>
      <c r="AK537" s="170">
        <f t="shared" si="293"/>
        <v>0</v>
      </c>
      <c r="AM537" s="170" t="str">
        <f t="shared" si="285"/>
        <v>0.00789946157886001-0.12544529351269i</v>
      </c>
      <c r="AN537" s="170" t="str">
        <f t="shared" si="286"/>
        <v>12.4405939568119i</v>
      </c>
      <c r="AO537" s="170" t="str">
        <f t="shared" si="287"/>
        <v>-0.0100835453635236-0.000634974632745298i</v>
      </c>
      <c r="AP537" s="170" t="str">
        <f t="shared" si="288"/>
        <v>0.165350089736857+0.0209075489187817i</v>
      </c>
      <c r="AQ537" s="170" t="str">
        <f t="shared" si="289"/>
        <v>0.834649910263143-0.0209075489187817i</v>
      </c>
      <c r="AR537" s="170" t="str">
        <f t="shared" si="290"/>
        <v>0.99739738723597+0.0249842891117387i</v>
      </c>
    </row>
    <row r="538" spans="7:44">
      <c r="G538" s="688">
        <v>79895.5</v>
      </c>
      <c r="H538" s="676">
        <f t="shared" si="282"/>
        <v>79.895499999999998</v>
      </c>
      <c r="I538" s="677">
        <f t="shared" si="262"/>
        <v>70.297945443455092</v>
      </c>
      <c r="J538" s="678">
        <f t="shared" si="263"/>
        <v>1.5565706801894643</v>
      </c>
      <c r="K538" s="678">
        <f t="shared" si="264"/>
        <v>1.0060799707998809</v>
      </c>
      <c r="L538" s="679">
        <f t="shared" si="265"/>
        <v>0.1099938611471466</v>
      </c>
      <c r="M538" s="678">
        <f t="shared" si="266"/>
        <v>1.6515493271145503</v>
      </c>
      <c r="N538" s="679">
        <f t="shared" si="267"/>
        <v>-0.92041232663298045</v>
      </c>
      <c r="O538" s="677">
        <f t="shared" si="268"/>
        <v>7138414.8467561239</v>
      </c>
      <c r="P538" s="680">
        <f t="shared" si="269"/>
        <v>1.5707961867077733</v>
      </c>
      <c r="Q538" s="689">
        <f t="shared" si="291"/>
        <v>35.706080198051446</v>
      </c>
      <c r="R538" s="690">
        <f t="shared" si="292"/>
        <v>1.5427862297093144</v>
      </c>
      <c r="S538" s="677">
        <f t="shared" si="270"/>
        <v>1.0279196718098957</v>
      </c>
      <c r="T538" s="680">
        <f t="shared" si="271"/>
        <v>0.23360304367766391</v>
      </c>
      <c r="U538" s="681">
        <f t="shared" si="283"/>
        <v>4.2591795830916506E-3</v>
      </c>
      <c r="V538" s="682">
        <f t="shared" si="284"/>
        <v>-3.1042623873764814</v>
      </c>
      <c r="W538" s="683">
        <f t="shared" si="272"/>
        <v>-76.833677419148202</v>
      </c>
      <c r="X538" s="684">
        <f t="shared" si="273"/>
        <v>-328.46894267817385</v>
      </c>
      <c r="Y538" s="687">
        <f t="shared" si="274"/>
        <v>-148.46894267817385</v>
      </c>
      <c r="AA538" s="170">
        <f t="shared" si="275"/>
        <v>79895.5</v>
      </c>
      <c r="AB538" s="170">
        <f t="shared" si="276"/>
        <v>6383290920.25</v>
      </c>
      <c r="AD538" s="686">
        <f t="shared" si="277"/>
        <v>-1.1509255897013837</v>
      </c>
      <c r="AE538" s="687">
        <f t="shared" si="278"/>
        <v>-14.989320821622783</v>
      </c>
      <c r="AG538" s="686">
        <f t="shared" si="279"/>
        <v>76.8740245958098</v>
      </c>
      <c r="AH538" s="687">
        <f t="shared" si="280"/>
        <v>42.242645145675702</v>
      </c>
      <c r="AJ538" s="170">
        <f t="shared" si="281"/>
        <v>0</v>
      </c>
      <c r="AK538" s="170">
        <f t="shared" si="293"/>
        <v>0</v>
      </c>
      <c r="AM538" s="170" t="str">
        <f t="shared" si="285"/>
        <v>0.00142229847776998-0.0533157952447581i</v>
      </c>
      <c r="AN538" s="170" t="str">
        <f t="shared" si="286"/>
        <v>12.5130295277336i</v>
      </c>
      <c r="AO538" s="170" t="str">
        <f t="shared" si="287"/>
        <v>-0.00426082229939522-0.000113665397705458i</v>
      </c>
      <c r="AP538" s="170" t="str">
        <f t="shared" si="288"/>
        <v>0.166429616920372+0.00888596587412635i</v>
      </c>
      <c r="AQ538" s="170" t="str">
        <f t="shared" si="289"/>
        <v>0.833570383079628-0.00888596587412635i</v>
      </c>
      <c r="AR538" s="170" t="str">
        <f t="shared" si="290"/>
        <v>0.999202187311677+0.0106516218882453i</v>
      </c>
    </row>
    <row r="539" spans="7:44">
      <c r="G539" s="688">
        <v>80358</v>
      </c>
      <c r="H539" s="676">
        <f t="shared" si="282"/>
        <v>80.358000000000004</v>
      </c>
      <c r="I539" s="677">
        <f t="shared" si="262"/>
        <v>70.704804898083211</v>
      </c>
      <c r="J539" s="678">
        <f t="shared" si="263"/>
        <v>1.5566525448650237</v>
      </c>
      <c r="K539" s="678">
        <f t="shared" si="264"/>
        <v>1.0061503503795974</v>
      </c>
      <c r="L539" s="679">
        <f t="shared" si="265"/>
        <v>0.11062542741881609</v>
      </c>
      <c r="M539" s="678">
        <f t="shared" si="266"/>
        <v>1.6576111578334229</v>
      </c>
      <c r="N539" s="679">
        <f t="shared" si="267"/>
        <v>-0.9231916512374081</v>
      </c>
      <c r="O539" s="677">
        <f t="shared" si="268"/>
        <v>7179737.7856778987</v>
      </c>
      <c r="P539" s="680">
        <f t="shared" si="269"/>
        <v>1.5707961875140442</v>
      </c>
      <c r="Q539" s="689">
        <f t="shared" si="291"/>
        <v>35.91261431276272</v>
      </c>
      <c r="R539" s="690">
        <f t="shared" si="292"/>
        <v>1.5429473580779496</v>
      </c>
      <c r="S539" s="677">
        <f t="shared" si="270"/>
        <v>1.0282393985573863</v>
      </c>
      <c r="T539" s="680">
        <f t="shared" si="271"/>
        <v>0.23490626042271115</v>
      </c>
      <c r="U539" s="681">
        <f t="shared" si="283"/>
        <v>1.5164891722651852E-3</v>
      </c>
      <c r="V539" s="682">
        <f t="shared" si="284"/>
        <v>-1.3365749172082459E-2</v>
      </c>
      <c r="W539" s="683">
        <f t="shared" si="272"/>
        <v>-85.823846625003881</v>
      </c>
      <c r="X539" s="684">
        <f t="shared" si="273"/>
        <v>-151.56679507402418</v>
      </c>
      <c r="Y539" s="687">
        <f t="shared" si="274"/>
        <v>28.433204925975815</v>
      </c>
      <c r="AA539" s="170">
        <f t="shared" si="275"/>
        <v>80358</v>
      </c>
      <c r="AB539" s="170">
        <f t="shared" si="276"/>
        <v>6457408164</v>
      </c>
      <c r="AD539" s="686">
        <f t="shared" si="277"/>
        <v>-1.1536659495661319</v>
      </c>
      <c r="AE539" s="687">
        <f t="shared" si="278"/>
        <v>-15.054757711692838</v>
      </c>
      <c r="AG539" s="686">
        <f t="shared" si="279"/>
        <v>85.826061276230178</v>
      </c>
      <c r="AH539" s="687">
        <f t="shared" si="280"/>
        <v>-134.98043532539967</v>
      </c>
      <c r="AJ539" s="170">
        <f t="shared" si="281"/>
        <v>0</v>
      </c>
      <c r="AK539" s="170">
        <f t="shared" si="293"/>
        <v>0</v>
      </c>
      <c r="AM539" s="170" t="str">
        <f t="shared" si="285"/>
        <v>0.000182294126474969+0.0190933240113468i</v>
      </c>
      <c r="AN539" s="170" t="str">
        <f t="shared" si="286"/>
        <v>12.5854650986554i</v>
      </c>
      <c r="AO539" s="170" t="str">
        <f t="shared" si="287"/>
        <v>0.00151709323904022-0.0000144844966035022i</v>
      </c>
      <c r="AP539" s="170" t="str">
        <f t="shared" si="288"/>
        <v>0.166636284312254-0.0031822206685578i</v>
      </c>
      <c r="AQ539" s="170" t="str">
        <f t="shared" si="289"/>
        <v>0.833363715687746+0.0031822206685578i</v>
      </c>
      <c r="AR539" s="170" t="str">
        <f t="shared" si="290"/>
        <v>0.999548982525618-0.00381680336154778i</v>
      </c>
    </row>
    <row r="540" spans="7:44">
      <c r="G540" s="688">
        <v>80820.5</v>
      </c>
      <c r="H540" s="676">
        <f t="shared" si="282"/>
        <v>80.820499999999996</v>
      </c>
      <c r="I540" s="677">
        <f t="shared" si="262"/>
        <v>71.111664821140366</v>
      </c>
      <c r="J540" s="678">
        <f t="shared" si="263"/>
        <v>1.5567334727762256</v>
      </c>
      <c r="K540" s="678">
        <f t="shared" si="264"/>
        <v>1.006221131232262</v>
      </c>
      <c r="L540" s="679">
        <f t="shared" si="265"/>
        <v>0.11125690508950409</v>
      </c>
      <c r="M540" s="678">
        <f t="shared" si="266"/>
        <v>1.6636856996439693</v>
      </c>
      <c r="N540" s="679">
        <f t="shared" si="267"/>
        <v>-0.92595070097580068</v>
      </c>
      <c r="O540" s="677">
        <f t="shared" si="268"/>
        <v>7221060.7245996725</v>
      </c>
      <c r="P540" s="680">
        <f t="shared" si="269"/>
        <v>1.5707961883110868</v>
      </c>
      <c r="Q540" s="689">
        <f t="shared" si="291"/>
        <v>36.119149349186976</v>
      </c>
      <c r="R540" s="690">
        <f t="shared" si="292"/>
        <v>1.5431066437354408</v>
      </c>
      <c r="S540" s="677">
        <f t="shared" si="270"/>
        <v>1.0285608705523974</v>
      </c>
      <c r="T540" s="680">
        <f t="shared" si="271"/>
        <v>0.23620866474971419</v>
      </c>
      <c r="U540" s="681">
        <f t="shared" si="283"/>
        <v>7.2183977768951278E-3</v>
      </c>
      <c r="V540" s="682">
        <f t="shared" si="284"/>
        <v>-6.4028166618903065E-2</v>
      </c>
      <c r="W540" s="683">
        <f t="shared" si="272"/>
        <v>-72.292025178508041</v>
      </c>
      <c r="X540" s="684">
        <f t="shared" si="273"/>
        <v>-154.66157142595216</v>
      </c>
      <c r="Y540" s="687">
        <f t="shared" si="274"/>
        <v>25.338428574047839</v>
      </c>
      <c r="AA540" s="170">
        <f t="shared" si="275"/>
        <v>80820.5</v>
      </c>
      <c r="AB540" s="170">
        <f t="shared" si="276"/>
        <v>6531953220.25</v>
      </c>
      <c r="AD540" s="686">
        <f t="shared" si="277"/>
        <v>-1.1564195387533769</v>
      </c>
      <c r="AE540" s="687">
        <f t="shared" si="278"/>
        <v>-15.120253632680486</v>
      </c>
      <c r="AG540" s="686">
        <f t="shared" si="279"/>
        <v>72.256576439429011</v>
      </c>
      <c r="AH540" s="687">
        <f t="shared" si="280"/>
        <v>-132.2042303504407</v>
      </c>
      <c r="AJ540" s="170">
        <f t="shared" si="281"/>
        <v>0</v>
      </c>
      <c r="AK540" s="170">
        <f t="shared" si="293"/>
        <v>0</v>
      </c>
      <c r="AM540" s="170" t="str">
        <f t="shared" si="285"/>
        <v>0.00418595187432103+0.0914023060734654i</v>
      </c>
      <c r="AN540" s="170" t="str">
        <f t="shared" si="286"/>
        <v>12.6579006695771i</v>
      </c>
      <c r="AO540" s="170" t="str">
        <f t="shared" si="287"/>
        <v>0.0072209688209316-0.000330698745676038i</v>
      </c>
      <c r="AP540" s="170" t="str">
        <f t="shared" si="288"/>
        <v>0.165969008020946-0.0152337176789109i</v>
      </c>
      <c r="AQ540" s="170" t="str">
        <f t="shared" si="289"/>
        <v>0.834030991979054+0.0152337176789109i</v>
      </c>
      <c r="AR540" s="170" t="str">
        <f t="shared" si="290"/>
        <v>0.99843075162217-0.018236507202285i</v>
      </c>
    </row>
    <row r="541" spans="7:44">
      <c r="G541" s="688">
        <v>81283</v>
      </c>
      <c r="H541" s="676">
        <f t="shared" si="282"/>
        <v>81.283000000000001</v>
      </c>
      <c r="I541" s="677">
        <f t="shared" si="262"/>
        <v>71.518525204632056</v>
      </c>
      <c r="J541" s="678">
        <f t="shared" si="263"/>
        <v>1.5568134799094242</v>
      </c>
      <c r="K541" s="678">
        <f t="shared" si="264"/>
        <v>1.0062923132731991</v>
      </c>
      <c r="L541" s="679">
        <f t="shared" si="265"/>
        <v>0.11188829367433888</v>
      </c>
      <c r="M541" s="678">
        <f t="shared" si="266"/>
        <v>1.6697728138194345</v>
      </c>
      <c r="N541" s="679">
        <f t="shared" si="267"/>
        <v>-0.92868965534690462</v>
      </c>
      <c r="O541" s="677">
        <f t="shared" si="268"/>
        <v>7262383.6635214482</v>
      </c>
      <c r="P541" s="680">
        <f t="shared" si="269"/>
        <v>1.5707961890990592</v>
      </c>
      <c r="Q541" s="689">
        <f t="shared" si="291"/>
        <v>36.325685291602632</v>
      </c>
      <c r="R541" s="690">
        <f t="shared" si="292"/>
        <v>1.5432641181047904</v>
      </c>
      <c r="S541" s="677">
        <f t="shared" si="270"/>
        <v>1.0288840861590354</v>
      </c>
      <c r="T541" s="680">
        <f t="shared" si="271"/>
        <v>0.23751025300384029</v>
      </c>
      <c r="U541" s="681">
        <f t="shared" si="283"/>
        <v>1.2819145905424051E-2</v>
      </c>
      <c r="V541" s="682">
        <f t="shared" si="284"/>
        <v>-0.11453036061389778</v>
      </c>
      <c r="W541" s="683">
        <f t="shared" si="272"/>
        <v>-67.323643985121194</v>
      </c>
      <c r="X541" s="684">
        <f t="shared" si="273"/>
        <v>-157.74602563923091</v>
      </c>
      <c r="Y541" s="687">
        <f t="shared" si="274"/>
        <v>22.253974360769092</v>
      </c>
      <c r="AA541" s="170">
        <f t="shared" si="275"/>
        <v>81283</v>
      </c>
      <c r="AB541" s="170">
        <f t="shared" si="276"/>
        <v>6606926089</v>
      </c>
      <c r="AD541" s="686">
        <f t="shared" si="277"/>
        <v>-1.159186345332869</v>
      </c>
      <c r="AE541" s="687">
        <f t="shared" si="278"/>
        <v>-15.185806574782895</v>
      </c>
      <c r="AG541" s="686">
        <f t="shared" si="279"/>
        <v>67.250993238308553</v>
      </c>
      <c r="AH541" s="687">
        <f t="shared" si="280"/>
        <v>-129.43600647087601</v>
      </c>
      <c r="AJ541" s="170">
        <f t="shared" si="281"/>
        <v>0</v>
      </c>
      <c r="AK541" s="170">
        <f t="shared" si="293"/>
        <v>0</v>
      </c>
      <c r="AM541" s="170" t="str">
        <f t="shared" si="285"/>
        <v>0.013412274065162+0.163231917941084i</v>
      </c>
      <c r="AN541" s="170" t="str">
        <f t="shared" si="286"/>
        <v>12.7303362404988i</v>
      </c>
      <c r="AO541" s="170" t="str">
        <f t="shared" si="287"/>
        <v>0.0128222785995076-0.00105356793503174i</v>
      </c>
      <c r="AP541" s="170" t="str">
        <f t="shared" si="288"/>
        <v>0.164431287655806-0.0272053196568473i</v>
      </c>
      <c r="AQ541" s="170" t="str">
        <f t="shared" si="289"/>
        <v>0.835568712344194+0.0272053196568473i</v>
      </c>
      <c r="AR541" s="170" t="str">
        <f t="shared" si="290"/>
        <v>0.995870078268055-0.0324245791108698i</v>
      </c>
    </row>
    <row r="542" spans="7:44">
      <c r="G542" s="688">
        <v>81756.25</v>
      </c>
      <c r="H542" s="676">
        <f t="shared" si="282"/>
        <v>81.756249999999994</v>
      </c>
      <c r="I542" s="677">
        <f t="shared" si="262"/>
        <v>71.934842811445435</v>
      </c>
      <c r="J542" s="678">
        <f t="shared" si="263"/>
        <v>1.5568944098351731</v>
      </c>
      <c r="K542" s="678">
        <f t="shared" si="264"/>
        <v>1.0063655650108403</v>
      </c>
      <c r="L542" s="679">
        <f t="shared" si="265"/>
        <v>0.11253426505639365</v>
      </c>
      <c r="M542" s="678">
        <f t="shared" si="266"/>
        <v>1.6760142834672067</v>
      </c>
      <c r="N542" s="679">
        <f t="shared" si="267"/>
        <v>-0.93147165625990203</v>
      </c>
      <c r="O542" s="677">
        <f t="shared" si="268"/>
        <v>7304667.081564107</v>
      </c>
      <c r="P542" s="680">
        <f t="shared" si="269"/>
        <v>1.5707961898961182</v>
      </c>
      <c r="Q542" s="689">
        <f t="shared" si="291"/>
        <v>36.53702272096254</v>
      </c>
      <c r="R542" s="690">
        <f t="shared" si="292"/>
        <v>1.5434234097954413</v>
      </c>
      <c r="S542" s="677">
        <f t="shared" si="270"/>
        <v>1.0292166175044035</v>
      </c>
      <c r="T542" s="680">
        <f t="shared" si="271"/>
        <v>0.23884124584862287</v>
      </c>
      <c r="U542" s="681">
        <f t="shared" si="283"/>
        <v>1.8418326747127272E-2</v>
      </c>
      <c r="V542" s="682">
        <f t="shared" si="284"/>
        <v>-0.16591183329286446</v>
      </c>
      <c r="W542" s="683">
        <f t="shared" si="272"/>
        <v>-64.196043245132572</v>
      </c>
      <c r="X542" s="684">
        <f t="shared" si="273"/>
        <v>-160.88412316935876</v>
      </c>
      <c r="Y542" s="687">
        <f t="shared" si="274"/>
        <v>19.115876830641241</v>
      </c>
      <c r="AA542" s="170">
        <f t="shared" si="275"/>
        <v>81756.25</v>
      </c>
      <c r="AB542" s="170">
        <f t="shared" si="276"/>
        <v>6684084414.0625</v>
      </c>
      <c r="AD542" s="686">
        <f t="shared" si="277"/>
        <v>-1.1620311302590884</v>
      </c>
      <c r="AE542" s="687">
        <f t="shared" si="278"/>
        <v>-15.25294015151008</v>
      </c>
      <c r="AG542" s="686">
        <f t="shared" si="279"/>
        <v>64.085795459456904</v>
      </c>
      <c r="AH542" s="687">
        <f t="shared" si="280"/>
        <v>-126.61908735820572</v>
      </c>
      <c r="AJ542" s="170">
        <f t="shared" si="281"/>
        <v>0</v>
      </c>
      <c r="AK542" s="170">
        <f t="shared" si="293"/>
        <v>0</v>
      </c>
      <c r="AM542" s="170" t="str">
        <f t="shared" si="285"/>
        <v>0.028208566958391+0.23584191880778i</v>
      </c>
      <c r="AN542" s="170" t="str">
        <f t="shared" si="286"/>
        <v>12.804455449015i</v>
      </c>
      <c r="AO542" s="170" t="str">
        <f t="shared" si="287"/>
        <v>0.0184187386763037-0.00220302745952082i</v>
      </c>
      <c r="AP542" s="170" t="str">
        <f t="shared" si="288"/>
        <v>0.161965238840268-0.0393069864679633i</v>
      </c>
      <c r="AQ542" s="170" t="str">
        <f t="shared" si="289"/>
        <v>0.838034761159732+0.0393069864679633i</v>
      </c>
      <c r="AR542" s="170" t="str">
        <f t="shared" si="290"/>
        <v>0.991810234904093-0.0465196353289837i</v>
      </c>
    </row>
    <row r="543" spans="7:44">
      <c r="G543" s="688">
        <v>82229.5</v>
      </c>
      <c r="H543" s="676">
        <f t="shared" si="282"/>
        <v>82.229500000000002</v>
      </c>
      <c r="I543" s="677">
        <f t="shared" si="262"/>
        <v>72.35116088398496</v>
      </c>
      <c r="J543" s="678">
        <f t="shared" si="263"/>
        <v>1.556974408398619</v>
      </c>
      <c r="K543" s="678">
        <f t="shared" si="264"/>
        <v>1.0064392366224937</v>
      </c>
      <c r="L543" s="679">
        <f t="shared" si="265"/>
        <v>0.1131801421373831</v>
      </c>
      <c r="M543" s="678">
        <f t="shared" si="266"/>
        <v>1.6822686283650659</v>
      </c>
      <c r="N543" s="679">
        <f t="shared" si="267"/>
        <v>-0.93423299254444714</v>
      </c>
      <c r="O543" s="677">
        <f t="shared" si="268"/>
        <v>7346950.4996067658</v>
      </c>
      <c r="P543" s="680">
        <f t="shared" si="269"/>
        <v>1.5707961906840027</v>
      </c>
      <c r="Q543" s="689">
        <f t="shared" si="291"/>
        <v>36.74836106674389</v>
      </c>
      <c r="R543" s="690">
        <f t="shared" si="292"/>
        <v>1.5435808693298432</v>
      </c>
      <c r="S543" s="677">
        <f t="shared" si="270"/>
        <v>1.0295509709705009</v>
      </c>
      <c r="T543" s="680">
        <f t="shared" si="271"/>
        <v>0.2401713765511114</v>
      </c>
      <c r="U543" s="681">
        <f t="shared" si="283"/>
        <v>2.3858914184471156E-2</v>
      </c>
      <c r="V543" s="682">
        <f t="shared" si="284"/>
        <v>-0.21687024056370047</v>
      </c>
      <c r="W543" s="683">
        <f t="shared" si="272"/>
        <v>-61.968027457258486</v>
      </c>
      <c r="X543" s="684">
        <f t="shared" si="273"/>
        <v>-163.99680445822207</v>
      </c>
      <c r="Y543" s="687">
        <f t="shared" si="274"/>
        <v>16.003195541777927</v>
      </c>
      <c r="AA543" s="170">
        <f t="shared" si="275"/>
        <v>82229.5</v>
      </c>
      <c r="AB543" s="170">
        <f t="shared" si="276"/>
        <v>6761690670.25</v>
      </c>
      <c r="AD543" s="686">
        <f t="shared" si="277"/>
        <v>-1.164889727206033</v>
      </c>
      <c r="AE543" s="687">
        <f t="shared" si="278"/>
        <v>-15.320129305417346</v>
      </c>
      <c r="AG543" s="686">
        <f t="shared" si="279"/>
        <v>61.820649769048188</v>
      </c>
      <c r="AH543" s="687">
        <f t="shared" si="280"/>
        <v>-123.82517615183393</v>
      </c>
      <c r="AJ543" s="170">
        <f t="shared" si="281"/>
        <v>0</v>
      </c>
      <c r="AK543" s="170">
        <f t="shared" si="293"/>
        <v>0</v>
      </c>
      <c r="AM543" s="170" t="str">
        <f t="shared" si="285"/>
        <v>0.048341105099683+0.307156878088554i</v>
      </c>
      <c r="AN543" s="170" t="str">
        <f t="shared" si="286"/>
        <v>12.8785746575311i</v>
      </c>
      <c r="AO543" s="170" t="str">
        <f t="shared" si="287"/>
        <v>0.023850223045369-0.0037536067759963i</v>
      </c>
      <c r="AP543" s="170" t="str">
        <f t="shared" si="288"/>
        <v>0.158609815816719-0.051192813014759i</v>
      </c>
      <c r="AQ543" s="170" t="str">
        <f t="shared" si="289"/>
        <v>0.841390184183281+0.051192813014759i</v>
      </c>
      <c r="AR543" s="170" t="str">
        <f t="shared" si="290"/>
        <v>0.986376733878581-0.0600142486194674i</v>
      </c>
    </row>
    <row r="544" spans="7:44">
      <c r="G544" s="688">
        <v>82702.75</v>
      </c>
      <c r="H544" s="676">
        <f t="shared" si="282"/>
        <v>82.702749999999995</v>
      </c>
      <c r="I544" s="677">
        <f t="shared" si="262"/>
        <v>72.767479414257096</v>
      </c>
      <c r="J544" s="678">
        <f t="shared" si="263"/>
        <v>1.5570534915843057</v>
      </c>
      <c r="K544" s="678">
        <f t="shared" si="264"/>
        <v>1.0065133280159619</v>
      </c>
      <c r="L544" s="679">
        <f t="shared" si="265"/>
        <v>0.11382592439920919</v>
      </c>
      <c r="M544" s="678">
        <f t="shared" si="266"/>
        <v>1.6885357054430412</v>
      </c>
      <c r="N544" s="679">
        <f t="shared" si="267"/>
        <v>-0.93697385194856297</v>
      </c>
      <c r="O544" s="677">
        <f t="shared" si="268"/>
        <v>7389233.9176494256</v>
      </c>
      <c r="P544" s="680">
        <f t="shared" si="269"/>
        <v>1.5707961914628701</v>
      </c>
      <c r="Q544" s="689">
        <f t="shared" si="291"/>
        <v>36.959700313226186</v>
      </c>
      <c r="R544" s="690">
        <f t="shared" si="292"/>
        <v>1.5437365281294755</v>
      </c>
      <c r="S544" s="677">
        <f t="shared" si="270"/>
        <v>1.0298871447826696</v>
      </c>
      <c r="T544" s="680">
        <f t="shared" si="271"/>
        <v>0.24150064124663045</v>
      </c>
      <c r="U544" s="681">
        <f t="shared" si="283"/>
        <v>2.9118161926900546E-2</v>
      </c>
      <c r="V544" s="682">
        <f t="shared" si="284"/>
        <v>-0.2672879798016114</v>
      </c>
      <c r="W544" s="683">
        <f t="shared" si="272"/>
        <v>-60.257533316691209</v>
      </c>
      <c r="X544" s="684">
        <f t="shared" si="273"/>
        <v>-167.07734105271513</v>
      </c>
      <c r="Y544" s="687">
        <f t="shared" si="274"/>
        <v>12.922658947284873</v>
      </c>
      <c r="AA544" s="170">
        <f t="shared" si="275"/>
        <v>82702.75</v>
      </c>
      <c r="AB544" s="170">
        <f t="shared" si="276"/>
        <v>6839744857.5625</v>
      </c>
      <c r="AD544" s="686">
        <f t="shared" si="277"/>
        <v>-1.1677621217319707</v>
      </c>
      <c r="AE544" s="687">
        <f t="shared" si="278"/>
        <v>-15.387372014765987</v>
      </c>
      <c r="AG544" s="686">
        <f t="shared" si="279"/>
        <v>60.073485035321561</v>
      </c>
      <c r="AH544" s="687">
        <f t="shared" si="280"/>
        <v>-121.06102268852983</v>
      </c>
      <c r="AJ544" s="170">
        <f t="shared" si="281"/>
        <v>0</v>
      </c>
      <c r="AK544" s="170">
        <f t="shared" si="293"/>
        <v>0</v>
      </c>
      <c r="AM544" s="170" t="str">
        <f t="shared" si="285"/>
        <v>0.0736993378530481+0.376785195179054i</v>
      </c>
      <c r="AN544" s="170" t="str">
        <f t="shared" si="286"/>
        <v>12.9526938660472i</v>
      </c>
      <c r="AO544" s="170" t="str">
        <f t="shared" si="287"/>
        <v>0.0290893306887086-0.00568988494711788i</v>
      </c>
      <c r="AP544" s="170" t="str">
        <f t="shared" si="288"/>
        <v>0.154383443691159-0.0627975325298423i</v>
      </c>
      <c r="AQ544" s="170" t="str">
        <f t="shared" si="289"/>
        <v>0.845616556308841+0.0627975325298423i</v>
      </c>
      <c r="AR544" s="170" t="str">
        <f t="shared" si="290"/>
        <v>0.979677221603474-0.0727532020670614i</v>
      </c>
    </row>
    <row r="545" spans="7:44">
      <c r="G545" s="688">
        <v>83176</v>
      </c>
      <c r="H545" s="676">
        <f t="shared" si="282"/>
        <v>83.176000000000002</v>
      </c>
      <c r="I545" s="677">
        <f t="shared" si="262"/>
        <v>73.183798394450164</v>
      </c>
      <c r="J545" s="678">
        <f t="shared" si="263"/>
        <v>1.5571316750131003</v>
      </c>
      <c r="K545" s="678">
        <f t="shared" si="264"/>
        <v>1.0065878390985492</v>
      </c>
      <c r="L545" s="679">
        <f t="shared" si="265"/>
        <v>0.11447161132424227</v>
      </c>
      <c r="M545" s="678">
        <f t="shared" si="266"/>
        <v>1.6948153734582241</v>
      </c>
      <c r="N545" s="679">
        <f t="shared" si="267"/>
        <v>-0.93969442067678688</v>
      </c>
      <c r="O545" s="677">
        <f t="shared" si="268"/>
        <v>7431517.3356920844</v>
      </c>
      <c r="P545" s="680">
        <f t="shared" si="269"/>
        <v>1.5707961922328746</v>
      </c>
      <c r="Q545" s="689">
        <f t="shared" si="291"/>
        <v>37.171040445046394</v>
      </c>
      <c r="R545" s="690">
        <f t="shared" si="292"/>
        <v>1.5438904169015706</v>
      </c>
      <c r="S545" s="677">
        <f t="shared" si="270"/>
        <v>1.0302251371589131</v>
      </c>
      <c r="T545" s="680">
        <f t="shared" si="271"/>
        <v>0.24282903608777676</v>
      </c>
      <c r="U545" s="681">
        <f t="shared" si="283"/>
        <v>3.4176519327830869E-2</v>
      </c>
      <c r="V545" s="682">
        <f t="shared" si="284"/>
        <v>-0.31705794366618206</v>
      </c>
      <c r="W545" s="683">
        <f t="shared" si="272"/>
        <v>-58.885808412772036</v>
      </c>
      <c r="X545" s="684">
        <f t="shared" si="273"/>
        <v>-170.11960576784625</v>
      </c>
      <c r="Y545" s="687">
        <f t="shared" si="274"/>
        <v>9.8803942321537477</v>
      </c>
      <c r="AA545" s="170">
        <f t="shared" si="275"/>
        <v>83176</v>
      </c>
      <c r="AB545" s="170">
        <f t="shared" si="276"/>
        <v>6918246976</v>
      </c>
      <c r="AD545" s="686">
        <f t="shared" si="277"/>
        <v>-1.1706482988675888</v>
      </c>
      <c r="AE545" s="687">
        <f t="shared" si="278"/>
        <v>-15.45466629973002</v>
      </c>
      <c r="AG545" s="686">
        <f t="shared" si="279"/>
        <v>58.665541174916321</v>
      </c>
      <c r="AH545" s="687">
        <f t="shared" si="280"/>
        <v>-118.33277536026299</v>
      </c>
      <c r="AJ545" s="170">
        <f t="shared" si="281"/>
        <v>0</v>
      </c>
      <c r="AK545" s="170">
        <f t="shared" si="293"/>
        <v>0</v>
      </c>
      <c r="AM545" s="170" t="str">
        <f t="shared" si="285"/>
        <v>0.104144019548655+0.444344531067459i</v>
      </c>
      <c r="AN545" s="170" t="str">
        <f t="shared" si="286"/>
        <v>13.0268130745633i</v>
      </c>
      <c r="AO545" s="170" t="str">
        <f t="shared" si="287"/>
        <v>0.0341099951710449-0.00799458923318789i</v>
      </c>
      <c r="AP545" s="170" t="str">
        <f t="shared" si="288"/>
        <v>0.149309330075224-0.0740574218445765i</v>
      </c>
      <c r="AQ545" s="170" t="str">
        <f t="shared" si="289"/>
        <v>0.850690669924776+0.0740574218445765i</v>
      </c>
      <c r="AR545" s="170" t="str">
        <f t="shared" si="290"/>
        <v>0.971839082741216-0.0846040746185411i</v>
      </c>
    </row>
    <row r="546" spans="7:44">
      <c r="G546" s="688">
        <v>83660.5</v>
      </c>
      <c r="H546" s="676">
        <f t="shared" si="282"/>
        <v>83.660499999999999</v>
      </c>
      <c r="I546" s="677">
        <f t="shared" si="262"/>
        <v>73.610014480470156</v>
      </c>
      <c r="J546" s="678">
        <f t="shared" si="263"/>
        <v>1.5572108008470165</v>
      </c>
      <c r="K546" s="678">
        <f t="shared" si="264"/>
        <v>1.0066645561185379</v>
      </c>
      <c r="L546" s="679">
        <f t="shared" si="265"/>
        <v>0.11513254808057723</v>
      </c>
      <c r="M546" s="678">
        <f t="shared" si="266"/>
        <v>1.7012572183022676</v>
      </c>
      <c r="N546" s="679">
        <f t="shared" si="267"/>
        <v>-0.94245883507037376</v>
      </c>
      <c r="O546" s="677">
        <f t="shared" si="268"/>
        <v>7474805.9063031105</v>
      </c>
      <c r="P546" s="680">
        <f t="shared" si="269"/>
        <v>1.5707961930121586</v>
      </c>
      <c r="Q546" s="689">
        <f t="shared" si="291"/>
        <v>37.387405411750258</v>
      </c>
      <c r="R546" s="690">
        <f t="shared" si="292"/>
        <v>1.5440461615766203</v>
      </c>
      <c r="S546" s="677">
        <f t="shared" si="270"/>
        <v>1.030573046274581</v>
      </c>
      <c r="T546" s="680">
        <f t="shared" si="271"/>
        <v>0.24418810413697739</v>
      </c>
      <c r="U546" s="681">
        <f t="shared" si="283"/>
        <v>3.9130221119815976E-2</v>
      </c>
      <c r="V546" s="682">
        <f t="shared" si="284"/>
        <v>-0.36724075847595194</v>
      </c>
      <c r="W546" s="683">
        <f t="shared" si="272"/>
        <v>-57.729913468578459</v>
      </c>
      <c r="X546" s="684">
        <f t="shared" si="273"/>
        <v>-173.18886862666631</v>
      </c>
      <c r="Y546" s="687">
        <f t="shared" si="274"/>
        <v>6.8111313733336942</v>
      </c>
      <c r="AA546" s="170">
        <f t="shared" si="275"/>
        <v>83660.5</v>
      </c>
      <c r="AB546" s="170">
        <f t="shared" si="276"/>
        <v>6999079260.25</v>
      </c>
      <c r="AD546" s="686">
        <f t="shared" si="277"/>
        <v>-1.1736173473939469</v>
      </c>
      <c r="AE546" s="687">
        <f t="shared" si="278"/>
        <v>-15.523611695186769</v>
      </c>
      <c r="AG546" s="686">
        <f t="shared" si="279"/>
        <v>57.473026300283834</v>
      </c>
      <c r="AH546" s="687">
        <f t="shared" si="280"/>
        <v>-115.58256583168253</v>
      </c>
      <c r="AJ546" s="170">
        <f t="shared" si="281"/>
        <v>0</v>
      </c>
      <c r="AK546" s="170">
        <f t="shared" si="293"/>
        <v>0</v>
      </c>
      <c r="AM546" s="170" t="str">
        <f t="shared" si="285"/>
        <v>0.140406957372625+0.510979256982719i</v>
      </c>
      <c r="AN546" s="170" t="str">
        <f t="shared" si="286"/>
        <v>13.1026942293992i</v>
      </c>
      <c r="AO546" s="170" t="str">
        <f t="shared" si="287"/>
        <v>0.0389980295683164-0.0107158844520379i</v>
      </c>
      <c r="AP546" s="170" t="str">
        <f t="shared" si="288"/>
        <v>0.143265507104563-0.0851632094971198i</v>
      </c>
      <c r="AQ546" s="170" t="str">
        <f t="shared" si="289"/>
        <v>0.856734492895437+0.0851632094971198i</v>
      </c>
      <c r="AR546" s="170" t="str">
        <f t="shared" si="290"/>
        <v>0.962783067201618-0.0957049082677451i</v>
      </c>
    </row>
    <row r="547" spans="7:44">
      <c r="G547" s="688">
        <v>84145</v>
      </c>
      <c r="H547" s="676">
        <f t="shared" si="282"/>
        <v>84.144999999999996</v>
      </c>
      <c r="I547" s="677">
        <f t="shared" si="262"/>
        <v>74.036231022048625</v>
      </c>
      <c r="J547" s="678">
        <f t="shared" si="263"/>
        <v>1.557289015648027</v>
      </c>
      <c r="K547" s="678">
        <f t="shared" si="264"/>
        <v>1.006741712820117</v>
      </c>
      <c r="L547" s="679">
        <f t="shared" si="265"/>
        <v>0.11579338381714521</v>
      </c>
      <c r="M547" s="678">
        <f t="shared" si="266"/>
        <v>1.7077119659892073</v>
      </c>
      <c r="N547" s="679">
        <f t="shared" si="267"/>
        <v>-0.94520237263196505</v>
      </c>
      <c r="O547" s="677">
        <f t="shared" si="268"/>
        <v>7518094.4769141367</v>
      </c>
      <c r="P547" s="680">
        <f t="shared" si="269"/>
        <v>1.5707961937824686</v>
      </c>
      <c r="Q547" s="689">
        <f t="shared" si="291"/>
        <v>37.60377127490203</v>
      </c>
      <c r="R547" s="690">
        <f t="shared" si="292"/>
        <v>1.5442001139973101</v>
      </c>
      <c r="S547" s="677">
        <f t="shared" si="270"/>
        <v>1.0309228576398084</v>
      </c>
      <c r="T547" s="680">
        <f t="shared" si="271"/>
        <v>0.24554625237904687</v>
      </c>
      <c r="U547" s="681">
        <f t="shared" si="283"/>
        <v>4.384308286099111E-2</v>
      </c>
      <c r="V547" s="682">
        <f t="shared" si="284"/>
        <v>-0.41655714144596512</v>
      </c>
      <c r="W547" s="683">
        <f t="shared" si="272"/>
        <v>-56.761710734057658</v>
      </c>
      <c r="X547" s="684">
        <f t="shared" si="273"/>
        <v>-176.20729602010721</v>
      </c>
      <c r="Y547" s="687">
        <f t="shared" si="274"/>
        <v>3.7927039798927922</v>
      </c>
      <c r="AA547" s="170">
        <f t="shared" si="275"/>
        <v>84145</v>
      </c>
      <c r="AB547" s="170">
        <f t="shared" si="276"/>
        <v>7080381025</v>
      </c>
      <c r="AD547" s="686">
        <f t="shared" si="277"/>
        <v>-1.1766008082121919</v>
      </c>
      <c r="AE547" s="687">
        <f t="shared" si="278"/>
        <v>-15.592607077673472</v>
      </c>
      <c r="AG547" s="686">
        <f t="shared" si="279"/>
        <v>56.468661205226866</v>
      </c>
      <c r="AH547" s="687">
        <f t="shared" si="280"/>
        <v>-112.88075662611404</v>
      </c>
      <c r="AJ547" s="170">
        <f t="shared" si="281"/>
        <v>0</v>
      </c>
      <c r="AK547" s="170">
        <f t="shared" si="293"/>
        <v>0</v>
      </c>
      <c r="AM547" s="170" t="str">
        <f t="shared" si="285"/>
        <v>0.181617014207999+0.574673201538204i</v>
      </c>
      <c r="AN547" s="170" t="str">
        <f t="shared" si="286"/>
        <v>13.178575384235i</v>
      </c>
      <c r="AO547" s="170" t="str">
        <f t="shared" si="287"/>
        <v>0.0436066255101946-0.0137812327139138i</v>
      </c>
      <c r="AP547" s="170" t="str">
        <f t="shared" si="288"/>
        <v>0.136397164298667-0.095778866923034i</v>
      </c>
      <c r="AQ547" s="170" t="str">
        <f t="shared" si="289"/>
        <v>0.863602835701333+0.095778866923034i</v>
      </c>
      <c r="AR547" s="170" t="str">
        <f t="shared" si="290"/>
        <v>0.952843619181479-0.105676218774723i</v>
      </c>
    </row>
    <row r="548" spans="7:44">
      <c r="G548" s="688">
        <v>84629.5</v>
      </c>
      <c r="H548" s="676">
        <f t="shared" si="282"/>
        <v>84.629499999999993</v>
      </c>
      <c r="I548" s="677">
        <f t="shared" si="262"/>
        <v>74.462448011362881</v>
      </c>
      <c r="J548" s="678">
        <f t="shared" si="263"/>
        <v>1.5573663350592015</v>
      </c>
      <c r="K548" s="678">
        <f t="shared" si="264"/>
        <v>1.0068193091022033</v>
      </c>
      <c r="L548" s="679">
        <f t="shared" si="265"/>
        <v>0.11645411798005852</v>
      </c>
      <c r="M548" s="678">
        <f t="shared" si="266"/>
        <v>1.7141794707619735</v>
      </c>
      <c r="N548" s="679">
        <f t="shared" si="267"/>
        <v>-0.94792522812755564</v>
      </c>
      <c r="O548" s="677">
        <f t="shared" si="268"/>
        <v>7561383.0475251637</v>
      </c>
      <c r="P548" s="680">
        <f t="shared" si="269"/>
        <v>1.5707961945439588</v>
      </c>
      <c r="Q548" s="689">
        <f t="shared" si="291"/>
        <v>37.8201380191162</v>
      </c>
      <c r="R548" s="690">
        <f t="shared" si="292"/>
        <v>1.5443523049164183</v>
      </c>
      <c r="S548" s="677">
        <f t="shared" si="270"/>
        <v>1.031274569318849</v>
      </c>
      <c r="T548" s="680">
        <f t="shared" si="271"/>
        <v>0.24690347674215835</v>
      </c>
      <c r="U548" s="681">
        <f t="shared" si="283"/>
        <v>4.8305540104630278E-2</v>
      </c>
      <c r="V548" s="682">
        <f t="shared" si="284"/>
        <v>-0.46493412827940966</v>
      </c>
      <c r="W548" s="683">
        <f t="shared" si="272"/>
        <v>-55.939148773343128</v>
      </c>
      <c r="X548" s="684">
        <f t="shared" si="273"/>
        <v>-179.17071749389441</v>
      </c>
      <c r="Y548" s="687">
        <f t="shared" si="274"/>
        <v>0.82928250610558507</v>
      </c>
      <c r="AA548" s="170">
        <f t="shared" si="275"/>
        <v>84629.5</v>
      </c>
      <c r="AB548" s="170">
        <f t="shared" si="276"/>
        <v>7162152270.25</v>
      </c>
      <c r="AD548" s="686">
        <f t="shared" si="277"/>
        <v>-1.1795986636390867</v>
      </c>
      <c r="AE548" s="687">
        <f t="shared" si="278"/>
        <v>-15.66165045189604</v>
      </c>
      <c r="AG548" s="686">
        <f t="shared" si="279"/>
        <v>55.610386700834539</v>
      </c>
      <c r="AH548" s="687">
        <f t="shared" si="280"/>
        <v>-110.23154037711159</v>
      </c>
      <c r="AJ548" s="170">
        <f t="shared" si="281"/>
        <v>0</v>
      </c>
      <c r="AK548" s="170">
        <f t="shared" si="293"/>
        <v>0</v>
      </c>
      <c r="AM548" s="170" t="str">
        <f t="shared" si="285"/>
        <v>0.227537018456724+0.635059794149552i</v>
      </c>
      <c r="AN548" s="170" t="str">
        <f t="shared" si="286"/>
        <v>13.2544565390708i</v>
      </c>
      <c r="AO548" s="170" t="str">
        <f t="shared" si="287"/>
        <v>0.0479129259111874-0.0171668312303867i</v>
      </c>
      <c r="AP548" s="170" t="str">
        <f t="shared" si="288"/>
        <v>0.128743830257213-0.105843299024925i</v>
      </c>
      <c r="AQ548" s="170" t="str">
        <f t="shared" si="289"/>
        <v>0.871256169742787+0.105843299024925i</v>
      </c>
      <c r="AR548" s="170" t="str">
        <f t="shared" si="290"/>
        <v>0.942185772776331-0.114460079536006i</v>
      </c>
    </row>
    <row r="549" spans="7:44">
      <c r="G549" s="688">
        <v>85114</v>
      </c>
      <c r="H549" s="676">
        <f t="shared" si="282"/>
        <v>85.114000000000004</v>
      </c>
      <c r="I549" s="677">
        <f t="shared" si="262"/>
        <v>74.888665440768236</v>
      </c>
      <c r="J549" s="678">
        <f t="shared" si="263"/>
        <v>1.5574427743675316</v>
      </c>
      <c r="K549" s="678">
        <f t="shared" si="264"/>
        <v>1.0068973448631675</v>
      </c>
      <c r="L549" s="679">
        <f t="shared" si="265"/>
        <v>0.11711475001595442</v>
      </c>
      <c r="M549" s="678">
        <f t="shared" si="266"/>
        <v>1.7206595887690272</v>
      </c>
      <c r="N549" s="679">
        <f t="shared" si="267"/>
        <v>-0.95062759462449986</v>
      </c>
      <c r="O549" s="677">
        <f t="shared" si="268"/>
        <v>7604671.6181361899</v>
      </c>
      <c r="P549" s="680">
        <f t="shared" si="269"/>
        <v>1.5707961952967793</v>
      </c>
      <c r="Q549" s="689">
        <f t="shared" si="291"/>
        <v>38.036505629357279</v>
      </c>
      <c r="R549" s="690">
        <f t="shared" si="292"/>
        <v>1.5445027643873153</v>
      </c>
      <c r="S549" s="677">
        <f t="shared" si="270"/>
        <v>1.0316281793680884</v>
      </c>
      <c r="T549" s="680">
        <f t="shared" si="271"/>
        <v>0.24825977317363729</v>
      </c>
      <c r="U549" s="681">
        <f t="shared" si="283"/>
        <v>5.251170887646732E-2</v>
      </c>
      <c r="V549" s="682">
        <f t="shared" si="284"/>
        <v>-0.51231374503343963</v>
      </c>
      <c r="W549" s="683">
        <f t="shared" si="272"/>
        <v>-55.233105865113686</v>
      </c>
      <c r="X549" s="684">
        <f t="shared" si="273"/>
        <v>-182.07582140118365</v>
      </c>
      <c r="Y549" s="687">
        <f t="shared" si="274"/>
        <v>-2.0758214011836458</v>
      </c>
      <c r="AA549" s="170">
        <f t="shared" si="275"/>
        <v>85114</v>
      </c>
      <c r="AB549" s="170">
        <f t="shared" si="276"/>
        <v>7244392996</v>
      </c>
      <c r="AD549" s="686">
        <f t="shared" si="277"/>
        <v>-1.1826108954758761</v>
      </c>
      <c r="AE549" s="687">
        <f t="shared" si="278"/>
        <v>-15.730739863730658</v>
      </c>
      <c r="AG549" s="686">
        <f t="shared" si="279"/>
        <v>54.869073467312234</v>
      </c>
      <c r="AH549" s="687">
        <f t="shared" si="280"/>
        <v>-107.63825071645577</v>
      </c>
      <c r="AJ549" s="170">
        <f t="shared" si="281"/>
        <v>0</v>
      </c>
      <c r="AK549" s="170">
        <f t="shared" si="293"/>
        <v>0</v>
      </c>
      <c r="AM549" s="170" t="str">
        <f t="shared" si="285"/>
        <v>0.277902691890964+0.691791498662483i</v>
      </c>
      <c r="AN549" s="170" t="str">
        <f t="shared" si="286"/>
        <v>13.3303376939067i</v>
      </c>
      <c r="AO549" s="170" t="str">
        <f t="shared" si="287"/>
        <v>0.0518960220324127-0.0208473857356212i</v>
      </c>
      <c r="AP549" s="170" t="str">
        <f t="shared" si="288"/>
        <v>0.120349551351506-0.115298583110414i</v>
      </c>
      <c r="AQ549" s="170" t="str">
        <f t="shared" si="289"/>
        <v>0.879650448648494+0.115298583110414i</v>
      </c>
      <c r="AR549" s="170" t="str">
        <f t="shared" si="290"/>
        <v>0.930972781919915-0.122025564625864i</v>
      </c>
    </row>
    <row r="550" spans="7:44">
      <c r="G550" s="688">
        <v>85609.5</v>
      </c>
      <c r="H550" s="676">
        <f t="shared" si="282"/>
        <v>85.609499999999997</v>
      </c>
      <c r="I550" s="677">
        <f t="shared" si="262"/>
        <v>75.324560080683398</v>
      </c>
      <c r="J550" s="678">
        <f t="shared" si="263"/>
        <v>1.5575200544064352</v>
      </c>
      <c r="K550" s="678">
        <f t="shared" si="264"/>
        <v>1.0069776067863125</v>
      </c>
      <c r="L550" s="679">
        <f t="shared" si="265"/>
        <v>0.1177902747141247</v>
      </c>
      <c r="M550" s="678">
        <f t="shared" si="266"/>
        <v>1.7272997282933817</v>
      </c>
      <c r="N550" s="679">
        <f t="shared" si="267"/>
        <v>-0.95337032253677134</v>
      </c>
      <c r="O550" s="677">
        <f t="shared" si="268"/>
        <v>7648943.0045918431</v>
      </c>
      <c r="P550" s="680">
        <f t="shared" si="269"/>
        <v>1.5707961960578785</v>
      </c>
      <c r="Q550" s="689">
        <f t="shared" si="291"/>
        <v>38.257786490952896</v>
      </c>
      <c r="R550" s="690">
        <f t="shared" si="292"/>
        <v>1.5446548796101629</v>
      </c>
      <c r="S550" s="677">
        <f t="shared" si="270"/>
        <v>1.0319917791917905</v>
      </c>
      <c r="T550" s="680">
        <f t="shared" si="271"/>
        <v>0.24964589873743437</v>
      </c>
      <c r="U550" s="681">
        <f t="shared" si="283"/>
        <v>5.6545715356333376E-2</v>
      </c>
      <c r="V550" s="682">
        <f t="shared" si="284"/>
        <v>-0.5596923636047848</v>
      </c>
      <c r="W550" s="683">
        <f t="shared" si="272"/>
        <v>-54.609593312681625</v>
      </c>
      <c r="X550" s="684">
        <f t="shared" si="273"/>
        <v>-184.98398975545825</v>
      </c>
      <c r="Y550" s="687">
        <f t="shared" si="274"/>
        <v>-4.9839897554582535</v>
      </c>
      <c r="AA550" s="170">
        <f t="shared" si="275"/>
        <v>85609.5</v>
      </c>
      <c r="AB550" s="170">
        <f t="shared" si="276"/>
        <v>7328986490.25</v>
      </c>
      <c r="AD550" s="686">
        <f t="shared" si="277"/>
        <v>-1.1857063667009617</v>
      </c>
      <c r="AE550" s="687">
        <f t="shared" si="278"/>
        <v>-15.801443491831119</v>
      </c>
      <c r="AG550" s="686">
        <f t="shared" si="279"/>
        <v>54.209939450563489</v>
      </c>
      <c r="AH550" s="687">
        <f t="shared" si="280"/>
        <v>-105.04652566982973</v>
      </c>
      <c r="AJ550" s="170">
        <f t="shared" si="281"/>
        <v>0</v>
      </c>
      <c r="AK550" s="170">
        <f t="shared" si="293"/>
        <v>0</v>
      </c>
      <c r="AM550" s="170" t="str">
        <f t="shared" si="285"/>
        <v>0.33370785132342+0.745690802284665i</v>
      </c>
      <c r="AN550" s="170" t="str">
        <f t="shared" si="286"/>
        <v>13.4079416406996i</v>
      </c>
      <c r="AO550" s="170" t="str">
        <f t="shared" si="287"/>
        <v>0.0556156062032021-0.0248888203921216i</v>
      </c>
      <c r="AP550" s="170" t="str">
        <f t="shared" si="288"/>
        <v>0.111048691446097-0.124281800380778i</v>
      </c>
      <c r="AQ550" s="170" t="str">
        <f t="shared" si="289"/>
        <v>0.888951308553903+0.124281800380778i</v>
      </c>
      <c r="AR550" s="170" t="str">
        <f t="shared" si="290"/>
        <v>0.919094525231137-0.128496039340625i</v>
      </c>
    </row>
    <row r="551" spans="7:44">
      <c r="G551" s="688">
        <v>86105</v>
      </c>
      <c r="H551" s="676">
        <f t="shared" si="282"/>
        <v>86.105000000000004</v>
      </c>
      <c r="I551" s="677">
        <f t="shared" si="262"/>
        <v>75.760455165275673</v>
      </c>
      <c r="J551" s="678">
        <f t="shared" si="263"/>
        <v>1.5575964451694781</v>
      </c>
      <c r="K551" s="678">
        <f t="shared" si="264"/>
        <v>1.0070583281538232</v>
      </c>
      <c r="L551" s="679">
        <f t="shared" si="265"/>
        <v>0.11846569142629028</v>
      </c>
      <c r="M551" s="678">
        <f t="shared" si="266"/>
        <v>1.7339527619522639</v>
      </c>
      <c r="N551" s="679">
        <f t="shared" si="267"/>
        <v>-0.95609202355124789</v>
      </c>
      <c r="O551" s="677">
        <f t="shared" si="268"/>
        <v>7693214.3910474963</v>
      </c>
      <c r="P551" s="680">
        <f t="shared" si="269"/>
        <v>1.570796196810218</v>
      </c>
      <c r="Q551" s="689">
        <f t="shared" si="291"/>
        <v>38.479068227615421</v>
      </c>
      <c r="R551" s="690">
        <f t="shared" si="292"/>
        <v>1.5448052452971754</v>
      </c>
      <c r="S551" s="677">
        <f t="shared" si="270"/>
        <v>1.0323573604278593</v>
      </c>
      <c r="T551" s="680">
        <f t="shared" si="271"/>
        <v>0.25103104524379166</v>
      </c>
      <c r="U551" s="681">
        <f t="shared" si="283"/>
        <v>6.0309685239613338E-2</v>
      </c>
      <c r="V551" s="682">
        <f t="shared" si="284"/>
        <v>-0.60595112892912784</v>
      </c>
      <c r="W551" s="683">
        <f t="shared" si="272"/>
        <v>-54.068988629415344</v>
      </c>
      <c r="X551" s="684">
        <f t="shared" si="273"/>
        <v>-187.82678987247803</v>
      </c>
      <c r="Y551" s="687">
        <f t="shared" si="274"/>
        <v>-7.8267898724780309</v>
      </c>
      <c r="AA551" s="170">
        <f t="shared" si="275"/>
        <v>86105</v>
      </c>
      <c r="AB551" s="170">
        <f t="shared" si="276"/>
        <v>7414071025</v>
      </c>
      <c r="AD551" s="686">
        <f t="shared" si="277"/>
        <v>-1.1888168344564516</v>
      </c>
      <c r="AE551" s="687">
        <f t="shared" si="278"/>
        <v>-15.872191264589997</v>
      </c>
      <c r="AG551" s="686">
        <f t="shared" si="279"/>
        <v>53.634160233924419</v>
      </c>
      <c r="AH551" s="687">
        <f t="shared" si="280"/>
        <v>-102.51771397089161</v>
      </c>
      <c r="AJ551" s="170">
        <f t="shared" si="281"/>
        <v>0</v>
      </c>
      <c r="AK551" s="170">
        <f t="shared" si="293"/>
        <v>0</v>
      </c>
      <c r="AM551" s="170" t="str">
        <f t="shared" si="285"/>
        <v>0.393523656900891+0.795101531416669i</v>
      </c>
      <c r="AN551" s="170" t="str">
        <f t="shared" si="286"/>
        <v>13.4855455874925i</v>
      </c>
      <c r="AO551" s="170" t="str">
        <f t="shared" si="287"/>
        <v>0.0589595375476766-0.0291811446817453i</v>
      </c>
      <c r="AP551" s="170" t="str">
        <f t="shared" si="288"/>
        <v>0.101079390516518-0.132516921902778i</v>
      </c>
      <c r="AQ551" s="170" t="str">
        <f t="shared" si="289"/>
        <v>0.898920609483482+0.132516921902778i</v>
      </c>
      <c r="AR551" s="170" t="str">
        <f t="shared" si="290"/>
        <v>0.906956926442002-0.133701618277011i</v>
      </c>
    </row>
    <row r="552" spans="7:44">
      <c r="G552" s="688">
        <v>86600.5</v>
      </c>
      <c r="H552" s="676">
        <f t="shared" si="282"/>
        <v>86.600499999999997</v>
      </c>
      <c r="I552" s="677">
        <f t="shared" si="262"/>
        <v>76.19635068691349</v>
      </c>
      <c r="J552" s="678">
        <f t="shared" si="263"/>
        <v>1.5576719619175694</v>
      </c>
      <c r="K552" s="678">
        <f t="shared" si="264"/>
        <v>1.0071395088552271</v>
      </c>
      <c r="L552" s="679">
        <f t="shared" si="265"/>
        <v>0.11914099956225688</v>
      </c>
      <c r="M552" s="678">
        <f t="shared" si="266"/>
        <v>1.7406185418928755</v>
      </c>
      <c r="N552" s="679">
        <f t="shared" si="267"/>
        <v>-0.95879289868337436</v>
      </c>
      <c r="O552" s="677">
        <f t="shared" si="268"/>
        <v>7737485.7775031487</v>
      </c>
      <c r="P552" s="680">
        <f t="shared" si="269"/>
        <v>1.5707961975539482</v>
      </c>
      <c r="Q552" s="689">
        <f t="shared" si="291"/>
        <v>38.700350824334436</v>
      </c>
      <c r="R552" s="690">
        <f t="shared" si="292"/>
        <v>1.544953891452217</v>
      </c>
      <c r="S552" s="677">
        <f t="shared" si="270"/>
        <v>1.0327249209720544</v>
      </c>
      <c r="T552" s="680">
        <f t="shared" si="271"/>
        <v>0.25241520842012205</v>
      </c>
      <c r="U552" s="681">
        <f t="shared" si="283"/>
        <v>6.3807091447119033E-2</v>
      </c>
      <c r="V552" s="682">
        <f t="shared" si="284"/>
        <v>-0.65107268161865905</v>
      </c>
      <c r="W552" s="683">
        <f t="shared" si="272"/>
        <v>-53.598281246074805</v>
      </c>
      <c r="X552" s="684">
        <f t="shared" si="273"/>
        <v>-190.60323759423611</v>
      </c>
      <c r="Y552" s="687">
        <f t="shared" si="274"/>
        <v>-10.603237594236106</v>
      </c>
      <c r="AA552" s="170">
        <f t="shared" si="275"/>
        <v>86600.5</v>
      </c>
      <c r="AB552" s="170">
        <f t="shared" si="276"/>
        <v>7499646600.25</v>
      </c>
      <c r="AD552" s="686">
        <f t="shared" si="277"/>
        <v>-1.1919422776967874</v>
      </c>
      <c r="AE552" s="687">
        <f t="shared" si="278"/>
        <v>-15.942981218119922</v>
      </c>
      <c r="AG552" s="686">
        <f t="shared" si="279"/>
        <v>53.128717599262899</v>
      </c>
      <c r="AH552" s="687">
        <f t="shared" si="280"/>
        <v>-100.05282266483688</v>
      </c>
      <c r="AJ552" s="170">
        <f t="shared" si="281"/>
        <v>0</v>
      </c>
      <c r="AK552" s="170">
        <f t="shared" si="293"/>
        <v>0</v>
      </c>
      <c r="AM552" s="170" t="str">
        <f t="shared" si="285"/>
        <v>0.456990056309197+0.839726265549025i</v>
      </c>
      <c r="AN552" s="170" t="str">
        <f t="shared" si="286"/>
        <v>13.5631495342854i</v>
      </c>
      <c r="AO552" s="170" t="str">
        <f t="shared" si="287"/>
        <v>0.06191233558447-0.0336935057122243i</v>
      </c>
      <c r="AP552" s="170" t="str">
        <f t="shared" si="288"/>
        <v>0.0905016572818005-0.139954377591504i</v>
      </c>
      <c r="AQ552" s="170" t="str">
        <f t="shared" si="289"/>
        <v>0.9094983427182+0.139954377591504i</v>
      </c>
      <c r="AR552" s="170" t="str">
        <f t="shared" si="290"/>
        <v>0.894703551413826-0.13767774253749i</v>
      </c>
    </row>
    <row r="553" spans="7:44">
      <c r="G553" s="688">
        <v>87096</v>
      </c>
      <c r="H553" s="676">
        <f t="shared" si="282"/>
        <v>87.096000000000004</v>
      </c>
      <c r="I553" s="677">
        <f t="shared" si="262"/>
        <v>76.632246638138952</v>
      </c>
      <c r="J553" s="678">
        <f t="shared" si="263"/>
        <v>1.5577466195644332</v>
      </c>
      <c r="K553" s="678">
        <f t="shared" si="264"/>
        <v>1.0072211487794591</v>
      </c>
      <c r="L553" s="679">
        <f t="shared" si="265"/>
        <v>0.11981619853241611</v>
      </c>
      <c r="M553" s="678">
        <f t="shared" si="266"/>
        <v>1.7472969222374821</v>
      </c>
      <c r="N553" s="679">
        <f t="shared" si="267"/>
        <v>-0.96147314709954323</v>
      </c>
      <c r="O553" s="677">
        <f t="shared" si="268"/>
        <v>7781757.163958801</v>
      </c>
      <c r="P553" s="680">
        <f t="shared" si="269"/>
        <v>1.570796198289216</v>
      </c>
      <c r="Q553" s="689">
        <f t="shared" si="291"/>
        <v>38.921634266440805</v>
      </c>
      <c r="R553" s="690">
        <f t="shared" si="292"/>
        <v>1.5451008473971288</v>
      </c>
      <c r="S553" s="677">
        <f t="shared" si="270"/>
        <v>1.0330944587117457</v>
      </c>
      <c r="T553" s="680">
        <f t="shared" si="271"/>
        <v>0.25379838401497407</v>
      </c>
      <c r="U553" s="681">
        <f t="shared" si="283"/>
        <v>6.7043789259471756E-2</v>
      </c>
      <c r="V553" s="682">
        <f t="shared" si="284"/>
        <v>-0.69505233072412143</v>
      </c>
      <c r="W553" s="683">
        <f t="shared" si="272"/>
        <v>-53.187211098987426</v>
      </c>
      <c r="X553" s="684">
        <f t="shared" si="273"/>
        <v>-193.31307452520738</v>
      </c>
      <c r="Y553" s="687">
        <f t="shared" si="274"/>
        <v>-13.313074525207384</v>
      </c>
      <c r="AA553" s="170">
        <f t="shared" si="275"/>
        <v>87096</v>
      </c>
      <c r="AB553" s="170">
        <f t="shared" si="276"/>
        <v>7585713216</v>
      </c>
      <c r="AD553" s="686">
        <f t="shared" si="277"/>
        <v>-1.1950826748741763</v>
      </c>
      <c r="AE553" s="687">
        <f t="shared" si="278"/>
        <v>-16.013811428821306</v>
      </c>
      <c r="AG553" s="686">
        <f t="shared" si="279"/>
        <v>52.683343988115432</v>
      </c>
      <c r="AH553" s="687">
        <f t="shared" si="280"/>
        <v>-97.652132822929474</v>
      </c>
      <c r="AJ553" s="170">
        <f t="shared" si="281"/>
        <v>0</v>
      </c>
      <c r="AK553" s="170">
        <f t="shared" si="293"/>
        <v>0</v>
      </c>
      <c r="AM553" s="170" t="str">
        <f t="shared" si="285"/>
        <v>0.523725023029446+0.879296392754854i</v>
      </c>
      <c r="AN553" s="170" t="str">
        <f t="shared" si="286"/>
        <v>13.6407534810783i</v>
      </c>
      <c r="AO553" s="170" t="str">
        <f t="shared" si="287"/>
        <v>0.0644609840632752-0.0383941417720017i</v>
      </c>
      <c r="AP553" s="170" t="str">
        <f t="shared" si="288"/>
        <v>0.0793791628284257-0.146549398792476i</v>
      </c>
      <c r="AQ553" s="170" t="str">
        <f t="shared" si="289"/>
        <v>0.920620837171574+0.146549398792476i</v>
      </c>
      <c r="AR553" s="170" t="str">
        <f t="shared" si="290"/>
        <v>0.882462591018283-0.140475163008371i</v>
      </c>
    </row>
    <row r="554" spans="7:44">
      <c r="G554" s="688">
        <v>87603.25</v>
      </c>
      <c r="H554" s="676">
        <f t="shared" si="282"/>
        <v>87.603250000000003</v>
      </c>
      <c r="I554" s="677">
        <f t="shared" si="262"/>
        <v>77.078479610854856</v>
      </c>
      <c r="J554" s="678">
        <f t="shared" si="263"/>
        <v>1.5578221729146184</v>
      </c>
      <c r="K554" s="678">
        <f t="shared" si="264"/>
        <v>1.0073052002355503</v>
      </c>
      <c r="L554" s="679">
        <f t="shared" si="265"/>
        <v>0.12050729508537095</v>
      </c>
      <c r="M554" s="678">
        <f t="shared" si="266"/>
        <v>1.7541465717138882</v>
      </c>
      <c r="N554" s="679">
        <f t="shared" si="267"/>
        <v>-0.96419579316368187</v>
      </c>
      <c r="O554" s="677">
        <f t="shared" si="268"/>
        <v>7827078.3764303047</v>
      </c>
      <c r="P554" s="680">
        <f t="shared" si="269"/>
        <v>1.5707961990333039</v>
      </c>
      <c r="Q554" s="689">
        <f t="shared" si="291"/>
        <v>39.148165956651752</v>
      </c>
      <c r="R554" s="690">
        <f t="shared" si="292"/>
        <v>1.5452495672810456</v>
      </c>
      <c r="S554" s="677">
        <f t="shared" si="270"/>
        <v>1.0334748053214466</v>
      </c>
      <c r="T554" s="680">
        <f t="shared" si="271"/>
        <v>0.25521333203073882</v>
      </c>
      <c r="U554" s="681">
        <f t="shared" si="283"/>
        <v>7.0095302128710929E-2</v>
      </c>
      <c r="V554" s="682">
        <f t="shared" si="284"/>
        <v>-0.73889889423868726</v>
      </c>
      <c r="W554" s="683">
        <f t="shared" si="272"/>
        <v>-52.819557729349611</v>
      </c>
      <c r="X554" s="684">
        <f t="shared" si="273"/>
        <v>-196.01857523528091</v>
      </c>
      <c r="Y554" s="687">
        <f t="shared" si="274"/>
        <v>-16.018575235280906</v>
      </c>
      <c r="AA554" s="170">
        <f t="shared" si="275"/>
        <v>87603.25</v>
      </c>
      <c r="AB554" s="170">
        <f t="shared" si="276"/>
        <v>7674329410.5625</v>
      </c>
      <c r="AD554" s="686">
        <f t="shared" si="277"/>
        <v>-1.1983130086571094</v>
      </c>
      <c r="AE554" s="687">
        <f t="shared" si="278"/>
        <v>-16.08636099939293</v>
      </c>
      <c r="AG554" s="686">
        <f t="shared" si="279"/>
        <v>52.281013302576575</v>
      </c>
      <c r="AH554" s="687">
        <f t="shared" si="280"/>
        <v>-95.260637885616248</v>
      </c>
      <c r="AJ554" s="170">
        <f t="shared" si="281"/>
        <v>0</v>
      </c>
      <c r="AK554" s="170">
        <f t="shared" si="293"/>
        <v>0</v>
      </c>
      <c r="AM554" s="170" t="str">
        <f t="shared" si="285"/>
        <v>0.595008752206971+0.914320561516061i</v>
      </c>
      <c r="AN554" s="170" t="str">
        <f t="shared" si="286"/>
        <v>13.7201976829162i</v>
      </c>
      <c r="AO554" s="170" t="str">
        <f t="shared" si="287"/>
        <v>0.0666404801626535-0.0433673600015144i</v>
      </c>
      <c r="AP554" s="170" t="str">
        <f t="shared" si="288"/>
        <v>0.0674985412988382-0.152386760252677i</v>
      </c>
      <c r="AQ554" s="170" t="str">
        <f t="shared" si="289"/>
        <v>0.932501458701162+0.152386760252677i</v>
      </c>
      <c r="AR554" s="170" t="str">
        <f t="shared" si="290"/>
        <v>0.87006105675411-0.142182925746252i</v>
      </c>
    </row>
    <row r="555" spans="7:44">
      <c r="G555" s="688">
        <v>88110.5</v>
      </c>
      <c r="H555" s="676">
        <f t="shared" si="282"/>
        <v>88.110500000000002</v>
      </c>
      <c r="I555" s="677">
        <f t="shared" si="262"/>
        <v>77.524713018493387</v>
      </c>
      <c r="J555" s="678">
        <f t="shared" si="263"/>
        <v>1.5578968564927986</v>
      </c>
      <c r="K555" s="678">
        <f t="shared" si="264"/>
        <v>1.0073897327147405</v>
      </c>
      <c r="L555" s="679">
        <f t="shared" si="265"/>
        <v>0.12119827598517656</v>
      </c>
      <c r="M555" s="678">
        <f t="shared" si="266"/>
        <v>1.7610091231203675</v>
      </c>
      <c r="N555" s="679">
        <f t="shared" si="267"/>
        <v>-0.96689723913268821</v>
      </c>
      <c r="O555" s="677">
        <f t="shared" si="268"/>
        <v>7872399.5889018076</v>
      </c>
      <c r="P555" s="680">
        <f t="shared" si="269"/>
        <v>1.5707961997688242</v>
      </c>
      <c r="Q555" s="689">
        <f t="shared" si="291"/>
        <v>39.37469850276328</v>
      </c>
      <c r="R555" s="690">
        <f t="shared" si="292"/>
        <v>1.5453965759223705</v>
      </c>
      <c r="S555" s="677">
        <f t="shared" si="270"/>
        <v>1.0338572195033835</v>
      </c>
      <c r="T555" s="680">
        <f t="shared" si="271"/>
        <v>0.25662723612325411</v>
      </c>
      <c r="U555" s="681">
        <f t="shared" si="283"/>
        <v>7.2891654111058801E-2</v>
      </c>
      <c r="V555" s="682">
        <f t="shared" si="284"/>
        <v>-0.78157306940987059</v>
      </c>
      <c r="W555" s="683">
        <f t="shared" si="272"/>
        <v>-52.498522946653139</v>
      </c>
      <c r="X555" s="684">
        <f t="shared" si="273"/>
        <v>-198.65568339153708</v>
      </c>
      <c r="Y555" s="687">
        <f t="shared" si="274"/>
        <v>-18.655683391537082</v>
      </c>
      <c r="AA555" s="170">
        <f t="shared" si="275"/>
        <v>88110.5</v>
      </c>
      <c r="AB555" s="170">
        <f t="shared" si="276"/>
        <v>7763460210.25</v>
      </c>
      <c r="AD555" s="686">
        <f t="shared" si="277"/>
        <v>-1.201558966753153</v>
      </c>
      <c r="AE555" s="687">
        <f t="shared" si="278"/>
        <v>-16.158948804055623</v>
      </c>
      <c r="AG555" s="686">
        <f t="shared" si="279"/>
        <v>51.925738296733293</v>
      </c>
      <c r="AH555" s="687">
        <f t="shared" si="280"/>
        <v>-92.935057968600461</v>
      </c>
      <c r="AJ555" s="170">
        <f t="shared" si="281"/>
        <v>0</v>
      </c>
      <c r="AK555" s="170">
        <f t="shared" si="293"/>
        <v>0</v>
      </c>
      <c r="AM555" s="170" t="str">
        <f t="shared" si="285"/>
        <v>0.668847191464482+0.943577139082459i</v>
      </c>
      <c r="AN555" s="170" t="str">
        <f t="shared" si="286"/>
        <v>13.7996418847542i</v>
      </c>
      <c r="AO555" s="170" t="str">
        <f t="shared" si="287"/>
        <v>0.0683769294132857-0.048468445561868i</v>
      </c>
      <c r="AP555" s="170" t="str">
        <f t="shared" si="288"/>
        <v>0.0551921347559197-0.157262856513743i</v>
      </c>
      <c r="AQ555" s="170" t="str">
        <f t="shared" si="289"/>
        <v>0.94480786524408+0.157262856513743i</v>
      </c>
      <c r="AR555" s="170" t="str">
        <f t="shared" si="290"/>
        <v>0.857892436186907-0.14279582130853i</v>
      </c>
    </row>
    <row r="556" spans="7:44">
      <c r="G556" s="688">
        <v>88617.75</v>
      </c>
      <c r="H556" s="676">
        <f t="shared" si="282"/>
        <v>88.617750000000001</v>
      </c>
      <c r="I556" s="677">
        <f t="shared" si="262"/>
        <v>77.970946853587236</v>
      </c>
      <c r="J556" s="678">
        <f t="shared" si="263"/>
        <v>1.557970685231453</v>
      </c>
      <c r="K556" s="678">
        <f t="shared" si="264"/>
        <v>1.0074747460959483</v>
      </c>
      <c r="L556" s="679">
        <f t="shared" si="265"/>
        <v>0.12188914060120407</v>
      </c>
      <c r="M556" s="678">
        <f t="shared" si="266"/>
        <v>1.767884426209279</v>
      </c>
      <c r="N556" s="679">
        <f t="shared" si="267"/>
        <v>-0.96957769268820382</v>
      </c>
      <c r="O556" s="677">
        <f t="shared" si="268"/>
        <v>7917720.8013733104</v>
      </c>
      <c r="P556" s="680">
        <f t="shared" si="269"/>
        <v>1.5707962004959244</v>
      </c>
      <c r="Q556" s="689">
        <f t="shared" si="291"/>
        <v>39.601231890087277</v>
      </c>
      <c r="R556" s="690">
        <f t="shared" si="292"/>
        <v>1.5455419026814761</v>
      </c>
      <c r="S556" s="677">
        <f t="shared" si="270"/>
        <v>1.0342416989640815</v>
      </c>
      <c r="T556" s="680">
        <f t="shared" si="271"/>
        <v>0.25804009180050752</v>
      </c>
      <c r="U556" s="681">
        <f t="shared" si="283"/>
        <v>7.5443909878734006E-2</v>
      </c>
      <c r="V556" s="682">
        <f t="shared" si="284"/>
        <v>-0.8231012769140148</v>
      </c>
      <c r="W556" s="683">
        <f t="shared" si="272"/>
        <v>-52.218131432758277</v>
      </c>
      <c r="X556" s="684">
        <f t="shared" si="273"/>
        <v>-201.22592363861563</v>
      </c>
      <c r="Y556" s="687">
        <f t="shared" si="274"/>
        <v>-21.225923638615626</v>
      </c>
      <c r="AA556" s="170">
        <f t="shared" si="275"/>
        <v>88617.75</v>
      </c>
      <c r="AB556" s="170">
        <f t="shared" si="276"/>
        <v>7853105615.0625</v>
      </c>
      <c r="AD556" s="686">
        <f t="shared" si="277"/>
        <v>-1.2048205245005712</v>
      </c>
      <c r="AE556" s="687">
        <f t="shared" si="278"/>
        <v>-16.231572903219021</v>
      </c>
      <c r="AG556" s="686">
        <f t="shared" si="279"/>
        <v>51.61153609066691</v>
      </c>
      <c r="AH556" s="687">
        <f t="shared" si="280"/>
        <v>-90.67389206961596</v>
      </c>
      <c r="AJ556" s="170">
        <f t="shared" si="281"/>
        <v>0</v>
      </c>
      <c r="AK556" s="170">
        <f t="shared" si="293"/>
        <v>0</v>
      </c>
      <c r="AM556" s="170" t="str">
        <f t="shared" si="285"/>
        <v>0.744774563316276+0.966881573135822i</v>
      </c>
      <c r="AN556" s="170" t="str">
        <f t="shared" si="286"/>
        <v>13.8790860865921i</v>
      </c>
      <c r="AO556" s="170" t="str">
        <f t="shared" si="287"/>
        <v>0.0696646426935761-0.0536616430411629i</v>
      </c>
      <c r="AP556" s="170" t="str">
        <f t="shared" si="288"/>
        <v>0.0425375727806207-0.16114692885597i</v>
      </c>
      <c r="AQ556" s="170" t="str">
        <f t="shared" si="289"/>
        <v>0.957462427219379+0.16114692885597i</v>
      </c>
      <c r="AR556" s="170" t="str">
        <f t="shared" si="290"/>
        <v>0.846042192540038-0.14239420486331i</v>
      </c>
    </row>
    <row r="557" spans="7:44">
      <c r="G557" s="688">
        <v>89125</v>
      </c>
      <c r="H557" s="676">
        <f t="shared" si="282"/>
        <v>89.125</v>
      </c>
      <c r="I557" s="677">
        <f t="shared" si="262"/>
        <v>78.417181108839102</v>
      </c>
      <c r="J557" s="678">
        <f t="shared" si="263"/>
        <v>1.5580436737232053</v>
      </c>
      <c r="K557" s="678">
        <f t="shared" si="264"/>
        <v>1.0075602402574453</v>
      </c>
      <c r="L557" s="679">
        <f t="shared" si="265"/>
        <v>0.12257988830348085</v>
      </c>
      <c r="M557" s="678">
        <f t="shared" si="266"/>
        <v>1.7747723327841314</v>
      </c>
      <c r="N557" s="679">
        <f t="shared" si="267"/>
        <v>-0.9722373595034004</v>
      </c>
      <c r="O557" s="677">
        <f t="shared" si="268"/>
        <v>7963042.0138448132</v>
      </c>
      <c r="P557" s="680">
        <f t="shared" si="269"/>
        <v>1.5707962012147481</v>
      </c>
      <c r="Q557" s="689">
        <f t="shared" si="291"/>
        <v>39.827766104269735</v>
      </c>
      <c r="R557" s="690">
        <f t="shared" si="292"/>
        <v>1.5456855762510338</v>
      </c>
      <c r="S557" s="677">
        <f t="shared" si="270"/>
        <v>1.0346282414010985</v>
      </c>
      <c r="T557" s="680">
        <f t="shared" si="271"/>
        <v>0.25945189459388834</v>
      </c>
      <c r="U557" s="681">
        <f t="shared" si="283"/>
        <v>7.7763881452106845E-2</v>
      </c>
      <c r="V557" s="682">
        <f t="shared" si="284"/>
        <v>-0.86351731632516804</v>
      </c>
      <c r="W557" s="683">
        <f t="shared" si="272"/>
        <v>-51.973389444966919</v>
      </c>
      <c r="X557" s="684">
        <f t="shared" si="273"/>
        <v>-203.73124330586307</v>
      </c>
      <c r="Y557" s="687">
        <f t="shared" si="274"/>
        <v>-23.731243305863075</v>
      </c>
      <c r="AA557" s="170">
        <f t="shared" si="275"/>
        <v>89125</v>
      </c>
      <c r="AB557" s="170">
        <f t="shared" si="276"/>
        <v>7943265625</v>
      </c>
      <c r="AD557" s="686">
        <f t="shared" si="277"/>
        <v>-1.2080976567458697</v>
      </c>
      <c r="AE557" s="687">
        <f t="shared" si="278"/>
        <v>-16.304231396889879</v>
      </c>
      <c r="AG557" s="686">
        <f t="shared" si="279"/>
        <v>51.33340553399276</v>
      </c>
      <c r="AH557" s="687">
        <f t="shared" si="280"/>
        <v>-88.475216272113499</v>
      </c>
      <c r="AJ557" s="170">
        <f t="shared" si="281"/>
        <v>0</v>
      </c>
      <c r="AK557" s="170">
        <f t="shared" si="293"/>
        <v>0</v>
      </c>
      <c r="AM557" s="170" t="str">
        <f t="shared" si="285"/>
        <v>0.822311913159679+0.984086857850986i</v>
      </c>
      <c r="AN557" s="170" t="str">
        <f t="shared" si="286"/>
        <v>13.95853028843i</v>
      </c>
      <c r="AO557" s="170" t="str">
        <f t="shared" si="287"/>
        <v>0.0705007502592647-0.0589110670083426i</v>
      </c>
      <c r="AP557" s="170" t="str">
        <f t="shared" si="288"/>
        <v>0.0296146811400535-0.164014476308498i</v>
      </c>
      <c r="AQ557" s="170" t="str">
        <f t="shared" si="289"/>
        <v>0.970385318859946+0.164014476308498i</v>
      </c>
      <c r="AR557" s="170" t="str">
        <f t="shared" si="290"/>
        <v>0.834579828613926-0.141060639384534i</v>
      </c>
    </row>
    <row r="558" spans="7:44">
      <c r="G558" s="688">
        <v>89644</v>
      </c>
      <c r="H558" s="676">
        <f t="shared" si="282"/>
        <v>89.644000000000005</v>
      </c>
      <c r="I558" s="677">
        <f t="shared" si="262"/>
        <v>78.873752415473788</v>
      </c>
      <c r="J558" s="678">
        <f t="shared" si="263"/>
        <v>1.5581174981352586</v>
      </c>
      <c r="K558" s="678">
        <f t="shared" si="264"/>
        <v>1.0076482123028925</v>
      </c>
      <c r="L558" s="679">
        <f t="shared" si="265"/>
        <v>0.12328651490480284</v>
      </c>
      <c r="M558" s="678">
        <f t="shared" si="266"/>
        <v>1.7818326839967964</v>
      </c>
      <c r="N558" s="679">
        <f t="shared" si="267"/>
        <v>-0.97493733300265983</v>
      </c>
      <c r="O558" s="677">
        <f t="shared" si="268"/>
        <v>8009413.0523321675</v>
      </c>
      <c r="P558" s="680">
        <f t="shared" si="269"/>
        <v>1.5707962019418027</v>
      </c>
      <c r="Q558" s="689">
        <f t="shared" si="291"/>
        <v>40.05954862541136</v>
      </c>
      <c r="R558" s="690">
        <f t="shared" si="292"/>
        <v>1.5458308960634017</v>
      </c>
      <c r="S558" s="677">
        <f t="shared" si="270"/>
        <v>1.0350258705531459</v>
      </c>
      <c r="T558" s="680">
        <f t="shared" si="271"/>
        <v>0.2608953061707191</v>
      </c>
      <c r="U558" s="681">
        <f t="shared" si="283"/>
        <v>7.9909916992018395E-2</v>
      </c>
      <c r="V558" s="682">
        <f t="shared" si="284"/>
        <v>-0.90375991047858439</v>
      </c>
      <c r="W558" s="683">
        <f t="shared" si="272"/>
        <v>-51.755485338692452</v>
      </c>
      <c r="X558" s="684">
        <f t="shared" si="273"/>
        <v>-206.22978952314122</v>
      </c>
      <c r="Y558" s="687">
        <f t="shared" si="274"/>
        <v>-26.229789523141221</v>
      </c>
      <c r="AA558" s="170">
        <f t="shared" si="275"/>
        <v>89644</v>
      </c>
      <c r="AB558" s="170">
        <f t="shared" si="276"/>
        <v>8036046736</v>
      </c>
      <c r="AD558" s="686">
        <f t="shared" si="277"/>
        <v>-1.2114667939706698</v>
      </c>
      <c r="AE558" s="687">
        <f t="shared" si="278"/>
        <v>-16.378606618156432</v>
      </c>
      <c r="AG558" s="686">
        <f t="shared" si="279"/>
        <v>51.081768777331078</v>
      </c>
      <c r="AH558" s="687">
        <f t="shared" si="280"/>
        <v>-86.287925659558567</v>
      </c>
      <c r="AJ558" s="170">
        <f t="shared" si="281"/>
        <v>0</v>
      </c>
      <c r="AK558" s="170">
        <f t="shared" si="293"/>
        <v>0</v>
      </c>
      <c r="AM558" s="170" t="str">
        <f t="shared" si="285"/>
        <v>0.902801506400898+0.995265016386121i</v>
      </c>
      <c r="AN558" s="170" t="str">
        <f t="shared" si="286"/>
        <v>14.039814745313i</v>
      </c>
      <c r="AO558" s="170" t="str">
        <f t="shared" si="287"/>
        <v>0.0708887570413546-0.0643029500586741i</v>
      </c>
      <c r="AP558" s="170" t="str">
        <f t="shared" si="288"/>
        <v>0.0161997489331837-0.16587750273102i</v>
      </c>
      <c r="AQ558" s="170" t="str">
        <f t="shared" si="289"/>
        <v>0.983800251066816+0.16587750273102i</v>
      </c>
      <c r="AR558" s="170" t="str">
        <f t="shared" si="290"/>
        <v>0.823310720836299-0.138817535567722i</v>
      </c>
    </row>
    <row r="559" spans="7:44">
      <c r="G559" s="688">
        <v>90163</v>
      </c>
      <c r="H559" s="676">
        <f t="shared" si="282"/>
        <v>90.162999999999997</v>
      </c>
      <c r="I559" s="677">
        <f t="shared" si="262"/>
        <v>79.330324147025863</v>
      </c>
      <c r="J559" s="678">
        <f t="shared" si="263"/>
        <v>1.5581904727808604</v>
      </c>
      <c r="K559" s="678">
        <f t="shared" si="264"/>
        <v>1.0077366874004161</v>
      </c>
      <c r="L559" s="679">
        <f t="shared" si="265"/>
        <v>0.12399301778108114</v>
      </c>
      <c r="M559" s="678">
        <f t="shared" si="266"/>
        <v>1.7889059219288692</v>
      </c>
      <c r="N559" s="679">
        <f t="shared" si="267"/>
        <v>-0.9776159748000649</v>
      </c>
      <c r="O559" s="677">
        <f t="shared" si="268"/>
        <v>8055784.0908195218</v>
      </c>
      <c r="P559" s="680">
        <f t="shared" si="269"/>
        <v>1.5707962026604874</v>
      </c>
      <c r="Q559" s="689">
        <f t="shared" si="291"/>
        <v>40.291331982791263</v>
      </c>
      <c r="R559" s="690">
        <f t="shared" si="292"/>
        <v>1.5459745439204473</v>
      </c>
      <c r="S559" s="677">
        <f t="shared" si="270"/>
        <v>1.0354256544575171</v>
      </c>
      <c r="T559" s="680">
        <f t="shared" si="271"/>
        <v>0.26233760613124918</v>
      </c>
      <c r="U559" s="681">
        <f t="shared" si="283"/>
        <v>8.1838777792599515E-2</v>
      </c>
      <c r="V559" s="682">
        <f t="shared" si="284"/>
        <v>-0.94292736453894443</v>
      </c>
      <c r="W559" s="683">
        <f t="shared" si="272"/>
        <v>-51.566661903239996</v>
      </c>
      <c r="X559" s="684">
        <f t="shared" si="273"/>
        <v>-208.66550303961716</v>
      </c>
      <c r="Y559" s="687">
        <f t="shared" si="274"/>
        <v>-28.665503039617164</v>
      </c>
      <c r="AA559" s="170">
        <f t="shared" si="275"/>
        <v>90163</v>
      </c>
      <c r="AB559" s="170">
        <f t="shared" si="276"/>
        <v>8129366569</v>
      </c>
      <c r="AD559" s="686">
        <f t="shared" si="277"/>
        <v>-1.2148521807972934</v>
      </c>
      <c r="AE559" s="687">
        <f t="shared" si="278"/>
        <v>-16.453013944004507</v>
      </c>
      <c r="AG559" s="686">
        <f t="shared" si="279"/>
        <v>50.859639386808233</v>
      </c>
      <c r="AH559" s="687">
        <f t="shared" si="280"/>
        <v>-84.160972221195493</v>
      </c>
      <c r="AJ559" s="170">
        <f t="shared" si="281"/>
        <v>0</v>
      </c>
      <c r="AK559" s="170">
        <f t="shared" si="293"/>
        <v>0</v>
      </c>
      <c r="AM559" s="170" t="str">
        <f t="shared" si="285"/>
        <v>0.983932952407019+0.999870916659568i</v>
      </c>
      <c r="AN559" s="170" t="str">
        <f t="shared" si="286"/>
        <v>14.121099202196i</v>
      </c>
      <c r="AO559" s="170" t="str">
        <f t="shared" si="287"/>
        <v>0.0708068757497346-0.0696782126035915i</v>
      </c>
      <c r="AP559" s="170" t="str">
        <f t="shared" si="288"/>
        <v>0.00267784126549683-0.166645152776595i</v>
      </c>
      <c r="AQ559" s="170" t="str">
        <f t="shared" si="289"/>
        <v>0.997322158734503+0.166645152776595i</v>
      </c>
      <c r="AR559" s="170" t="str">
        <f t="shared" si="290"/>
        <v>0.812550278488765-0.135771138855716i</v>
      </c>
    </row>
    <row r="560" spans="7:44">
      <c r="G560" s="688">
        <v>90682</v>
      </c>
      <c r="H560" s="676">
        <f t="shared" si="282"/>
        <v>90.682000000000002</v>
      </c>
      <c r="I560" s="677">
        <f t="shared" si="262"/>
        <v>79.786896296200695</v>
      </c>
      <c r="J560" s="678">
        <f t="shared" si="263"/>
        <v>1.5582626122473253</v>
      </c>
      <c r="K560" s="678">
        <f t="shared" si="264"/>
        <v>1.0078256654175302</v>
      </c>
      <c r="L560" s="679">
        <f t="shared" si="265"/>
        <v>0.12469939625969716</v>
      </c>
      <c r="M560" s="678">
        <f t="shared" si="266"/>
        <v>1.7959918943232676</v>
      </c>
      <c r="N560" s="679">
        <f t="shared" si="267"/>
        <v>-0.98027349871694935</v>
      </c>
      <c r="O560" s="677">
        <f t="shared" si="268"/>
        <v>8102155.1293068742</v>
      </c>
      <c r="P560" s="680">
        <f t="shared" si="269"/>
        <v>1.5707962033709453</v>
      </c>
      <c r="Q560" s="689">
        <f t="shared" si="291"/>
        <v>40.52311616206012</v>
      </c>
      <c r="R560" s="690">
        <f t="shared" si="292"/>
        <v>1.5461165485059485</v>
      </c>
      <c r="S560" s="677">
        <f t="shared" si="270"/>
        <v>1.0358275906192931</v>
      </c>
      <c r="T560" s="680">
        <f t="shared" si="271"/>
        <v>0.26377878976544167</v>
      </c>
      <c r="U560" s="681">
        <f t="shared" si="283"/>
        <v>8.3563541548275472E-2</v>
      </c>
      <c r="V560" s="682">
        <f t="shared" si="284"/>
        <v>-0.98107101088987669</v>
      </c>
      <c r="W560" s="683">
        <f t="shared" si="272"/>
        <v>-51.403652007556609</v>
      </c>
      <c r="X560" s="684">
        <f t="shared" si="273"/>
        <v>-211.04133619630176</v>
      </c>
      <c r="Y560" s="687">
        <f t="shared" si="274"/>
        <v>-31.041336196301756</v>
      </c>
      <c r="AA560" s="170">
        <f t="shared" si="275"/>
        <v>90682</v>
      </c>
      <c r="AB560" s="170">
        <f t="shared" si="276"/>
        <v>8223225124</v>
      </c>
      <c r="AD560" s="686">
        <f t="shared" si="277"/>
        <v>-1.2182537887734441</v>
      </c>
      <c r="AE560" s="687">
        <f t="shared" si="278"/>
        <v>-16.527451461117625</v>
      </c>
      <c r="AG560" s="686">
        <f t="shared" si="279"/>
        <v>50.663742774662097</v>
      </c>
      <c r="AH560" s="687">
        <f t="shared" si="280"/>
        <v>-82.09142795347644</v>
      </c>
      <c r="AJ560" s="170">
        <f t="shared" si="281"/>
        <v>0</v>
      </c>
      <c r="AK560" s="170">
        <f t="shared" si="293"/>
        <v>0</v>
      </c>
      <c r="AM560" s="170" t="str">
        <f t="shared" si="285"/>
        <v>1.06517049757723+0.997874143489817i</v>
      </c>
      <c r="AN560" s="170" t="str">
        <f t="shared" si="286"/>
        <v>14.202383659079i</v>
      </c>
      <c r="AO560" s="170" t="str">
        <f t="shared" si="287"/>
        <v>0.0702610327564216-0.0749994172208065i</v>
      </c>
      <c r="AP560" s="170" t="str">
        <f t="shared" si="288"/>
        <v>-0.0108617495962049-0.166312357248303i</v>
      </c>
      <c r="AQ560" s="170" t="str">
        <f t="shared" si="289"/>
        <v>1.0108617495962+0.166312357248303i</v>
      </c>
      <c r="AR560" s="170" t="str">
        <f t="shared" si="290"/>
        <v>0.802331408156602-0.132003835181396i</v>
      </c>
    </row>
    <row r="561" spans="7:44">
      <c r="G561" s="688">
        <v>91201</v>
      </c>
      <c r="H561" s="676">
        <f t="shared" si="282"/>
        <v>91.200999999999993</v>
      </c>
      <c r="I561" s="677">
        <f t="shared" si="262"/>
        <v>80.243468855869651</v>
      </c>
      <c r="J561" s="678">
        <f t="shared" si="263"/>
        <v>1.5583339307900046</v>
      </c>
      <c r="K561" s="678">
        <f t="shared" si="264"/>
        <v>1.0079151462210427</v>
      </c>
      <c r="L561" s="679">
        <f t="shared" si="265"/>
        <v>0.1254056496687658</v>
      </c>
      <c r="M561" s="678">
        <f t="shared" si="266"/>
        <v>1.8030904510443533</v>
      </c>
      <c r="N561" s="679">
        <f t="shared" si="267"/>
        <v>-0.98291011640971759</v>
      </c>
      <c r="O561" s="677">
        <f t="shared" si="268"/>
        <v>8148526.1677942285</v>
      </c>
      <c r="P561" s="680">
        <f t="shared" si="269"/>
        <v>1.5707962040733174</v>
      </c>
      <c r="Q561" s="689">
        <f t="shared" si="291"/>
        <v>40.754901149195021</v>
      </c>
      <c r="R561" s="690">
        <f t="shared" si="292"/>
        <v>1.5462569378514193</v>
      </c>
      <c r="S561" s="677">
        <f t="shared" si="270"/>
        <v>1.0362316765340045</v>
      </c>
      <c r="T561" s="680">
        <f t="shared" si="271"/>
        <v>0.26521885238909659</v>
      </c>
      <c r="U561" s="681">
        <f t="shared" si="283"/>
        <v>8.509695487405447E-2</v>
      </c>
      <c r="V561" s="682">
        <f t="shared" si="284"/>
        <v>-1.0182448763584975</v>
      </c>
      <c r="W561" s="683">
        <f t="shared" si="272"/>
        <v>-51.263654663444818</v>
      </c>
      <c r="X561" s="684">
        <f t="shared" si="273"/>
        <v>-213.36039561019493</v>
      </c>
      <c r="Y561" s="687">
        <f t="shared" si="274"/>
        <v>-33.360395610194928</v>
      </c>
      <c r="AA561" s="170">
        <f t="shared" si="275"/>
        <v>91201</v>
      </c>
      <c r="AB561" s="170">
        <f t="shared" si="276"/>
        <v>8317622401</v>
      </c>
      <c r="AD561" s="686">
        <f t="shared" si="277"/>
        <v>-1.2216715889659042</v>
      </c>
      <c r="AE561" s="687">
        <f t="shared" si="278"/>
        <v>-16.601917295031566</v>
      </c>
      <c r="AG561" s="686">
        <f t="shared" si="279"/>
        <v>50.49127064958558</v>
      </c>
      <c r="AH561" s="687">
        <f t="shared" si="280"/>
        <v>-80.076210329509976</v>
      </c>
      <c r="AJ561" s="170">
        <f t="shared" si="281"/>
        <v>0</v>
      </c>
      <c r="AK561" s="170">
        <f t="shared" si="293"/>
        <v>0</v>
      </c>
      <c r="AM561" s="170" t="str">
        <f t="shared" si="285"/>
        <v>1.14597768768204+0.989287882620123i</v>
      </c>
      <c r="AN561" s="170" t="str">
        <f t="shared" si="286"/>
        <v>14.2836681159619i</v>
      </c>
      <c r="AO561" s="170" t="str">
        <f t="shared" si="287"/>
        <v>0.0692600720339197-0.0802299296216087i</v>
      </c>
      <c r="AP561" s="170" t="str">
        <f t="shared" si="288"/>
        <v>-0.0243296146136728-0.16488131377002i</v>
      </c>
      <c r="AQ561" s="170" t="str">
        <f t="shared" si="289"/>
        <v>1.02432961461367+0.16488131377002i</v>
      </c>
      <c r="AR561" s="170" t="str">
        <f t="shared" si="290"/>
        <v>0.792676732052497-0.127593285511944i</v>
      </c>
    </row>
    <row r="562" spans="7:44">
      <c r="G562" s="688">
        <v>91732</v>
      </c>
      <c r="H562" s="676">
        <f t="shared" si="282"/>
        <v>91.731999999999999</v>
      </c>
      <c r="I562" s="677">
        <f t="shared" si="262"/>
        <v>80.710598424088857</v>
      </c>
      <c r="J562" s="678">
        <f t="shared" si="263"/>
        <v>1.5584060632307208</v>
      </c>
      <c r="K562" s="678">
        <f t="shared" si="264"/>
        <v>1.0080072161636897</v>
      </c>
      <c r="L562" s="679">
        <f t="shared" si="265"/>
        <v>0.12612810249582165</v>
      </c>
      <c r="M562" s="678">
        <f t="shared" si="266"/>
        <v>1.8103660059979154</v>
      </c>
      <c r="N562" s="679">
        <f t="shared" si="267"/>
        <v>-0.98558627795985743</v>
      </c>
      <c r="O562" s="677">
        <f t="shared" si="268"/>
        <v>8195969.3690211745</v>
      </c>
      <c r="P562" s="680">
        <f t="shared" si="269"/>
        <v>1.5707962047837036</v>
      </c>
      <c r="Q562" s="689">
        <f t="shared" si="291"/>
        <v>40.992046148592152</v>
      </c>
      <c r="R562" s="690">
        <f t="shared" si="292"/>
        <v>1.5463989300716674</v>
      </c>
      <c r="S562" s="677">
        <f t="shared" si="270"/>
        <v>1.0366473277391948</v>
      </c>
      <c r="T562" s="680">
        <f t="shared" si="271"/>
        <v>0.26669104621110018</v>
      </c>
      <c r="U562" s="681">
        <f t="shared" si="283"/>
        <v>8.6480571973623049E-2</v>
      </c>
      <c r="V562" s="682">
        <f t="shared" si="284"/>
        <v>-1.0553327860173383</v>
      </c>
      <c r="W562" s="683">
        <f t="shared" si="272"/>
        <v>-51.141724147352427</v>
      </c>
      <c r="X562" s="684">
        <f t="shared" si="273"/>
        <v>-215.67766343429071</v>
      </c>
      <c r="Y562" s="687">
        <f t="shared" si="274"/>
        <v>-35.677663434290707</v>
      </c>
      <c r="AA562" s="170">
        <f t="shared" si="275"/>
        <v>91732</v>
      </c>
      <c r="AB562" s="170">
        <f t="shared" si="276"/>
        <v>8414759824</v>
      </c>
      <c r="AD562" s="686">
        <f t="shared" si="277"/>
        <v>-1.2251851408989693</v>
      </c>
      <c r="AE562" s="687">
        <f t="shared" si="278"/>
        <v>-16.678132273502921</v>
      </c>
      <c r="AG562" s="686">
        <f t="shared" si="279"/>
        <v>50.336533363641713</v>
      </c>
      <c r="AH562" s="687">
        <f t="shared" si="280"/>
        <v>-78.067301781450013</v>
      </c>
      <c r="AJ562" s="170">
        <f t="shared" si="281"/>
        <v>0</v>
      </c>
      <c r="AK562" s="170">
        <f t="shared" si="293"/>
        <v>0</v>
      </c>
      <c r="AM562" s="170" t="str">
        <f t="shared" si="285"/>
        <v>1.22765137252597+0.973742703483339i</v>
      </c>
      <c r="AN562" s="170" t="str">
        <f t="shared" si="286"/>
        <v>14.3668319822526i</v>
      </c>
      <c r="AO562" s="170" t="str">
        <f t="shared" si="287"/>
        <v>0.0677771344918773-0.085450388369718i</v>
      </c>
      <c r="AP562" s="170" t="str">
        <f t="shared" si="288"/>
        <v>-0.0379418954209948-0.162290450580556i</v>
      </c>
      <c r="AQ562" s="170" t="str">
        <f t="shared" si="289"/>
        <v>1.03794189542099+0.162290450580556i</v>
      </c>
      <c r="AR562" s="170" t="str">
        <f t="shared" si="290"/>
        <v>0.783397395967102-0.122490398485715i</v>
      </c>
    </row>
    <row r="563" spans="7:44">
      <c r="G563" s="688">
        <v>92263</v>
      </c>
      <c r="H563" s="676">
        <f t="shared" si="282"/>
        <v>92.263000000000005</v>
      </c>
      <c r="I563" s="677">
        <f t="shared" si="262"/>
        <v>81.177728407419423</v>
      </c>
      <c r="J563" s="678">
        <f t="shared" si="263"/>
        <v>1.5584773655124373</v>
      </c>
      <c r="K563" s="678">
        <f t="shared" si="264"/>
        <v>1.0080998121274343</v>
      </c>
      <c r="L563" s="679">
        <f t="shared" si="265"/>
        <v>0.12685042298238133</v>
      </c>
      <c r="M563" s="678">
        <f t="shared" si="266"/>
        <v>1.8176544226555427</v>
      </c>
      <c r="N563" s="679">
        <f t="shared" si="267"/>
        <v>-0.9882409966921063</v>
      </c>
      <c r="O563" s="677">
        <f t="shared" si="268"/>
        <v>8243412.5702481195</v>
      </c>
      <c r="P563" s="680">
        <f t="shared" si="269"/>
        <v>1.570796205485913</v>
      </c>
      <c r="Q563" s="689">
        <f t="shared" si="291"/>
        <v>41.229191964954801</v>
      </c>
      <c r="R563" s="690">
        <f t="shared" si="292"/>
        <v>1.5465392888471836</v>
      </c>
      <c r="S563" s="677">
        <f t="shared" si="270"/>
        <v>1.0370652239229505</v>
      </c>
      <c r="T563" s="680">
        <f t="shared" si="271"/>
        <v>0.26816205674764237</v>
      </c>
      <c r="U563" s="681">
        <f t="shared" si="283"/>
        <v>8.7689216154615501E-2</v>
      </c>
      <c r="V563" s="682">
        <f t="shared" si="284"/>
        <v>-1.0915248387384484</v>
      </c>
      <c r="W563" s="683">
        <f t="shared" si="272"/>
        <v>-51.039131951089949</v>
      </c>
      <c r="X563" s="684">
        <f t="shared" si="273"/>
        <v>-217.94235966348367</v>
      </c>
      <c r="Y563" s="687">
        <f t="shared" si="274"/>
        <v>-37.942359663483671</v>
      </c>
      <c r="AA563" s="170">
        <f t="shared" si="275"/>
        <v>92263</v>
      </c>
      <c r="AB563" s="170">
        <f t="shared" si="276"/>
        <v>8512461169</v>
      </c>
      <c r="AD563" s="686">
        <f t="shared" si="277"/>
        <v>-1.2287155797198988</v>
      </c>
      <c r="AE563" s="687">
        <f t="shared" si="278"/>
        <v>-16.754373043732109</v>
      </c>
      <c r="AG563" s="686">
        <f t="shared" si="279"/>
        <v>50.201550612948935</v>
      </c>
      <c r="AH563" s="687">
        <f t="shared" si="280"/>
        <v>-76.108453490005601</v>
      </c>
      <c r="AJ563" s="170">
        <f t="shared" si="281"/>
        <v>0</v>
      </c>
      <c r="AK563" s="170">
        <f t="shared" si="293"/>
        <v>0</v>
      </c>
      <c r="AM563" s="170" t="str">
        <f t="shared" si="285"/>
        <v>1.30775147567485+0.951466777780472i</v>
      </c>
      <c r="AN563" s="170" t="str">
        <f t="shared" si="286"/>
        <v>14.4499958485433i</v>
      </c>
      <c r="AO563" s="170" t="str">
        <f t="shared" si="287"/>
        <v>0.0658454706667884-0.0905018582276398i</v>
      </c>
      <c r="AP563" s="170" t="str">
        <f t="shared" si="288"/>
        <v>-0.0512919126124745-0.158577796296745i</v>
      </c>
      <c r="AQ563" s="170" t="str">
        <f t="shared" si="289"/>
        <v>1.05129191261247+0.158577796296745i</v>
      </c>
      <c r="AR563" s="170" t="str">
        <f t="shared" si="290"/>
        <v>0.774730989516885-0.116861103530311i</v>
      </c>
    </row>
    <row r="564" spans="7:44">
      <c r="G564" s="688">
        <v>92794</v>
      </c>
      <c r="H564" s="676">
        <f t="shared" si="282"/>
        <v>92.793999999999997</v>
      </c>
      <c r="I564" s="677">
        <f t="shared" si="262"/>
        <v>81.644858798736166</v>
      </c>
      <c r="J564" s="678">
        <f t="shared" si="263"/>
        <v>1.5585478518836664</v>
      </c>
      <c r="K564" s="678">
        <f t="shared" si="264"/>
        <v>1.0081929339673414</v>
      </c>
      <c r="L564" s="679">
        <f t="shared" si="265"/>
        <v>0.1275726104112761</v>
      </c>
      <c r="M564" s="678">
        <f t="shared" si="266"/>
        <v>1.8249555469179402</v>
      </c>
      <c r="N564" s="679">
        <f t="shared" si="267"/>
        <v>-0.99087449232248892</v>
      </c>
      <c r="O564" s="677">
        <f t="shared" si="268"/>
        <v>8290855.7714750655</v>
      </c>
      <c r="P564" s="680">
        <f t="shared" si="269"/>
        <v>1.5707962061800858</v>
      </c>
      <c r="Q564" s="689">
        <f t="shared" si="291"/>
        <v>41.466338584266282</v>
      </c>
      <c r="R564" s="690">
        <f t="shared" si="292"/>
        <v>1.5466780421974751</v>
      </c>
      <c r="S564" s="677">
        <f t="shared" si="270"/>
        <v>1.0374853623724585</v>
      </c>
      <c r="T564" s="680">
        <f t="shared" si="271"/>
        <v>0.2696318790662991</v>
      </c>
      <c r="U564" s="681">
        <f t="shared" si="283"/>
        <v>8.8734650186160724E-2</v>
      </c>
      <c r="V564" s="682">
        <f t="shared" si="284"/>
        <v>-1.1268823527118674</v>
      </c>
      <c r="W564" s="683">
        <f t="shared" si="272"/>
        <v>-50.953955368619901</v>
      </c>
      <c r="X564" s="684">
        <f t="shared" si="273"/>
        <v>-220.15800912954711</v>
      </c>
      <c r="Y564" s="687">
        <f t="shared" si="274"/>
        <v>-40.158009129547111</v>
      </c>
      <c r="AA564" s="170">
        <f t="shared" si="275"/>
        <v>92794</v>
      </c>
      <c r="AB564" s="170">
        <f t="shared" si="276"/>
        <v>8610726436</v>
      </c>
      <c r="AD564" s="686">
        <f t="shared" si="277"/>
        <v>-1.232262872964667</v>
      </c>
      <c r="AE564" s="687">
        <f t="shared" si="278"/>
        <v>-16.830637717720577</v>
      </c>
      <c r="AG564" s="686">
        <f t="shared" si="279"/>
        <v>50.08439234592295</v>
      </c>
      <c r="AH564" s="687">
        <f t="shared" si="280"/>
        <v>-74.196165627947366</v>
      </c>
      <c r="AJ564" s="170">
        <f t="shared" si="281"/>
        <v>0</v>
      </c>
      <c r="AK564" s="170">
        <f t="shared" si="293"/>
        <v>0</v>
      </c>
      <c r="AM564" s="170" t="str">
        <f t="shared" si="285"/>
        <v>1.38572432572011+0.922614082131726i</v>
      </c>
      <c r="AN564" s="170" t="str">
        <f t="shared" si="286"/>
        <v>14.533159714834i</v>
      </c>
      <c r="AO564" s="170" t="str">
        <f t="shared" si="287"/>
        <v>0.0634833787170187-0.0953491431258201i</v>
      </c>
      <c r="AP564" s="170" t="str">
        <f t="shared" si="288"/>
        <v>-0.0642873876200183-0.153769013688621i</v>
      </c>
      <c r="AQ564" s="170" t="str">
        <f t="shared" si="289"/>
        <v>1.06428738762002+0.153769013688621i</v>
      </c>
      <c r="AR564" s="170" t="str">
        <f t="shared" si="290"/>
        <v>0.766679151244816-0.110770359842538i</v>
      </c>
    </row>
    <row r="565" spans="7:44">
      <c r="G565" s="688">
        <v>93325</v>
      </c>
      <c r="H565" s="676">
        <f t="shared" si="282"/>
        <v>93.325000000000003</v>
      </c>
      <c r="I565" s="677">
        <f t="shared" si="262"/>
        <v>82.11198959107611</v>
      </c>
      <c r="J565" s="678">
        <f t="shared" si="263"/>
        <v>1.5586175362687169</v>
      </c>
      <c r="K565" s="678">
        <f t="shared" si="264"/>
        <v>1.0082865815377069</v>
      </c>
      <c r="L565" s="679">
        <f t="shared" si="265"/>
        <v>0.12829466406615647</v>
      </c>
      <c r="M565" s="678">
        <f t="shared" si="266"/>
        <v>1.832269226875449</v>
      </c>
      <c r="N565" s="679">
        <f t="shared" si="267"/>
        <v>-0.99348698224563092</v>
      </c>
      <c r="O565" s="677">
        <f t="shared" si="268"/>
        <v>8338298.9727020115</v>
      </c>
      <c r="P565" s="680">
        <f t="shared" si="269"/>
        <v>1.5707962068663592</v>
      </c>
      <c r="Q565" s="689">
        <f t="shared" si="291"/>
        <v>41.70348599282871</v>
      </c>
      <c r="R565" s="690">
        <f t="shared" si="292"/>
        <v>1.5468152175049663</v>
      </c>
      <c r="S565" s="677">
        <f t="shared" si="270"/>
        <v>1.0379077403647539</v>
      </c>
      <c r="T565" s="680">
        <f t="shared" si="271"/>
        <v>0.27110050826314686</v>
      </c>
      <c r="U565" s="681">
        <f t="shared" si="283"/>
        <v>8.9627856528987485E-2</v>
      </c>
      <c r="V565" s="682">
        <f t="shared" si="284"/>
        <v>-1.1614665703947857</v>
      </c>
      <c r="W565" s="683">
        <f t="shared" si="272"/>
        <v>-50.88453205469537</v>
      </c>
      <c r="X565" s="684">
        <f t="shared" si="273"/>
        <v>-222.32813221158793</v>
      </c>
      <c r="Y565" s="687">
        <f t="shared" si="274"/>
        <v>-42.328132211587928</v>
      </c>
      <c r="AA565" s="170">
        <f t="shared" si="275"/>
        <v>93325</v>
      </c>
      <c r="AB565" s="170">
        <f t="shared" si="276"/>
        <v>8709555625</v>
      </c>
      <c r="AD565" s="686">
        <f t="shared" si="277"/>
        <v>-1.2358269876986376</v>
      </c>
      <c r="AE565" s="687">
        <f t="shared" si="278"/>
        <v>-16.90692444560473</v>
      </c>
      <c r="AG565" s="686">
        <f t="shared" si="279"/>
        <v>49.983389024701317</v>
      </c>
      <c r="AH565" s="687">
        <f t="shared" si="280"/>
        <v>-72.326942555589753</v>
      </c>
      <c r="AJ565" s="170">
        <f t="shared" si="281"/>
        <v>0</v>
      </c>
      <c r="AK565" s="170">
        <f t="shared" si="293"/>
        <v>0</v>
      </c>
      <c r="AM565" s="170" t="str">
        <f t="shared" si="285"/>
        <v>1.46103095534432+0.887384053391938i</v>
      </c>
      <c r="AN565" s="170" t="str">
        <f t="shared" si="286"/>
        <v>14.6163235811246i</v>
      </c>
      <c r="AO565" s="170" t="str">
        <f t="shared" si="287"/>
        <v>0.0607118505872365-0.099958854032972i</v>
      </c>
      <c r="AP565" s="170" t="str">
        <f t="shared" si="288"/>
        <v>-0.0768384925573863-0.14789734223199i</v>
      </c>
      <c r="AQ565" s="170" t="str">
        <f t="shared" si="289"/>
        <v>1.07683849255739+0.14789734223199i</v>
      </c>
      <c r="AR565" s="170" t="str">
        <f t="shared" si="290"/>
        <v>0.759238942085402-0.104276938862746i</v>
      </c>
    </row>
    <row r="566" spans="7:44">
      <c r="G566" s="688">
        <v>93868.5</v>
      </c>
      <c r="H566" s="676">
        <f t="shared" si="282"/>
        <v>93.868499999999997</v>
      </c>
      <c r="I566" s="677">
        <f t="shared" si="262"/>
        <v>82.590117279187353</v>
      </c>
      <c r="J566" s="678">
        <f t="shared" si="263"/>
        <v>1.5586880447334983</v>
      </c>
      <c r="K566" s="678">
        <f t="shared" si="264"/>
        <v>1.0083829779049074</v>
      </c>
      <c r="L566" s="679">
        <f t="shared" si="265"/>
        <v>0.12903357593608236</v>
      </c>
      <c r="M566" s="678">
        <f t="shared" si="266"/>
        <v>1.839767920678824</v>
      </c>
      <c r="N566" s="679">
        <f t="shared" si="267"/>
        <v>-0.99613944268199117</v>
      </c>
      <c r="O566" s="677">
        <f t="shared" si="268"/>
        <v>8386859.0101160314</v>
      </c>
      <c r="P566" s="680">
        <f t="shared" si="269"/>
        <v>1.5707962075607473</v>
      </c>
      <c r="Q566" s="689">
        <f t="shared" si="291"/>
        <v>41.946216770873235</v>
      </c>
      <c r="R566" s="690">
        <f t="shared" si="292"/>
        <v>1.5469540157140296</v>
      </c>
      <c r="S566" s="677">
        <f t="shared" si="270"/>
        <v>1.0383423777324463</v>
      </c>
      <c r="T566" s="680">
        <f t="shared" si="271"/>
        <v>0.27260246903966373</v>
      </c>
      <c r="U566" s="681">
        <f t="shared" si="283"/>
        <v>9.0395061512761582E-2</v>
      </c>
      <c r="V566" s="682">
        <f t="shared" si="284"/>
        <v>-1.1961275247776597</v>
      </c>
      <c r="W566" s="683">
        <f t="shared" si="272"/>
        <v>-50.828288265643799</v>
      </c>
      <c r="X566" s="684">
        <f t="shared" si="273"/>
        <v>-224.50584021000321</v>
      </c>
      <c r="Y566" s="687">
        <f t="shared" si="274"/>
        <v>-44.505840210003214</v>
      </c>
      <c r="AA566" s="170">
        <f t="shared" si="275"/>
        <v>93868.5</v>
      </c>
      <c r="AB566" s="170">
        <f t="shared" si="276"/>
        <v>8811295292.25</v>
      </c>
      <c r="AD566" s="686">
        <f t="shared" si="277"/>
        <v>-1.2394923887131273</v>
      </c>
      <c r="AE566" s="687">
        <f t="shared" si="278"/>
        <v>-16.9850279473848</v>
      </c>
      <c r="AG566" s="686">
        <f t="shared" si="279"/>
        <v>49.895230441284085</v>
      </c>
      <c r="AH566" s="687">
        <f t="shared" si="280"/>
        <v>-70.454694247618164</v>
      </c>
      <c r="AJ566" s="170">
        <f t="shared" si="281"/>
        <v>0</v>
      </c>
      <c r="AK566" s="170">
        <f t="shared" si="293"/>
        <v>0</v>
      </c>
      <c r="AM566" s="170" t="str">
        <f t="shared" si="285"/>
        <v>1.5348060731503+0.844974830466299i</v>
      </c>
      <c r="AN566" s="170" t="str">
        <f t="shared" si="286"/>
        <v>14.7014451655483i</v>
      </c>
      <c r="AO566" s="170" t="str">
        <f t="shared" si="287"/>
        <v>0.0574756305214423-0.104398312945927i</v>
      </c>
      <c r="AP566" s="170" t="str">
        <f t="shared" si="288"/>
        <v>-0.0891343455250507-0.14082913841105i</v>
      </c>
      <c r="AQ566" s="170" t="str">
        <f t="shared" si="289"/>
        <v>1.08913434552505+0.14082913841105i</v>
      </c>
      <c r="AR566" s="170" t="str">
        <f t="shared" si="290"/>
        <v>0.752250376143546-0.0972687830265906i</v>
      </c>
    </row>
    <row r="567" spans="7:44">
      <c r="G567" s="688">
        <v>94412</v>
      </c>
      <c r="H567" s="676">
        <f t="shared" si="282"/>
        <v>94.412000000000006</v>
      </c>
      <c r="I567" s="677">
        <f t="shared" si="262"/>
        <v>83.068245373164089</v>
      </c>
      <c r="J567" s="678">
        <f t="shared" si="263"/>
        <v>1.5587577415267806</v>
      </c>
      <c r="K567" s="678">
        <f t="shared" si="264"/>
        <v>1.0084799247344594</v>
      </c>
      <c r="L567" s="679">
        <f t="shared" si="265"/>
        <v>0.1297723461436851</v>
      </c>
      <c r="M567" s="678">
        <f t="shared" si="266"/>
        <v>1.8472794531160717</v>
      </c>
      <c r="N567" s="679">
        <f t="shared" si="267"/>
        <v>-0.99877035027564898</v>
      </c>
      <c r="O567" s="677">
        <f t="shared" si="268"/>
        <v>8435419.0475300532</v>
      </c>
      <c r="P567" s="680">
        <f t="shared" si="269"/>
        <v>1.5707962082471405</v>
      </c>
      <c r="Q567" s="689">
        <f t="shared" si="291"/>
        <v>42.188948347710635</v>
      </c>
      <c r="R567" s="690">
        <f t="shared" si="292"/>
        <v>1.5470912167914153</v>
      </c>
      <c r="S567" s="677">
        <f t="shared" si="270"/>
        <v>1.038779355519112</v>
      </c>
      <c r="T567" s="680">
        <f t="shared" si="271"/>
        <v>0.27410316955551961</v>
      </c>
      <c r="U567" s="681">
        <f t="shared" si="283"/>
        <v>9.1023479972589902E-2</v>
      </c>
      <c r="V567" s="682">
        <f t="shared" si="284"/>
        <v>-1.2301063519572655</v>
      </c>
      <c r="W567" s="683">
        <f t="shared" si="272"/>
        <v>-50.785709507277154</v>
      </c>
      <c r="X567" s="684">
        <f t="shared" si="273"/>
        <v>-226.64321122374216</v>
      </c>
      <c r="Y567" s="687">
        <f t="shared" si="274"/>
        <v>-46.643211223742156</v>
      </c>
      <c r="AA567" s="170">
        <f t="shared" si="275"/>
        <v>94412</v>
      </c>
      <c r="AB567" s="170">
        <f t="shared" si="276"/>
        <v>8913625744</v>
      </c>
      <c r="AD567" s="686">
        <f t="shared" si="277"/>
        <v>-1.2431753412370541</v>
      </c>
      <c r="AE567" s="687">
        <f t="shared" si="278"/>
        <v>-17.063150749994296</v>
      </c>
      <c r="AG567" s="686">
        <f t="shared" si="279"/>
        <v>49.82114292711303</v>
      </c>
      <c r="AH567" s="687">
        <f t="shared" si="280"/>
        <v>-68.620255673906726</v>
      </c>
      <c r="AJ567" s="170">
        <f t="shared" si="281"/>
        <v>0</v>
      </c>
      <c r="AK567" s="170">
        <f t="shared" si="293"/>
        <v>0</v>
      </c>
      <c r="AM567" s="170" t="str">
        <f t="shared" si="285"/>
        <v>1.60470849428567+0.796446882685067i</v>
      </c>
      <c r="AN567" s="170" t="str">
        <f t="shared" si="286"/>
        <v>14.786566749972i</v>
      </c>
      <c r="AO567" s="170" t="str">
        <f t="shared" si="287"/>
        <v>0.0538628673005906-0.108524752325533i</v>
      </c>
      <c r="AP567" s="170" t="str">
        <f t="shared" si="288"/>
        <v>-0.100784749047611-0.132741147114178i</v>
      </c>
      <c r="AQ567" s="170" t="str">
        <f t="shared" si="289"/>
        <v>1.10078474904761+0.132741147114178i</v>
      </c>
      <c r="AR567" s="170" t="str">
        <f t="shared" si="290"/>
        <v>0.745886629394857-0.0899447842901744i</v>
      </c>
    </row>
    <row r="568" spans="7:44">
      <c r="G568" s="688">
        <v>94955.5</v>
      </c>
      <c r="H568" s="676">
        <f t="shared" si="282"/>
        <v>94.955500000000001</v>
      </c>
      <c r="I568" s="677">
        <f t="shared" si="262"/>
        <v>83.546373866038138</v>
      </c>
      <c r="J568" s="678">
        <f t="shared" si="263"/>
        <v>1.5588266405832529</v>
      </c>
      <c r="K568" s="678">
        <f t="shared" si="264"/>
        <v>1.008577421867628</v>
      </c>
      <c r="L568" s="679">
        <f t="shared" si="265"/>
        <v>0.13051097392351804</v>
      </c>
      <c r="M568" s="678">
        <f t="shared" si="266"/>
        <v>1.8548036682065687</v>
      </c>
      <c r="N568" s="679">
        <f t="shared" si="267"/>
        <v>-1.0013799306780859</v>
      </c>
      <c r="O568" s="677">
        <f t="shared" si="268"/>
        <v>8483979.0849440712</v>
      </c>
      <c r="P568" s="680">
        <f t="shared" si="269"/>
        <v>1.5707962089256764</v>
      </c>
      <c r="Q568" s="689">
        <f t="shared" si="291"/>
        <v>42.43168070963236</v>
      </c>
      <c r="R568" s="690">
        <f t="shared" si="292"/>
        <v>1.5472268481413065</v>
      </c>
      <c r="S568" s="677">
        <f t="shared" si="270"/>
        <v>1.0392186707724047</v>
      </c>
      <c r="T568" s="680">
        <f t="shared" si="271"/>
        <v>0.27560260464530106</v>
      </c>
      <c r="U568" s="681">
        <f t="shared" si="283"/>
        <v>9.1522265936427732E-2</v>
      </c>
      <c r="V568" s="682">
        <f t="shared" si="284"/>
        <v>-1.2634663506163395</v>
      </c>
      <c r="W568" s="683">
        <f t="shared" si="272"/>
        <v>-50.755648144266374</v>
      </c>
      <c r="X568" s="684">
        <f t="shared" si="273"/>
        <v>-228.74388390521906</v>
      </c>
      <c r="Y568" s="687">
        <f t="shared" si="274"/>
        <v>-48.743883905219064</v>
      </c>
      <c r="AA568" s="170">
        <f t="shared" si="275"/>
        <v>94955.5</v>
      </c>
      <c r="AB568" s="170">
        <f t="shared" si="276"/>
        <v>9016546980.25</v>
      </c>
      <c r="AD568" s="686">
        <f t="shared" si="277"/>
        <v>-1.2468758085067257</v>
      </c>
      <c r="AE568" s="687">
        <f t="shared" si="278"/>
        <v>-17.141290987340692</v>
      </c>
      <c r="AG568" s="686">
        <f t="shared" si="279"/>
        <v>49.759971608549918</v>
      </c>
      <c r="AH568" s="687">
        <f t="shared" si="280"/>
        <v>-66.820013858215077</v>
      </c>
      <c r="AJ568" s="170">
        <f t="shared" si="281"/>
        <v>0</v>
      </c>
      <c r="AK568" s="170">
        <f t="shared" si="293"/>
        <v>0</v>
      </c>
      <c r="AM568" s="170" t="str">
        <f t="shared" si="285"/>
        <v>1.67023203363548+0.742151615971322i</v>
      </c>
      <c r="AN568" s="170" t="str">
        <f t="shared" si="286"/>
        <v>14.8716883343957i</v>
      </c>
      <c r="AO568" s="170" t="str">
        <f t="shared" si="287"/>
        <v>0.0499036558112135-0.112309510264044i</v>
      </c>
      <c r="AP568" s="170" t="str">
        <f t="shared" si="288"/>
        <v>-0.111705338939247-0.12369193599522i</v>
      </c>
      <c r="AQ568" s="170" t="str">
        <f t="shared" si="289"/>
        <v>1.11170533893925+0.12369193599522i</v>
      </c>
      <c r="AR568" s="170" t="str">
        <f t="shared" si="290"/>
        <v>0.740136742111051-0.0823500106784263i</v>
      </c>
    </row>
    <row r="569" spans="7:44">
      <c r="G569" s="688">
        <v>95499</v>
      </c>
      <c r="H569" s="676">
        <f t="shared" si="282"/>
        <v>95.498999999999995</v>
      </c>
      <c r="I569" s="677">
        <f t="shared" si="262"/>
        <v>84.024502750999915</v>
      </c>
      <c r="J569" s="678">
        <f t="shared" si="263"/>
        <v>1.5588947555204622</v>
      </c>
      <c r="K569" s="678">
        <f t="shared" si="264"/>
        <v>1.0086754691448383</v>
      </c>
      <c r="L569" s="679">
        <f t="shared" si="265"/>
        <v>0.13124945851105144</v>
      </c>
      <c r="M569" s="678">
        <f t="shared" si="266"/>
        <v>1.8623404122292131</v>
      </c>
      <c r="N569" s="679">
        <f t="shared" si="267"/>
        <v>-1.0039684070591408</v>
      </c>
      <c r="O569" s="677">
        <f t="shared" si="268"/>
        <v>8532539.1223580949</v>
      </c>
      <c r="P569" s="680">
        <f t="shared" si="269"/>
        <v>1.5707962095964887</v>
      </c>
      <c r="Q569" s="689">
        <f t="shared" si="291"/>
        <v>42.67441384324173</v>
      </c>
      <c r="R569" s="690">
        <f t="shared" si="292"/>
        <v>1.5473609365446181</v>
      </c>
      <c r="S569" s="677">
        <f t="shared" si="270"/>
        <v>1.039660320529189</v>
      </c>
      <c r="T569" s="680">
        <f t="shared" si="271"/>
        <v>0.27710076917506238</v>
      </c>
      <c r="U569" s="681">
        <f t="shared" si="283"/>
        <v>9.1899714955602035E-2</v>
      </c>
      <c r="V569" s="682">
        <f t="shared" si="284"/>
        <v>-1.2962696496138877</v>
      </c>
      <c r="W569" s="683">
        <f t="shared" si="272"/>
        <v>-50.73711823002651</v>
      </c>
      <c r="X569" s="684">
        <f t="shared" si="273"/>
        <v>-230.81142975798818</v>
      </c>
      <c r="Y569" s="687">
        <f t="shared" si="274"/>
        <v>-50.811429757988179</v>
      </c>
      <c r="AA569" s="170">
        <f t="shared" si="275"/>
        <v>95499</v>
      </c>
      <c r="AB569" s="170">
        <f t="shared" si="276"/>
        <v>9120059001</v>
      </c>
      <c r="AD569" s="686">
        <f t="shared" si="277"/>
        <v>-1.2505937532969291</v>
      </c>
      <c r="AE569" s="687">
        <f t="shared" si="278"/>
        <v>-17.219446830844834</v>
      </c>
      <c r="AG569" s="686">
        <f t="shared" si="279"/>
        <v>49.710723453060638</v>
      </c>
      <c r="AH569" s="687">
        <f t="shared" si="280"/>
        <v>-65.050422689854287</v>
      </c>
      <c r="AJ569" s="170">
        <f t="shared" si="281"/>
        <v>0</v>
      </c>
      <c r="AK569" s="170">
        <f t="shared" si="293"/>
        <v>0</v>
      </c>
      <c r="AM569" s="170" t="str">
        <f t="shared" si="285"/>
        <v>1.73090221492615+0.682482199193536i</v>
      </c>
      <c r="AN569" s="170" t="str">
        <f t="shared" si="286"/>
        <v>14.9568099188194i</v>
      </c>
      <c r="AO569" s="170" t="str">
        <f t="shared" si="287"/>
        <v>0.0456301980768508-0.115726697358656i</v>
      </c>
      <c r="AP569" s="170" t="str">
        <f t="shared" si="288"/>
        <v>-0.121817035821025-0.113747033198923i</v>
      </c>
      <c r="AQ569" s="170" t="str">
        <f t="shared" si="289"/>
        <v>1.12181703582103+0.113747033198923i</v>
      </c>
      <c r="AR569" s="170" t="str">
        <f t="shared" si="290"/>
        <v>0.734988895427811-0.0745244577498149i</v>
      </c>
    </row>
    <row r="570" spans="7:44">
      <c r="G570" s="688">
        <v>96611.5</v>
      </c>
      <c r="H570" s="676">
        <f t="shared" si="282"/>
        <v>96.611500000000007</v>
      </c>
      <c r="I570" s="677">
        <f t="shared" si="262"/>
        <v>85.003194625741955</v>
      </c>
      <c r="J570" s="678">
        <f t="shared" si="263"/>
        <v>1.5590317916835221</v>
      </c>
      <c r="K570" s="678">
        <f t="shared" si="264"/>
        <v>1.0088778787847377</v>
      </c>
      <c r="L570" s="679">
        <f t="shared" si="265"/>
        <v>0.13276062625554283</v>
      </c>
      <c r="M570" s="678">
        <f t="shared" si="266"/>
        <v>1.877805945451098</v>
      </c>
      <c r="N570" s="679">
        <f t="shared" si="267"/>
        <v>-1.0092019213171168</v>
      </c>
      <c r="O570" s="677">
        <f t="shared" si="268"/>
        <v>8631937.5430077687</v>
      </c>
      <c r="P570" s="680">
        <f t="shared" si="269"/>
        <v>1.5707962109460509</v>
      </c>
      <c r="Q570" s="689">
        <f t="shared" si="291"/>
        <v>43.171271045217679</v>
      </c>
      <c r="R570" s="690">
        <f t="shared" si="292"/>
        <v>1.5476307024708487</v>
      </c>
      <c r="S570" s="677">
        <f t="shared" si="270"/>
        <v>1.040571608805247</v>
      </c>
      <c r="T570" s="680">
        <f t="shared" si="271"/>
        <v>0.28016340576412035</v>
      </c>
      <c r="U570" s="681">
        <f t="shared" si="283"/>
        <v>9.2324475028804392E-2</v>
      </c>
      <c r="V570" s="682">
        <f t="shared" si="284"/>
        <v>-1.3619341679828099</v>
      </c>
      <c r="W570" s="683">
        <f t="shared" si="272"/>
        <v>-50.73173952883068</v>
      </c>
      <c r="X570" s="684">
        <f t="shared" si="273"/>
        <v>-234.95487564694332</v>
      </c>
      <c r="Y570" s="687">
        <f t="shared" si="274"/>
        <v>-54.954875646943321</v>
      </c>
      <c r="AA570" s="170">
        <f t="shared" si="275"/>
        <v>96611.5</v>
      </c>
      <c r="AB570" s="170">
        <f t="shared" si="276"/>
        <v>9333781932.25</v>
      </c>
      <c r="AD570" s="686">
        <f t="shared" si="277"/>
        <v>-1.2582584247376916</v>
      </c>
      <c r="AE570" s="687">
        <f t="shared" si="278"/>
        <v>-17.379466610057825</v>
      </c>
      <c r="AG570" s="686">
        <f t="shared" si="279"/>
        <v>49.643659524769753</v>
      </c>
      <c r="AH570" s="687">
        <f t="shared" si="280"/>
        <v>-61.509249258401312</v>
      </c>
      <c r="AJ570" s="170">
        <f t="shared" si="281"/>
        <v>0</v>
      </c>
      <c r="AK570" s="170">
        <f t="shared" si="293"/>
        <v>0</v>
      </c>
      <c r="AM570" s="170" t="str">
        <f t="shared" si="285"/>
        <v>1.83814853781293+0.545442048765994i</v>
      </c>
      <c r="AN570" s="170" t="str">
        <f t="shared" si="286"/>
        <v>15.1310468326582i</v>
      </c>
      <c r="AO570" s="170" t="str">
        <f t="shared" si="287"/>
        <v>0.0360478726157093-0.121481914512719i</v>
      </c>
      <c r="AP570" s="170" t="str">
        <f t="shared" si="288"/>
        <v>-0.139691422968822-0.0909070081276657i</v>
      </c>
      <c r="AQ570" s="170" t="str">
        <f t="shared" si="289"/>
        <v>1.13969142296882+0.0909070081276657i</v>
      </c>
      <c r="AR570" s="170" t="str">
        <f t="shared" si="290"/>
        <v>0.726278728190724-0.0579313180006192i</v>
      </c>
    </row>
    <row r="571" spans="7:44">
      <c r="G571" s="688">
        <v>97724</v>
      </c>
      <c r="H571" s="676">
        <f t="shared" si="282"/>
        <v>97.724000000000004</v>
      </c>
      <c r="I571" s="677">
        <f t="shared" si="262"/>
        <v>85.981888060412174</v>
      </c>
      <c r="J571" s="678">
        <f t="shared" si="263"/>
        <v>1.5591657082061543</v>
      </c>
      <c r="K571" s="678">
        <f t="shared" si="264"/>
        <v>1.0090825913990236</v>
      </c>
      <c r="L571" s="679">
        <f t="shared" si="265"/>
        <v>0.13427118430713908</v>
      </c>
      <c r="M571" s="678">
        <f t="shared" si="266"/>
        <v>1.8933220700982198</v>
      </c>
      <c r="N571" s="679">
        <f t="shared" si="267"/>
        <v>-1.014349795421746</v>
      </c>
      <c r="O571" s="677">
        <f t="shared" si="268"/>
        <v>8731335.9636574425</v>
      </c>
      <c r="P571" s="680">
        <f t="shared" si="269"/>
        <v>1.570796212264886</v>
      </c>
      <c r="Q571" s="689">
        <f t="shared" si="291"/>
        <v>43.668131317431268</v>
      </c>
      <c r="R571" s="690">
        <f t="shared" si="292"/>
        <v>1.5478943295696774</v>
      </c>
      <c r="S571" s="677">
        <f t="shared" si="270"/>
        <v>1.0414926402419094</v>
      </c>
      <c r="T571" s="680">
        <f t="shared" si="271"/>
        <v>0.28322065417598191</v>
      </c>
      <c r="U571" s="681">
        <f t="shared" si="283"/>
        <v>9.2325106417670916E-2</v>
      </c>
      <c r="V571" s="682">
        <f t="shared" si="284"/>
        <v>-1.4260267993122417</v>
      </c>
      <c r="W571" s="683">
        <f t="shared" si="272"/>
        <v>-50.76561409513468</v>
      </c>
      <c r="X571" s="684">
        <f t="shared" si="273"/>
        <v>-239.00325142113977</v>
      </c>
      <c r="Y571" s="687">
        <f t="shared" si="274"/>
        <v>-59.003251421139765</v>
      </c>
      <c r="AA571" s="170">
        <f t="shared" si="275"/>
        <v>97724</v>
      </c>
      <c r="AB571" s="170">
        <f t="shared" si="276"/>
        <v>9549980176</v>
      </c>
      <c r="AD571" s="686">
        <f t="shared" si="277"/>
        <v>-1.2659958377218237</v>
      </c>
      <c r="AE571" s="687">
        <f t="shared" si="278"/>
        <v>-17.539529396598972</v>
      </c>
      <c r="AG571" s="686">
        <f t="shared" si="279"/>
        <v>49.617403569685585</v>
      </c>
      <c r="AH571" s="687">
        <f t="shared" si="280"/>
        <v>-58.053087691535524</v>
      </c>
      <c r="AJ571" s="170">
        <f t="shared" si="281"/>
        <v>0</v>
      </c>
      <c r="AK571" s="170">
        <f t="shared" si="293"/>
        <v>0</v>
      </c>
      <c r="AM571" s="170" t="str">
        <f t="shared" si="285"/>
        <v>1.92001423391838+0.391884944068509i</v>
      </c>
      <c r="AN571" s="170" t="str">
        <f t="shared" si="286"/>
        <v>15.3052837464969i</v>
      </c>
      <c r="AO571" s="170" t="str">
        <f t="shared" si="287"/>
        <v>0.0256045526864671-0.125447803890459i</v>
      </c>
      <c r="AP571" s="170" t="str">
        <f t="shared" si="288"/>
        <v>-0.153335705653063-0.0653141573447515i</v>
      </c>
      <c r="AQ571" s="170" t="str">
        <f t="shared" si="289"/>
        <v>1.15333570565306+0.0653141573447515i</v>
      </c>
      <c r="AR571" s="170" t="str">
        <f t="shared" si="290"/>
        <v>0.719943966895092-0.0407708989695804i</v>
      </c>
    </row>
    <row r="572" spans="7:44">
      <c r="G572" s="688">
        <v>98862</v>
      </c>
      <c r="H572" s="676">
        <f t="shared" si="282"/>
        <v>98.861999999999995</v>
      </c>
      <c r="I572" s="677">
        <f t="shared" si="262"/>
        <v>86.98301602726788</v>
      </c>
      <c r="J572" s="678">
        <f t="shared" si="263"/>
        <v>1.5592995763345761</v>
      </c>
      <c r="K572" s="678">
        <f t="shared" si="264"/>
        <v>1.0092943776016883</v>
      </c>
      <c r="L572" s="679">
        <f t="shared" si="265"/>
        <v>0.13581572877267373</v>
      </c>
      <c r="M572" s="678">
        <f t="shared" si="266"/>
        <v>1.9092449034421821</v>
      </c>
      <c r="N572" s="679">
        <f t="shared" si="267"/>
        <v>-1.019528954527847</v>
      </c>
      <c r="O572" s="677">
        <f t="shared" si="268"/>
        <v>8833012.7301287483</v>
      </c>
      <c r="P572" s="680">
        <f t="shared" si="269"/>
        <v>1.5707962135832405</v>
      </c>
      <c r="Q572" s="689">
        <f t="shared" si="291"/>
        <v>44.176383365610519</v>
      </c>
      <c r="R572" s="690">
        <f t="shared" si="292"/>
        <v>1.5481578637614086</v>
      </c>
      <c r="S572" s="677">
        <f t="shared" si="270"/>
        <v>1.0424448367449664</v>
      </c>
      <c r="T572" s="680">
        <f t="shared" si="271"/>
        <v>0.28634235938466024</v>
      </c>
      <c r="U572" s="681">
        <f t="shared" si="283"/>
        <v>9.1929751735478141E-2</v>
      </c>
      <c r="V572" s="682">
        <f t="shared" si="284"/>
        <v>-1.490470997404685</v>
      </c>
      <c r="W572" s="683">
        <f t="shared" si="272"/>
        <v>-50.836862404977396</v>
      </c>
      <c r="X572" s="684">
        <f t="shared" si="273"/>
        <v>-243.07531136035939</v>
      </c>
      <c r="Y572" s="687">
        <f t="shared" si="274"/>
        <v>-63.075311360359393</v>
      </c>
      <c r="AA572" s="170">
        <f t="shared" si="275"/>
        <v>98862</v>
      </c>
      <c r="AB572" s="170">
        <f t="shared" si="276"/>
        <v>9773695044</v>
      </c>
      <c r="AD572" s="686">
        <f t="shared" si="277"/>
        <v>-1.2739855139887757</v>
      </c>
      <c r="AE572" s="687">
        <f t="shared" si="278"/>
        <v>-17.703290608719929</v>
      </c>
      <c r="AG572" s="686">
        <f t="shared" si="279"/>
        <v>49.628694121774004</v>
      </c>
      <c r="AH572" s="687">
        <f t="shared" si="280"/>
        <v>-54.576625280591848</v>
      </c>
      <c r="AJ572" s="170">
        <f t="shared" si="281"/>
        <v>0</v>
      </c>
      <c r="AK572" s="170">
        <f t="shared" si="293"/>
        <v>0</v>
      </c>
      <c r="AM572" s="170" t="str">
        <f t="shared" si="285"/>
        <v>1.97491692127014+0.222569082806104i</v>
      </c>
      <c r="AN572" s="170" t="str">
        <f t="shared" si="286"/>
        <v>15.483514405327i</v>
      </c>
      <c r="AO572" s="170" t="str">
        <f t="shared" si="287"/>
        <v>0.0143745842823339-0.127549655044121i</v>
      </c>
      <c r="AP572" s="170" t="str">
        <f t="shared" si="288"/>
        <v>-0.162486153545023-0.0370948471343507i</v>
      </c>
      <c r="AQ572" s="170" t="str">
        <f t="shared" si="289"/>
        <v>1.16248615354502+0.0370948471343507i</v>
      </c>
      <c r="AR572" s="170" t="str">
        <f t="shared" si="290"/>
        <v>0.715838776678121-0.0228423623909316i</v>
      </c>
    </row>
    <row r="573" spans="7:44">
      <c r="G573" s="688">
        <v>100000</v>
      </c>
      <c r="H573" s="676">
        <f t="shared" si="282"/>
        <v>100</v>
      </c>
      <c r="I573" s="677">
        <f t="shared" si="262"/>
        <v>87.984145517444503</v>
      </c>
      <c r="J573" s="678">
        <f t="shared" si="263"/>
        <v>1.559430398022547</v>
      </c>
      <c r="K573" s="678">
        <f t="shared" si="264"/>
        <v>1.0095085705811724</v>
      </c>
      <c r="L573" s="679">
        <f t="shared" si="265"/>
        <v>0.1373596214910808</v>
      </c>
      <c r="M573" s="678">
        <f t="shared" si="266"/>
        <v>1.9252181018532315</v>
      </c>
      <c r="N573" s="679">
        <f t="shared" si="267"/>
        <v>-1.0246223072187124</v>
      </c>
      <c r="O573" s="677">
        <f t="shared" si="268"/>
        <v>8934689.4966000579</v>
      </c>
      <c r="P573" s="680">
        <f t="shared" si="269"/>
        <v>1.570796214871589</v>
      </c>
      <c r="Q573" s="689">
        <f t="shared" si="291"/>
        <v>44.6846384120579</v>
      </c>
      <c r="R573" s="690">
        <f t="shared" si="292"/>
        <v>1.5484154029537154</v>
      </c>
      <c r="S573" s="677">
        <f t="shared" si="270"/>
        <v>1.0434071733192467</v>
      </c>
      <c r="T573" s="680">
        <f t="shared" si="271"/>
        <v>0.28945833660201054</v>
      </c>
      <c r="U573" s="681">
        <f t="shared" si="283"/>
        <v>9.1165155921522301E-2</v>
      </c>
      <c r="V573" s="682">
        <f t="shared" si="284"/>
        <v>-1.5542883861886518</v>
      </c>
      <c r="W573" s="683">
        <f t="shared" si="272"/>
        <v>-50.942661750194134</v>
      </c>
      <c r="X573" s="684">
        <f t="shared" si="273"/>
        <v>-247.10641951704605</v>
      </c>
      <c r="Y573" s="687">
        <f t="shared" si="274"/>
        <v>-67.106419517046049</v>
      </c>
      <c r="AA573" s="170">
        <f t="shared" si="275"/>
        <v>100000</v>
      </c>
      <c r="AB573" s="170">
        <f t="shared" si="276"/>
        <v>10000000000</v>
      </c>
      <c r="AD573" s="686">
        <f t="shared" si="277"/>
        <v>-1.2820505860856466</v>
      </c>
      <c r="AE573" s="687">
        <f t="shared" si="278"/>
        <v>-17.867067117558712</v>
      </c>
      <c r="AG573" s="686">
        <f t="shared" si="279"/>
        <v>49.676048175740632</v>
      </c>
      <c r="AH573" s="687">
        <f t="shared" si="280"/>
        <v>-51.131022846349858</v>
      </c>
      <c r="AJ573" s="170">
        <f t="shared" si="281"/>
        <v>0</v>
      </c>
      <c r="AK573" s="170">
        <f t="shared" si="293"/>
        <v>0</v>
      </c>
      <c r="AM573" s="170" t="str">
        <f t="shared" si="285"/>
        <v>1.99893212893137+0.0462017509261239i</v>
      </c>
      <c r="AN573" s="170" t="str">
        <f t="shared" si="286"/>
        <v>15.6617450641571i</v>
      </c>
      <c r="AO573" s="170" t="str">
        <f t="shared" si="287"/>
        <v>0.00294997465077244-0.127631507264542i</v>
      </c>
      <c r="AP573" s="170" t="str">
        <f t="shared" si="288"/>
        <v>-0.166488688155228-0.00770029182102065i</v>
      </c>
      <c r="AQ573" s="170" t="str">
        <f t="shared" si="289"/>
        <v>1.16648868815523+0.00770029182102065i</v>
      </c>
      <c r="AR573" s="170" t="str">
        <f t="shared" si="290"/>
        <v>0.714077822387067-0.00471381134779392i</v>
      </c>
    </row>
    <row r="574" spans="7:44">
      <c r="G574" s="688">
        <v>101165</v>
      </c>
      <c r="H574" s="676">
        <f t="shared" si="282"/>
        <v>101.16500000000001</v>
      </c>
      <c r="I574" s="677">
        <f t="shared" si="262"/>
        <v>89.009029164813583</v>
      </c>
      <c r="J574" s="678">
        <f t="shared" si="263"/>
        <v>1.5595612751667189</v>
      </c>
      <c r="K574" s="678">
        <f t="shared" si="264"/>
        <v>1.0097303369770765</v>
      </c>
      <c r="L574" s="679">
        <f t="shared" si="265"/>
        <v>0.13893946197889623</v>
      </c>
      <c r="M574" s="678">
        <f t="shared" si="266"/>
        <v>1.9416211515893318</v>
      </c>
      <c r="N574" s="679">
        <f t="shared" si="267"/>
        <v>-1.029749558283763</v>
      </c>
      <c r="O574" s="677">
        <f t="shared" si="268"/>
        <v>9038778.6292354465</v>
      </c>
      <c r="P574" s="680">
        <f t="shared" si="269"/>
        <v>1.57079621616048</v>
      </c>
      <c r="Q574" s="689">
        <f t="shared" si="291"/>
        <v>45.204955234001297</v>
      </c>
      <c r="R574" s="690">
        <f t="shared" si="292"/>
        <v>1.5486730535235336</v>
      </c>
      <c r="S574" s="677">
        <f t="shared" si="270"/>
        <v>1.0444028166630399</v>
      </c>
      <c r="T574" s="680">
        <f t="shared" si="271"/>
        <v>0.29264226297379203</v>
      </c>
      <c r="U574" s="681">
        <f t="shared" si="283"/>
        <v>9.0020760907077904E-2</v>
      </c>
      <c r="V574" s="682">
        <f t="shared" si="284"/>
        <v>-1.6194907517518002</v>
      </c>
      <c r="W574" s="683">
        <f t="shared" si="272"/>
        <v>-51.085713699089595</v>
      </c>
      <c r="X574" s="684">
        <f t="shared" si="273"/>
        <v>-251.22065357204804</v>
      </c>
      <c r="Y574" s="687">
        <f t="shared" si="274"/>
        <v>-71.220653572048036</v>
      </c>
      <c r="AA574" s="170">
        <f t="shared" si="275"/>
        <v>101165</v>
      </c>
      <c r="AB574" s="170">
        <f t="shared" si="276"/>
        <v>10234357225</v>
      </c>
      <c r="AD574" s="686">
        <f t="shared" si="277"/>
        <v>-1.290384718406838</v>
      </c>
      <c r="AE574" s="687">
        <f t="shared" si="278"/>
        <v>-18.034730444742078</v>
      </c>
      <c r="AG574" s="686">
        <f t="shared" si="279"/>
        <v>49.760778341810635</v>
      </c>
      <c r="AH574" s="687">
        <f t="shared" si="280"/>
        <v>-47.605952843555762</v>
      </c>
      <c r="AJ574" s="170">
        <f t="shared" si="281"/>
        <v>0</v>
      </c>
      <c r="AK574" s="170">
        <f t="shared" si="293"/>
        <v>0</v>
      </c>
      <c r="AM574" s="170" t="str">
        <f t="shared" si="285"/>
        <v>1.99073352449617-0.135820040639809i</v>
      </c>
      <c r="AN574" s="170" t="str">
        <f t="shared" si="286"/>
        <v>15.8442043941545i</v>
      </c>
      <c r="AO574" s="170" t="str">
        <f t="shared" si="287"/>
        <v>-0.00857222219942567-0.125644271872094i</v>
      </c>
      <c r="AP574" s="170" t="str">
        <f t="shared" si="288"/>
        <v>-0.165122254082695+0.0226366734399682i</v>
      </c>
      <c r="AQ574" s="170" t="str">
        <f t="shared" si="289"/>
        <v>1.1651222540827-0.0226366734399682i</v>
      </c>
      <c r="AR574" s="170" t="str">
        <f t="shared" si="290"/>
        <v>0.714676664512041+0.0138851542943548i</v>
      </c>
    </row>
    <row r="575" spans="7:44">
      <c r="G575" s="688">
        <v>102330</v>
      </c>
      <c r="H575" s="676">
        <f t="shared" si="282"/>
        <v>102.33</v>
      </c>
      <c r="I575" s="677">
        <f t="shared" si="262"/>
        <v>90.033914302092469</v>
      </c>
      <c r="J575" s="678">
        <f t="shared" si="263"/>
        <v>1.5596891726794007</v>
      </c>
      <c r="K575" s="678">
        <f t="shared" si="264"/>
        <v>1.0099546224444222</v>
      </c>
      <c r="L575" s="679">
        <f t="shared" si="265"/>
        <v>0.1405186047211264</v>
      </c>
      <c r="M575" s="678">
        <f t="shared" si="266"/>
        <v>1.9580743880700942</v>
      </c>
      <c r="N575" s="679">
        <f t="shared" si="267"/>
        <v>-1.0347907738698701</v>
      </c>
      <c r="O575" s="677">
        <f t="shared" si="268"/>
        <v>9142867.7618708368</v>
      </c>
      <c r="P575" s="680">
        <f t="shared" si="269"/>
        <v>1.5707962174200236</v>
      </c>
      <c r="Q575" s="689">
        <f t="shared" si="291"/>
        <v>45.72527498852687</v>
      </c>
      <c r="R575" s="690">
        <f t="shared" si="292"/>
        <v>1.5489248403645344</v>
      </c>
      <c r="S575" s="677">
        <f t="shared" si="270"/>
        <v>1.0454090272929624</v>
      </c>
      <c r="T575" s="680">
        <f t="shared" si="271"/>
        <v>0.29582009242372859</v>
      </c>
      <c r="U575" s="681">
        <f t="shared" si="283"/>
        <v>8.8520169384919356E-2</v>
      </c>
      <c r="V575" s="682">
        <f t="shared" si="284"/>
        <v>-1.6850909092732616</v>
      </c>
      <c r="W575" s="683">
        <f t="shared" si="272"/>
        <v>-51.264353287616359</v>
      </c>
      <c r="X575" s="684">
        <f t="shared" si="273"/>
        <v>-255.35260585248449</v>
      </c>
      <c r="Y575" s="687">
        <f t="shared" si="274"/>
        <v>-75.352605852484487</v>
      </c>
      <c r="AA575" s="170">
        <f t="shared" si="275"/>
        <v>102330</v>
      </c>
      <c r="AB575" s="170">
        <f t="shared" si="276"/>
        <v>10471428900</v>
      </c>
      <c r="AD575" s="686">
        <f t="shared" si="277"/>
        <v>-1.2987970659043269</v>
      </c>
      <c r="AE575" s="687">
        <f t="shared" si="278"/>
        <v>-18.20238040926764</v>
      </c>
      <c r="AG575" s="686">
        <f t="shared" si="279"/>
        <v>49.882568830288214</v>
      </c>
      <c r="AH575" s="687">
        <f t="shared" si="280"/>
        <v>-44.053030828130716</v>
      </c>
      <c r="AJ575" s="170">
        <f t="shared" si="281"/>
        <v>0</v>
      </c>
      <c r="AK575" s="170">
        <f t="shared" si="293"/>
        <v>0</v>
      </c>
      <c r="AM575" s="170" t="str">
        <f t="shared" si="285"/>
        <v>1.949643409449-0.313332722341721i</v>
      </c>
      <c r="AN575" s="170" t="str">
        <f t="shared" si="286"/>
        <v>16.026663724152i</v>
      </c>
      <c r="AO575" s="170" t="str">
        <f t="shared" si="287"/>
        <v>-0.0195507142181771-0.121649985487055i</v>
      </c>
      <c r="AP575" s="170" t="str">
        <f t="shared" si="288"/>
        <v>-0.158273901574834+0.0522221203902868i</v>
      </c>
      <c r="AQ575" s="170" t="str">
        <f t="shared" si="289"/>
        <v>1.15827390157483-0.0522221203902868i</v>
      </c>
      <c r="AR575" s="170" t="str">
        <f t="shared" si="290"/>
        <v>0.717714647181078+0.0323589961407251i</v>
      </c>
    </row>
    <row r="576" spans="7:44">
      <c r="G576" s="688">
        <v>103520</v>
      </c>
      <c r="H576" s="676">
        <f t="shared" si="282"/>
        <v>103.52</v>
      </c>
      <c r="I576" s="677">
        <f t="shared" si="262"/>
        <v>91.080794168574386</v>
      </c>
      <c r="J576" s="678">
        <f t="shared" si="263"/>
        <v>1.559816843129636</v>
      </c>
      <c r="K576" s="678">
        <f t="shared" si="264"/>
        <v>1.0101863198973022</v>
      </c>
      <c r="L576" s="679">
        <f t="shared" si="265"/>
        <v>0.14213090657764113</v>
      </c>
      <c r="M576" s="678">
        <f t="shared" si="266"/>
        <v>1.9749312077765033</v>
      </c>
      <c r="N576" s="679">
        <f t="shared" si="267"/>
        <v>-1.0398533182547149</v>
      </c>
      <c r="O576" s="677">
        <f t="shared" si="268"/>
        <v>9249190.5668803751</v>
      </c>
      <c r="P576" s="680">
        <f t="shared" si="269"/>
        <v>1.5707962186773274</v>
      </c>
      <c r="Q576" s="689">
        <f t="shared" si="291"/>
        <v>46.25676332777401</v>
      </c>
      <c r="R576" s="690">
        <f t="shared" si="292"/>
        <v>1.5491761822493197</v>
      </c>
      <c r="S576" s="677">
        <f t="shared" si="270"/>
        <v>1.0464477085955917</v>
      </c>
      <c r="T576" s="680">
        <f t="shared" si="271"/>
        <v>0.29905977271074385</v>
      </c>
      <c r="U576" s="681">
        <f t="shared" si="283"/>
        <v>8.6618185753695912E-2</v>
      </c>
      <c r="V576" s="682">
        <f t="shared" si="284"/>
        <v>-1.7530696468267521</v>
      </c>
      <c r="W576" s="683">
        <f t="shared" si="272"/>
        <v>-51.485654929244816</v>
      </c>
      <c r="X576" s="684">
        <f t="shared" si="273"/>
        <v>-259.62371917918711</v>
      </c>
      <c r="Y576" s="687">
        <f t="shared" si="274"/>
        <v>-79.623719179187106</v>
      </c>
      <c r="AA576" s="170">
        <f t="shared" si="275"/>
        <v>103520</v>
      </c>
      <c r="AB576" s="170">
        <f t="shared" si="276"/>
        <v>10716390400</v>
      </c>
      <c r="AD576" s="686">
        <f t="shared" si="277"/>
        <v>-1.3074702545339481</v>
      </c>
      <c r="AE576" s="687">
        <f t="shared" si="278"/>
        <v>-18.373599659706123</v>
      </c>
      <c r="AG576" s="686">
        <f t="shared" si="279"/>
        <v>50.047266506788745</v>
      </c>
      <c r="AH576" s="687">
        <f t="shared" si="280"/>
        <v>-40.363135378608796</v>
      </c>
      <c r="AJ576" s="170">
        <f t="shared" si="281"/>
        <v>0</v>
      </c>
      <c r="AK576" s="170">
        <f t="shared" si="293"/>
        <v>0</v>
      </c>
      <c r="AM576" s="170" t="str">
        <f t="shared" si="285"/>
        <v>1.87513807876124-0.483873271737632i</v>
      </c>
      <c r="AN576" s="170" t="str">
        <f t="shared" si="286"/>
        <v>16.2130384904154i</v>
      </c>
      <c r="AO576" s="170" t="str">
        <f t="shared" si="287"/>
        <v>-0.0298447001173581-0.115656178813722i</v>
      </c>
      <c r="AP576" s="170" t="str">
        <f t="shared" si="288"/>
        <v>-0.145856346460207+0.0806455452896053i</v>
      </c>
      <c r="AQ576" s="170" t="str">
        <f t="shared" si="289"/>
        <v>1.14585634646021-0.0806455452896053i</v>
      </c>
      <c r="AR576" s="170" t="str">
        <f t="shared" si="290"/>
        <v>0.723384031789399+0.050911879030619i</v>
      </c>
    </row>
    <row r="577" spans="7:44">
      <c r="G577" s="688">
        <v>104710</v>
      </c>
      <c r="H577" s="676">
        <f t="shared" si="282"/>
        <v>104.71</v>
      </c>
      <c r="I577" s="677">
        <f t="shared" si="262"/>
        <v>92.127675485909961</v>
      </c>
      <c r="J577" s="678">
        <f t="shared" si="263"/>
        <v>1.5599416120474814</v>
      </c>
      <c r="K577" s="678">
        <f t="shared" si="264"/>
        <v>1.0104206421386688</v>
      </c>
      <c r="L577" s="679">
        <f t="shared" si="265"/>
        <v>0.14374246481804442</v>
      </c>
      <c r="M577" s="678">
        <f t="shared" si="266"/>
        <v>1.9918377862232208</v>
      </c>
      <c r="N577" s="679">
        <f t="shared" si="267"/>
        <v>-1.0448300473556673</v>
      </c>
      <c r="O577" s="677">
        <f t="shared" si="268"/>
        <v>9355513.3718899153</v>
      </c>
      <c r="P577" s="680">
        <f t="shared" si="269"/>
        <v>1.5707962199060537</v>
      </c>
      <c r="Q577" s="689">
        <f t="shared" si="291"/>
        <v>46.788254522799321</v>
      </c>
      <c r="R577" s="690">
        <f t="shared" si="292"/>
        <v>1.5494218139128584</v>
      </c>
      <c r="S577" s="677">
        <f t="shared" si="270"/>
        <v>1.0474973510714902</v>
      </c>
      <c r="T577" s="680">
        <f t="shared" si="271"/>
        <v>0.3022929942463648</v>
      </c>
      <c r="U577" s="681">
        <f t="shared" si="283"/>
        <v>8.4329986465664405E-2</v>
      </c>
      <c r="V577" s="682">
        <f t="shared" si="284"/>
        <v>-1.8226145169879986</v>
      </c>
      <c r="W577" s="683">
        <f t="shared" si="272"/>
        <v>-51.750161557196073</v>
      </c>
      <c r="X577" s="684">
        <f t="shared" si="273"/>
        <v>-263.97948191223304</v>
      </c>
      <c r="Y577" s="687">
        <f t="shared" si="274"/>
        <v>-83.979481912233041</v>
      </c>
      <c r="AA577" s="170">
        <f t="shared" si="275"/>
        <v>104710</v>
      </c>
      <c r="AB577" s="170">
        <f t="shared" si="276"/>
        <v>10964184100</v>
      </c>
      <c r="AD577" s="686">
        <f t="shared" si="277"/>
        <v>-1.3162241675503583</v>
      </c>
      <c r="AE577" s="687">
        <f t="shared" si="278"/>
        <v>-18.544776020888897</v>
      </c>
      <c r="AG577" s="686">
        <f t="shared" si="279"/>
        <v>50.256595888760948</v>
      </c>
      <c r="AH577" s="687">
        <f t="shared" si="280"/>
        <v>-36.57846664731629</v>
      </c>
      <c r="AJ577" s="170">
        <f t="shared" si="281"/>
        <v>0</v>
      </c>
      <c r="AK577" s="170">
        <f t="shared" si="293"/>
        <v>0</v>
      </c>
      <c r="AM577" s="170" t="str">
        <f t="shared" si="285"/>
        <v>1.77032223282049-0.637654810710663i</v>
      </c>
      <c r="AN577" s="170" t="str">
        <f t="shared" si="286"/>
        <v>16.3994132566789i</v>
      </c>
      <c r="AO577" s="170" t="str">
        <f t="shared" si="287"/>
        <v>-0.038882782007519-0.107950339753741i</v>
      </c>
      <c r="AP577" s="170" t="str">
        <f t="shared" si="288"/>
        <v>-0.128387038803415+0.10627580178511i</v>
      </c>
      <c r="AQ577" s="170" t="str">
        <f t="shared" si="289"/>
        <v>1.12838703880341-0.10627580178511i</v>
      </c>
      <c r="AR577" s="170" t="str">
        <f t="shared" si="290"/>
        <v>0.73173099192778+0.0689172200529743i</v>
      </c>
    </row>
    <row r="578" spans="7:44">
      <c r="G578" s="688">
        <v>105930</v>
      </c>
      <c r="H578" s="676">
        <f t="shared" si="282"/>
        <v>105.93</v>
      </c>
      <c r="I578" s="677">
        <f t="shared" si="262"/>
        <v>93.200950224226659</v>
      </c>
      <c r="J578" s="678">
        <f t="shared" si="263"/>
        <v>1.5600666165759336</v>
      </c>
      <c r="K578" s="678">
        <f t="shared" si="264"/>
        <v>1.0106635946313645</v>
      </c>
      <c r="L578" s="679">
        <f t="shared" si="265"/>
        <v>0.14539387038639978</v>
      </c>
      <c r="M578" s="678">
        <f t="shared" si="266"/>
        <v>2.0092209221548281</v>
      </c>
      <c r="N578" s="679">
        <f t="shared" si="267"/>
        <v>-1.0498451656236452</v>
      </c>
      <c r="O578" s="677">
        <f t="shared" si="268"/>
        <v>9464516.5837484356</v>
      </c>
      <c r="P578" s="680">
        <f t="shared" si="269"/>
        <v>1.5707962211370967</v>
      </c>
      <c r="Q578" s="689">
        <f t="shared" si="291"/>
        <v>47.333147519483681</v>
      </c>
      <c r="R578" s="690">
        <f t="shared" si="292"/>
        <v>1.549667911341011</v>
      </c>
      <c r="S578" s="677">
        <f t="shared" si="270"/>
        <v>1.0485847998156839</v>
      </c>
      <c r="T578" s="680">
        <f t="shared" si="271"/>
        <v>0.30560097017740989</v>
      </c>
      <c r="U578" s="681">
        <f t="shared" si="283"/>
        <v>8.1557034457474614E-2</v>
      </c>
      <c r="V578" s="682">
        <f t="shared" si="284"/>
        <v>-1.8961784888743101</v>
      </c>
      <c r="W578" s="683">
        <f t="shared" si="272"/>
        <v>-52.072673371475979</v>
      </c>
      <c r="X578" s="684">
        <f t="shared" si="273"/>
        <v>-268.56970858999722</v>
      </c>
      <c r="Y578" s="687">
        <f t="shared" si="274"/>
        <v>-88.569708589997219</v>
      </c>
      <c r="AA578" s="170">
        <f t="shared" si="275"/>
        <v>105930</v>
      </c>
      <c r="AB578" s="170">
        <f t="shared" si="276"/>
        <v>11221164900</v>
      </c>
      <c r="AD578" s="686">
        <f t="shared" si="277"/>
        <v>-1.3252820918636843</v>
      </c>
      <c r="AE578" s="687">
        <f t="shared" si="278"/>
        <v>-18.720208807220502</v>
      </c>
      <c r="AG578" s="686">
        <f t="shared" si="279"/>
        <v>50.523966193428329</v>
      </c>
      <c r="AH578" s="687">
        <f t="shared" si="280"/>
        <v>-32.563450302507043</v>
      </c>
      <c r="AJ578" s="170">
        <f t="shared" si="281"/>
        <v>0</v>
      </c>
      <c r="AK578" s="170">
        <f t="shared" si="293"/>
        <v>0</v>
      </c>
      <c r="AM578" s="170" t="str">
        <f t="shared" si="285"/>
        <v>1.63520432906162-0.772344133363738i</v>
      </c>
      <c r="AN578" s="170" t="str">
        <f t="shared" si="286"/>
        <v>16.5904865464616i</v>
      </c>
      <c r="AO578" s="170" t="str">
        <f t="shared" si="287"/>
        <v>-0.0465534347772617-0.0985627711690212i</v>
      </c>
      <c r="AP578" s="170" t="str">
        <f t="shared" si="288"/>
        <v>-0.105867388176936+0.12872402222729i</v>
      </c>
      <c r="AQ578" s="170" t="str">
        <f t="shared" si="289"/>
        <v>1.10586738817694-0.12872402222729i</v>
      </c>
      <c r="AR578" s="170" t="str">
        <f t="shared" si="290"/>
        <v>0.743185320133147+0.0865074824437342i</v>
      </c>
    </row>
    <row r="579" spans="7:44">
      <c r="G579" s="688">
        <v>107150</v>
      </c>
      <c r="H579" s="676">
        <f t="shared" si="282"/>
        <v>107.15</v>
      </c>
      <c r="I579" s="677">
        <f t="shared" si="262"/>
        <v>94.274226385753309</v>
      </c>
      <c r="J579" s="678">
        <f t="shared" si="263"/>
        <v>1.5601887748483656</v>
      </c>
      <c r="K579" s="678">
        <f t="shared" si="264"/>
        <v>1.010909302016338</v>
      </c>
      <c r="L579" s="679">
        <f t="shared" si="265"/>
        <v>0.14704447768692391</v>
      </c>
      <c r="M579" s="678">
        <f t="shared" si="266"/>
        <v>2.0266537251949304</v>
      </c>
      <c r="N579" s="679">
        <f t="shared" si="267"/>
        <v>-1.0547741283359136</v>
      </c>
      <c r="O579" s="677">
        <f t="shared" si="268"/>
        <v>9573519.795606954</v>
      </c>
      <c r="P579" s="680">
        <f t="shared" si="269"/>
        <v>1.5707962223401066</v>
      </c>
      <c r="Q579" s="689">
        <f t="shared" si="291"/>
        <v>47.87804331759947</v>
      </c>
      <c r="R579" s="690">
        <f t="shared" si="292"/>
        <v>1.5499084071571037</v>
      </c>
      <c r="S579" s="677">
        <f t="shared" si="270"/>
        <v>1.0496836990662564</v>
      </c>
      <c r="T579" s="680">
        <f t="shared" si="271"/>
        <v>0.30890205602066151</v>
      </c>
      <c r="U579" s="681">
        <f t="shared" si="283"/>
        <v>7.8312360031988659E-2</v>
      </c>
      <c r="V579" s="682">
        <f t="shared" si="284"/>
        <v>-1.972718883740747</v>
      </c>
      <c r="W579" s="683">
        <f t="shared" si="272"/>
        <v>-52.456741574628026</v>
      </c>
      <c r="X579" s="684">
        <f t="shared" si="273"/>
        <v>-273.32534422612616</v>
      </c>
      <c r="Y579" s="687">
        <f t="shared" si="274"/>
        <v>-93.325344226126163</v>
      </c>
      <c r="AA579" s="170">
        <f t="shared" si="275"/>
        <v>107150</v>
      </c>
      <c r="AB579" s="170">
        <f t="shared" si="276"/>
        <v>11481122500</v>
      </c>
      <c r="AD579" s="686">
        <f t="shared" si="277"/>
        <v>-1.3344238827034316</v>
      </c>
      <c r="AE579" s="687">
        <f t="shared" si="278"/>
        <v>-18.895567767724309</v>
      </c>
      <c r="AG579" s="686">
        <f t="shared" si="279"/>
        <v>50.854284326622647</v>
      </c>
      <c r="AH579" s="687">
        <f t="shared" si="280"/>
        <v>-28.372843791886723</v>
      </c>
      <c r="AJ579" s="170">
        <f t="shared" si="281"/>
        <v>0</v>
      </c>
      <c r="AK579" s="170">
        <f t="shared" si="293"/>
        <v>0</v>
      </c>
      <c r="AM579" s="170" t="str">
        <f t="shared" si="285"/>
        <v>1.47696621903487-0.878921626710587i</v>
      </c>
      <c r="AN579" s="170" t="str">
        <f t="shared" si="286"/>
        <v>16.7815598362443i</v>
      </c>
      <c r="AO579" s="170" t="str">
        <f t="shared" si="287"/>
        <v>-0.0523742509806698-0.0880112595877389i</v>
      </c>
      <c r="AP579" s="170" t="str">
        <f t="shared" si="288"/>
        <v>-0.0794943698391443+0.146486937785098i</v>
      </c>
      <c r="AQ579" s="170" t="str">
        <f t="shared" si="289"/>
        <v>1.07949436983914-0.146486937785098i</v>
      </c>
      <c r="AR579" s="170" t="str">
        <f t="shared" si="290"/>
        <v>0.757704903912828+0.102820240864695i</v>
      </c>
    </row>
    <row r="580" spans="7:44">
      <c r="G580" s="688">
        <v>108400</v>
      </c>
      <c r="H580" s="676">
        <f t="shared" si="282"/>
        <v>108.4</v>
      </c>
      <c r="I580" s="677">
        <f t="shared" si="262"/>
        <v>95.373896009931585</v>
      </c>
      <c r="J580" s="678">
        <f t="shared" si="263"/>
        <v>1.5603110853876239</v>
      </c>
      <c r="K580" s="678">
        <f t="shared" si="264"/>
        <v>1.0111639066260809</v>
      </c>
      <c r="L580" s="679">
        <f t="shared" si="265"/>
        <v>0.14873483694510584</v>
      </c>
      <c r="M580" s="678">
        <f t="shared" si="266"/>
        <v>2.0445653893130618</v>
      </c>
      <c r="N580" s="679">
        <f t="shared" si="267"/>
        <v>-1.0597369929334857</v>
      </c>
      <c r="O580" s="677">
        <f t="shared" si="268"/>
        <v>9685203.4143144526</v>
      </c>
      <c r="P580" s="680">
        <f t="shared" si="269"/>
        <v>1.5707962235446129</v>
      </c>
      <c r="Q580" s="689">
        <f t="shared" si="291"/>
        <v>48.43634099946221</v>
      </c>
      <c r="R580" s="690">
        <f t="shared" si="292"/>
        <v>1.5501492045410799</v>
      </c>
      <c r="S580" s="677">
        <f t="shared" si="270"/>
        <v>1.0508214591856999</v>
      </c>
      <c r="T580" s="680">
        <f t="shared" si="271"/>
        <v>0.3122771172885786</v>
      </c>
      <c r="U580" s="681">
        <f t="shared" si="283"/>
        <v>7.4443958003651597E-2</v>
      </c>
      <c r="V580" s="682">
        <f t="shared" si="284"/>
        <v>-2.0549786579539253</v>
      </c>
      <c r="W580" s="683">
        <f t="shared" si="272"/>
        <v>-52.928326290171874</v>
      </c>
      <c r="X580" s="684">
        <f t="shared" si="273"/>
        <v>-278.41257090156711</v>
      </c>
      <c r="Y580" s="687">
        <f t="shared" si="274"/>
        <v>-98.412570901567108</v>
      </c>
      <c r="AA580" s="170">
        <f t="shared" si="275"/>
        <v>108400</v>
      </c>
      <c r="AB580" s="170">
        <f t="shared" si="276"/>
        <v>11750560000</v>
      </c>
      <c r="AD580" s="686">
        <f t="shared" si="277"/>
        <v>-1.343876928019917</v>
      </c>
      <c r="AE580" s="687">
        <f t="shared" si="278"/>
        <v>-19.075147929372726</v>
      </c>
      <c r="AG580" s="686">
        <f t="shared" si="279"/>
        <v>51.272186923266325</v>
      </c>
      <c r="AH580" s="687">
        <f t="shared" si="280"/>
        <v>-23.854214522679797</v>
      </c>
      <c r="AJ580" s="170">
        <f t="shared" si="281"/>
        <v>0</v>
      </c>
      <c r="AK580" s="170">
        <f t="shared" si="293"/>
        <v>0</v>
      </c>
      <c r="AM580" s="170" t="str">
        <f t="shared" si="285"/>
        <v>1.29688407306259-0.954913528630614i</v>
      </c>
      <c r="AN580" s="170" t="str">
        <f t="shared" si="286"/>
        <v>16.9773316495463i</v>
      </c>
      <c r="AO580" s="170" t="str">
        <f t="shared" si="287"/>
        <v>-0.0562463847878081-0.0763891581924329i</v>
      </c>
      <c r="AP580" s="170" t="str">
        <f t="shared" si="288"/>
        <v>-0.0494806788437642+0.159152254771769i</v>
      </c>
      <c r="AQ580" s="170" t="str">
        <f t="shared" si="289"/>
        <v>1.04948067884376-0.159152254771769i</v>
      </c>
      <c r="AR580" s="170" t="str">
        <f t="shared" si="290"/>
        <v>0.775882702535078+0.117661510150826i</v>
      </c>
    </row>
    <row r="581" spans="7:44">
      <c r="G581" s="688">
        <v>109650</v>
      </c>
      <c r="H581" s="676">
        <f t="shared" si="282"/>
        <v>109.65</v>
      </c>
      <c r="I581" s="677">
        <f t="shared" si="262"/>
        <v>96.473567028363959</v>
      </c>
      <c r="J581" s="678">
        <f t="shared" si="263"/>
        <v>1.5604306075720034</v>
      </c>
      <c r="K581" s="678">
        <f t="shared" si="264"/>
        <v>1.0114213989896221</v>
      </c>
      <c r="L581" s="679">
        <f t="shared" si="265"/>
        <v>0.15042434034964994</v>
      </c>
      <c r="M581" s="678">
        <f t="shared" si="266"/>
        <v>2.0625265357658824</v>
      </c>
      <c r="N581" s="679">
        <f t="shared" si="267"/>
        <v>-1.0646135394535661</v>
      </c>
      <c r="O581" s="677">
        <f t="shared" si="268"/>
        <v>9796887.0330219511</v>
      </c>
      <c r="P581" s="680">
        <f t="shared" si="269"/>
        <v>1.5707962247216567</v>
      </c>
      <c r="Q581" s="689">
        <f t="shared" si="291"/>
        <v>48.994641425821428</v>
      </c>
      <c r="R581" s="690">
        <f t="shared" si="292"/>
        <v>1.5503845141022941</v>
      </c>
      <c r="S581" s="677">
        <f t="shared" si="270"/>
        <v>1.0519711632812589</v>
      </c>
      <c r="T581" s="680">
        <f t="shared" si="271"/>
        <v>0.31564483960903966</v>
      </c>
      <c r="U581" s="681">
        <f t="shared" si="283"/>
        <v>6.9956830801768885E-2</v>
      </c>
      <c r="V581" s="682">
        <f t="shared" si="284"/>
        <v>-2.1419096934334116</v>
      </c>
      <c r="W581" s="683">
        <f t="shared" si="272"/>
        <v>-53.499246745685511</v>
      </c>
      <c r="X581" s="684">
        <f t="shared" si="273"/>
        <v>-283.76227868396364</v>
      </c>
      <c r="Y581" s="687">
        <f t="shared" si="274"/>
        <v>-103.76227868396364</v>
      </c>
      <c r="AA581" s="170">
        <f t="shared" si="275"/>
        <v>109650</v>
      </c>
      <c r="AB581" s="170">
        <f t="shared" si="276"/>
        <v>12023122500</v>
      </c>
      <c r="AD581" s="686">
        <f t="shared" si="277"/>
        <v>-1.3534169332195933</v>
      </c>
      <c r="AE581" s="687">
        <f t="shared" si="278"/>
        <v>-19.254622027815227</v>
      </c>
      <c r="AG581" s="686">
        <f t="shared" si="279"/>
        <v>51.790779620684752</v>
      </c>
      <c r="AH581" s="687">
        <f t="shared" si="280"/>
        <v>-19.062885311897904</v>
      </c>
      <c r="AJ581" s="170">
        <f t="shared" si="281"/>
        <v>0</v>
      </c>
      <c r="AK581" s="170">
        <f t="shared" si="293"/>
        <v>0</v>
      </c>
      <c r="AM581" s="170" t="str">
        <f t="shared" si="285"/>
        <v>1.10545966451217-0.994423581358056i</v>
      </c>
      <c r="AN581" s="170" t="str">
        <f t="shared" si="286"/>
        <v>17.1731034628483i</v>
      </c>
      <c r="AO581" s="170" t="str">
        <f t="shared" si="287"/>
        <v>-0.057905874934566-0.0643715719120707i</v>
      </c>
      <c r="AP581" s="170" t="str">
        <f t="shared" si="288"/>
        <v>-0.0175766107520277+0.165737263559676i</v>
      </c>
      <c r="AQ581" s="170" t="str">
        <f t="shared" si="289"/>
        <v>1.01757661075203-0.165737263559676i</v>
      </c>
      <c r="AR581" s="170" t="str">
        <f t="shared" si="290"/>
        <v>0.797456577453423+0.129885327117648i</v>
      </c>
    </row>
    <row r="582" spans="7:44">
      <c r="G582" s="688">
        <v>110925</v>
      </c>
      <c r="H582" s="676">
        <f t="shared" si="282"/>
        <v>110.925</v>
      </c>
      <c r="I582" s="677">
        <f t="shared" si="262"/>
        <v>97.595232854648543</v>
      </c>
      <c r="J582" s="678">
        <f t="shared" si="263"/>
        <v>1.5605497453820305</v>
      </c>
      <c r="K582" s="678">
        <f t="shared" si="264"/>
        <v>1.0116870138775818</v>
      </c>
      <c r="L582" s="679">
        <f t="shared" si="265"/>
        <v>0.15214674280095106</v>
      </c>
      <c r="M582" s="678">
        <f t="shared" si="266"/>
        <v>2.0808965530230763</v>
      </c>
      <c r="N582" s="679">
        <f t="shared" si="267"/>
        <v>-1.0695007726805621</v>
      </c>
      <c r="O582" s="677">
        <f t="shared" si="268"/>
        <v>9910804.3241036013</v>
      </c>
      <c r="P582" s="680">
        <f t="shared" si="269"/>
        <v>1.5707962258949124</v>
      </c>
      <c r="Q582" s="689">
        <f t="shared" si="291"/>
        <v>49.564110591906541</v>
      </c>
      <c r="R582" s="690">
        <f t="shared" si="292"/>
        <v>1.5506190685952697</v>
      </c>
      <c r="S582" s="677">
        <f t="shared" si="270"/>
        <v>1.0531561255740183</v>
      </c>
      <c r="T582" s="680">
        <f t="shared" si="271"/>
        <v>0.3190723016321359</v>
      </c>
      <c r="U582" s="681">
        <f t="shared" si="283"/>
        <v>6.4661518860197262E-2</v>
      </c>
      <c r="V582" s="682">
        <f t="shared" si="284"/>
        <v>-2.2362117311829444</v>
      </c>
      <c r="W582" s="683">
        <f t="shared" si="272"/>
        <v>-54.213856751513198</v>
      </c>
      <c r="X582" s="684">
        <f t="shared" si="273"/>
        <v>-289.53648518618274</v>
      </c>
      <c r="Y582" s="687">
        <f t="shared" si="274"/>
        <v>-109.53648518618274</v>
      </c>
      <c r="AA582" s="170">
        <f t="shared" si="275"/>
        <v>110925</v>
      </c>
      <c r="AB582" s="170">
        <f t="shared" si="276"/>
        <v>12304355625</v>
      </c>
      <c r="AD582" s="686">
        <f t="shared" si="277"/>
        <v>-1.36323674647543</v>
      </c>
      <c r="AE582" s="687">
        <f t="shared" si="278"/>
        <v>-19.437562221098322</v>
      </c>
      <c r="AG582" s="686">
        <f t="shared" si="279"/>
        <v>52.453358429948253</v>
      </c>
      <c r="AH582" s="687">
        <f t="shared" si="280"/>
        <v>-13.847934083422777</v>
      </c>
      <c r="AJ582" s="170">
        <f t="shared" si="281"/>
        <v>0</v>
      </c>
      <c r="AK582" s="170">
        <f t="shared" si="293"/>
        <v>0</v>
      </c>
      <c r="AM582" s="170" t="str">
        <f t="shared" si="285"/>
        <v>0.906107389270551-0.995582330925177i</v>
      </c>
      <c r="AN582" s="170" t="str">
        <f t="shared" si="286"/>
        <v>17.3727907124163i</v>
      </c>
      <c r="AO582" s="170" t="str">
        <f t="shared" si="287"/>
        <v>-0.0573069892687786-0.0521566974627144i</v>
      </c>
      <c r="AP582" s="170" t="str">
        <f t="shared" si="288"/>
        <v>0.0156487684549081+0.16593038848753i</v>
      </c>
      <c r="AQ582" s="170" t="str">
        <f t="shared" si="289"/>
        <v>0.984351231545092-0.16593038848753i</v>
      </c>
      <c r="AR582" s="170" t="str">
        <f t="shared" si="290"/>
        <v>0.822860847860716+0.138708233180539i</v>
      </c>
    </row>
    <row r="583" spans="7:44">
      <c r="G583" s="688">
        <v>112200</v>
      </c>
      <c r="H583" s="676">
        <f t="shared" si="282"/>
        <v>112.2</v>
      </c>
      <c r="I583" s="677">
        <f t="shared" si="262"/>
        <v>98.716900034702434</v>
      </c>
      <c r="J583" s="678">
        <f t="shared" si="263"/>
        <v>1.5606661757956273</v>
      </c>
      <c r="K583" s="678">
        <f t="shared" si="264"/>
        <v>1.0119556285265037</v>
      </c>
      <c r="L583" s="679">
        <f t="shared" si="265"/>
        <v>0.15386823596418936</v>
      </c>
      <c r="M583" s="678">
        <f t="shared" si="266"/>
        <v>2.0993154020720004</v>
      </c>
      <c r="N583" s="679">
        <f t="shared" si="267"/>
        <v>-1.0743023602900879</v>
      </c>
      <c r="O583" s="677">
        <f t="shared" si="268"/>
        <v>10024721.615185251</v>
      </c>
      <c r="P583" s="680">
        <f t="shared" si="269"/>
        <v>1.570796227041503</v>
      </c>
      <c r="Q583" s="689">
        <f t="shared" si="291"/>
        <v>50.133582422853401</v>
      </c>
      <c r="R583" s="690">
        <f t="shared" si="292"/>
        <v>1.5508482944498374</v>
      </c>
      <c r="S583" s="677">
        <f t="shared" si="270"/>
        <v>1.0543534319203307</v>
      </c>
      <c r="T583" s="680">
        <f t="shared" si="271"/>
        <v>0.32249201941415773</v>
      </c>
      <c r="U583" s="681">
        <f t="shared" si="283"/>
        <v>5.8555321822017448E-2</v>
      </c>
      <c r="V583" s="682">
        <f t="shared" si="284"/>
        <v>-2.3369806035715057</v>
      </c>
      <c r="W583" s="683">
        <f t="shared" si="272"/>
        <v>-55.105764612362492</v>
      </c>
      <c r="X583" s="684">
        <f t="shared" si="273"/>
        <v>-295.67606545864362</v>
      </c>
      <c r="Y583" s="687">
        <f t="shared" si="274"/>
        <v>-115.67606545864362</v>
      </c>
      <c r="AA583" s="170">
        <f t="shared" si="275"/>
        <v>112200</v>
      </c>
      <c r="AB583" s="170">
        <f t="shared" si="276"/>
        <v>12588840000</v>
      </c>
      <c r="AD583" s="686">
        <f t="shared" si="277"/>
        <v>-1.3731458547006832</v>
      </c>
      <c r="AE583" s="687">
        <f t="shared" si="278"/>
        <v>-19.620364009015685</v>
      </c>
      <c r="AG583" s="686">
        <f t="shared" si="279"/>
        <v>53.294540857135679</v>
      </c>
      <c r="AH583" s="687">
        <f t="shared" si="280"/>
        <v>-8.257450366457789</v>
      </c>
      <c r="AJ583" s="170">
        <f t="shared" si="281"/>
        <v>0</v>
      </c>
      <c r="AK583" s="170">
        <f t="shared" si="293"/>
        <v>0</v>
      </c>
      <c r="AM583" s="170" t="str">
        <f t="shared" si="285"/>
        <v>0.710486657292733-0.957173978122298i</v>
      </c>
      <c r="AN583" s="170" t="str">
        <f t="shared" si="286"/>
        <v>17.5724779619843i</v>
      </c>
      <c r="AO583" s="170" t="str">
        <f t="shared" si="287"/>
        <v>-0.0544700627989414-0.0404317853651475i</v>
      </c>
      <c r="AP583" s="170" t="str">
        <f t="shared" si="288"/>
        <v>0.0482522237845445+0.159528996353716i</v>
      </c>
      <c r="AQ583" s="170" t="str">
        <f t="shared" si="289"/>
        <v>0.951747776215455-0.159528996353716i</v>
      </c>
      <c r="AR583" s="170" t="str">
        <f t="shared" si="290"/>
        <v>0.851313864437431+0.142694577039876i</v>
      </c>
    </row>
    <row r="584" spans="7:44">
      <c r="G584" s="688">
        <v>113510</v>
      </c>
      <c r="H584" s="676">
        <f t="shared" si="282"/>
        <v>113.51</v>
      </c>
      <c r="I584" s="677">
        <f t="shared" si="262"/>
        <v>99.869359440601229</v>
      </c>
      <c r="J584" s="678">
        <f t="shared" si="263"/>
        <v>1.5607830783205459</v>
      </c>
      <c r="K584" s="678">
        <f t="shared" si="264"/>
        <v>1.0122347388113542</v>
      </c>
      <c r="L584" s="679">
        <f t="shared" si="265"/>
        <v>0.15563602877131638</v>
      </c>
      <c r="M584" s="678">
        <f t="shared" si="266"/>
        <v>2.118289388602256</v>
      </c>
      <c r="N584" s="679">
        <f t="shared" si="267"/>
        <v>-1.079148670388195</v>
      </c>
      <c r="O584" s="677">
        <f t="shared" si="268"/>
        <v>10141766.047590712</v>
      </c>
      <c r="P584" s="680">
        <f t="shared" si="269"/>
        <v>1.5707962281927403</v>
      </c>
      <c r="Q584" s="689">
        <f t="shared" si="291"/>
        <v>50.718689495111839</v>
      </c>
      <c r="R584" s="690">
        <f t="shared" si="292"/>
        <v>1.5510784513529898</v>
      </c>
      <c r="S584" s="677">
        <f t="shared" si="270"/>
        <v>1.0555964183363422</v>
      </c>
      <c r="T584" s="680">
        <f t="shared" si="271"/>
        <v>0.32599748954265723</v>
      </c>
      <c r="U584" s="681">
        <f t="shared" si="283"/>
        <v>5.1357115612278507E-2</v>
      </c>
      <c r="V584" s="682">
        <f t="shared" si="284"/>
        <v>-2.4479246734464595</v>
      </c>
      <c r="W584" s="683">
        <f t="shared" si="272"/>
        <v>-56.275620850956798</v>
      </c>
      <c r="X584" s="684">
        <f t="shared" si="273"/>
        <v>-302.40343819175041</v>
      </c>
      <c r="Y584" s="687">
        <f t="shared" si="274"/>
        <v>-122.40343819175041</v>
      </c>
      <c r="AA584" s="170">
        <f t="shared" si="275"/>
        <v>113510</v>
      </c>
      <c r="AB584" s="170">
        <f t="shared" si="276"/>
        <v>12884520100</v>
      </c>
      <c r="AD584" s="686">
        <f t="shared" si="277"/>
        <v>-1.3834193478233401</v>
      </c>
      <c r="AE584" s="687">
        <f t="shared" si="278"/>
        <v>-19.808025699586921</v>
      </c>
      <c r="AG584" s="686">
        <f t="shared" si="279"/>
        <v>54.413588027827942</v>
      </c>
      <c r="AH584" s="687">
        <f t="shared" si="280"/>
        <v>-2.0839074627876091</v>
      </c>
      <c r="AJ584" s="170">
        <f t="shared" si="281"/>
        <v>0</v>
      </c>
      <c r="AK584" s="170">
        <f t="shared" si="293"/>
        <v>0</v>
      </c>
      <c r="AM584" s="170" t="str">
        <f t="shared" si="285"/>
        <v>0.52155130769196-0.878115509957959i</v>
      </c>
      <c r="AN584" s="170" t="str">
        <f t="shared" si="286"/>
        <v>17.7776468223247i</v>
      </c>
      <c r="AO584" s="170" t="str">
        <f t="shared" si="287"/>
        <v>-0.0493943612860643-0.0293374771646948i</v>
      </c>
      <c r="AP584" s="170" t="str">
        <f t="shared" si="288"/>
        <v>0.0797414487180067+0.146352584992993i</v>
      </c>
      <c r="AQ584" s="170" t="str">
        <f t="shared" si="289"/>
        <v>0.920258551281993-0.146352584992993i</v>
      </c>
      <c r="AR584" s="170" t="str">
        <f t="shared" si="290"/>
        <v>0.882851425907491+0.140403572633272i</v>
      </c>
    </row>
    <row r="585" spans="7:44">
      <c r="G585" s="688">
        <v>114820</v>
      </c>
      <c r="H585" s="676">
        <f t="shared" si="282"/>
        <v>114.82</v>
      </c>
      <c r="I585" s="677">
        <f t="shared" si="262"/>
        <v>101.02182018019455</v>
      </c>
      <c r="J585" s="678">
        <f t="shared" si="263"/>
        <v>1.5608973135901583</v>
      </c>
      <c r="K585" s="678">
        <f t="shared" si="264"/>
        <v>1.0125170106725223</v>
      </c>
      <c r="L585" s="679">
        <f t="shared" si="265"/>
        <v>0.15740284143851271</v>
      </c>
      <c r="M585" s="678">
        <f t="shared" si="266"/>
        <v>2.1373122427902476</v>
      </c>
      <c r="N585" s="679">
        <f t="shared" si="267"/>
        <v>-1.0839088228006686</v>
      </c>
      <c r="O585" s="677">
        <f t="shared" si="268"/>
        <v>10258810.479996169</v>
      </c>
      <c r="P585" s="680">
        <f t="shared" si="269"/>
        <v>1.5707962293177085</v>
      </c>
      <c r="Q585" s="689">
        <f t="shared" si="291"/>
        <v>51.303799192768921</v>
      </c>
      <c r="R585" s="690">
        <f t="shared" si="292"/>
        <v>1.5513033584797786</v>
      </c>
      <c r="S585" s="677">
        <f t="shared" si="270"/>
        <v>1.056852345654816</v>
      </c>
      <c r="T585" s="680">
        <f t="shared" si="271"/>
        <v>0.32949467099843877</v>
      </c>
      <c r="U585" s="681">
        <f t="shared" si="283"/>
        <v>4.3173408592453034E-2</v>
      </c>
      <c r="V585" s="682">
        <f t="shared" si="284"/>
        <v>-2.5667734157187656</v>
      </c>
      <c r="W585" s="683">
        <f t="shared" si="272"/>
        <v>-57.813256065123866</v>
      </c>
      <c r="X585" s="684">
        <f t="shared" si="273"/>
        <v>-309.57850803837999</v>
      </c>
      <c r="Y585" s="687">
        <f t="shared" si="274"/>
        <v>-129.57850803837999</v>
      </c>
      <c r="AA585" s="170">
        <f t="shared" si="275"/>
        <v>114820</v>
      </c>
      <c r="AB585" s="170">
        <f t="shared" si="276"/>
        <v>13183632400</v>
      </c>
      <c r="AD585" s="686">
        <f t="shared" si="277"/>
        <v>-1.3937858056142862</v>
      </c>
      <c r="AE585" s="687">
        <f t="shared" si="278"/>
        <v>-19.995513272717371</v>
      </c>
      <c r="AG585" s="686">
        <f t="shared" si="279"/>
        <v>55.901690720710121</v>
      </c>
      <c r="AH585" s="687">
        <f t="shared" si="280"/>
        <v>4.547572944557678</v>
      </c>
      <c r="AJ585" s="170">
        <f t="shared" si="281"/>
        <v>0</v>
      </c>
      <c r="AK585" s="170">
        <f t="shared" si="293"/>
        <v>0</v>
      </c>
      <c r="AM585" s="170" t="str">
        <f t="shared" si="285"/>
        <v>0.35268535338993-0.762222899343808i</v>
      </c>
      <c r="AN585" s="170" t="str">
        <f t="shared" si="286"/>
        <v>17.9828156826652i</v>
      </c>
      <c r="AO585" s="170" t="str">
        <f t="shared" si="287"/>
        <v>-0.0423861820526006-0.0196123543505985i</v>
      </c>
      <c r="AP585" s="170" t="str">
        <f t="shared" si="288"/>
        <v>0.107885774435012+0.127037149890635i</v>
      </c>
      <c r="AQ585" s="170" t="str">
        <f t="shared" si="289"/>
        <v>0.892114225564988-0.127037149890635i</v>
      </c>
      <c r="AR585" s="170" t="str">
        <f t="shared" si="290"/>
        <v>0.915179124789764+0.130321593716396i</v>
      </c>
    </row>
    <row r="586" spans="7:44">
      <c r="G586" s="688">
        <v>116155</v>
      </c>
      <c r="H586" s="676">
        <f t="shared" si="282"/>
        <v>116.155</v>
      </c>
      <c r="I586" s="677">
        <f t="shared" si="262"/>
        <v>102.19627577075323</v>
      </c>
      <c r="J586" s="678">
        <f t="shared" si="263"/>
        <v>1.5610110782508464</v>
      </c>
      <c r="K586" s="678">
        <f t="shared" si="264"/>
        <v>1.0128079193194321</v>
      </c>
      <c r="L586" s="679">
        <f t="shared" si="265"/>
        <v>0.1592023529616966</v>
      </c>
      <c r="M586" s="678">
        <f t="shared" si="266"/>
        <v>2.1567470651957201</v>
      </c>
      <c r="N586" s="679">
        <f t="shared" si="267"/>
        <v>-1.0886733181384509</v>
      </c>
      <c r="O586" s="677">
        <f t="shared" si="268"/>
        <v>10378088.584775779</v>
      </c>
      <c r="P586" s="680">
        <f t="shared" si="269"/>
        <v>1.5707962304380394</v>
      </c>
      <c r="Q586" s="689">
        <f t="shared" si="291"/>
        <v>51.900077715127843</v>
      </c>
      <c r="R586" s="690">
        <f t="shared" si="292"/>
        <v>1.5515273405233303</v>
      </c>
      <c r="S586" s="677">
        <f t="shared" si="270"/>
        <v>1.0581455070459893</v>
      </c>
      <c r="T586" s="680">
        <f t="shared" si="271"/>
        <v>0.33305000725982403</v>
      </c>
      <c r="U586" s="681">
        <f t="shared" si="283"/>
        <v>3.3835527408596217E-2</v>
      </c>
      <c r="V586" s="682">
        <f t="shared" si="284"/>
        <v>-2.6959418744162988</v>
      </c>
      <c r="W586" s="683">
        <f t="shared" si="272"/>
        <v>-59.960060616513651</v>
      </c>
      <c r="X586" s="684">
        <f t="shared" si="273"/>
        <v>-317.3465874715863</v>
      </c>
      <c r="Y586" s="687">
        <f t="shared" si="274"/>
        <v>-137.3465874715863</v>
      </c>
      <c r="AA586" s="170">
        <f t="shared" si="275"/>
        <v>116155</v>
      </c>
      <c r="AB586" s="170">
        <f t="shared" si="276"/>
        <v>13491984025</v>
      </c>
      <c r="AD586" s="686">
        <f t="shared" si="277"/>
        <v>-1.4044450475540762</v>
      </c>
      <c r="AE586" s="687">
        <f t="shared" si="278"/>
        <v>-20.186385873870673</v>
      </c>
      <c r="AG586" s="686">
        <f t="shared" si="279"/>
        <v>57.99928091837036</v>
      </c>
      <c r="AH586" s="687">
        <f t="shared" si="280"/>
        <v>11.771981188575056</v>
      </c>
      <c r="AJ586" s="170">
        <f t="shared" si="281"/>
        <v>0</v>
      </c>
      <c r="AK586" s="170">
        <f t="shared" si="293"/>
        <v>0</v>
      </c>
      <c r="AM586" s="170" t="str">
        <f t="shared" si="285"/>
        <v>0.208572758867987-0.61126338185284i</v>
      </c>
      <c r="AN586" s="170" t="str">
        <f t="shared" si="286"/>
        <v>18.1918999792717i</v>
      </c>
      <c r="AO586" s="170" t="str">
        <f t="shared" si="287"/>
        <v>-0.0336008543664669-0.0114651443282802i</v>
      </c>
      <c r="AP586" s="170" t="str">
        <f t="shared" si="288"/>
        <v>0.131904540188669+0.101877230308807i</v>
      </c>
      <c r="AQ586" s="170" t="str">
        <f t="shared" si="289"/>
        <v>0.868095459811331-0.101877230308807i</v>
      </c>
      <c r="AR586" s="170" t="str">
        <f t="shared" si="290"/>
        <v>0.946535532782187+0.111082735635639i</v>
      </c>
    </row>
    <row r="587" spans="7:44">
      <c r="G587" s="688">
        <v>117490</v>
      </c>
      <c r="H587" s="676">
        <f t="shared" si="282"/>
        <v>117.49</v>
      </c>
      <c r="I587" s="677">
        <f t="shared" si="262"/>
        <v>103.37073265392164</v>
      </c>
      <c r="J587" s="678">
        <f t="shared" si="263"/>
        <v>1.561122257815881</v>
      </c>
      <c r="K587" s="678">
        <f t="shared" si="264"/>
        <v>1.0131021057934917</v>
      </c>
      <c r="L587" s="679">
        <f t="shared" si="265"/>
        <v>0.16100082521495712</v>
      </c>
      <c r="M587" s="678">
        <f t="shared" si="266"/>
        <v>2.1762299715571807</v>
      </c>
      <c r="N587" s="679">
        <f t="shared" si="267"/>
        <v>-1.0933526089227841</v>
      </c>
      <c r="O587" s="677">
        <f t="shared" si="268"/>
        <v>10497366.689555388</v>
      </c>
      <c r="P587" s="680">
        <f t="shared" si="269"/>
        <v>1.5707962315329105</v>
      </c>
      <c r="Q587" s="689">
        <f t="shared" si="291"/>
        <v>52.496358782058891</v>
      </c>
      <c r="R587" s="690">
        <f t="shared" si="292"/>
        <v>1.5517462343675406</v>
      </c>
      <c r="S587" s="677">
        <f t="shared" si="270"/>
        <v>1.0594520110861223</v>
      </c>
      <c r="T587" s="680">
        <f t="shared" si="271"/>
        <v>0.33659661946058228</v>
      </c>
      <c r="U587" s="681">
        <f t="shared" si="283"/>
        <v>2.3609962846314538E-2</v>
      </c>
      <c r="V587" s="682">
        <f t="shared" si="284"/>
        <v>-2.8324581486644318</v>
      </c>
      <c r="W587" s="683">
        <f t="shared" si="272"/>
        <v>-63.114984409416657</v>
      </c>
      <c r="X587" s="684">
        <f t="shared" si="273"/>
        <v>-325.53048697339437</v>
      </c>
      <c r="Y587" s="687">
        <f t="shared" si="274"/>
        <v>-145.53048697339437</v>
      </c>
      <c r="AA587" s="170">
        <f t="shared" si="275"/>
        <v>117490</v>
      </c>
      <c r="AB587" s="170">
        <f t="shared" si="276"/>
        <v>13803900100</v>
      </c>
      <c r="AD587" s="686">
        <f t="shared" si="277"/>
        <v>-1.4151994290399448</v>
      </c>
      <c r="AE587" s="687">
        <f t="shared" si="278"/>
        <v>-20.377050154058448</v>
      </c>
      <c r="AG587" s="686">
        <f t="shared" si="279"/>
        <v>61.106217376905256</v>
      </c>
      <c r="AH587" s="687">
        <f t="shared" si="280"/>
        <v>19.422358683367264</v>
      </c>
      <c r="AJ587" s="170">
        <f t="shared" si="281"/>
        <v>0</v>
      </c>
      <c r="AK587" s="170">
        <f t="shared" si="293"/>
        <v>0</v>
      </c>
      <c r="AM587" s="170" t="str">
        <f t="shared" si="285"/>
        <v>0.09893253149461-0.433678933315061i</v>
      </c>
      <c r="AN587" s="170" t="str">
        <f t="shared" si="286"/>
        <v>18.4009842758782i</v>
      </c>
      <c r="AO587" s="170" t="str">
        <f t="shared" si="287"/>
        <v>-0.0235682465031813-0.00537648041057784i</v>
      </c>
      <c r="AP587" s="170" t="str">
        <f t="shared" si="288"/>
        <v>0.150177911417565+0.0722798222191768i</v>
      </c>
      <c r="AQ587" s="170" t="str">
        <f t="shared" si="289"/>
        <v>0.849822088582435-0.0722798222191768i</v>
      </c>
      <c r="AR587" s="170" t="str">
        <f t="shared" si="290"/>
        <v>0.9731652928251+0.0827705178534532i</v>
      </c>
    </row>
    <row r="588" spans="7:44">
      <c r="G588" s="688">
        <v>118860</v>
      </c>
      <c r="H588" s="676">
        <f t="shared" si="282"/>
        <v>118.86</v>
      </c>
      <c r="I588" s="677">
        <f t="shared" si="262"/>
        <v>104.57598183973072</v>
      </c>
      <c r="J588" s="678">
        <f t="shared" si="263"/>
        <v>1.561233755896394</v>
      </c>
      <c r="K588" s="678">
        <f t="shared" si="264"/>
        <v>1.0134074098845132</v>
      </c>
      <c r="L588" s="679">
        <f t="shared" si="265"/>
        <v>0.16284535668220043</v>
      </c>
      <c r="M588" s="678">
        <f t="shared" si="266"/>
        <v>2.1962723150948578</v>
      </c>
      <c r="N588" s="679">
        <f t="shared" si="267"/>
        <v>-1.0980681593016035</v>
      </c>
      <c r="O588" s="677">
        <f t="shared" si="268"/>
        <v>10619771.935658809</v>
      </c>
      <c r="P588" s="680">
        <f t="shared" si="269"/>
        <v>1.5707962326309159</v>
      </c>
      <c r="Q588" s="689">
        <f t="shared" si="291"/>
        <v>53.108275241577338</v>
      </c>
      <c r="R588" s="690">
        <f t="shared" si="292"/>
        <v>1.5519657566758134</v>
      </c>
      <c r="S588" s="677">
        <f t="shared" si="270"/>
        <v>1.0608065882805118</v>
      </c>
      <c r="T588" s="680">
        <f t="shared" si="271"/>
        <v>0.34022708428054688</v>
      </c>
      <c r="U588" s="681">
        <f t="shared" si="283"/>
        <v>1.2455557958408905E-2</v>
      </c>
      <c r="V588" s="682">
        <f t="shared" si="284"/>
        <v>-2.9784986806190843</v>
      </c>
      <c r="W588" s="683">
        <f t="shared" si="272"/>
        <v>-68.69920321516787</v>
      </c>
      <c r="X588" s="684">
        <f t="shared" si="273"/>
        <v>-334.26431141118678</v>
      </c>
      <c r="Y588" s="687">
        <f t="shared" si="274"/>
        <v>-154.26431141118678</v>
      </c>
      <c r="AA588" s="170">
        <f t="shared" si="275"/>
        <v>118860</v>
      </c>
      <c r="AB588" s="170">
        <f t="shared" si="276"/>
        <v>14127699600</v>
      </c>
      <c r="AD588" s="686">
        <f t="shared" si="277"/>
        <v>-1.4263339200359149</v>
      </c>
      <c r="AE588" s="687">
        <f t="shared" si="278"/>
        <v>-20.572482827274531</v>
      </c>
      <c r="AG588" s="686">
        <f t="shared" si="279"/>
        <v>66.642417730829436</v>
      </c>
      <c r="AH588" s="687">
        <f t="shared" si="280"/>
        <v>27.618979175607535</v>
      </c>
      <c r="AJ588" s="170">
        <f t="shared" si="281"/>
        <v>0</v>
      </c>
      <c r="AK588" s="170">
        <f t="shared" si="293"/>
        <v>0</v>
      </c>
      <c r="AM588" s="170" t="str">
        <f t="shared" si="285"/>
        <v>0.027254632531202-0.231875936802407i</v>
      </c>
      <c r="AN588" s="170" t="str">
        <f t="shared" si="286"/>
        <v>18.6155501832571i</v>
      </c>
      <c r="AO588" s="170" t="str">
        <f t="shared" si="287"/>
        <v>-0.0124560345796794-0.00146407880846385i</v>
      </c>
      <c r="AP588" s="170" t="str">
        <f t="shared" si="288"/>
        <v>0.162124227911466+0.0386459894670678i</v>
      </c>
      <c r="AQ588" s="170" t="str">
        <f t="shared" si="289"/>
        <v>0.837875772088534-0.0386459894670678i</v>
      </c>
      <c r="AR588" s="170" t="str">
        <f t="shared" si="290"/>
        <v>0.992070261137666+0.0457580206275093i</v>
      </c>
    </row>
    <row r="589" spans="7:44">
      <c r="G589" s="688">
        <v>120230</v>
      </c>
      <c r="H589" s="676">
        <f t="shared" si="282"/>
        <v>120.23</v>
      </c>
      <c r="I589" s="677">
        <f t="shared" ref="I589:I613" si="294">SQRT(1+(G589/pole1)^2)</f>
        <v>105.78123229598432</v>
      </c>
      <c r="J589" s="678">
        <f t="shared" ref="J589:J613" si="295">ATAN(G589/pole1)</f>
        <v>1.5613427132040456</v>
      </c>
      <c r="K589" s="678">
        <f t="shared" ref="K589:K613" si="296">SQRT(1+(G589/Zero1)^2)</f>
        <v>1.013716159804172</v>
      </c>
      <c r="L589" s="679">
        <f t="shared" ref="L589:L613" si="297">ATAN(G589/Zero1)</f>
        <v>0.16468877083152622</v>
      </c>
      <c r="M589" s="678">
        <f t="shared" ref="M589:M613" si="298">SQRT(1+(G589/z_RHP)^2)</f>
        <v>2.216362611969096</v>
      </c>
      <c r="N589" s="679">
        <f t="shared" ref="N589:N613" si="299">-ATAN(G589/z_RHP)</f>
        <v>-1.1026983225458693</v>
      </c>
      <c r="O589" s="677">
        <f t="shared" ref="O589:O613" si="300">SQRT(1+(G589/Pole2)^2)</f>
        <v>10742177.181762228</v>
      </c>
      <c r="P589" s="680">
        <f t="shared" ref="P589:P613" si="301">ATAN(G589/Pole2)</f>
        <v>1.5707962337038981</v>
      </c>
      <c r="Q589" s="689">
        <f t="shared" si="291"/>
        <v>53.720194202081053</v>
      </c>
      <c r="R589" s="690">
        <f t="shared" si="292"/>
        <v>1.5521802779005176</v>
      </c>
      <c r="S589" s="677">
        <f t="shared" ref="S589:S613" si="302">SQRT(1+(G589/pole4)^2)</f>
        <v>1.0621751114285212</v>
      </c>
      <c r="T589" s="680">
        <f t="shared" ref="T589:T613" si="303">ATAN(G589/pole4)</f>
        <v>0.34384824163025052</v>
      </c>
      <c r="U589" s="681">
        <f t="shared" si="283"/>
        <v>1.0319037747286621E-3</v>
      </c>
      <c r="V589" s="682">
        <f t="shared" si="284"/>
        <v>-3.1279851833289158</v>
      </c>
      <c r="W589" s="683">
        <f t="shared" ref="W589:W613" si="304">20*LOG10(((K589*Q589*M589*U589)/(I589*O589*S589))*Adc)</f>
        <v>-90.362711050889175</v>
      </c>
      <c r="X589" s="684">
        <f t="shared" ref="X589:X613" si="305">((L589+R589+N589+V589)-(J589+P589+T589))*radconv</f>
        <v>-343.19035481018466</v>
      </c>
      <c r="Y589" s="687">
        <f t="shared" ref="Y589:Y613" si="306">IF(X589&gt;0,X589,X589+180)</f>
        <v>-163.19035481018466</v>
      </c>
      <c r="AA589" s="170">
        <f t="shared" ref="AA589:AA613" si="307">IF(W589&lt;0,G589,1000000000)</f>
        <v>120230</v>
      </c>
      <c r="AB589" s="170">
        <f t="shared" ref="AB589:AB613" si="308">G589^2</f>
        <v>14455252900</v>
      </c>
      <c r="AD589" s="686">
        <f t="shared" ref="AD589:AD613" si="309">20*LOG10((Q589/(O589*S589))*Aea)</f>
        <v>-1.4375670640073024</v>
      </c>
      <c r="AE589" s="687">
        <f t="shared" ref="AE589:AE613" si="310">(R589-(P589+T589))*radconv</f>
        <v>-20.767668761274177</v>
      </c>
      <c r="AG589" s="686">
        <f t="shared" ref="AG589:AG613" si="311">20*LOG10((K589*M589/(I589*U589))*Acs*Am)</f>
        <v>88.259102471926639</v>
      </c>
      <c r="AH589" s="687">
        <f t="shared" ref="AH589:AH613" si="312">(L589+N589-(J589+V589))*radconv</f>
        <v>36.018013129071612</v>
      </c>
      <c r="AJ589" s="170">
        <f t="shared" ref="AJ589:AJ613" si="313">SUM((W590&lt;0)*(W589&gt;0))*G589</f>
        <v>0</v>
      </c>
      <c r="AK589" s="170">
        <f t="shared" si="293"/>
        <v>0</v>
      </c>
      <c r="AM589" s="170" t="str">
        <f t="shared" si="285"/>
        <v>0.000188947562264952-0.0194386065176828i</v>
      </c>
      <c r="AN589" s="170" t="str">
        <f t="shared" si="286"/>
        <v>18.8301160906361i</v>
      </c>
      <c r="AO589" s="170" t="str">
        <f t="shared" si="287"/>
        <v>-0.00103231474644754-0.0000100343280601925i</v>
      </c>
      <c r="AP589" s="170" t="str">
        <f t="shared" si="288"/>
        <v>0.166635175406289+0.00323976775294713i</v>
      </c>
      <c r="AQ589" s="170" t="str">
        <f t="shared" si="289"/>
        <v>0.833364824593711-0.00323976775294713i</v>
      </c>
      <c r="AR589" s="170" t="str">
        <f t="shared" si="290"/>
        <v>0.999547120640577+0.00388581379179432i</v>
      </c>
    </row>
    <row r="590" spans="7:44">
      <c r="G590" s="688">
        <v>126030</v>
      </c>
      <c r="H590" s="676">
        <f t="shared" ref="H590:H613" si="314">G590/1000</f>
        <v>126.03</v>
      </c>
      <c r="I590" s="677">
        <f t="shared" si="294"/>
        <v>110.88376559657618</v>
      </c>
      <c r="J590" s="678">
        <f t="shared" si="295"/>
        <v>1.5617777517985403</v>
      </c>
      <c r="K590" s="678">
        <f t="shared" si="296"/>
        <v>1.0150613773969317</v>
      </c>
      <c r="L590" s="679">
        <f t="shared" si="297"/>
        <v>0.17248036391531474</v>
      </c>
      <c r="M590" s="678">
        <f t="shared" si="298"/>
        <v>2.3019187109188057</v>
      </c>
      <c r="N590" s="679">
        <f t="shared" si="299"/>
        <v>-1.1214018578212437</v>
      </c>
      <c r="O590" s="677">
        <f t="shared" si="300"/>
        <v>11260389.172565026</v>
      </c>
      <c r="P590" s="680">
        <f t="shared" si="301"/>
        <v>1.5707962379880194</v>
      </c>
      <c r="Q590" s="689">
        <f t="shared" si="291"/>
        <v>56.310825850279159</v>
      </c>
      <c r="R590" s="690">
        <f t="shared" si="292"/>
        <v>1.5530368186803931</v>
      </c>
      <c r="S590" s="677">
        <f t="shared" si="302"/>
        <v>1.0681221134504231</v>
      </c>
      <c r="T590" s="680">
        <f t="shared" si="303"/>
        <v>0.35907424622037265</v>
      </c>
      <c r="U590" s="681">
        <f t="shared" ref="U590:U613" si="315">IMABS(IMPRODUCT(AO590, AR590))</f>
        <v>4.0133987686494829E-2</v>
      </c>
      <c r="V590" s="682">
        <f t="shared" ref="V590:V613" si="316">IMARGUMENT(IMPRODUCT(AO590, AR590))</f>
        <v>-0.58806381462911772</v>
      </c>
      <c r="W590" s="683">
        <f t="shared" si="304"/>
        <v>-58.682564704038079</v>
      </c>
      <c r="X590" s="684">
        <f t="shared" si="305"/>
        <v>-199.13702390890347</v>
      </c>
      <c r="Y590" s="687">
        <f t="shared" si="306"/>
        <v>-19.137023908903473</v>
      </c>
      <c r="AA590" s="170">
        <f t="shared" si="307"/>
        <v>126030</v>
      </c>
      <c r="AB590" s="170">
        <f t="shared" si="308"/>
        <v>15883560900</v>
      </c>
      <c r="AD590" s="686">
        <f t="shared" si="309"/>
        <v>-1.4861981019709389</v>
      </c>
      <c r="AE590" s="687">
        <f t="shared" si="310"/>
        <v>-21.590978637870126</v>
      </c>
      <c r="AG590" s="686">
        <f t="shared" si="311"/>
        <v>56.392955377764636</v>
      </c>
      <c r="AH590" s="687">
        <f t="shared" si="312"/>
        <v>-110.1588958688082</v>
      </c>
      <c r="AJ590" s="170">
        <f t="shared" si="313"/>
        <v>0</v>
      </c>
      <c r="AK590" s="170">
        <f t="shared" si="293"/>
        <v>0</v>
      </c>
      <c r="AM590" s="170" t="str">
        <f t="shared" ref="AM590:AM613" si="317">IMSUB(1,IMEXP(COMPLEX(0,-2*Pi*G590*Tsw)))</f>
        <v>0.369765704758375+0.776405005845076i</v>
      </c>
      <c r="AN590" s="170" t="str">
        <f t="shared" ref="AN590:AN613" si="318">COMPLEX(0, 2*Pi*G590*Tsw)</f>
        <v>19.7384973043572i</v>
      </c>
      <c r="AO590" s="170" t="str">
        <f t="shared" ref="AO590:AO613" si="319">IMDIV(AM590, AN590)</f>
        <v>0.0393345548991557-0.0187332246754544i</v>
      </c>
      <c r="AP590" s="170" t="str">
        <f t="shared" ref="AP590:AP613" si="320">IMDIV(IMEXP(COMPLEX(0,-2*Pi*G590*Tsw)),6)</f>
        <v>0.105039049206938-0.129400834307513i</v>
      </c>
      <c r="AQ590" s="170" t="str">
        <f t="shared" ref="AQ590:AQ613" si="321">IMSUB(1, AP590)</f>
        <v>0.894960950793062+0.129400834307513i</v>
      </c>
      <c r="AR590" s="170" t="str">
        <f t="shared" ref="AR590:AR613" si="322">IMDIV(0.833, AQ590)</f>
        <v>0.911706939387032-0.131822107429478i</v>
      </c>
    </row>
    <row r="591" spans="7:44">
      <c r="G591" s="688">
        <v>131830</v>
      </c>
      <c r="H591" s="676">
        <f t="shared" si="314"/>
        <v>131.83000000000001</v>
      </c>
      <c r="I591" s="677">
        <f t="shared" si="294"/>
        <v>115.98631803644074</v>
      </c>
      <c r="J591" s="678">
        <f t="shared" si="295"/>
        <v>1.562174513409365</v>
      </c>
      <c r="K591" s="678">
        <f t="shared" si="296"/>
        <v>1.0164680529862331</v>
      </c>
      <c r="L591" s="679">
        <f t="shared" si="297"/>
        <v>0.18025086232330789</v>
      </c>
      <c r="M591" s="678">
        <f t="shared" si="298"/>
        <v>2.3882222196417238</v>
      </c>
      <c r="N591" s="679">
        <f t="shared" si="299"/>
        <v>-1.1387593217050753</v>
      </c>
      <c r="O591" s="677">
        <f t="shared" si="300"/>
        <v>11778601.163367825</v>
      </c>
      <c r="P591" s="680">
        <f t="shared" si="301"/>
        <v>1.5707962418951715</v>
      </c>
      <c r="Q591" s="689">
        <f t="shared" si="291"/>
        <v>58.901495177475944</v>
      </c>
      <c r="R591" s="690">
        <f t="shared" si="292"/>
        <v>1.5538180133843977</v>
      </c>
      <c r="S591" s="677">
        <f t="shared" si="302"/>
        <v>1.0743139647471613</v>
      </c>
      <c r="T591" s="680">
        <f t="shared" si="303"/>
        <v>0.37412819656439061</v>
      </c>
      <c r="U591" s="681">
        <f t="shared" si="315"/>
        <v>6.0129043625505904E-2</v>
      </c>
      <c r="V591" s="682">
        <f t="shared" si="316"/>
        <v>-1.053949665951188</v>
      </c>
      <c r="W591" s="683">
        <f t="shared" si="304"/>
        <v>-55.280501483775865</v>
      </c>
      <c r="X591" s="684">
        <f t="shared" si="305"/>
        <v>-227.22011126654093</v>
      </c>
      <c r="Y591" s="687">
        <f t="shared" si="306"/>
        <v>-47.220111266540925</v>
      </c>
      <c r="AA591" s="170">
        <f t="shared" si="307"/>
        <v>131830</v>
      </c>
      <c r="AB591" s="170">
        <f t="shared" si="308"/>
        <v>17379148900</v>
      </c>
      <c r="AD591" s="686">
        <f t="shared" si="309"/>
        <v>-1.5365222613534422</v>
      </c>
      <c r="AE591" s="687">
        <f t="shared" si="310"/>
        <v>-22.408747522862193</v>
      </c>
      <c r="AG591" s="686">
        <f t="shared" si="311"/>
        <v>52.822463429531233</v>
      </c>
      <c r="AH591" s="687">
        <f t="shared" si="312"/>
        <v>-84.037628249222564</v>
      </c>
      <c r="AJ591" s="170">
        <f t="shared" si="313"/>
        <v>0</v>
      </c>
      <c r="AK591" s="170">
        <f t="shared" si="293"/>
        <v>0</v>
      </c>
      <c r="AM591" s="170" t="str">
        <f t="shared" si="317"/>
        <v>1.22459390044397+0.9744524513199i</v>
      </c>
      <c r="AN591" s="170" t="str">
        <f t="shared" si="318"/>
        <v>20.6468785180783i</v>
      </c>
      <c r="AO591" s="170" t="str">
        <f t="shared" si="319"/>
        <v>0.047196114922005-0.0593113336416312i</v>
      </c>
      <c r="AP591" s="170" t="str">
        <f t="shared" si="320"/>
        <v>-0.0374323167406622-0.16240874188665i</v>
      </c>
      <c r="AQ591" s="170" t="str">
        <f t="shared" si="321"/>
        <v>1.03743231674066+0.16240874188665i</v>
      </c>
      <c r="AR591" s="170" t="str">
        <f t="shared" si="322"/>
        <v>0.78373651423236-0.122692978802708i</v>
      </c>
    </row>
    <row r="592" spans="7:44">
      <c r="G592" s="688">
        <v>144540</v>
      </c>
      <c r="H592" s="676">
        <f t="shared" si="314"/>
        <v>144.54</v>
      </c>
      <c r="I592" s="677">
        <f t="shared" si="294"/>
        <v>127.16800155324088</v>
      </c>
      <c r="J592" s="678">
        <f t="shared" si="295"/>
        <v>1.5629326323580741</v>
      </c>
      <c r="K592" s="678">
        <f t="shared" si="296"/>
        <v>1.0197642580474269</v>
      </c>
      <c r="L592" s="679">
        <f t="shared" si="297"/>
        <v>0.19720108374770487</v>
      </c>
      <c r="M592" s="678">
        <f t="shared" si="298"/>
        <v>2.5795920499940612</v>
      </c>
      <c r="N592" s="679">
        <f t="shared" si="299"/>
        <v>-1.1727065554355915</v>
      </c>
      <c r="O592" s="677">
        <f t="shared" si="300"/>
        <v>12914200.19838568</v>
      </c>
      <c r="P592" s="680">
        <f t="shared" si="301"/>
        <v>1.5707962493607555</v>
      </c>
      <c r="Q592" s="689">
        <f t="shared" si="291"/>
        <v>64.578743941792453</v>
      </c>
      <c r="R592" s="690">
        <f t="shared" si="292"/>
        <v>1.5553107365320922</v>
      </c>
      <c r="S592" s="677">
        <f t="shared" si="302"/>
        <v>1.0887181896176927</v>
      </c>
      <c r="T592" s="680">
        <f t="shared" si="303"/>
        <v>0.40649746639173623</v>
      </c>
      <c r="U592" s="681">
        <f t="shared" si="315"/>
        <v>6.1350189269591716E-2</v>
      </c>
      <c r="V592" s="682">
        <f t="shared" si="316"/>
        <v>-1.8056050001932906</v>
      </c>
      <c r="W592" s="683">
        <f t="shared" si="304"/>
        <v>-55.323539634495205</v>
      </c>
      <c r="X592" s="684">
        <f t="shared" si="305"/>
        <v>-273.07317994353502</v>
      </c>
      <c r="Y592" s="687">
        <f t="shared" si="306"/>
        <v>-93.073179943535024</v>
      </c>
      <c r="AA592" s="170">
        <f t="shared" si="307"/>
        <v>144540</v>
      </c>
      <c r="AB592" s="170">
        <f t="shared" si="308"/>
        <v>20891811600</v>
      </c>
      <c r="AD592" s="686">
        <f t="shared" si="309"/>
        <v>-1.6524178941830014</v>
      </c>
      <c r="AE592" s="687">
        <f t="shared" si="310"/>
        <v>-24.177843763312822</v>
      </c>
      <c r="AG592" s="686">
        <f t="shared" si="311"/>
        <v>52.546056487389137</v>
      </c>
      <c r="AH592" s="687">
        <f t="shared" si="312"/>
        <v>-41.988243986208914</v>
      </c>
      <c r="AJ592" s="170">
        <f t="shared" si="313"/>
        <v>0</v>
      </c>
      <c r="AK592" s="170">
        <f t="shared" si="293"/>
        <v>0</v>
      </c>
      <c r="AM592" s="170" t="str">
        <f t="shared" si="317"/>
        <v>1.79829480460612-0.602266888462982i</v>
      </c>
      <c r="AN592" s="170" t="str">
        <f t="shared" si="318"/>
        <v>22.6374863157327i</v>
      </c>
      <c r="AO592" s="170" t="str">
        <f t="shared" si="319"/>
        <v>-0.0266048482619917-0.0794388025032767i</v>
      </c>
      <c r="AP592" s="170" t="str">
        <f t="shared" si="320"/>
        <v>-0.13304913410102+0.10037781474383i</v>
      </c>
      <c r="AQ592" s="170" t="str">
        <f t="shared" si="321"/>
        <v>1.13304913410102-0.10037781474383i</v>
      </c>
      <c r="AR592" s="170" t="str">
        <f t="shared" si="322"/>
        <v>0.729459310757556+0.0646234389618761i</v>
      </c>
    </row>
    <row r="593" spans="7:44">
      <c r="G593" s="688">
        <v>158490</v>
      </c>
      <c r="H593" s="676">
        <f t="shared" si="314"/>
        <v>158.49</v>
      </c>
      <c r="I593" s="677">
        <f t="shared" si="294"/>
        <v>139.44065100440079</v>
      </c>
      <c r="J593" s="678">
        <f t="shared" si="295"/>
        <v>1.5636247554865719</v>
      </c>
      <c r="K593" s="678">
        <f t="shared" si="296"/>
        <v>1.0237169619270394</v>
      </c>
      <c r="L593" s="679">
        <f t="shared" si="297"/>
        <v>0.21567341764358447</v>
      </c>
      <c r="M593" s="678">
        <f t="shared" si="298"/>
        <v>2.7925598397247344</v>
      </c>
      <c r="N593" s="679">
        <f t="shared" si="299"/>
        <v>-1.2045701940744507</v>
      </c>
      <c r="O593" s="677">
        <f t="shared" si="300"/>
        <v>14160589.383161377</v>
      </c>
      <c r="P593" s="680">
        <f t="shared" si="301"/>
        <v>1.5707962561763671</v>
      </c>
      <c r="Q593" s="689">
        <f t="shared" si="291"/>
        <v>70.81000841662528</v>
      </c>
      <c r="R593" s="690">
        <f t="shared" si="292"/>
        <v>1.5566735598975896</v>
      </c>
      <c r="S593" s="677">
        <f t="shared" si="302"/>
        <v>1.105804027081402</v>
      </c>
      <c r="T593" s="680">
        <f t="shared" si="303"/>
        <v>0.44101382793418742</v>
      </c>
      <c r="U593" s="681">
        <f t="shared" si="315"/>
        <v>1.231097851411669E-2</v>
      </c>
      <c r="V593" s="682">
        <f t="shared" si="316"/>
        <v>-2.9259283830830447</v>
      </c>
      <c r="W593" s="683">
        <f t="shared" si="304"/>
        <v>-69.48703500831671</v>
      </c>
      <c r="X593" s="684">
        <f t="shared" si="305"/>
        <v>-339.96946073146069</v>
      </c>
      <c r="Y593" s="687">
        <f t="shared" si="306"/>
        <v>-159.96946073146069</v>
      </c>
      <c r="AA593" s="170">
        <f t="shared" si="307"/>
        <v>158490</v>
      </c>
      <c r="AB593" s="170">
        <f t="shared" si="308"/>
        <v>25119080100</v>
      </c>
      <c r="AD593" s="686">
        <f t="shared" si="309"/>
        <v>-1.7878469151254628</v>
      </c>
      <c r="AE593" s="687">
        <f t="shared" si="310"/>
        <v>-26.077401969454471</v>
      </c>
      <c r="AG593" s="686">
        <f t="shared" si="311"/>
        <v>66.418923476134239</v>
      </c>
      <c r="AH593" s="687">
        <f t="shared" si="312"/>
        <v>21.394636637505883</v>
      </c>
      <c r="AJ593" s="170">
        <f t="shared" si="313"/>
        <v>0</v>
      </c>
      <c r="AK593" s="170">
        <f t="shared" si="293"/>
        <v>0</v>
      </c>
      <c r="AM593" s="170" t="str">
        <f t="shared" si="317"/>
        <v>0.047801199145562-0.305479039626895i</v>
      </c>
      <c r="AN593" s="170" t="str">
        <f t="shared" si="318"/>
        <v>24.8222997521826i</v>
      </c>
      <c r="AO593" s="170" t="str">
        <f t="shared" si="319"/>
        <v>-0.0123066372848887-0.00192573611723301i</v>
      </c>
      <c r="AP593" s="170" t="str">
        <f t="shared" si="320"/>
        <v>0.158699800142406+0.0509131732711492i</v>
      </c>
      <c r="AQ593" s="170" t="str">
        <f t="shared" si="321"/>
        <v>0.841300199857594-0.0509131732711492i</v>
      </c>
      <c r="AR593" s="170" t="str">
        <f t="shared" si="322"/>
        <v>0.986521107608652+0.0597015430352057i</v>
      </c>
    </row>
    <row r="594" spans="7:44">
      <c r="G594" s="688">
        <v>173780</v>
      </c>
      <c r="H594" s="676">
        <f t="shared" si="314"/>
        <v>173.78</v>
      </c>
      <c r="I594" s="677">
        <f t="shared" si="294"/>
        <v>152.89224243046695</v>
      </c>
      <c r="J594" s="678">
        <f t="shared" si="295"/>
        <v>1.5642557259504799</v>
      </c>
      <c r="K594" s="678">
        <f t="shared" si="296"/>
        <v>1.0284472936274351</v>
      </c>
      <c r="L594" s="679">
        <f t="shared" si="297"/>
        <v>0.23574942143863667</v>
      </c>
      <c r="M594" s="678">
        <f t="shared" si="298"/>
        <v>3.0287596555633236</v>
      </c>
      <c r="N594" s="679">
        <f t="shared" si="299"/>
        <v>-1.2343146077966827</v>
      </c>
      <c r="O594" s="677">
        <f t="shared" si="300"/>
        <v>15526703.407191513</v>
      </c>
      <c r="P594" s="680">
        <f t="shared" si="301"/>
        <v>1.5707962623897249</v>
      </c>
      <c r="Q594" s="689">
        <f t="shared" si="291"/>
        <v>77.639957286002499</v>
      </c>
      <c r="R594" s="690">
        <f t="shared" si="292"/>
        <v>1.5579160047810581</v>
      </c>
      <c r="S594" s="677">
        <f t="shared" si="302"/>
        <v>1.1259951246662225</v>
      </c>
      <c r="T594" s="680">
        <f t="shared" si="303"/>
        <v>0.47759417978574642</v>
      </c>
      <c r="U594" s="681">
        <f t="shared" si="315"/>
        <v>4.8421383240150773E-2</v>
      </c>
      <c r="V594" s="682">
        <f t="shared" si="316"/>
        <v>-1.1755139015261853</v>
      </c>
      <c r="W594" s="683">
        <f t="shared" si="304"/>
        <v>-57.80408690636505</v>
      </c>
      <c r="X594" s="684">
        <f t="shared" si="305"/>
        <v>-242.29292273816668</v>
      </c>
      <c r="Y594" s="687">
        <f t="shared" si="306"/>
        <v>-62.292922738166681</v>
      </c>
      <c r="AA594" s="170">
        <f t="shared" si="307"/>
        <v>173780</v>
      </c>
      <c r="AB594" s="170">
        <f t="shared" si="308"/>
        <v>30199488400</v>
      </c>
      <c r="AD594" s="686">
        <f t="shared" si="309"/>
        <v>-1.9451594872621634</v>
      </c>
      <c r="AE594" s="687">
        <f t="shared" si="310"/>
        <v>-28.102115253864746</v>
      </c>
      <c r="AG594" s="686">
        <f t="shared" si="311"/>
        <v>54.46939941825611</v>
      </c>
      <c r="AH594" s="687">
        <f t="shared" si="312"/>
        <v>-79.486836697565252</v>
      </c>
      <c r="AJ594" s="170">
        <f t="shared" si="313"/>
        <v>0</v>
      </c>
      <c r="AK594" s="170">
        <f t="shared" si="293"/>
        <v>0</v>
      </c>
      <c r="AM594" s="170" t="str">
        <f t="shared" si="317"/>
        <v>1.49117922159121+0.871058535505536i</v>
      </c>
      <c r="AN594" s="170" t="str">
        <f t="shared" si="318"/>
        <v>27.2169805724922i</v>
      </c>
      <c r="AO594" s="170" t="str">
        <f t="shared" si="319"/>
        <v>0.0320042310786635-0.0547885617811082i</v>
      </c>
      <c r="AP594" s="170" t="str">
        <f t="shared" si="320"/>
        <v>-0.0818632035985358-0.145176422584256i</v>
      </c>
      <c r="AQ594" s="170" t="str">
        <f t="shared" si="321"/>
        <v>1.08186320359854+0.145176422584256i</v>
      </c>
      <c r="AR594" s="170" t="str">
        <f t="shared" si="322"/>
        <v>0.756348202517308-0.101495203741342i</v>
      </c>
    </row>
    <row r="595" spans="7:44">
      <c r="G595" s="688">
        <v>190550</v>
      </c>
      <c r="H595" s="676">
        <f t="shared" si="314"/>
        <v>190.55</v>
      </c>
      <c r="I595" s="677">
        <f t="shared" si="294"/>
        <v>167.64594278079932</v>
      </c>
      <c r="J595" s="678">
        <f t="shared" si="295"/>
        <v>1.5648313394315507</v>
      </c>
      <c r="K595" s="678">
        <f t="shared" si="296"/>
        <v>1.0341074393413461</v>
      </c>
      <c r="L595" s="679">
        <f t="shared" si="297"/>
        <v>0.25754770527911591</v>
      </c>
      <c r="M595" s="678">
        <f t="shared" si="298"/>
        <v>3.2904383741300043</v>
      </c>
      <c r="N595" s="679">
        <f t="shared" si="299"/>
        <v>-1.2620013057378026</v>
      </c>
      <c r="O595" s="677">
        <f t="shared" si="300"/>
        <v>17025050.835771333</v>
      </c>
      <c r="P595" s="680">
        <f t="shared" si="301"/>
        <v>1.5707962680579208</v>
      </c>
      <c r="Q595" s="689">
        <f t="shared" si="291"/>
        <v>85.131127673812301</v>
      </c>
      <c r="R595" s="690">
        <f t="shared" si="292"/>
        <v>1.5590494719628818</v>
      </c>
      <c r="S595" s="677">
        <f t="shared" si="302"/>
        <v>1.1498078853832723</v>
      </c>
      <c r="T595" s="680">
        <f t="shared" si="303"/>
        <v>0.51618084589107127</v>
      </c>
      <c r="U595" s="681">
        <f t="shared" si="315"/>
        <v>3.8958907345190912E-2</v>
      </c>
      <c r="V595" s="682">
        <f t="shared" si="316"/>
        <v>-2.1902538031904157</v>
      </c>
      <c r="W595" s="683">
        <f t="shared" si="304"/>
        <v>-59.907292558121966</v>
      </c>
      <c r="X595" s="684">
        <f t="shared" si="305"/>
        <v>-302.94950852778999</v>
      </c>
      <c r="Y595" s="687">
        <f t="shared" si="306"/>
        <v>-122.94950852778999</v>
      </c>
      <c r="AA595" s="170">
        <f t="shared" si="307"/>
        <v>190550</v>
      </c>
      <c r="AB595" s="170">
        <f t="shared" si="308"/>
        <v>36309302500</v>
      </c>
      <c r="AD595" s="686">
        <f t="shared" si="309"/>
        <v>-2.1270561748026013</v>
      </c>
      <c r="AE595" s="687">
        <f t="shared" si="310"/>
        <v>-30.248025808661044</v>
      </c>
      <c r="AG595" s="686">
        <f t="shared" si="311"/>
        <v>56.325307399884224</v>
      </c>
      <c r="AH595" s="687">
        <f t="shared" si="312"/>
        <v>-21.716884461761101</v>
      </c>
      <c r="AJ595" s="170">
        <f t="shared" si="313"/>
        <v>0</v>
      </c>
      <c r="AK595" s="170">
        <f t="shared" si="293"/>
        <v>0</v>
      </c>
      <c r="AM595" s="170" t="str">
        <f t="shared" si="317"/>
        <v>1.00167498856841-0.999998597205664i</v>
      </c>
      <c r="AN595" s="170" t="str">
        <f t="shared" si="318"/>
        <v>29.8434552197514i</v>
      </c>
      <c r="AO595" s="170" t="str">
        <f t="shared" si="319"/>
        <v>-0.0335081373735784-0.0335643102044521i</v>
      </c>
      <c r="AP595" s="170" t="str">
        <f t="shared" si="320"/>
        <v>-0.000279164761402042+0.166666432867611i</v>
      </c>
      <c r="AQ595" s="170" t="str">
        <f t="shared" si="321"/>
        <v>1.0002791647614-0.166666432867611i</v>
      </c>
      <c r="AR595" s="170" t="str">
        <f t="shared" si="322"/>
        <v>0.810272573656403+0.135007550151246i</v>
      </c>
    </row>
    <row r="596" spans="7:44">
      <c r="G596" s="688">
        <v>208930</v>
      </c>
      <c r="H596" s="676">
        <f t="shared" si="314"/>
        <v>208.93</v>
      </c>
      <c r="I596" s="677">
        <f t="shared" si="294"/>
        <v>183.81612181402099</v>
      </c>
      <c r="J596" s="678">
        <f t="shared" si="295"/>
        <v>1.5653560807334457</v>
      </c>
      <c r="K596" s="678">
        <f t="shared" si="296"/>
        <v>1.0408687754095256</v>
      </c>
      <c r="L596" s="679">
        <f t="shared" si="297"/>
        <v>0.28115394151503298</v>
      </c>
      <c r="M596" s="678">
        <f t="shared" si="298"/>
        <v>3.5796914447809041</v>
      </c>
      <c r="N596" s="679">
        <f t="shared" si="299"/>
        <v>-1.2876753952544744</v>
      </c>
      <c r="O596" s="677">
        <f t="shared" si="300"/>
        <v>18667246.76524641</v>
      </c>
      <c r="P596" s="680">
        <f t="shared" si="301"/>
        <v>1.5707962732251328</v>
      </c>
      <c r="Q596" s="689">
        <f t="shared" si="291"/>
        <v>93.341590648890488</v>
      </c>
      <c r="R596" s="690">
        <f t="shared" si="292"/>
        <v>1.5600827839539799</v>
      </c>
      <c r="S596" s="677">
        <f t="shared" si="302"/>
        <v>1.17778799346468</v>
      </c>
      <c r="T596" s="680">
        <f t="shared" si="303"/>
        <v>0.55661325760242708</v>
      </c>
      <c r="U596" s="681">
        <f t="shared" si="315"/>
        <v>3.1898925335928474E-2</v>
      </c>
      <c r="V596" s="682">
        <f t="shared" si="316"/>
        <v>-0.81971578100138554</v>
      </c>
      <c r="W596" s="683">
        <f t="shared" si="304"/>
        <v>-61.8642124976272</v>
      </c>
      <c r="X596" s="684">
        <f t="shared" si="305"/>
        <v>-226.82941126139104</v>
      </c>
      <c r="Y596" s="687">
        <f t="shared" si="306"/>
        <v>-46.829411261391044</v>
      </c>
      <c r="AA596" s="170">
        <f t="shared" si="307"/>
        <v>208930</v>
      </c>
      <c r="AB596" s="170">
        <f t="shared" si="308"/>
        <v>43651744900</v>
      </c>
      <c r="AD596" s="686">
        <f t="shared" si="309"/>
        <v>-2.3359937734221154</v>
      </c>
      <c r="AE596" s="687">
        <f t="shared" si="310"/>
        <v>-32.505428237885759</v>
      </c>
      <c r="AG596" s="686">
        <f t="shared" si="311"/>
        <v>58.050553696503272</v>
      </c>
      <c r="AH596" s="687">
        <f t="shared" si="312"/>
        <v>-100.39147361287283</v>
      </c>
      <c r="AJ596" s="170">
        <f t="shared" si="313"/>
        <v>0</v>
      </c>
      <c r="AK596" s="170">
        <f t="shared" si="293"/>
        <v>0</v>
      </c>
      <c r="AM596" s="170" t="str">
        <f t="shared" si="317"/>
        <v>0.738439243676435+0.965187013356191i</v>
      </c>
      <c r="AN596" s="170" t="str">
        <f t="shared" si="318"/>
        <v>32.7220839625435i</v>
      </c>
      <c r="AO596" s="170" t="str">
        <f t="shared" si="319"/>
        <v>0.0294965019483792-0.0225669992327419i</v>
      </c>
      <c r="AP596" s="170" t="str">
        <f t="shared" si="320"/>
        <v>0.0435934593872608-0.160864502226032i</v>
      </c>
      <c r="AQ596" s="170" t="str">
        <f t="shared" si="321"/>
        <v>0.956406540612739+0.160864502226032i</v>
      </c>
      <c r="AR596" s="170" t="str">
        <f t="shared" si="322"/>
        <v>0.847006581772079-0.142463781219695i</v>
      </c>
    </row>
    <row r="597" spans="7:44">
      <c r="G597" s="688">
        <v>229090</v>
      </c>
      <c r="H597" s="676">
        <f t="shared" si="314"/>
        <v>229.09</v>
      </c>
      <c r="I597" s="677">
        <f t="shared" si="294"/>
        <v>201.55234048310513</v>
      </c>
      <c r="J597" s="678">
        <f t="shared" si="295"/>
        <v>1.5658348160509397</v>
      </c>
      <c r="K597" s="678">
        <f t="shared" si="296"/>
        <v>1.0489426586565112</v>
      </c>
      <c r="L597" s="679">
        <f t="shared" si="297"/>
        <v>0.30668051453334366</v>
      </c>
      <c r="M597" s="678">
        <f t="shared" si="298"/>
        <v>3.8992473608854166</v>
      </c>
      <c r="N597" s="679">
        <f t="shared" si="299"/>
        <v>-1.311438665576552</v>
      </c>
      <c r="O597" s="677">
        <f t="shared" si="300"/>
        <v>20468480.167760968</v>
      </c>
      <c r="P597" s="680">
        <f t="shared" si="301"/>
        <v>1.5707962779392908</v>
      </c>
      <c r="Q597" s="689">
        <f t="shared" si="291"/>
        <v>102.34728628278611</v>
      </c>
      <c r="R597" s="690">
        <f t="shared" si="292"/>
        <v>1.5610255165667721</v>
      </c>
      <c r="S597" s="677">
        <f t="shared" si="302"/>
        <v>1.2105823577371637</v>
      </c>
      <c r="T597" s="680">
        <f t="shared" si="303"/>
        <v>0.59873591008331639</v>
      </c>
      <c r="U597" s="681">
        <f t="shared" si="315"/>
        <v>3.4792330712330462E-2</v>
      </c>
      <c r="V597" s="682">
        <f t="shared" si="316"/>
        <v>-2.0778450046453099</v>
      </c>
      <c r="W597" s="683">
        <f t="shared" si="304"/>
        <v>-61.33895703453728</v>
      </c>
      <c r="X597" s="684">
        <f t="shared" si="305"/>
        <v>-301.2007415331687</v>
      </c>
      <c r="Y597" s="687">
        <f t="shared" si="306"/>
        <v>-121.2007415331687</v>
      </c>
      <c r="AA597" s="170">
        <f t="shared" si="307"/>
        <v>229090</v>
      </c>
      <c r="AB597" s="170">
        <f t="shared" si="308"/>
        <v>52482228100</v>
      </c>
      <c r="AD597" s="686">
        <f t="shared" si="309"/>
        <v>-2.574621998961268</v>
      </c>
      <c r="AE597" s="687">
        <f t="shared" si="310"/>
        <v>-34.864864119812054</v>
      </c>
      <c r="AG597" s="686">
        <f t="shared" si="311"/>
        <v>57.306138556429993</v>
      </c>
      <c r="AH597" s="687">
        <f t="shared" si="312"/>
        <v>-28.232378644249398</v>
      </c>
      <c r="AJ597" s="170">
        <f t="shared" si="313"/>
        <v>0</v>
      </c>
      <c r="AK597" s="170">
        <f t="shared" si="293"/>
        <v>0</v>
      </c>
      <c r="AM597" s="170" t="str">
        <f t="shared" si="317"/>
        <v>1.24626410397362-0.969202760568742i</v>
      </c>
      <c r="AN597" s="170" t="str">
        <f t="shared" si="318"/>
        <v>35.8794917674775i</v>
      </c>
      <c r="AO597" s="170" t="str">
        <f t="shared" si="319"/>
        <v>-0.0270127226675843-0.0347347201027881i</v>
      </c>
      <c r="AP597" s="170" t="str">
        <f t="shared" si="320"/>
        <v>-0.0410440173289368+0.161533793428124i</v>
      </c>
      <c r="AQ597" s="170" t="str">
        <f t="shared" si="321"/>
        <v>1.04104401732894-0.161533793428124i</v>
      </c>
      <c r="AR597" s="170" t="str">
        <f t="shared" si="322"/>
        <v>0.781346408474295+0.121237764437787i</v>
      </c>
    </row>
    <row r="598" spans="7:44">
      <c r="G598" s="688">
        <v>251190</v>
      </c>
      <c r="H598" s="676">
        <f t="shared" si="314"/>
        <v>251.19</v>
      </c>
      <c r="I598" s="677">
        <f t="shared" si="294"/>
        <v>220.99536243584683</v>
      </c>
      <c r="J598" s="678">
        <f t="shared" si="295"/>
        <v>1.5662713295208091</v>
      </c>
      <c r="K598" s="678">
        <f t="shared" si="296"/>
        <v>1.0585659253294368</v>
      </c>
      <c r="L598" s="679">
        <f t="shared" si="297"/>
        <v>0.33419617662260215</v>
      </c>
      <c r="M598" s="678">
        <f t="shared" si="298"/>
        <v>4.2516846705312163</v>
      </c>
      <c r="N598" s="679">
        <f t="shared" si="299"/>
        <v>-1.3333710800746936</v>
      </c>
      <c r="O598" s="677">
        <f t="shared" si="300"/>
        <v>22443046.546509564</v>
      </c>
      <c r="P598" s="680">
        <f t="shared" si="301"/>
        <v>1.570796282237666</v>
      </c>
      <c r="Q598" s="689">
        <f t="shared" si="291"/>
        <v>112.21968836714818</v>
      </c>
      <c r="R598" s="690">
        <f t="shared" si="292"/>
        <v>1.5618851165641614</v>
      </c>
      <c r="S598" s="677">
        <f t="shared" si="302"/>
        <v>1.2488618544226551</v>
      </c>
      <c r="T598" s="680">
        <f t="shared" si="303"/>
        <v>0.64228499419363938</v>
      </c>
      <c r="U598" s="681">
        <f t="shared" si="315"/>
        <v>3.0219569668640991E-2</v>
      </c>
      <c r="V598" s="682">
        <f t="shared" si="316"/>
        <v>-0.98366833416124522</v>
      </c>
      <c r="W598" s="683">
        <f t="shared" si="304"/>
        <v>-62.802310759650119</v>
      </c>
      <c r="X598" s="684">
        <f t="shared" si="305"/>
        <v>-240.66007757569466</v>
      </c>
      <c r="Y598" s="687">
        <f t="shared" si="306"/>
        <v>-60.660077575694658</v>
      </c>
      <c r="AA598" s="170">
        <f t="shared" si="307"/>
        <v>251190</v>
      </c>
      <c r="AB598" s="170">
        <f t="shared" si="308"/>
        <v>63096416100</v>
      </c>
      <c r="AD598" s="686">
        <f t="shared" si="309"/>
        <v>-2.8450929468404542</v>
      </c>
      <c r="AE598" s="687">
        <f t="shared" si="310"/>
        <v>-37.310791638147577</v>
      </c>
      <c r="AG598" s="686">
        <f t="shared" si="311"/>
        <v>58.561065665589574</v>
      </c>
      <c r="AH598" s="687">
        <f t="shared" si="312"/>
        <v>-90.629197832538196</v>
      </c>
      <c r="AJ598" s="170">
        <f t="shared" si="313"/>
        <v>0</v>
      </c>
      <c r="AK598" s="170">
        <f t="shared" si="293"/>
        <v>0</v>
      </c>
      <c r="AM598" s="170" t="str">
        <f t="shared" si="317"/>
        <v>1.07077004912827+0.997492656687949i</v>
      </c>
      <c r="AN598" s="170" t="str">
        <f t="shared" si="318"/>
        <v>39.3407374266563i</v>
      </c>
      <c r="AO598" s="170" t="str">
        <f t="shared" si="319"/>
        <v>0.0253552099410336-0.0272178438730216i</v>
      </c>
      <c r="AP598" s="170" t="str">
        <f t="shared" si="320"/>
        <v>-0.0117950081880442-0.166248776114658i</v>
      </c>
      <c r="AQ598" s="170" t="str">
        <f t="shared" si="321"/>
        <v>1.01179500818804+0.166248776114658i</v>
      </c>
      <c r="AR598" s="170" t="str">
        <f t="shared" si="322"/>
        <v>0.80164643287266-0.131719110356584i</v>
      </c>
    </row>
    <row r="599" spans="7:44">
      <c r="G599" s="688">
        <v>275420</v>
      </c>
      <c r="H599" s="676">
        <f t="shared" si="314"/>
        <v>275.42</v>
      </c>
      <c r="I599" s="677">
        <f t="shared" si="294"/>
        <v>242.31234485636048</v>
      </c>
      <c r="J599" s="678">
        <f t="shared" si="295"/>
        <v>1.5666694101940446</v>
      </c>
      <c r="K599" s="678">
        <f t="shared" si="296"/>
        <v>1.0700199060122879</v>
      </c>
      <c r="L599" s="679">
        <f t="shared" si="297"/>
        <v>0.36377013820853704</v>
      </c>
      <c r="M599" s="678">
        <f t="shared" si="298"/>
        <v>4.6400653736269506</v>
      </c>
      <c r="N599" s="679">
        <f t="shared" si="299"/>
        <v>-1.3535779483149395</v>
      </c>
      <c r="O599" s="677">
        <f t="shared" si="300"/>
        <v>24607921.811535746</v>
      </c>
      <c r="P599" s="680">
        <f t="shared" si="301"/>
        <v>1.5707962861575764</v>
      </c>
      <c r="Q599" s="689">
        <f t="shared" ref="Q599:Q613" si="323">SQRT(1+(G599/Zero2)^2)</f>
        <v>123.04367272260038</v>
      </c>
      <c r="R599" s="690">
        <f t="shared" ref="R599:R613" si="324">ATAN(G599/Zero2)</f>
        <v>1.5626690416874924</v>
      </c>
      <c r="S599" s="677">
        <f t="shared" si="302"/>
        <v>1.2933805042440163</v>
      </c>
      <c r="T599" s="680">
        <f t="shared" si="303"/>
        <v>0.68697552239572057</v>
      </c>
      <c r="U599" s="681">
        <f t="shared" si="315"/>
        <v>1.7663229304652864E-2</v>
      </c>
      <c r="V599" s="682">
        <f t="shared" si="316"/>
        <v>-2.578796766739782</v>
      </c>
      <c r="W599" s="683">
        <f t="shared" si="304"/>
        <v>-67.718077958485679</v>
      </c>
      <c r="X599" s="684">
        <f t="shared" si="305"/>
        <v>-334.05598135171533</v>
      </c>
      <c r="Y599" s="687">
        <f t="shared" si="306"/>
        <v>-154.05598135171533</v>
      </c>
      <c r="AA599" s="170">
        <f t="shared" si="307"/>
        <v>275420</v>
      </c>
      <c r="AB599" s="170">
        <f t="shared" si="308"/>
        <v>75856176400</v>
      </c>
      <c r="AD599" s="686">
        <f t="shared" si="309"/>
        <v>-3.1493891511019401</v>
      </c>
      <c r="AE599" s="687">
        <f t="shared" si="310"/>
        <v>-39.826454914784968</v>
      </c>
      <c r="AG599" s="686">
        <f t="shared" si="311"/>
        <v>63.278321416145438</v>
      </c>
      <c r="AH599" s="687">
        <f t="shared" si="312"/>
        <v>1.2788158130813922</v>
      </c>
      <c r="AJ599" s="170">
        <f t="shared" si="313"/>
        <v>0</v>
      </c>
      <c r="AK599" s="170">
        <f t="shared" ref="AK599:AK613" si="325">IF(AJ599&gt;0,Y599,0)</f>
        <v>0</v>
      </c>
      <c r="AM599" s="170" t="str">
        <f t="shared" si="317"/>
        <v>0.337555380881943-0.749110890724152i</v>
      </c>
      <c r="AN599" s="170" t="str">
        <f t="shared" si="318"/>
        <v>43.1355782557015i</v>
      </c>
      <c r="AO599" s="170" t="str">
        <f t="shared" si="319"/>
        <v>-0.0173664274600315-0.00782545162327402i</v>
      </c>
      <c r="AP599" s="170" t="str">
        <f t="shared" si="320"/>
        <v>0.110407436519676+0.124851815120692i</v>
      </c>
      <c r="AQ599" s="170" t="str">
        <f t="shared" si="321"/>
        <v>0.889592563480324-0.124851815120692i</v>
      </c>
      <c r="AR599" s="170" t="str">
        <f t="shared" si="322"/>
        <v>0.91829574944255+0.128880226569086i</v>
      </c>
    </row>
    <row r="600" spans="7:44">
      <c r="G600" s="688">
        <v>302000</v>
      </c>
      <c r="H600" s="676">
        <f t="shared" si="314"/>
        <v>302</v>
      </c>
      <c r="I600" s="677">
        <f t="shared" si="294"/>
        <v>265.69683857613131</v>
      </c>
      <c r="J600" s="678">
        <f t="shared" si="295"/>
        <v>1.567032629920424</v>
      </c>
      <c r="K600" s="678">
        <f t="shared" si="296"/>
        <v>1.0836367178175665</v>
      </c>
      <c r="L600" s="679">
        <f t="shared" si="297"/>
        <v>0.3954625039901315</v>
      </c>
      <c r="M600" s="678">
        <f t="shared" si="298"/>
        <v>5.0679424830980988</v>
      </c>
      <c r="N600" s="679">
        <f t="shared" si="299"/>
        <v>-1.3721742001216857</v>
      </c>
      <c r="O600" s="677">
        <f t="shared" si="300"/>
        <v>26982762.279732022</v>
      </c>
      <c r="P600" s="680">
        <f t="shared" si="301"/>
        <v>1.5707962897341987</v>
      </c>
      <c r="Q600" s="689">
        <f t="shared" si="323"/>
        <v>134.91751741754371</v>
      </c>
      <c r="R600" s="690">
        <f t="shared" si="324"/>
        <v>1.5633843229609987</v>
      </c>
      <c r="S600" s="677">
        <f t="shared" si="302"/>
        <v>1.3449780916202183</v>
      </c>
      <c r="T600" s="680">
        <f t="shared" si="303"/>
        <v>0.73249755766032332</v>
      </c>
      <c r="U600" s="681">
        <f t="shared" si="315"/>
        <v>3.0132439489901609E-2</v>
      </c>
      <c r="V600" s="682">
        <f t="shared" si="316"/>
        <v>-1.6332240499691242</v>
      </c>
      <c r="W600" s="683">
        <f t="shared" si="304"/>
        <v>-63.342848776809561</v>
      </c>
      <c r="X600" s="684">
        <f t="shared" si="305"/>
        <v>-281.71635239910324</v>
      </c>
      <c r="Y600" s="687">
        <f t="shared" si="306"/>
        <v>-101.71635239910324</v>
      </c>
      <c r="AA600" s="170">
        <f t="shared" si="307"/>
        <v>302000</v>
      </c>
      <c r="AB600" s="170">
        <f t="shared" si="308"/>
        <v>91204000000</v>
      </c>
      <c r="AD600" s="686">
        <f t="shared" si="309"/>
        <v>-3.4892154204515129</v>
      </c>
      <c r="AE600" s="687">
        <f t="shared" si="310"/>
        <v>-42.393693020014609</v>
      </c>
      <c r="AG600" s="686">
        <f t="shared" si="311"/>
        <v>58.714809422652472</v>
      </c>
      <c r="AH600" s="687">
        <f t="shared" si="312"/>
        <v>-52.168969040245784</v>
      </c>
      <c r="AJ600" s="170">
        <f t="shared" si="313"/>
        <v>0</v>
      </c>
      <c r="AK600" s="170">
        <f t="shared" si="325"/>
        <v>0</v>
      </c>
      <c r="AM600" s="170" t="str">
        <f t="shared" si="317"/>
        <v>1.98479952711229-0.173694822603957i</v>
      </c>
      <c r="AN600" s="170" t="str">
        <f t="shared" si="318"/>
        <v>47.2984700937545i</v>
      </c>
      <c r="AO600" s="170" t="str">
        <f t="shared" si="319"/>
        <v>-0.00367231376109335-0.0419632923259049i</v>
      </c>
      <c r="AP600" s="170" t="str">
        <f t="shared" si="320"/>
        <v>-0.164133254518714+0.0289491371006595i</v>
      </c>
      <c r="AQ600" s="170" t="str">
        <f t="shared" si="321"/>
        <v>1.16413325451871-0.0289491371006595i</v>
      </c>
      <c r="AR600" s="170" t="str">
        <f t="shared" si="322"/>
        <v>0.715111601031538+0.0177830705378251i</v>
      </c>
    </row>
    <row r="601" spans="7:44">
      <c r="G601" s="688">
        <v>331130</v>
      </c>
      <c r="H601" s="676">
        <f t="shared" si="314"/>
        <v>331.13</v>
      </c>
      <c r="I601" s="677">
        <f t="shared" si="294"/>
        <v>291.32479915182853</v>
      </c>
      <c r="J601" s="678">
        <f t="shared" si="295"/>
        <v>1.567363725221991</v>
      </c>
      <c r="K601" s="678">
        <f t="shared" si="296"/>
        <v>1.0997766796597566</v>
      </c>
      <c r="L601" s="679">
        <f t="shared" si="297"/>
        <v>0.42925633906719085</v>
      </c>
      <c r="M601" s="678">
        <f t="shared" si="298"/>
        <v>5.5385552939497922</v>
      </c>
      <c r="N601" s="679">
        <f t="shared" si="299"/>
        <v>-1.3892481734751045</v>
      </c>
      <c r="O601" s="677">
        <f t="shared" si="300"/>
        <v>29585437.330091599</v>
      </c>
      <c r="P601" s="680">
        <f t="shared" si="301"/>
        <v>1.5707962929944836</v>
      </c>
      <c r="Q601" s="689">
        <f t="shared" si="323"/>
        <v>147.93056665314111</v>
      </c>
      <c r="R601" s="690">
        <f t="shared" si="324"/>
        <v>1.5640363471714418</v>
      </c>
      <c r="S601" s="677">
        <f t="shared" si="302"/>
        <v>1.4044762179121664</v>
      </c>
      <c r="T601" s="680">
        <f t="shared" si="303"/>
        <v>0.77844082617619081</v>
      </c>
      <c r="U601" s="681">
        <f t="shared" si="315"/>
        <v>2.2589296397442931E-2</v>
      </c>
      <c r="V601" s="682">
        <f t="shared" si="316"/>
        <v>-0.96206901099728392</v>
      </c>
      <c r="W601" s="683">
        <f t="shared" si="304"/>
        <v>-66.121613404589056</v>
      </c>
      <c r="X601" s="684">
        <f t="shared" si="305"/>
        <v>-244.91799141201699</v>
      </c>
      <c r="Y601" s="687">
        <f t="shared" si="306"/>
        <v>-64.917991412016988</v>
      </c>
      <c r="AA601" s="170">
        <f t="shared" si="307"/>
        <v>331130</v>
      </c>
      <c r="AB601" s="170">
        <f t="shared" si="308"/>
        <v>109647076900</v>
      </c>
      <c r="AD601" s="686">
        <f t="shared" si="309"/>
        <v>-3.8652391420019843</v>
      </c>
      <c r="AE601" s="687">
        <f t="shared" si="310"/>
        <v>-44.988690357377145</v>
      </c>
      <c r="AG601" s="686">
        <f t="shared" si="311"/>
        <v>61.317332084998625</v>
      </c>
      <c r="AH601" s="687">
        <f t="shared" si="312"/>
        <v>-89.684313067727501</v>
      </c>
      <c r="AJ601" s="170">
        <f t="shared" si="313"/>
        <v>0</v>
      </c>
      <c r="AK601" s="170">
        <f t="shared" si="325"/>
        <v>0</v>
      </c>
      <c r="AM601" s="170" t="str">
        <f t="shared" si="317"/>
        <v>1.02445520845332+0.999700926667323i</v>
      </c>
      <c r="AN601" s="170" t="str">
        <f t="shared" si="318"/>
        <v>51.8607364309435i</v>
      </c>
      <c r="AO601" s="170" t="str">
        <f t="shared" si="319"/>
        <v>0.0192766434776433-0.0197539656965238i</v>
      </c>
      <c r="AP601" s="170" t="str">
        <f t="shared" si="320"/>
        <v>-0.00407586807555352-0.166616821111221i</v>
      </c>
      <c r="AQ601" s="170" t="str">
        <f t="shared" si="321"/>
        <v>1.00407586807555+0.166616821111221i</v>
      </c>
      <c r="AR601" s="170" t="str">
        <f t="shared" si="322"/>
        <v>0.807386204235857-0.133978045918649i</v>
      </c>
    </row>
    <row r="602" spans="7:44">
      <c r="G602" s="688">
        <v>363080</v>
      </c>
      <c r="H602" s="676">
        <f t="shared" si="314"/>
        <v>363.08</v>
      </c>
      <c r="I602" s="677">
        <f t="shared" si="294"/>
        <v>319.43376688905806</v>
      </c>
      <c r="J602" s="678">
        <f t="shared" si="295"/>
        <v>1.5676657822594029</v>
      </c>
      <c r="K602" s="678">
        <f t="shared" si="296"/>
        <v>1.118878598516412</v>
      </c>
      <c r="L602" s="679">
        <f t="shared" si="297"/>
        <v>0.46515508046044324</v>
      </c>
      <c r="M602" s="678">
        <f t="shared" si="298"/>
        <v>6.0562807157481426</v>
      </c>
      <c r="N602" s="679">
        <f t="shared" si="299"/>
        <v>-1.4049188350414623</v>
      </c>
      <c r="O602" s="677">
        <f t="shared" si="300"/>
        <v>32440070.6242553</v>
      </c>
      <c r="P602" s="680">
        <f t="shared" si="301"/>
        <v>1.5707962959688231</v>
      </c>
      <c r="Q602" s="689">
        <f t="shared" si="323"/>
        <v>162.20343569933027</v>
      </c>
      <c r="R602" s="690">
        <f t="shared" si="324"/>
        <v>1.5646311902148062</v>
      </c>
      <c r="S602" s="677">
        <f t="shared" si="302"/>
        <v>1.4728499139448701</v>
      </c>
      <c r="T602" s="680">
        <f t="shared" si="303"/>
        <v>0.82445689009830136</v>
      </c>
      <c r="U602" s="681">
        <f t="shared" si="315"/>
        <v>5.4670979841264927E-3</v>
      </c>
      <c r="V602" s="682">
        <f t="shared" si="316"/>
        <v>-0.21946385111534589</v>
      </c>
      <c r="W602" s="683">
        <f t="shared" si="304"/>
        <v>-78.731753911491694</v>
      </c>
      <c r="X602" s="684">
        <f t="shared" si="305"/>
        <v>-203.83061727797696</v>
      </c>
      <c r="Y602" s="687">
        <f t="shared" si="306"/>
        <v>-23.830617277976955</v>
      </c>
      <c r="AA602" s="170">
        <f t="shared" si="307"/>
        <v>363080</v>
      </c>
      <c r="AB602" s="170">
        <f t="shared" si="308"/>
        <v>131827086400</v>
      </c>
      <c r="AD602" s="686">
        <f t="shared" si="309"/>
        <v>-4.278154613744193</v>
      </c>
      <c r="AE602" s="687">
        <f t="shared" si="310"/>
        <v>-47.591134787451615</v>
      </c>
      <c r="AG602" s="686">
        <f t="shared" si="311"/>
        <v>73.76594090133591</v>
      </c>
      <c r="AH602" s="687">
        <f t="shared" si="312"/>
        <v>-131.09077761259522</v>
      </c>
      <c r="AJ602" s="170">
        <f t="shared" si="313"/>
        <v>0</v>
      </c>
      <c r="AK602" s="170">
        <f t="shared" si="325"/>
        <v>0</v>
      </c>
      <c r="AM602" s="170" t="str">
        <f t="shared" si="317"/>
        <v>0.04951273644731+0.310763514306489i</v>
      </c>
      <c r="AN602" s="170" t="str">
        <f t="shared" si="318"/>
        <v>56.8646639789416i</v>
      </c>
      <c r="AO602" s="170" t="str">
        <f t="shared" si="319"/>
        <v>0.00546496703860894-0.000870711844277244i</v>
      </c>
      <c r="AP602" s="170" t="str">
        <f t="shared" si="320"/>
        <v>0.158414543925448-0.0517939190510815i</v>
      </c>
      <c r="AQ602" s="170" t="str">
        <f t="shared" si="321"/>
        <v>0.841585456074552+0.0517939190510815i</v>
      </c>
      <c r="AR602" s="170" t="str">
        <f t="shared" si="322"/>
        <v>0.986063684824008-0.0606855813659184i</v>
      </c>
    </row>
    <row r="603" spans="7:44">
      <c r="G603" s="688">
        <v>398110</v>
      </c>
      <c r="H603" s="676">
        <f t="shared" si="314"/>
        <v>398.11</v>
      </c>
      <c r="I603" s="677">
        <f t="shared" si="294"/>
        <v>350.2524845709483</v>
      </c>
      <c r="J603" s="678">
        <f t="shared" si="295"/>
        <v>1.5679412396716366</v>
      </c>
      <c r="K603" s="678">
        <f t="shared" si="296"/>
        <v>1.1414195672330325</v>
      </c>
      <c r="L603" s="679">
        <f t="shared" si="297"/>
        <v>0.5030794627182118</v>
      </c>
      <c r="M603" s="678">
        <f t="shared" si="298"/>
        <v>6.6253441527878589</v>
      </c>
      <c r="N603" s="679">
        <f t="shared" si="299"/>
        <v>-1.4192817244492248</v>
      </c>
      <c r="O603" s="677">
        <f t="shared" si="300"/>
        <v>35569892.354914278</v>
      </c>
      <c r="P603" s="680">
        <f t="shared" si="301"/>
        <v>1.5707962986812327</v>
      </c>
      <c r="Q603" s="689">
        <f t="shared" si="323"/>
        <v>177.85227311874513</v>
      </c>
      <c r="R603" s="690">
        <f t="shared" si="324"/>
        <v>1.5651736532605074</v>
      </c>
      <c r="S603" s="677">
        <f t="shared" si="302"/>
        <v>1.5510631630308678</v>
      </c>
      <c r="T603" s="680">
        <f t="shared" si="303"/>
        <v>0.87014060811814398</v>
      </c>
      <c r="U603" s="681">
        <f t="shared" si="315"/>
        <v>7.435607884428372E-3</v>
      </c>
      <c r="V603" s="682">
        <f t="shared" si="316"/>
        <v>-2.8109382666177938</v>
      </c>
      <c r="W603" s="683">
        <f t="shared" si="304"/>
        <v>-76.356721246048025</v>
      </c>
      <c r="X603" s="684">
        <f t="shared" si="305"/>
        <v>-353.56337616866915</v>
      </c>
      <c r="Y603" s="687">
        <f t="shared" si="306"/>
        <v>-173.56337616866915</v>
      </c>
      <c r="AA603" s="170">
        <f t="shared" si="307"/>
        <v>398110</v>
      </c>
      <c r="AB603" s="170">
        <f t="shared" si="308"/>
        <v>158491572100</v>
      </c>
      <c r="AD603" s="686">
        <f t="shared" si="309"/>
        <v>-4.7276021844827323</v>
      </c>
      <c r="AE603" s="687">
        <f t="shared" si="310"/>
        <v>-50.177538337758861</v>
      </c>
      <c r="AG603" s="686">
        <f t="shared" si="311"/>
        <v>71.248036271688463</v>
      </c>
      <c r="AH603" s="687">
        <f t="shared" si="312"/>
        <v>18.723960835191647</v>
      </c>
      <c r="AJ603" s="170">
        <f t="shared" si="313"/>
        <v>0</v>
      </c>
      <c r="AK603" s="170">
        <f t="shared" si="325"/>
        <v>0</v>
      </c>
      <c r="AM603" s="170" t="str">
        <f t="shared" si="317"/>
        <v>0.113411692332061-0.46255937208806i</v>
      </c>
      <c r="AN603" s="170" t="str">
        <f t="shared" si="318"/>
        <v>62.3509732749159i</v>
      </c>
      <c r="AO603" s="170" t="str">
        <f t="shared" si="319"/>
        <v>-0.0074186391613898-0.00181892417030942i</v>
      </c>
      <c r="AP603" s="170" t="str">
        <f t="shared" si="320"/>
        <v>0.147764717944656+0.0770932286813433i</v>
      </c>
      <c r="AQ603" s="170" t="str">
        <f t="shared" si="321"/>
        <v>0.852235282055344-0.0770932286813433i</v>
      </c>
      <c r="AR603" s="170" t="str">
        <f t="shared" si="322"/>
        <v>0.969496206875991+0.0877006553895899i</v>
      </c>
    </row>
    <row r="604" spans="7:44">
      <c r="G604" s="688">
        <v>436520</v>
      </c>
      <c r="H604" s="676">
        <f t="shared" si="314"/>
        <v>436.52</v>
      </c>
      <c r="I604" s="677">
        <f t="shared" si="294"/>
        <v>384.0448864029027</v>
      </c>
      <c r="J604" s="678">
        <f t="shared" si="295"/>
        <v>1.5681924615556371</v>
      </c>
      <c r="K604" s="678">
        <f t="shared" si="296"/>
        <v>1.1679443007179133</v>
      </c>
      <c r="L604" s="679">
        <f t="shared" si="297"/>
        <v>0.54291716583645155</v>
      </c>
      <c r="M604" s="678">
        <f t="shared" si="298"/>
        <v>7.2506280580256393</v>
      </c>
      <c r="N604" s="679">
        <f t="shared" si="299"/>
        <v>-1.4324362124505303</v>
      </c>
      <c r="O604" s="677">
        <f t="shared" si="300"/>
        <v>39001706.590558343</v>
      </c>
      <c r="P604" s="680">
        <f t="shared" si="301"/>
        <v>1.570796301154993</v>
      </c>
      <c r="Q604" s="689">
        <f t="shared" si="323"/>
        <v>195.01109692630322</v>
      </c>
      <c r="R604" s="690">
        <f t="shared" si="324"/>
        <v>1.5656683910086975</v>
      </c>
      <c r="S604" s="677">
        <f t="shared" si="302"/>
        <v>1.6401670365396057</v>
      </c>
      <c r="T604" s="680">
        <f t="shared" si="303"/>
        <v>0.91512184731473023</v>
      </c>
      <c r="U604" s="681">
        <f t="shared" si="315"/>
        <v>1.0062857422128238E-2</v>
      </c>
      <c r="V604" s="682">
        <f t="shared" si="316"/>
        <v>-2.6389221658447855</v>
      </c>
      <c r="W604" s="683">
        <f t="shared" si="304"/>
        <v>-74.030954636146362</v>
      </c>
      <c r="X604" s="684">
        <f t="shared" si="305"/>
        <v>-344.74202683966513</v>
      </c>
      <c r="Y604" s="687">
        <f t="shared" si="306"/>
        <v>-164.74202683966513</v>
      </c>
      <c r="AA604" s="170">
        <f t="shared" si="307"/>
        <v>436520</v>
      </c>
      <c r="AB604" s="170">
        <f t="shared" si="308"/>
        <v>190549710400</v>
      </c>
      <c r="AD604" s="686">
        <f t="shared" si="309"/>
        <v>-5.2127971970430256</v>
      </c>
      <c r="AE604" s="687">
        <f t="shared" si="310"/>
        <v>-52.726427260703154</v>
      </c>
      <c r="AG604" s="686">
        <f t="shared" si="311"/>
        <v>68.802804290993848</v>
      </c>
      <c r="AH604" s="687">
        <f t="shared" si="312"/>
        <v>10.382605899435283</v>
      </c>
      <c r="AJ604" s="170">
        <f t="shared" si="313"/>
        <v>0</v>
      </c>
      <c r="AK604" s="170">
        <f t="shared" si="325"/>
        <v>0</v>
      </c>
      <c r="AM604" s="170" t="str">
        <f t="shared" si="317"/>
        <v>0.267213841905402-0.680458996931453i</v>
      </c>
      <c r="AN604" s="170" t="str">
        <f t="shared" si="318"/>
        <v>68.3666495540586i</v>
      </c>
      <c r="AO604" s="170" t="str">
        <f t="shared" si="319"/>
        <v>-0.00995308387013178-0.00390854084042998i</v>
      </c>
      <c r="AP604" s="170" t="str">
        <f t="shared" si="320"/>
        <v>0.1221310263491+0.113409832821909i</v>
      </c>
      <c r="AQ604" s="170" t="str">
        <f t="shared" si="321"/>
        <v>0.8778689736509-0.113409832821909i</v>
      </c>
      <c r="AR604" s="170" t="str">
        <f t="shared" si="322"/>
        <v>0.93331228926762+0.120572424670935i</v>
      </c>
    </row>
    <row r="605" spans="7:44">
      <c r="G605" s="688">
        <v>478630</v>
      </c>
      <c r="H605" s="676">
        <f t="shared" si="314"/>
        <v>478.63</v>
      </c>
      <c r="I605" s="677">
        <f t="shared" si="294"/>
        <v>421.09250241411394</v>
      </c>
      <c r="J605" s="678">
        <f t="shared" si="295"/>
        <v>1.5684215494379132</v>
      </c>
      <c r="K605" s="678">
        <f t="shared" si="296"/>
        <v>1.1990532126286451</v>
      </c>
      <c r="L605" s="679">
        <f t="shared" si="297"/>
        <v>0.58449408754562537</v>
      </c>
      <c r="M605" s="678">
        <f t="shared" si="298"/>
        <v>7.937348507944364</v>
      </c>
      <c r="N605" s="679">
        <f t="shared" si="299"/>
        <v>-1.444473976878873</v>
      </c>
      <c r="O605" s="677">
        <f t="shared" si="300"/>
        <v>42764104.33757659</v>
      </c>
      <c r="P605" s="680">
        <f t="shared" si="301"/>
        <v>1.5707963034107988</v>
      </c>
      <c r="Q605" s="689">
        <f t="shared" si="323"/>
        <v>213.8228600848806</v>
      </c>
      <c r="R605" s="690">
        <f t="shared" si="324"/>
        <v>1.5661195413239728</v>
      </c>
      <c r="S605" s="677">
        <f t="shared" si="302"/>
        <v>1.7412538967955555</v>
      </c>
      <c r="T605" s="680">
        <f t="shared" si="303"/>
        <v>0.95904898930359417</v>
      </c>
      <c r="U605" s="681">
        <f t="shared" si="315"/>
        <v>5.647762640163945E-3</v>
      </c>
      <c r="V605" s="682">
        <f t="shared" si="316"/>
        <v>-2.8405929118176942</v>
      </c>
      <c r="W605" s="683">
        <f t="shared" si="304"/>
        <v>-79.352939441261881</v>
      </c>
      <c r="X605" s="684">
        <f t="shared" si="305"/>
        <v>-357.10855713781655</v>
      </c>
      <c r="Y605" s="687">
        <f t="shared" si="306"/>
        <v>-177.10855713781655</v>
      </c>
      <c r="AA605" s="170">
        <f t="shared" si="307"/>
        <v>478630</v>
      </c>
      <c r="AB605" s="170">
        <f t="shared" si="308"/>
        <v>229086676900</v>
      </c>
      <c r="AD605" s="686">
        <f t="shared" si="309"/>
        <v>-5.7322968476095948</v>
      </c>
      <c r="AE605" s="687">
        <f t="shared" si="310"/>
        <v>-55.217418225840206</v>
      </c>
      <c r="AG605" s="686">
        <f t="shared" si="311"/>
        <v>74.034114460520286</v>
      </c>
      <c r="AH605" s="687">
        <f t="shared" si="312"/>
        <v>23.616831783832954</v>
      </c>
      <c r="AJ605" s="170">
        <f t="shared" si="313"/>
        <v>0</v>
      </c>
      <c r="AK605" s="170">
        <f t="shared" si="325"/>
        <v>0</v>
      </c>
      <c r="AM605" s="170" t="str">
        <f t="shared" si="317"/>
        <v>0.09372643642598-0.422691646436084i</v>
      </c>
      <c r="AN605" s="170" t="str">
        <f t="shared" si="318"/>
        <v>74.9618104005752i</v>
      </c>
      <c r="AO605" s="170" t="str">
        <f t="shared" si="319"/>
        <v>-0.00563875984554451-0.00125032247654015i</v>
      </c>
      <c r="AP605" s="170" t="str">
        <f t="shared" si="320"/>
        <v>0.151045593929003+0.0704486077393473i</v>
      </c>
      <c r="AQ605" s="170" t="str">
        <f t="shared" si="321"/>
        <v>0.848954406070997-0.0704486077393473i</v>
      </c>
      <c r="AR605" s="170" t="str">
        <f t="shared" si="322"/>
        <v>0.974496470074392+0.0808664388484347i</v>
      </c>
    </row>
    <row r="606" spans="7:44">
      <c r="G606" s="688">
        <v>524810</v>
      </c>
      <c r="H606" s="676">
        <f t="shared" si="314"/>
        <v>524.80999999999995</v>
      </c>
      <c r="I606" s="677">
        <f t="shared" si="294"/>
        <v>461.7208519102885</v>
      </c>
      <c r="J606" s="678">
        <f t="shared" si="295"/>
        <v>1.5686305143182591</v>
      </c>
      <c r="K606" s="678">
        <f t="shared" si="296"/>
        <v>1.2354233414167757</v>
      </c>
      <c r="L606" s="679">
        <f t="shared" si="297"/>
        <v>0.62759998796289207</v>
      </c>
      <c r="M606" s="678">
        <f t="shared" si="298"/>
        <v>8.6915447526233489</v>
      </c>
      <c r="N606" s="679">
        <f t="shared" si="299"/>
        <v>-1.4554866176675934</v>
      </c>
      <c r="O606" s="677">
        <f t="shared" si="300"/>
        <v>46890143.947106473</v>
      </c>
      <c r="P606" s="680">
        <f t="shared" si="301"/>
        <v>1.5707963054684533</v>
      </c>
      <c r="Q606" s="689">
        <f t="shared" si="323"/>
        <v>234.45285237017089</v>
      </c>
      <c r="R606" s="690">
        <f t="shared" si="324"/>
        <v>1.5665310639841659</v>
      </c>
      <c r="S606" s="677">
        <f t="shared" si="302"/>
        <v>1.8555279570277341</v>
      </c>
      <c r="T606" s="680">
        <f t="shared" si="303"/>
        <v>1.0016297857921135</v>
      </c>
      <c r="U606" s="681">
        <f t="shared" si="315"/>
        <v>5.9883363490322115E-3</v>
      </c>
      <c r="V606" s="682">
        <f t="shared" si="316"/>
        <v>-0.35190137938953719</v>
      </c>
      <c r="W606" s="683">
        <f t="shared" si="304"/>
        <v>-79.148530710469046</v>
      </c>
      <c r="X606" s="684">
        <f t="shared" si="305"/>
        <v>-215.10632166904315</v>
      </c>
      <c r="Y606" s="687">
        <f t="shared" si="306"/>
        <v>-35.106321669043155</v>
      </c>
      <c r="AA606" s="170">
        <f t="shared" si="307"/>
        <v>524810</v>
      </c>
      <c r="AB606" s="170">
        <f t="shared" si="308"/>
        <v>275425536100</v>
      </c>
      <c r="AD606" s="686">
        <f t="shared" si="309"/>
        <v>-6.2844208460830711</v>
      </c>
      <c r="AE606" s="687">
        <f t="shared" si="310"/>
        <v>-57.633539761990512</v>
      </c>
      <c r="AG606" s="686">
        <f t="shared" si="311"/>
        <v>73.773457217872391</v>
      </c>
      <c r="AH606" s="687">
        <f t="shared" si="312"/>
        <v>-117.14785417326976</v>
      </c>
      <c r="AJ606" s="170">
        <f t="shared" si="313"/>
        <v>0</v>
      </c>
      <c r="AK606" s="170">
        <f t="shared" si="325"/>
        <v>0</v>
      </c>
      <c r="AM606" s="170" t="str">
        <f t="shared" si="317"/>
        <v>0.128721631664637+0.49078916539678i</v>
      </c>
      <c r="AN606" s="170" t="str">
        <f t="shared" si="318"/>
        <v>82.1944042712029i</v>
      </c>
      <c r="AO606" s="170" t="str">
        <f t="shared" si="319"/>
        <v>0.00597107759036012-0.00156606319865664i</v>
      </c>
      <c r="AP606" s="170" t="str">
        <f t="shared" si="320"/>
        <v>0.145213061389227-0.0817981942327967i</v>
      </c>
      <c r="AQ606" s="170" t="str">
        <f t="shared" si="321"/>
        <v>0.854786938610773+0.0817981942327967i</v>
      </c>
      <c r="AR606" s="170" t="str">
        <f t="shared" si="322"/>
        <v>0.96566884340068-0.0924089548506976i</v>
      </c>
    </row>
    <row r="607" spans="7:44">
      <c r="G607" s="688">
        <v>575440</v>
      </c>
      <c r="H607" s="676">
        <f t="shared" si="314"/>
        <v>575.44000000000005</v>
      </c>
      <c r="I607" s="677">
        <f t="shared" si="294"/>
        <v>506.26425219074508</v>
      </c>
      <c r="J607" s="678">
        <f t="shared" si="295"/>
        <v>1.5688210724767324</v>
      </c>
      <c r="K607" s="678">
        <f t="shared" si="296"/>
        <v>1.27777569190532</v>
      </c>
      <c r="L607" s="679">
        <f t="shared" si="297"/>
        <v>0.67194884425064771</v>
      </c>
      <c r="M607" s="678">
        <f t="shared" si="298"/>
        <v>9.5194269769471269</v>
      </c>
      <c r="N607" s="679">
        <f t="shared" si="299"/>
        <v>-1.4655538171090632</v>
      </c>
      <c r="O607" s="677">
        <f t="shared" si="300"/>
        <v>51413777.239235051</v>
      </c>
      <c r="P607" s="680">
        <f t="shared" si="301"/>
        <v>1.570796307344857</v>
      </c>
      <c r="Q607" s="689">
        <f t="shared" si="323"/>
        <v>257.07083119277087</v>
      </c>
      <c r="R607" s="690">
        <f t="shared" si="324"/>
        <v>1.5669063385089208</v>
      </c>
      <c r="S607" s="677">
        <f t="shared" si="302"/>
        <v>1.9842089075737979</v>
      </c>
      <c r="T607" s="680">
        <f t="shared" si="303"/>
        <v>1.0425966502344806</v>
      </c>
      <c r="U607" s="681">
        <f t="shared" si="315"/>
        <v>1.4801548950327401E-2</v>
      </c>
      <c r="V607" s="682">
        <f t="shared" si="316"/>
        <v>-1.2058851389119321</v>
      </c>
      <c r="W607" s="683">
        <f t="shared" si="304"/>
        <v>-71.587824624095362</v>
      </c>
      <c r="X607" s="684">
        <f t="shared" si="305"/>
        <v>-264.4084377384666</v>
      </c>
      <c r="Y607" s="687">
        <f t="shared" si="306"/>
        <v>-84.408437738466603</v>
      </c>
      <c r="AA607" s="170">
        <f t="shared" si="307"/>
        <v>575440</v>
      </c>
      <c r="AB607" s="170">
        <f t="shared" si="308"/>
        <v>331131193600</v>
      </c>
      <c r="AD607" s="686">
        <f t="shared" si="309"/>
        <v>-6.8668319925750065</v>
      </c>
      <c r="AE607" s="687">
        <f t="shared" si="310"/>
        <v>-59.959266658163024</v>
      </c>
      <c r="AG607" s="686">
        <f t="shared" si="311"/>
        <v>66.196535241589459</v>
      </c>
      <c r="AH607" s="687">
        <f t="shared" si="312"/>
        <v>-66.264912848003647</v>
      </c>
      <c r="AJ607" s="170">
        <f t="shared" si="313"/>
        <v>0</v>
      </c>
      <c r="AK607" s="170">
        <f t="shared" si="325"/>
        <v>0</v>
      </c>
      <c r="AM607" s="170" t="str">
        <f t="shared" si="317"/>
        <v>1.55515987449536+0.831743658677538i</v>
      </c>
      <c r="AN607" s="170" t="str">
        <f t="shared" si="318"/>
        <v>90.1239457971857i</v>
      </c>
      <c r="AO607" s="170" t="str">
        <f t="shared" si="319"/>
        <v>0.0092288864110465-0.0172557899095439i</v>
      </c>
      <c r="AP607" s="170" t="str">
        <f t="shared" si="320"/>
        <v>-0.0925266457492265-0.138623943112923i</v>
      </c>
      <c r="AQ607" s="170" t="str">
        <f t="shared" si="321"/>
        <v>1.09252664574923+0.138623943112923i</v>
      </c>
      <c r="AR607" s="170" t="str">
        <f t="shared" si="322"/>
        <v>0.750372182048568-0.0952100812209356i</v>
      </c>
    </row>
    <row r="608" spans="7:44">
      <c r="G608" s="688">
        <v>630960</v>
      </c>
      <c r="H608" s="676">
        <f t="shared" si="314"/>
        <v>630.96</v>
      </c>
      <c r="I608" s="677">
        <f t="shared" si="294"/>
        <v>555.10980766217801</v>
      </c>
      <c r="J608" s="678">
        <f t="shared" si="295"/>
        <v>1.5689948804376799</v>
      </c>
      <c r="K608" s="678">
        <f t="shared" si="296"/>
        <v>1.3269106345203403</v>
      </c>
      <c r="L608" s="679">
        <f t="shared" si="297"/>
        <v>0.71722860485826179</v>
      </c>
      <c r="M608" s="678">
        <f t="shared" si="298"/>
        <v>10.428192984478724</v>
      </c>
      <c r="N608" s="679">
        <f t="shared" si="299"/>
        <v>-1.4747548568307884</v>
      </c>
      <c r="O608" s="677">
        <f t="shared" si="300"/>
        <v>56374316.847747378</v>
      </c>
      <c r="P608" s="680">
        <f t="shared" si="301"/>
        <v>1.5707963090563224</v>
      </c>
      <c r="Q608" s="689">
        <f t="shared" si="323"/>
        <v>281.87335809057112</v>
      </c>
      <c r="R608" s="690">
        <f t="shared" si="324"/>
        <v>1.5672486268473991</v>
      </c>
      <c r="S608" s="677">
        <f t="shared" si="302"/>
        <v>2.1286572711062646</v>
      </c>
      <c r="T608" s="680">
        <f t="shared" si="303"/>
        <v>1.0817551031468777</v>
      </c>
      <c r="U608" s="681">
        <f t="shared" si="315"/>
        <v>1.2280679603265489E-2</v>
      </c>
      <c r="V608" s="682">
        <f t="shared" si="316"/>
        <v>-2.1259147165088654</v>
      </c>
      <c r="W608" s="683">
        <f t="shared" si="304"/>
        <v>-73.500224574870259</v>
      </c>
      <c r="X608" s="684">
        <f t="shared" si="305"/>
        <v>-317.28905215304638</v>
      </c>
      <c r="Y608" s="687">
        <f t="shared" si="306"/>
        <v>-137.28905215304638</v>
      </c>
      <c r="AA608" s="170">
        <f t="shared" si="307"/>
        <v>630960</v>
      </c>
      <c r="AB608" s="170">
        <f t="shared" si="308"/>
        <v>398110521600</v>
      </c>
      <c r="AD608" s="686">
        <f t="shared" si="309"/>
        <v>-7.4772100016366565</v>
      </c>
      <c r="AE608" s="687">
        <f t="shared" si="310"/>
        <v>-62.183269165734842</v>
      </c>
      <c r="AG608" s="686">
        <f t="shared" si="311"/>
        <v>68.137903890644267</v>
      </c>
      <c r="AH608" s="687">
        <f t="shared" si="312"/>
        <v>-11.493900987526628</v>
      </c>
      <c r="AJ608" s="170">
        <f t="shared" si="313"/>
        <v>0</v>
      </c>
      <c r="AK608" s="170">
        <f t="shared" si="325"/>
        <v>0</v>
      </c>
      <c r="AM608" s="170" t="str">
        <f t="shared" si="317"/>
        <v>1.14035695691105-0.990100966895129i</v>
      </c>
      <c r="AN608" s="170" t="str">
        <f t="shared" si="318"/>
        <v>98.8193466568057i</v>
      </c>
      <c r="AO608" s="170" t="str">
        <f t="shared" si="319"/>
        <v>-0.010019302903648-0.0115398147780864i</v>
      </c>
      <c r="AP608" s="170" t="str">
        <f t="shared" si="320"/>
        <v>-0.023392826151842+0.165016827815855i</v>
      </c>
      <c r="AQ608" s="170" t="str">
        <f t="shared" si="321"/>
        <v>1.02339282615184-0.165016827815855i</v>
      </c>
      <c r="AR608" s="170" t="str">
        <f t="shared" si="322"/>
        <v>0.793332622644584+0.127920803670182i</v>
      </c>
    </row>
    <row r="609" spans="7:44">
      <c r="G609" s="688">
        <v>691830</v>
      </c>
      <c r="H609" s="676">
        <f t="shared" si="314"/>
        <v>691.83</v>
      </c>
      <c r="I609" s="677">
        <f t="shared" si="294"/>
        <v>608.66221853180866</v>
      </c>
      <c r="J609" s="678">
        <f t="shared" si="295"/>
        <v>1.5691533786712362</v>
      </c>
      <c r="K609" s="678">
        <f t="shared" si="296"/>
        <v>1.3836699282104066</v>
      </c>
      <c r="L609" s="679">
        <f t="shared" si="297"/>
        <v>0.76307274262958014</v>
      </c>
      <c r="M609" s="678">
        <f t="shared" si="298"/>
        <v>11.425374533494221</v>
      </c>
      <c r="N609" s="679">
        <f t="shared" si="299"/>
        <v>-1.483159709336076</v>
      </c>
      <c r="O609" s="677">
        <f t="shared" si="300"/>
        <v>61812862.344327793</v>
      </c>
      <c r="P609" s="680">
        <f t="shared" si="301"/>
        <v>1.570796310617034</v>
      </c>
      <c r="Q609" s="689">
        <f t="shared" si="323"/>
        <v>309.06592950367474</v>
      </c>
      <c r="R609" s="690">
        <f t="shared" si="324"/>
        <v>1.5675607655461448</v>
      </c>
      <c r="S609" s="677">
        <f t="shared" si="302"/>
        <v>2.2902765362381743</v>
      </c>
      <c r="T609" s="680">
        <f t="shared" si="303"/>
        <v>1.1189486829804731</v>
      </c>
      <c r="U609" s="681">
        <f t="shared" si="315"/>
        <v>1.0605459830753179E-2</v>
      </c>
      <c r="V609" s="682">
        <f t="shared" si="316"/>
        <v>-0.9351913079459484</v>
      </c>
      <c r="W609" s="683">
        <f t="shared" si="304"/>
        <v>-75.052639959884573</v>
      </c>
      <c r="X609" s="684">
        <f t="shared" si="305"/>
        <v>-249.04274545189926</v>
      </c>
      <c r="Y609" s="687">
        <f t="shared" si="306"/>
        <v>-69.042745451899265</v>
      </c>
      <c r="AA609" s="170">
        <f t="shared" si="307"/>
        <v>691830</v>
      </c>
      <c r="AB609" s="170">
        <f t="shared" si="308"/>
        <v>478628748900</v>
      </c>
      <c r="AD609" s="686">
        <f t="shared" si="309"/>
        <v>-8.1128628211863951</v>
      </c>
      <c r="AE609" s="687">
        <f t="shared" si="310"/>
        <v>-64.296420176958719</v>
      </c>
      <c r="AG609" s="686">
        <f t="shared" si="311"/>
        <v>69.768857229981307</v>
      </c>
      <c r="AH609" s="687">
        <f t="shared" si="312"/>
        <v>-77.581295187242375</v>
      </c>
      <c r="AJ609" s="170">
        <f t="shared" si="313"/>
        <v>0</v>
      </c>
      <c r="AK609" s="170">
        <f t="shared" si="325"/>
        <v>0</v>
      </c>
      <c r="AM609" s="170" t="str">
        <f t="shared" si="317"/>
        <v>0.967709942337553+0.999478540127879i</v>
      </c>
      <c r="AN609" s="170" t="str">
        <f t="shared" si="318"/>
        <v>108.352650877358i</v>
      </c>
      <c r="AO609" s="170" t="str">
        <f t="shared" si="319"/>
        <v>0.00922431091472941-0.00893111460127434i</v>
      </c>
      <c r="AP609" s="170" t="str">
        <f t="shared" si="320"/>
        <v>0.00538167627707443-0.16657975668798i</v>
      </c>
      <c r="AQ609" s="170" t="str">
        <f t="shared" si="321"/>
        <v>0.994618323722926+0.16657975668798i</v>
      </c>
      <c r="AR609" s="170" t="str">
        <f t="shared" si="322"/>
        <v>0.814656157388344-0.13643949769009i</v>
      </c>
    </row>
    <row r="610" spans="7:44">
      <c r="G610" s="688">
        <v>758580</v>
      </c>
      <c r="H610" s="676">
        <f t="shared" si="314"/>
        <v>758.58</v>
      </c>
      <c r="I610" s="677">
        <f t="shared" si="294"/>
        <v>667.38776996094668</v>
      </c>
      <c r="J610" s="678">
        <f t="shared" si="295"/>
        <v>1.5692979469635597</v>
      </c>
      <c r="K610" s="678">
        <f t="shared" si="296"/>
        <v>1.4489761909202112</v>
      </c>
      <c r="L610" s="679">
        <f t="shared" si="297"/>
        <v>0.80911042901167274</v>
      </c>
      <c r="M610" s="678">
        <f t="shared" si="298"/>
        <v>12.51965597560087</v>
      </c>
      <c r="N610" s="679">
        <f t="shared" si="299"/>
        <v>-1.4908367507258298</v>
      </c>
      <c r="O610" s="677">
        <f t="shared" si="300"/>
        <v>67776767.583308294</v>
      </c>
      <c r="P610" s="680">
        <f t="shared" si="301"/>
        <v>1.5707963120405783</v>
      </c>
      <c r="Q610" s="689">
        <f t="shared" si="323"/>
        <v>338.88531334515631</v>
      </c>
      <c r="R610" s="690">
        <f t="shared" si="324"/>
        <v>1.5678454717065247</v>
      </c>
      <c r="S610" s="677">
        <f t="shared" si="302"/>
        <v>2.4706477387388355</v>
      </c>
      <c r="T610" s="680">
        <f t="shared" si="303"/>
        <v>1.1540885496439146</v>
      </c>
      <c r="U610" s="681">
        <f t="shared" si="315"/>
        <v>4.5876395172036481E-3</v>
      </c>
      <c r="V610" s="682">
        <f t="shared" si="316"/>
        <v>-2.7499763804475341</v>
      </c>
      <c r="W610" s="683">
        <f t="shared" si="304"/>
        <v>-82.594934126626242</v>
      </c>
      <c r="X610" s="684">
        <f t="shared" si="305"/>
        <v>-352.82970471635758</v>
      </c>
      <c r="Y610" s="687">
        <f t="shared" si="306"/>
        <v>-172.82970471635758</v>
      </c>
      <c r="AA610" s="170">
        <f t="shared" si="307"/>
        <v>758580</v>
      </c>
      <c r="AB610" s="170">
        <f t="shared" si="308"/>
        <v>575443616400</v>
      </c>
      <c r="AD610" s="686">
        <f t="shared" si="309"/>
        <v>-8.7713285699273538</v>
      </c>
      <c r="AE610" s="687">
        <f t="shared" si="310"/>
        <v>-66.293473851880279</v>
      </c>
      <c r="AG610" s="686">
        <f t="shared" si="311"/>
        <v>77.442637545671772</v>
      </c>
      <c r="AH610" s="687">
        <f t="shared" si="312"/>
        <v>28.587850216216641</v>
      </c>
      <c r="AJ610" s="170">
        <f t="shared" si="313"/>
        <v>0</v>
      </c>
      <c r="AK610" s="170">
        <f t="shared" si="325"/>
        <v>0</v>
      </c>
      <c r="AM610" s="170" t="str">
        <f t="shared" si="317"/>
        <v>0.160077068928258-0.542705693594469i</v>
      </c>
      <c r="AN610" s="170" t="str">
        <f t="shared" si="318"/>
        <v>118.806865707683i</v>
      </c>
      <c r="AO610" s="170" t="str">
        <f t="shared" si="319"/>
        <v>-0.00456796575148917-0.00134737220761398i</v>
      </c>
      <c r="AP610" s="170" t="str">
        <f t="shared" si="320"/>
        <v>0.139987155178624+0.0904509489324115i</v>
      </c>
      <c r="AQ610" s="170" t="str">
        <f t="shared" si="321"/>
        <v>0.860012844821376-0.0904509489324115i</v>
      </c>
      <c r="AR610" s="170" t="str">
        <f t="shared" si="322"/>
        <v>0.957993284261333+0.100755938884044i</v>
      </c>
    </row>
    <row r="611" spans="7:44">
      <c r="G611" s="688">
        <v>831760</v>
      </c>
      <c r="H611" s="676">
        <f t="shared" si="314"/>
        <v>831.76</v>
      </c>
      <c r="I611" s="677">
        <f t="shared" si="294"/>
        <v>731.77034289724577</v>
      </c>
      <c r="J611" s="678">
        <f t="shared" si="295"/>
        <v>1.569429777410996</v>
      </c>
      <c r="K611" s="678">
        <f t="shared" si="296"/>
        <v>1.5237807526375562</v>
      </c>
      <c r="L611" s="679">
        <f t="shared" si="297"/>
        <v>0.85494184467791867</v>
      </c>
      <c r="M611" s="678">
        <f t="shared" si="298"/>
        <v>13.720055211661283</v>
      </c>
      <c r="N611" s="679">
        <f t="shared" si="299"/>
        <v>-1.4978456350663836</v>
      </c>
      <c r="O611" s="677">
        <f t="shared" si="300"/>
        <v>74315173.356920168</v>
      </c>
      <c r="P611" s="680">
        <f t="shared" si="301"/>
        <v>1.5707963133386944</v>
      </c>
      <c r="Q611" s="689">
        <f t="shared" si="323"/>
        <v>371.5772124023855</v>
      </c>
      <c r="R611" s="690">
        <f t="shared" si="324"/>
        <v>1.5681050928501157</v>
      </c>
      <c r="S611" s="677">
        <f t="shared" si="302"/>
        <v>2.6714010038573597</v>
      </c>
      <c r="T611" s="680">
        <f t="shared" si="303"/>
        <v>1.1871163508015246</v>
      </c>
      <c r="U611" s="681">
        <f t="shared" si="315"/>
        <v>9.2285795551442246E-3</v>
      </c>
      <c r="V611" s="682">
        <f t="shared" si="316"/>
        <v>-2.1408544409026478</v>
      </c>
      <c r="W611" s="683">
        <f t="shared" si="304"/>
        <v>-76.770031353006644</v>
      </c>
      <c r="X611" s="684">
        <f t="shared" si="305"/>
        <v>-317.59025295612338</v>
      </c>
      <c r="Y611" s="687">
        <f t="shared" si="306"/>
        <v>-137.59025295612338</v>
      </c>
      <c r="AA611" s="170">
        <f t="shared" si="307"/>
        <v>831760</v>
      </c>
      <c r="AB611" s="170">
        <f t="shared" si="308"/>
        <v>691824697600</v>
      </c>
      <c r="AD611" s="686">
        <f t="shared" si="309"/>
        <v>-9.4499000530660862</v>
      </c>
      <c r="AE611" s="687">
        <f t="shared" si="310"/>
        <v>-68.170952345530395</v>
      </c>
      <c r="AG611" s="686">
        <f t="shared" si="311"/>
        <v>71.804288786895697</v>
      </c>
      <c r="AH611" s="687">
        <f t="shared" si="312"/>
        <v>-4.0954522991471736</v>
      </c>
      <c r="AJ611" s="170">
        <f t="shared" si="313"/>
        <v>0</v>
      </c>
      <c r="AK611" s="170">
        <f t="shared" si="325"/>
        <v>0</v>
      </c>
      <c r="AM611" s="170" t="str">
        <f t="shared" si="317"/>
        <v>1.10775475622871-0.994177505534143i</v>
      </c>
      <c r="AN611" s="170" t="str">
        <f t="shared" si="318"/>
        <v>130.268130745633i</v>
      </c>
      <c r="AO611" s="170" t="str">
        <f t="shared" si="319"/>
        <v>-0.00763177839310073-0.00850365127593454i</v>
      </c>
      <c r="AP611" s="170" t="str">
        <f t="shared" si="320"/>
        <v>-0.0179591260381183+0.165696250922357i</v>
      </c>
      <c r="AQ611" s="170" t="str">
        <f t="shared" si="321"/>
        <v>1.01795912603812-0.165696250922357i</v>
      </c>
      <c r="AR611" s="170" t="str">
        <f t="shared" si="322"/>
        <v>0.79718258618125+0.129759793347415i</v>
      </c>
    </row>
    <row r="612" spans="7:44">
      <c r="G612" s="688">
        <v>912010</v>
      </c>
      <c r="H612" s="676">
        <f t="shared" si="314"/>
        <v>912.01</v>
      </c>
      <c r="I612" s="677">
        <f t="shared" si="294"/>
        <v>802.37299892399938</v>
      </c>
      <c r="J612" s="678">
        <f t="shared" si="295"/>
        <v>1.5695500233173123</v>
      </c>
      <c r="K612" s="678">
        <f t="shared" si="296"/>
        <v>1.6091283970456143</v>
      </c>
      <c r="L612" s="679">
        <f t="shared" si="297"/>
        <v>0.90019852230715536</v>
      </c>
      <c r="M612" s="678">
        <f t="shared" si="298"/>
        <v>15.037071439104524</v>
      </c>
      <c r="N612" s="679">
        <f t="shared" si="299"/>
        <v>-1.5042448996939013</v>
      </c>
      <c r="O612" s="677">
        <f t="shared" si="300"/>
        <v>81485261.677941665</v>
      </c>
      <c r="P612" s="680">
        <f t="shared" si="301"/>
        <v>1.5707963145227386</v>
      </c>
      <c r="Q612" s="689">
        <f t="shared" si="323"/>
        <v>407.42753560365281</v>
      </c>
      <c r="R612" s="690">
        <f t="shared" si="324"/>
        <v>1.5683419001382541</v>
      </c>
      <c r="S612" s="677">
        <f t="shared" si="302"/>
        <v>2.8944099131338268</v>
      </c>
      <c r="T612" s="680">
        <f t="shared" si="303"/>
        <v>1.2180316398161166</v>
      </c>
      <c r="U612" s="681">
        <f t="shared" si="315"/>
        <v>8.4111533953041932E-3</v>
      </c>
      <c r="V612" s="682">
        <f t="shared" si="316"/>
        <v>-2.1418509519192064</v>
      </c>
      <c r="W612" s="683">
        <f t="shared" si="304"/>
        <v>-77.802559460985975</v>
      </c>
      <c r="X612" s="684">
        <f t="shared" si="305"/>
        <v>-317.18562023892429</v>
      </c>
      <c r="Y612" s="687">
        <f t="shared" si="306"/>
        <v>-137.18562023892429</v>
      </c>
      <c r="AA612" s="170">
        <f t="shared" si="307"/>
        <v>912010</v>
      </c>
      <c r="AB612" s="170">
        <f t="shared" si="308"/>
        <v>831762240100</v>
      </c>
      <c r="AD612" s="686">
        <f t="shared" si="309"/>
        <v>-10.146324387251846</v>
      </c>
      <c r="AE612" s="687">
        <f t="shared" si="310"/>
        <v>-69.928699940174681</v>
      </c>
      <c r="AG612" s="686">
        <f t="shared" si="311"/>
        <v>73.079357296395173</v>
      </c>
      <c r="AH612" s="687">
        <f t="shared" si="312"/>
        <v>-1.8188802361990928</v>
      </c>
      <c r="AJ612" s="170">
        <f t="shared" si="313"/>
        <v>0</v>
      </c>
      <c r="AK612" s="170">
        <f t="shared" si="325"/>
        <v>0</v>
      </c>
      <c r="AM612" s="170" t="str">
        <f t="shared" si="317"/>
        <v>1.10558739418964-0.994410027196147i</v>
      </c>
      <c r="AN612" s="170" t="str">
        <f t="shared" si="318"/>
        <v>142.836681159619i</v>
      </c>
      <c r="AO612" s="170" t="str">
        <f t="shared" si="319"/>
        <v>-0.0069618673517407-0.00774022040566844i</v>
      </c>
      <c r="AP612" s="170" t="str">
        <f t="shared" si="320"/>
        <v>-0.0175978990316063+0.165735004532691i</v>
      </c>
      <c r="AQ612" s="170" t="str">
        <f t="shared" si="321"/>
        <v>1.01759789903161-0.165735004532691i</v>
      </c>
      <c r="AR612" s="170" t="str">
        <f t="shared" si="322"/>
        <v>0.797441318541418+0.129878354376311i</v>
      </c>
    </row>
    <row r="613" spans="7:44">
      <c r="G613" s="688">
        <v>1000000</v>
      </c>
      <c r="H613" s="676">
        <f t="shared" si="314"/>
        <v>1000</v>
      </c>
      <c r="I613" s="677">
        <f t="shared" si="294"/>
        <v>879.78519323951173</v>
      </c>
      <c r="J613" s="678">
        <f t="shared" si="295"/>
        <v>1.5696596854612963</v>
      </c>
      <c r="K613" s="678">
        <f t="shared" si="296"/>
        <v>1.7060936104693043</v>
      </c>
      <c r="L613" s="679">
        <f t="shared" si="297"/>
        <v>0.94451696467950974</v>
      </c>
      <c r="M613" s="678">
        <f t="shared" si="298"/>
        <v>16.481701185567466</v>
      </c>
      <c r="N613" s="679">
        <f t="shared" si="299"/>
        <v>-1.510085690806763</v>
      </c>
      <c r="O613" s="677">
        <f t="shared" si="300"/>
        <v>89346894.966000006</v>
      </c>
      <c r="P613" s="680">
        <f t="shared" si="301"/>
        <v>1.5707963156025659</v>
      </c>
      <c r="Q613" s="689">
        <f t="shared" si="323"/>
        <v>446.73559406167311</v>
      </c>
      <c r="R613" s="690">
        <f t="shared" si="324"/>
        <v>1.5685578643835458</v>
      </c>
      <c r="S613" s="677">
        <f t="shared" si="302"/>
        <v>3.1416322084874992</v>
      </c>
      <c r="T613" s="680">
        <f t="shared" si="303"/>
        <v>1.246854447449312</v>
      </c>
      <c r="U613" s="681">
        <f t="shared" si="315"/>
        <v>2.8527095741184756E-3</v>
      </c>
      <c r="V613" s="682">
        <f t="shared" si="316"/>
        <v>-2.8233751845341755</v>
      </c>
      <c r="W613" s="683">
        <f t="shared" si="304"/>
        <v>-87.401418061308647</v>
      </c>
      <c r="X613" s="684">
        <f t="shared" si="305"/>
        <v>-355.67481005610011</v>
      </c>
      <c r="Y613" s="687">
        <f t="shared" si="306"/>
        <v>-175.67481005610011</v>
      </c>
      <c r="AA613" s="170">
        <f t="shared" si="307"/>
        <v>1000000</v>
      </c>
      <c r="AB613" s="170">
        <f t="shared" si="308"/>
        <v>1000000000000</v>
      </c>
      <c r="AD613" s="686">
        <f t="shared" si="309"/>
        <v>-10.858234864696119</v>
      </c>
      <c r="AE613" s="687">
        <f t="shared" si="310"/>
        <v>-71.567751395235717</v>
      </c>
      <c r="AG613" s="686">
        <f t="shared" si="311"/>
        <v>82.976328919741007</v>
      </c>
      <c r="AH613" s="687">
        <f t="shared" si="312"/>
        <v>39.427905820384652</v>
      </c>
      <c r="AJ613" s="170">
        <f t="shared" si="313"/>
        <v>0</v>
      </c>
      <c r="AK613" s="170">
        <f t="shared" si="325"/>
        <v>0</v>
      </c>
      <c r="AM613" s="170" t="str">
        <f t="shared" si="317"/>
        <v>0.104918346490892-0.445902269058367i</v>
      </c>
      <c r="AN613" s="170" t="str">
        <f t="shared" si="318"/>
        <v>156.617450641571i</v>
      </c>
      <c r="AO613" s="170" t="str">
        <f t="shared" si="319"/>
        <v>-0.0028470790913258-0.000669902019609579i</v>
      </c>
      <c r="AP613" s="170" t="str">
        <f t="shared" si="320"/>
        <v>0.149180275584851+0.0743170448430612i</v>
      </c>
      <c r="AQ613" s="170" t="str">
        <f t="shared" si="321"/>
        <v>0.850819724415149-0.0743170448430612i</v>
      </c>
      <c r="AR613" s="170" t="str">
        <f t="shared" si="322"/>
        <v>0.971642572432183+0.0848706283537403i</v>
      </c>
    </row>
    <row r="614" spans="7:44">
      <c r="G614" s="692"/>
      <c r="H614" s="692"/>
      <c r="I614" s="693"/>
      <c r="J614" s="693"/>
      <c r="K614" s="693"/>
      <c r="L614" s="693"/>
      <c r="M614" s="678"/>
      <c r="N614" s="679"/>
      <c r="O614" s="693"/>
      <c r="P614" s="693"/>
      <c r="Q614" s="693"/>
      <c r="R614" s="693"/>
      <c r="S614" s="693"/>
      <c r="T614" s="693"/>
      <c r="U614" s="693"/>
      <c r="V614" s="694"/>
      <c r="W614" s="695"/>
      <c r="X614" s="684"/>
      <c r="Y614" s="696"/>
      <c r="AG614" s="686"/>
      <c r="AH614" s="687"/>
    </row>
    <row r="615" spans="7:44">
      <c r="G615" s="692"/>
      <c r="H615" s="692"/>
      <c r="I615" s="693"/>
      <c r="J615" s="693"/>
      <c r="K615" s="693"/>
      <c r="L615" s="693"/>
      <c r="M615" s="678"/>
      <c r="N615" s="679"/>
      <c r="O615" s="693"/>
      <c r="P615" s="693"/>
      <c r="Q615" s="693"/>
      <c r="R615" s="693"/>
      <c r="S615" s="693"/>
      <c r="T615" s="693"/>
      <c r="U615" s="693"/>
      <c r="V615" s="694"/>
      <c r="W615" s="696"/>
      <c r="X615" s="684"/>
      <c r="Y615" s="696"/>
      <c r="AG615" s="686"/>
      <c r="AH615" s="687"/>
    </row>
    <row r="616" spans="7:44">
      <c r="G616" s="170" t="s">
        <v>724</v>
      </c>
      <c r="M616" s="678"/>
      <c r="N616" s="679"/>
      <c r="W616" s="683"/>
      <c r="X616" s="684"/>
      <c r="Y616" s="697"/>
      <c r="AG616" s="686"/>
      <c r="AH616" s="687"/>
    </row>
    <row r="617" spans="7:44">
      <c r="G617" s="698">
        <f>W4*1000</f>
        <v>2089.3000000000002</v>
      </c>
      <c r="H617" s="698"/>
      <c r="I617" s="699">
        <f t="shared" ref="I617:I626" si="326">SQRT(1+(G617/pole1)^2)</f>
        <v>2.0925431092034166</v>
      </c>
      <c r="J617" s="689">
        <f t="shared" ref="J617:J626" si="327">ATAN(G617/pole1)</f>
        <v>1.072548181282456</v>
      </c>
      <c r="K617" s="689">
        <f t="shared" ref="K617:K626" si="328">SQRT(1+(G617/Zero1)^2)</f>
        <v>1.0000041703816851</v>
      </c>
      <c r="L617" s="690">
        <f t="shared" ref="L617:L626" si="329">ATAN(G617/Zero1)</f>
        <v>2.8880329609384052E-3</v>
      </c>
      <c r="M617" s="678">
        <v>1</v>
      </c>
      <c r="N617" s="679">
        <v>0</v>
      </c>
      <c r="O617" s="699">
        <f t="shared" ref="O617:O626" si="330">SQRT(1+(G617/Pole2)^2)</f>
        <v>186672.46765514233</v>
      </c>
      <c r="P617" s="700">
        <f t="shared" ref="P617:P626" si="331">ATAN(G617/Pole2)</f>
        <v>1.5707909698185167</v>
      </c>
      <c r="Q617" s="689">
        <f t="shared" ref="Q617:Q626" si="332">SQRT(1+(G617/Zero2)^2)</f>
        <v>1.3679054260022891</v>
      </c>
      <c r="R617" s="690">
        <f t="shared" ref="R617:R626" si="333">ATAN(G617/Zero2)</f>
        <v>0.75094456362027484</v>
      </c>
      <c r="S617" s="699">
        <f t="shared" ref="S617:S626" si="334">SQRT(1+(G617/pole4)^2)</f>
        <v>1.0000193590404911</v>
      </c>
      <c r="T617" s="700">
        <f t="shared" ref="T617:T626" si="335">ATAN(G617/pole4)</f>
        <v>6.2223352828401548E-3</v>
      </c>
      <c r="U617" s="699" t="e">
        <v>#DIV/0!</v>
      </c>
      <c r="V617" s="701" t="e">
        <v>#DIV/0!</v>
      </c>
      <c r="W617" s="683" t="e">
        <f>20*LOG10(((K617*Q617*M617)/(I617*O617*U617*S617))*Adc)</f>
        <v>#DIV/0!</v>
      </c>
      <c r="X617" s="684" t="e">
        <f>((L617+R617+N617)-(J617+P617+V617+T617))*radconv</f>
        <v>#DIV/0!</v>
      </c>
      <c r="Y617" s="687" t="e">
        <f t="shared" ref="Y617:Y626" si="336">IF(X617&gt;0,X617,X617+180)</f>
        <v>#DIV/0!</v>
      </c>
      <c r="Z617" s="170" t="s">
        <v>725</v>
      </c>
      <c r="AD617" s="686">
        <f>20*LOG10((Q617/(O617*S617))*Aea)</f>
        <v>2.4047980276481873</v>
      </c>
      <c r="AE617" s="687">
        <f>(R617-(P617+T617))*radconv</f>
        <v>-47.330252528632172</v>
      </c>
      <c r="AG617" s="686" t="e">
        <f>20*LOG10((K617*M617/(I617*U617))*Acs*Am)</f>
        <v>#DIV/0!</v>
      </c>
      <c r="AH617" s="687" t="e">
        <f>(L617+N617-(J617+V617))*radconv</f>
        <v>#DIV/0!</v>
      </c>
    </row>
    <row r="618" spans="7:44">
      <c r="G618" s="698">
        <f>G617</f>
        <v>2089.3000000000002</v>
      </c>
      <c r="H618" s="698"/>
      <c r="I618" s="699"/>
      <c r="J618" s="689"/>
      <c r="K618" s="689"/>
      <c r="L618" s="690"/>
      <c r="M618" s="678"/>
      <c r="N618" s="679"/>
      <c r="O618" s="699"/>
      <c r="P618" s="700"/>
      <c r="Q618" s="689"/>
      <c r="R618" s="690"/>
      <c r="S618" s="677"/>
      <c r="T618" s="680"/>
      <c r="U618" s="699"/>
      <c r="V618" s="682"/>
      <c r="W618" s="683"/>
      <c r="X618" s="684">
        <v>-135</v>
      </c>
      <c r="Y618" s="687"/>
      <c r="AD618" s="686"/>
      <c r="AE618" s="687"/>
      <c r="AG618" s="686"/>
      <c r="AH618" s="687"/>
    </row>
    <row r="619" spans="7:44">
      <c r="G619" s="170">
        <f>G618</f>
        <v>2089.3000000000002</v>
      </c>
      <c r="H619" s="698"/>
      <c r="I619" s="699"/>
      <c r="J619" s="689"/>
      <c r="K619" s="689"/>
      <c r="L619" s="690"/>
      <c r="M619" s="678"/>
      <c r="N619" s="679"/>
      <c r="O619" s="699"/>
      <c r="P619" s="700"/>
      <c r="Q619" s="689"/>
      <c r="R619" s="690"/>
      <c r="S619" s="677"/>
      <c r="T619" s="680"/>
      <c r="U619" s="699"/>
      <c r="V619" s="682"/>
      <c r="W619" s="683"/>
      <c r="X619" s="684"/>
      <c r="Y619" s="687"/>
      <c r="AD619" s="686"/>
      <c r="AE619" s="687"/>
      <c r="AG619" s="686"/>
      <c r="AH619" s="687"/>
    </row>
    <row r="620" spans="7:44">
      <c r="G620" s="698">
        <v>1000000</v>
      </c>
      <c r="H620" s="698"/>
      <c r="I620" s="699"/>
      <c r="J620" s="689"/>
      <c r="K620" s="689"/>
      <c r="L620" s="690"/>
      <c r="M620" s="678"/>
      <c r="N620" s="679"/>
      <c r="O620" s="699"/>
      <c r="P620" s="700"/>
      <c r="Q620" s="689"/>
      <c r="R620" s="690"/>
      <c r="S620" s="677"/>
      <c r="T620" s="680"/>
      <c r="U620" s="699"/>
      <c r="V620" s="682"/>
      <c r="W620" s="683"/>
      <c r="X620" s="684" t="e">
        <f>X617</f>
        <v>#DIV/0!</v>
      </c>
      <c r="Y620" s="687"/>
      <c r="AD620" s="686"/>
      <c r="AE620" s="687"/>
      <c r="AG620" s="686"/>
      <c r="AH620" s="687"/>
    </row>
    <row r="621" spans="7:44">
      <c r="G621" s="698"/>
      <c r="H621" s="698"/>
      <c r="I621" s="699"/>
      <c r="J621" s="689"/>
      <c r="K621" s="689"/>
      <c r="L621" s="690"/>
      <c r="M621" s="678"/>
      <c r="N621" s="679"/>
      <c r="O621" s="699"/>
      <c r="P621" s="700"/>
      <c r="Q621" s="689"/>
      <c r="R621" s="690"/>
      <c r="S621" s="677"/>
      <c r="T621" s="680"/>
      <c r="U621" s="699"/>
      <c r="V621" s="682"/>
      <c r="W621" s="683"/>
      <c r="X621" s="684"/>
      <c r="Y621" s="687"/>
      <c r="AD621" s="686"/>
      <c r="AE621" s="687"/>
      <c r="AG621" s="686"/>
      <c r="AH621" s="687"/>
    </row>
    <row r="622" spans="7:44">
      <c r="G622" s="702">
        <f>pole1</f>
        <v>1136.6418230965492</v>
      </c>
      <c r="H622" s="703"/>
      <c r="I622" s="699">
        <f t="shared" si="326"/>
        <v>1.4142135623730951</v>
      </c>
      <c r="J622" s="689">
        <f t="shared" si="327"/>
        <v>0.78539816339744828</v>
      </c>
      <c r="K622" s="689">
        <f t="shared" si="328"/>
        <v>1.00000123430389</v>
      </c>
      <c r="L622" s="690">
        <f t="shared" si="329"/>
        <v>1.5711795698586794E-3</v>
      </c>
      <c r="M622" s="678">
        <v>1</v>
      </c>
      <c r="N622" s="679">
        <v>0</v>
      </c>
      <c r="O622" s="699">
        <f t="shared" si="330"/>
        <v>101555.41758709357</v>
      </c>
      <c r="P622" s="700">
        <f t="shared" si="331"/>
        <v>1.5707864799543856</v>
      </c>
      <c r="Q622" s="689">
        <f t="shared" si="332"/>
        <v>1.1215335799730759</v>
      </c>
      <c r="R622" s="690">
        <f t="shared" si="333"/>
        <v>0.4698499052286797</v>
      </c>
      <c r="S622" s="677">
        <f t="shared" si="334"/>
        <v>1.0000057297073854</v>
      </c>
      <c r="T622" s="680">
        <f t="shared" si="335"/>
        <v>3.3851676553947304E-3</v>
      </c>
      <c r="U622" s="699" t="e">
        <f>SQRT((1-(G622^2/(pole3^2)))^2+(G622/(Q*pole3))^2)</f>
        <v>#DIV/0!</v>
      </c>
      <c r="V622" s="682" t="e">
        <f>ATAN((G622/(Q*pole3))/(1-G622^2/pole3^2))</f>
        <v>#NAME?</v>
      </c>
      <c r="W622" s="683" t="e">
        <f t="shared" ref="W622:W628" si="337">20*LOG10(((K622*Q622*M622)/(I622*O622*U622*S622))*Adc)</f>
        <v>#DIV/0!</v>
      </c>
      <c r="X622" s="684" t="e">
        <f t="shared" ref="X622:X628" si="338">((L622+R622+N622)-(J622+P622+V622+T622))*radconv</f>
        <v>#NAME?</v>
      </c>
      <c r="Y622" s="687" t="e">
        <f t="shared" si="336"/>
        <v>#NAME?</v>
      </c>
      <c r="Z622" s="170" t="s">
        <v>713</v>
      </c>
      <c r="AD622" s="686">
        <f>20*LOG10((Q622/(O622*S622))*Aea)</f>
        <v>5.9675840364990753</v>
      </c>
      <c r="AE622" s="687">
        <f>(R622-(P622+T622))*radconv</f>
        <v>-63.272975135270343</v>
      </c>
      <c r="AG622" s="686" t="e">
        <f t="shared" ref="AG622:AG628" si="339">20*LOG10((K622*M622/(I622*U622))*Acs*Am)</f>
        <v>#DIV/0!</v>
      </c>
      <c r="AH622" s="687" t="e">
        <f t="shared" ref="AH622:AH628" si="340">(L622+N622-(J622+V622))*radconv</f>
        <v>#NAME?</v>
      </c>
    </row>
    <row r="623" spans="7:44">
      <c r="G623" s="702">
        <f>Zero1</f>
        <v>723431.56033525639</v>
      </c>
      <c r="H623" s="703"/>
      <c r="I623" s="699">
        <f t="shared" si="326"/>
        <v>636.46474955391056</v>
      </c>
      <c r="J623" s="689">
        <f t="shared" si="327"/>
        <v>1.569225147225038</v>
      </c>
      <c r="K623" s="689">
        <f t="shared" si="328"/>
        <v>1.4142135623730951</v>
      </c>
      <c r="L623" s="690">
        <f t="shared" si="329"/>
        <v>0.78539816339744828</v>
      </c>
      <c r="M623" s="678">
        <v>1</v>
      </c>
      <c r="N623" s="679">
        <v>0</v>
      </c>
      <c r="O623" s="699">
        <f t="shared" si="330"/>
        <v>64636363.636363663</v>
      </c>
      <c r="P623" s="700">
        <f t="shared" si="331"/>
        <v>1.5707963113237293</v>
      </c>
      <c r="Q623" s="689">
        <f t="shared" si="332"/>
        <v>323.18336529485219</v>
      </c>
      <c r="R623" s="690">
        <f t="shared" si="333"/>
        <v>1.5677021031958795</v>
      </c>
      <c r="S623" s="677">
        <f t="shared" si="334"/>
        <v>2.3753033734035918</v>
      </c>
      <c r="T623" s="680">
        <f t="shared" si="335"/>
        <v>1.1362500888332141</v>
      </c>
      <c r="U623" s="699" t="e">
        <f>SQRT((1-(G623^2/(pole3^2)))^2+(G623/(Q*pole3))^2)</f>
        <v>#DIV/0!</v>
      </c>
      <c r="V623" s="682" t="e">
        <f>ATAN((G623/(Q*pole3))/(1-G623^2/pole3^2))</f>
        <v>#NAME?</v>
      </c>
      <c r="W623" s="683" t="e">
        <f t="shared" si="337"/>
        <v>#DIV/0!</v>
      </c>
      <c r="X623" s="684" t="e">
        <f t="shared" si="338"/>
        <v>#NAME?</v>
      </c>
      <c r="Y623" s="687" t="e">
        <f t="shared" si="336"/>
        <v>#NAME?</v>
      </c>
      <c r="Z623" s="170" t="s">
        <v>714</v>
      </c>
      <c r="AD623" s="686">
        <f>20*LOG10((Q623/(O623*S623))*Aea)</f>
        <v>-8.4294899414761808</v>
      </c>
      <c r="AE623" s="687">
        <f>(R623-(P623+T623))*radconv</f>
        <v>-65.279619702761735</v>
      </c>
      <c r="AG623" s="686" t="e">
        <f t="shared" si="339"/>
        <v>#DIV/0!</v>
      </c>
      <c r="AH623" s="687" t="e">
        <f t="shared" si="340"/>
        <v>#NAME?</v>
      </c>
    </row>
    <row r="624" spans="7:44">
      <c r="G624" s="702">
        <f>Pole2</f>
        <v>1.1192330750615778E-2</v>
      </c>
      <c r="H624" s="703"/>
      <c r="I624" s="699">
        <f t="shared" si="326"/>
        <v>1.0000000000484801</v>
      </c>
      <c r="J624" s="689">
        <f t="shared" si="327"/>
        <v>9.8468405110792209E-6</v>
      </c>
      <c r="K624" s="689">
        <f t="shared" si="328"/>
        <v>1</v>
      </c>
      <c r="L624" s="690">
        <f t="shared" si="329"/>
        <v>1.5471167369901542E-8</v>
      </c>
      <c r="M624" s="678">
        <v>1</v>
      </c>
      <c r="N624" s="679">
        <v>0</v>
      </c>
      <c r="O624" s="699">
        <f t="shared" si="330"/>
        <v>1.4142135623730951</v>
      </c>
      <c r="P624" s="700">
        <f t="shared" si="331"/>
        <v>0.78539816339744828</v>
      </c>
      <c r="Q624" s="689">
        <f t="shared" si="332"/>
        <v>1.0000000000125</v>
      </c>
      <c r="R624" s="690">
        <f t="shared" si="333"/>
        <v>4.999999999958334E-6</v>
      </c>
      <c r="S624" s="677">
        <f t="shared" si="334"/>
        <v>1.0000000000000004</v>
      </c>
      <c r="T624" s="680">
        <f t="shared" si="335"/>
        <v>3.3333333333333321E-8</v>
      </c>
      <c r="U624" s="699" t="e">
        <f>SQRT((1-(G624^2/(pole3^2)))^2+(G624/(Q*pole3))^2)</f>
        <v>#DIV/0!</v>
      </c>
      <c r="V624" s="682" t="e">
        <f>ATAN((G624/(Q*pole3))/(1-G624^2/pole3^2))</f>
        <v>#NAME?</v>
      </c>
      <c r="W624" s="683" t="e">
        <f t="shared" si="337"/>
        <v>#DIV/0!</v>
      </c>
      <c r="X624" s="684" t="e">
        <f t="shared" si="338"/>
        <v>#NAME?</v>
      </c>
      <c r="Y624" s="687" t="e">
        <f t="shared" si="336"/>
        <v>#NAME?</v>
      </c>
      <c r="Z624" s="170" t="s">
        <v>715</v>
      </c>
      <c r="AC624" s="170">
        <f>Pole2</f>
        <v>1.1192330750615778E-2</v>
      </c>
      <c r="AD624" s="686">
        <f>20*LOG10((Q624/(O624*S624))*Aea)</f>
        <v>102.09515014553487</v>
      </c>
      <c r="AE624" s="687">
        <f>(R624-(P624+T624))*radconv</f>
        <v>-44.999715482381426</v>
      </c>
      <c r="AG624" s="686" t="e">
        <f t="shared" si="339"/>
        <v>#DIV/0!</v>
      </c>
      <c r="AH624" s="687" t="e">
        <f t="shared" si="340"/>
        <v>#NAME?</v>
      </c>
    </row>
    <row r="625" spans="7:34">
      <c r="G625" s="702">
        <f>Zero2</f>
        <v>2238.4661501231553</v>
      </c>
      <c r="H625" s="703"/>
      <c r="I625" s="699">
        <f t="shared" si="326"/>
        <v>2.2087124580343036</v>
      </c>
      <c r="J625" s="689">
        <f t="shared" si="327"/>
        <v>1.1009464215662168</v>
      </c>
      <c r="K625" s="689">
        <f t="shared" si="328"/>
        <v>1.0000047871289375</v>
      </c>
      <c r="L625" s="690">
        <f t="shared" si="329"/>
        <v>3.0942235990169976E-3</v>
      </c>
      <c r="M625" s="678">
        <v>1</v>
      </c>
      <c r="N625" s="679">
        <v>0</v>
      </c>
      <c r="O625" s="699">
        <f t="shared" si="330"/>
        <v>200000.00000249996</v>
      </c>
      <c r="P625" s="700">
        <f t="shared" si="331"/>
        <v>1.5707913267948967</v>
      </c>
      <c r="Q625" s="689">
        <f t="shared" si="332"/>
        <v>1.4142135623730951</v>
      </c>
      <c r="R625" s="690">
        <f t="shared" si="333"/>
        <v>0.78539816339744828</v>
      </c>
      <c r="S625" s="677">
        <f t="shared" si="334"/>
        <v>1.0000222219753141</v>
      </c>
      <c r="T625" s="680">
        <f t="shared" si="335"/>
        <v>6.6665679038682276E-3</v>
      </c>
      <c r="U625" s="699" t="e">
        <f>SQRT((1-(G625^2/(pole3^2)))^2+(G625/(Q*pole3))^2)</f>
        <v>#DIV/0!</v>
      </c>
      <c r="V625" s="682" t="e">
        <f>ATAN((G625/(Q*pole3))/(1-G625^2/pole3^2))</f>
        <v>#NAME?</v>
      </c>
      <c r="W625" s="683" t="e">
        <f t="shared" si="337"/>
        <v>#DIV/0!</v>
      </c>
      <c r="X625" s="684" t="e">
        <f t="shared" si="338"/>
        <v>#NAME?</v>
      </c>
      <c r="Y625" s="687" t="e">
        <f t="shared" si="336"/>
        <v>#NAME?</v>
      </c>
      <c r="Z625" s="170" t="s">
        <v>726</v>
      </c>
      <c r="AC625" s="170">
        <f>Zero2</f>
        <v>2238.4661501231553</v>
      </c>
      <c r="AD625" s="686">
        <f>20*LOG10((Q625/(O625*S625))*Aea)</f>
        <v>2.0949571298372041</v>
      </c>
      <c r="AE625" s="687">
        <f>(R625-(P625+T625))*radconv</f>
        <v>-45.381679777687594</v>
      </c>
      <c r="AG625" s="686" t="e">
        <f t="shared" si="339"/>
        <v>#DIV/0!</v>
      </c>
      <c r="AH625" s="687" t="e">
        <f t="shared" si="340"/>
        <v>#NAME?</v>
      </c>
    </row>
    <row r="626" spans="7:34">
      <c r="G626" s="702">
        <f>pole3</f>
        <v>0</v>
      </c>
      <c r="H626" s="703"/>
      <c r="I626" s="699">
        <f t="shared" si="326"/>
        <v>1</v>
      </c>
      <c r="J626" s="689">
        <f t="shared" si="327"/>
        <v>0</v>
      </c>
      <c r="K626" s="689">
        <f t="shared" si="328"/>
        <v>1</v>
      </c>
      <c r="L626" s="690">
        <f t="shared" si="329"/>
        <v>0</v>
      </c>
      <c r="M626" s="678">
        <v>1</v>
      </c>
      <c r="N626" s="679">
        <v>0</v>
      </c>
      <c r="O626" s="699">
        <f t="shared" si="330"/>
        <v>1</v>
      </c>
      <c r="P626" s="700">
        <f t="shared" si="331"/>
        <v>0</v>
      </c>
      <c r="Q626" s="689">
        <f t="shared" si="332"/>
        <v>1</v>
      </c>
      <c r="R626" s="690">
        <f t="shared" si="333"/>
        <v>0</v>
      </c>
      <c r="S626" s="677">
        <f t="shared" si="334"/>
        <v>1</v>
      </c>
      <c r="T626" s="680">
        <f t="shared" si="335"/>
        <v>0</v>
      </c>
      <c r="U626" s="699" t="e">
        <f>SQRT((1-(G626^2/(pole3^2)))^2+(G626/(Q*pole3))^2)</f>
        <v>#DIV/0!</v>
      </c>
      <c r="V626" s="682" t="e">
        <f>ATAN((G626/(Q*pole3))/(1-G626^2/pole3^2))</f>
        <v>#NAME?</v>
      </c>
      <c r="W626" s="683" t="e">
        <f t="shared" si="337"/>
        <v>#DIV/0!</v>
      </c>
      <c r="X626" s="684" t="e">
        <f t="shared" si="338"/>
        <v>#NAME?</v>
      </c>
      <c r="Y626" s="687" t="e">
        <f t="shared" si="336"/>
        <v>#NAME?</v>
      </c>
      <c r="Z626" s="170" t="s">
        <v>691</v>
      </c>
      <c r="AD626" s="686">
        <f>20*LOG10((Q626/(O626*S626))*Aea)</f>
        <v>105.10545010206611</v>
      </c>
      <c r="AE626" s="687">
        <f>(R626-(P626+T626))*radconv</f>
        <v>0</v>
      </c>
      <c r="AG626" s="686" t="e">
        <f t="shared" si="339"/>
        <v>#DIV/0!</v>
      </c>
      <c r="AH626" s="687" t="e">
        <f t="shared" si="340"/>
        <v>#NAME?</v>
      </c>
    </row>
    <row r="627" spans="7:34" ht="13" thickBot="1">
      <c r="G627" s="197">
        <v>195034.73926858415</v>
      </c>
      <c r="I627" s="699">
        <f>SQRT(1+(G627/pole1)^2)</f>
        <v>171.59147885589505</v>
      </c>
      <c r="J627" s="689">
        <f>ATAN(G627/pole1)</f>
        <v>1.5649684985875345</v>
      </c>
      <c r="K627" s="689">
        <f>SQRT(1+(G627/Zero1)^2)</f>
        <v>1.0357038013828048</v>
      </c>
      <c r="L627" s="690">
        <f>ATAN(G627/Zero1)</f>
        <v>0.26333587077918175</v>
      </c>
      <c r="M627" s="678">
        <v>1</v>
      </c>
      <c r="N627" s="679">
        <v>0</v>
      </c>
      <c r="O627" s="699">
        <f>SQRT(1+(G627/Pole2)^2)</f>
        <v>17425748.364151414</v>
      </c>
      <c r="P627" s="700">
        <f>ATAN(G627/Pole2)</f>
        <v>1.570796269408552</v>
      </c>
      <c r="Q627" s="689">
        <f>SQRT(1+(G627/Zero2)^2)</f>
        <v>87.134480266242022</v>
      </c>
      <c r="R627" s="690">
        <f>ATAN(G627/Zero2)</f>
        <v>1.5593195617993303</v>
      </c>
      <c r="S627" s="677">
        <f>SQRT(1+(G627/pole4)^2)</f>
        <v>1.1564585336519251</v>
      </c>
      <c r="T627" s="680">
        <f>ATAN(G627/pole4)</f>
        <v>0.52622578629483696</v>
      </c>
      <c r="U627" s="699" t="e">
        <v>#DIV/0!</v>
      </c>
      <c r="V627" s="682" t="e">
        <v>#DIV/0!</v>
      </c>
      <c r="W627" s="683" t="e">
        <f t="shared" si="337"/>
        <v>#DIV/0!</v>
      </c>
      <c r="X627" s="684" t="e">
        <f t="shared" si="338"/>
        <v>#DIV/0!</v>
      </c>
      <c r="Y627" s="687" t="e">
        <f>IF(X627&gt;0,X627,X627+180)</f>
        <v>#DIV/0!</v>
      </c>
      <c r="Z627" s="170" t="s">
        <v>727</v>
      </c>
      <c r="AD627" s="704"/>
      <c r="AE627" s="705"/>
      <c r="AG627" s="686" t="e">
        <f t="shared" si="339"/>
        <v>#DIV/0!</v>
      </c>
      <c r="AH627" s="687" t="e">
        <f t="shared" si="340"/>
        <v>#DIV/0!</v>
      </c>
    </row>
    <row r="628" spans="7:34">
      <c r="G628" s="197">
        <f>z_RHP</f>
        <v>60785.334828896048</v>
      </c>
      <c r="I628" s="699">
        <f>SQRT(1+(G628/pole1)^2)</f>
        <v>53.487351824419171</v>
      </c>
      <c r="J628" s="689">
        <f>ATAN(G628/pole1)</f>
        <v>1.5520992286615107</v>
      </c>
      <c r="K628" s="689">
        <f>SQRT(1+(G628/Zero1)^2)</f>
        <v>1.0035237754334052</v>
      </c>
      <c r="L628" s="690">
        <f>ATAN(G628/Zero1)</f>
        <v>8.3826713621443699E-2</v>
      </c>
      <c r="M628" s="678">
        <v>1</v>
      </c>
      <c r="N628" s="679">
        <v>0</v>
      </c>
      <c r="O628" s="699">
        <f>SQRT(1+(G628/Pole2)^2)</f>
        <v>5430980.92643061</v>
      </c>
      <c r="P628" s="700">
        <f>ATAN(G628/Pole2)</f>
        <v>1.5707961426660968</v>
      </c>
      <c r="Q628" s="689">
        <f>SQRT(1+(G628/Zero2)^2)</f>
        <v>27.173311273771958</v>
      </c>
      <c r="R628" s="690">
        <f>ATAN(G628/Zero2)</f>
        <v>1.5339872002126806</v>
      </c>
      <c r="S628" s="677">
        <f>SQRT(1+(G628/pole4)^2)</f>
        <v>1.0162543173740475</v>
      </c>
      <c r="T628" s="680">
        <f>ATAN(G628/pole4)</f>
        <v>0.17909304603609796</v>
      </c>
      <c r="U628" s="699" t="e">
        <v>#DIV/0!</v>
      </c>
      <c r="V628" s="682" t="e">
        <v>#DIV/0!</v>
      </c>
      <c r="W628" s="683" t="e">
        <f t="shared" si="337"/>
        <v>#DIV/0!</v>
      </c>
      <c r="X628" s="684" t="e">
        <f t="shared" si="338"/>
        <v>#DIV/0!</v>
      </c>
      <c r="Y628" s="687" t="e">
        <f>IF(X628&gt;0,X628,X628+180)</f>
        <v>#DIV/0!</v>
      </c>
      <c r="Z628" s="170" t="s">
        <v>712</v>
      </c>
      <c r="AD628" s="696"/>
      <c r="AE628" s="696"/>
      <c r="AG628" s="686" t="e">
        <f t="shared" si="339"/>
        <v>#DIV/0!</v>
      </c>
      <c r="AH628" s="687" t="e">
        <f t="shared" si="340"/>
        <v>#DIV/0!</v>
      </c>
    </row>
    <row r="629" spans="7:34">
      <c r="G629" s="197">
        <v>195034.73926858415</v>
      </c>
      <c r="W629" s="683">
        <v>-25</v>
      </c>
    </row>
    <row r="631" spans="7:34">
      <c r="J631" s="170" t="s">
        <v>728</v>
      </c>
      <c r="K631" s="170" t="s">
        <v>729</v>
      </c>
    </row>
    <row r="632" spans="7:34">
      <c r="G632" s="170" t="s">
        <v>713</v>
      </c>
      <c r="H632" s="170" t="s">
        <v>730</v>
      </c>
      <c r="I632" s="172">
        <f>pole1</f>
        <v>1136.6418230965492</v>
      </c>
      <c r="J632" s="172" t="e">
        <f>W622</f>
        <v>#DIV/0!</v>
      </c>
      <c r="K632" s="172" t="e">
        <f>AG622</f>
        <v>#DIV/0!</v>
      </c>
    </row>
    <row r="633" spans="7:34">
      <c r="G633" s="170" t="s">
        <v>714</v>
      </c>
      <c r="H633" s="170" t="s">
        <v>731</v>
      </c>
      <c r="I633" s="172">
        <f>Zero1</f>
        <v>723431.56033525639</v>
      </c>
      <c r="J633" s="172" t="e">
        <f>W623</f>
        <v>#DIV/0!</v>
      </c>
      <c r="K633" s="172" t="e">
        <f>AG623</f>
        <v>#DIV/0!</v>
      </c>
    </row>
    <row r="634" spans="7:34">
      <c r="G634" s="170" t="s">
        <v>715</v>
      </c>
      <c r="H634" s="170" t="s">
        <v>732</v>
      </c>
      <c r="I634" s="172">
        <f>Pole2</f>
        <v>1.1192330750615778E-2</v>
      </c>
      <c r="J634" s="172" t="e">
        <f>W624</f>
        <v>#DIV/0!</v>
      </c>
      <c r="K634" s="172" t="e">
        <f>AG624</f>
        <v>#DIV/0!</v>
      </c>
    </row>
    <row r="635" spans="7:34">
      <c r="G635" s="170" t="s">
        <v>726</v>
      </c>
      <c r="H635" s="170" t="s">
        <v>733</v>
      </c>
      <c r="I635" s="172">
        <f>Zero2</f>
        <v>2238.4661501231553</v>
      </c>
      <c r="J635" s="172" t="e">
        <f>W625</f>
        <v>#DIV/0!</v>
      </c>
      <c r="K635" s="172" t="e">
        <f>AG625</f>
        <v>#DIV/0!</v>
      </c>
    </row>
    <row r="636" spans="7:34">
      <c r="G636" s="170" t="s">
        <v>691</v>
      </c>
      <c r="H636" s="170" t="s">
        <v>734</v>
      </c>
      <c r="I636" s="170">
        <f>pole3</f>
        <v>0</v>
      </c>
      <c r="J636" s="172" t="e">
        <f>W626</f>
        <v>#DIV/0!</v>
      </c>
      <c r="K636" s="172" t="e">
        <f>AG626</f>
        <v>#DIV/0!</v>
      </c>
    </row>
    <row r="637" spans="7:34">
      <c r="I637" s="197"/>
      <c r="J637" s="172"/>
      <c r="K637" s="172"/>
    </row>
    <row r="639" spans="7:34">
      <c r="G639" s="172">
        <f>W4*1000</f>
        <v>2089.3000000000002</v>
      </c>
    </row>
    <row r="640" spans="7:34">
      <c r="G640" s="172">
        <f>W4*1000</f>
        <v>2089.3000000000002</v>
      </c>
    </row>
    <row r="687" spans="36:37">
      <c r="AJ687" s="170" t="s">
        <v>705</v>
      </c>
      <c r="AK687" s="172">
        <f>SUM(AK689:AK1306)</f>
        <v>0</v>
      </c>
    </row>
  </sheetData>
  <sheetProtection algorithmName="SHA-512" hashValue="3wRbkLafQbWEivON440wq1tRtzjKSQuX0+eAYjdySUS0l8YP+HdKBoadk1H5JN48H/8nnVQKvlUIHNGXSS7ncQ==" saltValue="FWF0zQLVZY8DG1HaDs4a7Q==" spinCount="100000" sheet="1" selectLockedCells="1" selectUnlockedCells="1"/>
  <mergeCells count="20">
    <mergeCell ref="W10:Y10"/>
    <mergeCell ref="AD10:AE10"/>
    <mergeCell ref="AG10:AH10"/>
    <mergeCell ref="I11:J11"/>
    <mergeCell ref="K11:L11"/>
    <mergeCell ref="M11:N11"/>
    <mergeCell ref="O11:P11"/>
    <mergeCell ref="Q11:R11"/>
    <mergeCell ref="S11:T11"/>
    <mergeCell ref="U11:V11"/>
    <mergeCell ref="G2:J2"/>
    <mergeCell ref="K2:M2"/>
    <mergeCell ref="P2:R2"/>
    <mergeCell ref="S2:U2"/>
    <mergeCell ref="V2:X2"/>
    <mergeCell ref="G10:G12"/>
    <mergeCell ref="H10:H11"/>
    <mergeCell ref="I10:N10"/>
    <mergeCell ref="O10:T10"/>
    <mergeCell ref="U10:V10"/>
  </mergeCells>
  <phoneticPr fontId="83"/>
  <hyperlinks>
    <hyperlink ref="C50" r:id="rId1" display="Gpwr_@Fco" xr:uid="{00000000-0004-0000-0100-000000000000}"/>
  </hyperlinks>
  <pageMargins left="0.75" right="0.75" top="1" bottom="1" header="0.5" footer="0.5"/>
  <pageSetup scale="48" orientation="portrait" horizontalDpi="300" verticalDpi="300" r:id="rId2"/>
  <headerFooter alignWithMargins="0"/>
  <colBreaks count="1" manualBreakCount="1">
    <brk id="25"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40353" r:id="rId5" name="Drop Down 1">
              <controlPr locked="0" defaultSize="0" autoLine="0" autoPict="0">
                <anchor moveWithCells="1">
                  <from>
                    <xdr:col>0</xdr:col>
                    <xdr:colOff>38100</xdr:colOff>
                    <xdr:row>2</xdr:row>
                    <xdr:rowOff>127000</xdr:rowOff>
                  </from>
                  <to>
                    <xdr:col>1</xdr:col>
                    <xdr:colOff>107950</xdr:colOff>
                    <xdr:row>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00FF"/>
  </sheetPr>
  <dimension ref="A1:Z315"/>
  <sheetViews>
    <sheetView zoomScale="70" zoomScaleNormal="70" workbookViewId="0">
      <pane ySplit="5" topLeftCell="A84" activePane="bottomLeft" state="frozenSplit"/>
      <selection pane="bottomLeft" activeCell="S122" sqref="S122"/>
    </sheetView>
  </sheetViews>
  <sheetFormatPr defaultRowHeight="13"/>
  <cols>
    <col min="1" max="1" width="40.453125" customWidth="1"/>
    <col min="2" max="2" width="11.81640625" customWidth="1"/>
    <col min="3" max="3" width="9.453125" style="3" customWidth="1"/>
    <col min="4" max="4" width="10.26953125" customWidth="1"/>
    <col min="5" max="5" width="11.54296875" customWidth="1"/>
    <col min="6" max="6" width="14.81640625" customWidth="1"/>
    <col min="7" max="7" width="12.453125" bestFit="1" customWidth="1"/>
    <col min="8" max="8" width="20.1796875" customWidth="1"/>
    <col min="9" max="9" width="14.453125" customWidth="1"/>
    <col min="10" max="10" width="12.453125" bestFit="1" customWidth="1"/>
    <col min="11" max="11" width="12" customWidth="1"/>
    <col min="12" max="12" width="8.81640625" customWidth="1"/>
    <col min="13" max="13" width="7" customWidth="1"/>
    <col min="14" max="14" width="9.26953125" customWidth="1"/>
    <col min="16" max="16" width="7.1796875" customWidth="1"/>
    <col min="17" max="17" width="11" customWidth="1"/>
    <col min="18" max="18" width="13.81640625" customWidth="1"/>
    <col min="19" max="19" width="5.453125" customWidth="1"/>
    <col min="20" max="20" width="16.26953125" customWidth="1"/>
    <col min="22" max="22" width="9.7265625" customWidth="1"/>
    <col min="23" max="23" width="11.26953125" customWidth="1"/>
    <col min="24" max="24" width="5.81640625" customWidth="1"/>
    <col min="25" max="25" width="12" bestFit="1" customWidth="1"/>
    <col min="26" max="26" width="7.81640625" customWidth="1"/>
  </cols>
  <sheetData>
    <row r="1" spans="1:26" ht="30.75" customHeight="1">
      <c r="A1" s="942" t="s">
        <v>171</v>
      </c>
      <c r="B1" s="942"/>
      <c r="C1" s="942"/>
      <c r="D1" s="942"/>
      <c r="E1" s="942"/>
      <c r="F1" s="942"/>
      <c r="G1" s="942"/>
      <c r="H1" s="942"/>
      <c r="I1" s="942"/>
    </row>
    <row r="2" spans="1:26" ht="12" customHeight="1">
      <c r="A2" s="19"/>
      <c r="B2" s="19" t="s">
        <v>81</v>
      </c>
      <c r="C2" s="20"/>
      <c r="E2" s="19"/>
      <c r="F2" s="19"/>
      <c r="G2" s="19"/>
      <c r="H2" s="19"/>
      <c r="I2" s="19"/>
    </row>
    <row r="3" spans="1:26" ht="11.25" customHeight="1">
      <c r="A3" s="19"/>
      <c r="B3" s="19" t="s">
        <v>100</v>
      </c>
      <c r="C3" s="21"/>
      <c r="E3" s="19"/>
      <c r="F3" s="19"/>
      <c r="G3" s="19"/>
      <c r="H3" s="19"/>
      <c r="I3" s="19"/>
    </row>
    <row r="4" spans="1:26" ht="11.25" customHeight="1">
      <c r="A4" s="19"/>
      <c r="B4" s="19" t="s">
        <v>82</v>
      </c>
      <c r="C4" s="22"/>
      <c r="E4" s="19"/>
      <c r="F4" s="19"/>
      <c r="G4" s="19"/>
      <c r="H4" s="19"/>
      <c r="I4" s="19"/>
    </row>
    <row r="5" spans="1:26">
      <c r="A5" s="3" t="s">
        <v>19</v>
      </c>
      <c r="B5" s="3" t="s">
        <v>6</v>
      </c>
      <c r="C5" s="3" t="s">
        <v>7</v>
      </c>
      <c r="E5" s="941" t="s">
        <v>9</v>
      </c>
      <c r="F5" s="941"/>
      <c r="G5" s="941"/>
      <c r="H5" s="941"/>
      <c r="I5" s="3" t="s">
        <v>173</v>
      </c>
    </row>
    <row r="6" spans="1:26" ht="16" thickBot="1">
      <c r="A6" s="50" t="s">
        <v>61</v>
      </c>
      <c r="B6" s="39"/>
      <c r="C6" s="39"/>
      <c r="D6" s="39"/>
      <c r="E6" s="51"/>
      <c r="F6" s="51"/>
      <c r="G6" s="51"/>
      <c r="H6" s="51"/>
      <c r="I6" s="39"/>
    </row>
    <row r="7" spans="1:26" ht="12.5">
      <c r="A7" s="109" t="s">
        <v>145</v>
      </c>
      <c r="B7" s="9">
        <f>'Design Converter'!E6</f>
        <v>19</v>
      </c>
      <c r="C7" s="31" t="s">
        <v>0</v>
      </c>
      <c r="D7" s="79" t="s">
        <v>146</v>
      </c>
      <c r="E7" s="31"/>
      <c r="F7" s="31"/>
      <c r="G7" s="31"/>
      <c r="H7" s="31"/>
      <c r="I7" s="32">
        <v>1</v>
      </c>
    </row>
    <row r="8" spans="1:26" ht="12.5">
      <c r="A8" s="110" t="s">
        <v>143</v>
      </c>
      <c r="B8" s="10">
        <f>'Design Converter'!E7</f>
        <v>58</v>
      </c>
      <c r="C8" s="7" t="s">
        <v>0</v>
      </c>
      <c r="D8" s="7" t="s">
        <v>10</v>
      </c>
      <c r="F8" s="7"/>
      <c r="G8" s="7"/>
      <c r="H8" s="7"/>
      <c r="I8" s="25"/>
    </row>
    <row r="9" spans="1:26" ht="12.5">
      <c r="A9" s="110" t="s">
        <v>144</v>
      </c>
      <c r="B9" s="10">
        <f>'Design Converter'!E8</f>
        <v>85</v>
      </c>
      <c r="C9" s="7" t="s">
        <v>0</v>
      </c>
      <c r="D9" s="77" t="s">
        <v>147</v>
      </c>
      <c r="F9" s="7"/>
      <c r="G9" s="7"/>
      <c r="H9" s="7"/>
      <c r="I9" s="25"/>
    </row>
    <row r="10" spans="1:26" thickBot="1">
      <c r="A10" s="110"/>
      <c r="B10" s="205"/>
      <c r="C10" s="60"/>
      <c r="D10" s="77"/>
      <c r="F10" s="7"/>
      <c r="G10" s="7"/>
      <c r="H10" s="7"/>
      <c r="I10" s="25"/>
    </row>
    <row r="11" spans="1:26">
      <c r="A11" s="24" t="s">
        <v>4</v>
      </c>
      <c r="B11" s="10">
        <f>'Design Converter'!E10</f>
        <v>15</v>
      </c>
      <c r="C11" s="7" t="s">
        <v>0</v>
      </c>
      <c r="D11" s="77" t="s">
        <v>563</v>
      </c>
      <c r="F11" s="7"/>
      <c r="G11" s="7">
        <f>(Vout+Vfwd2)*Nps</f>
        <v>15.7</v>
      </c>
      <c r="H11" s="7"/>
      <c r="I11" s="25">
        <v>1</v>
      </c>
      <c r="K11" t="str">
        <f>'Variable Mgmt'!B73&amp;" Output PSR Flyback Converter, "&amp;"VIN = "&amp;Vin&amp;" V, VOUT = "&amp;Vout&amp;" V, IOUT = "&amp;Iout&amp;" A"</f>
        <v>SINGLE Output PSR Flyback Converter, VIN = 58 V, VOUT = 15 V, IOUT = 10 A</v>
      </c>
      <c r="W11" s="751" t="s">
        <v>788</v>
      </c>
      <c r="X11" s="152"/>
      <c r="Y11" s="152"/>
      <c r="Z11" s="738"/>
    </row>
    <row r="12" spans="1:26" ht="12.5">
      <c r="A12" s="24" t="s">
        <v>5</v>
      </c>
      <c r="B12" s="572">
        <f>'Design Converter'!E11</f>
        <v>10</v>
      </c>
      <c r="C12" s="77" t="s">
        <v>1</v>
      </c>
      <c r="D12" s="77" t="s">
        <v>648</v>
      </c>
      <c r="F12" s="7"/>
      <c r="G12" s="7"/>
      <c r="H12" s="7"/>
      <c r="I12" s="25">
        <v>1</v>
      </c>
      <c r="K12" t="str">
        <f>'Variable Mgmt'!B73&amp;" Output PSR Flyback Converter, "&amp;"VIN = "&amp;Vin&amp;" V, VOUT1 = "&amp;Vout&amp;" V, IOUT1 = "&amp;Iout&amp;" A"&amp;", VOUT2 = "&amp;Vout2_actual&amp;" V, IOUT2 = "&amp;Iout2_actual&amp;" A"</f>
        <v>SINGLE Output PSR Flyback Converter, VIN = 58 V, VOUT1 = 15 V, IOUT1 = 10 A, VOUT2 = 8 V, IOUT2 = 0.25 A</v>
      </c>
      <c r="L12" s="76"/>
      <c r="W12" s="24"/>
      <c r="X12" s="7" t="s">
        <v>787</v>
      </c>
      <c r="Y12" s="7">
        <f>'Calculations - Single'!AQ105*1000</f>
        <v>40118.040960706632</v>
      </c>
      <c r="Z12" s="25" t="s">
        <v>8</v>
      </c>
    </row>
    <row r="13" spans="1:26" ht="12.5">
      <c r="A13" s="110" t="s">
        <v>168</v>
      </c>
      <c r="B13" s="153">
        <f>Vout/Iout</f>
        <v>1.5</v>
      </c>
      <c r="C13" s="113" t="s">
        <v>45</v>
      </c>
      <c r="D13" s="111" t="s">
        <v>169</v>
      </c>
      <c r="F13" s="7"/>
      <c r="G13" s="7"/>
      <c r="H13" s="7"/>
      <c r="I13" s="25"/>
      <c r="W13" s="24"/>
      <c r="X13" s="7" t="s">
        <v>789</v>
      </c>
      <c r="Y13" s="7">
        <f>Lmag</f>
        <v>1.2E-5</v>
      </c>
      <c r="Z13" s="25" t="s">
        <v>11</v>
      </c>
    </row>
    <row r="14" spans="1:26" ht="12.5">
      <c r="A14" s="110" t="s">
        <v>152</v>
      </c>
      <c r="B14" s="571">
        <f>Vout*Iout</f>
        <v>150</v>
      </c>
      <c r="C14" s="60" t="s">
        <v>45</v>
      </c>
      <c r="D14" s="111" t="s">
        <v>158</v>
      </c>
      <c r="F14" s="7"/>
      <c r="G14" s="7"/>
      <c r="H14" s="7"/>
      <c r="I14" s="25"/>
      <c r="L14" s="76"/>
      <c r="W14" s="24"/>
      <c r="X14" s="7" t="s">
        <v>791</v>
      </c>
      <c r="Y14" s="7">
        <f>G11/(G11+VIN_nom/Npri_sec)</f>
        <v>0.21302578018995927</v>
      </c>
      <c r="Z14" s="25"/>
    </row>
    <row r="15" spans="1:26" ht="12.5">
      <c r="B15" s="372"/>
      <c r="C15" s="60"/>
      <c r="D15" s="111"/>
      <c r="F15" s="7"/>
      <c r="G15" s="7"/>
      <c r="H15" s="7"/>
      <c r="I15" s="25"/>
      <c r="L15" s="76"/>
      <c r="W15" s="24"/>
      <c r="X15" s="7" t="s">
        <v>790</v>
      </c>
      <c r="Y15" s="7">
        <f>VIN_nom/Lmag*Y14/Y12</f>
        <v>25.664877436561003</v>
      </c>
      <c r="Z15" s="25" t="s">
        <v>1</v>
      </c>
    </row>
    <row r="16" spans="1:26" ht="12.5">
      <c r="A16" s="110" t="s">
        <v>608</v>
      </c>
      <c r="B16" s="573">
        <f>ABS('Design Converter'!E12)</f>
        <v>8</v>
      </c>
      <c r="C16" s="7" t="s">
        <v>0</v>
      </c>
      <c r="D16" s="77" t="s">
        <v>565</v>
      </c>
      <c r="F16" s="7"/>
      <c r="G16" s="7"/>
      <c r="H16" s="7"/>
      <c r="I16" s="25"/>
      <c r="L16" s="76"/>
      <c r="W16" s="24"/>
      <c r="X16" s="7" t="s">
        <v>792</v>
      </c>
      <c r="Y16" s="7">
        <f>0.5*Y15^2*Y13*Y12</f>
        <v>158.55113564268962</v>
      </c>
      <c r="Z16" s="25"/>
    </row>
    <row r="17" spans="1:26">
      <c r="A17" s="110" t="s">
        <v>609</v>
      </c>
      <c r="B17" s="611">
        <f>'Design Converter'!E12</f>
        <v>8</v>
      </c>
      <c r="C17" s="60" t="s">
        <v>0</v>
      </c>
      <c r="D17" s="77"/>
      <c r="F17" s="7"/>
      <c r="G17" s="7"/>
      <c r="H17" s="7"/>
      <c r="I17" s="25"/>
      <c r="L17" s="76"/>
      <c r="P17" s="3" t="s">
        <v>769</v>
      </c>
      <c r="W17" s="24"/>
      <c r="X17" s="7" t="s">
        <v>769</v>
      </c>
      <c r="Y17" s="39" t="str">
        <f>IF((Y16/(G11*Iout))&lt;1.01, "BCM", "DCM")</f>
        <v>BCM</v>
      </c>
      <c r="Z17" s="25"/>
    </row>
    <row r="18" spans="1:26">
      <c r="A18" s="110" t="s">
        <v>498</v>
      </c>
      <c r="B18" s="573">
        <f>ABS('Design Converter'!E13)</f>
        <v>0.25</v>
      </c>
      <c r="C18" s="77" t="s">
        <v>1</v>
      </c>
      <c r="D18" s="77" t="s">
        <v>564</v>
      </c>
      <c r="F18" s="7"/>
      <c r="G18" s="7"/>
      <c r="H18" s="7"/>
      <c r="I18" s="25"/>
      <c r="L18" s="76"/>
      <c r="P18" s="3" t="s">
        <v>768</v>
      </c>
      <c r="Q18">
        <v>1</v>
      </c>
      <c r="W18" s="24"/>
      <c r="X18" s="7"/>
      <c r="Y18" s="7"/>
      <c r="Z18" s="25"/>
    </row>
    <row r="19" spans="1:26" ht="13.5" thickBot="1">
      <c r="A19" s="111" t="s">
        <v>647</v>
      </c>
      <c r="B19">
        <f>Iout2*SIGN(Vout2_actual)</f>
        <v>0.25</v>
      </c>
      <c r="C19" s="76" t="s">
        <v>1</v>
      </c>
      <c r="F19" s="7"/>
      <c r="G19" s="7"/>
      <c r="H19" s="7"/>
      <c r="I19" s="25"/>
      <c r="L19" s="76"/>
      <c r="P19" s="3" t="s">
        <v>767</v>
      </c>
      <c r="Q19">
        <v>2</v>
      </c>
      <c r="W19" s="748"/>
      <c r="X19" s="180" t="s">
        <v>793</v>
      </c>
      <c r="Y19" s="180">
        <f>Vout*Iout</f>
        <v>150</v>
      </c>
      <c r="Z19" s="750"/>
    </row>
    <row r="20" spans="1:26">
      <c r="A20" s="110" t="s">
        <v>499</v>
      </c>
      <c r="B20" s="571">
        <f>ABS(Vout2/Iout2)</f>
        <v>32</v>
      </c>
      <c r="C20" s="113" t="s">
        <v>45</v>
      </c>
      <c r="D20" s="111" t="s">
        <v>501</v>
      </c>
      <c r="F20" s="7"/>
      <c r="G20" s="7"/>
      <c r="H20" s="7"/>
      <c r="I20" s="25"/>
      <c r="K20" s="76" t="s">
        <v>530</v>
      </c>
      <c r="L20" s="76" t="s">
        <v>531</v>
      </c>
      <c r="Q20" s="3">
        <v>2</v>
      </c>
    </row>
    <row r="21" spans="1:26" ht="12.5">
      <c r="A21" s="110" t="s">
        <v>500</v>
      </c>
      <c r="B21" s="571">
        <f>ABS(Vout2*Iout2)</f>
        <v>2</v>
      </c>
      <c r="C21" s="60" t="s">
        <v>45</v>
      </c>
      <c r="D21" s="111" t="s">
        <v>502</v>
      </c>
      <c r="F21" s="7"/>
      <c r="G21" s="7"/>
      <c r="H21" s="7"/>
      <c r="I21" s="25"/>
      <c r="K21">
        <v>5</v>
      </c>
      <c r="L21" s="76">
        <v>-5</v>
      </c>
    </row>
    <row r="22" spans="1:26" ht="12.5">
      <c r="A22" s="110" t="s">
        <v>503</v>
      </c>
      <c r="B22" s="571">
        <f>CHOOSE(MODE, Pout, Pout + Pout2)</f>
        <v>150</v>
      </c>
      <c r="C22" s="60" t="s">
        <v>45</v>
      </c>
      <c r="D22" s="111" t="s">
        <v>504</v>
      </c>
      <c r="F22" s="7"/>
      <c r="G22" s="7"/>
      <c r="H22" s="7"/>
      <c r="I22" s="25"/>
      <c r="K22">
        <v>0.2</v>
      </c>
      <c r="L22" s="76">
        <v>0.2</v>
      </c>
    </row>
    <row r="23" spans="1:26" ht="12.5">
      <c r="A23" s="110"/>
      <c r="B23" s="372"/>
      <c r="C23" s="60"/>
      <c r="D23" s="111"/>
      <c r="F23" s="7"/>
      <c r="G23" s="7"/>
      <c r="H23" s="7"/>
      <c r="I23" s="25"/>
      <c r="L23" s="76"/>
    </row>
    <row r="24" spans="1:26">
      <c r="A24" s="34" t="str">
        <f>CHOOSE(MODE, "Turns Ratio, PRI : SEC", "Turns Ratio, PRI : SEC1")</f>
        <v>Turns Ratio, PRI : SEC</v>
      </c>
      <c r="B24" s="556" t="str">
        <f>Nps</f>
        <v>1</v>
      </c>
      <c r="C24" s="60"/>
      <c r="D24" s="111" t="str">
        <f>CHOOSE(MODE, "TR primary-secondary (single output) = Np/Ns", "TR primary-secondary1 (dual output) = Np/Nsec1")</f>
        <v>TR primary-secondary (single output) = Np/Ns</v>
      </c>
      <c r="F24" s="7"/>
      <c r="G24" s="7"/>
      <c r="H24" s="7"/>
      <c r="I24" s="25"/>
      <c r="L24" s="76"/>
    </row>
    <row r="25" spans="1:26">
      <c r="A25" s="34" t="s">
        <v>576</v>
      </c>
      <c r="B25" s="173">
        <f>Npri_sec2</f>
        <v>1.8470588235294119</v>
      </c>
      <c r="D25" s="111" t="s">
        <v>577</v>
      </c>
      <c r="F25" s="7"/>
      <c r="G25" s="7"/>
      <c r="H25" s="7"/>
      <c r="I25" s="25"/>
      <c r="L25" s="76"/>
    </row>
    <row r="26" spans="1:26" ht="13.5" thickBot="1">
      <c r="A26" s="34" t="s">
        <v>589</v>
      </c>
      <c r="B26" s="610">
        <f>Nsec1sec2</f>
        <v>0.54140127388535031</v>
      </c>
      <c r="D26" s="76" t="s">
        <v>578</v>
      </c>
      <c r="F26" s="7"/>
      <c r="G26" s="7"/>
      <c r="H26" s="7"/>
      <c r="I26" s="25"/>
      <c r="L26" s="76"/>
      <c r="R26" s="157" t="s">
        <v>389</v>
      </c>
      <c r="V26" s="157" t="s">
        <v>389</v>
      </c>
    </row>
    <row r="27" spans="1:26">
      <c r="H27" s="7"/>
      <c r="I27" s="25"/>
      <c r="K27" s="157" t="s">
        <v>529</v>
      </c>
      <c r="P27" s="737"/>
      <c r="Q27" s="152"/>
      <c r="R27" s="155" t="s">
        <v>571</v>
      </c>
      <c r="S27" s="152"/>
      <c r="T27" s="152"/>
      <c r="U27" s="152"/>
      <c r="V27" s="155" t="s">
        <v>572</v>
      </c>
      <c r="W27" s="738"/>
    </row>
    <row r="28" spans="1:26" ht="12.5">
      <c r="A28" s="76" t="s">
        <v>610</v>
      </c>
      <c r="B28" s="5">
        <f>Vout+VIN_max/Nps</f>
        <v>100</v>
      </c>
      <c r="C28" s="76" t="s">
        <v>0</v>
      </c>
      <c r="G28" s="7"/>
      <c r="H28" s="7"/>
      <c r="I28" s="25"/>
      <c r="K28" s="76" t="s">
        <v>526</v>
      </c>
      <c r="L28">
        <v>1</v>
      </c>
      <c r="P28" s="24"/>
      <c r="Q28" s="7"/>
      <c r="R28" s="7" t="str">
        <f>"20 : 1"</f>
        <v>20 : 1</v>
      </c>
      <c r="S28" s="7">
        <v>1</v>
      </c>
      <c r="T28" s="7">
        <v>20</v>
      </c>
      <c r="U28" s="7"/>
      <c r="V28" s="7" t="str">
        <f>"20 : 1"</f>
        <v>20 : 1</v>
      </c>
      <c r="W28" s="7">
        <v>1</v>
      </c>
    </row>
    <row r="29" spans="1:26" ht="12.5">
      <c r="A29" s="76"/>
      <c r="B29" s="5"/>
      <c r="C29" s="76"/>
      <c r="G29" s="7"/>
      <c r="H29" s="7"/>
      <c r="I29" s="848"/>
      <c r="K29" s="76"/>
      <c r="P29" s="24"/>
      <c r="Q29" s="7"/>
      <c r="R29" s="7" t="str">
        <f>"15 : 1"</f>
        <v>15 : 1</v>
      </c>
      <c r="S29" s="7">
        <v>2</v>
      </c>
      <c r="T29" s="7">
        <v>15</v>
      </c>
      <c r="U29" s="7"/>
      <c r="V29" s="7" t="str">
        <f>"15 : 1"</f>
        <v>15 : 1</v>
      </c>
      <c r="W29" s="7">
        <v>2</v>
      </c>
    </row>
    <row r="30" spans="1:26" ht="12.5">
      <c r="A30" s="76"/>
      <c r="B30" s="5"/>
      <c r="C30" s="76"/>
      <c r="G30" s="7"/>
      <c r="H30" s="7"/>
      <c r="I30" s="848"/>
      <c r="K30" s="76"/>
      <c r="P30" s="24"/>
      <c r="Q30" s="7"/>
      <c r="R30" s="7" t="str">
        <f>"10 : 1"</f>
        <v>10 : 1</v>
      </c>
      <c r="S30" s="7">
        <v>3</v>
      </c>
      <c r="T30" s="7">
        <v>10</v>
      </c>
      <c r="U30" s="7"/>
      <c r="V30" s="7" t="str">
        <f>"10 : 1"</f>
        <v>10 : 1</v>
      </c>
      <c r="W30" s="7">
        <v>3</v>
      </c>
    </row>
    <row r="31" spans="1:26" ht="12.5">
      <c r="A31" s="76"/>
      <c r="B31" s="5"/>
      <c r="C31" s="76"/>
      <c r="G31" s="7"/>
      <c r="H31" s="7"/>
      <c r="I31" s="848"/>
      <c r="K31" s="76"/>
      <c r="P31" s="24"/>
      <c r="Q31" s="7"/>
      <c r="R31" s="7" t="str">
        <f>"8 : 1"</f>
        <v>8 : 1</v>
      </c>
      <c r="S31" s="7">
        <v>4</v>
      </c>
      <c r="T31" s="12">
        <v>8</v>
      </c>
      <c r="U31" s="7"/>
      <c r="V31" s="7" t="str">
        <f>"8 : 1"</f>
        <v>8 : 1</v>
      </c>
      <c r="W31" s="7">
        <v>4</v>
      </c>
    </row>
    <row r="32" spans="1:26" ht="12.5">
      <c r="A32" s="76"/>
      <c r="B32" s="5"/>
      <c r="C32" s="76"/>
      <c r="G32" s="7"/>
      <c r="H32" s="7"/>
      <c r="I32" s="848"/>
      <c r="K32" s="76"/>
      <c r="P32" s="24"/>
      <c r="Q32" s="7"/>
      <c r="R32" s="7" t="str">
        <f>"6 : 1"</f>
        <v>6 : 1</v>
      </c>
      <c r="S32" s="7">
        <v>5</v>
      </c>
      <c r="T32" s="12">
        <v>6</v>
      </c>
      <c r="U32" s="7"/>
      <c r="V32" s="7" t="str">
        <f>"6 : 1"</f>
        <v>6 : 1</v>
      </c>
      <c r="W32" s="7">
        <v>5</v>
      </c>
    </row>
    <row r="33" spans="1:23" ht="12.5">
      <c r="A33" s="76"/>
      <c r="B33" s="5"/>
      <c r="C33" s="76"/>
      <c r="G33" s="7"/>
      <c r="H33" s="7"/>
      <c r="I33" s="848"/>
      <c r="K33" s="76"/>
      <c r="P33" s="24"/>
      <c r="Q33" s="7"/>
      <c r="R33" s="7" t="str">
        <f>"5 : 1"</f>
        <v>5 : 1</v>
      </c>
      <c r="S33" s="7">
        <v>6</v>
      </c>
      <c r="T33" s="7">
        <v>5</v>
      </c>
      <c r="U33" s="7"/>
      <c r="V33" s="7" t="str">
        <f>"5 : 1"</f>
        <v>5 : 1</v>
      </c>
      <c r="W33" s="7">
        <v>6</v>
      </c>
    </row>
    <row r="34" spans="1:23">
      <c r="F34" s="7"/>
      <c r="G34" s="7"/>
      <c r="H34" s="7"/>
      <c r="I34" s="25"/>
      <c r="K34" s="76" t="s">
        <v>527</v>
      </c>
      <c r="L34">
        <v>2</v>
      </c>
      <c r="P34" s="24"/>
      <c r="Q34" s="7"/>
      <c r="R34" s="7" t="str">
        <f>"4 : 1"</f>
        <v>4 : 1</v>
      </c>
      <c r="S34" s="7">
        <v>7</v>
      </c>
      <c r="T34" s="7">
        <v>4</v>
      </c>
      <c r="U34" s="7"/>
      <c r="V34" s="7" t="str">
        <f>"4 : 1"</f>
        <v>4 : 1</v>
      </c>
      <c r="W34" s="7">
        <v>7</v>
      </c>
    </row>
    <row r="35" spans="1:23" ht="12.5">
      <c r="A35" s="110" t="s">
        <v>436</v>
      </c>
      <c r="B35" s="371">
        <f>1%*Vout*1000</f>
        <v>150</v>
      </c>
      <c r="C35" s="60" t="s">
        <v>149</v>
      </c>
      <c r="D35" s="111" t="s">
        <v>454</v>
      </c>
      <c r="F35" s="7"/>
      <c r="G35" s="7"/>
      <c r="H35" s="7"/>
      <c r="I35" s="25"/>
      <c r="K35" s="76" t="s">
        <v>528</v>
      </c>
      <c r="L35">
        <v>3</v>
      </c>
      <c r="P35" s="24"/>
      <c r="Q35" s="7"/>
      <c r="R35" s="7" t="str">
        <f>"3 : 1"</f>
        <v>3 : 1</v>
      </c>
      <c r="S35" s="7">
        <v>8</v>
      </c>
      <c r="T35" s="7">
        <v>3</v>
      </c>
      <c r="U35" s="7"/>
      <c r="V35" s="7" t="str">
        <f>"3 : 1"</f>
        <v>3 : 1</v>
      </c>
      <c r="W35" s="7">
        <v>8</v>
      </c>
    </row>
    <row r="36" spans="1:23" ht="12.5">
      <c r="A36" s="110" t="s">
        <v>547</v>
      </c>
      <c r="B36" s="371">
        <f>1%*Vout2*1000</f>
        <v>80</v>
      </c>
      <c r="C36" s="60" t="s">
        <v>149</v>
      </c>
      <c r="D36" s="111" t="s">
        <v>546</v>
      </c>
      <c r="F36" s="7"/>
      <c r="G36" s="7"/>
      <c r="H36" s="7"/>
      <c r="I36" s="25"/>
      <c r="P36" s="24"/>
      <c r="Q36" s="7"/>
      <c r="R36" s="7" t="str">
        <f>"2.5 : 1"</f>
        <v>2.5 : 1</v>
      </c>
      <c r="S36" s="7">
        <v>9</v>
      </c>
      <c r="T36" s="7">
        <v>2.5</v>
      </c>
      <c r="U36" s="7"/>
      <c r="V36" s="7" t="str">
        <f>"2.5 : 1"</f>
        <v>2.5 : 1</v>
      </c>
      <c r="W36" s="7">
        <v>9</v>
      </c>
    </row>
    <row r="37" spans="1:23">
      <c r="F37" s="7"/>
      <c r="G37" s="7"/>
      <c r="H37" s="7"/>
      <c r="I37" s="25"/>
      <c r="P37" s="24"/>
      <c r="Q37" s="739"/>
      <c r="R37" s="7" t="str">
        <f>"2 : 1"</f>
        <v>2 : 1</v>
      </c>
      <c r="S37" s="7">
        <v>10</v>
      </c>
      <c r="T37" s="12">
        <v>2</v>
      </c>
      <c r="U37" s="7"/>
      <c r="V37" s="7" t="str">
        <f>"2 : 1"</f>
        <v>2 : 1</v>
      </c>
      <c r="W37" s="7">
        <v>10</v>
      </c>
    </row>
    <row r="38" spans="1:23">
      <c r="F38" s="7"/>
      <c r="G38" s="7"/>
      <c r="H38" s="7"/>
      <c r="I38" s="25"/>
      <c r="P38" s="24"/>
      <c r="Q38" s="739"/>
      <c r="R38" s="7" t="str">
        <f>"1.8 :1"</f>
        <v>1.8 :1</v>
      </c>
      <c r="S38" s="7">
        <v>11</v>
      </c>
      <c r="T38" s="12">
        <v>1.8</v>
      </c>
      <c r="U38" s="7"/>
      <c r="V38" s="7" t="str">
        <f>"1.8 : 1"</f>
        <v>1.8 : 1</v>
      </c>
      <c r="W38" s="7">
        <v>11</v>
      </c>
    </row>
    <row r="39" spans="1:23" ht="12.5">
      <c r="A39" s="110" t="s">
        <v>47</v>
      </c>
      <c r="B39" s="612">
        <v>1</v>
      </c>
      <c r="C39" s="60"/>
      <c r="D39" s="77" t="s">
        <v>175</v>
      </c>
      <c r="F39" s="7"/>
      <c r="G39" s="7"/>
      <c r="H39" s="7"/>
      <c r="I39" s="25"/>
      <c r="P39" s="24"/>
      <c r="Q39" s="7"/>
      <c r="R39" s="7" t="str">
        <f>"1.5 : 1"</f>
        <v>1.5 : 1</v>
      </c>
      <c r="S39" s="7">
        <v>12</v>
      </c>
      <c r="T39" s="12">
        <v>1.5</v>
      </c>
      <c r="U39" s="7"/>
      <c r="V39" s="7" t="str">
        <f>"1.5 : 1"</f>
        <v>1.5 : 1</v>
      </c>
      <c r="W39" s="7">
        <v>12</v>
      </c>
    </row>
    <row r="40" spans="1:23" ht="12.5">
      <c r="A40" s="110"/>
      <c r="B40" s="612"/>
      <c r="C40" s="60"/>
      <c r="D40" s="77"/>
      <c r="F40" s="7"/>
      <c r="G40" s="7"/>
      <c r="H40" s="7"/>
      <c r="I40" s="25"/>
      <c r="P40" s="24"/>
      <c r="Q40" s="7"/>
      <c r="R40" s="7" t="str">
        <f>"1.2 : 1"</f>
        <v>1.2 : 1</v>
      </c>
      <c r="S40" s="7">
        <v>13</v>
      </c>
      <c r="T40" s="12">
        <v>1.2</v>
      </c>
      <c r="U40" s="7"/>
      <c r="V40" s="740" t="s">
        <v>785</v>
      </c>
      <c r="W40" s="7">
        <v>13</v>
      </c>
    </row>
    <row r="41" spans="1:23" ht="12.5">
      <c r="A41" s="110" t="s">
        <v>156</v>
      </c>
      <c r="B41" s="420">
        <f>Pout_total/Efficiency</f>
        <v>150</v>
      </c>
      <c r="C41" s="60" t="s">
        <v>45</v>
      </c>
      <c r="D41" s="111" t="s">
        <v>455</v>
      </c>
      <c r="F41" s="7"/>
      <c r="G41" s="7"/>
      <c r="H41" s="7"/>
      <c r="I41" s="25"/>
      <c r="P41" s="24"/>
      <c r="Q41" s="7"/>
      <c r="R41" s="7" t="str">
        <f>"1 : 1"</f>
        <v>1 : 1</v>
      </c>
      <c r="S41" s="7">
        <v>14</v>
      </c>
      <c r="T41" s="12">
        <v>1</v>
      </c>
      <c r="U41" s="7"/>
      <c r="V41" s="7" t="str">
        <f>"1 : 1"</f>
        <v>1 : 1</v>
      </c>
      <c r="W41" s="7">
        <v>14</v>
      </c>
    </row>
    <row r="42" spans="1:23" ht="12.5">
      <c r="A42" s="110"/>
      <c r="B42" s="420"/>
      <c r="C42" s="60"/>
      <c r="D42" s="111"/>
      <c r="F42" s="7"/>
      <c r="G42" s="7"/>
      <c r="H42" s="7"/>
      <c r="I42" s="25"/>
      <c r="P42" s="24"/>
      <c r="Q42" s="7"/>
      <c r="R42" s="7" t="str">
        <f>"1 : 1.2"</f>
        <v>1 : 1.2</v>
      </c>
      <c r="S42" s="7">
        <v>15</v>
      </c>
      <c r="T42" s="7">
        <f>0.833</f>
        <v>0.83299999999999996</v>
      </c>
      <c r="U42" s="7"/>
      <c r="V42" s="740" t="s">
        <v>786</v>
      </c>
      <c r="W42" s="7">
        <v>15</v>
      </c>
    </row>
    <row r="43" spans="1:23" ht="12.5">
      <c r="A43" s="110" t="s">
        <v>153</v>
      </c>
      <c r="B43" s="162">
        <f>Pin/VIN_min</f>
        <v>7.8947368421052628</v>
      </c>
      <c r="C43" s="60" t="s">
        <v>1</v>
      </c>
      <c r="D43" s="77"/>
      <c r="F43" s="7"/>
      <c r="G43" s="7"/>
      <c r="H43" s="7"/>
      <c r="I43" s="25"/>
      <c r="P43" s="24"/>
      <c r="Q43" s="7"/>
      <c r="R43" s="7" t="str">
        <f>"1 : 1.5"</f>
        <v>1 : 1.5</v>
      </c>
      <c r="S43" s="7">
        <v>16</v>
      </c>
      <c r="T43" s="7">
        <f>0.667</f>
        <v>0.66700000000000004</v>
      </c>
      <c r="U43" s="7"/>
      <c r="V43" s="7" t="str">
        <f>"1 : 1.5"</f>
        <v>1 : 1.5</v>
      </c>
      <c r="W43" s="7">
        <v>16</v>
      </c>
    </row>
    <row r="44" spans="1:23" ht="12.5">
      <c r="A44" s="110"/>
      <c r="B44" s="162"/>
      <c r="C44" s="60"/>
      <c r="D44" s="77"/>
      <c r="F44" s="7"/>
      <c r="G44" s="7"/>
      <c r="H44" s="7"/>
      <c r="I44" s="25"/>
      <c r="P44" s="24"/>
      <c r="Q44" s="7"/>
      <c r="R44" s="7" t="str">
        <f>"1 : 1.8"</f>
        <v>1 : 1.8</v>
      </c>
      <c r="S44" s="7">
        <v>17</v>
      </c>
      <c r="T44" s="7">
        <f>0.556</f>
        <v>0.55600000000000005</v>
      </c>
      <c r="U44" s="7"/>
      <c r="V44" s="7" t="str">
        <f>"1 : 1.8"</f>
        <v>1 : 1.8</v>
      </c>
      <c r="W44" s="7">
        <v>17</v>
      </c>
    </row>
    <row r="45" spans="1:23" ht="12.5">
      <c r="A45" s="110" t="s">
        <v>154</v>
      </c>
      <c r="B45" s="162">
        <f>Pin/VIN_nom</f>
        <v>2.5862068965517242</v>
      </c>
      <c r="C45" s="60" t="s">
        <v>1</v>
      </c>
      <c r="D45" s="111" t="s">
        <v>159</v>
      </c>
      <c r="F45" s="7"/>
      <c r="G45" s="7"/>
      <c r="H45" s="7"/>
      <c r="I45" s="25">
        <v>1</v>
      </c>
      <c r="K45" s="76"/>
      <c r="P45" s="24"/>
      <c r="Q45" s="7"/>
      <c r="R45" s="7" t="str">
        <f>"1 : 2"</f>
        <v>1 : 2</v>
      </c>
      <c r="S45" s="12">
        <v>18</v>
      </c>
      <c r="T45" s="7">
        <f>1/2</f>
        <v>0.5</v>
      </c>
      <c r="U45" s="7"/>
      <c r="V45" s="7" t="str">
        <f>"1 : 2"</f>
        <v>1 : 2</v>
      </c>
      <c r="W45" s="12">
        <v>18</v>
      </c>
    </row>
    <row r="46" spans="1:23" ht="12.5">
      <c r="A46" s="110"/>
      <c r="B46" s="162"/>
      <c r="C46" s="60"/>
      <c r="D46" s="111"/>
      <c r="F46" s="7"/>
      <c r="G46" s="7"/>
      <c r="H46" s="7"/>
      <c r="I46" s="25"/>
      <c r="K46" s="76"/>
      <c r="P46" s="24"/>
      <c r="Q46" s="7"/>
      <c r="R46" s="7" t="str">
        <f>"1 : 2.5"</f>
        <v>1 : 2.5</v>
      </c>
      <c r="S46" s="12">
        <v>19</v>
      </c>
      <c r="T46" s="7">
        <f>1/2.5</f>
        <v>0.4</v>
      </c>
      <c r="U46" s="7"/>
      <c r="V46" s="7" t="str">
        <f>"1 : 2.5"</f>
        <v>1 : 2.5</v>
      </c>
      <c r="W46" s="12">
        <v>19</v>
      </c>
    </row>
    <row r="47" spans="1:23" ht="12.5">
      <c r="A47" s="110" t="s">
        <v>155</v>
      </c>
      <c r="B47" s="162">
        <f>Pin/VIN_max</f>
        <v>1.7647058823529411</v>
      </c>
      <c r="C47" s="60" t="s">
        <v>1</v>
      </c>
      <c r="D47" s="77"/>
      <c r="F47" s="7"/>
      <c r="G47" s="7"/>
      <c r="H47" s="7"/>
      <c r="I47" s="25"/>
      <c r="P47" s="24"/>
      <c r="Q47" s="7"/>
      <c r="R47" s="7" t="str">
        <f>"1 : 3"</f>
        <v>1 : 3</v>
      </c>
      <c r="S47" s="12">
        <v>20</v>
      </c>
      <c r="T47" s="7">
        <f>0.333</f>
        <v>0.33300000000000002</v>
      </c>
      <c r="U47" s="7"/>
      <c r="V47" s="7" t="str">
        <f>"1 : 3"</f>
        <v>1 : 3</v>
      </c>
      <c r="W47" s="12">
        <v>20</v>
      </c>
    </row>
    <row r="48" spans="1:23" ht="12.5">
      <c r="A48" s="110" t="s">
        <v>607</v>
      </c>
      <c r="B48" s="162">
        <f>CHOOSE(MODE,'Calculations - Single'!H212,'Calculations - Dual'!H212+'Calculations - Dual'!I212)*0+CHOOSE(MODE,'Calculations - Single'!H212,'Calculations - Dual'!O212+'Calculations - Dual'!P212)</f>
        <v>212.84735764973183</v>
      </c>
      <c r="C48" s="60" t="s">
        <v>45</v>
      </c>
      <c r="D48" s="77" t="b">
        <f>B48&lt;Pout_total</f>
        <v>0</v>
      </c>
      <c r="F48" s="7"/>
      <c r="G48" s="7"/>
      <c r="H48" s="7"/>
      <c r="I48" s="25"/>
      <c r="P48" s="24"/>
      <c r="Q48" s="7"/>
      <c r="R48" s="7" t="str">
        <f>"1 : 4"</f>
        <v>1 : 4</v>
      </c>
      <c r="S48" s="12">
        <v>21</v>
      </c>
      <c r="T48" s="7">
        <f>1/4</f>
        <v>0.25</v>
      </c>
      <c r="U48" s="7"/>
      <c r="V48" s="7" t="str">
        <f>R48</f>
        <v>1 : 4</v>
      </c>
      <c r="W48" s="12">
        <v>21</v>
      </c>
    </row>
    <row r="49" spans="1:23" ht="12.5">
      <c r="A49" s="110"/>
      <c r="B49" s="162"/>
      <c r="C49" s="60"/>
      <c r="D49" s="77"/>
      <c r="F49" s="7"/>
      <c r="G49" s="7"/>
      <c r="H49" s="7"/>
      <c r="I49" s="848"/>
      <c r="P49" s="24"/>
      <c r="Q49" s="7"/>
      <c r="R49" s="7" t="str">
        <f>"1 : 5"</f>
        <v>1 : 5</v>
      </c>
      <c r="S49" s="12">
        <v>22</v>
      </c>
      <c r="T49" s="7">
        <v>0.2</v>
      </c>
      <c r="U49" s="7"/>
      <c r="V49" s="7" t="str">
        <f>"1 : 5"</f>
        <v>1 : 5</v>
      </c>
      <c r="W49" s="12">
        <v>22</v>
      </c>
    </row>
    <row r="50" spans="1:23" ht="12.5">
      <c r="A50" s="110"/>
      <c r="B50" s="162"/>
      <c r="C50" s="60"/>
      <c r="D50" s="77"/>
      <c r="F50" s="7"/>
      <c r="G50" s="7"/>
      <c r="H50" s="7"/>
      <c r="I50" s="848"/>
      <c r="P50" s="24"/>
      <c r="Q50" s="7"/>
      <c r="R50" s="7" t="str">
        <f>"1 : 6"</f>
        <v>1 : 6</v>
      </c>
      <c r="S50" s="12">
        <v>23</v>
      </c>
      <c r="T50" s="7">
        <f>0.167</f>
        <v>0.16700000000000001</v>
      </c>
      <c r="U50" s="7"/>
      <c r="V50" s="7" t="str">
        <f>"1 : 6"</f>
        <v>1 : 6</v>
      </c>
      <c r="W50" s="12">
        <v>23</v>
      </c>
    </row>
    <row r="51" spans="1:23" ht="12.5">
      <c r="A51" s="110"/>
      <c r="B51" s="162"/>
      <c r="C51" s="60"/>
      <c r="D51" s="77"/>
      <c r="F51" s="7"/>
      <c r="G51" s="7"/>
      <c r="H51" s="7"/>
      <c r="I51" s="848"/>
      <c r="P51" s="24"/>
      <c r="Q51" s="7"/>
      <c r="R51" s="7" t="str">
        <f>"1 : 8"</f>
        <v>1 : 8</v>
      </c>
      <c r="S51" s="12">
        <v>24</v>
      </c>
      <c r="T51" s="7">
        <f>1/8</f>
        <v>0.125</v>
      </c>
      <c r="U51" s="7"/>
      <c r="V51" s="7" t="str">
        <f>"1 : 8"</f>
        <v>1 : 8</v>
      </c>
      <c r="W51" s="12">
        <v>24</v>
      </c>
    </row>
    <row r="52" spans="1:23" ht="12.5">
      <c r="A52" s="110"/>
      <c r="B52" s="162"/>
      <c r="C52" s="60"/>
      <c r="D52" s="77"/>
      <c r="F52" s="7"/>
      <c r="G52" s="7"/>
      <c r="H52" s="7"/>
      <c r="I52" s="848"/>
      <c r="P52" s="24"/>
      <c r="Q52" s="7"/>
      <c r="R52" s="7" t="str">
        <f>"1 : 10"</f>
        <v>1 : 10</v>
      </c>
      <c r="S52" s="12">
        <v>25</v>
      </c>
      <c r="T52" s="7">
        <f>1/10</f>
        <v>0.1</v>
      </c>
      <c r="U52" s="7"/>
      <c r="V52" s="7" t="str">
        <f>"1 : 10"</f>
        <v>1 : 10</v>
      </c>
      <c r="W52" s="12">
        <v>25</v>
      </c>
    </row>
    <row r="53" spans="1:23" ht="12.5">
      <c r="A53" s="110"/>
      <c r="B53" s="162"/>
      <c r="C53" s="60"/>
      <c r="D53" s="77"/>
      <c r="F53" s="7"/>
      <c r="G53" s="7"/>
      <c r="H53" s="7"/>
      <c r="I53" s="848"/>
      <c r="P53" s="24"/>
      <c r="Q53" s="7"/>
      <c r="R53" s="7" t="str">
        <f>"1 : 15"</f>
        <v>1 : 15</v>
      </c>
      <c r="S53" s="12">
        <v>26</v>
      </c>
      <c r="T53" s="7">
        <f>0.0667</f>
        <v>6.6699999999999995E-2</v>
      </c>
      <c r="U53" s="7"/>
      <c r="V53" s="7" t="str">
        <f>"1 : 15"</f>
        <v>1 : 15</v>
      </c>
      <c r="W53" s="12">
        <v>26</v>
      </c>
    </row>
    <row r="54" spans="1:23" ht="12.5">
      <c r="A54" s="110"/>
      <c r="B54" s="162"/>
      <c r="C54" s="60"/>
      <c r="D54" s="77"/>
      <c r="F54" s="7"/>
      <c r="G54" s="7"/>
      <c r="H54" s="7"/>
      <c r="I54" s="848"/>
      <c r="P54" s="24"/>
      <c r="Q54" s="7"/>
      <c r="R54" s="7" t="str">
        <f>"1 : 20"</f>
        <v>1 : 20</v>
      </c>
      <c r="S54" s="12">
        <v>27</v>
      </c>
      <c r="T54" s="7">
        <f>1/20</f>
        <v>0.05</v>
      </c>
      <c r="U54" s="7"/>
      <c r="V54" s="7" t="str">
        <f>"1 : 20"</f>
        <v>1 : 20</v>
      </c>
      <c r="W54" s="12">
        <v>27</v>
      </c>
    </row>
    <row r="55" spans="1:23" ht="12.5">
      <c r="A55" s="110"/>
      <c r="B55" s="162"/>
      <c r="C55" s="60"/>
      <c r="D55" s="77"/>
      <c r="F55" s="7"/>
      <c r="G55" s="7"/>
      <c r="H55" s="7"/>
      <c r="I55" s="848"/>
      <c r="P55" s="24"/>
      <c r="Q55" s="7"/>
      <c r="R55" s="7" t="str">
        <f>"1 : 30"</f>
        <v>1 : 30</v>
      </c>
      <c r="S55" s="12">
        <v>28</v>
      </c>
      <c r="T55" s="7">
        <f>0.0333</f>
        <v>3.3300000000000003E-2</v>
      </c>
      <c r="U55" s="7"/>
      <c r="V55" s="7" t="str">
        <f>"1 : 30"</f>
        <v>1 : 30</v>
      </c>
      <c r="W55" s="12">
        <v>28</v>
      </c>
    </row>
    <row r="56" spans="1:23" ht="12.5">
      <c r="A56" s="110"/>
      <c r="B56" s="162"/>
      <c r="C56" s="60"/>
      <c r="D56" s="77"/>
      <c r="F56" s="7"/>
      <c r="G56" s="7"/>
      <c r="H56" s="7"/>
      <c r="I56" s="848"/>
      <c r="P56" s="24"/>
      <c r="Q56" s="7"/>
      <c r="R56" s="7" t="str">
        <f>"1 : 40"</f>
        <v>1 : 40</v>
      </c>
      <c r="S56" s="7">
        <v>29</v>
      </c>
      <c r="T56" s="7">
        <f>1/40</f>
        <v>2.5000000000000001E-2</v>
      </c>
      <c r="U56" s="7"/>
      <c r="V56" s="7" t="str">
        <f>"1 : 40"</f>
        <v>1 : 40</v>
      </c>
      <c r="W56" s="7">
        <v>29</v>
      </c>
    </row>
    <row r="57" spans="1:23" ht="12.5">
      <c r="A57" s="110"/>
      <c r="B57" s="162"/>
      <c r="C57" s="60"/>
      <c r="D57" s="77"/>
      <c r="F57" s="7"/>
      <c r="G57" s="7"/>
      <c r="H57" s="7"/>
      <c r="I57" s="848"/>
      <c r="P57" s="24"/>
      <c r="Q57" s="7"/>
      <c r="R57" s="7" t="str">
        <f>"1 : 50"</f>
        <v>1 : 50</v>
      </c>
      <c r="S57" s="12">
        <v>30</v>
      </c>
      <c r="T57" s="7">
        <f>1/50</f>
        <v>0.02</v>
      </c>
      <c r="U57" s="7"/>
      <c r="V57" s="7" t="str">
        <f>"1 : 50"</f>
        <v>1 : 50</v>
      </c>
      <c r="W57" s="12">
        <v>30</v>
      </c>
    </row>
    <row r="58" spans="1:23" ht="12.5">
      <c r="A58" s="110"/>
      <c r="B58" s="162"/>
      <c r="C58" s="60"/>
      <c r="D58" s="77"/>
      <c r="F58" s="7"/>
      <c r="G58" s="7"/>
      <c r="H58" s="7"/>
      <c r="I58" s="848"/>
      <c r="P58" s="24"/>
      <c r="Q58" s="7"/>
      <c r="R58" s="7" t="str">
        <f>"1 : 60"</f>
        <v>1 : 60</v>
      </c>
      <c r="S58" s="12">
        <v>31</v>
      </c>
      <c r="T58" s="7">
        <f>0.0167</f>
        <v>1.67E-2</v>
      </c>
      <c r="U58" s="7"/>
      <c r="V58" s="7" t="str">
        <f>"1 : 60"</f>
        <v>1 : 60</v>
      </c>
      <c r="W58" s="12">
        <v>31</v>
      </c>
    </row>
    <row r="59" spans="1:23" ht="12.5">
      <c r="A59" s="110"/>
      <c r="B59" s="162"/>
      <c r="C59" s="60"/>
      <c r="D59" s="77"/>
      <c r="F59" s="7"/>
      <c r="G59" s="7"/>
      <c r="H59" s="7"/>
      <c r="I59" s="848"/>
      <c r="P59" s="24"/>
      <c r="Q59" s="7"/>
      <c r="R59" s="7" t="str">
        <f>"1 : 80"</f>
        <v>1 : 80</v>
      </c>
      <c r="S59" s="12">
        <v>32</v>
      </c>
      <c r="T59" s="7">
        <f>1/80</f>
        <v>1.2500000000000001E-2</v>
      </c>
      <c r="U59" s="7"/>
      <c r="V59" s="7" t="str">
        <f>"1 : 80"</f>
        <v>1 : 80</v>
      </c>
      <c r="W59" s="12">
        <v>32</v>
      </c>
    </row>
    <row r="60" spans="1:23">
      <c r="A60" s="110"/>
      <c r="B60" s="518"/>
      <c r="C60" s="111"/>
      <c r="D60" s="77"/>
      <c r="F60" s="7"/>
      <c r="G60" s="7"/>
      <c r="H60" s="7"/>
      <c r="I60" s="25"/>
      <c r="P60" s="24"/>
      <c r="Q60" s="7"/>
      <c r="R60" s="7" t="str">
        <f>"1 : 100"</f>
        <v>1 : 100</v>
      </c>
      <c r="S60" s="7">
        <v>33</v>
      </c>
      <c r="T60" s="7">
        <f>1/100</f>
        <v>0.01</v>
      </c>
      <c r="U60" s="741"/>
      <c r="V60" s="7" t="str">
        <f>"1 : 100"</f>
        <v>1 : 100</v>
      </c>
      <c r="W60" s="7">
        <v>33</v>
      </c>
    </row>
    <row r="61" spans="1:23">
      <c r="A61" s="110" t="s">
        <v>428</v>
      </c>
      <c r="B61" s="132">
        <v>350000</v>
      </c>
      <c r="C61" s="111" t="s">
        <v>8</v>
      </c>
      <c r="D61" s="77" t="s">
        <v>566</v>
      </c>
      <c r="F61" s="7"/>
      <c r="G61" s="7"/>
      <c r="H61" s="7"/>
      <c r="I61" s="25"/>
      <c r="P61" s="24"/>
      <c r="Q61" s="741" t="s">
        <v>388</v>
      </c>
      <c r="R61" s="374" t="str">
        <f>CHOOSE(Turns_Ratio,"20 : 1", "15 : 1", "10 : 1", "8 : 1", "6 : 1",  "5 : 1", "4 : 1", "3 : 1", "2.5 : 1", "2 : 1", "1.8 : 1", "1.5 : 1", "1.2 : 1", "1 : 1", "1 : 1.2", "1 : 1.5", "1 : 1.8", "1 : 2",  "1 : 2.5","1 : 3", "1 : 4", "1 : 5", "1 : 6", "1 : 8", "1 : 10", "1 : 15", "1 : 20", "1 : 30", "1 : 40", "1 : 50", "1 : 60", "1 : 80", "1 : 100")</f>
        <v>1 : 1</v>
      </c>
      <c r="S61" s="39">
        <v>14</v>
      </c>
      <c r="T61" s="7"/>
      <c r="U61" s="741" t="s">
        <v>570</v>
      </c>
      <c r="V61" s="596" t="str">
        <f>CHOOSE(Turns_Ratio2, "20 : 1", "15 : 1", "10 : 1", "8 : 1", "6 : 1",  "5 : 1", "4 : 1", "3 : 1", "2.5 : 1", "2 : 1", "1.8 : 1", "1.5 : 1", "1.2 : 1", "1 : 1", "1 : 1.2", "1 : 1.5", "1 : 1.8", "1 : 2",  "1 : 2.5","1 : 3", "1 : 4", "1 : 5", "1 : 6", "1 : 8", "1 : 10", "1 : 15", "1 : 20", "1 : 30", "1 : 40", "1 : 50", "1 : 60", "1 : 80", "1 : 100")</f>
        <v>2.5 : 1</v>
      </c>
      <c r="W61" s="25">
        <v>9</v>
      </c>
    </row>
    <row r="62" spans="1:23">
      <c r="A62" s="26" t="s">
        <v>18</v>
      </c>
      <c r="B62" s="731">
        <v>1</v>
      </c>
      <c r="C62" s="7" t="s">
        <v>0</v>
      </c>
      <c r="D62" s="732" t="s">
        <v>782</v>
      </c>
      <c r="F62" s="7"/>
      <c r="G62" s="7"/>
      <c r="H62" s="7"/>
      <c r="I62" s="25"/>
      <c r="P62" s="24"/>
      <c r="Q62" s="7"/>
      <c r="R62" s="7"/>
      <c r="S62" s="7"/>
      <c r="T62" s="7"/>
      <c r="U62" s="7"/>
      <c r="V62" s="7"/>
      <c r="W62" s="25"/>
    </row>
    <row r="63" spans="1:23">
      <c r="A63" s="110" t="s">
        <v>386</v>
      </c>
      <c r="B63" s="163">
        <f>'Design Converter'!E40*1000</f>
        <v>168000</v>
      </c>
      <c r="C63" s="113" t="s">
        <v>45</v>
      </c>
      <c r="D63" s="111" t="s">
        <v>567</v>
      </c>
      <c r="F63" s="7"/>
      <c r="G63" s="7"/>
      <c r="H63" s="7"/>
      <c r="I63" s="25"/>
      <c r="P63" s="24"/>
      <c r="Q63" s="77" t="s">
        <v>447</v>
      </c>
      <c r="R63" s="374" t="str">
        <f>CHOOSE(Turns_Ratio,"20", "15", "10", "8", "6", "5", "4 ", "3", "2.5", "2", "1.8", "1.5", "1.2", "1", "0.833",  "0.667", "0.556", "0.5", "0.4", "0.33", "0.25", "0.2", "0.167", "0.125", "0.1", "0.0667", "0.05", "0.0333", "0.025", "0.02", "0.0167", "0.0125", "0.01")</f>
        <v>1</v>
      </c>
      <c r="S63" s="7"/>
      <c r="T63" s="7"/>
      <c r="U63" s="7"/>
      <c r="V63" s="77" t="s">
        <v>574</v>
      </c>
      <c r="W63" s="742" t="str">
        <f>CHOOSE(Turns_Ratio,"1", "1", "1", "1", "1", "1", "1", "1", "1", "1", "1", "1", "1", "1", "1.2", "1.5", "1.8",  "2", "2.5", "3", "4", "5", "6", "8", "10", "15", "20", "30", "40", "50", "60", "80", "100")</f>
        <v>1</v>
      </c>
    </row>
    <row r="64" spans="1:23">
      <c r="A64" s="110"/>
      <c r="B64" s="371"/>
      <c r="C64" s="113"/>
      <c r="D64" s="60"/>
      <c r="F64" s="7"/>
      <c r="G64" s="7"/>
      <c r="H64" s="7"/>
      <c r="I64" s="25"/>
      <c r="K64" s="76" t="s">
        <v>390</v>
      </c>
      <c r="P64" s="24"/>
      <c r="Q64" s="77" t="s">
        <v>494</v>
      </c>
      <c r="R64" s="374" t="str">
        <f>CHOOSE(Turns_Ratio, "20", "15", "10", "8", "6", "5", "4 ", "3", "2.5", "2", "1.8", "1.5", "1.2", "1", "0.833",  "0.667", "0.556", "0.5", "0.4", "0.33", "0.25", "0.2", "0.167", "0.125", "0.1", "0.0667", "0.05", "0.0333", "0.025", "0.02", "0.0167", "0.0125", "0.01")</f>
        <v>1</v>
      </c>
      <c r="S64" s="7"/>
      <c r="T64" s="7"/>
      <c r="U64" s="7"/>
      <c r="V64" s="77" t="s">
        <v>573</v>
      </c>
      <c r="W64" s="743">
        <f>Nsec1sec2</f>
        <v>0.54140127388535031</v>
      </c>
    </row>
    <row r="65" spans="1:23" ht="15.5">
      <c r="A65" s="110" t="s">
        <v>387</v>
      </c>
      <c r="B65" s="518">
        <v>0.1</v>
      </c>
      <c r="C65" s="77" t="s">
        <v>45</v>
      </c>
      <c r="D65" s="111" t="s">
        <v>568</v>
      </c>
      <c r="F65" s="596" t="s">
        <v>569</v>
      </c>
      <c r="G65" s="7"/>
      <c r="H65" s="7"/>
      <c r="I65" s="25"/>
      <c r="P65" s="24"/>
      <c r="Q65" s="77" t="s">
        <v>573</v>
      </c>
      <c r="R65" s="744">
        <f>ABS((Vout2+Vfwd22)/(Vout+Vfwd2))</f>
        <v>0.54140127388535031</v>
      </c>
      <c r="S65" s="7"/>
      <c r="T65" s="7"/>
      <c r="U65" s="7"/>
      <c r="V65" s="39"/>
      <c r="W65" s="745">
        <f>W63*W64</f>
        <v>0.54140127388535031</v>
      </c>
    </row>
    <row r="66" spans="1:23" ht="13.5" thickBot="1">
      <c r="A66" s="28"/>
      <c r="B66" s="29"/>
      <c r="C66" s="80"/>
      <c r="D66" s="29"/>
      <c r="E66" s="29"/>
      <c r="F66" s="29"/>
      <c r="G66" s="29"/>
      <c r="H66" s="29"/>
      <c r="I66" s="30"/>
      <c r="K66" s="441" t="str">
        <f>"SCH_"&amp;B73&amp;"_"&amp;F78&amp;"_"&amp;I78&amp;"_"&amp;F72</f>
        <v>SCH_SINGLE_UVLOadj_SSint_TCno</v>
      </c>
      <c r="P66" s="24"/>
      <c r="Q66" s="386" t="s">
        <v>495</v>
      </c>
      <c r="R66" s="746">
        <f>Nps/Nsec1sec2</f>
        <v>1.8470588235294119</v>
      </c>
      <c r="S66" s="7"/>
      <c r="T66" s="7"/>
      <c r="U66" s="7"/>
      <c r="V66" s="377" t="s">
        <v>575</v>
      </c>
      <c r="W66" s="747" t="str">
        <f>CHOOSE(MODE, R61, R61&amp;" : "&amp;ROUND(W65,2))</f>
        <v>1 : 1</v>
      </c>
    </row>
    <row r="67" spans="1:23" ht="13.5" thickBot="1">
      <c r="A67" s="7"/>
      <c r="B67" s="7"/>
      <c r="C67" s="39"/>
      <c r="D67" s="7"/>
      <c r="E67" s="7"/>
      <c r="F67" s="7"/>
      <c r="G67" s="7"/>
      <c r="H67" s="7"/>
      <c r="I67" s="7"/>
      <c r="P67" s="748"/>
      <c r="Q67" s="180"/>
      <c r="R67" s="749">
        <f>ROUND(Nsec1sec2,1)</f>
        <v>0.5</v>
      </c>
      <c r="S67" s="180"/>
      <c r="T67" s="180"/>
      <c r="U67" s="180"/>
      <c r="V67" s="180"/>
      <c r="W67" s="750"/>
    </row>
    <row r="68" spans="1:23" ht="16" thickBot="1">
      <c r="A68" s="50" t="s">
        <v>557</v>
      </c>
      <c r="B68" s="7"/>
      <c r="C68" s="39"/>
      <c r="D68" s="7"/>
      <c r="E68" s="7"/>
      <c r="F68" s="7"/>
      <c r="G68" s="7"/>
      <c r="H68" s="7"/>
      <c r="I68" s="7"/>
    </row>
    <row r="69" spans="1:23" ht="15.5">
      <c r="A69" s="380"/>
      <c r="B69" s="381"/>
      <c r="C69" s="382"/>
      <c r="D69" s="381"/>
      <c r="E69" s="381"/>
      <c r="F69" s="381"/>
      <c r="G69" s="381"/>
      <c r="H69" s="381"/>
      <c r="I69" s="433"/>
      <c r="J69" s="433"/>
      <c r="K69" s="433"/>
      <c r="L69" s="433"/>
      <c r="M69" s="433"/>
      <c r="N69" s="433"/>
      <c r="O69" s="24"/>
    </row>
    <row r="70" spans="1:23">
      <c r="A70" s="377" t="s">
        <v>361</v>
      </c>
      <c r="B70" s="77" t="s">
        <v>362</v>
      </c>
      <c r="C70" s="434">
        <v>1</v>
      </c>
      <c r="D70" s="7"/>
      <c r="E70" s="377" t="s">
        <v>375</v>
      </c>
      <c r="F70" s="77" t="s">
        <v>364</v>
      </c>
      <c r="G70" s="160" t="b">
        <v>1</v>
      </c>
      <c r="I70" s="154" t="s">
        <v>300</v>
      </c>
      <c r="J70" s="160">
        <v>1</v>
      </c>
      <c r="K70" t="str">
        <f>B73&amp;", "&amp;F72&amp;", "&amp;I72&amp;", "&amp;F78&amp;", "&amp;I78</f>
        <v>SINGLE, TCno, IlimRes, UVLOadj, SSint</v>
      </c>
      <c r="O70" s="24"/>
    </row>
    <row r="71" spans="1:23">
      <c r="A71" s="376"/>
      <c r="B71" s="77" t="s">
        <v>363</v>
      </c>
      <c r="C71" s="434">
        <v>2</v>
      </c>
      <c r="D71" s="7"/>
      <c r="E71" s="37"/>
      <c r="F71" s="77" t="s">
        <v>365</v>
      </c>
      <c r="G71" s="160" t="b">
        <v>0</v>
      </c>
      <c r="I71" s="154" t="s">
        <v>301</v>
      </c>
      <c r="J71" s="160">
        <v>2</v>
      </c>
      <c r="K71" t="str">
        <f>C73&amp;", "&amp;G72&amp;", "&amp;J72&amp;", "&amp;G78&amp;", "&amp;J78</f>
        <v>1, 2, 2, 1, 2</v>
      </c>
      <c r="O71" s="24"/>
      <c r="Q71" s="395" t="s">
        <v>333</v>
      </c>
      <c r="R71" s="3" t="s">
        <v>328</v>
      </c>
      <c r="S71" s="368">
        <v>1</v>
      </c>
    </row>
    <row r="72" spans="1:23">
      <c r="B72" s="76" t="s">
        <v>506</v>
      </c>
      <c r="C72" s="576">
        <v>3</v>
      </c>
      <c r="D72" s="7"/>
      <c r="E72" s="440" t="s">
        <v>376</v>
      </c>
      <c r="F72" s="379" t="str">
        <f>CHOOSE(G72, "TCyes", "TCno")</f>
        <v>TCno</v>
      </c>
      <c r="G72" s="374">
        <v>2</v>
      </c>
      <c r="H72" s="440" t="s">
        <v>299</v>
      </c>
      <c r="I72" s="436" t="str">
        <f>CHOOSE(J72, "IlimGND", "IlimRes")</f>
        <v>IlimRes</v>
      </c>
      <c r="J72" s="374">
        <f>IF(C78=4, 1, 2)</f>
        <v>2</v>
      </c>
      <c r="K72" t="str">
        <f>C73&amp;G72&amp;J72&amp;G78&amp;J78</f>
        <v>12212</v>
      </c>
      <c r="O72" s="24"/>
      <c r="Q72" s="395" t="s">
        <v>335</v>
      </c>
      <c r="R72" s="3" t="s">
        <v>329</v>
      </c>
      <c r="S72" s="368">
        <v>2</v>
      </c>
    </row>
    <row r="73" spans="1:23">
      <c r="A73" s="437" t="s">
        <v>286</v>
      </c>
      <c r="B73" s="435" t="str">
        <f>CHOOSE(C73,"SINGLE", IF(Vout2_actual&gt;0, "DUAL", "BIPOLAR"))</f>
        <v>SINGLE</v>
      </c>
      <c r="C73" s="378">
        <v>1</v>
      </c>
      <c r="D73" s="7"/>
      <c r="E73" s="7"/>
      <c r="G73" s="78">
        <f>TC</f>
        <v>2</v>
      </c>
      <c r="I73" s="374"/>
      <c r="J73" s="7"/>
      <c r="O73" s="24"/>
      <c r="Q73" s="395" t="s">
        <v>336</v>
      </c>
      <c r="R73" s="3" t="s">
        <v>330</v>
      </c>
      <c r="S73" s="368">
        <v>3</v>
      </c>
    </row>
    <row r="74" spans="1:23">
      <c r="A74" s="376"/>
      <c r="B74" s="3" t="b">
        <f>CHOOSE(C73, TRUE, FALSE)</f>
        <v>1</v>
      </c>
      <c r="C74" s="78" t="str">
        <f>CHOOSE(C73,"1", IF(Vout2&gt;0, "2", "3"))</f>
        <v>1</v>
      </c>
      <c r="O74" s="24"/>
      <c r="Q74" s="395" t="s">
        <v>334</v>
      </c>
      <c r="R74" s="3" t="s">
        <v>331</v>
      </c>
      <c r="S74" s="368">
        <v>4</v>
      </c>
    </row>
    <row r="75" spans="1:23">
      <c r="O75" s="24"/>
      <c r="Q75" s="395" t="s">
        <v>338</v>
      </c>
      <c r="R75" s="3" t="s">
        <v>337</v>
      </c>
      <c r="S75" s="368">
        <v>5</v>
      </c>
    </row>
    <row r="76" spans="1:23">
      <c r="A76" s="383" t="s">
        <v>188</v>
      </c>
      <c r="B76" s="111" t="s">
        <v>364</v>
      </c>
      <c r="C76" s="434">
        <v>1</v>
      </c>
      <c r="D76" s="7"/>
      <c r="E76" s="157" t="s">
        <v>318</v>
      </c>
      <c r="F76" s="474" t="s">
        <v>534</v>
      </c>
      <c r="G76" s="160">
        <v>1</v>
      </c>
      <c r="H76" s="377" t="s">
        <v>296</v>
      </c>
      <c r="I76" s="77" t="s">
        <v>534</v>
      </c>
      <c r="J76" s="160">
        <v>1</v>
      </c>
      <c r="L76" s="154" t="s">
        <v>316</v>
      </c>
      <c r="M76" s="160">
        <v>1</v>
      </c>
      <c r="O76" s="24"/>
      <c r="Q76" s="439" t="s">
        <v>332</v>
      </c>
      <c r="R76" s="445" t="str">
        <f>CHOOSE(S76,"6.3V","10V","16V","25V","50V")</f>
        <v>25V</v>
      </c>
      <c r="S76" s="458">
        <f>IF(Vout&lt;=5, 1, IF(Vout&lt;=8, 2, IF(Vout&lt;=12, 3, IF(Vout&lt;=20, 4, 5))))</f>
        <v>4</v>
      </c>
    </row>
    <row r="77" spans="1:23">
      <c r="A77" s="384"/>
      <c r="B77" s="111" t="s">
        <v>365</v>
      </c>
      <c r="C77" s="434">
        <v>2</v>
      </c>
      <c r="D77" s="7"/>
      <c r="F77" s="474" t="s">
        <v>535</v>
      </c>
      <c r="G77" s="160">
        <v>2</v>
      </c>
      <c r="H77" s="37"/>
      <c r="I77" s="77" t="s">
        <v>649</v>
      </c>
      <c r="J77" s="160">
        <v>2</v>
      </c>
      <c r="L77" s="154" t="s">
        <v>317</v>
      </c>
      <c r="M77" s="160">
        <v>2</v>
      </c>
      <c r="O77" s="24"/>
      <c r="T77" s="3" t="s">
        <v>116</v>
      </c>
      <c r="U77" s="3" t="s">
        <v>634</v>
      </c>
    </row>
    <row r="78" spans="1:23">
      <c r="A78" s="438" t="s">
        <v>287</v>
      </c>
      <c r="B78" s="435" t="str">
        <f>CHOOSE(C78, "YES", "NO")</f>
        <v>YES</v>
      </c>
      <c r="C78" s="378">
        <v>1</v>
      </c>
      <c r="D78" s="7"/>
      <c r="E78" s="439" t="s">
        <v>304</v>
      </c>
      <c r="F78" s="436" t="str">
        <f>CHOOSE(G78, "UVLOadj", "UVLOint")</f>
        <v>UVLOadj</v>
      </c>
      <c r="G78" s="374">
        <v>1</v>
      </c>
      <c r="H78" s="440" t="s">
        <v>288</v>
      </c>
      <c r="I78" s="379" t="str">
        <f>CHOOSE(J78, "SSadj", "SSint")</f>
        <v>SSint</v>
      </c>
      <c r="J78" s="374">
        <v>2</v>
      </c>
      <c r="L78" s="375" t="s">
        <v>297</v>
      </c>
      <c r="M78" s="374">
        <v>1</v>
      </c>
      <c r="O78" s="24"/>
      <c r="R78" s="3" t="s">
        <v>633</v>
      </c>
      <c r="S78" s="3"/>
      <c r="T78" s="76" t="s">
        <v>347</v>
      </c>
      <c r="U78" s="460">
        <v>0.5</v>
      </c>
    </row>
    <row r="79" spans="1:23" ht="13.5" thickBot="1">
      <c r="A79" s="28"/>
      <c r="B79" s="29"/>
      <c r="C79" s="159"/>
      <c r="D79" s="29"/>
      <c r="E79" s="29"/>
      <c r="F79" s="29"/>
      <c r="G79" s="29"/>
      <c r="H79" s="29"/>
      <c r="I79" s="29"/>
      <c r="J79" s="29"/>
      <c r="K79" s="29"/>
      <c r="L79" s="29"/>
      <c r="M79" s="29"/>
      <c r="N79" s="29"/>
      <c r="O79" s="24"/>
      <c r="R79" s="457" t="s">
        <v>341</v>
      </c>
      <c r="S79" s="368">
        <v>1</v>
      </c>
      <c r="T79" s="76" t="s">
        <v>351</v>
      </c>
      <c r="U79" s="460">
        <v>1.3</v>
      </c>
    </row>
    <row r="80" spans="1:23">
      <c r="A80" s="7"/>
      <c r="B80" s="7" t="b">
        <f>(CONFIG="2")</f>
        <v>0</v>
      </c>
      <c r="C80" s="39" t="str">
        <f>CONFIG</f>
        <v>1</v>
      </c>
      <c r="D80" s="7"/>
      <c r="E80" s="7"/>
      <c r="F80" s="7"/>
      <c r="G80" s="7"/>
      <c r="H80" s="7"/>
      <c r="I80" s="7"/>
      <c r="R80" s="457" t="s">
        <v>119</v>
      </c>
      <c r="S80" s="368">
        <v>2</v>
      </c>
      <c r="T80" s="76" t="s">
        <v>352</v>
      </c>
      <c r="U80" s="460">
        <v>2.5</v>
      </c>
    </row>
    <row r="81" spans="1:26" ht="16" thickBot="1">
      <c r="A81" s="50" t="s">
        <v>558</v>
      </c>
      <c r="B81" s="39"/>
      <c r="C81" s="39"/>
      <c r="E81" s="7"/>
      <c r="F81" s="7"/>
      <c r="G81" s="7"/>
      <c r="H81" s="7"/>
      <c r="I81" s="7"/>
      <c r="R81" s="457" t="s">
        <v>342</v>
      </c>
      <c r="S81" s="368">
        <v>3</v>
      </c>
      <c r="T81" s="76" t="s">
        <v>350</v>
      </c>
      <c r="U81" s="460">
        <v>5.0999999999999996</v>
      </c>
    </row>
    <row r="82" spans="1:26">
      <c r="A82" s="109"/>
      <c r="B82" s="594"/>
      <c r="C82" s="595"/>
      <c r="D82" s="152"/>
      <c r="E82" s="79"/>
      <c r="F82" s="31"/>
      <c r="G82" s="31"/>
      <c r="H82" s="31"/>
      <c r="I82" s="32">
        <v>1</v>
      </c>
      <c r="K82" s="76"/>
      <c r="R82" s="457" t="s">
        <v>343</v>
      </c>
      <c r="S82" s="368">
        <v>4</v>
      </c>
      <c r="T82" s="76" t="s">
        <v>353</v>
      </c>
      <c r="U82" s="460">
        <v>8</v>
      </c>
    </row>
    <row r="83" spans="1:26">
      <c r="A83" s="110" t="s">
        <v>150</v>
      </c>
      <c r="B83" s="161">
        <f>Nps*(Vout+Vfwd2)/(VIN_min+Nps*(Vout+Vfwd2))*0+IF(H83="BAD",'Calculations - Single'!CQ210,CHOOSE(MODE,'Calculations - Single'!M210,'Calculations - Dual'!N210))</f>
        <v>0.46841706518445247</v>
      </c>
      <c r="C83" s="7"/>
      <c r="D83" t="b">
        <f>B83&gt;0.75</f>
        <v>0</v>
      </c>
      <c r="E83" s="77"/>
      <c r="F83" s="7"/>
      <c r="G83" s="7">
        <f>Vfwd2</f>
        <v>0.7</v>
      </c>
      <c r="H83" s="7">
        <f>'Calculations - Single'!DT210</f>
        <v>10000</v>
      </c>
      <c r="I83" s="25">
        <v>1</v>
      </c>
      <c r="R83" s="457" t="s">
        <v>344</v>
      </c>
      <c r="S83" s="368">
        <v>5</v>
      </c>
      <c r="T83" s="445" t="str">
        <f>CHOOSE(S85,T78,T79, T80,T81,T82)</f>
        <v>3.2 x 2.5</v>
      </c>
      <c r="U83" s="460">
        <v>8</v>
      </c>
    </row>
    <row r="84" spans="1:26">
      <c r="A84" s="110"/>
      <c r="B84" s="161"/>
      <c r="C84" s="7"/>
      <c r="E84" s="77"/>
      <c r="F84" s="7"/>
      <c r="G84" s="7"/>
      <c r="H84" s="7"/>
      <c r="I84" s="848"/>
      <c r="R84" s="457" t="s">
        <v>943</v>
      </c>
      <c r="S84" s="368">
        <v>6</v>
      </c>
      <c r="T84" s="445" t="s">
        <v>944</v>
      </c>
      <c r="U84" s="460">
        <v>25.1</v>
      </c>
    </row>
    <row r="85" spans="1:26">
      <c r="A85" s="110" t="s">
        <v>157</v>
      </c>
      <c r="B85" s="161">
        <f>Nps*(Vout+Vfwd1)/(VIN_nom+Nps*(Vout+Vfwd1))</f>
        <v>0.2098092643051771</v>
      </c>
      <c r="C85" s="7"/>
      <c r="F85" s="7"/>
      <c r="G85" s="7"/>
      <c r="H85" s="7"/>
      <c r="I85" s="25"/>
      <c r="Q85" s="439" t="s">
        <v>345</v>
      </c>
      <c r="R85" s="445" t="str">
        <f>CHOOSE(S85,"0402","0603","0805","1206","1210")</f>
        <v>1210</v>
      </c>
      <c r="S85" s="458">
        <v>5</v>
      </c>
    </row>
    <row r="86" spans="1:26">
      <c r="A86" s="110" t="s">
        <v>151</v>
      </c>
      <c r="B86" s="161">
        <f>Nps*(Vout+Vfwd1)/(VIN_max+Nps*(Vout+Vfwd1))*0+CHOOSE(MODE, 'Calculations - Single'!M316, 'Calculations - Dual'!N316)</f>
        <v>0.15728854398932673</v>
      </c>
      <c r="C86" s="7"/>
      <c r="E86" s="77"/>
      <c r="F86" s="7"/>
      <c r="G86" s="7"/>
      <c r="H86" s="7"/>
      <c r="I86" s="25"/>
    </row>
    <row r="87" spans="1:26">
      <c r="A87" s="76"/>
      <c r="B87" s="7"/>
      <c r="C87" s="7"/>
      <c r="D87" s="7"/>
      <c r="E87" s="77"/>
      <c r="F87" s="7"/>
      <c r="G87" s="7"/>
      <c r="H87" s="7"/>
      <c r="I87" s="25"/>
      <c r="T87" s="3" t="s">
        <v>116</v>
      </c>
      <c r="U87" s="3" t="s">
        <v>634</v>
      </c>
      <c r="W87" s="3" t="s">
        <v>633</v>
      </c>
      <c r="X87" s="3"/>
      <c r="Y87" s="3" t="s">
        <v>116</v>
      </c>
      <c r="Z87" s="3" t="s">
        <v>634</v>
      </c>
    </row>
    <row r="88" spans="1:26">
      <c r="A88" s="110" t="s">
        <v>832</v>
      </c>
      <c r="B88" s="784">
        <f>MIN(0.667*VIN_nom/Vout, 1.857*VIN_min/Vout*1+0*3.33*VIN_min/Vout)</f>
        <v>2.3522000000000003</v>
      </c>
      <c r="C88" s="77"/>
      <c r="D88" s="77" t="s">
        <v>834</v>
      </c>
      <c r="F88" s="7"/>
      <c r="G88" s="7"/>
      <c r="H88" s="7"/>
      <c r="I88" s="25"/>
      <c r="R88" s="3" t="s">
        <v>633</v>
      </c>
      <c r="S88" s="3"/>
      <c r="T88" s="474" t="s">
        <v>621</v>
      </c>
      <c r="U88" s="460">
        <v>36</v>
      </c>
      <c r="W88" s="76" t="s">
        <v>639</v>
      </c>
      <c r="X88" s="368">
        <v>1</v>
      </c>
      <c r="Y88" s="76" t="s">
        <v>351</v>
      </c>
      <c r="Z88">
        <v>1.3</v>
      </c>
    </row>
    <row r="89" spans="1:26">
      <c r="A89" s="110"/>
      <c r="B89" s="629"/>
      <c r="C89" s="7"/>
      <c r="D89" s="77"/>
      <c r="F89" s="7"/>
      <c r="G89" s="7"/>
      <c r="H89" s="7"/>
      <c r="I89" s="25"/>
      <c r="R89" s="76" t="s">
        <v>348</v>
      </c>
      <c r="S89" s="368">
        <v>1</v>
      </c>
      <c r="T89" s="474" t="s">
        <v>620</v>
      </c>
      <c r="U89" s="460">
        <v>49</v>
      </c>
      <c r="W89" s="76" t="s">
        <v>630</v>
      </c>
      <c r="X89" s="368">
        <v>2</v>
      </c>
      <c r="Y89" s="76" t="s">
        <v>638</v>
      </c>
      <c r="Z89">
        <v>3.2</v>
      </c>
    </row>
    <row r="90" spans="1:26">
      <c r="A90" s="110"/>
      <c r="B90" s="629"/>
      <c r="C90" s="77"/>
      <c r="D90" s="77"/>
      <c r="F90" s="7"/>
      <c r="G90" s="7"/>
      <c r="H90" s="7"/>
      <c r="I90" s="25"/>
      <c r="R90" s="76" t="s">
        <v>349</v>
      </c>
      <c r="S90" s="368">
        <v>2</v>
      </c>
      <c r="T90" s="474" t="s">
        <v>619</v>
      </c>
      <c r="U90" s="460">
        <v>64</v>
      </c>
      <c r="W90" s="76" t="s">
        <v>631</v>
      </c>
      <c r="X90" s="368">
        <v>3</v>
      </c>
      <c r="Y90" s="76" t="s">
        <v>637</v>
      </c>
      <c r="Z90">
        <v>6.5</v>
      </c>
    </row>
    <row r="91" spans="1:26" ht="12.5">
      <c r="A91" s="76"/>
      <c r="B91" s="11"/>
      <c r="C91"/>
      <c r="I91" s="25">
        <v>1</v>
      </c>
      <c r="R91" s="76" t="s">
        <v>611</v>
      </c>
      <c r="S91" s="368">
        <v>3</v>
      </c>
      <c r="T91" s="474" t="s">
        <v>618</v>
      </c>
      <c r="U91" s="460">
        <v>81</v>
      </c>
      <c r="W91" s="76" t="s">
        <v>632</v>
      </c>
      <c r="X91" s="368">
        <v>4</v>
      </c>
      <c r="Y91" s="76" t="s">
        <v>636</v>
      </c>
      <c r="Z91">
        <v>12.5</v>
      </c>
    </row>
    <row r="92" spans="1:26">
      <c r="A92" s="111" t="s">
        <v>850</v>
      </c>
      <c r="B92" s="630">
        <f>VIN_max+Nps*(Vout+Vfwd2)*1.5</f>
        <v>108.55</v>
      </c>
      <c r="C92" s="77"/>
      <c r="D92" s="77"/>
      <c r="E92" s="77"/>
      <c r="F92" s="7"/>
      <c r="G92" s="7"/>
      <c r="H92" s="7"/>
      <c r="I92" s="25"/>
      <c r="R92" s="76" t="s">
        <v>612</v>
      </c>
      <c r="S92" s="368">
        <v>4</v>
      </c>
      <c r="T92" s="474" t="s">
        <v>617</v>
      </c>
      <c r="U92" s="460">
        <v>100</v>
      </c>
      <c r="W92" s="439" t="s">
        <v>635</v>
      </c>
    </row>
    <row r="93" spans="1:26">
      <c r="A93" s="111"/>
      <c r="B93" s="630"/>
      <c r="C93" s="7"/>
      <c r="D93" s="77">
        <f>Isw_min</f>
        <v>10</v>
      </c>
      <c r="E93" s="77"/>
      <c r="F93" s="7"/>
      <c r="G93" s="7"/>
      <c r="H93" s="7"/>
      <c r="I93" s="25"/>
      <c r="R93" s="76" t="s">
        <v>613</v>
      </c>
      <c r="S93" s="368">
        <v>5</v>
      </c>
      <c r="T93" s="474" t="s">
        <v>616</v>
      </c>
      <c r="U93" s="460">
        <v>120</v>
      </c>
    </row>
    <row r="94" spans="1:26">
      <c r="A94" s="111"/>
      <c r="B94" s="630"/>
      <c r="C94" s="77"/>
      <c r="D94" s="77"/>
      <c r="E94" s="77"/>
      <c r="F94" s="7"/>
      <c r="G94" s="7"/>
      <c r="H94" s="7"/>
      <c r="I94" s="25"/>
      <c r="R94" s="76" t="s">
        <v>614</v>
      </c>
      <c r="S94" s="368">
        <v>6</v>
      </c>
      <c r="T94" s="474" t="s">
        <v>622</v>
      </c>
      <c r="U94" s="460">
        <v>143</v>
      </c>
    </row>
    <row r="95" spans="1:26" ht="15.5">
      <c r="A95" s="76"/>
      <c r="B95" s="7"/>
      <c r="C95" s="77"/>
      <c r="D95" s="7"/>
      <c r="E95" s="77"/>
      <c r="F95" s="7"/>
      <c r="G95" s="7"/>
      <c r="H95" s="7"/>
      <c r="I95" s="25"/>
      <c r="K95" s="76" t="s">
        <v>320</v>
      </c>
      <c r="R95" s="76" t="s">
        <v>615</v>
      </c>
      <c r="S95" s="368">
        <v>7</v>
      </c>
      <c r="T95" s="474" t="s">
        <v>955</v>
      </c>
      <c r="U95">
        <f>11*14</f>
        <v>154</v>
      </c>
    </row>
    <row r="96" spans="1:26">
      <c r="A96" s="110" t="s">
        <v>680</v>
      </c>
      <c r="B96" s="41">
        <f>'Design Converter'!L7/1000000</f>
        <v>1.2E-5</v>
      </c>
      <c r="C96" s="7" t="s">
        <v>11</v>
      </c>
      <c r="D96" s="77" t="s">
        <v>452</v>
      </c>
      <c r="F96" s="7"/>
      <c r="G96" s="7"/>
      <c r="H96" s="7"/>
      <c r="I96" s="25"/>
      <c r="Q96" s="439" t="s">
        <v>453</v>
      </c>
      <c r="R96" s="76" t="s">
        <v>954</v>
      </c>
      <c r="S96" s="368">
        <v>8</v>
      </c>
      <c r="T96" s="474" t="s">
        <v>956</v>
      </c>
      <c r="U96">
        <f>23*17</f>
        <v>391</v>
      </c>
    </row>
    <row r="97" spans="1:17" ht="12.5">
      <c r="A97" s="110" t="s">
        <v>661</v>
      </c>
      <c r="B97" s="132">
        <f>'Design Converter'!L11</f>
        <v>2</v>
      </c>
      <c r="C97" s="7" t="s">
        <v>662</v>
      </c>
      <c r="D97" s="77"/>
      <c r="F97" s="7"/>
      <c r="G97" s="7"/>
      <c r="H97" s="7"/>
      <c r="I97" s="25"/>
    </row>
    <row r="98" spans="1:17" ht="12.5">
      <c r="A98" s="110" t="s">
        <v>826</v>
      </c>
      <c r="B98" s="41">
        <f>Lmag/(Nps)^2</f>
        <v>1.2E-5</v>
      </c>
      <c r="C98" s="7" t="s">
        <v>11</v>
      </c>
      <c r="D98" s="77"/>
      <c r="F98" s="7"/>
      <c r="G98" s="7"/>
      <c r="H98" s="7"/>
      <c r="I98" s="25"/>
    </row>
    <row r="99" spans="1:17" ht="12.5">
      <c r="A99" s="110" t="s">
        <v>827</v>
      </c>
      <c r="B99" s="41">
        <f>Lmag/(Nps/Nsec1sec2)^2</f>
        <v>3.5173840723761612E-6</v>
      </c>
      <c r="C99" s="12" t="s">
        <v>11</v>
      </c>
      <c r="D99" s="77"/>
      <c r="F99" s="7"/>
      <c r="G99" s="7"/>
      <c r="H99" s="7"/>
      <c r="I99" s="25"/>
    </row>
    <row r="100" spans="1:17" ht="12.5">
      <c r="A100" s="110"/>
      <c r="B100" s="132"/>
      <c r="C100" s="7"/>
      <c r="D100" s="77"/>
      <c r="F100" s="7"/>
      <c r="G100" s="7"/>
      <c r="H100" s="7"/>
      <c r="I100" s="25"/>
    </row>
    <row r="101" spans="1:17" ht="12.5">
      <c r="A101" s="110" t="s">
        <v>385</v>
      </c>
      <c r="B101" s="10">
        <f>'Design Converter'!L8/1000</f>
        <v>0.03</v>
      </c>
      <c r="C101" s="113" t="s">
        <v>45</v>
      </c>
      <c r="D101" s="77" t="s">
        <v>450</v>
      </c>
      <c r="F101" s="7"/>
      <c r="G101" s="7"/>
      <c r="H101" s="7"/>
      <c r="I101" s="25"/>
    </row>
    <row r="102" spans="1:17" thickBot="1">
      <c r="A102" s="110" t="s">
        <v>448</v>
      </c>
      <c r="B102" s="10">
        <f>'Design Converter'!L9/1000</f>
        <v>0.03</v>
      </c>
      <c r="C102" s="113" t="s">
        <v>45</v>
      </c>
      <c r="D102" s="77" t="s">
        <v>451</v>
      </c>
      <c r="F102" s="7"/>
      <c r="G102" s="7"/>
      <c r="H102" s="7"/>
      <c r="I102" s="25">
        <v>2</v>
      </c>
    </row>
    <row r="103" spans="1:17" ht="12.5">
      <c r="A103" s="110" t="s">
        <v>449</v>
      </c>
      <c r="B103" s="10">
        <f>'Design Converter'!L10/1000</f>
        <v>5.0000000000000001E-3</v>
      </c>
      <c r="C103" s="113" t="s">
        <v>45</v>
      </c>
      <c r="D103" s="77" t="s">
        <v>540</v>
      </c>
      <c r="E103" s="77"/>
      <c r="F103" s="7"/>
      <c r="G103" s="7"/>
      <c r="H103" s="7"/>
      <c r="I103" s="25">
        <v>1</v>
      </c>
      <c r="K103" s="847" t="s">
        <v>880</v>
      </c>
      <c r="L103" s="738"/>
    </row>
    <row r="104" spans="1:17" ht="12.5">
      <c r="A104" s="110"/>
      <c r="B104" s="7"/>
      <c r="C104" s="7"/>
      <c r="D104" s="7"/>
      <c r="E104" s="7"/>
      <c r="F104" s="7"/>
      <c r="G104" s="7"/>
      <c r="H104" s="7"/>
      <c r="I104" s="25"/>
      <c r="K104" s="110" t="s">
        <v>644</v>
      </c>
      <c r="L104" s="848">
        <f>Vfwd1</f>
        <v>0.4</v>
      </c>
      <c r="Q104">
        <f>ktr_rcmd</f>
        <v>2.3522000000000003</v>
      </c>
    </row>
    <row r="105" spans="1:17" ht="15.75" customHeight="1">
      <c r="A105" s="77" t="s">
        <v>539</v>
      </c>
      <c r="B105" s="191">
        <v>100</v>
      </c>
      <c r="C105" s="111" t="s">
        <v>102</v>
      </c>
      <c r="D105" s="77"/>
      <c r="E105" s="7"/>
      <c r="F105" s="7"/>
      <c r="H105" s="7"/>
      <c r="I105" s="25"/>
      <c r="K105" s="110" t="s">
        <v>645</v>
      </c>
      <c r="L105" s="848">
        <f>Vfwd2</f>
        <v>0.7</v>
      </c>
      <c r="M105" s="76"/>
      <c r="Q105" t="str">
        <f>Nps</f>
        <v>1</v>
      </c>
    </row>
    <row r="106" spans="1:17" ht="13.5" thickBot="1">
      <c r="A106" s="110" t="s">
        <v>536</v>
      </c>
      <c r="B106" s="183">
        <f>Rdcr_pri*(1+0.0039*(B105-25))</f>
        <v>3.8774999999999997E-2</v>
      </c>
      <c r="C106" s="113" t="s">
        <v>45</v>
      </c>
      <c r="D106" s="7"/>
      <c r="H106" s="7"/>
      <c r="I106" s="25"/>
      <c r="K106" s="849" t="s">
        <v>881</v>
      </c>
      <c r="L106" s="750">
        <f>'Design Converter'!S31</f>
        <v>0.5</v>
      </c>
      <c r="M106" s="76"/>
    </row>
    <row r="107" spans="1:17">
      <c r="A107" s="110" t="s">
        <v>537</v>
      </c>
      <c r="B107" s="183">
        <f>Rdcr_sec*(1+0.0039*(B105-25))</f>
        <v>3.8774999999999997E-2</v>
      </c>
      <c r="C107" s="113" t="s">
        <v>45</v>
      </c>
      <c r="D107" s="7"/>
      <c r="H107" s="7"/>
      <c r="I107" s="25"/>
    </row>
    <row r="108" spans="1:17">
      <c r="A108" s="110" t="s">
        <v>538</v>
      </c>
      <c r="B108" s="183">
        <f>Rdcr_sec2*(1+0.0039*(B105-25))</f>
        <v>6.4625000000000004E-3</v>
      </c>
      <c r="C108" s="113" t="s">
        <v>45</v>
      </c>
      <c r="D108" s="7"/>
      <c r="H108" s="7"/>
      <c r="I108" s="25"/>
    </row>
    <row r="109" spans="1:17">
      <c r="A109" s="912" t="s">
        <v>957</v>
      </c>
      <c r="B109" s="911">
        <v>3.9999999999999998E-7</v>
      </c>
      <c r="C109" s="3" t="s">
        <v>51</v>
      </c>
      <c r="I109" s="25"/>
      <c r="K109" t="s">
        <v>883</v>
      </c>
    </row>
    <row r="110" spans="1:17">
      <c r="A110" s="441" t="s">
        <v>660</v>
      </c>
      <c r="B110" s="623">
        <f>(Vout+Vfwd1)*Nps*0.00000045/Isw_min*1000000*0+0.32*VIN_nom^2/Pin*0+MAX(2*(Vout+Vfwd2)^2*VIN_nom^2/(Pin*(Vout+Vfwd2+VIN_nom/ktr_rcmd)^2),B111)</f>
        <v>6.787967698362424</v>
      </c>
      <c r="C110" s="3" t="s">
        <v>833</v>
      </c>
      <c r="I110" s="25"/>
      <c r="K110" t="s">
        <v>884</v>
      </c>
      <c r="L110">
        <f>MAX('Calculations - Single'!BM316,'Calculations - Single'!BM210,'Calculations - Single'!BM105)</f>
        <v>3.3551482120660272</v>
      </c>
    </row>
    <row r="111" spans="1:17">
      <c r="A111" s="913" t="s">
        <v>846</v>
      </c>
      <c r="B111" s="623">
        <f>(Vout+Vfwd1)*Nps*toff_max/(0.02/RCS/1000)</f>
        <v>0.61599999999999988</v>
      </c>
      <c r="C111" s="3" t="s">
        <v>833</v>
      </c>
      <c r="I111" s="25"/>
      <c r="K111" t="s">
        <v>885</v>
      </c>
      <c r="L111">
        <f>MAX('Calculations - Dual'!BK316,'Calculations - Dual'!BK210,'Calculations - Dual'!BK105)</f>
        <v>110.64068906387303</v>
      </c>
    </row>
    <row r="112" spans="1:17">
      <c r="A112" t="s">
        <v>837</v>
      </c>
      <c r="B112" s="623">
        <f>MIN(350000,('Calculations - Single'!CQ210*VIN_min)^2/(2*Pin*Lmag))</f>
        <v>20096.908614265973</v>
      </c>
      <c r="C112" s="3" t="s">
        <v>8</v>
      </c>
      <c r="D112" s="76" t="s">
        <v>845</v>
      </c>
      <c r="I112" s="25"/>
      <c r="K112" t="s">
        <v>886</v>
      </c>
      <c r="L112">
        <f>CHOOSE(MODE,L110,L111)</f>
        <v>3.3551482120660272</v>
      </c>
    </row>
    <row r="113" spans="1:12">
      <c r="A113" t="s">
        <v>838</v>
      </c>
      <c r="B113" s="623">
        <f>VIN_min/Lmag*'Calculations - Single'!CQ210/B112*1.2</f>
        <v>42.323991797675994</v>
      </c>
      <c r="C113" s="3" t="s">
        <v>1</v>
      </c>
      <c r="I113" s="25"/>
    </row>
    <row r="114" spans="1:12">
      <c r="A114" t="s">
        <v>839</v>
      </c>
      <c r="B114" s="183">
        <f>0.1/B113</f>
        <v>2.3627260981912155E-3</v>
      </c>
      <c r="C114" s="113" t="s">
        <v>45</v>
      </c>
      <c r="D114" t="s">
        <v>841</v>
      </c>
      <c r="I114" s="25"/>
    </row>
    <row r="115" spans="1:12">
      <c r="A115" t="s">
        <v>840</v>
      </c>
      <c r="B115" s="183">
        <f>0.02*Lmag/((Vout+Vfwd1)*0.00000045*Nps)</f>
        <v>3.4632034632034639E-2</v>
      </c>
      <c r="C115" s="113"/>
      <c r="D115" t="s">
        <v>842</v>
      </c>
      <c r="I115" s="25"/>
    </row>
    <row r="116" spans="1:12">
      <c r="B116" s="183"/>
      <c r="C116" s="113"/>
      <c r="I116" s="25"/>
    </row>
    <row r="117" spans="1:12" ht="13.5" thickBot="1">
      <c r="A117" s="165" t="s">
        <v>773</v>
      </c>
      <c r="B117" s="166">
        <f>Iout*((Vout+Parameters!B49)/VIN_min+1/'Variable Mgmt'!B24)*0+CHOOSE(MODE, 'Calculations - Single'!U210,'Calculations - Dual'!T210)*1.1</f>
        <v>41.385828173046455</v>
      </c>
      <c r="C117" s="29" t="s">
        <v>1</v>
      </c>
      <c r="D117" s="29"/>
      <c r="E117" s="29"/>
      <c r="F117" s="29"/>
      <c r="G117" s="29"/>
      <c r="H117" s="29"/>
      <c r="I117" s="30"/>
    </row>
    <row r="118" spans="1:12">
      <c r="A118" s="39" t="s">
        <v>774</v>
      </c>
      <c r="B118" s="727">
        <f>MIN(B114,B115)</f>
        <v>2.3627260981912155E-3</v>
      </c>
      <c r="C118" s="113" t="s">
        <v>45</v>
      </c>
      <c r="D118" s="7"/>
      <c r="E118" s="7"/>
      <c r="F118" s="7"/>
      <c r="G118" s="7"/>
      <c r="H118" s="7"/>
      <c r="I118" s="7"/>
    </row>
    <row r="120" spans="1:12" ht="16" thickBot="1">
      <c r="A120" s="50" t="s">
        <v>559</v>
      </c>
      <c r="B120" s="7"/>
      <c r="D120" s="39"/>
      <c r="E120" s="7"/>
      <c r="F120" s="7"/>
      <c r="G120" s="7"/>
      <c r="H120" s="7"/>
      <c r="I120" s="7"/>
    </row>
    <row r="121" spans="1:12" ht="12.5">
      <c r="A121" s="109" t="s">
        <v>164</v>
      </c>
      <c r="B121" s="419"/>
      <c r="C121" s="164" t="s">
        <v>1</v>
      </c>
      <c r="D121" s="79" t="s">
        <v>163</v>
      </c>
      <c r="E121" s="31"/>
      <c r="F121" s="31"/>
      <c r="G121" s="31"/>
      <c r="H121" s="31"/>
      <c r="I121" s="32"/>
      <c r="L121" s="5"/>
    </row>
    <row r="122" spans="1:12" ht="12.5">
      <c r="A122" s="110" t="s">
        <v>165</v>
      </c>
      <c r="B122" s="420"/>
      <c r="C122" s="111" t="s">
        <v>1</v>
      </c>
      <c r="D122" s="7"/>
      <c r="E122" s="77"/>
      <c r="F122" s="7"/>
      <c r="G122" s="7"/>
      <c r="H122" s="7"/>
      <c r="I122" s="25"/>
      <c r="L122" s="5"/>
    </row>
    <row r="123" spans="1:12" ht="12.5">
      <c r="A123" s="110" t="s">
        <v>166</v>
      </c>
      <c r="B123" s="420"/>
      <c r="C123" s="111" t="s">
        <v>1</v>
      </c>
      <c r="D123" s="7"/>
      <c r="E123" s="77"/>
      <c r="F123" s="7"/>
      <c r="G123" s="7"/>
      <c r="H123" s="7"/>
      <c r="I123" s="25"/>
      <c r="L123" s="5"/>
    </row>
    <row r="124" spans="1:12" ht="12.5">
      <c r="A124" s="110"/>
      <c r="B124" s="167"/>
      <c r="C124" s="111"/>
      <c r="D124" s="7"/>
      <c r="E124" s="77"/>
      <c r="F124" s="7"/>
      <c r="G124" s="7"/>
      <c r="H124" s="7"/>
      <c r="I124" s="25"/>
      <c r="L124" s="5"/>
    </row>
    <row r="125" spans="1:12" ht="12.5">
      <c r="A125" s="110" t="s">
        <v>174</v>
      </c>
      <c r="B125" s="549">
        <f>Vout_ripple</f>
        <v>150</v>
      </c>
      <c r="C125" s="111" t="s">
        <v>149</v>
      </c>
      <c r="D125" s="77" t="s">
        <v>594</v>
      </c>
      <c r="F125" s="7"/>
      <c r="G125" s="7"/>
      <c r="H125" s="7"/>
      <c r="I125" s="25"/>
      <c r="L125" s="5"/>
    </row>
    <row r="126" spans="1:12">
      <c r="A126" s="499" t="s">
        <v>12</v>
      </c>
      <c r="B126" s="192">
        <f>MAX(4.7, CHOOSE(MODE, 'Calculations - Single'!EE212, 'Calculations - Dual'!AW105))</f>
        <v>1485.0523437781055</v>
      </c>
      <c r="C126" s="201" t="s">
        <v>97</v>
      </c>
      <c r="D126" s="77" t="s">
        <v>593</v>
      </c>
      <c r="E126" s="77"/>
      <c r="F126" s="7"/>
      <c r="G126" s="7"/>
      <c r="H126" s="7"/>
      <c r="I126" s="25"/>
    </row>
    <row r="127" spans="1:12" ht="12.5">
      <c r="A127" s="110" t="s">
        <v>14</v>
      </c>
      <c r="B127" s="591">
        <f>'Design Converter'!E34</f>
        <v>110</v>
      </c>
      <c r="C127" s="201" t="s">
        <v>97</v>
      </c>
      <c r="D127" s="77" t="s">
        <v>167</v>
      </c>
      <c r="F127" s="7"/>
      <c r="G127" s="7"/>
      <c r="H127" s="7"/>
      <c r="I127" s="25"/>
    </row>
    <row r="128" spans="1:12" ht="12.5">
      <c r="A128" s="200" t="s">
        <v>181</v>
      </c>
      <c r="B128" s="550">
        <f>(Vripple1_spec-Iout*B130/Cout*1000)/Iout</f>
        <v>-33.495531781868252</v>
      </c>
      <c r="C128" s="113" t="s">
        <v>258</v>
      </c>
      <c r="D128" s="77" t="s">
        <v>107</v>
      </c>
      <c r="F128" s="7"/>
      <c r="G128" s="7"/>
      <c r="H128" s="7"/>
      <c r="I128" s="25"/>
    </row>
    <row r="129" spans="1:9" ht="12.5">
      <c r="A129" s="110" t="s">
        <v>54</v>
      </c>
      <c r="B129" s="193">
        <f>'Design Converter'!E35</f>
        <v>2</v>
      </c>
      <c r="C129" s="113" t="s">
        <v>258</v>
      </c>
      <c r="D129" s="77" t="s">
        <v>108</v>
      </c>
      <c r="F129" s="7"/>
      <c r="G129" s="7"/>
      <c r="H129" s="7"/>
      <c r="I129" s="25"/>
    </row>
    <row r="130" spans="1:9" ht="12.5">
      <c r="A130" s="110" t="s">
        <v>438</v>
      </c>
      <c r="B130" s="192">
        <f>CHOOSE(MODE, 'Calculations - Single'!AT105, 'Calculations - Dual'!AR105)</f>
        <v>5.3345084960055082</v>
      </c>
      <c r="C130" s="201" t="s">
        <v>247</v>
      </c>
      <c r="D130" s="77"/>
      <c r="F130" s="7"/>
      <c r="G130" s="7"/>
      <c r="H130" s="7"/>
      <c r="I130" s="25"/>
    </row>
    <row r="131" spans="1:9">
      <c r="A131" s="34" t="s">
        <v>437</v>
      </c>
      <c r="B131" s="588">
        <f>Iout*B130/Cout*1000+Iout*CoutEsr</f>
        <v>504.95531781868254</v>
      </c>
      <c r="C131" s="77" t="s">
        <v>443</v>
      </c>
      <c r="D131" s="77" t="s">
        <v>596</v>
      </c>
      <c r="F131" s="7"/>
      <c r="G131" s="7"/>
      <c r="H131" s="445" t="s">
        <v>562</v>
      </c>
      <c r="I131" s="25"/>
    </row>
    <row r="132" spans="1:9">
      <c r="A132" s="34"/>
      <c r="B132" s="192"/>
      <c r="C132" s="77"/>
      <c r="D132" s="77"/>
      <c r="F132" s="7"/>
      <c r="G132" s="7"/>
      <c r="H132" s="7"/>
      <c r="I132" s="25"/>
    </row>
    <row r="133" spans="1:9">
      <c r="A133" s="34"/>
      <c r="B133" s="192"/>
      <c r="C133" s="77"/>
      <c r="D133" s="77"/>
      <c r="F133" s="7"/>
      <c r="G133" s="7"/>
      <c r="H133" s="7"/>
      <c r="I133" s="25"/>
    </row>
    <row r="134" spans="1:9" ht="15.5">
      <c r="A134" s="634" t="s">
        <v>560</v>
      </c>
      <c r="B134" s="192"/>
      <c r="C134" s="201"/>
      <c r="D134" s="77"/>
      <c r="F134" s="7"/>
      <c r="G134" s="7"/>
      <c r="H134" s="7"/>
      <c r="I134" s="25"/>
    </row>
    <row r="135" spans="1:9" ht="12.5">
      <c r="A135" s="110" t="s">
        <v>541</v>
      </c>
      <c r="B135" s="549">
        <f>Vout_ripple2</f>
        <v>80</v>
      </c>
      <c r="C135" s="111" t="s">
        <v>149</v>
      </c>
      <c r="D135" s="77" t="s">
        <v>597</v>
      </c>
      <c r="F135" s="7"/>
      <c r="G135" s="7"/>
      <c r="H135" s="7"/>
      <c r="I135" s="25"/>
    </row>
    <row r="136" spans="1:9">
      <c r="A136" s="499" t="s">
        <v>543</v>
      </c>
      <c r="B136" s="192">
        <f>MAX(4.7, 'Calculations - Dual'!AX105)</f>
        <v>15.846799634301085</v>
      </c>
      <c r="C136" s="201" t="s">
        <v>97</v>
      </c>
      <c r="D136" s="77" t="s">
        <v>593</v>
      </c>
      <c r="F136" s="7"/>
      <c r="G136" s="7"/>
      <c r="H136" s="7"/>
      <c r="I136" s="25"/>
    </row>
    <row r="137" spans="1:9" ht="12.5">
      <c r="A137" s="110" t="s">
        <v>542</v>
      </c>
      <c r="B137" s="591">
        <f>MAX(4.7,'Design Converter'!L34)</f>
        <v>55</v>
      </c>
      <c r="C137" s="201" t="s">
        <v>97</v>
      </c>
      <c r="D137" s="77" t="s">
        <v>167</v>
      </c>
      <c r="F137" s="7"/>
      <c r="G137" s="7"/>
      <c r="H137" s="7"/>
      <c r="I137" s="25"/>
    </row>
    <row r="138" spans="1:9">
      <c r="A138" s="200" t="s">
        <v>544</v>
      </c>
      <c r="B138" s="550">
        <f>(Vout_ripple2-Iout2*B140/Cout2*1000)/Iout2</f>
        <v>-104.30873478746503</v>
      </c>
      <c r="C138" s="113" t="s">
        <v>258</v>
      </c>
      <c r="D138" s="77" t="s">
        <v>107</v>
      </c>
      <c r="F138" s="7"/>
      <c r="G138" s="7"/>
      <c r="H138" s="445" t="s">
        <v>561</v>
      </c>
      <c r="I138" s="25"/>
    </row>
    <row r="139" spans="1:9" ht="12.5">
      <c r="A139" s="110" t="s">
        <v>545</v>
      </c>
      <c r="B139" s="193">
        <f>'Design Converter'!L35</f>
        <v>8</v>
      </c>
      <c r="C139" s="113" t="s">
        <v>258</v>
      </c>
      <c r="D139" s="77" t="s">
        <v>108</v>
      </c>
      <c r="F139" s="7"/>
      <c r="G139" s="7"/>
      <c r="I139" s="25"/>
    </row>
    <row r="140" spans="1:9">
      <c r="A140" s="110" t="s">
        <v>438</v>
      </c>
      <c r="B140" s="192">
        <f>'Calculations - Dual'!AR105</f>
        <v>23.336980413310574</v>
      </c>
      <c r="C140" s="201" t="s">
        <v>247</v>
      </c>
      <c r="D140" s="77"/>
      <c r="F140" s="7"/>
      <c r="G140" s="7"/>
      <c r="H140" s="445" t="s">
        <v>561</v>
      </c>
      <c r="I140" s="25"/>
    </row>
    <row r="141" spans="1:9">
      <c r="A141" s="34" t="s">
        <v>437</v>
      </c>
      <c r="B141" s="588">
        <f>Iout2*B140/Cout2*1000+Iout2*CoutEsr2</f>
        <v>108.07718369686626</v>
      </c>
      <c r="C141" s="77" t="s">
        <v>443</v>
      </c>
      <c r="D141" s="77" t="s">
        <v>595</v>
      </c>
      <c r="F141" s="7"/>
      <c r="G141" s="7"/>
      <c r="H141" s="7"/>
      <c r="I141" s="25"/>
    </row>
    <row r="142" spans="1:9">
      <c r="A142" s="39"/>
      <c r="B142" s="192"/>
      <c r="C142" s="77"/>
      <c r="D142" s="77"/>
      <c r="F142" s="7"/>
      <c r="G142" s="7"/>
      <c r="H142" s="7"/>
      <c r="I142" s="25"/>
    </row>
    <row r="143" spans="1:9" thickBot="1">
      <c r="A143" s="29"/>
      <c r="B143" s="29"/>
      <c r="C143" s="29"/>
      <c r="D143" s="29"/>
      <c r="E143" s="29"/>
      <c r="F143" s="29"/>
      <c r="G143" s="29"/>
      <c r="H143" s="29"/>
      <c r="I143" s="30"/>
    </row>
    <row r="145" spans="1:9" ht="13.5" thickBot="1">
      <c r="A145" s="7"/>
      <c r="B145" s="7"/>
      <c r="C145" s="39"/>
      <c r="D145" s="7"/>
      <c r="E145" s="7"/>
      <c r="F145" s="7"/>
      <c r="G145" s="7"/>
      <c r="H145" s="7"/>
      <c r="I145" s="7"/>
    </row>
    <row r="146" spans="1:9" ht="15.5">
      <c r="A146" s="61" t="s">
        <v>55</v>
      </c>
      <c r="B146" s="62"/>
      <c r="C146" s="168"/>
      <c r="D146" s="62"/>
      <c r="E146" s="62"/>
      <c r="F146" s="62"/>
      <c r="G146" s="62"/>
      <c r="H146" s="62"/>
      <c r="I146" s="63"/>
    </row>
    <row r="147" spans="1:9" ht="12.5">
      <c r="A147" s="552" t="s">
        <v>507</v>
      </c>
      <c r="B147" s="555">
        <f>0.05*VIN_nom</f>
        <v>2.9000000000000004</v>
      </c>
      <c r="C147" s="111" t="s">
        <v>444</v>
      </c>
      <c r="D147" s="76" t="s">
        <v>439</v>
      </c>
      <c r="E147" s="7"/>
      <c r="F147" s="7"/>
      <c r="G147" s="7"/>
      <c r="H147" s="7"/>
      <c r="I147" s="65"/>
    </row>
    <row r="148" spans="1:9" ht="12.5">
      <c r="A148" s="64"/>
      <c r="B148" s="12"/>
      <c r="C148" s="60"/>
      <c r="E148" s="7"/>
      <c r="F148" s="7"/>
      <c r="G148" s="7"/>
      <c r="H148" s="7"/>
      <c r="I148" s="65"/>
    </row>
    <row r="149" spans="1:9" ht="12.5">
      <c r="A149" s="66" t="s">
        <v>58</v>
      </c>
      <c r="B149" s="421"/>
      <c r="C149" s="201" t="s">
        <v>30</v>
      </c>
      <c r="E149" s="7"/>
      <c r="F149" s="7"/>
      <c r="G149" s="7"/>
      <c r="H149" s="7"/>
      <c r="I149" s="65"/>
    </row>
    <row r="150" spans="1:9" ht="12.5">
      <c r="A150" s="66" t="s">
        <v>98</v>
      </c>
      <c r="B150" s="185">
        <f>'Calculations - Single'!BB105</f>
        <v>17.665221279751346</v>
      </c>
      <c r="C150" s="201" t="s">
        <v>97</v>
      </c>
      <c r="E150" s="7"/>
      <c r="F150" s="7"/>
      <c r="G150" s="7"/>
      <c r="H150" s="7"/>
      <c r="I150" s="65"/>
    </row>
    <row r="151" spans="1:9" ht="12.5">
      <c r="A151" s="200" t="s">
        <v>180</v>
      </c>
      <c r="B151" s="597">
        <f>MAX(2.2,Cinmin)</f>
        <v>17.665221279751346</v>
      </c>
      <c r="C151" s="201" t="s">
        <v>97</v>
      </c>
      <c r="E151" s="7"/>
      <c r="F151" s="7"/>
      <c r="G151" s="7"/>
      <c r="H151" s="7"/>
      <c r="I151" s="65"/>
    </row>
    <row r="152" spans="1:9" ht="12.5">
      <c r="A152" s="66" t="s">
        <v>28</v>
      </c>
      <c r="B152" s="553">
        <f>'Design Converter'!E30</f>
        <v>22</v>
      </c>
      <c r="C152" s="201" t="s">
        <v>97</v>
      </c>
      <c r="D152" s="7" t="s">
        <v>60</v>
      </c>
      <c r="F152" s="7"/>
      <c r="G152" s="7"/>
      <c r="H152" s="7"/>
      <c r="I152" s="65"/>
    </row>
    <row r="153" spans="1:9" ht="12.5">
      <c r="A153" s="66"/>
      <c r="B153" s="551"/>
      <c r="C153" s="58"/>
      <c r="D153" s="7"/>
      <c r="F153" s="7"/>
      <c r="G153" s="7"/>
      <c r="H153" s="7"/>
      <c r="I153" s="65"/>
    </row>
    <row r="154" spans="1:9" ht="12.5">
      <c r="A154" s="67" t="s">
        <v>99</v>
      </c>
      <c r="B154" s="420">
        <f>(Vinripple1-B157*B159/Cin)/B158</f>
        <v>2.3405469816184944E-2</v>
      </c>
      <c r="C154" s="113" t="s">
        <v>45</v>
      </c>
      <c r="D154" s="7"/>
      <c r="F154" s="7"/>
      <c r="G154" s="7"/>
      <c r="H154" s="7"/>
      <c r="I154" s="65"/>
    </row>
    <row r="155" spans="1:9" ht="12.5">
      <c r="A155" s="66" t="s">
        <v>37</v>
      </c>
      <c r="B155" s="59">
        <f>'Design Converter'!E31/1000</f>
        <v>3.0000000000000001E-3</v>
      </c>
      <c r="C155" s="113" t="s">
        <v>45</v>
      </c>
      <c r="D155" s="77" t="s">
        <v>109</v>
      </c>
      <c r="F155" s="7"/>
      <c r="G155" s="7"/>
      <c r="H155" s="7"/>
      <c r="I155" s="65"/>
    </row>
    <row r="156" spans="1:9">
      <c r="A156" s="200" t="s">
        <v>182</v>
      </c>
      <c r="B156" s="369">
        <f>'Design Converter'!E31</f>
        <v>3</v>
      </c>
      <c r="C156" s="17" t="s">
        <v>161</v>
      </c>
      <c r="D156" s="77"/>
      <c r="F156" s="7"/>
      <c r="G156" s="7"/>
      <c r="H156" s="7"/>
      <c r="I156" s="65"/>
    </row>
    <row r="157" spans="1:9" ht="12.5">
      <c r="A157" s="200" t="s">
        <v>441</v>
      </c>
      <c r="B157" s="426">
        <f>Vout*Iout/VIN_nom/Efficiency</f>
        <v>2.5862068965517242</v>
      </c>
      <c r="C157" s="77" t="s">
        <v>1</v>
      </c>
      <c r="D157" s="77"/>
      <c r="F157" s="7"/>
      <c r="G157" s="7"/>
      <c r="H157" s="7"/>
      <c r="I157" s="65"/>
    </row>
    <row r="158" spans="1:9" ht="12.5">
      <c r="A158" s="200" t="s">
        <v>445</v>
      </c>
      <c r="B158" s="426">
        <f>CHOOSE(MODE, 'Calculations - Single'!AJ105, 'Calculations - Dual'!$AI$105)</f>
        <v>25.501435663688198</v>
      </c>
      <c r="C158" s="77" t="s">
        <v>1</v>
      </c>
      <c r="D158" s="77"/>
      <c r="F158" s="7"/>
      <c r="G158" s="7"/>
      <c r="H158" s="7"/>
      <c r="I158" s="65"/>
    </row>
    <row r="159" spans="1:9" ht="12.5">
      <c r="A159" s="200" t="s">
        <v>442</v>
      </c>
      <c r="B159" s="426">
        <f>CHOOSE(MODE, 'Calculations - Single'!AU105, 'Calculations - Dual'!$AT$105)</f>
        <v>19.591932976534085</v>
      </c>
      <c r="C159" s="201" t="s">
        <v>247</v>
      </c>
      <c r="D159" s="77"/>
      <c r="F159" s="7"/>
      <c r="G159" s="7"/>
      <c r="H159" s="7"/>
      <c r="I159" s="65"/>
    </row>
    <row r="160" spans="1:9" ht="12.5">
      <c r="A160" s="200" t="s">
        <v>440</v>
      </c>
      <c r="B160" s="185">
        <f>B157*B159/Cin+B158*RCinEsr</f>
        <v>2.3796312242952284</v>
      </c>
      <c r="C160" s="201" t="s">
        <v>444</v>
      </c>
      <c r="D160" s="76" t="s">
        <v>446</v>
      </c>
      <c r="E160" s="554"/>
      <c r="F160" s="201"/>
      <c r="G160" s="7"/>
      <c r="H160" s="7"/>
      <c r="I160" s="65"/>
    </row>
    <row r="161" spans="1:9" thickBot="1">
      <c r="A161" s="68"/>
      <c r="B161" s="69"/>
      <c r="C161" s="69"/>
      <c r="D161" s="69"/>
      <c r="E161" s="70"/>
      <c r="F161" s="70"/>
      <c r="G161" s="70"/>
      <c r="H161" s="70"/>
      <c r="I161" s="71"/>
    </row>
    <row r="162" spans="1:9">
      <c r="A162" s="7"/>
      <c r="B162" s="7"/>
      <c r="C162" s="39"/>
      <c r="D162" s="7"/>
      <c r="E162" s="7"/>
      <c r="F162" s="7"/>
      <c r="G162" s="7"/>
      <c r="H162" s="7"/>
      <c r="I162" s="7"/>
    </row>
    <row r="163" spans="1:9" ht="16" thickBot="1">
      <c r="A163" s="50" t="s">
        <v>62</v>
      </c>
      <c r="B163" s="7"/>
      <c r="C163" s="39"/>
      <c r="D163" s="7"/>
      <c r="E163" s="7"/>
      <c r="F163" s="7"/>
      <c r="G163" s="7"/>
      <c r="H163" s="7"/>
      <c r="I163" s="7"/>
    </row>
    <row r="164" spans="1:9" ht="12.5">
      <c r="A164" s="52" t="s">
        <v>64</v>
      </c>
      <c r="B164" s="9">
        <f>'Design Converter'!E42/1000</f>
        <v>0.01</v>
      </c>
      <c r="C164" s="31" t="s">
        <v>51</v>
      </c>
      <c r="D164" s="79" t="s">
        <v>176</v>
      </c>
      <c r="E164" s="31"/>
      <c r="F164" s="31"/>
      <c r="G164" s="31"/>
      <c r="H164" s="31"/>
      <c r="I164" s="32"/>
    </row>
    <row r="165" spans="1:9" ht="12.5">
      <c r="A165" s="24" t="s">
        <v>65</v>
      </c>
      <c r="B165" s="195">
        <v>5.0000000000000004E-6</v>
      </c>
      <c r="C165" s="7" t="s">
        <v>1</v>
      </c>
      <c r="D165" s="77" t="s">
        <v>306</v>
      </c>
      <c r="E165" s="7"/>
      <c r="F165" s="7"/>
      <c r="G165" s="7"/>
      <c r="H165" s="7"/>
      <c r="I165" s="25"/>
    </row>
    <row r="166" spans="1:9" ht="12.5">
      <c r="A166" s="24" t="s">
        <v>66</v>
      </c>
      <c r="B166" s="195">
        <f>0.000005*Tss/1</f>
        <v>5.0000000000000004E-8</v>
      </c>
      <c r="C166" s="7" t="s">
        <v>13</v>
      </c>
      <c r="D166" s="77" t="s">
        <v>308</v>
      </c>
      <c r="E166" s="7"/>
      <c r="F166" s="7"/>
      <c r="G166" s="7"/>
      <c r="H166" s="7"/>
      <c r="I166" s="25"/>
    </row>
    <row r="167" spans="1:9" thickBot="1">
      <c r="A167" s="28" t="s">
        <v>72</v>
      </c>
      <c r="B167" s="196">
        <f>'Standard Value Calculator'!B4</f>
        <v>4.6999999999999997E-8</v>
      </c>
      <c r="C167" s="29" t="s">
        <v>13</v>
      </c>
      <c r="D167" s="80" t="s">
        <v>309</v>
      </c>
      <c r="E167" s="29"/>
      <c r="F167" s="29"/>
      <c r="G167" s="29"/>
      <c r="H167" s="29"/>
      <c r="I167" s="30"/>
    </row>
    <row r="169" spans="1:9" ht="16" thickBot="1">
      <c r="A169" s="50" t="s">
        <v>556</v>
      </c>
      <c r="B169" s="7"/>
      <c r="C169" s="39"/>
      <c r="D169" s="7"/>
      <c r="E169" s="7"/>
      <c r="F169" s="7"/>
      <c r="G169" s="7"/>
      <c r="H169" s="7"/>
      <c r="I169" s="7"/>
    </row>
    <row r="170" spans="1:9" ht="12.75" customHeight="1">
      <c r="A170" s="109"/>
      <c r="B170" s="53"/>
      <c r="C170" s="155"/>
      <c r="D170" s="79"/>
      <c r="E170" s="31"/>
      <c r="F170" s="31"/>
      <c r="G170" s="31"/>
      <c r="H170" s="31"/>
      <c r="I170" s="32"/>
    </row>
    <row r="171" spans="1:9" ht="12.75" customHeight="1">
      <c r="A171" s="110" t="s">
        <v>111</v>
      </c>
      <c r="B171" s="186">
        <v>1.5</v>
      </c>
      <c r="C171" s="77" t="s">
        <v>0</v>
      </c>
      <c r="D171" s="77"/>
      <c r="E171" s="7"/>
      <c r="F171" s="7"/>
      <c r="G171" s="7"/>
      <c r="H171" s="7"/>
      <c r="I171" s="25"/>
    </row>
    <row r="172" spans="1:9" ht="12.75" customHeight="1">
      <c r="A172" s="110" t="s">
        <v>112</v>
      </c>
      <c r="B172" s="186">
        <v>1.45</v>
      </c>
      <c r="C172" s="77" t="s">
        <v>0</v>
      </c>
      <c r="D172" s="77"/>
      <c r="E172" s="7"/>
      <c r="F172" s="7"/>
      <c r="G172" s="7"/>
      <c r="H172" s="7"/>
      <c r="I172" s="25"/>
    </row>
    <row r="173" spans="1:9" ht="12.75" customHeight="1">
      <c r="A173" s="110" t="s">
        <v>148</v>
      </c>
      <c r="B173" s="37">
        <f>B171-B172</f>
        <v>5.0000000000000044E-2</v>
      </c>
      <c r="C173" s="77" t="s">
        <v>0</v>
      </c>
      <c r="D173" s="77"/>
      <c r="E173" s="7"/>
      <c r="F173" s="7"/>
      <c r="G173" s="7"/>
      <c r="H173" s="7"/>
      <c r="I173" s="25"/>
    </row>
    <row r="174" spans="1:9" ht="12.75" customHeight="1">
      <c r="A174" s="110" t="s">
        <v>373</v>
      </c>
      <c r="B174" s="7">
        <v>0</v>
      </c>
      <c r="C174" s="111" t="s">
        <v>1</v>
      </c>
      <c r="D174" s="77"/>
      <c r="E174" s="7"/>
      <c r="F174" s="7"/>
      <c r="G174" s="7"/>
      <c r="H174" s="7"/>
      <c r="I174" s="25"/>
    </row>
    <row r="175" spans="1:9" ht="12.75" customHeight="1">
      <c r="A175" s="110" t="s">
        <v>372</v>
      </c>
      <c r="B175" s="519">
        <v>5.0000000000000001E-3</v>
      </c>
      <c r="C175" s="111" t="s">
        <v>30</v>
      </c>
      <c r="D175" s="77"/>
      <c r="E175" s="7"/>
      <c r="F175" s="7"/>
      <c r="G175" s="7"/>
      <c r="H175" s="7"/>
      <c r="I175" s="25"/>
    </row>
    <row r="176" spans="1:9" ht="12.75" customHeight="1">
      <c r="A176" s="110" t="s">
        <v>371</v>
      </c>
      <c r="B176" s="520">
        <f>Iuvlo2-Iuvlo1</f>
        <v>5.0000000000000001E-3</v>
      </c>
      <c r="C176" s="111" t="s">
        <v>30</v>
      </c>
      <c r="D176" s="77"/>
      <c r="F176" s="7"/>
      <c r="G176" s="7"/>
      <c r="H176" s="7"/>
      <c r="I176" s="25"/>
    </row>
    <row r="177" spans="1:9" ht="12.75" customHeight="1">
      <c r="A177" s="110"/>
      <c r="B177" s="37"/>
      <c r="C177" s="377"/>
      <c r="D177" s="77"/>
      <c r="E177" s="7"/>
      <c r="F177" s="7"/>
      <c r="G177" s="7"/>
      <c r="H177" s="7"/>
      <c r="I177" s="25"/>
    </row>
    <row r="178" spans="1:9" ht="12.75" customHeight="1">
      <c r="A178" s="110" t="s">
        <v>110</v>
      </c>
      <c r="B178" s="184">
        <f>'Design Converter'!E48</f>
        <v>18.8</v>
      </c>
      <c r="C178" s="111" t="s">
        <v>0</v>
      </c>
      <c r="E178" s="7"/>
      <c r="F178" s="7"/>
      <c r="G178" s="7"/>
      <c r="H178" s="7"/>
      <c r="I178" s="25"/>
    </row>
    <row r="179" spans="1:9" ht="12.75" customHeight="1">
      <c r="A179" s="110" t="s">
        <v>294</v>
      </c>
      <c r="B179" s="184">
        <f>'Design Converter'!E49</f>
        <v>17.2</v>
      </c>
      <c r="C179" s="111" t="s">
        <v>0</v>
      </c>
      <c r="E179" s="7"/>
      <c r="F179" s="7"/>
      <c r="G179" s="7"/>
      <c r="H179" s="7"/>
      <c r="I179" s="25"/>
    </row>
    <row r="180" spans="1:9" ht="12.75" customHeight="1">
      <c r="A180" s="110"/>
      <c r="B180" s="37"/>
      <c r="C180" s="111"/>
      <c r="E180" s="7"/>
      <c r="F180" s="7"/>
      <c r="G180" s="7"/>
      <c r="H180" s="7"/>
      <c r="I180" s="25"/>
    </row>
    <row r="181" spans="1:9" ht="12.75" customHeight="1">
      <c r="A181" s="110" t="s">
        <v>126</v>
      </c>
      <c r="B181" s="589">
        <f>(VINuvlo_off-VINuvlo_on*Vuvlo_off/Vuvlo_on)/(Iuvlo1*Vuvlo_off/Vuvlo_on-Iuvlo2)</f>
        <v>194.66666666666725</v>
      </c>
      <c r="C181" s="17" t="s">
        <v>113</v>
      </c>
      <c r="D181" s="7">
        <f>'Standard Value Calculator'!J16</f>
        <v>196</v>
      </c>
      <c r="E181" s="17" t="s">
        <v>113</v>
      </c>
      <c r="F181" s="37">
        <f>IF(Ruvlo1&lt;0,"N/A",D181)</f>
        <v>196</v>
      </c>
      <c r="G181" s="37" t="str">
        <f>IF(Ruvlo1&lt;0,"N/A",D181&amp;"kΩ")</f>
        <v>196kΩ</v>
      </c>
      <c r="I181" s="25"/>
    </row>
    <row r="182" spans="1:9" ht="12.75" customHeight="1">
      <c r="A182" s="110" t="s">
        <v>127</v>
      </c>
      <c r="B182" s="187">
        <f>D181*Vuvlo_on/(VINuvlo_on-Vuvlo_on+Ruvlo1*Iuvlo1)</f>
        <v>16.99421965317919</v>
      </c>
      <c r="C182" s="17" t="s">
        <v>113</v>
      </c>
      <c r="D182" s="7">
        <f>'Standard Value Calculator'!J17</f>
        <v>16.900000000000002</v>
      </c>
      <c r="E182" s="17" t="s">
        <v>113</v>
      </c>
      <c r="F182" s="37">
        <f>IF(F181="N/A","N/A",D182)</f>
        <v>16.900000000000002</v>
      </c>
      <c r="G182" s="37" t="str">
        <f>IF(G181="N/A","N/A",D182&amp;"kΩ")</f>
        <v>16.9kΩ</v>
      </c>
      <c r="I182" s="25"/>
    </row>
    <row r="183" spans="1:9" ht="12.75" customHeight="1">
      <c r="A183" s="110"/>
      <c r="B183" s="112"/>
      <c r="C183" s="17"/>
      <c r="D183" s="37"/>
      <c r="E183" s="17"/>
      <c r="F183" s="37"/>
      <c r="G183" s="37"/>
      <c r="I183" s="25"/>
    </row>
    <row r="184" spans="1:9" ht="12.75" customHeight="1">
      <c r="A184" s="110" t="s">
        <v>114</v>
      </c>
      <c r="B184" s="590">
        <f>(D181+D182)/D182*Vuvlo_on</f>
        <v>18.896449704142011</v>
      </c>
      <c r="C184" s="3" t="s">
        <v>0</v>
      </c>
      <c r="E184" s="7"/>
      <c r="F184" s="17"/>
      <c r="G184" s="7"/>
      <c r="H184" s="7"/>
      <c r="I184" s="25"/>
    </row>
    <row r="185" spans="1:9" ht="12.75" customHeight="1">
      <c r="A185" s="110" t="s">
        <v>115</v>
      </c>
      <c r="B185" s="590">
        <f>(D181+D182)/D182*Vuvlo_off-Iuvlo2*D181</f>
        <v>17.286568047337276</v>
      </c>
      <c r="C185" s="3" t="s">
        <v>0</v>
      </c>
      <c r="E185" s="7"/>
      <c r="F185" s="17"/>
      <c r="G185" s="7"/>
      <c r="H185" s="7"/>
      <c r="I185" s="25"/>
    </row>
    <row r="186" spans="1:9" ht="12.75" customHeight="1" thickBot="1">
      <c r="A186" s="28"/>
      <c r="B186" s="38"/>
      <c r="C186" s="156"/>
      <c r="D186" s="29"/>
      <c r="E186" s="29"/>
      <c r="F186" s="29"/>
      <c r="G186" s="29"/>
      <c r="H186" s="29"/>
      <c r="I186" s="30"/>
    </row>
    <row r="187" spans="1:9">
      <c r="B187" s="16"/>
      <c r="C187" s="157"/>
    </row>
    <row r="188" spans="1:9" ht="16" thickBot="1">
      <c r="A188" s="50" t="s">
        <v>518</v>
      </c>
      <c r="B188" s="7"/>
      <c r="C188" s="39"/>
      <c r="D188" s="7"/>
      <c r="E188" s="7"/>
      <c r="F188" s="7"/>
      <c r="G188" s="7"/>
      <c r="H188" s="7"/>
      <c r="I188" s="7"/>
    </row>
    <row r="189" spans="1:9">
      <c r="A189" s="175" t="s">
        <v>16</v>
      </c>
      <c r="B189" s="176">
        <v>3.1415926500000002</v>
      </c>
      <c r="C189" s="177"/>
      <c r="D189" s="178" t="s">
        <v>170</v>
      </c>
      <c r="E189" s="31"/>
      <c r="F189" s="31"/>
      <c r="G189" s="31"/>
      <c r="H189" s="31"/>
      <c r="I189" s="32"/>
    </row>
    <row r="190" spans="1:9">
      <c r="A190" s="76" t="s">
        <v>185</v>
      </c>
      <c r="B190" s="204"/>
      <c r="C190" s="179" t="s">
        <v>184</v>
      </c>
      <c r="D190" s="181" t="s">
        <v>548</v>
      </c>
      <c r="I190" s="25"/>
    </row>
    <row r="191" spans="1:9">
      <c r="A191" s="76" t="s">
        <v>186</v>
      </c>
      <c r="B191" s="204"/>
      <c r="C191" s="179" t="s">
        <v>184</v>
      </c>
      <c r="D191" s="181"/>
      <c r="I191" s="25"/>
    </row>
    <row r="192" spans="1:9" ht="12.5">
      <c r="C192" s="7"/>
      <c r="D192" s="7"/>
      <c r="F192" s="7"/>
      <c r="G192" s="7"/>
      <c r="H192" s="7"/>
      <c r="I192" s="25"/>
    </row>
    <row r="193" spans="1:9">
      <c r="A193" s="110" t="s">
        <v>386</v>
      </c>
      <c r="B193" s="169">
        <f>(Vout+Vfwd1)*Nps*10</f>
        <v>154</v>
      </c>
      <c r="C193" s="17" t="s">
        <v>113</v>
      </c>
      <c r="D193" s="77" t="s">
        <v>520</v>
      </c>
      <c r="F193" s="7"/>
      <c r="G193" s="7"/>
      <c r="H193" s="7"/>
      <c r="I193" s="25">
        <v>1</v>
      </c>
    </row>
    <row r="194" spans="1:9">
      <c r="A194" s="34" t="s">
        <v>519</v>
      </c>
      <c r="B194" s="174">
        <f>Rfb/1000</f>
        <v>168</v>
      </c>
      <c r="C194" s="17" t="s">
        <v>113</v>
      </c>
      <c r="D194" s="77" t="s">
        <v>517</v>
      </c>
      <c r="F194" s="7"/>
      <c r="G194" s="7"/>
      <c r="H194" s="7"/>
      <c r="I194" s="25"/>
    </row>
    <row r="195" spans="1:9">
      <c r="A195" s="110" t="s">
        <v>53</v>
      </c>
      <c r="B195" s="36">
        <f>'Standard Value Calculator'!J10/1000</f>
        <v>169</v>
      </c>
      <c r="C195" s="17" t="s">
        <v>113</v>
      </c>
      <c r="D195" s="77" t="s">
        <v>359</v>
      </c>
      <c r="F195" s="7"/>
      <c r="G195" s="7"/>
      <c r="H195" s="7"/>
      <c r="I195" s="25"/>
    </row>
    <row r="196" spans="1:9">
      <c r="A196" s="77"/>
      <c r="B196" s="12"/>
      <c r="C196" s="17"/>
      <c r="D196" s="77"/>
      <c r="F196" s="7"/>
      <c r="G196" s="7"/>
      <c r="H196" s="7"/>
      <c r="I196" s="25"/>
    </row>
    <row r="197" spans="1:9">
      <c r="A197" s="111" t="s">
        <v>521</v>
      </c>
      <c r="B197" s="592">
        <f>'Design Converter'!E45</f>
        <v>-1.875</v>
      </c>
      <c r="C197" s="111" t="s">
        <v>380</v>
      </c>
      <c r="D197" s="77"/>
      <c r="F197" s="7"/>
      <c r="G197" s="7"/>
      <c r="H197" s="7"/>
      <c r="I197" s="25"/>
    </row>
    <row r="198" spans="1:9" ht="15.5">
      <c r="A198" s="24" t="s">
        <v>516</v>
      </c>
      <c r="B198" s="371">
        <f>4*B194/Nps/ABS(Diode_TC)*1000</f>
        <v>358400</v>
      </c>
      <c r="C198" s="17" t="s">
        <v>136</v>
      </c>
      <c r="D198" s="77"/>
      <c r="F198" s="7"/>
      <c r="G198" s="7"/>
      <c r="H198" s="7"/>
      <c r="I198" s="25"/>
    </row>
    <row r="199" spans="1:9">
      <c r="A199" s="12" t="s">
        <v>522</v>
      </c>
      <c r="B199" s="167">
        <f>'Standard Value Calculator'!J9/1000</f>
        <v>357</v>
      </c>
      <c r="C199" s="17" t="s">
        <v>113</v>
      </c>
      <c r="D199" s="77"/>
      <c r="F199" s="7"/>
      <c r="G199" s="7"/>
      <c r="H199" s="7"/>
      <c r="I199" s="25"/>
    </row>
    <row r="200" spans="1:9" ht="13.5" thickBot="1">
      <c r="A200" s="180"/>
      <c r="B200" s="180"/>
      <c r="C200" s="40"/>
      <c r="D200" s="29"/>
      <c r="E200" s="40"/>
      <c r="F200" s="29"/>
      <c r="G200" s="29"/>
      <c r="H200" s="29"/>
      <c r="I200" s="30"/>
    </row>
    <row r="201" spans="1:9">
      <c r="A201" s="2"/>
      <c r="B201" s="18"/>
      <c r="C201" s="18"/>
      <c r="E201" s="18"/>
    </row>
    <row r="202" spans="1:9">
      <c r="A202" s="2"/>
      <c r="B202" s="18"/>
      <c r="C202" s="18"/>
      <c r="E202" s="18"/>
    </row>
    <row r="203" spans="1:9" ht="16" thickBot="1">
      <c r="A203" s="54" t="s">
        <v>83</v>
      </c>
      <c r="B203" s="7"/>
      <c r="C203" s="39"/>
      <c r="D203" s="7"/>
      <c r="E203" s="7"/>
      <c r="F203" s="7"/>
      <c r="G203" s="7"/>
      <c r="H203" s="7"/>
      <c r="I203" s="7"/>
    </row>
    <row r="204" spans="1:9">
      <c r="A204" s="52"/>
      <c r="B204" s="31"/>
      <c r="C204" s="158"/>
      <c r="D204" s="31"/>
      <c r="E204" s="31"/>
      <c r="F204" s="31"/>
      <c r="G204" s="31"/>
      <c r="H204" s="31"/>
      <c r="I204" s="32"/>
    </row>
    <row r="205" spans="1:9">
      <c r="A205" s="34" t="s">
        <v>26</v>
      </c>
      <c r="B205" s="7"/>
      <c r="C205" s="39"/>
      <c r="D205" s="7"/>
      <c r="E205" s="7"/>
      <c r="F205" s="7"/>
      <c r="G205" s="7"/>
      <c r="H205" s="7"/>
      <c r="I205" s="25"/>
    </row>
    <row r="206" spans="1:9" ht="12.5">
      <c r="A206" s="24" t="s">
        <v>36</v>
      </c>
      <c r="B206" s="132">
        <f>'Design Converter'!E83</f>
        <v>85</v>
      </c>
      <c r="C206" s="77" t="s">
        <v>102</v>
      </c>
      <c r="D206" s="7" t="s">
        <v>40</v>
      </c>
      <c r="F206" s="7"/>
      <c r="G206" s="7"/>
      <c r="H206" s="7"/>
      <c r="I206" s="25"/>
    </row>
    <row r="207" spans="1:9">
      <c r="A207" s="34" t="s">
        <v>29</v>
      </c>
      <c r="B207" s="7"/>
      <c r="C207" s="7"/>
      <c r="D207" s="7"/>
      <c r="F207" s="7"/>
      <c r="G207" s="7"/>
      <c r="H207" s="7"/>
      <c r="I207" s="25"/>
    </row>
    <row r="208" spans="1:9" ht="12.5">
      <c r="A208" s="24" t="s">
        <v>35</v>
      </c>
      <c r="B208" s="27">
        <f>4000/1000000</f>
        <v>4.0000000000000001E-3</v>
      </c>
      <c r="C208" s="77" t="s">
        <v>138</v>
      </c>
      <c r="D208" s="77" t="s">
        <v>549</v>
      </c>
      <c r="F208" s="7"/>
      <c r="G208" s="7"/>
      <c r="H208" s="7"/>
      <c r="I208" s="25"/>
    </row>
    <row r="209" spans="1:9" ht="15.5">
      <c r="A209" s="110" t="s">
        <v>177</v>
      </c>
      <c r="B209" s="27">
        <v>20</v>
      </c>
      <c r="C209" s="111" t="s">
        <v>84</v>
      </c>
      <c r="D209" s="77" t="s">
        <v>550</v>
      </c>
      <c r="F209" s="7"/>
      <c r="G209" s="7"/>
      <c r="H209" s="7"/>
      <c r="I209" s="25"/>
    </row>
    <row r="210" spans="1:9" ht="12.5">
      <c r="A210" s="24" t="s">
        <v>37</v>
      </c>
      <c r="B210" s="10">
        <f>RCinEsr</f>
        <v>3.0000000000000001E-3</v>
      </c>
      <c r="C210" s="113" t="s">
        <v>45</v>
      </c>
      <c r="D210" s="77" t="s">
        <v>178</v>
      </c>
      <c r="F210" s="7"/>
      <c r="G210" s="7"/>
      <c r="H210" s="7"/>
      <c r="I210" s="25"/>
    </row>
    <row r="211" spans="1:9" ht="12.5">
      <c r="A211" s="24"/>
      <c r="B211" s="10"/>
      <c r="C211" s="113"/>
      <c r="D211" s="77"/>
      <c r="F211" s="7"/>
      <c r="G211" s="7"/>
      <c r="H211" s="7"/>
      <c r="I211" s="25"/>
    </row>
    <row r="212" spans="1:9">
      <c r="A212" s="33" t="s">
        <v>52</v>
      </c>
      <c r="B212" s="7"/>
      <c r="C212" s="7"/>
      <c r="D212" s="7"/>
      <c r="F212" s="7"/>
      <c r="G212" s="7"/>
      <c r="H212" s="7"/>
      <c r="I212" s="25"/>
    </row>
    <row r="213" spans="1:9">
      <c r="A213" s="110" t="s">
        <v>285</v>
      </c>
      <c r="B213" s="27">
        <f>Vdd</f>
        <v>5</v>
      </c>
      <c r="C213" s="60" t="s">
        <v>0</v>
      </c>
      <c r="D213" s="182"/>
      <c r="F213" s="7"/>
      <c r="G213" s="7"/>
      <c r="H213" s="7"/>
      <c r="I213" s="25"/>
    </row>
    <row r="214" spans="1:9" ht="12.5">
      <c r="A214" s="24" t="s">
        <v>49</v>
      </c>
      <c r="B214" s="35">
        <f>IQ</f>
        <v>4.4999999999999999E-4</v>
      </c>
      <c r="C214" s="7" t="s">
        <v>1</v>
      </c>
      <c r="D214" s="7" t="s">
        <v>50</v>
      </c>
      <c r="F214" s="7"/>
      <c r="G214" s="7"/>
      <c r="H214" s="7"/>
      <c r="I214" s="25"/>
    </row>
    <row r="215" spans="1:9" ht="12.5">
      <c r="A215" s="24"/>
      <c r="B215" s="7"/>
      <c r="C215" s="7"/>
      <c r="D215" s="7"/>
      <c r="F215" s="7"/>
      <c r="G215" s="7"/>
      <c r="H215" s="7"/>
      <c r="I215" s="25"/>
    </row>
    <row r="216" spans="1:9">
      <c r="A216" s="55" t="s">
        <v>172</v>
      </c>
      <c r="B216" s="42" t="s">
        <v>6</v>
      </c>
      <c r="C216" s="14" t="s">
        <v>33</v>
      </c>
      <c r="D216" s="7"/>
      <c r="F216" s="7"/>
      <c r="G216" s="7"/>
      <c r="H216" s="7"/>
      <c r="I216" s="25"/>
    </row>
    <row r="217" spans="1:9" ht="12.5">
      <c r="A217" s="56" t="s">
        <v>44</v>
      </c>
      <c r="B217" s="43"/>
      <c r="C217" s="44" t="s">
        <v>45</v>
      </c>
      <c r="D217" s="7"/>
      <c r="F217" s="7"/>
      <c r="G217" s="7"/>
      <c r="H217" s="7"/>
      <c r="I217" s="25"/>
    </row>
    <row r="218" spans="1:9" ht="12.5">
      <c r="A218" s="56" t="s">
        <v>46</v>
      </c>
      <c r="B218" s="13">
        <v>0</v>
      </c>
      <c r="C218" s="111" t="s">
        <v>102</v>
      </c>
      <c r="D218" s="7"/>
      <c r="F218" s="7"/>
      <c r="G218" s="7"/>
      <c r="H218" s="7"/>
      <c r="I218" s="25"/>
    </row>
    <row r="219" spans="1:9" ht="12.5">
      <c r="A219" s="56" t="s">
        <v>87</v>
      </c>
      <c r="B219" s="13" t="e">
        <v>#NAME?</v>
      </c>
      <c r="C219" s="12" t="s">
        <v>1</v>
      </c>
      <c r="D219" s="7"/>
      <c r="F219" s="7"/>
      <c r="G219" s="7"/>
      <c r="H219" s="7"/>
      <c r="I219" s="25"/>
    </row>
    <row r="220" spans="1:9" ht="12.5">
      <c r="A220" s="56" t="s">
        <v>88</v>
      </c>
      <c r="B220" s="12" t="e">
        <v>#NAME?</v>
      </c>
      <c r="C220" s="12" t="s">
        <v>1</v>
      </c>
      <c r="D220" s="7"/>
      <c r="F220" s="7"/>
      <c r="G220" s="7"/>
      <c r="H220" s="7"/>
      <c r="I220" s="25"/>
    </row>
    <row r="221" spans="1:9" ht="12.5">
      <c r="A221" s="56" t="s">
        <v>89</v>
      </c>
      <c r="B221" s="12" t="e">
        <f>C221/Vin</f>
        <v>#NAME?</v>
      </c>
      <c r="C221" s="12" t="e">
        <v>#NAME?</v>
      </c>
      <c r="D221" s="7"/>
      <c r="F221" s="7"/>
      <c r="G221" s="7"/>
      <c r="H221" s="7"/>
      <c r="I221" s="25"/>
    </row>
    <row r="222" spans="1:9" ht="12.5">
      <c r="A222" s="56" t="s">
        <v>91</v>
      </c>
      <c r="B222" s="12" t="e">
        <f>SUM(B219:B221)</f>
        <v>#NAME?</v>
      </c>
      <c r="C222" s="12" t="s">
        <v>1</v>
      </c>
      <c r="D222" s="7"/>
      <c r="F222" s="7"/>
      <c r="G222" s="7"/>
      <c r="H222" s="7"/>
      <c r="I222" s="25"/>
    </row>
    <row r="223" spans="1:9" ht="13.5" thickBot="1">
      <c r="A223" s="28"/>
      <c r="B223" s="29"/>
      <c r="C223" s="159"/>
      <c r="D223" s="29"/>
      <c r="E223" s="29"/>
      <c r="F223" s="29"/>
      <c r="G223" s="29"/>
      <c r="H223" s="29"/>
      <c r="I223" s="30"/>
    </row>
    <row r="224" spans="1:9">
      <c r="A224" s="2"/>
      <c r="B224" s="2"/>
      <c r="C224" s="2"/>
    </row>
    <row r="225" spans="1:9" ht="21.75" customHeight="1" thickBot="1">
      <c r="A225" s="50" t="s">
        <v>85</v>
      </c>
      <c r="B225" s="7"/>
      <c r="C225" s="39"/>
      <c r="D225" s="7"/>
      <c r="E225" s="7"/>
      <c r="F225" s="7"/>
      <c r="G225" s="7"/>
      <c r="H225" s="7"/>
      <c r="I225" s="7"/>
    </row>
    <row r="226" spans="1:9">
      <c r="A226" s="52"/>
      <c r="B226" s="31"/>
      <c r="C226" s="158"/>
      <c r="D226" s="31"/>
      <c r="E226" s="57"/>
      <c r="F226" s="57"/>
      <c r="G226" s="57"/>
      <c r="H226" s="57"/>
      <c r="I226" s="32"/>
    </row>
    <row r="227" spans="1:9">
      <c r="A227" s="24"/>
      <c r="B227" s="111"/>
      <c r="C227" s="39"/>
      <c r="D227" s="7"/>
      <c r="E227" s="199"/>
      <c r="F227" s="199"/>
      <c r="G227" s="199"/>
      <c r="H227" s="199"/>
      <c r="I227" s="25"/>
    </row>
    <row r="228" spans="1:9">
      <c r="A228" s="24" t="str">
        <f>"RUV1 = "&amp;'Design Converter'!E50&amp;"MΩ"</f>
        <v>RUV1 = 196MΩ</v>
      </c>
      <c r="B228" s="7" t="str">
        <f>C269</f>
        <v>196kΩ</v>
      </c>
      <c r="C228" s="39"/>
      <c r="D228" s="7"/>
      <c r="E228" s="199"/>
      <c r="F228" s="199"/>
      <c r="G228" s="199"/>
      <c r="H228" s="199"/>
      <c r="I228" s="25"/>
    </row>
    <row r="229" spans="1:9">
      <c r="A229" s="24" t="str">
        <f>"RUV2 = "&amp;'Design Converter'!E51&amp;"kΩ"</f>
        <v>RUV2 = 16.9kΩ</v>
      </c>
      <c r="B229" s="7" t="str">
        <f>C270</f>
        <v>16.9kΩ</v>
      </c>
      <c r="C229" s="39"/>
      <c r="D229" s="7"/>
      <c r="E229" s="199"/>
      <c r="F229" s="199"/>
      <c r="G229" s="199"/>
      <c r="H229" s="199"/>
      <c r="I229" s="25"/>
    </row>
    <row r="230" spans="1:9">
      <c r="A230" s="24"/>
      <c r="B230" s="7"/>
      <c r="C230" s="39"/>
      <c r="D230" s="7"/>
      <c r="E230" s="199"/>
      <c r="F230" s="199"/>
      <c r="G230" s="199"/>
      <c r="H230" s="199"/>
      <c r="I230" s="25"/>
    </row>
    <row r="231" spans="1:9">
      <c r="A231" s="24" t="str">
        <f>"Lmag = "&amp;'Design Converter'!L7&amp;"µH"</f>
        <v>Lmag = 12µH</v>
      </c>
      <c r="B231" s="7" t="str">
        <f>'Design Converter'!L7&amp;"µH"</f>
        <v>12µH</v>
      </c>
      <c r="C231" s="39"/>
      <c r="D231" s="7"/>
      <c r="E231" s="7"/>
      <c r="F231" s="7"/>
      <c r="G231" s="7"/>
      <c r="H231" s="7"/>
      <c r="I231" s="25"/>
    </row>
    <row r="232" spans="1:9">
      <c r="A232" s="24" t="str">
        <f>"Rdcr = "&amp;Rdcr_pri*1000&amp;"mΩ"</f>
        <v>Rdcr = 30mΩ</v>
      </c>
      <c r="B232" s="198" t="str">
        <f>Rdcr_pri*1000&amp;"mΩ"</f>
        <v>30mΩ</v>
      </c>
      <c r="C232" s="39"/>
      <c r="D232" s="7"/>
      <c r="E232" s="7"/>
      <c r="F232" s="7"/>
      <c r="G232" s="7"/>
      <c r="H232" s="7"/>
      <c r="I232" s="25"/>
    </row>
    <row r="233" spans="1:9">
      <c r="A233" s="110" t="s">
        <v>384</v>
      </c>
      <c r="B233" s="198" t="str">
        <f>W66</f>
        <v>1 : 1</v>
      </c>
      <c r="C233" s="39"/>
      <c r="D233" s="7"/>
      <c r="E233" s="7"/>
      <c r="F233" s="7"/>
      <c r="G233" s="7"/>
      <c r="H233" s="7"/>
      <c r="I233" s="25"/>
    </row>
    <row r="234" spans="1:9">
      <c r="A234" s="24"/>
      <c r="B234" s="198"/>
      <c r="C234" s="39"/>
      <c r="D234" s="7"/>
      <c r="E234" s="7"/>
      <c r="F234" s="7"/>
      <c r="G234" s="7"/>
      <c r="H234" s="7"/>
      <c r="I234" s="25"/>
    </row>
    <row r="235" spans="1:9">
      <c r="A235" s="24" t="str">
        <f>"Css = "&amp;ROUND(Css_u*1000000000,1)&amp;"nF"</f>
        <v>Css = 47nF</v>
      </c>
      <c r="B235" s="7" t="str">
        <f>ROUND(Css_u*1000000000,1)&amp;"nF"</f>
        <v>47nF</v>
      </c>
      <c r="C235" s="39"/>
      <c r="D235" s="7"/>
      <c r="E235" s="7"/>
      <c r="F235" s="7"/>
      <c r="G235" s="7"/>
      <c r="H235" s="7"/>
      <c r="I235" s="25"/>
    </row>
    <row r="236" spans="1:9">
      <c r="A236" s="24"/>
      <c r="B236" s="7"/>
      <c r="C236" s="39"/>
      <c r="D236" s="7"/>
      <c r="E236" s="7"/>
      <c r="F236" s="7"/>
      <c r="G236" s="7"/>
      <c r="H236" s="7"/>
      <c r="I236" s="25"/>
    </row>
    <row r="237" spans="1:9">
      <c r="A237" s="24" t="s">
        <v>57</v>
      </c>
      <c r="B237" s="7" t="str">
        <f>VIN_nom&amp;"V"</f>
        <v>58V</v>
      </c>
      <c r="C237" s="39"/>
      <c r="D237" s="7"/>
      <c r="E237" s="7"/>
      <c r="F237" s="7"/>
      <c r="G237" s="7"/>
      <c r="H237" s="7"/>
      <c r="I237" s="25"/>
    </row>
    <row r="238" spans="1:9">
      <c r="A238" s="110" t="s">
        <v>187</v>
      </c>
      <c r="B238" s="7" t="str">
        <f>VIN_min&amp;"V..."&amp;VIN_max&amp;"V"</f>
        <v>19V...85V</v>
      </c>
      <c r="C238" s="39"/>
      <c r="D238" s="7"/>
      <c r="E238" s="7"/>
      <c r="F238" s="7"/>
      <c r="G238" s="7"/>
      <c r="H238" s="7"/>
      <c r="I238" s="25"/>
    </row>
    <row r="239" spans="1:9">
      <c r="A239" s="110"/>
      <c r="B239" s="7"/>
      <c r="C239" s="39"/>
      <c r="D239" s="7"/>
      <c r="E239" s="7"/>
      <c r="F239" s="7"/>
      <c r="G239" s="7"/>
      <c r="H239" s="7"/>
      <c r="I239" s="25"/>
    </row>
    <row r="240" spans="1:9">
      <c r="A240" s="24" t="str">
        <f>"VOUT = "&amp;'Design Converter'!E10&amp;"V"</f>
        <v>VOUT = 15V</v>
      </c>
      <c r="B240" s="7" t="str">
        <f>'Design Converter'!E10&amp;"V"</f>
        <v>15V</v>
      </c>
      <c r="C240" s="39"/>
      <c r="D240" s="7">
        <f>MODE</f>
        <v>1</v>
      </c>
      <c r="E240" s="7"/>
      <c r="F240" s="7"/>
      <c r="G240" s="7"/>
      <c r="H240" s="7"/>
      <c r="I240" s="25"/>
    </row>
    <row r="241" spans="1:9">
      <c r="A241" s="24" t="str">
        <f>"VOUT2 = "&amp;'Design Converter'!E12&amp;"V"</f>
        <v>VOUT2 = 8V</v>
      </c>
      <c r="B241" s="7" t="str">
        <f>IF(MODE_TOP="DUAL", 'Design Converter'!E12&amp;"V", "")</f>
        <v/>
      </c>
      <c r="C241" s="39"/>
      <c r="D241" s="77" t="b">
        <f>MODE=2</f>
        <v>0</v>
      </c>
      <c r="E241" s="7"/>
      <c r="F241" s="7"/>
      <c r="G241" s="7"/>
      <c r="H241" s="7"/>
      <c r="I241" s="25"/>
    </row>
    <row r="242" spans="1:9">
      <c r="A242" s="24" t="str">
        <f>"VOUT2 = "&amp;'Design Converter'!E12&amp;"V"</f>
        <v>VOUT2 = 8V</v>
      </c>
      <c r="B242" s="7" t="str">
        <f>IF(MODE_TOP="BIPOLAR", 'Design Converter'!E12&amp;"V", "")</f>
        <v/>
      </c>
      <c r="C242" s="39"/>
      <c r="D242" s="7"/>
      <c r="E242" s="7"/>
      <c r="F242" s="7"/>
      <c r="G242" s="7"/>
      <c r="H242" s="7"/>
      <c r="I242" s="25"/>
    </row>
    <row r="243" spans="1:9">
      <c r="A243" s="24"/>
      <c r="B243" s="7"/>
      <c r="C243" s="39"/>
      <c r="D243" s="7"/>
      <c r="E243" s="7"/>
      <c r="F243" s="7"/>
      <c r="G243" s="7"/>
      <c r="H243" s="7"/>
      <c r="I243" s="25"/>
    </row>
    <row r="244" spans="1:9">
      <c r="A244" s="396" t="s">
        <v>510</v>
      </c>
      <c r="B244" s="77" t="str">
        <f>IF(MODE=1, "", "Co1")</f>
        <v/>
      </c>
      <c r="C244" s="77" t="str">
        <f>IF(MODE_TOP="DUAL", "Co2", "")</f>
        <v/>
      </c>
      <c r="D244" s="77" t="str">
        <f>IF(MODE_TOP="BIPOLAR", "Co2", "")</f>
        <v/>
      </c>
      <c r="E244" s="7"/>
      <c r="F244" s="77" t="str">
        <f>MODE_TOP</f>
        <v>SINGLE</v>
      </c>
      <c r="G244" s="7"/>
      <c r="H244" s="7"/>
      <c r="I244" s="25"/>
    </row>
    <row r="245" spans="1:9" ht="12.5">
      <c r="A245" s="24" t="str">
        <f>"COUT = "&amp;'Design Converter'!$E$34&amp;"µF"</f>
        <v>COUT = 110µF</v>
      </c>
      <c r="B245" s="7" t="str">
        <f>'Design Converter'!$E$34&amp;"µF"</f>
        <v>110µF</v>
      </c>
      <c r="C245" s="7" t="str">
        <f>IF(MODE_TOP="DUAL", 'Design Converter'!$L$34&amp;"µF", "")</f>
        <v/>
      </c>
      <c r="D245" s="7" t="str">
        <f>IF(MODE_TOP="BIPOLAR", 'Design Converter'!$L$34&amp;"µF", "")</f>
        <v/>
      </c>
      <c r="E245" s="7"/>
      <c r="F245" s="7" t="str">
        <f>'Design Converter'!$L$34&amp;"µF"</f>
        <v>55µF</v>
      </c>
      <c r="G245" s="7"/>
      <c r="H245" s="7"/>
      <c r="I245" s="25"/>
    </row>
    <row r="246" spans="1:9">
      <c r="A246" s="110" t="s">
        <v>134</v>
      </c>
      <c r="B246" s="7" t="str">
        <f>"22µF"</f>
        <v>22µF</v>
      </c>
      <c r="C246" s="39"/>
      <c r="D246" s="7"/>
      <c r="E246" s="7"/>
      <c r="F246" s="7"/>
      <c r="G246" s="7"/>
      <c r="H246" s="7"/>
      <c r="I246" s="25"/>
    </row>
    <row r="247" spans="1:9">
      <c r="A247" s="110" t="s">
        <v>135</v>
      </c>
      <c r="B247" s="78" t="str">
        <f>ROUNDUP(Cout/22,0)&amp;" x"</f>
        <v>5 x</v>
      </c>
      <c r="C247" s="160"/>
      <c r="D247" s="7"/>
      <c r="E247" s="7"/>
      <c r="F247" s="7"/>
      <c r="G247" s="7"/>
      <c r="H247" s="7"/>
      <c r="I247" s="25"/>
    </row>
    <row r="248" spans="1:9">
      <c r="A248" s="110"/>
      <c r="B248" s="78">
        <f>Cout</f>
        <v>110</v>
      </c>
      <c r="C248" s="160"/>
      <c r="D248" s="7"/>
      <c r="E248" s="7"/>
      <c r="F248" s="7"/>
      <c r="G248" s="7"/>
      <c r="H248" s="7"/>
      <c r="I248" s="25"/>
    </row>
    <row r="249" spans="1:9">
      <c r="A249" s="396" t="s">
        <v>511</v>
      </c>
      <c r="B249" s="7"/>
      <c r="C249" s="39"/>
      <c r="D249" s="7"/>
      <c r="E249" s="7"/>
      <c r="F249" s="7"/>
      <c r="G249" s="7"/>
      <c r="H249" s="7"/>
      <c r="I249" s="25"/>
    </row>
    <row r="250" spans="1:9">
      <c r="A250" s="24" t="s">
        <v>95</v>
      </c>
      <c r="B250" s="7" t="str">
        <f>Cin&amp;"µF"</f>
        <v>22µF</v>
      </c>
      <c r="E250" s="7"/>
      <c r="F250" s="7"/>
      <c r="G250" s="7"/>
      <c r="H250" s="7"/>
      <c r="I250" s="25"/>
    </row>
    <row r="251" spans="1:9">
      <c r="A251" s="110" t="s">
        <v>133</v>
      </c>
      <c r="B251" s="7" t="str">
        <f>"4.7µF"</f>
        <v>4.7µF</v>
      </c>
      <c r="C251" s="39"/>
      <c r="D251" s="7"/>
      <c r="E251" s="7"/>
      <c r="F251" s="7"/>
      <c r="G251" s="7"/>
      <c r="H251" s="7"/>
      <c r="I251" s="25"/>
    </row>
    <row r="252" spans="1:9">
      <c r="A252" s="110" t="s">
        <v>132</v>
      </c>
      <c r="B252" s="78" t="str">
        <f>ROUNDUP(Cin/4.7,0)&amp;" x"</f>
        <v>5 x</v>
      </c>
      <c r="C252" s="160"/>
      <c r="D252" s="7"/>
      <c r="E252" s="7"/>
      <c r="F252" s="7"/>
      <c r="G252" s="7"/>
      <c r="H252" s="7"/>
      <c r="I252" s="25"/>
    </row>
    <row r="253" spans="1:9">
      <c r="A253" s="110"/>
      <c r="B253" s="78"/>
      <c r="D253" s="7"/>
      <c r="E253" s="7"/>
      <c r="F253" s="7"/>
      <c r="G253" s="7"/>
      <c r="H253" s="7"/>
      <c r="I253" s="25"/>
    </row>
    <row r="254" spans="1:9" ht="15.5">
      <c r="A254" s="110" t="s">
        <v>512</v>
      </c>
      <c r="B254" s="577" t="s">
        <v>513</v>
      </c>
      <c r="C254" s="577" t="s">
        <v>551</v>
      </c>
      <c r="D254" s="7"/>
      <c r="E254" s="7"/>
      <c r="F254" s="7"/>
      <c r="G254" s="7"/>
      <c r="H254" s="7"/>
      <c r="I254" s="25"/>
    </row>
    <row r="255" spans="1:9">
      <c r="A255" s="110"/>
      <c r="B255" s="78"/>
      <c r="D255" s="7"/>
      <c r="E255" s="7"/>
      <c r="F255" s="7"/>
      <c r="G255" s="7"/>
      <c r="H255" s="7"/>
      <c r="I255" s="25"/>
    </row>
    <row r="256" spans="1:9">
      <c r="A256" s="396" t="s">
        <v>383</v>
      </c>
      <c r="B256" s="160" t="str">
        <f>IF(MODE_TC=1, "YES", "NO")</f>
        <v>NO</v>
      </c>
      <c r="D256" s="7"/>
      <c r="E256" s="7"/>
      <c r="F256" s="7"/>
      <c r="G256" s="7"/>
      <c r="H256" s="7"/>
      <c r="I256" s="25"/>
    </row>
    <row r="257" spans="1:9">
      <c r="A257" s="110" t="s">
        <v>298</v>
      </c>
      <c r="B257" s="160" t="str">
        <f>IF(MODE_TC=2, "YES", "NO")</f>
        <v>YES</v>
      </c>
      <c r="C257" s="386" t="str">
        <f>IF(MODE_TC=2, "R1", "")</f>
        <v>R1</v>
      </c>
      <c r="D257" s="386" t="str">
        <f>IF(MODE_TC=2, "R2", "")</f>
        <v>R2</v>
      </c>
      <c r="E257" s="386"/>
      <c r="F257" s="7"/>
      <c r="G257" s="7"/>
      <c r="H257" s="7"/>
      <c r="I257" s="25"/>
    </row>
    <row r="258" spans="1:9" ht="12.5">
      <c r="A258" s="24" t="str">
        <f>"RFB = "&amp;'Design Converter'!E39&amp;"kΩ"</f>
        <v>RFB = 154kΩ</v>
      </c>
      <c r="B258" s="7" t="str">
        <f>IF(MODE_TC=1, "", 'Design Converter'!E39&amp;"kΩ")</f>
        <v>154kΩ</v>
      </c>
      <c r="C258" s="77" t="str">
        <f>'Design Converter'!E39&amp;"kΩ"</f>
        <v>154kΩ</v>
      </c>
      <c r="D258" s="7"/>
      <c r="E258" s="7"/>
      <c r="F258" s="7"/>
      <c r="G258" s="7"/>
      <c r="H258" s="7"/>
      <c r="I258" s="25"/>
    </row>
    <row r="259" spans="1:9" ht="12.5">
      <c r="A259" s="24" t="str">
        <f>"RFB2 = "&amp;IF(Vout=Vref,"OPEN",'Design Converter'!E40&amp;"kΩ")</f>
        <v>RFB2 = 168kΩ</v>
      </c>
      <c r="B259" s="7" t="str">
        <f>IF(MODE_TC=1, "", IF(Vout=Vref,"OPEN",Rfb2_u/1000&amp;"kΩ"))</f>
        <v>0.169kΩ</v>
      </c>
      <c r="C259" s="77" t="str">
        <f>'Design Converter'!E40&amp;"kΩ"</f>
        <v>168kΩ</v>
      </c>
      <c r="D259" s="7"/>
      <c r="E259" s="7"/>
      <c r="F259" s="7"/>
      <c r="G259" s="7"/>
      <c r="H259" s="7"/>
      <c r="I259" s="25"/>
    </row>
    <row r="260" spans="1:9" ht="12.5">
      <c r="A260" s="24"/>
      <c r="B260" s="7"/>
      <c r="C260" s="77"/>
      <c r="D260" s="7"/>
      <c r="E260" s="7"/>
      <c r="F260" s="7"/>
      <c r="G260" s="7"/>
      <c r="H260" s="7"/>
      <c r="I260" s="25"/>
    </row>
    <row r="261" spans="1:9">
      <c r="A261" s="110" t="s">
        <v>302</v>
      </c>
      <c r="B261" s="39" t="str">
        <f>IF(MODE=1, "YES", "NO")</f>
        <v>YES</v>
      </c>
      <c r="C261" s="7" t="str">
        <f>IF(MODE=1,"Rt", "")</f>
        <v>Rt</v>
      </c>
      <c r="D261" s="7"/>
      <c r="E261" s="7"/>
      <c r="F261" s="7"/>
      <c r="G261" s="7"/>
      <c r="H261" s="7"/>
      <c r="I261" s="25"/>
    </row>
    <row r="262" spans="1:9">
      <c r="A262" s="110" t="s">
        <v>139</v>
      </c>
      <c r="B262" s="7" t="e">
        <f>IF(MODE=2, "", 'Standard Value Calculator'!J4/1000&amp;"kΩ")</f>
        <v>#NAME?</v>
      </c>
      <c r="C262" s="39"/>
      <c r="D262" s="7"/>
      <c r="E262" s="7"/>
      <c r="F262" s="7"/>
      <c r="G262" s="7"/>
      <c r="H262" s="7"/>
      <c r="I262" s="25"/>
    </row>
    <row r="263" spans="1:9">
      <c r="A263" s="110"/>
      <c r="B263" s="7"/>
      <c r="C263" s="39"/>
      <c r="D263" s="7"/>
      <c r="E263" s="7"/>
      <c r="F263" s="7"/>
      <c r="G263" s="7"/>
      <c r="H263" s="7"/>
      <c r="I263" s="25"/>
    </row>
    <row r="264" spans="1:9">
      <c r="A264" s="396" t="s">
        <v>374</v>
      </c>
      <c r="B264" s="160" t="str">
        <f>IF(MODE=1, "YES", "NO")</f>
        <v>YES</v>
      </c>
      <c r="C264" s="77" t="str">
        <f>IF(TC=1,"Rtc", "")</f>
        <v/>
      </c>
      <c r="D264" s="7"/>
      <c r="E264" s="7"/>
      <c r="F264" s="7"/>
      <c r="G264" s="7"/>
      <c r="H264" s="7"/>
      <c r="I264" s="25"/>
    </row>
    <row r="265" spans="1:9" ht="12.5">
      <c r="A265" s="521" t="str">
        <f>"RTC = "&amp;RTC&amp;"kΩ"</f>
        <v>RTC = 357kΩ</v>
      </c>
      <c r="B265" s="7" t="str">
        <f>IF(TC=1, RTC&amp;"kΩ", "")</f>
        <v/>
      </c>
      <c r="C265" s="77" t="str">
        <f>CHOOSE(TC,"Rtc","")</f>
        <v/>
      </c>
      <c r="D265" s="7"/>
      <c r="E265" s="7"/>
      <c r="F265" s="8"/>
      <c r="G265" s="7"/>
      <c r="H265" s="7"/>
      <c r="I265" s="25"/>
    </row>
    <row r="266" spans="1:9" ht="12.5">
      <c r="A266" s="110" t="s">
        <v>377</v>
      </c>
      <c r="B266" s="368"/>
      <c r="C266" s="7"/>
      <c r="D266" s="7"/>
      <c r="E266" s="7"/>
      <c r="F266" s="8"/>
      <c r="G266" s="7"/>
      <c r="H266" s="7"/>
      <c r="I266" s="25"/>
    </row>
    <row r="267" spans="1:9">
      <c r="A267" s="24"/>
      <c r="B267" s="78"/>
      <c r="C267" s="160"/>
      <c r="D267" s="7"/>
      <c r="E267" s="113"/>
      <c r="F267" s="7"/>
      <c r="G267" s="7"/>
      <c r="H267" s="7"/>
      <c r="I267" s="25"/>
    </row>
    <row r="268" spans="1:9">
      <c r="A268" s="396" t="s">
        <v>305</v>
      </c>
      <c r="B268" s="160" t="str">
        <f>IF(MODE_UVLO=1, "YES", "NO")</f>
        <v>YES</v>
      </c>
      <c r="C268" s="386" t="str">
        <f>IF(MODE_UVLO=1, "Ruv1", "")</f>
        <v>Ruv1</v>
      </c>
      <c r="D268" s="386" t="str">
        <f>IF(MODE_UVLO=1, "Ruv2", "")</f>
        <v>Ruv2</v>
      </c>
      <c r="E268" s="386"/>
      <c r="F268" s="386" t="s">
        <v>6</v>
      </c>
      <c r="G268" s="386" t="s">
        <v>33</v>
      </c>
      <c r="H268" s="77" t="s">
        <v>339</v>
      </c>
      <c r="I268" s="25"/>
    </row>
    <row r="269" spans="1:9" ht="12.5">
      <c r="A269" s="24" t="str">
        <f>"RUV1 = "&amp;C269</f>
        <v>RUV1 = 196kΩ</v>
      </c>
      <c r="B269" s="7" t="str">
        <f>'Design Converter'!E50&amp;" kΩ"</f>
        <v>196 kΩ</v>
      </c>
      <c r="C269" s="386" t="str">
        <f>IF(MODE_UVLO=1,'Design Converter'!E50&amp;"kΩ", "")</f>
        <v>196kΩ</v>
      </c>
      <c r="F269" s="7">
        <f>IF(MODE_UVLO=1,'Design Converter'!E50, "")</f>
        <v>196</v>
      </c>
      <c r="G269" s="77" t="str">
        <f>IF(MODE_UVLO=1,"kΩ", "")</f>
        <v>kΩ</v>
      </c>
      <c r="H269" s="386" t="str">
        <f>IF(MODE_UVLO=1,'Design Converter'!E50&amp;"k", "")</f>
        <v>196k</v>
      </c>
      <c r="I269" s="25"/>
    </row>
    <row r="270" spans="1:9" ht="12.5">
      <c r="A270" s="24" t="str">
        <f>"RUV2 = "&amp;C270</f>
        <v>RUV2 = 16.9kΩ</v>
      </c>
      <c r="B270" s="7" t="str">
        <f>IF(D182&gt;=1000, D182/1000&amp;" MΩ", D182&amp;" kΩ")</f>
        <v>16.9 kΩ</v>
      </c>
      <c r="C270" s="386" t="str">
        <f>IF(MODE_UVLO=1, IF(D182&lt;1, D182*1000&amp;"Ω", IF(D182&lt;1000, D182&amp;"kΩ", D182/1000&amp;"MΩ")), "")</f>
        <v>16.9kΩ</v>
      </c>
      <c r="F270" s="7">
        <f>IF(MODE_UVLO=1, IF(D182&lt;1, D182*1000, IF(D182&lt;1000, D182, D182/1000)), "")</f>
        <v>16.900000000000002</v>
      </c>
      <c r="G270" s="77" t="str">
        <f>IF(MODE_UVLO=1, IF(D182&lt;1, "Ω", IF(D182&lt;1000,"kΩ", "MΩ")), "")</f>
        <v>kΩ</v>
      </c>
      <c r="H270" s="386" t="str">
        <f>IF(MODE_UVLO=1, IF(D182&lt;1, D182*1000, IF(D182&lt;1000, D182&amp;"k", D182/1000&amp;"M")), "")</f>
        <v>16.9k</v>
      </c>
      <c r="I270" s="25"/>
    </row>
    <row r="271" spans="1:9" ht="12.5">
      <c r="A271" s="24"/>
      <c r="B271" s="7"/>
      <c r="C271" s="386"/>
      <c r="F271" s="7"/>
      <c r="G271" s="77"/>
      <c r="H271" s="386"/>
      <c r="I271" s="25"/>
    </row>
    <row r="272" spans="1:9">
      <c r="A272" s="396" t="s">
        <v>378</v>
      </c>
      <c r="B272" s="7"/>
      <c r="C272" s="386"/>
      <c r="F272" s="7"/>
      <c r="G272" s="77"/>
      <c r="H272" s="386"/>
      <c r="I272" s="25"/>
    </row>
    <row r="273" spans="1:9" ht="12.5">
      <c r="A273" s="24" t="str">
        <f>"RSET = "&amp;C273</f>
        <v>RSET = 10kΩ</v>
      </c>
      <c r="B273" s="77" t="s">
        <v>783</v>
      </c>
      <c r="C273" s="77" t="s">
        <v>784</v>
      </c>
      <c r="F273" s="7">
        <f>IF(MODE_UVLO=1, IF(D183&lt;1, D183*1000, IF(D183&lt;1000, D183, D183/1000)), "")</f>
        <v>0</v>
      </c>
      <c r="G273" s="77" t="str">
        <f>IF(MODE_UVLO=1, IF(D183&lt;1, "Ω", IF(D183&lt;1000,"kΩ", "MΩ")), "")</f>
        <v>Ω</v>
      </c>
      <c r="H273" s="386">
        <f>IF(MODE_UVLO=1, IF(D183&lt;1, D183*1000, IF(D183&lt;1000, D183&amp;"k", D183&amp;"M")), "")</f>
        <v>0</v>
      </c>
      <c r="I273" s="25"/>
    </row>
    <row r="274" spans="1:9" ht="12.5">
      <c r="A274" s="24"/>
      <c r="B274" s="77"/>
      <c r="C274" s="77"/>
      <c r="F274" s="7"/>
      <c r="G274" s="77"/>
      <c r="H274" s="386"/>
      <c r="I274" s="25"/>
    </row>
    <row r="275" spans="1:9">
      <c r="A275" s="396" t="s">
        <v>379</v>
      </c>
      <c r="B275" s="78"/>
      <c r="C275" s="160"/>
      <c r="D275" s="7"/>
      <c r="E275" s="113"/>
      <c r="F275" s="7"/>
      <c r="G275" s="7"/>
      <c r="H275" s="7"/>
      <c r="I275" s="25"/>
    </row>
    <row r="276" spans="1:9">
      <c r="A276" s="24" t="str">
        <f>"Css = "&amp;Css*1000000000&amp;"nF"</f>
        <v>Css = 50nF</v>
      </c>
      <c r="B276" s="7" t="str">
        <f>Css*1000000000&amp;"nF"</f>
        <v>50nF</v>
      </c>
      <c r="D276" s="7"/>
      <c r="E276" s="7"/>
      <c r="F276" s="7"/>
      <c r="G276" s="7"/>
      <c r="H276" s="7"/>
      <c r="I276" s="25"/>
    </row>
    <row r="277" spans="1:9" ht="12.5">
      <c r="A277" s="24" t="s">
        <v>66</v>
      </c>
      <c r="B277" s="7" t="str">
        <f>CHOOSE(MODE_SS,'Standard Value Calculator'!B4*1000000000&amp;"nF","")</f>
        <v/>
      </c>
      <c r="C277" s="7" t="str">
        <f>CHOOSE(MODE_SS,"Css","")</f>
        <v/>
      </c>
      <c r="D277" s="397" t="str">
        <f>B277</f>
        <v/>
      </c>
      <c r="E277" s="7"/>
      <c r="F277" s="7"/>
      <c r="G277" s="7"/>
      <c r="H277" s="7"/>
      <c r="I277" s="25"/>
    </row>
    <row r="278" spans="1:9">
      <c r="A278" s="24"/>
      <c r="B278" s="7"/>
      <c r="C278" s="77" t="str">
        <f>C277</f>
        <v/>
      </c>
      <c r="D278" s="39"/>
      <c r="E278" s="7"/>
      <c r="F278" s="7"/>
      <c r="G278" s="7"/>
      <c r="H278" s="7"/>
      <c r="I278" s="25"/>
    </row>
    <row r="279" spans="1:9">
      <c r="A279" s="24"/>
      <c r="B279" s="7"/>
      <c r="C279" s="77"/>
      <c r="D279" s="39"/>
      <c r="E279" s="7"/>
      <c r="F279" s="7"/>
      <c r="G279" s="7"/>
      <c r="H279" s="7"/>
      <c r="I279" s="25"/>
    </row>
    <row r="280" spans="1:9" ht="12.5">
      <c r="A280" s="110" t="s">
        <v>640</v>
      </c>
      <c r="B280" s="77">
        <f>ROUND(Iout*2,1)</f>
        <v>20</v>
      </c>
      <c r="C280" s="77" t="s">
        <v>1</v>
      </c>
      <c r="D280" s="7"/>
      <c r="E280" s="7"/>
      <c r="F280" s="7"/>
      <c r="G280" s="7"/>
      <c r="H280" s="7"/>
      <c r="I280" s="25"/>
    </row>
    <row r="281" spans="1:9" ht="12.5">
      <c r="A281" s="110" t="s">
        <v>641</v>
      </c>
      <c r="B281">
        <f>ROUND(VRRM_DIODE,0)</f>
        <v>100</v>
      </c>
      <c r="C281" s="77" t="s">
        <v>0</v>
      </c>
      <c r="D281" s="7"/>
      <c r="E281" s="7"/>
      <c r="F281" s="7"/>
      <c r="G281" s="7"/>
      <c r="H281" s="7"/>
      <c r="I281" s="25"/>
    </row>
    <row r="282" spans="1:9">
      <c r="F282" s="7"/>
      <c r="G282" s="7"/>
      <c r="H282" s="7"/>
      <c r="I282" s="25"/>
    </row>
    <row r="283" spans="1:9" ht="12.5">
      <c r="A283" s="110"/>
      <c r="B283" s="368"/>
      <c r="C283" s="7"/>
      <c r="D283" s="7"/>
      <c r="E283" s="7"/>
      <c r="F283" s="7"/>
      <c r="G283" s="7"/>
      <c r="H283" s="7"/>
      <c r="I283" s="25"/>
    </row>
    <row r="284" spans="1:9" ht="12.5">
      <c r="A284" s="110" t="s">
        <v>129</v>
      </c>
      <c r="B284" s="77" t="s">
        <v>310</v>
      </c>
      <c r="C284" s="7"/>
      <c r="D284" s="7"/>
      <c r="E284" s="7"/>
      <c r="F284" s="7"/>
      <c r="G284" s="7"/>
      <c r="H284" s="7"/>
      <c r="I284" s="25"/>
    </row>
    <row r="285" spans="1:9" ht="12.5">
      <c r="A285" s="110"/>
      <c r="B285" s="77"/>
      <c r="C285" s="7"/>
      <c r="D285" s="7"/>
      <c r="E285" s="7"/>
      <c r="F285" s="7"/>
      <c r="G285" s="7"/>
      <c r="H285" s="7"/>
      <c r="I285" s="25"/>
    </row>
    <row r="286" spans="1:9" ht="12.5">
      <c r="A286" s="110" t="s">
        <v>183</v>
      </c>
      <c r="B286" s="353" t="str">
        <f>CHOOSE(MODE, ROUND('Calculations - Single'!$CB$105,1)&amp;"%", ROUND('Calculations - Dual'!CB105,1)&amp;"%")</f>
        <v>82.8%</v>
      </c>
      <c r="C286" s="7"/>
      <c r="D286" s="7"/>
      <c r="E286" s="7"/>
      <c r="F286" s="7"/>
      <c r="G286" s="7"/>
      <c r="H286" s="7"/>
      <c r="I286" s="25"/>
    </row>
    <row r="287" spans="1:9" ht="12.5">
      <c r="A287" s="110" t="s">
        <v>492</v>
      </c>
      <c r="B287" s="353" t="str">
        <f>ROUND('Calculations - Single'!$CB$55,1)&amp;"%"</f>
        <v>89.6%</v>
      </c>
      <c r="C287" s="7"/>
      <c r="D287" s="7"/>
      <c r="E287" s="7"/>
      <c r="F287" s="7"/>
      <c r="G287" s="7"/>
      <c r="H287" s="7"/>
      <c r="I287" s="25"/>
    </row>
    <row r="288" spans="1:9" ht="12.5">
      <c r="A288" s="110" t="s">
        <v>307</v>
      </c>
      <c r="B288" s="353" t="str">
        <f>ROUND('Calculations - Single'!$CB$15,1)&amp;"%"</f>
        <v>84.7%</v>
      </c>
      <c r="C288" s="77" t="s">
        <v>312</v>
      </c>
      <c r="D288" s="7"/>
      <c r="E288" s="7"/>
      <c r="F288" s="7"/>
      <c r="G288" s="7"/>
      <c r="H288" s="7"/>
      <c r="I288" s="25"/>
    </row>
    <row r="289" spans="1:9" ht="12.5">
      <c r="A289" s="110" t="s">
        <v>311</v>
      </c>
      <c r="B289" s="353" t="str">
        <f>ROUND(Parameters!BZ56,1)&amp;"%"</f>
        <v>0%</v>
      </c>
      <c r="C289" s="77" t="s">
        <v>313</v>
      </c>
      <c r="D289" s="7"/>
      <c r="E289" s="7"/>
      <c r="F289" s="7"/>
      <c r="G289" s="7"/>
      <c r="H289" s="7"/>
      <c r="I289" s="25"/>
    </row>
    <row r="290" spans="1:9">
      <c r="A290" s="24"/>
      <c r="B290" s="7"/>
      <c r="C290" s="39"/>
      <c r="D290" s="7"/>
      <c r="E290" s="7"/>
      <c r="F290" s="7"/>
      <c r="G290" s="7"/>
      <c r="H290" s="7"/>
      <c r="I290" s="25"/>
    </row>
    <row r="291" spans="1:9">
      <c r="A291" s="24"/>
      <c r="B291" s="7"/>
      <c r="C291" s="39"/>
      <c r="D291" s="7"/>
      <c r="E291" s="7"/>
      <c r="F291" s="7"/>
      <c r="G291" s="7"/>
      <c r="H291" s="7"/>
      <c r="I291" s="25"/>
    </row>
    <row r="292" spans="1:9">
      <c r="A292" s="24"/>
      <c r="B292" s="7"/>
      <c r="C292" s="39"/>
      <c r="D292" s="7"/>
      <c r="E292" s="7"/>
      <c r="F292" s="7"/>
      <c r="G292" s="7"/>
      <c r="H292" s="7"/>
      <c r="I292" s="25"/>
    </row>
    <row r="293" spans="1:9">
      <c r="A293" s="24" t="s">
        <v>80</v>
      </c>
      <c r="B293" s="7" t="str">
        <f>IF(C293="y","","|")</f>
        <v>|</v>
      </c>
      <c r="C293" s="39" t="s">
        <v>319</v>
      </c>
      <c r="D293" s="7"/>
      <c r="E293" s="7"/>
      <c r="F293" s="7"/>
      <c r="G293" s="7"/>
      <c r="H293" s="7"/>
      <c r="I293" s="25"/>
    </row>
    <row r="294" spans="1:9">
      <c r="A294" s="24"/>
      <c r="B294" s="7"/>
      <c r="C294" s="39"/>
      <c r="D294" s="7"/>
      <c r="E294" s="7"/>
      <c r="F294" s="7"/>
      <c r="G294" s="7"/>
      <c r="H294" s="7"/>
      <c r="I294" s="25"/>
    </row>
    <row r="295" spans="1:9">
      <c r="A295" s="499" t="s">
        <v>86</v>
      </c>
      <c r="B295" s="7" t="str">
        <f>'Design Converter'!$E$11&amp;"A"</f>
        <v>10A</v>
      </c>
      <c r="C295" s="39"/>
      <c r="D295" s="7"/>
      <c r="E295" s="7"/>
      <c r="F295" s="7"/>
      <c r="G295" s="7"/>
      <c r="H295" s="7"/>
      <c r="I295" s="25"/>
    </row>
    <row r="296" spans="1:9">
      <c r="A296" s="499" t="s">
        <v>509</v>
      </c>
      <c r="B296" s="7" t="str">
        <f>IF(MODE_TOP="DUAL", 'Design Converter'!$E$13&amp;"A", "")</f>
        <v/>
      </c>
      <c r="C296" s="39"/>
      <c r="D296" s="77">
        <f>MODE</f>
        <v>1</v>
      </c>
      <c r="E296" s="7"/>
      <c r="F296" s="7"/>
      <c r="G296" s="7"/>
      <c r="H296" s="7"/>
      <c r="I296" s="25"/>
    </row>
    <row r="297" spans="1:9">
      <c r="A297" s="499" t="s">
        <v>508</v>
      </c>
      <c r="B297" s="7" t="str">
        <f>IF(MODE_TOP="BIPOLAR", Iout2_actual&amp;"A", "")</f>
        <v/>
      </c>
      <c r="C297" s="39"/>
      <c r="D297" s="7"/>
      <c r="E297" s="7"/>
      <c r="F297" s="7"/>
      <c r="G297" s="7"/>
      <c r="H297" s="7"/>
      <c r="I297" s="25"/>
    </row>
    <row r="298" spans="1:9">
      <c r="A298" s="24"/>
      <c r="B298" s="7"/>
      <c r="C298" s="39"/>
      <c r="D298" s="7"/>
      <c r="E298" s="7"/>
      <c r="F298" s="7"/>
      <c r="G298" s="7"/>
      <c r="H298" s="7"/>
      <c r="I298" s="25"/>
    </row>
    <row r="299" spans="1:9">
      <c r="A299" s="110" t="s">
        <v>94</v>
      </c>
      <c r="B299" s="7">
        <v>1</v>
      </c>
      <c r="C299" s="39"/>
      <c r="D299" s="7"/>
      <c r="E299" s="7"/>
      <c r="F299" s="7"/>
      <c r="G299" s="7"/>
      <c r="H299" s="7"/>
      <c r="I299" s="25"/>
    </row>
    <row r="300" spans="1:9">
      <c r="A300" s="110" t="s">
        <v>93</v>
      </c>
      <c r="B300" s="7">
        <v>2</v>
      </c>
      <c r="C300" s="39"/>
      <c r="D300" s="7"/>
      <c r="E300" s="7"/>
      <c r="F300" s="7"/>
      <c r="G300" s="7"/>
      <c r="H300" s="7"/>
      <c r="I300" s="25"/>
    </row>
    <row r="301" spans="1:9">
      <c r="A301" s="593" t="s">
        <v>57</v>
      </c>
      <c r="B301" s="7">
        <v>3</v>
      </c>
      <c r="C301" s="39"/>
      <c r="D301" s="7"/>
      <c r="E301" s="7"/>
      <c r="F301" s="7"/>
      <c r="G301" s="7"/>
      <c r="H301" s="7"/>
      <c r="I301" s="25"/>
    </row>
    <row r="302" spans="1:9">
      <c r="A302" s="110" t="s">
        <v>552</v>
      </c>
      <c r="B302" s="7">
        <v>4</v>
      </c>
      <c r="C302" s="39"/>
      <c r="D302" s="7"/>
      <c r="E302" s="7"/>
      <c r="F302" s="7"/>
      <c r="G302" s="7"/>
      <c r="H302" s="7"/>
      <c r="I302" s="25"/>
    </row>
    <row r="303" spans="1:9">
      <c r="A303" s="110" t="s">
        <v>553</v>
      </c>
      <c r="B303" s="7">
        <v>5</v>
      </c>
      <c r="C303" s="39"/>
      <c r="D303" s="7"/>
      <c r="E303" s="7"/>
      <c r="F303" s="7"/>
      <c r="G303" s="7"/>
      <c r="H303" s="7"/>
      <c r="I303" s="25"/>
    </row>
    <row r="304" spans="1:9">
      <c r="A304" s="110" t="s">
        <v>554</v>
      </c>
      <c r="B304" s="7">
        <v>6</v>
      </c>
      <c r="C304" s="39"/>
      <c r="D304" s="7"/>
      <c r="E304" s="7"/>
      <c r="F304" s="7"/>
      <c r="G304" s="7"/>
      <c r="H304" s="7"/>
      <c r="I304" s="25"/>
    </row>
    <row r="305" spans="1:9">
      <c r="A305" s="110" t="s">
        <v>555</v>
      </c>
      <c r="B305" s="7">
        <v>7</v>
      </c>
      <c r="C305" s="39"/>
      <c r="D305" s="7"/>
      <c r="E305" s="7"/>
      <c r="F305" s="7"/>
      <c r="G305" s="7"/>
      <c r="H305" s="7"/>
      <c r="I305" s="25"/>
    </row>
    <row r="306" spans="1:9">
      <c r="A306" s="593" t="s">
        <v>92</v>
      </c>
      <c r="B306" s="7">
        <v>8</v>
      </c>
      <c r="C306" s="39"/>
      <c r="D306" s="7"/>
      <c r="E306" s="7"/>
      <c r="F306" s="7"/>
      <c r="G306" s="7"/>
      <c r="H306" s="7"/>
      <c r="I306" s="25"/>
    </row>
    <row r="307" spans="1:9" ht="13.5" thickBot="1">
      <c r="A307" s="207"/>
      <c r="B307" s="29"/>
      <c r="C307" s="159"/>
      <c r="D307" s="29"/>
      <c r="E307" s="29"/>
      <c r="F307" s="29"/>
      <c r="G307" s="29"/>
      <c r="H307" s="29"/>
      <c r="I307" s="30"/>
    </row>
    <row r="309" spans="1:9">
      <c r="A309" t="s">
        <v>743</v>
      </c>
      <c r="B309">
        <f>'Design Converter'!$E$60</f>
        <v>1.5</v>
      </c>
      <c r="C309" s="3" t="s">
        <v>866</v>
      </c>
      <c r="D309" t="str">
        <f>B309&amp;"kΩ"</f>
        <v>1.5kΩ</v>
      </c>
    </row>
    <row r="310" spans="1:9">
      <c r="A310" t="s">
        <v>865</v>
      </c>
      <c r="B310">
        <f>'Design Converter'!$E$62</f>
        <v>47.4</v>
      </c>
      <c r="C310" s="3" t="s">
        <v>319</v>
      </c>
      <c r="D310" t="str">
        <f>B310&amp;"nF"</f>
        <v>47.4nF</v>
      </c>
    </row>
    <row r="311" spans="1:9">
      <c r="A311" t="s">
        <v>750</v>
      </c>
      <c r="B311">
        <f>'Design Converter'!$E$64</f>
        <v>316</v>
      </c>
      <c r="C311" s="3" t="s">
        <v>170</v>
      </c>
      <c r="D311" t="str">
        <f>B311&amp;"pF"</f>
        <v>316pF</v>
      </c>
    </row>
    <row r="313" spans="1:9">
      <c r="A313" t="s">
        <v>771</v>
      </c>
      <c r="B313">
        <f>RCS</f>
        <v>2</v>
      </c>
      <c r="C313" s="3" t="s">
        <v>867</v>
      </c>
      <c r="D313" t="str">
        <f>B313&amp;"mΩ"</f>
        <v>2mΩ</v>
      </c>
    </row>
    <row r="314" spans="1:9">
      <c r="A314" t="s">
        <v>868</v>
      </c>
      <c r="B314">
        <v>100</v>
      </c>
      <c r="D314" t="s">
        <v>869</v>
      </c>
    </row>
    <row r="315" spans="1:9">
      <c r="A315" t="s">
        <v>870</v>
      </c>
      <c r="B315">
        <v>100</v>
      </c>
      <c r="D315" t="str">
        <f>100&amp;"Ω"</f>
        <v>100Ω</v>
      </c>
    </row>
  </sheetData>
  <sheetProtection selectLockedCells="1" selectUnlockedCells="1"/>
  <mergeCells count="2">
    <mergeCell ref="E5:H5"/>
    <mergeCell ref="A1:I1"/>
  </mergeCells>
  <phoneticPr fontId="6" type="noConversion"/>
  <pageMargins left="0.75" right="0.75" top="1" bottom="1" header="0.5" footer="0.5"/>
  <pageSetup orientation="portrait" r:id="rId1"/>
  <headerFooter alignWithMargins="0"/>
  <ignoredErrors>
    <ignoredError sqref="R79:R8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CC133"/>
  <sheetViews>
    <sheetView showWhiteSpace="0" zoomScale="70" zoomScaleNormal="70" workbookViewId="0">
      <pane ySplit="5" topLeftCell="A6" activePane="bottomLeft" state="frozen"/>
      <selection pane="bottomLeft" activeCell="F12" sqref="F12"/>
    </sheetView>
  </sheetViews>
  <sheetFormatPr defaultColWidth="9.1796875" defaultRowHeight="12.5"/>
  <cols>
    <col min="1" max="1" width="15.7265625" style="170" customWidth="1"/>
    <col min="2" max="2" width="11.54296875" style="170" customWidth="1"/>
    <col min="3" max="3" width="9.1796875" style="170"/>
    <col min="4" max="4" width="12.453125" style="170" bestFit="1" customWidth="1"/>
    <col min="5" max="5" width="51.453125" style="170" customWidth="1"/>
    <col min="6" max="6" width="13.453125" style="170" customWidth="1"/>
    <col min="7" max="7" width="10" style="170" customWidth="1"/>
    <col min="8" max="8" width="6.81640625" style="170" customWidth="1"/>
    <col min="9" max="9" width="12.453125" style="170" bestFit="1" customWidth="1"/>
    <col min="10" max="10" width="9.1796875" style="216" customWidth="1"/>
    <col min="11" max="11" width="8.81640625"/>
    <col min="13" max="13" width="10.81640625" customWidth="1"/>
    <col min="14" max="14" width="12" style="170" customWidth="1"/>
    <col min="15" max="15" width="12.7265625" style="216" customWidth="1"/>
    <col min="16" max="16" width="11.453125" style="216" customWidth="1"/>
    <col min="17" max="17" width="12.453125" style="216" customWidth="1"/>
    <col min="18" max="19" width="10.54296875" style="197" customWidth="1"/>
    <col min="20" max="20" width="10" style="197" customWidth="1"/>
    <col min="21" max="21" width="10.54296875" style="197" customWidth="1"/>
    <col min="22" max="22" width="8.453125" style="216" customWidth="1"/>
    <col min="23" max="23" width="9.26953125" style="216" customWidth="1"/>
    <col min="24" max="24" width="9.453125" style="170" customWidth="1"/>
    <col min="25" max="25" width="9.453125" style="216" customWidth="1"/>
    <col min="26" max="26" width="8.26953125" style="217" customWidth="1"/>
    <col min="27" max="27" width="9.54296875" style="216" customWidth="1"/>
    <col min="28" max="28" width="9.453125" style="216" bestFit="1" customWidth="1"/>
    <col min="29" max="29" width="8.54296875" style="216" customWidth="1"/>
    <col min="30" max="30" width="9.7265625" style="218" customWidth="1"/>
    <col min="31" max="31" width="9.1796875" style="218" customWidth="1"/>
    <col min="32" max="32" width="8.1796875" style="216" customWidth="1"/>
    <col min="33" max="33" width="10.26953125" style="216" customWidth="1"/>
    <col min="34" max="34" width="9.453125" style="216" customWidth="1"/>
    <col min="35" max="35" width="8.81640625"/>
    <col min="36" max="36" width="9.7265625" style="216" customWidth="1"/>
    <col min="37" max="37" width="11.54296875" style="216" customWidth="1"/>
    <col min="38" max="38" width="10.1796875" style="216" customWidth="1"/>
    <col min="39" max="39" width="11.1796875" style="216" customWidth="1"/>
    <col min="40" max="40" width="9.1796875" style="216"/>
    <col min="41" max="41" width="10.26953125" style="216" customWidth="1"/>
    <col min="42" max="42" width="9.81640625" style="216" customWidth="1"/>
    <col min="43" max="43" width="9.7265625" style="216" customWidth="1"/>
    <col min="44" max="44" width="10.26953125" style="216" customWidth="1"/>
    <col min="45" max="45" width="10.1796875" style="216" customWidth="1"/>
    <col min="46" max="46" width="10.453125" style="216" customWidth="1"/>
    <col min="47" max="47" width="11.26953125" style="216" customWidth="1"/>
    <col min="48" max="48" width="11.7265625" style="216" customWidth="1"/>
    <col min="49" max="49" width="10.453125" style="216" customWidth="1"/>
    <col min="50" max="50" width="11.453125" style="216" customWidth="1"/>
    <col min="51" max="51" width="10.1796875" style="216" customWidth="1"/>
    <col min="52" max="52" width="10" style="172" bestFit="1" customWidth="1"/>
    <col min="53" max="55" width="12.7265625" style="345" customWidth="1"/>
    <col min="56" max="56" width="14" style="345" customWidth="1"/>
    <col min="57" max="57" width="12.81640625" style="345" customWidth="1"/>
    <col min="58" max="58" width="10.453125" style="345" customWidth="1"/>
    <col min="59" max="59" width="9" style="345" customWidth="1"/>
    <col min="60" max="60" width="8.81640625" style="345" customWidth="1"/>
    <col min="61" max="61" width="10.81640625" style="345" customWidth="1"/>
    <col min="62" max="62" width="11.1796875" style="345" customWidth="1"/>
    <col min="63" max="64" width="9.1796875" style="345"/>
    <col min="65" max="65" width="8.81640625" style="172" customWidth="1"/>
    <col min="66" max="66" width="9.1796875" style="217"/>
    <col min="67" max="67" width="12.54296875" style="170" customWidth="1"/>
    <col min="68" max="68" width="13.54296875" style="172" customWidth="1"/>
    <col min="69" max="69" width="12.7265625" style="197" customWidth="1"/>
    <col min="70" max="70" width="3.7265625" style="170" customWidth="1"/>
    <col min="71" max="71" width="12.453125" style="170" bestFit="1" customWidth="1"/>
    <col min="72" max="72" width="3.54296875" style="170" customWidth="1"/>
    <col min="73" max="73" width="9.1796875" style="172"/>
    <col min="74" max="74" width="11.1796875" style="172" customWidth="1"/>
    <col min="75" max="75" width="9.1796875" style="172"/>
    <col min="76" max="76" width="4.7265625" style="170" customWidth="1"/>
    <col min="77" max="77" width="3.7265625" style="170" customWidth="1"/>
    <col min="78" max="78" width="12.453125" style="170" customWidth="1"/>
    <col min="79" max="79" width="11.81640625" style="170" customWidth="1"/>
    <col min="80" max="80" width="11.54296875" style="170" customWidth="1"/>
    <col min="81" max="81" width="11.7265625" style="170" customWidth="1"/>
    <col min="82" max="82" width="9.1796875" style="170"/>
    <col min="83" max="83" width="9.1796875" style="170" customWidth="1"/>
    <col min="84" max="16384" width="9.1796875" style="170"/>
  </cols>
  <sheetData>
    <row r="1" spans="1:81">
      <c r="A1" s="943" t="s">
        <v>794</v>
      </c>
      <c r="B1" s="943"/>
      <c r="C1" s="943"/>
      <c r="D1" s="943"/>
      <c r="E1" s="943"/>
    </row>
    <row r="2" spans="1:81" ht="15.5">
      <c r="A2" s="943"/>
      <c r="B2" s="943"/>
      <c r="C2" s="943"/>
      <c r="D2" s="943"/>
      <c r="E2" s="943"/>
      <c r="G2" s="944" t="s">
        <v>22</v>
      </c>
      <c r="H2" s="944"/>
      <c r="AF2" s="216">
        <v>1.9257738538542499E-2</v>
      </c>
      <c r="AG2" s="216">
        <v>7.417209872377299E-4</v>
      </c>
      <c r="AH2" s="216">
        <v>1.2403450565440797E-3</v>
      </c>
      <c r="AI2">
        <v>20</v>
      </c>
      <c r="AJ2" s="216">
        <v>7.1523178807947021</v>
      </c>
      <c r="AK2" s="216">
        <v>0</v>
      </c>
      <c r="AL2" s="216">
        <v>8.3629954314142624E-4</v>
      </c>
      <c r="AM2" s="216">
        <v>1.5780205303791562E-3</v>
      </c>
      <c r="AO2" s="268" t="e">
        <f>Ifb</f>
        <v>#NAME?</v>
      </c>
    </row>
    <row r="3" spans="1:81" ht="13" thickBot="1">
      <c r="A3" s="943"/>
      <c r="B3" s="943"/>
      <c r="C3" s="943"/>
      <c r="D3" s="943"/>
      <c r="E3" s="943"/>
    </row>
    <row r="4" spans="1:81" ht="13.5" thickBot="1">
      <c r="A4" s="945"/>
      <c r="B4" s="945"/>
      <c r="C4" s="945"/>
      <c r="D4" s="945"/>
      <c r="E4" s="945"/>
      <c r="H4" s="220" t="s">
        <v>23</v>
      </c>
      <c r="I4" s="221"/>
      <c r="J4" s="222"/>
      <c r="K4" s="946" t="s">
        <v>189</v>
      </c>
      <c r="L4" s="947"/>
      <c r="M4" s="948"/>
      <c r="N4" s="948"/>
      <c r="O4" s="948"/>
      <c r="P4" s="947"/>
      <c r="Q4" s="947"/>
      <c r="R4" s="948"/>
      <c r="S4" s="948"/>
      <c r="T4" s="948"/>
      <c r="U4" s="949"/>
      <c r="V4" s="223" t="s">
        <v>190</v>
      </c>
      <c r="W4" s="224"/>
      <c r="X4" s="225"/>
      <c r="Y4" s="226"/>
      <c r="Z4" s="227" t="s">
        <v>14</v>
      </c>
      <c r="AA4" s="228"/>
      <c r="AB4" s="222"/>
      <c r="AC4" s="229" t="s">
        <v>28</v>
      </c>
      <c r="AD4" s="230"/>
      <c r="AE4" s="231"/>
      <c r="AF4" s="223" t="s">
        <v>191</v>
      </c>
      <c r="AG4" s="224"/>
      <c r="AH4" s="224"/>
      <c r="AI4" s="442"/>
      <c r="AJ4" s="442"/>
      <c r="AK4" s="224"/>
      <c r="AL4" s="224"/>
      <c r="AM4" s="222"/>
      <c r="AN4" s="232" t="s">
        <v>192</v>
      </c>
      <c r="AO4" s="233"/>
      <c r="AP4" s="233"/>
      <c r="AQ4" s="451" t="s">
        <v>193</v>
      </c>
      <c r="AR4" s="452"/>
      <c r="AS4" s="452"/>
      <c r="AT4" s="233"/>
      <c r="AU4" s="234"/>
      <c r="AV4" s="235"/>
      <c r="AW4" s="236"/>
      <c r="AX4" s="223" t="s">
        <v>179</v>
      </c>
      <c r="AY4" s="224"/>
      <c r="AZ4" s="225"/>
      <c r="BA4" s="346"/>
      <c r="BB4" s="346"/>
      <c r="BC4" s="346"/>
      <c r="BD4" s="346"/>
      <c r="BE4" s="346"/>
      <c r="BF4" s="346"/>
      <c r="BG4" s="346"/>
      <c r="BH4" s="346"/>
      <c r="BI4" s="346"/>
      <c r="BJ4" s="346"/>
      <c r="BK4" s="346"/>
      <c r="BL4" s="346"/>
      <c r="BM4" s="339"/>
      <c r="BN4" s="343"/>
      <c r="BO4" s="225"/>
      <c r="BP4" s="341"/>
      <c r="BQ4" s="448"/>
      <c r="BR4" s="449"/>
      <c r="BS4" s="449"/>
      <c r="BT4" s="449"/>
      <c r="BU4" s="449"/>
      <c r="BV4" s="449"/>
      <c r="BW4" s="449"/>
      <c r="BX4" s="449"/>
      <c r="BY4" s="449"/>
      <c r="BZ4" s="449"/>
      <c r="CA4" s="449"/>
      <c r="CB4" s="449"/>
      <c r="CC4" s="450"/>
    </row>
    <row r="5" spans="1:81" ht="78" customHeight="1" thickBot="1">
      <c r="A5" s="237" t="s">
        <v>42</v>
      </c>
      <c r="B5" s="238"/>
      <c r="C5" s="238"/>
      <c r="D5" s="239"/>
      <c r="E5" s="240"/>
      <c r="F5" s="189"/>
      <c r="G5" s="189"/>
      <c r="H5" s="241" t="s">
        <v>25</v>
      </c>
      <c r="I5" s="242" t="s">
        <v>194</v>
      </c>
      <c r="J5" s="243" t="s">
        <v>195</v>
      </c>
      <c r="K5" s="251" t="s">
        <v>322</v>
      </c>
      <c r="L5" s="244" t="s">
        <v>48</v>
      </c>
      <c r="M5" s="244" t="s">
        <v>323</v>
      </c>
      <c r="N5" s="444" t="s">
        <v>196</v>
      </c>
      <c r="O5" s="525" t="s">
        <v>404</v>
      </c>
      <c r="P5" s="525" t="s">
        <v>405</v>
      </c>
      <c r="Q5" s="525" t="s">
        <v>406</v>
      </c>
      <c r="R5" s="245" t="s">
        <v>197</v>
      </c>
      <c r="S5" s="246" t="s">
        <v>198</v>
      </c>
      <c r="T5" s="246" t="s">
        <v>199</v>
      </c>
      <c r="U5" s="245" t="s">
        <v>327</v>
      </c>
      <c r="V5" s="247" t="s">
        <v>200</v>
      </c>
      <c r="W5" s="244" t="s">
        <v>201</v>
      </c>
      <c r="X5" s="242" t="s">
        <v>202</v>
      </c>
      <c r="Y5" s="243" t="s">
        <v>203</v>
      </c>
      <c r="Z5" s="248" t="s">
        <v>200</v>
      </c>
      <c r="AA5" s="244" t="s">
        <v>204</v>
      </c>
      <c r="AB5" s="243" t="s">
        <v>205</v>
      </c>
      <c r="AC5" s="247" t="s">
        <v>200</v>
      </c>
      <c r="AD5" s="249" t="s">
        <v>206</v>
      </c>
      <c r="AE5" s="250" t="s">
        <v>207</v>
      </c>
      <c r="AF5" s="247" t="s">
        <v>200</v>
      </c>
      <c r="AG5" s="244" t="s">
        <v>208</v>
      </c>
      <c r="AH5" s="244" t="s">
        <v>209</v>
      </c>
      <c r="AI5" s="244" t="s">
        <v>324</v>
      </c>
      <c r="AJ5" s="244" t="s">
        <v>321</v>
      </c>
      <c r="AK5" s="244" t="s">
        <v>210</v>
      </c>
      <c r="AL5" s="251" t="s">
        <v>211</v>
      </c>
      <c r="AM5" s="243" t="s">
        <v>212</v>
      </c>
      <c r="AN5" s="252" t="s">
        <v>200</v>
      </c>
      <c r="AO5" s="253" t="s">
        <v>213</v>
      </c>
      <c r="AP5" s="253" t="s">
        <v>214</v>
      </c>
      <c r="AQ5" s="253" t="s">
        <v>215</v>
      </c>
      <c r="AR5" s="253" t="s">
        <v>216</v>
      </c>
      <c r="AS5" s="254" t="s">
        <v>217</v>
      </c>
      <c r="AT5" s="252" t="s">
        <v>218</v>
      </c>
      <c r="AU5" s="252" t="s">
        <v>219</v>
      </c>
      <c r="AV5" s="252" t="s">
        <v>220</v>
      </c>
      <c r="AW5" s="255" t="s">
        <v>221</v>
      </c>
      <c r="AX5" s="247" t="s">
        <v>222</v>
      </c>
      <c r="AY5" s="244" t="s">
        <v>223</v>
      </c>
      <c r="AZ5" s="256" t="s">
        <v>224</v>
      </c>
      <c r="BA5" s="347" t="s">
        <v>225</v>
      </c>
      <c r="BB5" s="347" t="s">
        <v>226</v>
      </c>
      <c r="BC5" s="347" t="s">
        <v>227</v>
      </c>
      <c r="BD5" s="347" t="s">
        <v>228</v>
      </c>
      <c r="BE5" s="347" t="s">
        <v>229</v>
      </c>
      <c r="BF5" s="347" t="s">
        <v>230</v>
      </c>
      <c r="BG5" s="347" t="s">
        <v>231</v>
      </c>
      <c r="BH5" s="348" t="s">
        <v>232</v>
      </c>
      <c r="BI5" s="349" t="s">
        <v>233</v>
      </c>
      <c r="BJ5" s="350" t="s">
        <v>234</v>
      </c>
      <c r="BK5" s="351" t="s">
        <v>235</v>
      </c>
      <c r="BL5" s="350" t="s">
        <v>281</v>
      </c>
      <c r="BM5" s="340" t="s">
        <v>236</v>
      </c>
      <c r="BN5" s="344" t="s">
        <v>237</v>
      </c>
      <c r="BO5" s="257" t="s">
        <v>238</v>
      </c>
      <c r="BP5" s="342" t="s">
        <v>238</v>
      </c>
      <c r="BQ5" s="258" t="s">
        <v>239</v>
      </c>
      <c r="BR5" s="259"/>
      <c r="BS5" s="260" t="s">
        <v>240</v>
      </c>
      <c r="BT5" s="259"/>
      <c r="BU5" s="354" t="s">
        <v>283</v>
      </c>
      <c r="BV5" s="355" t="s">
        <v>284</v>
      </c>
      <c r="BW5" s="447" t="s">
        <v>282</v>
      </c>
      <c r="BX5" s="259"/>
      <c r="BY5" s="259"/>
      <c r="BZ5" s="446" t="s">
        <v>289</v>
      </c>
      <c r="CA5" s="255" t="s">
        <v>340</v>
      </c>
      <c r="CB5" s="355" t="s">
        <v>291</v>
      </c>
      <c r="CC5" s="447" t="s">
        <v>290</v>
      </c>
    </row>
    <row r="6" spans="1:81" ht="13">
      <c r="A6" s="261" t="s">
        <v>26</v>
      </c>
      <c r="B6" s="262" t="s">
        <v>43</v>
      </c>
      <c r="C6" s="263" t="s">
        <v>33</v>
      </c>
      <c r="D6" s="264" t="s">
        <v>90</v>
      </c>
      <c r="E6" s="265" t="s">
        <v>41</v>
      </c>
      <c r="F6" s="266"/>
      <c r="G6" s="266"/>
      <c r="H6" s="170">
        <v>0.1</v>
      </c>
      <c r="I6" s="456">
        <f t="shared" ref="I6:I37" si="0">IF(PLOT_TYPE=1, H6/100*Iout_max, min_I*EXP(H6*rr/100))</f>
        <v>0.01</v>
      </c>
      <c r="J6" s="217"/>
      <c r="K6" s="217"/>
      <c r="L6" s="217"/>
      <c r="M6" s="217"/>
      <c r="N6" s="267"/>
      <c r="O6" s="172"/>
      <c r="P6" s="217"/>
      <c r="Q6" s="443"/>
      <c r="S6" s="268"/>
      <c r="T6" s="268"/>
      <c r="U6" s="268"/>
      <c r="AJ6" s="443"/>
      <c r="AY6" s="216">
        <f>Vout*I6</f>
        <v>0.15</v>
      </c>
      <c r="AZ6" s="269">
        <f>AY6/(AY6+AX6)</f>
        <v>1</v>
      </c>
      <c r="BA6" s="345">
        <f>AG6/($AY6+$AX6)</f>
        <v>0</v>
      </c>
      <c r="BB6" s="345">
        <f>AO6/($AY6+$AX6)</f>
        <v>0</v>
      </c>
      <c r="BC6" s="345" t="e">
        <f>Vin*R6*(QgBot+Qg)/($AY6+$AX6)</f>
        <v>#NAME?</v>
      </c>
      <c r="BD6" s="345">
        <f>AK6/($AY6+$AX6)</f>
        <v>0</v>
      </c>
      <c r="BE6" s="345">
        <f>AQ6/(AX6+AY6)</f>
        <v>0</v>
      </c>
      <c r="BF6" s="345">
        <f>AR6/($AY6+$AX6)</f>
        <v>0</v>
      </c>
      <c r="BG6" s="345">
        <f t="shared" ref="BG6:BH9" si="1">W6/($AY6+$AX6)</f>
        <v>0</v>
      </c>
      <c r="BH6" s="345">
        <f t="shared" si="1"/>
        <v>0</v>
      </c>
      <c r="BI6" s="345">
        <f>(AB6+AE6)/($AY6+$AX6)</f>
        <v>0</v>
      </c>
      <c r="BJ6" s="219">
        <f>AT6/($AY6+$AX6)</f>
        <v>0</v>
      </c>
      <c r="BK6" s="219">
        <f>AX6/($AY6+$AX6)</f>
        <v>0</v>
      </c>
      <c r="BL6" s="219">
        <f>AZ6</f>
        <v>1</v>
      </c>
      <c r="BM6" s="172">
        <f>100*BL6</f>
        <v>100</v>
      </c>
      <c r="BN6" s="217">
        <f xml:space="preserve"> CHOOSE(MODE, I6*1000,#REF!)</f>
        <v>10</v>
      </c>
      <c r="BO6" s="172">
        <v>59.702372085750142</v>
      </c>
      <c r="BP6" s="219">
        <f>BO6/100</f>
        <v>0.59702372085750144</v>
      </c>
      <c r="BQ6" s="270">
        <f>R6/1000</f>
        <v>0</v>
      </c>
      <c r="BR6" s="271"/>
      <c r="BS6" s="219">
        <f>AL6/($AY6+$AX6)</f>
        <v>0</v>
      </c>
      <c r="BT6" s="272"/>
      <c r="BU6" s="172">
        <f>1000*AW6</f>
        <v>0</v>
      </c>
      <c r="BV6" s="172">
        <f>1000*AU6</f>
        <v>0</v>
      </c>
      <c r="BW6" s="172">
        <f>1000*Y6</f>
        <v>0</v>
      </c>
      <c r="BX6" s="219"/>
      <c r="BY6" s="219"/>
      <c r="BZ6" s="172">
        <f xml:space="preserve"> IF(MODE=1, BM6,#REF!)</f>
        <v>100</v>
      </c>
      <c r="CA6" s="172">
        <f xml:space="preserve"> IF(MODE=1, BU6,#REF!)</f>
        <v>0</v>
      </c>
      <c r="CB6" s="172">
        <f xml:space="preserve"> IF(MODE=1, BV6,#REF!)</f>
        <v>0</v>
      </c>
      <c r="CC6" s="172">
        <f xml:space="preserve"> IF(MODE=1, BW6,#REF!)</f>
        <v>0</v>
      </c>
    </row>
    <row r="7" spans="1:81" ht="13">
      <c r="A7" s="418"/>
      <c r="B7" s="262"/>
      <c r="C7" s="263"/>
      <c r="D7" s="264"/>
      <c r="E7" s="265"/>
      <c r="F7" s="266"/>
      <c r="G7" s="266"/>
      <c r="H7" s="170">
        <v>1</v>
      </c>
      <c r="I7" s="456">
        <f t="shared" si="0"/>
        <v>0.1</v>
      </c>
      <c r="J7" s="217"/>
      <c r="K7" s="217"/>
      <c r="L7" s="217"/>
      <c r="M7" s="217"/>
      <c r="N7" s="267"/>
      <c r="O7" s="172"/>
      <c r="P7" s="217"/>
      <c r="Q7" s="443"/>
      <c r="S7" s="268"/>
      <c r="T7" s="268"/>
      <c r="U7" s="268"/>
      <c r="AJ7" s="443"/>
      <c r="AY7" s="216">
        <f>Vout*I7</f>
        <v>1.5</v>
      </c>
      <c r="AZ7" s="269">
        <f>AY7/(AY7+AX7)</f>
        <v>1</v>
      </c>
      <c r="BA7" s="345">
        <f>AG7/($AY7+$AX7)</f>
        <v>0</v>
      </c>
      <c r="BB7" s="345">
        <f>AO7/($AY7+$AX7)</f>
        <v>0</v>
      </c>
      <c r="BC7" s="345" t="e">
        <f>Vin*R7*(QgBot+Qg)/($AY7+$AX7)</f>
        <v>#NAME?</v>
      </c>
      <c r="BD7" s="345">
        <f>AK7/($AY7+$AX7)</f>
        <v>0</v>
      </c>
      <c r="BE7" s="345">
        <f>AQ7/(AX7+AY7)</f>
        <v>0</v>
      </c>
      <c r="BF7" s="345">
        <f>AR7/($AY7+$AX7)</f>
        <v>0</v>
      </c>
      <c r="BG7" s="345">
        <f t="shared" si="1"/>
        <v>0</v>
      </c>
      <c r="BH7" s="345">
        <f t="shared" si="1"/>
        <v>0</v>
      </c>
      <c r="BI7" s="345">
        <f>(AB7+AE7)/($AY7+$AX7)</f>
        <v>0</v>
      </c>
      <c r="BJ7" s="219">
        <f>AT7/($AY7+$AX7)</f>
        <v>0</v>
      </c>
      <c r="BK7" s="219">
        <f>AX7/($AY7+$AX7)</f>
        <v>0</v>
      </c>
      <c r="BL7" s="219">
        <f>AZ7</f>
        <v>1</v>
      </c>
      <c r="BM7" s="172">
        <f>100*BL7</f>
        <v>100</v>
      </c>
      <c r="BN7" s="217">
        <f xml:space="preserve"> CHOOSE(MODE, I7*1000,#REF!)</f>
        <v>100</v>
      </c>
      <c r="BO7" s="172">
        <v>83.682599061581868</v>
      </c>
      <c r="BP7" s="219">
        <f>BO7/100</f>
        <v>0.83682599061581864</v>
      </c>
      <c r="BQ7" s="270">
        <f>R7/1000</f>
        <v>0</v>
      </c>
      <c r="BR7" s="271"/>
      <c r="BS7" s="219">
        <f>AL7/($AY7+$AX7)</f>
        <v>0</v>
      </c>
      <c r="BT7" s="272"/>
      <c r="BU7" s="172">
        <f>1000*AW7</f>
        <v>0</v>
      </c>
      <c r="BV7" s="172">
        <f>1000*AU7</f>
        <v>0</v>
      </c>
      <c r="BW7" s="172">
        <f>1000*Y7</f>
        <v>0</v>
      </c>
      <c r="BX7" s="219"/>
      <c r="BY7" s="219"/>
      <c r="BZ7" s="172">
        <f xml:space="preserve"> IF(MODE=1, BM7,#REF!)</f>
        <v>100</v>
      </c>
      <c r="CA7" s="172">
        <f xml:space="preserve"> IF(MODE=1, BU7,#REF!)</f>
        <v>0</v>
      </c>
      <c r="CB7" s="172">
        <f xml:space="preserve"> IF(MODE=1, BV7,#REF!)</f>
        <v>0</v>
      </c>
      <c r="CC7" s="172">
        <f xml:space="preserve"> IF(MODE=1, BW7,#REF!)</f>
        <v>0</v>
      </c>
    </row>
    <row r="8" spans="1:81" ht="13">
      <c r="A8" s="273" t="s">
        <v>3</v>
      </c>
      <c r="B8" s="274">
        <f>Vin</f>
        <v>58</v>
      </c>
      <c r="C8" s="275" t="s">
        <v>0</v>
      </c>
      <c r="D8" s="194">
        <f>B8</f>
        <v>58</v>
      </c>
      <c r="E8" s="188" t="s">
        <v>3</v>
      </c>
      <c r="F8" s="266"/>
      <c r="G8" s="266"/>
      <c r="H8" s="170">
        <v>2</v>
      </c>
      <c r="I8" s="456">
        <f t="shared" si="0"/>
        <v>0.2</v>
      </c>
      <c r="J8" s="217"/>
      <c r="K8" s="217"/>
      <c r="L8" s="217"/>
      <c r="M8" s="217"/>
      <c r="N8" s="267"/>
      <c r="O8" s="172"/>
      <c r="P8" s="217"/>
      <c r="Q8" s="443"/>
      <c r="S8" s="268"/>
      <c r="T8" s="268"/>
      <c r="U8" s="268"/>
      <c r="AJ8" s="443"/>
      <c r="AY8" s="216">
        <f>Vout*I8</f>
        <v>3</v>
      </c>
      <c r="AZ8" s="269">
        <f>AY8/(AY8+AX8)</f>
        <v>1</v>
      </c>
      <c r="BA8" s="345">
        <f>AG8/($AY8+$AX8)</f>
        <v>0</v>
      </c>
      <c r="BB8" s="345">
        <f>AO8/($AY8+$AX8)</f>
        <v>0</v>
      </c>
      <c r="BC8" s="345" t="e">
        <f>Vin*R8*(QgBot+Qg)/($AY8+$AX8)</f>
        <v>#NAME?</v>
      </c>
      <c r="BD8" s="345">
        <f>AK8/($AY8+$AX8)</f>
        <v>0</v>
      </c>
      <c r="BE8" s="345">
        <f>AQ8/(AX8+AY8)</f>
        <v>0</v>
      </c>
      <c r="BF8" s="345">
        <f>AR8/($AY8+$AX8)</f>
        <v>0</v>
      </c>
      <c r="BG8" s="345">
        <f t="shared" si="1"/>
        <v>0</v>
      </c>
      <c r="BH8" s="345">
        <f t="shared" si="1"/>
        <v>0</v>
      </c>
      <c r="BI8" s="345">
        <f>(AB8+AE8)/($AY8+$AX8)</f>
        <v>0</v>
      </c>
      <c r="BJ8" s="219">
        <f>AT8/($AY8+$AX8)</f>
        <v>0</v>
      </c>
      <c r="BK8" s="219">
        <f>AX8/($AY8+$AX8)</f>
        <v>0</v>
      </c>
      <c r="BL8" s="219">
        <f>AZ8</f>
        <v>1</v>
      </c>
      <c r="BM8" s="172">
        <f>100*BL8</f>
        <v>100</v>
      </c>
      <c r="BN8" s="217">
        <f xml:space="preserve"> CHOOSE(MODE, I8*1000,#REF!)</f>
        <v>200</v>
      </c>
      <c r="BO8" s="172">
        <v>85.591306536493136</v>
      </c>
      <c r="BP8" s="219">
        <f>BO8/100</f>
        <v>0.85591306536493139</v>
      </c>
      <c r="BQ8" s="270">
        <f>R8/1000</f>
        <v>0</v>
      </c>
      <c r="BR8" s="271"/>
      <c r="BS8" s="219">
        <f>AL8/($AY8+$AX8)</f>
        <v>0</v>
      </c>
      <c r="BT8" s="272"/>
      <c r="BU8" s="172">
        <f>1000*AW8</f>
        <v>0</v>
      </c>
      <c r="BV8" s="172">
        <f>1000*AU8</f>
        <v>0</v>
      </c>
      <c r="BW8" s="172">
        <f>1000*Y8</f>
        <v>0</v>
      </c>
      <c r="BX8" s="219"/>
      <c r="BY8" s="219"/>
      <c r="BZ8" s="172">
        <f xml:space="preserve"> IF(MODE=1, BM8,#REF!)</f>
        <v>100</v>
      </c>
      <c r="CA8" s="172">
        <f xml:space="preserve"> IF(MODE=1, BU8,#REF!)</f>
        <v>0</v>
      </c>
      <c r="CB8" s="172">
        <f xml:space="preserve"> IF(MODE=1, BV8,#REF!)</f>
        <v>0</v>
      </c>
      <c r="CC8" s="172">
        <f xml:space="preserve"> IF(MODE=1, BW8,#REF!)</f>
        <v>0</v>
      </c>
    </row>
    <row r="9" spans="1:81" ht="13">
      <c r="A9" s="276" t="s">
        <v>4</v>
      </c>
      <c r="B9" s="274">
        <f>Vout</f>
        <v>15</v>
      </c>
      <c r="C9" s="275" t="s">
        <v>0</v>
      </c>
      <c r="D9" s="194">
        <f>B9</f>
        <v>15</v>
      </c>
      <c r="E9" s="188" t="s">
        <v>4</v>
      </c>
      <c r="F9" s="266"/>
      <c r="G9" s="266"/>
      <c r="H9" s="170">
        <v>3</v>
      </c>
      <c r="I9" s="456">
        <f t="shared" si="0"/>
        <v>0.3</v>
      </c>
      <c r="J9" s="217"/>
      <c r="K9" s="217"/>
      <c r="L9" s="217"/>
      <c r="M9" s="217"/>
      <c r="N9" s="267"/>
      <c r="O9" s="172"/>
      <c r="P9" s="217"/>
      <c r="Q9" s="443"/>
      <c r="S9" s="268"/>
      <c r="T9" s="268"/>
      <c r="U9" s="268"/>
      <c r="AJ9" s="443"/>
      <c r="AY9" s="216">
        <f>Vout*I9</f>
        <v>4.5</v>
      </c>
      <c r="AZ9" s="269">
        <f>AY9/(AY9+AX9)</f>
        <v>1</v>
      </c>
      <c r="BA9" s="345">
        <f>AG9/($AY9+$AX9)</f>
        <v>0</v>
      </c>
      <c r="BB9" s="345">
        <f>AO9/($AY9+$AX9)</f>
        <v>0</v>
      </c>
      <c r="BC9" s="345" t="e">
        <f>Vin*R9*(QgBot+Qg)/($AY9+$AX9)</f>
        <v>#NAME?</v>
      </c>
      <c r="BD9" s="345">
        <f>AK9/($AY9+$AX9)</f>
        <v>0</v>
      </c>
      <c r="BE9" s="345">
        <f>AQ9/(AX9+AY9)</f>
        <v>0</v>
      </c>
      <c r="BF9" s="345">
        <f>AR9/($AY9+$AX9)</f>
        <v>0</v>
      </c>
      <c r="BG9" s="345">
        <f t="shared" si="1"/>
        <v>0</v>
      </c>
      <c r="BH9" s="345">
        <f t="shared" si="1"/>
        <v>0</v>
      </c>
      <c r="BI9" s="345">
        <f>(AB9+AE9)/($AY9+$AX9)</f>
        <v>0</v>
      </c>
      <c r="BJ9" s="219">
        <f>AT9/($AY9+$AX9)</f>
        <v>0</v>
      </c>
      <c r="BK9" s="219">
        <f>AX9/($AY9+$AX9)</f>
        <v>0</v>
      </c>
      <c r="BL9" s="219">
        <f>AZ9</f>
        <v>1</v>
      </c>
      <c r="BM9" s="172">
        <f>100*BL9</f>
        <v>100</v>
      </c>
      <c r="BN9" s="217">
        <f xml:space="preserve"> CHOOSE(MODE, I9*1000,#REF!)</f>
        <v>300</v>
      </c>
      <c r="BO9" s="172">
        <v>86.246143423411425</v>
      </c>
      <c r="BP9" s="219">
        <f>BO9/100</f>
        <v>0.86246143423411425</v>
      </c>
      <c r="BQ9" s="270">
        <f>R9/1000</f>
        <v>0</v>
      </c>
      <c r="BR9" s="271"/>
      <c r="BS9" s="219">
        <f>AL9/($AY9+$AX9)</f>
        <v>0</v>
      </c>
      <c r="BT9" s="272"/>
      <c r="BU9" s="172">
        <f>1000*AW9</f>
        <v>0</v>
      </c>
      <c r="BV9" s="172">
        <f>1000*AU9</f>
        <v>0</v>
      </c>
      <c r="BW9" s="172">
        <f>1000*Y9</f>
        <v>0</v>
      </c>
      <c r="BX9" s="219"/>
      <c r="BY9" s="219"/>
      <c r="BZ9" s="172">
        <f xml:space="preserve"> IF(MODE=1, BM9,#REF!)</f>
        <v>100</v>
      </c>
      <c r="CA9" s="172">
        <f xml:space="preserve"> IF(MODE=1, BU9,#REF!)</f>
        <v>0</v>
      </c>
      <c r="CB9" s="172">
        <f xml:space="preserve"> IF(MODE=1, BV9,#REF!)</f>
        <v>0</v>
      </c>
      <c r="CC9" s="172">
        <f xml:space="preserve"> IF(MODE=1, BW9,#REF!)</f>
        <v>0</v>
      </c>
    </row>
    <row r="10" spans="1:81" ht="13">
      <c r="A10" s="276" t="s">
        <v>5</v>
      </c>
      <c r="B10" s="274">
        <f>Iout</f>
        <v>10</v>
      </c>
      <c r="C10" s="275" t="s">
        <v>1</v>
      </c>
      <c r="D10" s="194">
        <f>B10</f>
        <v>10</v>
      </c>
      <c r="E10" s="277" t="s">
        <v>241</v>
      </c>
      <c r="F10" s="266"/>
      <c r="G10" s="266"/>
      <c r="H10" s="170">
        <v>4</v>
      </c>
      <c r="I10" s="456">
        <f t="shared" si="0"/>
        <v>0.4</v>
      </c>
      <c r="J10" s="217"/>
      <c r="K10" s="217"/>
      <c r="L10" s="217"/>
      <c r="M10" s="217"/>
      <c r="N10" s="267"/>
      <c r="O10" s="172"/>
      <c r="P10" s="217"/>
      <c r="Q10" s="443"/>
      <c r="S10" s="268"/>
      <c r="T10" s="268"/>
      <c r="U10" s="268"/>
      <c r="AJ10" s="443"/>
      <c r="AZ10" s="269"/>
      <c r="BJ10" s="219"/>
      <c r="BK10" s="219"/>
      <c r="BL10" s="219"/>
      <c r="BO10" s="172"/>
      <c r="BP10" s="219"/>
      <c r="BQ10" s="270"/>
      <c r="BR10" s="271"/>
      <c r="BS10" s="219"/>
      <c r="BT10" s="272"/>
      <c r="BX10" s="219"/>
      <c r="BY10" s="219"/>
      <c r="BZ10" s="172"/>
      <c r="CA10" s="172"/>
      <c r="CB10" s="172"/>
      <c r="CC10" s="172"/>
    </row>
    <row r="11" spans="1:81" ht="13">
      <c r="A11" s="276" t="s">
        <v>139</v>
      </c>
      <c r="B11" s="357">
        <f>Vout/(Fsw/1000)*100000/16</f>
        <v>7812.5</v>
      </c>
      <c r="C11" s="278" t="s">
        <v>242</v>
      </c>
      <c r="D11" s="292">
        <f>B11*1000</f>
        <v>7812500</v>
      </c>
      <c r="E11" s="277"/>
      <c r="F11" s="266"/>
      <c r="G11" s="266"/>
      <c r="H11" s="170">
        <v>5</v>
      </c>
      <c r="I11" s="456">
        <f t="shared" si="0"/>
        <v>0.5</v>
      </c>
      <c r="J11" s="217"/>
      <c r="K11" s="217"/>
      <c r="L11" s="217"/>
      <c r="M11" s="217"/>
      <c r="N11" s="267"/>
      <c r="O11" s="172"/>
      <c r="P11" s="217"/>
      <c r="Q11" s="443"/>
      <c r="S11" s="268"/>
      <c r="T11" s="268"/>
      <c r="U11" s="268"/>
      <c r="AJ11" s="443"/>
      <c r="AZ11" s="269"/>
      <c r="BJ11" s="219"/>
      <c r="BK11" s="219"/>
      <c r="BL11" s="219"/>
      <c r="BO11" s="172"/>
      <c r="BP11" s="219"/>
      <c r="BQ11" s="270"/>
      <c r="BR11" s="271"/>
      <c r="BS11" s="219"/>
      <c r="BT11" s="272"/>
      <c r="BX11" s="219"/>
      <c r="BY11" s="219"/>
      <c r="BZ11" s="172"/>
      <c r="CA11" s="172"/>
      <c r="CB11" s="172"/>
      <c r="CC11" s="172"/>
    </row>
    <row r="12" spans="1:81" ht="13">
      <c r="A12" s="276" t="s">
        <v>243</v>
      </c>
      <c r="B12" s="274">
        <v>25</v>
      </c>
      <c r="C12" s="275" t="s">
        <v>102</v>
      </c>
      <c r="D12" s="194">
        <f>B12</f>
        <v>25</v>
      </c>
      <c r="E12" s="277" t="s">
        <v>244</v>
      </c>
      <c r="F12" s="266">
        <f>Turns_Ratio</f>
        <v>14</v>
      </c>
      <c r="H12" s="170">
        <v>6</v>
      </c>
      <c r="I12" s="456">
        <f t="shared" si="0"/>
        <v>0.6</v>
      </c>
      <c r="J12" s="217"/>
      <c r="K12" s="217"/>
      <c r="L12" s="217"/>
      <c r="M12" s="217"/>
      <c r="N12" s="267"/>
      <c r="O12" s="172"/>
      <c r="P12" s="217"/>
      <c r="Q12" s="443"/>
      <c r="S12" s="268"/>
      <c r="T12" s="268"/>
      <c r="U12" s="268"/>
      <c r="AJ12" s="443"/>
      <c r="AZ12" s="269"/>
      <c r="BJ12" s="219"/>
      <c r="BK12" s="219"/>
      <c r="BL12" s="219"/>
      <c r="BO12" s="172"/>
      <c r="BP12" s="219"/>
      <c r="BQ12" s="270"/>
      <c r="BR12" s="271"/>
      <c r="BS12" s="219"/>
      <c r="BT12" s="272"/>
      <c r="BX12" s="219"/>
      <c r="BY12" s="219"/>
      <c r="BZ12" s="172"/>
      <c r="CA12" s="172"/>
      <c r="CB12" s="172"/>
      <c r="CC12" s="172"/>
    </row>
    <row r="13" spans="1:81" ht="13">
      <c r="A13" s="279" t="s">
        <v>245</v>
      </c>
      <c r="B13" s="280">
        <v>5</v>
      </c>
      <c r="C13" s="275" t="s">
        <v>0</v>
      </c>
      <c r="D13" s="194">
        <f>B13</f>
        <v>5</v>
      </c>
      <c r="E13" s="277"/>
      <c r="F13" s="266"/>
      <c r="G13" s="266"/>
      <c r="H13" s="170">
        <v>7</v>
      </c>
      <c r="I13" s="456">
        <f t="shared" si="0"/>
        <v>0.70000000000000007</v>
      </c>
      <c r="J13" s="217"/>
      <c r="K13" s="217"/>
      <c r="L13" s="217"/>
      <c r="M13" s="217"/>
      <c r="N13" s="267"/>
      <c r="O13" s="172"/>
      <c r="P13" s="217"/>
      <c r="Q13" s="443"/>
      <c r="S13" s="268"/>
      <c r="T13" s="268"/>
      <c r="U13" s="268"/>
      <c r="AJ13" s="443"/>
      <c r="AZ13" s="269"/>
      <c r="BJ13" s="219"/>
      <c r="BK13" s="219"/>
      <c r="BL13" s="219"/>
      <c r="BO13" s="172"/>
      <c r="BP13" s="219"/>
      <c r="BQ13" s="270"/>
      <c r="BR13" s="271"/>
      <c r="BS13" s="219"/>
      <c r="BT13" s="272"/>
      <c r="BX13" s="219"/>
      <c r="BY13" s="219"/>
      <c r="BZ13" s="172"/>
      <c r="CA13" s="172"/>
      <c r="CB13" s="172"/>
      <c r="CC13" s="172"/>
    </row>
    <row r="14" spans="1:81" ht="13">
      <c r="F14" s="266"/>
      <c r="G14" s="266"/>
      <c r="H14" s="170">
        <v>8</v>
      </c>
      <c r="I14" s="456">
        <f t="shared" si="0"/>
        <v>0.8</v>
      </c>
      <c r="J14" s="217"/>
      <c r="K14" s="217"/>
      <c r="L14" s="217"/>
      <c r="M14" s="217"/>
      <c r="N14" s="267"/>
      <c r="O14" s="172"/>
      <c r="P14" s="217"/>
      <c r="Q14" s="443"/>
      <c r="S14" s="268"/>
      <c r="T14" s="268"/>
      <c r="U14" s="268"/>
      <c r="AJ14" s="443"/>
      <c r="AZ14" s="269"/>
      <c r="BJ14" s="219"/>
      <c r="BK14" s="219"/>
      <c r="BL14" s="219"/>
      <c r="BO14" s="172"/>
      <c r="BP14" s="219"/>
      <c r="BQ14" s="270"/>
      <c r="BR14" s="271"/>
      <c r="BS14" s="219"/>
      <c r="BT14" s="272"/>
      <c r="BX14" s="219"/>
      <c r="BY14" s="219"/>
      <c r="BZ14" s="172"/>
      <c r="CA14" s="172"/>
      <c r="CB14" s="172"/>
      <c r="CC14" s="172"/>
    </row>
    <row r="15" spans="1:81" ht="13">
      <c r="A15" s="281" t="s">
        <v>34</v>
      </c>
      <c r="B15" s="239"/>
      <c r="C15" s="239"/>
      <c r="D15" s="239"/>
      <c r="E15" s="240"/>
      <c r="F15" s="266"/>
      <c r="G15" s="266"/>
      <c r="H15" s="170">
        <v>9</v>
      </c>
      <c r="I15" s="456">
        <f t="shared" si="0"/>
        <v>0.89999999999999991</v>
      </c>
      <c r="J15" s="217"/>
      <c r="K15" s="217"/>
      <c r="L15" s="217"/>
      <c r="M15" s="217"/>
      <c r="N15" s="267"/>
      <c r="O15" s="172"/>
      <c r="P15" s="217"/>
      <c r="Q15" s="443"/>
      <c r="S15" s="268"/>
      <c r="T15" s="268"/>
      <c r="U15" s="268"/>
      <c r="AJ15" s="443"/>
      <c r="AZ15" s="269"/>
      <c r="BJ15" s="219"/>
      <c r="BK15" s="219"/>
      <c r="BL15" s="219"/>
      <c r="BO15" s="172"/>
      <c r="BP15" s="219"/>
      <c r="BQ15" s="270"/>
      <c r="BR15" s="271"/>
      <c r="BS15" s="219"/>
      <c r="BT15" s="272"/>
      <c r="BX15" s="219"/>
      <c r="BY15" s="219"/>
      <c r="BZ15" s="172"/>
      <c r="CA15" s="172"/>
      <c r="CB15" s="172"/>
      <c r="CC15" s="172"/>
    </row>
    <row r="16" spans="1:81" ht="13">
      <c r="A16" s="282" t="s">
        <v>26</v>
      </c>
      <c r="B16" s="262" t="s">
        <v>6</v>
      </c>
      <c r="C16" s="283" t="s">
        <v>33</v>
      </c>
      <c r="D16" s="284" t="s">
        <v>90</v>
      </c>
      <c r="E16" s="265" t="s">
        <v>41</v>
      </c>
      <c r="F16" s="266"/>
      <c r="G16" s="266"/>
      <c r="H16" s="170">
        <v>10</v>
      </c>
      <c r="I16" s="456">
        <f t="shared" si="0"/>
        <v>1</v>
      </c>
      <c r="J16" s="217"/>
      <c r="K16" s="217"/>
      <c r="L16" s="217"/>
      <c r="M16" s="217"/>
      <c r="N16" s="267"/>
      <c r="O16" s="172"/>
      <c r="P16" s="217"/>
      <c r="Q16" s="443"/>
      <c r="S16" s="268"/>
      <c r="T16" s="268"/>
      <c r="U16" s="268"/>
      <c r="AJ16" s="443"/>
      <c r="AZ16" s="269"/>
      <c r="BJ16" s="219"/>
      <c r="BK16" s="219"/>
      <c r="BL16" s="219"/>
      <c r="BO16" s="172"/>
      <c r="BP16" s="219"/>
      <c r="BQ16" s="270"/>
      <c r="BR16" s="271"/>
      <c r="BS16" s="219"/>
      <c r="BT16" s="272"/>
      <c r="BX16" s="219"/>
      <c r="BY16" s="219"/>
      <c r="BZ16" s="172"/>
      <c r="CA16" s="172"/>
      <c r="CB16" s="172"/>
      <c r="CC16" s="172"/>
    </row>
    <row r="17" spans="1:81" ht="13">
      <c r="A17" s="285" t="s">
        <v>246</v>
      </c>
      <c r="B17" s="286">
        <f>Vout/Vin/Fsw*1000000</f>
        <v>21.551724137931036</v>
      </c>
      <c r="C17" s="287" t="s">
        <v>247</v>
      </c>
      <c r="D17" s="288">
        <f>B17/1000000</f>
        <v>2.1551724137931036E-5</v>
      </c>
      <c r="E17" s="277" t="s">
        <v>248</v>
      </c>
      <c r="F17" s="266"/>
      <c r="G17" s="266"/>
      <c r="H17" s="170">
        <v>11</v>
      </c>
      <c r="I17" s="456">
        <f t="shared" si="0"/>
        <v>1.1000000000000001</v>
      </c>
      <c r="J17" s="217"/>
      <c r="K17" s="217"/>
      <c r="L17" s="217"/>
      <c r="M17" s="217"/>
      <c r="N17" s="267"/>
      <c r="O17" s="172"/>
      <c r="P17" s="217"/>
      <c r="Q17" s="443"/>
      <c r="S17" s="268"/>
      <c r="T17" s="268"/>
      <c r="U17" s="268"/>
      <c r="AJ17" s="443"/>
      <c r="AZ17" s="269"/>
      <c r="BJ17" s="219"/>
      <c r="BK17" s="219"/>
      <c r="BL17" s="219"/>
      <c r="BO17" s="172"/>
      <c r="BP17" s="219"/>
      <c r="BQ17" s="270"/>
      <c r="BR17" s="271"/>
      <c r="BS17" s="219"/>
      <c r="BT17" s="272"/>
      <c r="BX17" s="219"/>
      <c r="BY17" s="219"/>
      <c r="BZ17" s="172"/>
      <c r="CA17" s="172"/>
      <c r="CB17" s="172"/>
      <c r="CC17" s="172"/>
    </row>
    <row r="18" spans="1:81" ht="13">
      <c r="A18" s="285" t="s">
        <v>249</v>
      </c>
      <c r="B18" s="286"/>
      <c r="C18" s="287" t="s">
        <v>247</v>
      </c>
      <c r="D18" s="289">
        <f>B18/1000000</f>
        <v>0</v>
      </c>
      <c r="E18" s="275" t="s">
        <v>250</v>
      </c>
      <c r="F18" s="266"/>
      <c r="G18" s="266"/>
      <c r="H18" s="170">
        <v>12</v>
      </c>
      <c r="I18" s="456">
        <f t="shared" si="0"/>
        <v>1.2</v>
      </c>
      <c r="J18" s="217"/>
      <c r="K18" s="217"/>
      <c r="L18" s="217"/>
      <c r="M18" s="217"/>
      <c r="N18" s="267"/>
      <c r="O18" s="172"/>
      <c r="P18" s="217"/>
      <c r="Q18" s="443"/>
      <c r="S18" s="268"/>
      <c r="T18" s="268"/>
      <c r="U18" s="268"/>
      <c r="AJ18" s="443"/>
      <c r="AZ18" s="269"/>
      <c r="BJ18" s="219"/>
      <c r="BK18" s="219"/>
      <c r="BL18" s="219"/>
      <c r="BO18" s="172"/>
      <c r="BP18" s="219"/>
      <c r="BQ18" s="270"/>
      <c r="BR18" s="271"/>
      <c r="BS18" s="219"/>
      <c r="BT18" s="272"/>
      <c r="BX18" s="219"/>
      <c r="BY18" s="219"/>
      <c r="BZ18" s="172"/>
      <c r="CA18" s="172"/>
      <c r="CB18" s="172"/>
      <c r="CC18" s="172"/>
    </row>
    <row r="19" spans="1:81" ht="15.5">
      <c r="A19" s="279" t="s">
        <v>251</v>
      </c>
      <c r="B19" s="290">
        <f>(Vin-Vout-(Rdcr_pri+Rdson)*Iout)/L*OnTime*1000</f>
        <v>76329.022988505749</v>
      </c>
      <c r="C19" s="277" t="s">
        <v>30</v>
      </c>
      <c r="D19" s="190">
        <f>B19/1000</f>
        <v>76.329022988505756</v>
      </c>
      <c r="E19" s="275" t="s">
        <v>252</v>
      </c>
      <c r="F19" s="266"/>
      <c r="G19" s="266"/>
      <c r="H19" s="170">
        <v>13</v>
      </c>
      <c r="I19" s="456">
        <f t="shared" si="0"/>
        <v>1.3</v>
      </c>
      <c r="J19" s="217"/>
      <c r="K19" s="217"/>
      <c r="L19" s="217"/>
      <c r="M19" s="217"/>
      <c r="N19" s="267"/>
      <c r="O19" s="172"/>
      <c r="P19" s="217"/>
      <c r="Q19" s="443"/>
      <c r="S19" s="268"/>
      <c r="T19" s="268"/>
      <c r="U19" s="268"/>
      <c r="AJ19" s="443"/>
      <c r="AZ19" s="269"/>
      <c r="BJ19" s="219"/>
      <c r="BK19" s="219"/>
      <c r="BL19" s="219"/>
      <c r="BO19" s="172"/>
      <c r="BP19" s="219"/>
      <c r="BQ19" s="270"/>
      <c r="BR19" s="271"/>
      <c r="BS19" s="219"/>
      <c r="BT19" s="272"/>
      <c r="BX19" s="219"/>
      <c r="BY19" s="219"/>
      <c r="BZ19" s="172"/>
      <c r="CA19" s="172"/>
      <c r="CB19" s="172"/>
      <c r="CC19" s="172"/>
    </row>
    <row r="20" spans="1:81" ht="13">
      <c r="A20" s="285" t="s">
        <v>253</v>
      </c>
      <c r="B20" s="291">
        <v>12</v>
      </c>
      <c r="C20" s="275" t="s">
        <v>2</v>
      </c>
      <c r="D20" s="292">
        <f>B20*1000</f>
        <v>12000</v>
      </c>
      <c r="E20" s="277" t="s">
        <v>254</v>
      </c>
      <c r="F20" s="359"/>
      <c r="G20" s="266"/>
      <c r="H20" s="170">
        <v>14</v>
      </c>
      <c r="I20" s="456">
        <f t="shared" si="0"/>
        <v>1.4000000000000001</v>
      </c>
      <c r="J20" s="217"/>
      <c r="K20" s="217"/>
      <c r="L20" s="217"/>
      <c r="M20" s="217"/>
      <c r="N20" s="267"/>
      <c r="O20" s="172"/>
      <c r="P20" s="217"/>
      <c r="Q20" s="443"/>
      <c r="S20" s="268"/>
      <c r="T20" s="268"/>
      <c r="U20" s="268"/>
      <c r="AJ20" s="443"/>
      <c r="AZ20" s="269"/>
      <c r="BJ20" s="219"/>
      <c r="BK20" s="219"/>
      <c r="BL20" s="219"/>
      <c r="BO20" s="172"/>
      <c r="BP20" s="219"/>
      <c r="BQ20" s="270"/>
      <c r="BR20" s="271"/>
      <c r="BS20" s="219"/>
      <c r="BT20" s="272"/>
      <c r="BX20" s="219"/>
      <c r="BY20" s="219"/>
      <c r="BZ20" s="172"/>
      <c r="CA20" s="172"/>
      <c r="CB20" s="172"/>
      <c r="CC20" s="172"/>
    </row>
    <row r="21" spans="1:81" ht="13">
      <c r="A21" s="285" t="s">
        <v>410</v>
      </c>
      <c r="B21" s="290">
        <v>350</v>
      </c>
      <c r="C21" s="277" t="s">
        <v>2</v>
      </c>
      <c r="D21" s="292">
        <f>B21*1000</f>
        <v>350000</v>
      </c>
      <c r="E21" s="277" t="s">
        <v>411</v>
      </c>
      <c r="F21" s="266"/>
      <c r="G21" s="266"/>
      <c r="H21" s="170">
        <v>15</v>
      </c>
      <c r="I21" s="456">
        <f t="shared" si="0"/>
        <v>1.5</v>
      </c>
      <c r="J21" s="217"/>
      <c r="K21" s="217"/>
      <c r="L21" s="217"/>
      <c r="M21" s="217"/>
      <c r="N21" s="267"/>
      <c r="O21" s="172"/>
      <c r="P21" s="217"/>
      <c r="Q21" s="443"/>
      <c r="S21" s="268"/>
      <c r="T21" s="268"/>
      <c r="U21" s="268"/>
      <c r="AJ21" s="443"/>
      <c r="AZ21" s="269"/>
      <c r="BJ21" s="219"/>
      <c r="BK21" s="219"/>
      <c r="BL21" s="219"/>
      <c r="BO21" s="172"/>
      <c r="BP21" s="219"/>
      <c r="BQ21" s="270"/>
      <c r="BR21" s="271"/>
      <c r="BS21" s="219"/>
      <c r="BT21" s="272"/>
      <c r="BX21" s="219"/>
      <c r="BY21" s="219"/>
      <c r="BZ21" s="172"/>
      <c r="CA21" s="172"/>
      <c r="CB21" s="172"/>
      <c r="CC21" s="172"/>
    </row>
    <row r="22" spans="1:81" ht="13">
      <c r="A22" s="293" t="s">
        <v>38</v>
      </c>
      <c r="B22" s="294">
        <f>B44+15</f>
        <v>40</v>
      </c>
      <c r="C22" s="275" t="s">
        <v>32</v>
      </c>
      <c r="D22" s="295">
        <f>B22/1000000000</f>
        <v>4.0000000000000001E-8</v>
      </c>
      <c r="E22" s="188" t="s">
        <v>255</v>
      </c>
      <c r="F22" s="266"/>
      <c r="G22" s="266"/>
      <c r="H22" s="170">
        <v>16</v>
      </c>
      <c r="I22" s="456">
        <f t="shared" si="0"/>
        <v>1.6</v>
      </c>
      <c r="J22" s="217"/>
      <c r="K22" s="217"/>
      <c r="L22" s="217"/>
      <c r="M22" s="217"/>
      <c r="N22" s="267"/>
      <c r="O22" s="172"/>
      <c r="P22" s="217"/>
      <c r="Q22" s="443"/>
      <c r="S22" s="268"/>
      <c r="T22" s="268"/>
      <c r="U22" s="268"/>
      <c r="AJ22" s="443"/>
      <c r="AZ22" s="269"/>
      <c r="BJ22" s="219"/>
      <c r="BK22" s="219"/>
      <c r="BL22" s="219"/>
      <c r="BO22" s="172"/>
      <c r="BP22" s="219"/>
      <c r="BQ22" s="270"/>
      <c r="BR22" s="271"/>
      <c r="BS22" s="219"/>
      <c r="BT22" s="272"/>
      <c r="BX22" s="219"/>
      <c r="BY22" s="219"/>
      <c r="BZ22" s="172"/>
      <c r="CA22" s="172"/>
      <c r="CB22" s="172"/>
      <c r="CC22" s="172"/>
    </row>
    <row r="23" spans="1:81" ht="13">
      <c r="A23" s="293" t="s">
        <v>39</v>
      </c>
      <c r="B23" s="294">
        <f>B44/2+25</f>
        <v>37.5</v>
      </c>
      <c r="C23" s="275" t="s">
        <v>32</v>
      </c>
      <c r="D23" s="295">
        <f>B23/1000000000</f>
        <v>3.7499999999999998E-8</v>
      </c>
      <c r="E23" s="188" t="s">
        <v>256</v>
      </c>
      <c r="F23" s="266"/>
      <c r="G23" s="266"/>
      <c r="H23" s="170">
        <v>17</v>
      </c>
      <c r="I23" s="456">
        <f t="shared" si="0"/>
        <v>1.7000000000000002</v>
      </c>
      <c r="J23" s="217"/>
      <c r="K23" s="217"/>
      <c r="L23" s="217"/>
      <c r="M23" s="217"/>
      <c r="N23" s="267"/>
      <c r="O23" s="172"/>
      <c r="P23" s="217"/>
      <c r="Q23" s="443"/>
      <c r="S23" s="268"/>
      <c r="T23" s="268"/>
      <c r="U23" s="268"/>
      <c r="AJ23" s="443"/>
      <c r="AZ23" s="269"/>
      <c r="BJ23" s="219"/>
      <c r="BK23" s="219"/>
      <c r="BL23" s="219"/>
      <c r="BO23" s="172"/>
      <c r="BP23" s="219"/>
      <c r="BQ23" s="270"/>
      <c r="BR23" s="271"/>
      <c r="BS23" s="219"/>
      <c r="BT23" s="272"/>
      <c r="BX23" s="219"/>
      <c r="BY23" s="219"/>
      <c r="BZ23" s="172"/>
      <c r="CA23" s="172"/>
      <c r="CB23" s="172"/>
      <c r="CC23" s="172"/>
    </row>
    <row r="24" spans="1:81" ht="13">
      <c r="A24" s="240"/>
      <c r="B24" s="240"/>
      <c r="C24" s="240"/>
      <c r="D24" s="240"/>
      <c r="E24" s="240"/>
      <c r="F24" s="266"/>
      <c r="G24" s="266"/>
      <c r="H24" s="170">
        <v>18</v>
      </c>
      <c r="I24" s="456">
        <f t="shared" si="0"/>
        <v>1.7999999999999998</v>
      </c>
      <c r="J24" s="217"/>
      <c r="K24" s="217"/>
      <c r="L24" s="217"/>
      <c r="M24" s="217"/>
      <c r="N24" s="267"/>
      <c r="O24" s="172"/>
      <c r="P24" s="217"/>
      <c r="Q24" s="443"/>
      <c r="S24" s="268"/>
      <c r="T24" s="268"/>
      <c r="U24" s="268"/>
      <c r="AJ24" s="443"/>
      <c r="AZ24" s="269"/>
      <c r="BJ24" s="219"/>
      <c r="BK24" s="219"/>
      <c r="BL24" s="219"/>
      <c r="BO24" s="172"/>
      <c r="BP24" s="219"/>
      <c r="BQ24" s="270"/>
      <c r="BR24" s="271"/>
      <c r="BS24" s="219"/>
      <c r="BT24" s="272"/>
      <c r="BX24" s="219"/>
      <c r="BY24" s="219"/>
      <c r="BZ24" s="172"/>
      <c r="CA24" s="172"/>
      <c r="CB24" s="172"/>
      <c r="CC24" s="172"/>
    </row>
    <row r="25" spans="1:81" ht="13">
      <c r="A25" s="282" t="s">
        <v>29</v>
      </c>
      <c r="B25" s="263" t="s">
        <v>43</v>
      </c>
      <c r="C25" s="283" t="s">
        <v>33</v>
      </c>
      <c r="D25" s="284" t="s">
        <v>90</v>
      </c>
      <c r="E25" s="265" t="s">
        <v>41</v>
      </c>
      <c r="F25" s="266"/>
      <c r="G25" s="266"/>
      <c r="H25" s="170">
        <v>19</v>
      </c>
      <c r="I25" s="456">
        <f t="shared" si="0"/>
        <v>1.9</v>
      </c>
      <c r="J25" s="217"/>
      <c r="K25" s="217"/>
      <c r="L25" s="217"/>
      <c r="M25" s="217"/>
      <c r="N25" s="267"/>
      <c r="O25" s="172"/>
      <c r="P25" s="217"/>
      <c r="Q25" s="443"/>
      <c r="S25" s="268"/>
      <c r="T25" s="268"/>
      <c r="U25" s="268"/>
      <c r="AJ25" s="443"/>
      <c r="AZ25" s="269"/>
      <c r="BJ25" s="219"/>
      <c r="BK25" s="219"/>
      <c r="BL25" s="219"/>
      <c r="BO25" s="172"/>
      <c r="BP25" s="219"/>
      <c r="BQ25" s="270"/>
      <c r="BR25" s="271"/>
      <c r="BS25" s="219"/>
      <c r="BT25" s="272"/>
      <c r="BX25" s="219"/>
      <c r="BY25" s="219"/>
      <c r="BZ25" s="172"/>
      <c r="CA25" s="172"/>
      <c r="CB25" s="172"/>
      <c r="CC25" s="172"/>
    </row>
    <row r="26" spans="1:81" ht="13.5" thickBot="1">
      <c r="A26" s="296" t="s">
        <v>27</v>
      </c>
      <c r="B26" s="277">
        <f>'Design Converter'!L7</f>
        <v>12</v>
      </c>
      <c r="C26" s="287" t="s">
        <v>96</v>
      </c>
      <c r="D26" s="194">
        <f>B26/1000000</f>
        <v>1.2E-5</v>
      </c>
      <c r="E26" s="277" t="s">
        <v>257</v>
      </c>
      <c r="F26" s="297"/>
      <c r="G26" s="266"/>
      <c r="H26" s="170">
        <v>20</v>
      </c>
      <c r="I26" s="456">
        <f t="shared" si="0"/>
        <v>2</v>
      </c>
      <c r="J26" s="217"/>
      <c r="K26" s="217"/>
      <c r="L26" s="217"/>
      <c r="M26" s="217"/>
      <c r="N26" s="267"/>
      <c r="O26" s="172"/>
      <c r="P26" s="217"/>
      <c r="Q26" s="443"/>
      <c r="S26" s="268"/>
      <c r="T26" s="268"/>
      <c r="U26" s="268"/>
      <c r="AJ26" s="443"/>
      <c r="AZ26" s="269"/>
      <c r="BJ26" s="219"/>
      <c r="BK26" s="219"/>
      <c r="BL26" s="219"/>
      <c r="BO26" s="172"/>
      <c r="BP26" s="219"/>
      <c r="BQ26" s="270"/>
      <c r="BR26" s="271"/>
      <c r="BS26" s="219"/>
      <c r="BT26" s="272"/>
      <c r="BX26" s="219"/>
      <c r="BY26" s="219"/>
      <c r="BZ26" s="172"/>
      <c r="CA26" s="172"/>
      <c r="CB26" s="172"/>
      <c r="CC26" s="172"/>
    </row>
    <row r="27" spans="1:81" ht="13.5" thickBot="1">
      <c r="A27" s="298" t="s">
        <v>385</v>
      </c>
      <c r="B27" s="299">
        <f>'Design Converter'!L8</f>
        <v>30</v>
      </c>
      <c r="C27" s="300" t="s">
        <v>258</v>
      </c>
      <c r="D27" s="194">
        <f>B27/1000</f>
        <v>0.03</v>
      </c>
      <c r="E27" s="277" t="s">
        <v>480</v>
      </c>
      <c r="F27" s="266"/>
      <c r="G27" s="266"/>
      <c r="H27" s="170">
        <v>21</v>
      </c>
      <c r="I27" s="456">
        <f t="shared" si="0"/>
        <v>2.1</v>
      </c>
      <c r="J27" s="217"/>
      <c r="K27" s="217"/>
      <c r="L27" s="217"/>
      <c r="M27" s="217"/>
      <c r="N27" s="267"/>
      <c r="O27" s="172"/>
      <c r="P27" s="217"/>
      <c r="Q27" s="443"/>
      <c r="S27" s="268"/>
      <c r="T27" s="268"/>
      <c r="U27" s="268"/>
      <c r="AJ27" s="443"/>
      <c r="AZ27" s="269"/>
      <c r="BJ27" s="219"/>
      <c r="BK27" s="219"/>
      <c r="BL27" s="219"/>
      <c r="BO27" s="172"/>
      <c r="BP27" s="219"/>
      <c r="BQ27" s="270"/>
      <c r="BR27" s="271"/>
      <c r="BS27" s="219"/>
      <c r="BT27" s="272"/>
      <c r="BX27" s="219"/>
      <c r="BY27" s="219"/>
      <c r="BZ27" s="172"/>
      <c r="CA27" s="172"/>
      <c r="CB27" s="172"/>
      <c r="CC27" s="172"/>
    </row>
    <row r="28" spans="1:81" ht="13.5" thickBot="1">
      <c r="A28" s="298" t="s">
        <v>448</v>
      </c>
      <c r="B28" s="299">
        <f>'Design Converter'!L9</f>
        <v>30</v>
      </c>
      <c r="C28" s="300" t="s">
        <v>258</v>
      </c>
      <c r="D28" s="194">
        <f>B28/1000</f>
        <v>0.03</v>
      </c>
      <c r="E28" s="277" t="s">
        <v>646</v>
      </c>
      <c r="F28" s="266"/>
      <c r="G28" s="266"/>
      <c r="H28" s="170">
        <v>22</v>
      </c>
      <c r="I28" s="456">
        <f t="shared" si="0"/>
        <v>2.2000000000000002</v>
      </c>
      <c r="J28" s="217"/>
      <c r="K28" s="217"/>
      <c r="L28" s="217"/>
      <c r="M28" s="217"/>
      <c r="N28" s="267"/>
      <c r="O28" s="172"/>
      <c r="P28" s="217"/>
      <c r="Q28" s="443"/>
      <c r="S28" s="268"/>
      <c r="T28" s="268"/>
      <c r="U28" s="268"/>
      <c r="AJ28" s="443"/>
      <c r="AZ28" s="269"/>
      <c r="BJ28" s="219"/>
      <c r="BK28" s="219"/>
      <c r="BL28" s="219"/>
      <c r="BO28" s="172"/>
      <c r="BP28" s="219"/>
      <c r="BQ28" s="270"/>
      <c r="BR28" s="271"/>
      <c r="BS28" s="219"/>
      <c r="BT28" s="272"/>
      <c r="BX28" s="219"/>
      <c r="BY28" s="219"/>
      <c r="BZ28" s="172"/>
      <c r="CA28" s="172"/>
      <c r="CB28" s="172"/>
      <c r="CC28" s="172"/>
    </row>
    <row r="29" spans="1:81" ht="13.5" thickBot="1">
      <c r="A29" s="301" t="s">
        <v>259</v>
      </c>
      <c r="B29" s="302">
        <f>0.00000005</f>
        <v>4.9999999999999998E-8</v>
      </c>
      <c r="C29" s="300"/>
      <c r="D29" s="303">
        <f>B29</f>
        <v>4.9999999999999998E-8</v>
      </c>
      <c r="E29" s="304" t="s">
        <v>479</v>
      </c>
      <c r="F29" s="266"/>
      <c r="G29" s="266"/>
      <c r="H29" s="170">
        <v>23</v>
      </c>
      <c r="I29" s="456">
        <f t="shared" si="0"/>
        <v>2.3000000000000003</v>
      </c>
      <c r="J29" s="217"/>
      <c r="K29" s="217"/>
      <c r="L29" s="217"/>
      <c r="M29" s="217"/>
      <c r="N29" s="267"/>
      <c r="O29" s="172"/>
      <c r="P29" s="217"/>
      <c r="Q29" s="443"/>
      <c r="S29" s="268"/>
      <c r="T29" s="268"/>
      <c r="U29" s="268"/>
      <c r="AJ29" s="443"/>
      <c r="AZ29" s="269"/>
      <c r="BJ29" s="219"/>
      <c r="BK29" s="219"/>
      <c r="BL29" s="219"/>
      <c r="BO29" s="172"/>
      <c r="BP29" s="219"/>
      <c r="BQ29" s="270"/>
      <c r="BR29" s="271"/>
      <c r="BS29" s="219"/>
      <c r="BT29" s="272"/>
      <c r="BX29" s="219"/>
      <c r="BY29" s="219"/>
      <c r="BZ29" s="172"/>
      <c r="CA29" s="172"/>
      <c r="CB29" s="172"/>
      <c r="CC29" s="172"/>
    </row>
    <row r="30" spans="1:81" ht="13.5" thickBot="1">
      <c r="A30" s="305" t="s">
        <v>28</v>
      </c>
      <c r="B30" s="299">
        <f>'Design Converter'!E30</f>
        <v>22</v>
      </c>
      <c r="C30" s="306" t="s">
        <v>97</v>
      </c>
      <c r="D30" s="307">
        <f>B30/1000000</f>
        <v>2.1999999999999999E-5</v>
      </c>
      <c r="E30" s="308" t="s">
        <v>60</v>
      </c>
      <c r="F30" s="266"/>
      <c r="G30" s="266"/>
      <c r="H30" s="170">
        <v>24</v>
      </c>
      <c r="I30" s="456">
        <f t="shared" si="0"/>
        <v>2.4</v>
      </c>
      <c r="J30" s="217"/>
      <c r="K30" s="217"/>
      <c r="L30" s="217"/>
      <c r="M30" s="217"/>
      <c r="N30" s="267"/>
      <c r="O30" s="172"/>
      <c r="P30" s="217"/>
      <c r="Q30" s="443"/>
      <c r="S30" s="268"/>
      <c r="T30" s="268"/>
      <c r="U30" s="268"/>
      <c r="AJ30" s="443"/>
      <c r="AZ30" s="269"/>
      <c r="BJ30" s="219"/>
      <c r="BK30" s="219"/>
      <c r="BL30" s="219"/>
      <c r="BO30" s="172"/>
      <c r="BP30" s="219"/>
      <c r="BQ30" s="270"/>
      <c r="BR30" s="271"/>
      <c r="BS30" s="219"/>
      <c r="BT30" s="272"/>
      <c r="BX30" s="219"/>
      <c r="BY30" s="219"/>
      <c r="BZ30" s="172"/>
      <c r="CA30" s="172"/>
      <c r="CB30" s="172"/>
      <c r="CC30" s="172"/>
    </row>
    <row r="31" spans="1:81" ht="13.5" thickBot="1">
      <c r="A31" s="301" t="s">
        <v>260</v>
      </c>
      <c r="B31" s="299">
        <f>'Design Converter'!E31</f>
        <v>3</v>
      </c>
      <c r="C31" s="300" t="s">
        <v>258</v>
      </c>
      <c r="D31" s="194">
        <f>B31/1000</f>
        <v>3.0000000000000001E-3</v>
      </c>
      <c r="E31" s="277" t="s">
        <v>261</v>
      </c>
      <c r="F31" s="266"/>
      <c r="G31" s="266"/>
      <c r="H31" s="170">
        <v>25</v>
      </c>
      <c r="I31" s="456">
        <f t="shared" si="0"/>
        <v>2.5</v>
      </c>
      <c r="J31" s="217"/>
      <c r="K31" s="217"/>
      <c r="L31" s="217"/>
      <c r="M31" s="217"/>
      <c r="N31" s="267"/>
      <c r="O31" s="172"/>
      <c r="P31" s="217"/>
      <c r="Q31" s="443"/>
      <c r="S31" s="268"/>
      <c r="T31" s="268"/>
      <c r="U31" s="268"/>
      <c r="AJ31" s="443"/>
      <c r="AZ31" s="269"/>
      <c r="BJ31" s="219"/>
      <c r="BK31" s="219"/>
      <c r="BL31" s="219"/>
      <c r="BO31" s="172"/>
      <c r="BP31" s="219"/>
      <c r="BQ31" s="270"/>
      <c r="BR31" s="271"/>
      <c r="BS31" s="219"/>
      <c r="BT31" s="272"/>
      <c r="BX31" s="219"/>
      <c r="BY31" s="219"/>
      <c r="BZ31" s="172"/>
      <c r="CA31" s="172"/>
      <c r="CB31" s="172"/>
      <c r="CC31" s="172"/>
    </row>
    <row r="32" spans="1:81" ht="13.5" thickBot="1">
      <c r="A32" s="296" t="s">
        <v>14</v>
      </c>
      <c r="B32" s="358">
        <f>'Design Converter'!E34</f>
        <v>110</v>
      </c>
      <c r="C32" s="287" t="s">
        <v>97</v>
      </c>
      <c r="D32" s="288">
        <f>B32/1000000</f>
        <v>1.1E-4</v>
      </c>
      <c r="E32" s="277" t="s">
        <v>262</v>
      </c>
      <c r="F32" s="266"/>
      <c r="G32" s="266"/>
      <c r="H32" s="170">
        <v>26</v>
      </c>
      <c r="I32" s="456">
        <f t="shared" si="0"/>
        <v>2.6</v>
      </c>
      <c r="J32" s="217"/>
      <c r="K32" s="217"/>
      <c r="L32" s="217"/>
      <c r="M32" s="217"/>
      <c r="N32" s="267"/>
      <c r="O32" s="172"/>
      <c r="P32" s="217"/>
      <c r="Q32" s="443"/>
      <c r="S32" s="268"/>
      <c r="T32" s="268"/>
      <c r="U32" s="268"/>
      <c r="AJ32" s="443"/>
      <c r="AZ32" s="269"/>
      <c r="BJ32" s="219"/>
      <c r="BK32" s="219"/>
      <c r="BL32" s="219"/>
      <c r="BO32" s="172"/>
      <c r="BP32" s="219"/>
      <c r="BQ32" s="270"/>
      <c r="BR32" s="271"/>
      <c r="BS32" s="219"/>
      <c r="BT32" s="272"/>
      <c r="BX32" s="219"/>
      <c r="BY32" s="219"/>
      <c r="BZ32" s="172"/>
      <c r="CA32" s="172"/>
      <c r="CB32" s="172"/>
      <c r="CC32" s="172"/>
    </row>
    <row r="33" spans="1:81" ht="13">
      <c r="A33" s="301" t="s">
        <v>263</v>
      </c>
      <c r="B33" s="358">
        <f>'Design Converter'!E35</f>
        <v>2</v>
      </c>
      <c r="C33" s="300" t="s">
        <v>258</v>
      </c>
      <c r="D33" s="194">
        <f>B33/1000</f>
        <v>2E-3</v>
      </c>
      <c r="E33" s="277" t="s">
        <v>264</v>
      </c>
      <c r="F33" s="266"/>
      <c r="G33" s="266"/>
      <c r="H33" s="170">
        <v>27</v>
      </c>
      <c r="I33" s="456">
        <f t="shared" si="0"/>
        <v>2.7</v>
      </c>
      <c r="J33" s="217"/>
      <c r="K33" s="217"/>
      <c r="L33" s="217"/>
      <c r="M33" s="217"/>
      <c r="N33" s="267"/>
      <c r="O33" s="172"/>
      <c r="P33" s="217"/>
      <c r="Q33" s="443"/>
      <c r="S33" s="268"/>
      <c r="T33" s="268"/>
      <c r="U33" s="268"/>
      <c r="AJ33" s="443"/>
      <c r="AZ33" s="269"/>
      <c r="BJ33" s="219"/>
      <c r="BK33" s="219"/>
      <c r="BL33" s="219"/>
      <c r="BO33" s="172"/>
      <c r="BP33" s="219"/>
      <c r="BQ33" s="270"/>
      <c r="BR33" s="271"/>
      <c r="BS33" s="219"/>
      <c r="BT33" s="272"/>
      <c r="BX33" s="219"/>
      <c r="BY33" s="219"/>
      <c r="BZ33" s="172"/>
      <c r="CA33" s="172"/>
      <c r="CB33" s="172"/>
      <c r="CC33" s="172"/>
    </row>
    <row r="34" spans="1:81" ht="13">
      <c r="A34" s="309" t="s">
        <v>394</v>
      </c>
      <c r="B34" s="263"/>
      <c r="C34" s="309" t="s">
        <v>33</v>
      </c>
      <c r="D34" s="310" t="s">
        <v>90</v>
      </c>
      <c r="E34" s="311" t="s">
        <v>41</v>
      </c>
      <c r="F34" s="266"/>
      <c r="G34" s="266"/>
      <c r="H34" s="170">
        <v>28</v>
      </c>
      <c r="I34" s="456">
        <f t="shared" si="0"/>
        <v>2.8000000000000003</v>
      </c>
      <c r="J34" s="217"/>
      <c r="K34" s="217"/>
      <c r="L34" s="217"/>
      <c r="M34" s="217"/>
      <c r="N34" s="267"/>
      <c r="O34" s="172"/>
      <c r="P34" s="217"/>
      <c r="Q34" s="443"/>
      <c r="S34" s="268"/>
      <c r="T34" s="268"/>
      <c r="U34" s="268"/>
      <c r="AJ34" s="443"/>
      <c r="AZ34" s="269"/>
      <c r="BJ34" s="219"/>
      <c r="BK34" s="219"/>
      <c r="BL34" s="219"/>
      <c r="BO34" s="172"/>
      <c r="BP34" s="219"/>
      <c r="BQ34" s="270"/>
      <c r="BR34" s="271"/>
      <c r="BS34" s="219"/>
      <c r="BT34" s="272"/>
      <c r="BX34" s="219"/>
      <c r="BY34" s="219"/>
      <c r="BZ34" s="172"/>
      <c r="CA34" s="172"/>
      <c r="CB34" s="172"/>
      <c r="CC34" s="172"/>
    </row>
    <row r="35" spans="1:81" ht="13">
      <c r="A35" s="298" t="s">
        <v>399</v>
      </c>
      <c r="B35" s="312">
        <f>100/RCS</f>
        <v>50</v>
      </c>
      <c r="C35" s="287" t="s">
        <v>1</v>
      </c>
      <c r="D35" s="269">
        <f>B35</f>
        <v>50</v>
      </c>
      <c r="E35" s="188" t="s">
        <v>398</v>
      </c>
      <c r="F35" s="266"/>
      <c r="G35" s="266"/>
      <c r="H35" s="170">
        <v>29</v>
      </c>
      <c r="I35" s="456">
        <f t="shared" si="0"/>
        <v>2.9</v>
      </c>
      <c r="J35" s="217"/>
      <c r="K35" s="217"/>
      <c r="L35" s="217"/>
      <c r="M35" s="217"/>
      <c r="N35" s="267"/>
      <c r="O35" s="172"/>
      <c r="P35" s="217"/>
      <c r="Q35" s="443"/>
      <c r="S35" s="268"/>
      <c r="T35" s="268"/>
      <c r="U35" s="268"/>
      <c r="AJ35" s="443"/>
      <c r="AZ35" s="269"/>
      <c r="BJ35" s="219"/>
      <c r="BK35" s="219"/>
      <c r="BL35" s="219"/>
      <c r="BO35" s="172"/>
      <c r="BP35" s="219"/>
      <c r="BQ35" s="270"/>
      <c r="BR35" s="271"/>
      <c r="BS35" s="219"/>
      <c r="BT35" s="272"/>
      <c r="BX35" s="219"/>
      <c r="BY35" s="219"/>
      <c r="BZ35" s="172"/>
      <c r="CA35" s="172"/>
      <c r="CB35" s="172"/>
      <c r="CC35" s="172"/>
    </row>
    <row r="36" spans="1:81" ht="13">
      <c r="A36" s="298" t="s">
        <v>407</v>
      </c>
      <c r="B36" s="312">
        <f>B35/5</f>
        <v>10</v>
      </c>
      <c r="C36" s="287" t="s">
        <v>1</v>
      </c>
      <c r="D36" s="269">
        <f>B36</f>
        <v>10</v>
      </c>
      <c r="E36" s="188" t="s">
        <v>408</v>
      </c>
      <c r="F36" s="266"/>
      <c r="G36" s="266"/>
      <c r="H36" s="170">
        <v>30</v>
      </c>
      <c r="I36" s="456">
        <f t="shared" si="0"/>
        <v>3</v>
      </c>
      <c r="J36" s="217"/>
      <c r="K36" s="217"/>
      <c r="L36" s="217"/>
      <c r="M36" s="217"/>
      <c r="N36" s="267"/>
      <c r="O36" s="172"/>
      <c r="P36" s="217"/>
      <c r="Q36" s="443"/>
      <c r="S36" s="268"/>
      <c r="T36" s="268"/>
      <c r="U36" s="268"/>
      <c r="AJ36" s="443"/>
      <c r="AZ36" s="269"/>
      <c r="BJ36" s="219"/>
      <c r="BK36" s="219"/>
      <c r="BL36" s="219"/>
      <c r="BO36" s="172"/>
      <c r="BP36" s="219"/>
      <c r="BQ36" s="270"/>
      <c r="BR36" s="271"/>
      <c r="BS36" s="219"/>
      <c r="BT36" s="272"/>
      <c r="BX36" s="219"/>
      <c r="BY36" s="219"/>
      <c r="BZ36" s="172"/>
      <c r="CA36" s="172"/>
      <c r="CB36" s="172"/>
      <c r="CC36" s="172"/>
    </row>
    <row r="37" spans="1:81" ht="13.5" thickBot="1">
      <c r="A37" s="298" t="s">
        <v>678</v>
      </c>
      <c r="B37" s="635">
        <v>30</v>
      </c>
      <c r="C37" s="170" t="s">
        <v>32</v>
      </c>
      <c r="D37" s="170">
        <f>B37*0.000000001</f>
        <v>3.0000000000000004E-8</v>
      </c>
      <c r="E37" s="170" t="s">
        <v>679</v>
      </c>
      <c r="F37" s="266"/>
      <c r="G37" s="266"/>
      <c r="H37" s="170">
        <v>31</v>
      </c>
      <c r="I37" s="456">
        <f t="shared" si="0"/>
        <v>3.1</v>
      </c>
      <c r="J37" s="217"/>
      <c r="K37" s="217"/>
      <c r="L37" s="217"/>
      <c r="M37" s="217"/>
      <c r="N37" s="267"/>
      <c r="O37" s="172"/>
      <c r="P37" s="217"/>
      <c r="Q37" s="443"/>
      <c r="S37" s="268"/>
      <c r="T37" s="268"/>
      <c r="U37" s="268"/>
      <c r="AJ37" s="443"/>
      <c r="AZ37" s="269"/>
      <c r="BJ37" s="219"/>
      <c r="BK37" s="219"/>
      <c r="BL37" s="219"/>
      <c r="BO37" s="172"/>
      <c r="BP37" s="219"/>
      <c r="BQ37" s="270"/>
      <c r="BR37" s="271"/>
      <c r="BS37" s="219"/>
      <c r="BT37" s="272"/>
      <c r="BX37" s="219"/>
      <c r="BY37" s="219"/>
      <c r="BZ37" s="172"/>
      <c r="CA37" s="172"/>
      <c r="CB37" s="172"/>
      <c r="CC37" s="172"/>
    </row>
    <row r="38" spans="1:81" ht="13" thickBot="1">
      <c r="A38" s="313" t="s">
        <v>47</v>
      </c>
      <c r="B38" s="526">
        <v>1</v>
      </c>
      <c r="C38" s="287"/>
      <c r="D38" s="269">
        <f>B38</f>
        <v>1</v>
      </c>
      <c r="E38" s="188" t="s">
        <v>409</v>
      </c>
      <c r="H38" s="170">
        <v>32</v>
      </c>
      <c r="I38" s="456">
        <f t="shared" ref="I38:I69" si="2">IF(PLOT_TYPE=1, H38/100*Iout_max, min_I*EXP(H38*rr/100))</f>
        <v>3.2</v>
      </c>
      <c r="J38" s="217"/>
      <c r="K38" s="217"/>
      <c r="L38" s="217"/>
      <c r="M38" s="217"/>
      <c r="N38" s="267"/>
      <c r="O38" s="172"/>
      <c r="P38" s="217"/>
      <c r="Q38" s="443"/>
      <c r="S38" s="268"/>
      <c r="T38" s="268"/>
      <c r="U38" s="268"/>
      <c r="AJ38" s="443"/>
      <c r="AZ38" s="269"/>
      <c r="BJ38" s="219"/>
      <c r="BK38" s="219"/>
      <c r="BL38" s="219"/>
      <c r="BO38" s="172"/>
      <c r="BP38" s="219"/>
      <c r="BQ38" s="270"/>
      <c r="BR38" s="271"/>
      <c r="BS38" s="219"/>
      <c r="BT38" s="272"/>
      <c r="BX38" s="219"/>
      <c r="BY38" s="219"/>
      <c r="BZ38" s="172"/>
      <c r="CA38" s="172"/>
      <c r="CB38" s="172"/>
      <c r="CC38" s="172"/>
    </row>
    <row r="39" spans="1:81">
      <c r="A39" s="298" t="s">
        <v>24</v>
      </c>
      <c r="B39" s="314">
        <v>450</v>
      </c>
      <c r="C39" s="287" t="s">
        <v>265</v>
      </c>
      <c r="D39" s="289">
        <f>B39/1000000</f>
        <v>4.4999999999999999E-4</v>
      </c>
      <c r="E39" s="277" t="s">
        <v>775</v>
      </c>
      <c r="H39" s="170">
        <v>33</v>
      </c>
      <c r="I39" s="456">
        <f t="shared" si="2"/>
        <v>3.3000000000000003</v>
      </c>
      <c r="J39" s="217"/>
      <c r="K39" s="217"/>
      <c r="L39" s="217"/>
      <c r="M39" s="217"/>
      <c r="N39" s="267"/>
      <c r="O39" s="172"/>
      <c r="P39" s="217"/>
      <c r="Q39" s="443"/>
      <c r="S39" s="268"/>
      <c r="T39" s="268"/>
      <c r="U39" s="268"/>
      <c r="AJ39" s="443"/>
      <c r="AZ39" s="269"/>
      <c r="BJ39" s="219"/>
      <c r="BK39" s="219"/>
      <c r="BL39" s="219"/>
      <c r="BO39" s="172"/>
      <c r="BP39" s="219"/>
      <c r="BQ39" s="270"/>
      <c r="BR39" s="271"/>
      <c r="BS39" s="219"/>
      <c r="BT39" s="272"/>
      <c r="BX39" s="219"/>
      <c r="BY39" s="219"/>
      <c r="BZ39" s="172"/>
      <c r="CA39" s="172"/>
      <c r="CB39" s="172"/>
      <c r="CC39" s="172"/>
    </row>
    <row r="40" spans="1:81" ht="13.5" thickBot="1">
      <c r="A40" s="309" t="s">
        <v>391</v>
      </c>
      <c r="B40" s="315"/>
      <c r="C40" s="309" t="s">
        <v>33</v>
      </c>
      <c r="D40" s="310" t="s">
        <v>90</v>
      </c>
      <c r="E40" s="316" t="s">
        <v>41</v>
      </c>
      <c r="H40" s="170">
        <v>34</v>
      </c>
      <c r="I40" s="456">
        <f t="shared" si="2"/>
        <v>3.4000000000000004</v>
      </c>
      <c r="J40" s="217"/>
      <c r="K40" s="217"/>
      <c r="L40" s="217"/>
      <c r="M40" s="217"/>
      <c r="N40" s="267"/>
      <c r="O40" s="172"/>
      <c r="P40" s="217"/>
      <c r="Q40" s="443"/>
      <c r="S40" s="268"/>
      <c r="T40" s="268"/>
      <c r="U40" s="268"/>
      <c r="AJ40" s="443"/>
      <c r="AZ40" s="269"/>
      <c r="BJ40" s="219"/>
      <c r="BK40" s="219"/>
      <c r="BL40" s="219"/>
      <c r="BO40" s="172"/>
      <c r="BP40" s="219"/>
      <c r="BQ40" s="270"/>
      <c r="BR40" s="271"/>
      <c r="BS40" s="219"/>
      <c r="BT40" s="272"/>
      <c r="BX40" s="219"/>
      <c r="BY40" s="219"/>
      <c r="BZ40" s="172"/>
      <c r="CA40" s="172"/>
      <c r="CB40" s="172"/>
      <c r="CC40" s="172"/>
    </row>
    <row r="41" spans="1:81">
      <c r="A41" s="317" t="s">
        <v>392</v>
      </c>
      <c r="B41" s="318">
        <f>RON</f>
        <v>20</v>
      </c>
      <c r="C41" s="278" t="s">
        <v>258</v>
      </c>
      <c r="D41" s="171">
        <f>B41/1000</f>
        <v>0.02</v>
      </c>
      <c r="E41" s="277" t="s">
        <v>396</v>
      </c>
      <c r="H41" s="170">
        <v>35</v>
      </c>
      <c r="I41" s="456">
        <f t="shared" si="2"/>
        <v>3.5</v>
      </c>
      <c r="J41" s="217"/>
      <c r="K41" s="217"/>
      <c r="L41" s="217"/>
      <c r="M41" s="217"/>
      <c r="N41" s="267"/>
      <c r="O41" s="172"/>
      <c r="P41" s="217"/>
      <c r="Q41" s="443"/>
      <c r="S41" s="268"/>
      <c r="T41" s="268"/>
      <c r="U41" s="268"/>
      <c r="AJ41" s="443"/>
      <c r="AZ41" s="269"/>
      <c r="BJ41" s="219"/>
      <c r="BK41" s="219"/>
      <c r="BL41" s="219"/>
      <c r="BO41" s="172"/>
      <c r="BP41" s="219"/>
      <c r="BQ41" s="270"/>
      <c r="BR41" s="271"/>
      <c r="BS41" s="219"/>
      <c r="BT41" s="272"/>
      <c r="BX41" s="219"/>
      <c r="BY41" s="219"/>
      <c r="BZ41" s="172"/>
      <c r="CA41" s="172"/>
      <c r="CB41" s="172"/>
      <c r="CC41" s="172"/>
    </row>
    <row r="42" spans="1:81" ht="13" thickBot="1">
      <c r="A42" s="170" t="s">
        <v>668</v>
      </c>
      <c r="B42" s="170">
        <v>4500</v>
      </c>
      <c r="C42" s="631" t="s">
        <v>669</v>
      </c>
      <c r="D42" s="171">
        <f>B42/1000000</f>
        <v>4.4999999999999997E-3</v>
      </c>
      <c r="E42" s="632" t="s">
        <v>670</v>
      </c>
      <c r="H42" s="170">
        <v>36</v>
      </c>
      <c r="I42" s="456">
        <f t="shared" si="2"/>
        <v>3.5999999999999996</v>
      </c>
      <c r="J42" s="217"/>
      <c r="K42" s="217"/>
      <c r="L42" s="217"/>
      <c r="M42" s="217"/>
      <c r="N42" s="267"/>
      <c r="O42" s="172"/>
      <c r="P42" s="217"/>
      <c r="Q42" s="443"/>
      <c r="S42" s="268"/>
      <c r="T42" s="268"/>
      <c r="U42" s="268"/>
      <c r="AJ42" s="443"/>
      <c r="AZ42" s="269"/>
      <c r="BJ42" s="219"/>
      <c r="BK42" s="219"/>
      <c r="BL42" s="219"/>
      <c r="BO42" s="172"/>
      <c r="BP42" s="219"/>
      <c r="BQ42" s="270"/>
      <c r="BR42" s="271"/>
      <c r="BS42" s="219"/>
      <c r="BT42" s="272"/>
      <c r="BX42" s="219"/>
      <c r="BY42" s="219"/>
      <c r="BZ42" s="172"/>
      <c r="CA42" s="172"/>
      <c r="CB42" s="172"/>
      <c r="CC42" s="172"/>
    </row>
    <row r="43" spans="1:81" ht="13.5" thickBot="1">
      <c r="A43" s="298" t="s">
        <v>266</v>
      </c>
      <c r="B43" s="319"/>
      <c r="C43" s="320" t="s">
        <v>267</v>
      </c>
      <c r="D43" s="171"/>
      <c r="E43" s="277" t="s">
        <v>266</v>
      </c>
      <c r="H43" s="170">
        <v>37</v>
      </c>
      <c r="I43" s="456">
        <f t="shared" si="2"/>
        <v>3.7</v>
      </c>
      <c r="J43" s="217"/>
      <c r="K43" s="217"/>
      <c r="L43" s="217"/>
      <c r="M43" s="217"/>
      <c r="N43" s="267"/>
      <c r="O43" s="172"/>
      <c r="P43" s="217"/>
      <c r="Q43" s="443"/>
      <c r="S43" s="268"/>
      <c r="T43" s="268"/>
      <c r="U43" s="268"/>
      <c r="AJ43" s="443"/>
      <c r="AZ43" s="269"/>
      <c r="BJ43" s="219"/>
      <c r="BK43" s="219"/>
      <c r="BL43" s="219"/>
      <c r="BO43" s="172"/>
      <c r="BP43" s="219"/>
      <c r="BQ43" s="270"/>
      <c r="BR43" s="271"/>
      <c r="BS43" s="219"/>
      <c r="BT43" s="272"/>
      <c r="BX43" s="219"/>
      <c r="BY43" s="219"/>
      <c r="BZ43" s="172"/>
      <c r="CA43" s="172"/>
      <c r="CB43" s="172"/>
      <c r="CC43" s="172"/>
    </row>
    <row r="44" spans="1:81" ht="13" thickBot="1">
      <c r="A44" s="298" t="s">
        <v>393</v>
      </c>
      <c r="B44" s="318">
        <f>'Design Converter'!L24</f>
        <v>25</v>
      </c>
      <c r="C44" s="287" t="s">
        <v>31</v>
      </c>
      <c r="D44" s="171">
        <f>B44/1000000000</f>
        <v>2.4999999999999999E-8</v>
      </c>
      <c r="E44" s="277" t="s">
        <v>395</v>
      </c>
      <c r="H44" s="170">
        <v>38</v>
      </c>
      <c r="I44" s="456">
        <f t="shared" si="2"/>
        <v>3.8</v>
      </c>
      <c r="J44" s="217"/>
      <c r="K44" s="217"/>
      <c r="L44" s="217"/>
      <c r="M44" s="217"/>
      <c r="N44" s="267"/>
      <c r="O44" s="172"/>
      <c r="P44" s="217"/>
      <c r="Q44" s="443"/>
      <c r="S44" s="268"/>
      <c r="T44" s="268"/>
      <c r="U44" s="268"/>
      <c r="AJ44" s="443"/>
      <c r="AZ44" s="269"/>
      <c r="BJ44" s="219"/>
      <c r="BK44" s="219"/>
      <c r="BL44" s="219"/>
      <c r="BO44" s="172"/>
      <c r="BP44" s="219"/>
      <c r="BQ44" s="270"/>
      <c r="BR44" s="271"/>
      <c r="BS44" s="219"/>
      <c r="BT44" s="272"/>
      <c r="BX44" s="219"/>
      <c r="BY44" s="219"/>
      <c r="BZ44" s="172"/>
      <c r="CA44" s="172"/>
      <c r="CB44" s="172"/>
      <c r="CC44" s="172"/>
    </row>
    <row r="45" spans="1:81" ht="13" thickBot="1">
      <c r="A45" s="301" t="s">
        <v>240</v>
      </c>
      <c r="B45" s="318">
        <f>'Design Converter'!L25</f>
        <v>150</v>
      </c>
      <c r="C45" s="287" t="s">
        <v>15</v>
      </c>
      <c r="D45" s="321">
        <f>B45/1000000000000</f>
        <v>1.5E-10</v>
      </c>
      <c r="E45" s="277" t="s">
        <v>326</v>
      </c>
      <c r="H45" s="170">
        <v>39</v>
      </c>
      <c r="I45" s="456">
        <f t="shared" si="2"/>
        <v>3.9000000000000004</v>
      </c>
      <c r="J45" s="217"/>
      <c r="K45" s="217"/>
      <c r="L45" s="217"/>
      <c r="M45" s="217"/>
      <c r="N45" s="267"/>
      <c r="O45" s="172"/>
      <c r="P45" s="217"/>
      <c r="Q45" s="443"/>
      <c r="S45" s="268"/>
      <c r="T45" s="268"/>
      <c r="U45" s="268"/>
      <c r="AJ45" s="443"/>
      <c r="AZ45" s="269"/>
      <c r="BJ45" s="219"/>
      <c r="BK45" s="219"/>
      <c r="BL45" s="219"/>
      <c r="BO45" s="172"/>
      <c r="BP45" s="219"/>
      <c r="BQ45" s="270"/>
      <c r="BR45" s="271"/>
      <c r="BS45" s="219"/>
      <c r="BT45" s="272"/>
      <c r="BX45" s="219"/>
      <c r="BY45" s="219"/>
      <c r="BZ45" s="172"/>
      <c r="CA45" s="172"/>
      <c r="CB45" s="172"/>
      <c r="CC45" s="172"/>
    </row>
    <row r="46" spans="1:81">
      <c r="A46" s="324" t="s">
        <v>325</v>
      </c>
      <c r="B46" s="318">
        <f>CHOOSE(MODE, 50, 100)</f>
        <v>50</v>
      </c>
      <c r="C46" s="287" t="s">
        <v>15</v>
      </c>
      <c r="D46" s="289">
        <f>B46/1000000000000</f>
        <v>5.0000000000000002E-11</v>
      </c>
      <c r="E46" s="277" t="s">
        <v>472</v>
      </c>
      <c r="H46" s="170">
        <v>40</v>
      </c>
      <c r="I46" s="456">
        <f t="shared" si="2"/>
        <v>4</v>
      </c>
      <c r="J46" s="217"/>
      <c r="K46" s="217"/>
      <c r="L46" s="217"/>
      <c r="M46" s="217"/>
      <c r="N46" s="267"/>
      <c r="O46" s="172"/>
      <c r="P46" s="217"/>
      <c r="Q46" s="443"/>
      <c r="S46" s="268"/>
      <c r="T46" s="268"/>
      <c r="U46" s="268"/>
      <c r="AJ46" s="443"/>
      <c r="AZ46" s="269"/>
      <c r="BJ46" s="219"/>
      <c r="BK46" s="219"/>
      <c r="BL46" s="219"/>
      <c r="BO46" s="172"/>
      <c r="BP46" s="219"/>
      <c r="BQ46" s="270"/>
      <c r="BR46" s="271"/>
      <c r="BS46" s="219"/>
      <c r="BT46" s="272"/>
      <c r="BX46" s="219"/>
      <c r="BY46" s="219"/>
      <c r="BZ46" s="172"/>
      <c r="CA46" s="172"/>
      <c r="CB46" s="172"/>
      <c r="CC46" s="172"/>
    </row>
    <row r="47" spans="1:81" ht="13.5" thickBot="1">
      <c r="A47" s="309" t="s">
        <v>397</v>
      </c>
      <c r="B47" s="322"/>
      <c r="C47" s="309" t="s">
        <v>33</v>
      </c>
      <c r="D47" s="310" t="s">
        <v>90</v>
      </c>
      <c r="E47" s="323" t="s">
        <v>41</v>
      </c>
      <c r="H47" s="170">
        <v>41</v>
      </c>
      <c r="I47" s="456">
        <f t="shared" si="2"/>
        <v>4.0999999999999996</v>
      </c>
      <c r="J47" s="217"/>
      <c r="K47" s="217"/>
      <c r="L47" s="217"/>
      <c r="M47" s="217"/>
      <c r="N47" s="267"/>
      <c r="O47" s="172"/>
      <c r="P47" s="217"/>
      <c r="Q47" s="443"/>
      <c r="S47" s="268"/>
      <c r="T47" s="268"/>
      <c r="U47" s="268"/>
      <c r="AJ47" s="443"/>
      <c r="AZ47" s="269"/>
      <c r="BJ47" s="219"/>
      <c r="BK47" s="219"/>
      <c r="BL47" s="219"/>
      <c r="BO47" s="172"/>
      <c r="BP47" s="219"/>
      <c r="BQ47" s="270"/>
      <c r="BR47" s="271"/>
      <c r="BS47" s="219"/>
      <c r="BT47" s="272"/>
      <c r="BX47" s="219"/>
      <c r="BY47" s="219"/>
      <c r="BZ47" s="172"/>
      <c r="CA47" s="172"/>
      <c r="CB47" s="172"/>
      <c r="CC47" s="172"/>
    </row>
    <row r="48" spans="1:81" ht="13" thickBot="1">
      <c r="A48" s="317" t="s">
        <v>644</v>
      </c>
      <c r="B48" s="318">
        <f>'Design Converter'!E80</f>
        <v>0.4</v>
      </c>
      <c r="C48" s="275" t="s">
        <v>0</v>
      </c>
      <c r="D48" s="171">
        <f>B48</f>
        <v>0.4</v>
      </c>
      <c r="E48" s="277" t="s">
        <v>643</v>
      </c>
      <c r="H48" s="170">
        <v>42</v>
      </c>
      <c r="I48" s="456">
        <f t="shared" si="2"/>
        <v>4.2</v>
      </c>
      <c r="J48" s="217"/>
      <c r="K48" s="217"/>
      <c r="L48" s="217"/>
      <c r="M48" s="217"/>
      <c r="N48" s="267"/>
      <c r="O48" s="172"/>
      <c r="P48" s="217"/>
      <c r="Q48" s="443"/>
      <c r="S48" s="268"/>
      <c r="T48" s="268"/>
      <c r="U48" s="268"/>
      <c r="AJ48" s="443"/>
      <c r="AZ48" s="269"/>
      <c r="BJ48" s="219"/>
      <c r="BK48" s="219"/>
      <c r="BL48" s="219"/>
      <c r="BO48" s="172"/>
      <c r="BP48" s="219"/>
      <c r="BQ48" s="270"/>
      <c r="BR48" s="271"/>
      <c r="BS48" s="219"/>
      <c r="BT48" s="272"/>
      <c r="BX48" s="219"/>
      <c r="BY48" s="219"/>
      <c r="BZ48" s="172"/>
      <c r="CA48" s="172"/>
      <c r="CB48" s="172"/>
      <c r="CC48" s="172"/>
    </row>
    <row r="49" spans="1:81" ht="13" thickBot="1">
      <c r="A49" s="317" t="s">
        <v>645</v>
      </c>
      <c r="B49" s="318">
        <f>'Design Converter'!E81</f>
        <v>0.7</v>
      </c>
      <c r="C49" s="275" t="s">
        <v>0</v>
      </c>
      <c r="D49" s="171">
        <f>B49</f>
        <v>0.7</v>
      </c>
      <c r="E49" s="277" t="s">
        <v>642</v>
      </c>
      <c r="H49" s="170">
        <v>43</v>
      </c>
      <c r="I49" s="456">
        <f t="shared" si="2"/>
        <v>4.3</v>
      </c>
      <c r="J49" s="217"/>
      <c r="K49" s="217"/>
      <c r="L49" s="217"/>
      <c r="M49" s="217"/>
      <c r="N49" s="267"/>
      <c r="O49" s="172"/>
      <c r="P49" s="217"/>
      <c r="Q49" s="443"/>
      <c r="S49" s="268"/>
      <c r="T49" s="268"/>
      <c r="U49" s="268"/>
      <c r="AJ49" s="443"/>
      <c r="AZ49" s="269"/>
      <c r="BJ49" s="219"/>
      <c r="BK49" s="219"/>
      <c r="BL49" s="219"/>
      <c r="BO49" s="172"/>
      <c r="BP49" s="219"/>
      <c r="BQ49" s="270"/>
      <c r="BR49" s="271"/>
      <c r="BS49" s="219"/>
      <c r="BT49" s="272"/>
      <c r="BX49" s="219"/>
      <c r="BY49" s="219"/>
      <c r="BZ49" s="172"/>
      <c r="CA49" s="172"/>
      <c r="CB49" s="172"/>
      <c r="CC49" s="172"/>
    </row>
    <row r="50" spans="1:81" ht="13" thickBot="1">
      <c r="A50" s="317" t="s">
        <v>268</v>
      </c>
      <c r="B50" s="318">
        <v>100</v>
      </c>
      <c r="C50" s="278" t="s">
        <v>258</v>
      </c>
      <c r="D50" s="171">
        <f>B50*0.001</f>
        <v>0.1</v>
      </c>
      <c r="E50" s="277" t="s">
        <v>269</v>
      </c>
      <c r="H50" s="170">
        <v>44</v>
      </c>
      <c r="I50" s="456">
        <f t="shared" si="2"/>
        <v>4.4000000000000004</v>
      </c>
      <c r="J50" s="217"/>
      <c r="K50" s="217"/>
      <c r="L50" s="217"/>
      <c r="M50" s="217"/>
      <c r="N50" s="267"/>
      <c r="O50" s="172"/>
      <c r="P50" s="217"/>
      <c r="Q50" s="443"/>
      <c r="S50" s="268"/>
      <c r="T50" s="268"/>
      <c r="U50" s="268"/>
      <c r="AJ50" s="443"/>
      <c r="AZ50" s="269"/>
      <c r="BJ50" s="219"/>
      <c r="BK50" s="219"/>
      <c r="BL50" s="219"/>
      <c r="BO50" s="172"/>
      <c r="BP50" s="219"/>
      <c r="BQ50" s="270"/>
      <c r="BR50" s="271"/>
      <c r="BS50" s="219"/>
      <c r="BT50" s="272"/>
      <c r="BX50" s="219"/>
      <c r="BY50" s="219"/>
      <c r="BZ50" s="172"/>
      <c r="CA50" s="172"/>
      <c r="CB50" s="172"/>
      <c r="CC50" s="172"/>
    </row>
    <row r="51" spans="1:81" ht="13" thickBot="1">
      <c r="A51" s="298" t="s">
        <v>400</v>
      </c>
      <c r="B51" s="318">
        <v>2</v>
      </c>
      <c r="C51" s="287" t="s">
        <v>31</v>
      </c>
      <c r="D51" s="289">
        <f>B51*0.000000001</f>
        <v>2.0000000000000001E-9</v>
      </c>
      <c r="E51" s="277" t="s">
        <v>270</v>
      </c>
      <c r="H51" s="170">
        <v>45</v>
      </c>
      <c r="I51" s="456">
        <f t="shared" si="2"/>
        <v>4.5</v>
      </c>
      <c r="J51" s="217"/>
      <c r="K51" s="217"/>
      <c r="L51" s="217"/>
      <c r="M51" s="217"/>
      <c r="N51" s="267"/>
      <c r="O51" s="172"/>
      <c r="P51" s="217"/>
      <c r="Q51" s="443"/>
      <c r="S51" s="268"/>
      <c r="T51" s="268"/>
      <c r="U51" s="268"/>
      <c r="AJ51" s="443"/>
      <c r="AZ51" s="269"/>
      <c r="BJ51" s="219"/>
      <c r="BK51" s="219"/>
      <c r="BL51" s="219"/>
      <c r="BO51" s="172"/>
      <c r="BP51" s="219"/>
      <c r="BQ51" s="270"/>
      <c r="BR51" s="271"/>
      <c r="BS51" s="219"/>
      <c r="BT51" s="272"/>
      <c r="BX51" s="219"/>
      <c r="BY51" s="219"/>
      <c r="BZ51" s="172"/>
      <c r="CA51" s="172"/>
      <c r="CB51" s="172"/>
      <c r="CC51" s="172"/>
    </row>
    <row r="52" spans="1:81" ht="13" thickBot="1">
      <c r="A52" s="298" t="s">
        <v>401</v>
      </c>
      <c r="B52" s="318">
        <v>10</v>
      </c>
      <c r="C52" s="287" t="s">
        <v>32</v>
      </c>
      <c r="D52" s="289">
        <f>B52*0.000000001</f>
        <v>1E-8</v>
      </c>
      <c r="E52" s="277" t="s">
        <v>271</v>
      </c>
      <c r="H52" s="170">
        <v>46</v>
      </c>
      <c r="I52" s="456">
        <f t="shared" si="2"/>
        <v>4.6000000000000005</v>
      </c>
      <c r="J52" s="217"/>
      <c r="K52" s="217"/>
      <c r="L52" s="217"/>
      <c r="M52" s="217"/>
      <c r="N52" s="267"/>
      <c r="O52" s="172"/>
      <c r="P52" s="217"/>
      <c r="Q52" s="443"/>
      <c r="S52" s="268"/>
      <c r="T52" s="268"/>
      <c r="U52" s="268"/>
      <c r="AJ52" s="443"/>
      <c r="AZ52" s="269"/>
      <c r="BJ52" s="219"/>
      <c r="BK52" s="219"/>
      <c r="BL52" s="219"/>
      <c r="BO52" s="172"/>
      <c r="BP52" s="219"/>
      <c r="BQ52" s="270"/>
      <c r="BR52" s="271"/>
      <c r="BS52" s="219"/>
      <c r="BT52" s="272"/>
      <c r="BX52" s="219"/>
      <c r="BY52" s="219"/>
      <c r="BZ52" s="172"/>
      <c r="CA52" s="172"/>
      <c r="CB52" s="172"/>
      <c r="CC52" s="172"/>
    </row>
    <row r="53" spans="1:81">
      <c r="A53" s="324" t="s">
        <v>488</v>
      </c>
      <c r="B53" s="318">
        <v>0</v>
      </c>
      <c r="C53" s="275" t="s">
        <v>272</v>
      </c>
      <c r="D53" s="289">
        <f>B53/1000000</f>
        <v>0</v>
      </c>
      <c r="E53" s="277" t="s">
        <v>273</v>
      </c>
      <c r="H53" s="170">
        <v>47</v>
      </c>
      <c r="I53" s="456">
        <f t="shared" si="2"/>
        <v>4.6999999999999993</v>
      </c>
      <c r="J53" s="217"/>
      <c r="K53" s="217"/>
      <c r="L53" s="217"/>
      <c r="M53" s="217"/>
      <c r="N53" s="267"/>
      <c r="O53" s="172"/>
      <c r="P53" s="217"/>
      <c r="Q53" s="443"/>
      <c r="S53" s="268"/>
      <c r="T53" s="268"/>
      <c r="U53" s="268"/>
      <c r="AJ53" s="443"/>
      <c r="AZ53" s="269"/>
      <c r="BJ53" s="219"/>
      <c r="BK53" s="219"/>
      <c r="BL53" s="219"/>
      <c r="BO53" s="172"/>
      <c r="BP53" s="219"/>
      <c r="BQ53" s="270"/>
      <c r="BR53" s="271"/>
      <c r="BS53" s="219"/>
      <c r="BT53" s="272"/>
      <c r="BX53" s="219"/>
      <c r="BY53" s="219"/>
      <c r="BZ53" s="172"/>
      <c r="CA53" s="172"/>
      <c r="CB53" s="172"/>
      <c r="CC53" s="172"/>
    </row>
    <row r="54" spans="1:81">
      <c r="A54" s="170" t="s">
        <v>672</v>
      </c>
      <c r="B54" s="197">
        <f>'Design Converter'!E82</f>
        <v>52.8</v>
      </c>
      <c r="C54" s="631" t="s">
        <v>84</v>
      </c>
      <c r="D54" s="197">
        <f>B54</f>
        <v>52.8</v>
      </c>
      <c r="E54" s="170" t="s">
        <v>671</v>
      </c>
      <c r="H54" s="170">
        <v>48</v>
      </c>
      <c r="I54" s="456">
        <f t="shared" si="2"/>
        <v>4.8</v>
      </c>
      <c r="J54" s="217"/>
      <c r="K54" s="217"/>
      <c r="L54" s="217"/>
      <c r="M54" s="217"/>
      <c r="N54" s="267"/>
      <c r="O54" s="172"/>
      <c r="P54" s="217"/>
      <c r="Q54" s="443"/>
      <c r="S54" s="268"/>
      <c r="T54" s="268"/>
      <c r="U54" s="268"/>
      <c r="AJ54" s="443"/>
      <c r="AZ54" s="269"/>
      <c r="BJ54" s="219"/>
      <c r="BK54" s="219"/>
      <c r="BL54" s="219"/>
      <c r="BO54" s="172"/>
      <c r="BP54" s="219"/>
      <c r="BQ54" s="270"/>
      <c r="BR54" s="271"/>
      <c r="BS54" s="219"/>
      <c r="BT54" s="272"/>
      <c r="BX54" s="219"/>
      <c r="BY54" s="219"/>
      <c r="BZ54" s="172"/>
      <c r="CA54" s="172"/>
      <c r="CB54" s="172"/>
      <c r="CC54" s="172"/>
    </row>
    <row r="55" spans="1:81">
      <c r="H55" s="170">
        <v>49</v>
      </c>
      <c r="I55" s="456">
        <f t="shared" si="2"/>
        <v>4.9000000000000004</v>
      </c>
      <c r="J55" s="217"/>
      <c r="K55" s="217"/>
      <c r="L55" s="217"/>
      <c r="M55" s="217"/>
      <c r="N55" s="267"/>
      <c r="O55" s="172"/>
      <c r="P55" s="217"/>
      <c r="Q55" s="443"/>
      <c r="S55" s="268"/>
      <c r="T55" s="268"/>
      <c r="U55" s="268"/>
      <c r="AJ55" s="443"/>
      <c r="AZ55" s="269"/>
      <c r="BJ55" s="219"/>
      <c r="BK55" s="219"/>
      <c r="BL55" s="219"/>
      <c r="BO55" s="172"/>
      <c r="BP55" s="219"/>
      <c r="BQ55" s="270"/>
      <c r="BR55" s="271"/>
      <c r="BS55" s="219"/>
      <c r="BT55" s="272"/>
      <c r="BX55" s="219"/>
      <c r="BY55" s="219"/>
      <c r="BZ55" s="172"/>
      <c r="CA55" s="172"/>
      <c r="CB55" s="172"/>
      <c r="CC55" s="172"/>
    </row>
    <row r="56" spans="1:81">
      <c r="H56" s="170">
        <v>50</v>
      </c>
      <c r="I56" s="456">
        <f t="shared" si="2"/>
        <v>5</v>
      </c>
      <c r="J56" s="217"/>
      <c r="K56" s="217"/>
      <c r="L56" s="217"/>
      <c r="M56" s="217"/>
      <c r="N56" s="267"/>
      <c r="O56" s="172"/>
      <c r="P56" s="217"/>
      <c r="Q56" s="443"/>
      <c r="S56" s="268"/>
      <c r="T56" s="268"/>
      <c r="U56" s="268"/>
      <c r="AJ56" s="443"/>
      <c r="AZ56" s="269"/>
      <c r="BJ56" s="219"/>
      <c r="BK56" s="219"/>
      <c r="BL56" s="219"/>
      <c r="BO56" s="172"/>
      <c r="BP56" s="219"/>
      <c r="BQ56" s="270"/>
      <c r="BR56" s="271"/>
      <c r="BS56" s="219"/>
      <c r="BT56" s="272"/>
      <c r="BX56" s="219"/>
      <c r="BY56" s="219"/>
      <c r="BZ56" s="172"/>
      <c r="CA56" s="172"/>
      <c r="CB56" s="172"/>
      <c r="CC56" s="172"/>
    </row>
    <row r="57" spans="1:81">
      <c r="H57" s="170">
        <v>51</v>
      </c>
      <c r="I57" s="456">
        <f t="shared" si="2"/>
        <v>5.0999999999999996</v>
      </c>
      <c r="J57" s="217"/>
      <c r="K57" s="217"/>
      <c r="L57" s="217"/>
      <c r="M57" s="217"/>
      <c r="N57" s="267"/>
      <c r="O57" s="172"/>
      <c r="P57" s="217"/>
      <c r="Q57" s="443"/>
      <c r="S57" s="268"/>
      <c r="T57" s="268"/>
      <c r="U57" s="268"/>
      <c r="AJ57" s="443"/>
      <c r="AZ57" s="269"/>
      <c r="BJ57" s="219"/>
      <c r="BK57" s="219"/>
      <c r="BL57" s="219"/>
      <c r="BO57" s="172"/>
      <c r="BP57" s="219"/>
      <c r="BQ57" s="270"/>
      <c r="BR57" s="271"/>
      <c r="BS57" s="219"/>
      <c r="BT57" s="272"/>
      <c r="BX57" s="219"/>
      <c r="BY57" s="219"/>
      <c r="BZ57" s="172"/>
      <c r="CA57" s="172"/>
      <c r="CB57" s="172"/>
      <c r="CC57" s="172"/>
    </row>
    <row r="58" spans="1:81">
      <c r="H58" s="170">
        <v>52</v>
      </c>
      <c r="I58" s="456">
        <f t="shared" si="2"/>
        <v>5.2</v>
      </c>
      <c r="J58" s="217"/>
      <c r="K58" s="217"/>
      <c r="L58" s="217"/>
      <c r="M58" s="217"/>
      <c r="N58" s="267"/>
      <c r="O58" s="172"/>
      <c r="P58" s="217"/>
      <c r="Q58" s="443"/>
      <c r="S58" s="268"/>
      <c r="T58" s="268"/>
      <c r="U58" s="268"/>
      <c r="AJ58" s="443"/>
      <c r="AZ58" s="269"/>
      <c r="BJ58" s="219"/>
      <c r="BK58" s="219"/>
      <c r="BL58" s="219"/>
      <c r="BO58" s="172"/>
      <c r="BP58" s="219"/>
      <c r="BQ58" s="270"/>
      <c r="BR58" s="271"/>
      <c r="BS58" s="219"/>
      <c r="BT58" s="272"/>
      <c r="BX58" s="219"/>
      <c r="BY58" s="219"/>
      <c r="BZ58" s="172"/>
      <c r="CA58" s="172"/>
      <c r="CB58" s="172"/>
      <c r="CC58" s="172"/>
    </row>
    <row r="59" spans="1:81">
      <c r="H59" s="170">
        <v>53</v>
      </c>
      <c r="I59" s="456">
        <f t="shared" si="2"/>
        <v>5.3000000000000007</v>
      </c>
      <c r="J59" s="217"/>
      <c r="K59" s="217"/>
      <c r="L59" s="217"/>
      <c r="M59" s="217"/>
      <c r="N59" s="267"/>
      <c r="O59" s="172"/>
      <c r="P59" s="217"/>
      <c r="Q59" s="443"/>
      <c r="S59" s="268"/>
      <c r="T59" s="268"/>
      <c r="U59" s="268"/>
      <c r="AJ59" s="443"/>
      <c r="AZ59" s="269"/>
      <c r="BJ59" s="219"/>
      <c r="BK59" s="219"/>
      <c r="BL59" s="219"/>
      <c r="BO59" s="172"/>
      <c r="BP59" s="219"/>
      <c r="BQ59" s="270"/>
      <c r="BR59" s="271"/>
      <c r="BS59" s="219"/>
      <c r="BT59" s="272"/>
      <c r="BX59" s="219"/>
      <c r="BY59" s="219"/>
      <c r="BZ59" s="172"/>
      <c r="CA59" s="172"/>
      <c r="CB59" s="172"/>
      <c r="CC59" s="172"/>
    </row>
    <row r="60" spans="1:81">
      <c r="H60" s="170">
        <v>54</v>
      </c>
      <c r="I60" s="456">
        <f t="shared" si="2"/>
        <v>5.4</v>
      </c>
      <c r="J60" s="217"/>
      <c r="K60" s="217"/>
      <c r="L60" s="217"/>
      <c r="M60" s="217"/>
      <c r="N60" s="267"/>
      <c r="O60" s="172"/>
      <c r="P60" s="217"/>
      <c r="Q60" s="443"/>
      <c r="S60" s="268"/>
      <c r="T60" s="268"/>
      <c r="U60" s="268"/>
      <c r="AJ60" s="443"/>
      <c r="AZ60" s="269"/>
      <c r="BJ60" s="219"/>
      <c r="BK60" s="219"/>
      <c r="BL60" s="219"/>
      <c r="BO60" s="172"/>
      <c r="BP60" s="219"/>
      <c r="BQ60" s="270"/>
      <c r="BR60" s="271"/>
      <c r="BS60" s="219"/>
      <c r="BT60" s="272"/>
      <c r="BX60" s="219"/>
      <c r="BY60" s="219"/>
      <c r="BZ60" s="172"/>
      <c r="CA60" s="172"/>
      <c r="CB60" s="172"/>
      <c r="CC60" s="172"/>
    </row>
    <row r="61" spans="1:81">
      <c r="H61" s="170">
        <v>55</v>
      </c>
      <c r="I61" s="456">
        <f t="shared" si="2"/>
        <v>5.5</v>
      </c>
      <c r="J61" s="217"/>
      <c r="K61" s="217"/>
      <c r="L61" s="217"/>
      <c r="M61" s="217"/>
      <c r="N61" s="267"/>
      <c r="O61" s="172"/>
      <c r="P61" s="217"/>
      <c r="Q61" s="443"/>
      <c r="S61" s="268"/>
      <c r="T61" s="268"/>
      <c r="U61" s="268"/>
      <c r="AJ61" s="443"/>
      <c r="AZ61" s="269"/>
      <c r="BJ61" s="219"/>
      <c r="BK61" s="219"/>
      <c r="BL61" s="219"/>
      <c r="BO61" s="172"/>
      <c r="BP61" s="219"/>
      <c r="BQ61" s="270"/>
      <c r="BR61" s="271"/>
      <c r="BS61" s="219"/>
      <c r="BT61" s="272"/>
      <c r="BX61" s="219"/>
      <c r="BY61" s="219"/>
      <c r="BZ61" s="172"/>
      <c r="CA61" s="172"/>
      <c r="CB61" s="172"/>
      <c r="CC61" s="172"/>
    </row>
    <row r="62" spans="1:81">
      <c r="H62" s="170">
        <v>56</v>
      </c>
      <c r="I62" s="456">
        <f t="shared" si="2"/>
        <v>5.6000000000000005</v>
      </c>
      <c r="J62" s="217"/>
      <c r="K62" s="217"/>
      <c r="L62" s="217"/>
      <c r="M62" s="217"/>
      <c r="N62" s="267"/>
      <c r="O62" s="172"/>
      <c r="P62" s="217"/>
      <c r="Q62" s="443"/>
      <c r="S62" s="268"/>
      <c r="T62" s="268"/>
      <c r="U62" s="268"/>
      <c r="AJ62" s="443"/>
      <c r="AZ62" s="269"/>
      <c r="BJ62" s="219"/>
      <c r="BK62" s="219"/>
      <c r="BL62" s="219"/>
      <c r="BO62" s="172"/>
      <c r="BP62" s="219"/>
      <c r="BQ62" s="270"/>
      <c r="BR62" s="271"/>
      <c r="BS62" s="219"/>
      <c r="BT62" s="272"/>
      <c r="BX62" s="219"/>
      <c r="BY62" s="219"/>
      <c r="BZ62" s="172"/>
      <c r="CA62" s="172"/>
      <c r="CB62" s="172"/>
      <c r="CC62" s="172"/>
    </row>
    <row r="63" spans="1:81" ht="13">
      <c r="F63" s="325" t="s">
        <v>274</v>
      </c>
      <c r="G63" s="325" t="s">
        <v>275</v>
      </c>
      <c r="H63" s="170">
        <v>57</v>
      </c>
      <c r="I63" s="456">
        <f t="shared" si="2"/>
        <v>5.6999999999999993</v>
      </c>
      <c r="J63" s="217"/>
      <c r="K63" s="217"/>
      <c r="L63" s="217"/>
      <c r="M63" s="217"/>
      <c r="N63" s="267"/>
      <c r="O63" s="172"/>
      <c r="P63" s="217"/>
      <c r="Q63" s="443"/>
      <c r="S63" s="268"/>
      <c r="T63" s="268"/>
      <c r="U63" s="268"/>
      <c r="AJ63" s="443"/>
      <c r="AZ63" s="269"/>
      <c r="BJ63" s="219"/>
      <c r="BK63" s="219"/>
      <c r="BL63" s="219"/>
      <c r="BO63" s="172"/>
      <c r="BP63" s="219"/>
      <c r="BQ63" s="270"/>
      <c r="BR63" s="271"/>
      <c r="BS63" s="219"/>
      <c r="BT63" s="272"/>
      <c r="BX63" s="219"/>
      <c r="BY63" s="219"/>
      <c r="BZ63" s="172"/>
      <c r="CA63" s="172"/>
      <c r="CB63" s="172"/>
      <c r="CC63" s="172"/>
    </row>
    <row r="64" spans="1:81">
      <c r="F64" s="326">
        <f>BM56</f>
        <v>0</v>
      </c>
      <c r="G64" s="327">
        <f>I56*1000</f>
        <v>5000</v>
      </c>
      <c r="H64" s="170">
        <v>58</v>
      </c>
      <c r="I64" s="456">
        <f t="shared" si="2"/>
        <v>5.8</v>
      </c>
      <c r="J64" s="217"/>
      <c r="K64" s="217"/>
      <c r="L64" s="217"/>
      <c r="M64" s="217"/>
      <c r="N64" s="267"/>
      <c r="O64" s="172"/>
      <c r="P64" s="217"/>
      <c r="Q64" s="443"/>
      <c r="S64" s="268"/>
      <c r="T64" s="268"/>
      <c r="U64" s="268"/>
      <c r="AJ64" s="443"/>
      <c r="AZ64" s="269"/>
      <c r="BJ64" s="219"/>
      <c r="BK64" s="219"/>
      <c r="BL64" s="219"/>
      <c r="BO64" s="172"/>
      <c r="BP64" s="219"/>
      <c r="BQ64" s="270"/>
      <c r="BR64" s="271"/>
      <c r="BS64" s="219"/>
      <c r="BT64" s="272"/>
      <c r="BX64" s="219"/>
      <c r="BY64" s="219"/>
      <c r="BZ64" s="172"/>
      <c r="CA64" s="172"/>
      <c r="CB64" s="172"/>
      <c r="CC64" s="172"/>
    </row>
    <row r="65" spans="6:81">
      <c r="F65" s="326">
        <f>BM81</f>
        <v>0</v>
      </c>
      <c r="G65" s="327">
        <f>I81*1000</f>
        <v>7500</v>
      </c>
      <c r="H65" s="170">
        <v>59</v>
      </c>
      <c r="I65" s="456">
        <f t="shared" si="2"/>
        <v>5.8999999999999995</v>
      </c>
      <c r="J65" s="217"/>
      <c r="K65" s="217"/>
      <c r="L65" s="217"/>
      <c r="M65" s="217"/>
      <c r="N65" s="267"/>
      <c r="O65" s="172"/>
      <c r="P65" s="217"/>
      <c r="Q65" s="443"/>
      <c r="S65" s="268"/>
      <c r="T65" s="268"/>
      <c r="U65" s="268"/>
      <c r="AJ65" s="443"/>
      <c r="AZ65" s="269"/>
      <c r="BJ65" s="219"/>
      <c r="BK65" s="219"/>
      <c r="BL65" s="219"/>
      <c r="BO65" s="172"/>
      <c r="BP65" s="219"/>
      <c r="BQ65" s="270"/>
      <c r="BR65" s="271"/>
      <c r="BS65" s="219"/>
      <c r="BT65" s="272"/>
      <c r="BX65" s="219"/>
      <c r="BY65" s="219"/>
      <c r="BZ65" s="172"/>
      <c r="CA65" s="172"/>
      <c r="CB65" s="172"/>
      <c r="CC65" s="172"/>
    </row>
    <row r="66" spans="6:81">
      <c r="F66" s="326">
        <f>BM106</f>
        <v>100</v>
      </c>
      <c r="G66" s="327">
        <f>I106*1000</f>
        <v>10000</v>
      </c>
      <c r="H66" s="170">
        <v>60</v>
      </c>
      <c r="I66" s="456">
        <f t="shared" si="2"/>
        <v>6</v>
      </c>
      <c r="J66" s="217"/>
      <c r="K66" s="217"/>
      <c r="L66" s="217"/>
      <c r="M66" s="217"/>
      <c r="N66" s="267"/>
      <c r="O66" s="172"/>
      <c r="P66" s="217"/>
      <c r="Q66" s="443"/>
      <c r="S66" s="268"/>
      <c r="T66" s="268"/>
      <c r="U66" s="268"/>
      <c r="AJ66" s="443"/>
      <c r="AZ66" s="269"/>
      <c r="BJ66" s="219"/>
      <c r="BK66" s="219"/>
      <c r="BL66" s="219"/>
      <c r="BO66" s="172"/>
      <c r="BP66" s="219"/>
      <c r="BQ66" s="270"/>
      <c r="BR66" s="271"/>
      <c r="BS66" s="219"/>
      <c r="BT66" s="272"/>
      <c r="BX66" s="219"/>
      <c r="BY66" s="219"/>
      <c r="BZ66" s="172"/>
      <c r="CA66" s="172"/>
      <c r="CB66" s="172"/>
      <c r="CC66" s="172"/>
    </row>
    <row r="67" spans="6:81">
      <c r="H67" s="170">
        <v>61</v>
      </c>
      <c r="I67" s="456">
        <f t="shared" si="2"/>
        <v>6.1</v>
      </c>
      <c r="J67" s="217"/>
      <c r="K67" s="217"/>
      <c r="L67" s="217"/>
      <c r="M67" s="217"/>
      <c r="N67" s="267"/>
      <c r="O67" s="172"/>
      <c r="P67" s="217"/>
      <c r="Q67" s="443"/>
      <c r="S67" s="268"/>
      <c r="T67" s="268"/>
      <c r="U67" s="268"/>
      <c r="AJ67" s="443"/>
      <c r="AZ67" s="269"/>
      <c r="BJ67" s="219"/>
      <c r="BK67" s="219"/>
      <c r="BL67" s="219"/>
      <c r="BO67" s="172"/>
      <c r="BP67" s="219"/>
      <c r="BQ67" s="270"/>
      <c r="BR67" s="271"/>
      <c r="BS67" s="219"/>
      <c r="BT67" s="272"/>
      <c r="BX67" s="219"/>
      <c r="BY67" s="219"/>
      <c r="BZ67" s="172"/>
      <c r="CA67" s="172"/>
      <c r="CB67" s="172"/>
      <c r="CC67" s="172"/>
    </row>
    <row r="68" spans="6:81">
      <c r="H68" s="170">
        <v>62</v>
      </c>
      <c r="I68" s="456">
        <f t="shared" si="2"/>
        <v>6.2</v>
      </c>
      <c r="J68" s="217"/>
      <c r="K68" s="217"/>
      <c r="L68" s="217"/>
      <c r="M68" s="217"/>
      <c r="N68" s="267"/>
      <c r="O68" s="172"/>
      <c r="P68" s="217"/>
      <c r="Q68" s="443"/>
      <c r="S68" s="268"/>
      <c r="T68" s="268"/>
      <c r="U68" s="268"/>
      <c r="AJ68" s="443"/>
      <c r="AZ68" s="269"/>
      <c r="BJ68" s="219"/>
      <c r="BK68" s="219"/>
      <c r="BL68" s="219"/>
      <c r="BO68" s="172"/>
      <c r="BP68" s="219"/>
      <c r="BQ68" s="270"/>
      <c r="BR68" s="271"/>
      <c r="BS68" s="219"/>
      <c r="BT68" s="272"/>
      <c r="BX68" s="219"/>
      <c r="BY68" s="219"/>
      <c r="BZ68" s="172"/>
      <c r="CA68" s="172"/>
      <c r="CB68" s="172"/>
      <c r="CC68" s="172"/>
    </row>
    <row r="69" spans="6:81">
      <c r="H69" s="170">
        <v>63</v>
      </c>
      <c r="I69" s="456">
        <f t="shared" si="2"/>
        <v>6.3</v>
      </c>
      <c r="J69" s="217"/>
      <c r="K69" s="217"/>
      <c r="L69" s="217"/>
      <c r="M69" s="217"/>
      <c r="N69" s="267"/>
      <c r="O69" s="172"/>
      <c r="P69" s="217"/>
      <c r="Q69" s="443"/>
      <c r="S69" s="268"/>
      <c r="T69" s="268"/>
      <c r="U69" s="268"/>
      <c r="AJ69" s="443"/>
      <c r="AZ69" s="269"/>
      <c r="BJ69" s="219"/>
      <c r="BK69" s="219"/>
      <c r="BL69" s="219"/>
      <c r="BO69" s="172"/>
      <c r="BP69" s="219"/>
      <c r="BQ69" s="270"/>
      <c r="BR69" s="271"/>
      <c r="BS69" s="219"/>
      <c r="BT69" s="272"/>
      <c r="BX69" s="219"/>
      <c r="BY69" s="219"/>
      <c r="BZ69" s="172"/>
      <c r="CA69" s="172"/>
      <c r="CB69" s="172"/>
      <c r="CC69" s="172"/>
    </row>
    <row r="70" spans="6:81">
      <c r="H70" s="170">
        <v>64</v>
      </c>
      <c r="I70" s="456">
        <f t="shared" ref="I70:I101" si="3">IF(PLOT_TYPE=1, H70/100*Iout_max, min_I*EXP(H70*rr/100))</f>
        <v>6.4</v>
      </c>
      <c r="J70" s="217"/>
      <c r="K70" s="217"/>
      <c r="L70" s="217"/>
      <c r="M70" s="217"/>
      <c r="N70" s="267"/>
      <c r="O70" s="172"/>
      <c r="P70" s="217"/>
      <c r="Q70" s="443"/>
      <c r="S70" s="268"/>
      <c r="T70" s="268"/>
      <c r="U70" s="268"/>
      <c r="AJ70" s="443"/>
      <c r="AZ70" s="269"/>
      <c r="BJ70" s="219"/>
      <c r="BK70" s="219"/>
      <c r="BL70" s="219"/>
      <c r="BO70" s="172"/>
      <c r="BP70" s="219"/>
      <c r="BQ70" s="270"/>
      <c r="BR70" s="271"/>
      <c r="BS70" s="219"/>
      <c r="BT70" s="272"/>
      <c r="BX70" s="219"/>
      <c r="BY70" s="219"/>
      <c r="BZ70" s="172"/>
      <c r="CA70" s="172"/>
      <c r="CB70" s="172"/>
      <c r="CC70" s="172"/>
    </row>
    <row r="71" spans="6:81">
      <c r="H71" s="170">
        <v>65</v>
      </c>
      <c r="I71" s="456">
        <f t="shared" si="3"/>
        <v>6.5</v>
      </c>
      <c r="J71" s="217"/>
      <c r="K71" s="217"/>
      <c r="L71" s="217"/>
      <c r="M71" s="217"/>
      <c r="N71" s="267"/>
      <c r="O71" s="172"/>
      <c r="P71" s="217"/>
      <c r="Q71" s="443"/>
      <c r="S71" s="268"/>
      <c r="T71" s="268"/>
      <c r="U71" s="268"/>
      <c r="AJ71" s="443"/>
      <c r="AZ71" s="269"/>
      <c r="BJ71" s="219"/>
      <c r="BK71" s="219"/>
      <c r="BL71" s="219"/>
      <c r="BO71" s="172"/>
      <c r="BP71" s="219"/>
      <c r="BQ71" s="270"/>
      <c r="BR71" s="271"/>
      <c r="BS71" s="219"/>
      <c r="BT71" s="272"/>
      <c r="BX71" s="219"/>
      <c r="BY71" s="219"/>
      <c r="BZ71" s="172"/>
      <c r="CA71" s="172"/>
      <c r="CB71" s="172"/>
      <c r="CC71" s="172"/>
    </row>
    <row r="72" spans="6:81">
      <c r="H72" s="170">
        <v>66</v>
      </c>
      <c r="I72" s="456">
        <f t="shared" si="3"/>
        <v>6.6000000000000005</v>
      </c>
      <c r="J72" s="217"/>
      <c r="K72" s="217"/>
      <c r="L72" s="217"/>
      <c r="M72" s="217"/>
      <c r="N72" s="267"/>
      <c r="O72" s="172"/>
      <c r="P72" s="217"/>
      <c r="Q72" s="443"/>
      <c r="S72" s="268"/>
      <c r="T72" s="268"/>
      <c r="U72" s="268"/>
      <c r="AJ72" s="443"/>
      <c r="AZ72" s="269"/>
      <c r="BJ72" s="219"/>
      <c r="BK72" s="219"/>
      <c r="BL72" s="219"/>
      <c r="BO72" s="172"/>
      <c r="BP72" s="219"/>
      <c r="BQ72" s="270"/>
      <c r="BR72" s="271"/>
      <c r="BS72" s="219"/>
      <c r="BT72" s="272"/>
      <c r="BX72" s="219"/>
      <c r="BY72" s="219"/>
      <c r="BZ72" s="172"/>
      <c r="CA72" s="172"/>
      <c r="CB72" s="172"/>
      <c r="CC72" s="172"/>
    </row>
    <row r="73" spans="6:81">
      <c r="H73" s="170">
        <v>67</v>
      </c>
      <c r="I73" s="456">
        <f t="shared" si="3"/>
        <v>6.7</v>
      </c>
      <c r="J73" s="217"/>
      <c r="K73" s="217"/>
      <c r="L73" s="217"/>
      <c r="M73" s="217"/>
      <c r="N73" s="267"/>
      <c r="O73" s="172"/>
      <c r="P73" s="217"/>
      <c r="Q73" s="443"/>
      <c r="S73" s="268"/>
      <c r="T73" s="268"/>
      <c r="U73" s="268"/>
      <c r="AJ73" s="443"/>
      <c r="AZ73" s="269"/>
      <c r="BJ73" s="219"/>
      <c r="BK73" s="219"/>
      <c r="BL73" s="219"/>
      <c r="BO73" s="172"/>
      <c r="BP73" s="219"/>
      <c r="BQ73" s="270"/>
      <c r="BR73" s="271"/>
      <c r="BS73" s="219"/>
      <c r="BT73" s="272"/>
      <c r="BX73" s="219"/>
      <c r="BY73" s="219"/>
      <c r="BZ73" s="172"/>
      <c r="CA73" s="172"/>
      <c r="CB73" s="172"/>
      <c r="CC73" s="172"/>
    </row>
    <row r="74" spans="6:81">
      <c r="H74" s="170">
        <v>68</v>
      </c>
      <c r="I74" s="456">
        <f t="shared" si="3"/>
        <v>6.8000000000000007</v>
      </c>
      <c r="J74" s="217"/>
      <c r="K74" s="217"/>
      <c r="L74" s="217"/>
      <c r="M74" s="217"/>
      <c r="N74" s="267"/>
      <c r="O74" s="172"/>
      <c r="P74" s="217"/>
      <c r="Q74" s="443"/>
      <c r="S74" s="268"/>
      <c r="T74" s="268"/>
      <c r="U74" s="268"/>
      <c r="AJ74" s="443"/>
      <c r="AZ74" s="269"/>
      <c r="BJ74" s="219"/>
      <c r="BK74" s="219"/>
      <c r="BL74" s="219"/>
      <c r="BO74" s="172"/>
      <c r="BP74" s="219"/>
      <c r="BQ74" s="270"/>
      <c r="BR74" s="271"/>
      <c r="BS74" s="219"/>
      <c r="BT74" s="272"/>
      <c r="BX74" s="219"/>
      <c r="BY74" s="219"/>
      <c r="BZ74" s="172"/>
      <c r="CA74" s="172"/>
      <c r="CB74" s="172"/>
      <c r="CC74" s="172"/>
    </row>
    <row r="75" spans="6:81">
      <c r="H75" s="170">
        <v>69</v>
      </c>
      <c r="I75" s="456">
        <f t="shared" si="3"/>
        <v>6.8999999999999995</v>
      </c>
      <c r="J75" s="217"/>
      <c r="K75" s="217"/>
      <c r="L75" s="217"/>
      <c r="M75" s="217"/>
      <c r="N75" s="267"/>
      <c r="O75" s="172"/>
      <c r="P75" s="217"/>
      <c r="Q75" s="443"/>
      <c r="S75" s="268"/>
      <c r="T75" s="268"/>
      <c r="U75" s="268"/>
      <c r="AJ75" s="443"/>
      <c r="AZ75" s="269"/>
      <c r="BJ75" s="219"/>
      <c r="BK75" s="219"/>
      <c r="BL75" s="219"/>
      <c r="BO75" s="172"/>
      <c r="BP75" s="219"/>
      <c r="BQ75" s="270"/>
      <c r="BR75" s="271"/>
      <c r="BS75" s="219"/>
      <c r="BT75" s="272"/>
      <c r="BX75" s="219"/>
      <c r="BY75" s="219"/>
      <c r="BZ75" s="172"/>
      <c r="CA75" s="172"/>
      <c r="CB75" s="172"/>
      <c r="CC75" s="172"/>
    </row>
    <row r="76" spans="6:81">
      <c r="H76" s="170">
        <v>70</v>
      </c>
      <c r="I76" s="456">
        <f t="shared" si="3"/>
        <v>7</v>
      </c>
      <c r="J76" s="217"/>
      <c r="K76" s="217"/>
      <c r="L76" s="217"/>
      <c r="M76" s="217"/>
      <c r="N76" s="267"/>
      <c r="O76" s="172"/>
      <c r="P76" s="217"/>
      <c r="Q76" s="443"/>
      <c r="S76" s="268"/>
      <c r="T76" s="268"/>
      <c r="U76" s="268"/>
      <c r="AJ76" s="443"/>
      <c r="AZ76" s="269"/>
      <c r="BJ76" s="219"/>
      <c r="BK76" s="219"/>
      <c r="BL76" s="219"/>
      <c r="BO76" s="172"/>
      <c r="BP76" s="219"/>
      <c r="BQ76" s="270"/>
      <c r="BR76" s="271"/>
      <c r="BS76" s="219"/>
      <c r="BT76" s="272"/>
      <c r="BX76" s="219"/>
      <c r="BY76" s="219"/>
      <c r="BZ76" s="172"/>
      <c r="CA76" s="172"/>
      <c r="CB76" s="172"/>
      <c r="CC76" s="172"/>
    </row>
    <row r="77" spans="6:81">
      <c r="H77" s="170">
        <v>71</v>
      </c>
      <c r="I77" s="456">
        <f t="shared" si="3"/>
        <v>7.1</v>
      </c>
      <c r="J77" s="217"/>
      <c r="K77" s="217"/>
      <c r="L77" s="217"/>
      <c r="M77" s="217"/>
      <c r="N77" s="267"/>
      <c r="O77" s="172"/>
      <c r="P77" s="217"/>
      <c r="Q77" s="443"/>
      <c r="S77" s="268"/>
      <c r="T77" s="268"/>
      <c r="U77" s="268"/>
      <c r="AJ77" s="443"/>
      <c r="AZ77" s="269"/>
      <c r="BJ77" s="219"/>
      <c r="BK77" s="219"/>
      <c r="BL77" s="219"/>
      <c r="BO77" s="172"/>
      <c r="BP77" s="219"/>
      <c r="BQ77" s="270"/>
      <c r="BR77" s="271"/>
      <c r="BS77" s="219"/>
      <c r="BT77" s="272"/>
      <c r="BX77" s="219"/>
      <c r="BY77" s="219"/>
      <c r="BZ77" s="172"/>
      <c r="CA77" s="172"/>
      <c r="CB77" s="172"/>
      <c r="CC77" s="172"/>
    </row>
    <row r="78" spans="6:81">
      <c r="H78" s="170">
        <v>72</v>
      </c>
      <c r="I78" s="456">
        <f t="shared" si="3"/>
        <v>7.1999999999999993</v>
      </c>
      <c r="J78" s="217"/>
      <c r="K78" s="217"/>
      <c r="L78" s="217"/>
      <c r="M78" s="217"/>
      <c r="N78" s="267"/>
      <c r="O78" s="172"/>
      <c r="P78" s="217"/>
      <c r="Q78" s="443"/>
      <c r="S78" s="268"/>
      <c r="T78" s="268"/>
      <c r="U78" s="268"/>
      <c r="AJ78" s="443"/>
      <c r="AZ78" s="269"/>
      <c r="BJ78" s="219"/>
      <c r="BK78" s="219"/>
      <c r="BL78" s="219"/>
      <c r="BO78" s="172"/>
      <c r="BP78" s="219"/>
      <c r="BQ78" s="270"/>
      <c r="BR78" s="271"/>
      <c r="BS78" s="219"/>
      <c r="BT78" s="272"/>
      <c r="BX78" s="219"/>
      <c r="BY78" s="219"/>
      <c r="BZ78" s="172"/>
      <c r="CA78" s="172"/>
      <c r="CB78" s="172"/>
      <c r="CC78" s="172"/>
    </row>
    <row r="79" spans="6:81">
      <c r="H79" s="170">
        <v>73</v>
      </c>
      <c r="I79" s="456">
        <f t="shared" si="3"/>
        <v>7.3</v>
      </c>
      <c r="J79" s="217"/>
      <c r="K79" s="217"/>
      <c r="L79" s="217"/>
      <c r="M79" s="217"/>
      <c r="N79" s="267"/>
      <c r="O79" s="172"/>
      <c r="P79" s="217"/>
      <c r="Q79" s="443"/>
      <c r="S79" s="268"/>
      <c r="T79" s="268"/>
      <c r="U79" s="268"/>
      <c r="AJ79" s="443"/>
      <c r="AZ79" s="269"/>
      <c r="BJ79" s="219"/>
      <c r="BK79" s="219"/>
      <c r="BL79" s="219"/>
      <c r="BO79" s="172"/>
      <c r="BP79" s="219"/>
      <c r="BQ79" s="270"/>
      <c r="BR79" s="271"/>
      <c r="BS79" s="219"/>
      <c r="BT79" s="272"/>
      <c r="BX79" s="219"/>
      <c r="BY79" s="219"/>
      <c r="BZ79" s="172"/>
      <c r="CA79" s="172"/>
      <c r="CB79" s="172"/>
      <c r="CC79" s="172"/>
    </row>
    <row r="80" spans="6:81">
      <c r="H80" s="170">
        <v>74</v>
      </c>
      <c r="I80" s="456">
        <f t="shared" si="3"/>
        <v>7.4</v>
      </c>
      <c r="J80" s="217"/>
      <c r="K80" s="217"/>
      <c r="L80" s="217"/>
      <c r="M80" s="217"/>
      <c r="N80" s="267"/>
      <c r="O80" s="172"/>
      <c r="P80" s="217"/>
      <c r="Q80" s="443"/>
      <c r="S80" s="268"/>
      <c r="T80" s="268"/>
      <c r="U80" s="268"/>
      <c r="AJ80" s="443"/>
      <c r="AZ80" s="269"/>
      <c r="BJ80" s="219"/>
      <c r="BK80" s="219"/>
      <c r="BL80" s="219"/>
      <c r="BO80" s="172"/>
      <c r="BP80" s="219"/>
      <c r="BQ80" s="270"/>
      <c r="BR80" s="271"/>
      <c r="BS80" s="219"/>
      <c r="BT80" s="272"/>
      <c r="BX80" s="219"/>
      <c r="BY80" s="219"/>
      <c r="BZ80" s="172"/>
      <c r="CA80" s="172"/>
      <c r="CB80" s="172"/>
      <c r="CC80" s="172"/>
    </row>
    <row r="81" spans="6:81">
      <c r="H81" s="170">
        <v>75</v>
      </c>
      <c r="I81" s="456">
        <f t="shared" si="3"/>
        <v>7.5</v>
      </c>
      <c r="J81" s="217"/>
      <c r="K81" s="217"/>
      <c r="L81" s="217"/>
      <c r="M81" s="217"/>
      <c r="N81" s="267"/>
      <c r="O81" s="172"/>
      <c r="P81" s="217"/>
      <c r="Q81" s="443"/>
      <c r="S81" s="268"/>
      <c r="T81" s="268"/>
      <c r="U81" s="268"/>
      <c r="AJ81" s="443"/>
      <c r="AZ81" s="269"/>
      <c r="BJ81" s="219"/>
      <c r="BK81" s="219"/>
      <c r="BL81" s="219"/>
      <c r="BO81" s="172"/>
      <c r="BP81" s="219"/>
      <c r="BQ81" s="270"/>
      <c r="BR81" s="271"/>
      <c r="BS81" s="219"/>
      <c r="BT81" s="272"/>
      <c r="BX81" s="219"/>
      <c r="BY81" s="219"/>
      <c r="BZ81" s="172"/>
      <c r="CA81" s="172"/>
      <c r="CB81" s="172"/>
      <c r="CC81" s="172"/>
    </row>
    <row r="82" spans="6:81">
      <c r="H82" s="170">
        <v>76</v>
      </c>
      <c r="I82" s="456">
        <f t="shared" si="3"/>
        <v>7.6</v>
      </c>
      <c r="J82" s="217"/>
      <c r="K82" s="217"/>
      <c r="L82" s="217"/>
      <c r="M82" s="217"/>
      <c r="N82" s="267"/>
      <c r="O82" s="172"/>
      <c r="P82" s="217"/>
      <c r="Q82" s="443"/>
      <c r="S82" s="268"/>
      <c r="T82" s="268"/>
      <c r="U82" s="268"/>
      <c r="AJ82" s="443"/>
      <c r="AZ82" s="269"/>
      <c r="BJ82" s="219"/>
      <c r="BK82" s="219"/>
      <c r="BL82" s="219"/>
      <c r="BO82" s="172"/>
      <c r="BP82" s="219"/>
      <c r="BQ82" s="270"/>
      <c r="BR82" s="271"/>
      <c r="BS82" s="219"/>
      <c r="BT82" s="272"/>
      <c r="BX82" s="219"/>
      <c r="BY82" s="219"/>
      <c r="BZ82" s="172"/>
      <c r="CA82" s="172"/>
      <c r="CB82" s="172"/>
      <c r="CC82" s="172"/>
    </row>
    <row r="83" spans="6:81">
      <c r="H83" s="170">
        <v>77</v>
      </c>
      <c r="I83" s="456">
        <f t="shared" si="3"/>
        <v>7.7</v>
      </c>
      <c r="J83" s="217"/>
      <c r="K83" s="217"/>
      <c r="L83" s="217"/>
      <c r="M83" s="217"/>
      <c r="N83" s="267"/>
      <c r="O83" s="172"/>
      <c r="P83" s="217"/>
      <c r="Q83" s="443"/>
      <c r="S83" s="268"/>
      <c r="T83" s="268"/>
      <c r="U83" s="268"/>
      <c r="AJ83" s="443"/>
      <c r="AZ83" s="269"/>
      <c r="BJ83" s="219"/>
      <c r="BK83" s="219"/>
      <c r="BL83" s="219"/>
      <c r="BO83" s="172"/>
      <c r="BP83" s="219"/>
      <c r="BQ83" s="270"/>
      <c r="BR83" s="271"/>
      <c r="BS83" s="219"/>
      <c r="BT83" s="272"/>
      <c r="BX83" s="219"/>
      <c r="BY83" s="219"/>
      <c r="BZ83" s="172"/>
      <c r="CA83" s="172"/>
      <c r="CB83" s="172"/>
      <c r="CC83" s="172"/>
    </row>
    <row r="84" spans="6:81">
      <c r="H84" s="170">
        <v>78</v>
      </c>
      <c r="I84" s="456">
        <f t="shared" si="3"/>
        <v>7.8000000000000007</v>
      </c>
      <c r="J84" s="217"/>
      <c r="K84" s="217"/>
      <c r="L84" s="217"/>
      <c r="M84" s="217"/>
      <c r="N84" s="267"/>
      <c r="O84" s="172"/>
      <c r="P84" s="217"/>
      <c r="Q84" s="443"/>
      <c r="S84" s="268"/>
      <c r="T84" s="268"/>
      <c r="U84" s="268"/>
      <c r="AJ84" s="443"/>
      <c r="AZ84" s="269"/>
      <c r="BJ84" s="219"/>
      <c r="BK84" s="219"/>
      <c r="BL84" s="219"/>
      <c r="BO84" s="172"/>
      <c r="BP84" s="219"/>
      <c r="BQ84" s="270"/>
      <c r="BR84" s="271"/>
      <c r="BS84" s="219"/>
      <c r="BT84" s="272"/>
      <c r="BX84" s="219"/>
      <c r="BY84" s="219"/>
      <c r="BZ84" s="172"/>
      <c r="CA84" s="172"/>
      <c r="CB84" s="172"/>
      <c r="CC84" s="172"/>
    </row>
    <row r="85" spans="6:81">
      <c r="H85" s="170">
        <v>79</v>
      </c>
      <c r="I85" s="456">
        <f t="shared" si="3"/>
        <v>7.9</v>
      </c>
      <c r="J85" s="217"/>
      <c r="K85" s="217"/>
      <c r="L85" s="217"/>
      <c r="M85" s="217"/>
      <c r="N85" s="267"/>
      <c r="O85" s="172"/>
      <c r="P85" s="217"/>
      <c r="Q85" s="443"/>
      <c r="S85" s="268"/>
      <c r="T85" s="268"/>
      <c r="U85" s="268"/>
      <c r="AJ85" s="443"/>
      <c r="AZ85" s="269"/>
      <c r="BJ85" s="219"/>
      <c r="BK85" s="219"/>
      <c r="BL85" s="219"/>
      <c r="BO85" s="172"/>
      <c r="BP85" s="219"/>
      <c r="BQ85" s="270"/>
      <c r="BR85" s="271"/>
      <c r="BS85" s="219"/>
      <c r="BT85" s="272"/>
      <c r="BX85" s="219"/>
      <c r="BY85" s="219"/>
      <c r="BZ85" s="172"/>
      <c r="CA85" s="172"/>
      <c r="CB85" s="172"/>
      <c r="CC85" s="172"/>
    </row>
    <row r="86" spans="6:81">
      <c r="H86" s="170">
        <v>80</v>
      </c>
      <c r="I86" s="456">
        <f t="shared" si="3"/>
        <v>8</v>
      </c>
      <c r="J86" s="217"/>
      <c r="K86" s="217"/>
      <c r="L86" s="217"/>
      <c r="M86" s="217"/>
      <c r="N86" s="267"/>
      <c r="O86" s="172"/>
      <c r="P86" s="217"/>
      <c r="Q86" s="443"/>
      <c r="S86" s="268"/>
      <c r="T86" s="268"/>
      <c r="U86" s="268"/>
      <c r="AJ86" s="443"/>
      <c r="AZ86" s="269"/>
      <c r="BJ86" s="219"/>
      <c r="BK86" s="219"/>
      <c r="BL86" s="219"/>
      <c r="BO86" s="172"/>
      <c r="BP86" s="219"/>
      <c r="BQ86" s="270"/>
      <c r="BR86" s="271"/>
      <c r="BS86" s="219"/>
      <c r="BT86" s="272"/>
      <c r="BX86" s="219"/>
      <c r="BY86" s="219"/>
      <c r="BZ86" s="172"/>
      <c r="CA86" s="172"/>
      <c r="CB86" s="172"/>
      <c r="CC86" s="172"/>
    </row>
    <row r="87" spans="6:81">
      <c r="H87" s="170">
        <v>81</v>
      </c>
      <c r="I87" s="456">
        <f t="shared" si="3"/>
        <v>8.1000000000000014</v>
      </c>
      <c r="J87" s="217"/>
      <c r="K87" s="217"/>
      <c r="L87" s="217"/>
      <c r="M87" s="217"/>
      <c r="N87" s="267"/>
      <c r="O87" s="172"/>
      <c r="P87" s="217"/>
      <c r="Q87" s="443"/>
      <c r="S87" s="268"/>
      <c r="T87" s="268"/>
      <c r="U87" s="268"/>
      <c r="AJ87" s="443"/>
      <c r="AZ87" s="269"/>
      <c r="BJ87" s="219"/>
      <c r="BK87" s="219"/>
      <c r="BL87" s="219"/>
      <c r="BO87" s="172"/>
      <c r="BP87" s="219"/>
      <c r="BQ87" s="270"/>
      <c r="BR87" s="271"/>
      <c r="BS87" s="219"/>
      <c r="BT87" s="272"/>
      <c r="BX87" s="219"/>
      <c r="BY87" s="219"/>
      <c r="BZ87" s="172"/>
      <c r="CA87" s="172"/>
      <c r="CB87" s="172"/>
      <c r="CC87" s="172"/>
    </row>
    <row r="88" spans="6:81" ht="13">
      <c r="F88" s="325" t="s">
        <v>274</v>
      </c>
      <c r="G88" s="325" t="s">
        <v>275</v>
      </c>
      <c r="H88" s="170">
        <v>82</v>
      </c>
      <c r="I88" s="456">
        <f t="shared" si="3"/>
        <v>8.1999999999999993</v>
      </c>
      <c r="J88" s="217"/>
      <c r="K88" s="217"/>
      <c r="L88" s="217"/>
      <c r="M88" s="217"/>
      <c r="N88" s="267"/>
      <c r="O88" s="172"/>
      <c r="P88" s="217"/>
      <c r="Q88" s="443"/>
      <c r="S88" s="268"/>
      <c r="T88" s="268"/>
      <c r="U88" s="268"/>
      <c r="AJ88" s="443"/>
      <c r="AZ88" s="269"/>
      <c r="BJ88" s="219"/>
      <c r="BK88" s="219"/>
      <c r="BL88" s="219"/>
      <c r="BO88" s="172"/>
      <c r="BP88" s="219"/>
      <c r="BQ88" s="270"/>
      <c r="BR88" s="271"/>
      <c r="BS88" s="219"/>
      <c r="BT88" s="272"/>
      <c r="BX88" s="219"/>
      <c r="BY88" s="219"/>
      <c r="BZ88" s="172"/>
      <c r="CA88" s="172"/>
      <c r="CB88" s="172"/>
      <c r="CC88" s="172"/>
    </row>
    <row r="89" spans="6:81">
      <c r="F89" s="326">
        <f>BO51</f>
        <v>0</v>
      </c>
      <c r="G89" s="327">
        <f>I56*1000</f>
        <v>5000</v>
      </c>
      <c r="H89" s="170">
        <v>83</v>
      </c>
      <c r="I89" s="456">
        <f t="shared" si="3"/>
        <v>8.2999999999999989</v>
      </c>
      <c r="J89" s="217"/>
      <c r="K89" s="217"/>
      <c r="L89" s="217"/>
      <c r="M89" s="217"/>
      <c r="N89" s="267"/>
      <c r="O89" s="172"/>
      <c r="P89" s="217"/>
      <c r="Q89" s="443"/>
      <c r="S89" s="268"/>
      <c r="T89" s="268"/>
      <c r="U89" s="268"/>
      <c r="AJ89" s="443"/>
      <c r="AZ89" s="269"/>
      <c r="BJ89" s="219"/>
      <c r="BK89" s="219"/>
      <c r="BL89" s="219"/>
      <c r="BO89" s="172"/>
      <c r="BP89" s="219"/>
      <c r="BQ89" s="270"/>
      <c r="BR89" s="271"/>
      <c r="BS89" s="219"/>
      <c r="BT89" s="272"/>
      <c r="BX89" s="219"/>
      <c r="BY89" s="219"/>
      <c r="BZ89" s="172"/>
      <c r="CA89" s="172"/>
      <c r="CB89" s="172"/>
      <c r="CC89" s="172"/>
    </row>
    <row r="90" spans="6:81">
      <c r="F90" s="326">
        <f>BO81</f>
        <v>0</v>
      </c>
      <c r="G90" s="327">
        <f>I81*1000</f>
        <v>7500</v>
      </c>
      <c r="H90" s="170">
        <v>84</v>
      </c>
      <c r="I90" s="456">
        <f t="shared" si="3"/>
        <v>8.4</v>
      </c>
      <c r="J90" s="217"/>
      <c r="K90" s="217"/>
      <c r="L90" s="217"/>
      <c r="M90" s="217"/>
      <c r="N90" s="267"/>
      <c r="O90" s="172"/>
      <c r="P90" s="217"/>
      <c r="Q90" s="443"/>
      <c r="S90" s="268"/>
      <c r="T90" s="268"/>
      <c r="U90" s="268"/>
      <c r="AJ90" s="443"/>
      <c r="AZ90" s="269"/>
      <c r="BJ90" s="219"/>
      <c r="BK90" s="219"/>
      <c r="BL90" s="219"/>
      <c r="BO90" s="172"/>
      <c r="BP90" s="219"/>
      <c r="BQ90" s="270"/>
      <c r="BR90" s="271"/>
      <c r="BS90" s="219"/>
      <c r="BT90" s="272"/>
      <c r="BX90" s="219"/>
      <c r="BY90" s="219"/>
      <c r="BZ90" s="172"/>
      <c r="CA90" s="172"/>
      <c r="CB90" s="172"/>
      <c r="CC90" s="172"/>
    </row>
    <row r="91" spans="6:81">
      <c r="F91" s="326">
        <f>BO106</f>
        <v>88.698181382326453</v>
      </c>
      <c r="G91" s="327">
        <f>I106*1000</f>
        <v>10000</v>
      </c>
      <c r="H91" s="170">
        <v>85</v>
      </c>
      <c r="I91" s="456">
        <f t="shared" si="3"/>
        <v>8.5</v>
      </c>
      <c r="J91" s="217"/>
      <c r="K91" s="217"/>
      <c r="L91" s="217"/>
      <c r="M91" s="217"/>
      <c r="N91" s="267"/>
      <c r="O91" s="172"/>
      <c r="P91" s="217"/>
      <c r="Q91" s="443"/>
      <c r="S91" s="268"/>
      <c r="T91" s="268"/>
      <c r="U91" s="268"/>
      <c r="AJ91" s="443"/>
      <c r="AZ91" s="269"/>
      <c r="BJ91" s="219"/>
      <c r="BK91" s="219"/>
      <c r="BL91" s="219"/>
      <c r="BO91" s="172"/>
      <c r="BP91" s="219"/>
      <c r="BQ91" s="270"/>
      <c r="BR91" s="271"/>
      <c r="BS91" s="219"/>
      <c r="BT91" s="272"/>
      <c r="BX91" s="219"/>
      <c r="BY91" s="219"/>
      <c r="BZ91" s="172"/>
      <c r="CA91" s="172"/>
      <c r="CB91" s="172"/>
      <c r="CC91" s="172"/>
    </row>
    <row r="92" spans="6:81">
      <c r="H92" s="170">
        <v>86</v>
      </c>
      <c r="I92" s="456">
        <f t="shared" si="3"/>
        <v>8.6</v>
      </c>
      <c r="J92" s="217"/>
      <c r="K92" s="217"/>
      <c r="L92" s="217"/>
      <c r="M92" s="217"/>
      <c r="N92" s="267"/>
      <c r="O92" s="172"/>
      <c r="P92" s="217"/>
      <c r="Q92" s="443"/>
      <c r="S92" s="268"/>
      <c r="T92" s="268"/>
      <c r="U92" s="268"/>
      <c r="AJ92" s="443"/>
      <c r="AZ92" s="269"/>
      <c r="BJ92" s="219"/>
      <c r="BK92" s="219"/>
      <c r="BL92" s="219"/>
      <c r="BO92" s="172"/>
      <c r="BP92" s="219"/>
      <c r="BQ92" s="270"/>
      <c r="BR92" s="271"/>
      <c r="BS92" s="219"/>
      <c r="BT92" s="272"/>
      <c r="BX92" s="219"/>
      <c r="BY92" s="219"/>
      <c r="BZ92" s="172"/>
      <c r="CA92" s="172"/>
      <c r="CB92" s="172"/>
      <c r="CC92" s="172"/>
    </row>
    <row r="93" spans="6:81">
      <c r="H93" s="170">
        <v>87</v>
      </c>
      <c r="I93" s="456">
        <f t="shared" si="3"/>
        <v>8.6999999999999993</v>
      </c>
      <c r="J93" s="217"/>
      <c r="K93" s="217"/>
      <c r="L93" s="217"/>
      <c r="M93" s="217"/>
      <c r="N93" s="267"/>
      <c r="O93" s="172"/>
      <c r="P93" s="217"/>
      <c r="Q93" s="443"/>
      <c r="S93" s="268"/>
      <c r="T93" s="268"/>
      <c r="U93" s="268"/>
      <c r="AJ93" s="443"/>
      <c r="AZ93" s="269"/>
      <c r="BJ93" s="219"/>
      <c r="BK93" s="219"/>
      <c r="BL93" s="219"/>
      <c r="BO93" s="172"/>
      <c r="BP93" s="219"/>
      <c r="BQ93" s="270"/>
      <c r="BR93" s="271"/>
      <c r="BS93" s="219"/>
      <c r="BT93" s="272"/>
      <c r="BX93" s="219"/>
      <c r="BY93" s="219"/>
      <c r="BZ93" s="172"/>
      <c r="CA93" s="172"/>
      <c r="CB93" s="172"/>
      <c r="CC93" s="172"/>
    </row>
    <row r="94" spans="6:81">
      <c r="H94" s="170">
        <v>88</v>
      </c>
      <c r="I94" s="456">
        <f t="shared" si="3"/>
        <v>8.8000000000000007</v>
      </c>
      <c r="J94" s="217"/>
      <c r="K94" s="217"/>
      <c r="L94" s="217"/>
      <c r="M94" s="217"/>
      <c r="N94" s="267"/>
      <c r="O94" s="172"/>
      <c r="P94" s="217"/>
      <c r="Q94" s="443"/>
      <c r="S94" s="268"/>
      <c r="T94" s="268"/>
      <c r="U94" s="268"/>
      <c r="AJ94" s="443"/>
      <c r="AZ94" s="269"/>
      <c r="BJ94" s="219"/>
      <c r="BK94" s="219"/>
      <c r="BL94" s="219"/>
      <c r="BO94" s="172"/>
      <c r="BP94" s="219"/>
      <c r="BQ94" s="270"/>
      <c r="BR94" s="271"/>
      <c r="BS94" s="219"/>
      <c r="BT94" s="272"/>
      <c r="BX94" s="219"/>
      <c r="BY94" s="219"/>
      <c r="BZ94" s="172"/>
      <c r="CA94" s="172"/>
      <c r="CB94" s="172"/>
      <c r="CC94" s="172"/>
    </row>
    <row r="95" spans="6:81">
      <c r="H95" s="170">
        <v>89</v>
      </c>
      <c r="I95" s="456">
        <f t="shared" si="3"/>
        <v>8.9</v>
      </c>
      <c r="J95" s="217"/>
      <c r="K95" s="217"/>
      <c r="L95" s="217"/>
      <c r="M95" s="217"/>
      <c r="N95" s="267"/>
      <c r="O95" s="172"/>
      <c r="P95" s="217"/>
      <c r="Q95" s="443"/>
      <c r="S95" s="268"/>
      <c r="T95" s="268"/>
      <c r="U95" s="268"/>
      <c r="AJ95" s="443"/>
      <c r="AZ95" s="269"/>
      <c r="BJ95" s="219"/>
      <c r="BK95" s="219"/>
      <c r="BL95" s="219"/>
      <c r="BO95" s="172"/>
      <c r="BP95" s="219"/>
      <c r="BQ95" s="270"/>
      <c r="BR95" s="271"/>
      <c r="BS95" s="219"/>
      <c r="BT95" s="272"/>
      <c r="BX95" s="219"/>
      <c r="BY95" s="219"/>
      <c r="BZ95" s="172"/>
      <c r="CA95" s="172"/>
      <c r="CB95" s="172"/>
      <c r="CC95" s="172"/>
    </row>
    <row r="96" spans="6:81">
      <c r="H96" s="170">
        <v>90</v>
      </c>
      <c r="I96" s="456">
        <f t="shared" si="3"/>
        <v>9</v>
      </c>
      <c r="J96" s="217"/>
      <c r="K96" s="217"/>
      <c r="L96" s="217"/>
      <c r="M96" s="217"/>
      <c r="N96" s="267"/>
      <c r="O96" s="172"/>
      <c r="P96" s="217"/>
      <c r="Q96" s="443"/>
      <c r="S96" s="268"/>
      <c r="T96" s="268"/>
      <c r="U96" s="268"/>
      <c r="AJ96" s="443"/>
      <c r="AZ96" s="269"/>
      <c r="BJ96" s="219"/>
      <c r="BK96" s="219"/>
      <c r="BL96" s="219"/>
      <c r="BO96" s="172"/>
      <c r="BP96" s="219"/>
      <c r="BQ96" s="270"/>
      <c r="BR96" s="271"/>
      <c r="BS96" s="219"/>
      <c r="BT96" s="272"/>
      <c r="BX96" s="219"/>
      <c r="BY96" s="219"/>
      <c r="BZ96" s="172"/>
      <c r="CA96" s="172"/>
      <c r="CB96" s="172"/>
      <c r="CC96" s="172"/>
    </row>
    <row r="97" spans="8:81">
      <c r="H97" s="170">
        <v>91</v>
      </c>
      <c r="I97" s="456">
        <f t="shared" si="3"/>
        <v>9.1</v>
      </c>
      <c r="J97" s="217"/>
      <c r="K97" s="217"/>
      <c r="L97" s="217"/>
      <c r="M97" s="217"/>
      <c r="N97" s="267"/>
      <c r="O97" s="172"/>
      <c r="P97" s="217"/>
      <c r="Q97" s="443"/>
      <c r="S97" s="268"/>
      <c r="T97" s="268"/>
      <c r="U97" s="268"/>
      <c r="AJ97" s="443"/>
      <c r="AZ97" s="269"/>
      <c r="BJ97" s="219"/>
      <c r="BK97" s="219"/>
      <c r="BL97" s="219"/>
      <c r="BO97" s="172"/>
      <c r="BP97" s="219"/>
      <c r="BQ97" s="270"/>
      <c r="BR97" s="271"/>
      <c r="BS97" s="219"/>
      <c r="BT97" s="272"/>
      <c r="BX97" s="219"/>
      <c r="BY97" s="219"/>
      <c r="BZ97" s="172"/>
      <c r="CA97" s="172"/>
      <c r="CB97" s="172"/>
      <c r="CC97" s="172"/>
    </row>
    <row r="98" spans="8:81">
      <c r="H98" s="170">
        <v>92</v>
      </c>
      <c r="I98" s="456">
        <f t="shared" si="3"/>
        <v>9.2000000000000011</v>
      </c>
      <c r="J98" s="217"/>
      <c r="K98" s="217"/>
      <c r="L98" s="217"/>
      <c r="M98" s="217"/>
      <c r="N98" s="267"/>
      <c r="O98" s="172"/>
      <c r="P98" s="217"/>
      <c r="Q98" s="443"/>
      <c r="S98" s="268"/>
      <c r="T98" s="268"/>
      <c r="U98" s="268"/>
      <c r="AJ98" s="443"/>
      <c r="AZ98" s="269"/>
      <c r="BJ98" s="219"/>
      <c r="BK98" s="219"/>
      <c r="BL98" s="219"/>
      <c r="BO98" s="172"/>
      <c r="BP98" s="219"/>
      <c r="BQ98" s="270"/>
      <c r="BR98" s="271"/>
      <c r="BS98" s="219"/>
      <c r="BT98" s="272"/>
      <c r="BX98" s="219"/>
      <c r="BY98" s="219"/>
      <c r="BZ98" s="172"/>
      <c r="CA98" s="172"/>
      <c r="CB98" s="172"/>
      <c r="CC98" s="172"/>
    </row>
    <row r="99" spans="8:81">
      <c r="H99" s="170">
        <v>93</v>
      </c>
      <c r="I99" s="456">
        <f t="shared" si="3"/>
        <v>9.3000000000000007</v>
      </c>
      <c r="J99" s="217"/>
      <c r="K99" s="217"/>
      <c r="L99" s="217"/>
      <c r="M99" s="217"/>
      <c r="N99" s="267"/>
      <c r="O99" s="172"/>
      <c r="P99" s="217"/>
      <c r="Q99" s="443"/>
      <c r="S99" s="268"/>
      <c r="T99" s="268"/>
      <c r="U99" s="268"/>
      <c r="AJ99" s="443"/>
      <c r="AZ99" s="269"/>
      <c r="BJ99" s="219"/>
      <c r="BK99" s="219"/>
      <c r="BL99" s="219"/>
      <c r="BO99" s="172"/>
      <c r="BP99" s="219"/>
      <c r="BQ99" s="270"/>
      <c r="BR99" s="271"/>
      <c r="BS99" s="219"/>
      <c r="BT99" s="272"/>
      <c r="BX99" s="219"/>
      <c r="BY99" s="219"/>
      <c r="BZ99" s="172"/>
      <c r="CA99" s="172"/>
      <c r="CB99" s="172"/>
      <c r="CC99" s="172"/>
    </row>
    <row r="100" spans="8:81">
      <c r="H100" s="170">
        <v>94</v>
      </c>
      <c r="I100" s="456">
        <f t="shared" si="3"/>
        <v>9.3999999999999986</v>
      </c>
      <c r="J100" s="217"/>
      <c r="K100" s="217"/>
      <c r="L100" s="217"/>
      <c r="M100" s="217"/>
      <c r="N100" s="267"/>
      <c r="O100" s="172"/>
      <c r="P100" s="217"/>
      <c r="Q100" s="443"/>
      <c r="S100" s="268"/>
      <c r="T100" s="268"/>
      <c r="U100" s="268"/>
      <c r="AJ100" s="443"/>
      <c r="AZ100" s="269"/>
      <c r="BJ100" s="219"/>
      <c r="BK100" s="219"/>
      <c r="BL100" s="219"/>
      <c r="BO100" s="172"/>
      <c r="BP100" s="219"/>
      <c r="BQ100" s="270"/>
      <c r="BR100" s="271"/>
      <c r="BS100" s="219"/>
      <c r="BT100" s="272"/>
      <c r="BX100" s="219"/>
      <c r="BY100" s="219"/>
      <c r="BZ100" s="172"/>
      <c r="CA100" s="172"/>
      <c r="CB100" s="172"/>
      <c r="CC100" s="172"/>
    </row>
    <row r="101" spans="8:81">
      <c r="H101" s="170">
        <v>95</v>
      </c>
      <c r="I101" s="456">
        <f t="shared" si="3"/>
        <v>9.5</v>
      </c>
      <c r="J101" s="217"/>
      <c r="K101" s="217"/>
      <c r="L101" s="217"/>
      <c r="M101" s="217"/>
      <c r="N101" s="267"/>
      <c r="O101" s="172"/>
      <c r="P101" s="217"/>
      <c r="Q101" s="443"/>
      <c r="S101" s="268"/>
      <c r="T101" s="268"/>
      <c r="U101" s="268"/>
      <c r="AJ101" s="443"/>
      <c r="AZ101" s="269"/>
      <c r="BJ101" s="219"/>
      <c r="BK101" s="219"/>
      <c r="BL101" s="219"/>
      <c r="BO101" s="172"/>
      <c r="BP101" s="219"/>
      <c r="BQ101" s="270"/>
      <c r="BR101" s="271"/>
      <c r="BS101" s="219"/>
      <c r="BT101" s="272"/>
      <c r="BX101" s="219"/>
      <c r="BY101" s="219"/>
      <c r="BZ101" s="172"/>
      <c r="CA101" s="172"/>
      <c r="CB101" s="172"/>
      <c r="CC101" s="172"/>
    </row>
    <row r="102" spans="8:81">
      <c r="H102" s="170">
        <v>96</v>
      </c>
      <c r="I102" s="456">
        <f>IF(PLOT_TYPE=1, H102/100*Iout_max, min_I*EXP(H102*rr/100))</f>
        <v>9.6</v>
      </c>
      <c r="J102" s="217"/>
      <c r="K102" s="217"/>
      <c r="L102" s="217"/>
      <c r="M102" s="217"/>
      <c r="N102" s="267"/>
      <c r="O102" s="172"/>
      <c r="P102" s="217"/>
      <c r="Q102" s="443"/>
      <c r="S102" s="268"/>
      <c r="T102" s="268"/>
      <c r="U102" s="268"/>
      <c r="AJ102" s="443"/>
      <c r="AZ102" s="269"/>
      <c r="BJ102" s="219"/>
      <c r="BK102" s="219"/>
      <c r="BL102" s="219"/>
      <c r="BO102" s="172"/>
      <c r="BP102" s="219"/>
      <c r="BQ102" s="270"/>
      <c r="BR102" s="271"/>
      <c r="BS102" s="219"/>
      <c r="BT102" s="272"/>
      <c r="BX102" s="219"/>
      <c r="BY102" s="219"/>
      <c r="BZ102" s="172"/>
      <c r="CA102" s="172"/>
      <c r="CB102" s="172"/>
      <c r="CC102" s="172"/>
    </row>
    <row r="103" spans="8:81">
      <c r="H103" s="170">
        <v>97</v>
      </c>
      <c r="I103" s="456">
        <f>IF(PLOT_TYPE=1, H103/100*Iout_max, min_I*EXP(H103*rr/100))</f>
        <v>9.6999999999999993</v>
      </c>
      <c r="J103" s="217"/>
      <c r="K103" s="217"/>
      <c r="L103" s="217"/>
      <c r="M103" s="217"/>
      <c r="N103" s="267"/>
      <c r="O103" s="172"/>
      <c r="P103" s="217"/>
      <c r="Q103" s="443"/>
      <c r="S103" s="268"/>
      <c r="T103" s="268"/>
      <c r="U103" s="268"/>
      <c r="AJ103" s="443"/>
      <c r="AZ103" s="269"/>
      <c r="BJ103" s="219"/>
      <c r="BK103" s="219"/>
      <c r="BL103" s="219"/>
      <c r="BO103" s="172"/>
      <c r="BP103" s="219"/>
      <c r="BQ103" s="270"/>
      <c r="BR103" s="271"/>
      <c r="BS103" s="219"/>
      <c r="BT103" s="272"/>
      <c r="BX103" s="219"/>
      <c r="BY103" s="219"/>
      <c r="BZ103" s="172"/>
      <c r="CA103" s="172"/>
      <c r="CB103" s="172"/>
      <c r="CC103" s="172"/>
    </row>
    <row r="104" spans="8:81">
      <c r="H104" s="170">
        <v>98</v>
      </c>
      <c r="I104" s="456">
        <f>IF(PLOT_TYPE=1, H104/100*Iout_max, min_I*EXP(H104*rr/100))</f>
        <v>9.8000000000000007</v>
      </c>
      <c r="J104" s="217"/>
      <c r="K104" s="217"/>
      <c r="L104" s="217"/>
      <c r="M104" s="217"/>
      <c r="N104" s="267"/>
      <c r="O104" s="172"/>
      <c r="P104" s="217"/>
      <c r="Q104" s="443"/>
      <c r="S104" s="268"/>
      <c r="T104" s="268"/>
      <c r="U104" s="268"/>
      <c r="AJ104" s="443"/>
      <c r="AZ104" s="269"/>
      <c r="BJ104" s="219"/>
      <c r="BK104" s="219"/>
      <c r="BL104" s="219"/>
      <c r="BO104" s="172"/>
      <c r="BP104" s="219"/>
      <c r="BQ104" s="270"/>
      <c r="BR104" s="271"/>
      <c r="BS104" s="219"/>
      <c r="BT104" s="272"/>
      <c r="BX104" s="219"/>
      <c r="BY104" s="219"/>
      <c r="BZ104" s="172"/>
      <c r="CA104" s="172"/>
      <c r="CB104" s="172"/>
      <c r="CC104" s="172"/>
    </row>
    <row r="105" spans="8:81">
      <c r="H105" s="170">
        <v>99</v>
      </c>
      <c r="I105" s="456">
        <f>IF(PLOT_TYPE=1, H105/100*Iout_max, min_I*EXP(H105*rr/100))</f>
        <v>9.9</v>
      </c>
      <c r="J105" s="217"/>
      <c r="K105" s="217"/>
      <c r="L105" s="217"/>
      <c r="M105" s="217"/>
      <c r="N105" s="267"/>
      <c r="O105" s="172"/>
      <c r="P105" s="217"/>
      <c r="Q105" s="443"/>
      <c r="S105" s="268"/>
      <c r="T105" s="268"/>
      <c r="U105" s="268"/>
      <c r="AJ105" s="443"/>
      <c r="AZ105" s="269"/>
      <c r="BJ105" s="219"/>
      <c r="BK105" s="219"/>
      <c r="BL105" s="219"/>
      <c r="BO105" s="172"/>
      <c r="BP105" s="219"/>
      <c r="BQ105" s="270"/>
      <c r="BR105" s="271"/>
      <c r="BS105" s="219"/>
      <c r="BT105" s="272"/>
      <c r="BX105" s="219"/>
      <c r="BY105" s="219"/>
      <c r="BZ105" s="172"/>
      <c r="CA105" s="172"/>
      <c r="CB105" s="172"/>
      <c r="CC105" s="172"/>
    </row>
    <row r="106" spans="8:81">
      <c r="H106" s="170">
        <v>100</v>
      </c>
      <c r="I106" s="456">
        <f>IF(PLOT_TYPE=1, H106/100*Iout_max, min_I*EXP(H106*rr/100))</f>
        <v>10</v>
      </c>
      <c r="J106" s="217"/>
      <c r="K106" s="217"/>
      <c r="L106" s="217"/>
      <c r="M106" s="217"/>
      <c r="N106" s="267"/>
      <c r="O106" s="172"/>
      <c r="P106" s="217"/>
      <c r="Q106" s="443"/>
      <c r="S106" s="268"/>
      <c r="T106" s="268"/>
      <c r="U106" s="268"/>
      <c r="AJ106" s="443"/>
      <c r="AY106" s="216">
        <f>Vout*I106</f>
        <v>150</v>
      </c>
      <c r="AZ106" s="269">
        <f>AY106/(AY106+AX106)</f>
        <v>1</v>
      </c>
      <c r="BA106" s="345">
        <f>AG106/($AY106+$AX106)</f>
        <v>0</v>
      </c>
      <c r="BB106" s="345">
        <f>AO106/($AY106+$AX106)</f>
        <v>0</v>
      </c>
      <c r="BC106" s="345" t="e">
        <f>Vin*R106*(QgBot+Qg)/($AY106+$AX106)</f>
        <v>#NAME?</v>
      </c>
      <c r="BD106" s="345">
        <f>AK106/($AY106+$AX106)</f>
        <v>0</v>
      </c>
      <c r="BE106" s="345">
        <f>AQ106/(AX106+AY106)</f>
        <v>0</v>
      </c>
      <c r="BF106" s="345">
        <f>AR106/($AY106+$AX106)</f>
        <v>0</v>
      </c>
      <c r="BG106" s="345">
        <f>W106/($AY106+$AX106)</f>
        <v>0</v>
      </c>
      <c r="BH106" s="345">
        <f>X106/($AY106+$AX106)</f>
        <v>0</v>
      </c>
      <c r="BI106" s="345">
        <f>(AB106+AE106)/($AY106+$AX106)</f>
        <v>0</v>
      </c>
      <c r="BJ106" s="219">
        <f>AT106/($AY106+$AX106)</f>
        <v>0</v>
      </c>
      <c r="BK106" s="219">
        <f>AX106/($AY106+$AX106)</f>
        <v>0</v>
      </c>
      <c r="BL106" s="219">
        <f>AZ106</f>
        <v>1</v>
      </c>
      <c r="BM106" s="172">
        <f>100*BL106</f>
        <v>100</v>
      </c>
      <c r="BN106" s="217">
        <f xml:space="preserve"> CHOOSE(MODE, I106*1000,#REF!)</f>
        <v>10000</v>
      </c>
      <c r="BO106" s="172">
        <v>88.698181382326453</v>
      </c>
      <c r="BP106" s="219">
        <f>BO106/100</f>
        <v>0.88698181382326458</v>
      </c>
      <c r="BQ106" s="270">
        <f>R106/1000</f>
        <v>0</v>
      </c>
      <c r="BR106" s="271"/>
      <c r="BS106" s="219">
        <f>AL106/($AY106+$AX106)</f>
        <v>0</v>
      </c>
      <c r="BT106" s="272"/>
      <c r="BU106" s="172">
        <f>1000*AW106</f>
        <v>0</v>
      </c>
      <c r="BV106" s="172">
        <f>1000*AU106</f>
        <v>0</v>
      </c>
      <c r="BW106" s="172">
        <f>1000*Y106</f>
        <v>0</v>
      </c>
      <c r="BX106" s="219"/>
      <c r="BY106" s="219"/>
      <c r="BZ106" s="172">
        <f xml:space="preserve"> IF(MODE=1, BM106,#REF!)</f>
        <v>100</v>
      </c>
      <c r="CA106" s="172">
        <f xml:space="preserve"> IF(MODE=1, BU106,#REF!)</f>
        <v>0</v>
      </c>
      <c r="CB106" s="172">
        <f xml:space="preserve"> IF(MODE=1, BV106,#REF!)</f>
        <v>0</v>
      </c>
      <c r="CC106" s="172">
        <f xml:space="preserve"> IF(MODE=1, BW106,#REF!)</f>
        <v>0</v>
      </c>
    </row>
    <row r="107" spans="8:81">
      <c r="BQ107" s="270"/>
      <c r="BR107" s="271"/>
      <c r="BS107" s="271"/>
      <c r="BT107" s="272"/>
      <c r="BX107" s="219"/>
      <c r="BY107" s="219"/>
    </row>
    <row r="108" spans="8:81" ht="13">
      <c r="H108" s="328">
        <v>1.0000000000000001E-5</v>
      </c>
      <c r="I108" s="329" t="s">
        <v>1</v>
      </c>
      <c r="J108" s="330" t="s">
        <v>276</v>
      </c>
      <c r="AG108" s="216">
        <v>4.9516878778202269E-3</v>
      </c>
      <c r="AH108" s="216">
        <v>3.7188236700537959E-3</v>
      </c>
      <c r="AI108">
        <v>20</v>
      </c>
      <c r="AJ108" s="216">
        <v>18.943591787921068</v>
      </c>
      <c r="AK108" s="216">
        <v>4.1453367485397245E-3</v>
      </c>
      <c r="AL108" s="216">
        <v>7.1640215182307235E-3</v>
      </c>
      <c r="AN108" s="216">
        <v>9.1940431932401354E-2</v>
      </c>
      <c r="AO108" s="216">
        <v>8.4530430239165271E-3</v>
      </c>
      <c r="AP108" s="216">
        <v>9.3281530185295868E-4</v>
      </c>
      <c r="AQ108" s="216">
        <v>9.1178757202630047E-3</v>
      </c>
      <c r="AR108" s="216">
        <v>1.2140752334887425E-3</v>
      </c>
      <c r="AS108" s="216">
        <v>1.8784993977668273E-2</v>
      </c>
      <c r="AZ108" s="332" t="s">
        <v>280</v>
      </c>
      <c r="BA108" s="352">
        <v>3.6409104085968987E-3</v>
      </c>
      <c r="BB108" s="352">
        <v>6.5692245841190103E-3</v>
      </c>
      <c r="BC108" s="352">
        <v>5.4394694205683519E-2</v>
      </c>
      <c r="BD108" s="352">
        <v>4.5907837520612008E-3</v>
      </c>
      <c r="BE108" s="352">
        <v>0</v>
      </c>
      <c r="BF108" s="352">
        <v>7.3751579484765363E-4</v>
      </c>
      <c r="BG108" s="352">
        <v>7.2151246180390156E-3</v>
      </c>
      <c r="BH108" s="352">
        <v>1.4929120352630757E-2</v>
      </c>
      <c r="BI108" s="352">
        <v>5.5024434421027814E-6</v>
      </c>
      <c r="BJ108" s="352">
        <v>8.2551506228875166E-2</v>
      </c>
    </row>
    <row r="109" spans="8:81" ht="13">
      <c r="H109" s="331">
        <f>Iout_max</f>
        <v>10</v>
      </c>
      <c r="I109" s="329" t="s">
        <v>1</v>
      </c>
      <c r="J109" s="330" t="s">
        <v>277</v>
      </c>
      <c r="AZ109" s="332" t="s">
        <v>278</v>
      </c>
      <c r="BA109" s="352">
        <v>8.1000709018000279E-3</v>
      </c>
      <c r="BB109" s="352">
        <v>1.4614802049391215E-2</v>
      </c>
      <c r="BC109" s="352">
        <v>2.4831534664325892E-2</v>
      </c>
      <c r="BD109" s="352">
        <v>9.9057039827182662E-3</v>
      </c>
      <c r="BE109" s="352">
        <v>1.1631608311305648E-2</v>
      </c>
      <c r="BF109" s="352">
        <v>1.6465542803473395E-3</v>
      </c>
      <c r="BG109" s="352">
        <v>1.6051760250250457E-2</v>
      </c>
      <c r="BH109" s="352">
        <v>6.8152413568584669E-3</v>
      </c>
      <c r="BI109" s="352">
        <v>1.7517781122613987E-5</v>
      </c>
      <c r="BJ109" s="352">
        <v>1.2837829865088564E-2</v>
      </c>
    </row>
    <row r="110" spans="8:81" ht="13">
      <c r="H110" s="331">
        <f>LOG(max_I/min_I,EXP(1))</f>
        <v>13.815510557964274</v>
      </c>
      <c r="I110" s="217"/>
      <c r="J110" s="330" t="s">
        <v>279</v>
      </c>
    </row>
    <row r="111" spans="8:81" ht="13">
      <c r="AZ111" s="332"/>
      <c r="BA111" s="352"/>
      <c r="BB111" s="352"/>
      <c r="BC111" s="352"/>
      <c r="BD111" s="352"/>
      <c r="BE111" s="352"/>
      <c r="BF111" s="352"/>
      <c r="BG111" s="352"/>
      <c r="BH111" s="352"/>
      <c r="BI111" s="352"/>
      <c r="BJ111" s="352"/>
    </row>
    <row r="112" spans="8:81" ht="13">
      <c r="J112" s="334"/>
      <c r="R112" s="335"/>
      <c r="S112" s="335"/>
      <c r="T112" s="335"/>
      <c r="U112" s="335"/>
      <c r="V112" s="336"/>
    </row>
    <row r="113" spans="10:22" ht="13">
      <c r="J113" s="334"/>
      <c r="R113" s="335"/>
      <c r="S113" s="335"/>
      <c r="T113" s="335"/>
      <c r="U113" s="335"/>
      <c r="V113" s="336"/>
    </row>
    <row r="114" spans="10:22" ht="13">
      <c r="R114" s="337"/>
      <c r="S114" s="337"/>
      <c r="T114" s="337"/>
      <c r="U114" s="337"/>
      <c r="V114" s="336"/>
    </row>
    <row r="116" spans="10:22" ht="13">
      <c r="R116" s="337"/>
      <c r="S116" s="337"/>
      <c r="T116" s="337"/>
      <c r="U116" s="337"/>
      <c r="V116" s="336"/>
    </row>
    <row r="121" spans="10:22">
      <c r="V121" s="330"/>
    </row>
    <row r="122" spans="10:22">
      <c r="O122" s="330"/>
      <c r="P122" s="330"/>
      <c r="Q122" s="330"/>
    </row>
    <row r="123" spans="10:22">
      <c r="O123" s="330"/>
      <c r="P123" s="330"/>
      <c r="Q123" s="330"/>
    </row>
    <row r="124" spans="10:22">
      <c r="O124" s="330"/>
      <c r="P124" s="330"/>
      <c r="Q124" s="330"/>
    </row>
    <row r="125" spans="10:22">
      <c r="O125" s="330"/>
      <c r="P125" s="330"/>
      <c r="Q125" s="330"/>
    </row>
    <row r="126" spans="10:22">
      <c r="J126" s="338"/>
      <c r="O126" s="330"/>
      <c r="P126" s="330"/>
      <c r="Q126" s="330"/>
    </row>
    <row r="127" spans="10:22">
      <c r="J127" s="338"/>
      <c r="O127" s="330"/>
      <c r="P127" s="330"/>
      <c r="Q127" s="330"/>
    </row>
    <row r="128" spans="10:22">
      <c r="J128" s="338"/>
      <c r="O128" s="330"/>
      <c r="P128" s="330"/>
      <c r="Q128" s="330"/>
    </row>
    <row r="129" spans="10:17">
      <c r="J129" s="329"/>
      <c r="O129" s="330"/>
      <c r="P129" s="330"/>
      <c r="Q129" s="330"/>
    </row>
    <row r="130" spans="10:17">
      <c r="J130" s="329"/>
    </row>
    <row r="131" spans="10:17">
      <c r="J131" s="329"/>
    </row>
    <row r="132" spans="10:17">
      <c r="J132" s="329"/>
    </row>
    <row r="133" spans="10:17">
      <c r="J133" s="329"/>
    </row>
  </sheetData>
  <sheetProtection algorithmName="SHA-512" hashValue="0cUnFa7ufQE2QFQ9eSByCEfmn6EpWCL2i4IB/IyFIfGoQvvqfVNOyvPgZhiw12bINkeNpez8XmCsyRLDVC5XpQ==" saltValue="Wk0yaZAbwsKsRJCgaB8scA==" spinCount="100000" sheet="1" selectLockedCells="1" selectUnlockedCells="1"/>
  <mergeCells count="4">
    <mergeCell ref="A1:E3"/>
    <mergeCell ref="G2:H2"/>
    <mergeCell ref="A4:E4"/>
    <mergeCell ref="K4:U4"/>
  </mergeCells>
  <phoneticPr fontId="83"/>
  <conditionalFormatting sqref="B26:B28">
    <cfRule type="cellIs" dxfId="12" priority="8" stopIfTrue="1" operator="notEqual">
      <formula>G28</formula>
    </cfRule>
  </conditionalFormatting>
  <conditionalFormatting sqref="B30:B33">
    <cfRule type="cellIs" dxfId="11" priority="6" stopIfTrue="1" operator="notEqual">
      <formula>G36</formula>
    </cfRule>
  </conditionalFormatting>
  <conditionalFormatting sqref="B35:B36">
    <cfRule type="cellIs" dxfId="10" priority="5" stopIfTrue="1" operator="notEqual">
      <formula>G42</formula>
    </cfRule>
  </conditionalFormatting>
  <conditionalFormatting sqref="B41">
    <cfRule type="cellIs" dxfId="9" priority="4" stopIfTrue="1" operator="notEqual">
      <formula>G53</formula>
    </cfRule>
  </conditionalFormatting>
  <conditionalFormatting sqref="B50:B53">
    <cfRule type="cellIs" dxfId="8" priority="9" stopIfTrue="1" operator="notEqual">
      <formula>G70</formula>
    </cfRule>
  </conditionalFormatting>
  <conditionalFormatting sqref="B48:B49">
    <cfRule type="cellIs" dxfId="7" priority="12" stopIfTrue="1" operator="notEqual">
      <formula>G68</formula>
    </cfRule>
  </conditionalFormatting>
  <conditionalFormatting sqref="B43:B45">
    <cfRule type="cellIs" dxfId="6" priority="13" stopIfTrue="1" operator="notEqual">
      <formula>G54</formula>
    </cfRule>
  </conditionalFormatting>
  <conditionalFormatting sqref="B46">
    <cfRule type="cellIs" dxfId="5" priority="2" stopIfTrue="1" operator="notEqual">
      <formula>G66</formula>
    </cfRule>
  </conditionalFormatting>
  <conditionalFormatting sqref="B29">
    <cfRule type="cellIs" dxfId="4" priority="145" stopIfTrue="1" operator="notEqual">
      <formula>G30</formula>
    </cfRule>
  </conditionalFormatting>
  <conditionalFormatting sqref="B38:B39">
    <cfRule type="cellIs" dxfId="3" priority="147" stopIfTrue="1" operator="notEqual">
      <formula>G43</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184150</xdr:colOff>
                <xdr:row>111</xdr:row>
                <xdr:rowOff>146050</xdr:rowOff>
              </from>
              <to>
                <xdr:col>36</xdr:col>
                <xdr:colOff>12700</xdr:colOff>
                <xdr:row>125</xdr:row>
                <xdr:rowOff>146050</xdr:rowOff>
              </to>
            </anchor>
          </objectPr>
        </oleObject>
      </mc:Choice>
      <mc:Fallback>
        <oleObject progId="Visio.Drawing.11" shapeId="6830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rgb="FF7030A0"/>
  </sheetPr>
  <dimension ref="B1:FL329"/>
  <sheetViews>
    <sheetView topLeftCell="G1" zoomScale="70" zoomScaleNormal="70" workbookViewId="0">
      <pane ySplit="3" topLeftCell="A4" activePane="bottomLeft" state="frozen"/>
      <selection pane="bottomLeft" activeCell="U216" sqref="U216:U316"/>
    </sheetView>
  </sheetViews>
  <sheetFormatPr defaultRowHeight="12.5"/>
  <cols>
    <col min="1" max="1" width="2.81640625" customWidth="1"/>
    <col min="2" max="2" width="3.54296875" customWidth="1"/>
    <col min="3" max="3" width="2.81640625" customWidth="1"/>
    <col min="4" max="4" width="3.7265625" customWidth="1"/>
    <col min="5" max="5" width="6.1796875" customWidth="1"/>
    <col min="6" max="7" width="7.7265625" customWidth="1"/>
    <col min="8" max="8" width="7.81640625" customWidth="1"/>
    <col min="9" max="9" width="6.26953125" customWidth="1"/>
    <col min="10" max="10" width="9.54296875" customWidth="1"/>
    <col min="11" max="11" width="9.26953125" customWidth="1"/>
    <col min="12" max="12" width="1.81640625" customWidth="1"/>
    <col min="13" max="13" width="8.453125" customWidth="1"/>
    <col min="14" max="15" width="9.54296875" customWidth="1"/>
    <col min="16" max="16" width="8.81640625" customWidth="1"/>
    <col min="17" max="18" width="8.54296875" customWidth="1"/>
    <col min="19" max="19" width="15.453125" customWidth="1"/>
    <col min="20" max="20" width="10.453125" customWidth="1"/>
    <col min="21" max="21" width="7.54296875" customWidth="1"/>
    <col min="22" max="22" width="9" customWidth="1"/>
    <col min="23" max="23" width="8.81640625" customWidth="1"/>
    <col min="24" max="24" width="10" customWidth="1"/>
    <col min="25" max="25" width="9.54296875" customWidth="1"/>
    <col min="26" max="26" width="1.81640625" customWidth="1"/>
    <col min="27" max="27" width="9.81640625" customWidth="1"/>
    <col min="28" max="28" width="10.453125" customWidth="1"/>
    <col min="29" max="29" width="10.1796875" customWidth="1"/>
    <col min="30" max="30" width="2" customWidth="1"/>
    <col min="31" max="31" width="9.1796875" customWidth="1"/>
    <col min="32" max="32" width="9.453125" customWidth="1"/>
    <col min="33" max="33" width="10.453125" customWidth="1"/>
    <col min="34" max="34" width="2.1796875" customWidth="1"/>
    <col min="36" max="36" width="8" customWidth="1"/>
    <col min="38" max="38" width="2.26953125" customWidth="1"/>
    <col min="39" max="39" width="6.54296875" customWidth="1"/>
    <col min="40" max="40" width="7.54296875" customWidth="1"/>
    <col min="41" max="41" width="2" customWidth="1"/>
    <col min="42" max="42" width="6.453125" customWidth="1"/>
    <col min="43" max="43" width="7.54296875" customWidth="1"/>
    <col min="44" max="44" width="2.1796875" customWidth="1"/>
    <col min="45" max="48" width="7" customWidth="1"/>
    <col min="49" max="50" width="8.453125" customWidth="1"/>
    <col min="51" max="52" width="11" customWidth="1"/>
    <col min="53" max="53" width="9.453125" customWidth="1"/>
    <col min="54" max="54" width="9.81640625" customWidth="1"/>
    <col min="55" max="55" width="2" customWidth="1"/>
    <col min="58" max="58" width="2.1796875" customWidth="1"/>
    <col min="59" max="59" width="9" customWidth="1"/>
    <col min="60" max="61" width="8.1796875" customWidth="1"/>
    <col min="62" max="62" width="8.7265625" customWidth="1"/>
    <col min="63" max="64" width="7.54296875" customWidth="1"/>
    <col min="65" max="65" width="10.54296875" customWidth="1"/>
    <col min="66" max="66" width="8.7265625" customWidth="1"/>
    <col min="67" max="68" width="10.26953125" customWidth="1"/>
    <col min="69" max="70" width="10.54296875" customWidth="1"/>
    <col min="71" max="71" width="8.7265625" customWidth="1"/>
    <col min="73" max="73" width="9.81640625" customWidth="1"/>
    <col min="74" max="74" width="11.54296875" customWidth="1"/>
    <col min="75" max="75" width="12.1796875" customWidth="1"/>
    <col min="76" max="76" width="9.1796875" customWidth="1"/>
    <col min="78" max="78" width="7.7265625" customWidth="1"/>
    <col min="79" max="79" width="10.453125" customWidth="1"/>
    <col min="80" max="80" width="12.453125" bestFit="1" customWidth="1"/>
    <col min="81" max="81" width="4.54296875" customWidth="1"/>
    <col min="82" max="82" width="5" customWidth="1"/>
    <col min="83" max="83" width="9.54296875" customWidth="1"/>
    <col min="85" max="85" width="12.54296875" customWidth="1"/>
    <col min="86" max="86" width="11.54296875" customWidth="1"/>
    <col min="87" max="87" width="6.1796875" customWidth="1"/>
    <col min="88" max="89" width="7.7265625" customWidth="1"/>
    <col min="90" max="90" width="7.81640625" customWidth="1"/>
    <col min="91" max="91" width="6.26953125" customWidth="1"/>
    <col min="92" max="92" width="9.54296875" customWidth="1"/>
    <col min="93" max="93" width="9.26953125" customWidth="1"/>
    <col min="94" max="94" width="1.81640625" customWidth="1"/>
    <col min="95" max="95" width="8.453125" customWidth="1"/>
    <col min="96" max="97" width="9.54296875" customWidth="1"/>
    <col min="98" max="98" width="8.81640625" customWidth="1"/>
    <col min="99" max="100" width="8.54296875" customWidth="1"/>
    <col min="101" max="101" width="15.453125" customWidth="1"/>
    <col min="102" max="102" width="10.453125" customWidth="1"/>
    <col min="103" max="103" width="7.54296875" customWidth="1"/>
    <col min="104" max="104" width="9" customWidth="1"/>
    <col min="105" max="105" width="8.81640625" customWidth="1"/>
    <col min="106" max="106" width="10" customWidth="1"/>
    <col min="107" max="107" width="9.54296875" customWidth="1"/>
    <col min="108" max="108" width="1.81640625" customWidth="1"/>
    <col min="109" max="109" width="9.81640625" customWidth="1"/>
    <col min="110" max="110" width="10.453125" customWidth="1"/>
    <col min="111" max="111" width="10.1796875" customWidth="1"/>
    <col min="112" max="112" width="2" customWidth="1"/>
    <col min="113" max="113" width="9.1796875" customWidth="1"/>
    <col min="114" max="114" width="9.453125" customWidth="1"/>
    <col min="115" max="115" width="10.453125" customWidth="1"/>
    <col min="116" max="116" width="2.1796875" customWidth="1"/>
    <col min="118" max="118" width="8" customWidth="1"/>
    <col min="120" max="120" width="2.26953125" customWidth="1"/>
    <col min="121" max="121" width="6.54296875" customWidth="1"/>
    <col min="122" max="122" width="7.54296875" customWidth="1"/>
    <col min="123" max="123" width="2" customWidth="1"/>
    <col min="124" max="124" width="6.453125" customWidth="1"/>
    <col min="125" max="125" width="7.54296875" customWidth="1"/>
    <col min="126" max="126" width="2.1796875" customWidth="1"/>
    <col min="127" max="130" width="7" customWidth="1"/>
    <col min="131" max="132" width="8.453125" customWidth="1"/>
    <col min="133" max="134" width="11" customWidth="1"/>
    <col min="135" max="135" width="9.453125" customWidth="1"/>
    <col min="136" max="136" width="9.81640625" customWidth="1"/>
    <col min="137" max="137" width="2" customWidth="1"/>
    <col min="140" max="140" width="2.1796875" customWidth="1"/>
    <col min="141" max="141" width="9" customWidth="1"/>
    <col min="142" max="143" width="8.1796875" customWidth="1"/>
    <col min="145" max="146" width="7.54296875" customWidth="1"/>
    <col min="147" max="147" width="10.54296875" customWidth="1"/>
    <col min="149" max="150" width="10.26953125" customWidth="1"/>
    <col min="151" max="152" width="10.54296875" customWidth="1"/>
    <col min="155" max="155" width="9.81640625" customWidth="1"/>
    <col min="156" max="156" width="11.54296875" customWidth="1"/>
    <col min="157" max="157" width="12.1796875" customWidth="1"/>
    <col min="158" max="158" width="9.1796875" customWidth="1"/>
    <col min="160" max="160" width="7.7265625" customWidth="1"/>
    <col min="161" max="161" width="10.453125" customWidth="1"/>
    <col min="162" max="162" width="12.453125" bestFit="1" customWidth="1"/>
    <col min="163" max="163" width="4.54296875" customWidth="1"/>
    <col min="164" max="164" width="5" customWidth="1"/>
    <col min="165" max="165" width="9.54296875" customWidth="1"/>
    <col min="168" max="168" width="12.1796875" bestFit="1" customWidth="1"/>
  </cols>
  <sheetData>
    <row r="1" spans="2:168" ht="25">
      <c r="B1" s="445" t="s">
        <v>824</v>
      </c>
      <c r="M1">
        <f>Vfwd2</f>
        <v>0.7</v>
      </c>
      <c r="BB1">
        <f>Ltc</f>
        <v>4.0000000000000001E-3</v>
      </c>
      <c r="BT1">
        <f>Ta</f>
        <v>85</v>
      </c>
      <c r="CI1" s="779" t="s">
        <v>823</v>
      </c>
      <c r="CQ1">
        <f>Vfwd2</f>
        <v>0.7</v>
      </c>
      <c r="EF1">
        <f>Ltc</f>
        <v>4.0000000000000001E-3</v>
      </c>
      <c r="EX1">
        <f>Ta</f>
        <v>85</v>
      </c>
    </row>
    <row r="2" spans="2:168" ht="13" thickBot="1">
      <c r="M2">
        <f>Vfwd1</f>
        <v>0.4</v>
      </c>
      <c r="U2">
        <f>Isw_max</f>
        <v>50</v>
      </c>
      <c r="CQ2">
        <f>Vfwd1</f>
        <v>0.4</v>
      </c>
      <c r="CY2">
        <f>Isw_max</f>
        <v>50</v>
      </c>
    </row>
    <row r="3" spans="2:168" ht="13">
      <c r="E3" s="220" t="s">
        <v>421</v>
      </c>
      <c r="F3" s="540"/>
      <c r="G3" s="540"/>
      <c r="H3" s="540"/>
      <c r="I3" s="221"/>
      <c r="J3" s="222"/>
      <c r="K3" s="524"/>
      <c r="L3" s="524"/>
      <c r="M3" s="947" t="s">
        <v>189</v>
      </c>
      <c r="N3" s="948"/>
      <c r="O3" s="950"/>
      <c r="P3" s="947"/>
      <c r="Q3" s="947"/>
      <c r="R3" s="950"/>
      <c r="S3" s="950"/>
      <c r="T3" s="950"/>
      <c r="U3" s="947"/>
      <c r="V3" s="948"/>
      <c r="W3" s="948"/>
      <c r="X3" s="947"/>
      <c r="Y3" s="948"/>
      <c r="Z3" s="947"/>
      <c r="AA3" s="949"/>
      <c r="AB3" s="533"/>
      <c r="AC3" s="533"/>
      <c r="AD3" s="533"/>
      <c r="AE3" s="533"/>
      <c r="AF3" s="533"/>
      <c r="AG3" s="533"/>
      <c r="AH3" s="533"/>
      <c r="AI3" s="533"/>
      <c r="AJ3" s="533"/>
      <c r="AK3" s="533"/>
      <c r="AL3" s="533"/>
      <c r="AM3" s="533"/>
      <c r="AN3" s="533"/>
      <c r="AO3" s="533"/>
      <c r="AP3" s="533"/>
      <c r="AQ3" s="533"/>
      <c r="AR3" s="533"/>
      <c r="AS3" s="533" t="s">
        <v>460</v>
      </c>
      <c r="AT3" s="533"/>
      <c r="AU3" s="533"/>
      <c r="AV3" s="533"/>
      <c r="AW3" s="533"/>
      <c r="AX3" s="533"/>
      <c r="AY3" s="533"/>
      <c r="AZ3" s="533"/>
      <c r="BA3" s="533" t="s">
        <v>470</v>
      </c>
      <c r="BB3" s="533"/>
      <c r="BC3" s="533"/>
      <c r="BD3" s="558" t="s">
        <v>471</v>
      </c>
      <c r="BE3" s="533"/>
      <c r="BF3" s="533"/>
      <c r="BG3" s="558" t="s">
        <v>888</v>
      </c>
      <c r="BH3" s="533"/>
      <c r="BI3" s="533"/>
      <c r="BJ3" s="533"/>
      <c r="BK3" s="533"/>
      <c r="BL3" s="533"/>
      <c r="BM3" s="533"/>
      <c r="BN3" s="533"/>
      <c r="BO3" s="558" t="s">
        <v>489</v>
      </c>
      <c r="BP3" s="533"/>
      <c r="BQ3" s="533"/>
      <c r="BR3" s="533"/>
      <c r="BS3" s="559" t="s">
        <v>490</v>
      </c>
      <c r="BT3" s="533"/>
      <c r="BU3" s="533"/>
      <c r="BV3" s="533"/>
      <c r="BW3" s="533"/>
      <c r="BX3" s="533"/>
      <c r="BY3" s="558"/>
      <c r="BZ3" s="533"/>
      <c r="CA3" s="533"/>
      <c r="CB3" s="533"/>
      <c r="CC3" s="533"/>
      <c r="CI3" s="220" t="s">
        <v>421</v>
      </c>
      <c r="CJ3" s="540"/>
      <c r="CK3" s="540"/>
      <c r="CL3" s="540"/>
      <c r="CM3" s="221"/>
      <c r="CN3" s="222"/>
      <c r="CO3" s="524"/>
      <c r="CP3" s="524"/>
      <c r="CQ3" s="947" t="s">
        <v>189</v>
      </c>
      <c r="CR3" s="948"/>
      <c r="CS3" s="950"/>
      <c r="CT3" s="947"/>
      <c r="CU3" s="947"/>
      <c r="CV3" s="950"/>
      <c r="CW3" s="950"/>
      <c r="CX3" s="950"/>
      <c r="CY3" s="947"/>
      <c r="CZ3" s="948"/>
      <c r="DA3" s="948"/>
      <c r="DB3" s="947"/>
      <c r="DC3" s="948"/>
      <c r="DD3" s="947"/>
      <c r="DE3" s="949"/>
      <c r="DF3" s="533"/>
      <c r="DG3" s="533"/>
      <c r="DH3" s="533"/>
      <c r="DI3" s="533"/>
      <c r="DJ3" s="533"/>
      <c r="DK3" s="533"/>
      <c r="DL3" s="533"/>
      <c r="DM3" s="533"/>
      <c r="DN3" s="533"/>
      <c r="DO3" s="533"/>
      <c r="DP3" s="533"/>
      <c r="DQ3" s="533"/>
      <c r="DR3" s="533"/>
      <c r="DS3" s="533"/>
      <c r="DT3" s="533"/>
      <c r="DU3" s="533"/>
      <c r="DV3" s="533"/>
      <c r="DW3" s="533" t="s">
        <v>460</v>
      </c>
      <c r="DX3" s="533"/>
      <c r="DY3" s="533"/>
      <c r="DZ3" s="533"/>
      <c r="EA3" s="533"/>
      <c r="EB3" s="533"/>
      <c r="EC3" s="533"/>
      <c r="ED3" s="533"/>
      <c r="EE3" s="533" t="s">
        <v>470</v>
      </c>
      <c r="EF3" s="533"/>
      <c r="EG3" s="533"/>
      <c r="EH3" s="558" t="s">
        <v>471</v>
      </c>
      <c r="EI3" s="533"/>
      <c r="EJ3" s="533"/>
      <c r="EK3" s="558" t="s">
        <v>493</v>
      </c>
      <c r="EL3" s="533"/>
      <c r="EM3" s="533"/>
      <c r="EN3" s="533"/>
      <c r="EO3" s="533"/>
      <c r="EP3" s="533"/>
      <c r="EQ3" s="533"/>
      <c r="ER3" s="533"/>
      <c r="ES3" s="558" t="s">
        <v>489</v>
      </c>
      <c r="ET3" s="533"/>
      <c r="EU3" s="533"/>
      <c r="EV3" s="533"/>
      <c r="EW3" s="559" t="s">
        <v>490</v>
      </c>
      <c r="EX3" s="533"/>
      <c r="EY3" s="533"/>
      <c r="EZ3" s="533"/>
      <c r="FA3" s="533"/>
      <c r="FB3" s="533"/>
      <c r="FC3" s="558"/>
      <c r="FD3" s="533"/>
      <c r="FE3" s="533"/>
      <c r="FF3" s="533"/>
      <c r="FG3" s="533"/>
    </row>
    <row r="4" spans="2:168" ht="45" customHeight="1" thickBot="1">
      <c r="E4" s="241" t="s">
        <v>25</v>
      </c>
      <c r="F4" s="444" t="s">
        <v>194</v>
      </c>
      <c r="G4" s="260"/>
      <c r="H4" s="527" t="s">
        <v>223</v>
      </c>
      <c r="I4" s="242" t="s">
        <v>412</v>
      </c>
      <c r="J4" s="243" t="s">
        <v>418</v>
      </c>
      <c r="K4" s="527" t="s">
        <v>413</v>
      </c>
      <c r="L4" s="527"/>
      <c r="M4" s="244" t="s">
        <v>48</v>
      </c>
      <c r="N4" s="527" t="s">
        <v>402</v>
      </c>
      <c r="O4" s="527" t="s">
        <v>656</v>
      </c>
      <c r="P4" s="527" t="s">
        <v>403</v>
      </c>
      <c r="Q4" s="527" t="s">
        <v>433</v>
      </c>
      <c r="R4" s="527" t="s">
        <v>654</v>
      </c>
      <c r="S4" s="527" t="s">
        <v>657</v>
      </c>
      <c r="T4" s="527" t="s">
        <v>655</v>
      </c>
      <c r="U4" s="527" t="s">
        <v>414</v>
      </c>
      <c r="V4" s="527" t="s">
        <v>466</v>
      </c>
      <c r="W4" s="527" t="s">
        <v>465</v>
      </c>
      <c r="X4" s="546" t="s">
        <v>420</v>
      </c>
      <c r="Y4" s="542" t="s">
        <v>425</v>
      </c>
      <c r="AA4" s="245" t="s">
        <v>417</v>
      </c>
      <c r="AB4" s="245" t="s">
        <v>464</v>
      </c>
      <c r="AC4" s="245" t="s">
        <v>423</v>
      </c>
      <c r="AD4" s="544"/>
      <c r="AE4" s="245" t="s">
        <v>463</v>
      </c>
      <c r="AF4" s="245" t="s">
        <v>681</v>
      </c>
      <c r="AG4" s="245" t="s">
        <v>427</v>
      </c>
      <c r="AH4" s="544"/>
      <c r="AI4" s="245" t="s">
        <v>429</v>
      </c>
      <c r="AJ4" s="547" t="s">
        <v>430</v>
      </c>
      <c r="AK4" s="547" t="s">
        <v>431</v>
      </c>
      <c r="AM4" s="543" t="s">
        <v>275</v>
      </c>
      <c r="AN4" s="543" t="s">
        <v>432</v>
      </c>
      <c r="AP4" s="245" t="s">
        <v>275</v>
      </c>
      <c r="AQ4" s="245" t="s">
        <v>432</v>
      </c>
      <c r="AR4" s="548"/>
      <c r="AS4" s="245" t="s">
        <v>467</v>
      </c>
      <c r="AT4" s="245" t="s">
        <v>461</v>
      </c>
      <c r="AU4" s="245" t="s">
        <v>462</v>
      </c>
      <c r="AV4" s="245" t="s">
        <v>653</v>
      </c>
      <c r="AW4" s="245" t="s">
        <v>48</v>
      </c>
      <c r="AX4" s="548" t="s">
        <v>651</v>
      </c>
      <c r="AY4" s="544" t="s">
        <v>650</v>
      </c>
      <c r="AZ4" s="544" t="s">
        <v>652</v>
      </c>
      <c r="BA4" s="245" t="s">
        <v>481</v>
      </c>
      <c r="BB4" s="245" t="s">
        <v>514</v>
      </c>
      <c r="BC4" s="544"/>
      <c r="BD4" s="557" t="s">
        <v>456</v>
      </c>
      <c r="BE4" s="245" t="s">
        <v>457</v>
      </c>
      <c r="BF4" s="544"/>
      <c r="BG4" s="557" t="s">
        <v>474</v>
      </c>
      <c r="BH4" s="245" t="s">
        <v>475</v>
      </c>
      <c r="BI4" s="245" t="s">
        <v>473</v>
      </c>
      <c r="BJ4" s="245" t="s">
        <v>469</v>
      </c>
      <c r="BK4" s="245" t="s">
        <v>478</v>
      </c>
      <c r="BL4" s="245" t="s">
        <v>777</v>
      </c>
      <c r="BM4" s="245" t="s">
        <v>776</v>
      </c>
      <c r="BN4" s="245" t="s">
        <v>491</v>
      </c>
      <c r="BO4" s="557" t="s">
        <v>476</v>
      </c>
      <c r="BP4" s="245" t="s">
        <v>477</v>
      </c>
      <c r="BQ4" s="245" t="s">
        <v>483</v>
      </c>
      <c r="BR4" s="245" t="s">
        <v>487</v>
      </c>
      <c r="BS4" s="557" t="s">
        <v>458</v>
      </c>
      <c r="BT4" s="245" t="s">
        <v>459</v>
      </c>
      <c r="BU4" s="245" t="s">
        <v>468</v>
      </c>
      <c r="BV4" s="245" t="s">
        <v>666</v>
      </c>
      <c r="BW4" s="245" t="s">
        <v>484</v>
      </c>
      <c r="BX4" s="245" t="s">
        <v>667</v>
      </c>
      <c r="BY4" s="557" t="s">
        <v>482</v>
      </c>
      <c r="BZ4" s="245" t="s">
        <v>223</v>
      </c>
      <c r="CA4" s="245" t="s">
        <v>47</v>
      </c>
      <c r="CB4" s="245" t="s">
        <v>485</v>
      </c>
      <c r="CC4" s="245"/>
      <c r="CE4" s="569" t="s">
        <v>664</v>
      </c>
      <c r="CF4" s="569" t="s">
        <v>665</v>
      </c>
      <c r="CG4" s="781" t="s">
        <v>828</v>
      </c>
      <c r="CI4" s="241" t="s">
        <v>25</v>
      </c>
      <c r="CJ4" s="444" t="s">
        <v>194</v>
      </c>
      <c r="CK4" s="260"/>
      <c r="CL4" s="527" t="s">
        <v>223</v>
      </c>
      <c r="CM4" s="242" t="s">
        <v>412</v>
      </c>
      <c r="CN4" s="243" t="s">
        <v>418</v>
      </c>
      <c r="CO4" s="527" t="s">
        <v>413</v>
      </c>
      <c r="CP4" s="527"/>
      <c r="CQ4" s="244" t="s">
        <v>48</v>
      </c>
      <c r="CR4" s="527" t="s">
        <v>402</v>
      </c>
      <c r="CS4" s="527" t="s">
        <v>656</v>
      </c>
      <c r="CT4" s="527" t="s">
        <v>403</v>
      </c>
      <c r="CU4" s="527" t="s">
        <v>433</v>
      </c>
      <c r="CV4" s="527" t="s">
        <v>654</v>
      </c>
      <c r="CW4" s="527" t="s">
        <v>657</v>
      </c>
      <c r="CX4" s="527" t="s">
        <v>655</v>
      </c>
      <c r="CY4" s="527" t="s">
        <v>414</v>
      </c>
      <c r="CZ4" s="527" t="s">
        <v>466</v>
      </c>
      <c r="DA4" s="527" t="s">
        <v>465</v>
      </c>
      <c r="DB4" s="546" t="s">
        <v>420</v>
      </c>
      <c r="DC4" s="542" t="s">
        <v>425</v>
      </c>
      <c r="DE4" s="245" t="s">
        <v>417</v>
      </c>
      <c r="DF4" s="245" t="s">
        <v>464</v>
      </c>
      <c r="DG4" s="245" t="s">
        <v>423</v>
      </c>
      <c r="DH4" s="544"/>
      <c r="DI4" s="245" t="s">
        <v>463</v>
      </c>
      <c r="DJ4" s="245" t="s">
        <v>681</v>
      </c>
      <c r="DK4" s="245" t="s">
        <v>427</v>
      </c>
      <c r="DL4" s="544"/>
      <c r="DM4" s="245" t="s">
        <v>429</v>
      </c>
      <c r="DN4" s="547" t="s">
        <v>430</v>
      </c>
      <c r="DO4" s="547" t="s">
        <v>431</v>
      </c>
      <c r="DQ4" s="543" t="s">
        <v>275</v>
      </c>
      <c r="DR4" s="543" t="s">
        <v>432</v>
      </c>
      <c r="DT4" s="245" t="s">
        <v>275</v>
      </c>
      <c r="DU4" s="245" t="s">
        <v>432</v>
      </c>
      <c r="DV4" s="548"/>
      <c r="DW4" s="245" t="s">
        <v>467</v>
      </c>
      <c r="DX4" s="245" t="s">
        <v>461</v>
      </c>
      <c r="DY4" s="245" t="s">
        <v>462</v>
      </c>
      <c r="DZ4" s="245" t="s">
        <v>653</v>
      </c>
      <c r="EA4" s="245" t="s">
        <v>48</v>
      </c>
      <c r="EB4" s="548" t="s">
        <v>651</v>
      </c>
      <c r="EC4" s="544" t="s">
        <v>650</v>
      </c>
      <c r="ED4" s="544" t="s">
        <v>652</v>
      </c>
      <c r="EE4" s="245" t="s">
        <v>481</v>
      </c>
      <c r="EF4" s="245" t="s">
        <v>514</v>
      </c>
      <c r="EG4" s="544"/>
      <c r="EH4" s="557" t="s">
        <v>456</v>
      </c>
      <c r="EI4" s="245" t="s">
        <v>457</v>
      </c>
      <c r="EJ4" s="544"/>
      <c r="EK4" s="557" t="s">
        <v>474</v>
      </c>
      <c r="EL4" s="245" t="s">
        <v>475</v>
      </c>
      <c r="EM4" s="245" t="s">
        <v>473</v>
      </c>
      <c r="EN4" s="245" t="s">
        <v>469</v>
      </c>
      <c r="EO4" s="245" t="s">
        <v>478</v>
      </c>
      <c r="EP4" s="245" t="s">
        <v>777</v>
      </c>
      <c r="EQ4" s="245" t="s">
        <v>776</v>
      </c>
      <c r="ER4" s="245" t="s">
        <v>491</v>
      </c>
      <c r="ES4" s="557" t="s">
        <v>476</v>
      </c>
      <c r="ET4" s="245" t="s">
        <v>477</v>
      </c>
      <c r="EU4" s="245" t="s">
        <v>483</v>
      </c>
      <c r="EV4" s="245" t="s">
        <v>487</v>
      </c>
      <c r="EW4" s="557" t="s">
        <v>458</v>
      </c>
      <c r="EX4" s="245" t="s">
        <v>459</v>
      </c>
      <c r="EY4" s="245" t="s">
        <v>468</v>
      </c>
      <c r="EZ4" s="245" t="s">
        <v>666</v>
      </c>
      <c r="FA4" s="245" t="s">
        <v>484</v>
      </c>
      <c r="FB4" s="245" t="s">
        <v>667</v>
      </c>
      <c r="FC4" s="557" t="s">
        <v>482</v>
      </c>
      <c r="FD4" s="245" t="s">
        <v>223</v>
      </c>
      <c r="FE4" s="245" t="s">
        <v>47</v>
      </c>
      <c r="FF4" s="245" t="s">
        <v>485</v>
      </c>
      <c r="FG4" s="245"/>
      <c r="FI4" s="569" t="s">
        <v>664</v>
      </c>
      <c r="FJ4" s="569" t="s">
        <v>665</v>
      </c>
      <c r="FL4" t="s">
        <v>825</v>
      </c>
    </row>
    <row r="5" spans="2:168">
      <c r="E5" s="170">
        <v>0.1</v>
      </c>
      <c r="F5" s="217">
        <v>1.0000000000000001E-9</v>
      </c>
      <c r="G5" s="217"/>
      <c r="H5" s="217">
        <f t="shared" ref="H5:H36" si="0">F5*Vout</f>
        <v>1.5000000000000002E-8</v>
      </c>
      <c r="I5" s="541">
        <f t="shared" ref="I5:I36" si="1">Vin-F5*(Rdcr_pri+RON/1000)/CG5/Nps</f>
        <v>57.999988589113386</v>
      </c>
      <c r="J5" s="172">
        <f t="shared" ref="J5:J36" si="2">(T5+Vfwd1+F5/CG5*Rdcr_sec)*Nps</f>
        <v>15.400006846531969</v>
      </c>
      <c r="K5" s="172">
        <f t="shared" ref="K5:K36" si="3">(Vout+Vfwd1+F5/CG5*Rdcr_sec)*Nps+VIN_nom</f>
        <v>73.400006846531966</v>
      </c>
      <c r="L5" s="443"/>
      <c r="M5" s="217">
        <f t="shared" ref="M5:M36" si="4">(Vout+Vfwd1+F5/FL5*Rdcr_sec)*Nps/((Vout+Vfwd1+F5/FL5*Rdcr_sec)*Nps+I5)</f>
        <v>0.20980937160539462</v>
      </c>
      <c r="N5" s="172">
        <f t="shared" ref="N5:N36" si="5">M5*I5*(Isw_max+VIN_nom/Lmag*ILIM_delay)*0.5*Efficiency</f>
        <v>305.10577720907611</v>
      </c>
      <c r="O5" s="172">
        <f>T5*F5</f>
        <v>1.5000000000000002E-8</v>
      </c>
      <c r="P5" s="217">
        <f t="shared" ref="P5:P36" si="6">N5/Vout</f>
        <v>20.340385147271739</v>
      </c>
      <c r="Q5" s="217">
        <f t="shared" ref="Q5:Q36" si="7">MIN(Vout,N5/F5)</f>
        <v>15</v>
      </c>
      <c r="R5" s="217">
        <f t="shared" ref="R5:R36" si="8">Isw_max/2*I5*Nps*(Q5+Vfwd1+F5/FL5*Rdcr_sec)/Q5/(I5+Nps*(Q5+Vfwd1+F5/FL5*Rdcr_sec))</f>
        <v>20.281568598336563</v>
      </c>
      <c r="S5" s="172">
        <f t="shared" ref="S5:S36" si="9">(SQRT(Isw_max^2*Nps^2*I5^2+4*Isw_max*F5/Efficiency*(Nps^2*Vfwd1*I5-Nps*I5^2)+4*(F5/Efficiency)^2*Nps^2*Vfwd1^2+8*(F5/Efficiency)^2*Nps*Vfwd1*I5+4*(F5/Efficiency)^2*I5^2)-2*F5/Efficiency*I5-2*F5/Efficiency*Nps*Vfwd1+Isw_max*Nps*I5)/(4*F5/Efficiency*Nps)</f>
        <v>1449999714669.8347</v>
      </c>
      <c r="T5" s="172">
        <f t="shared" ref="T5:T36" si="10">MIN(Vout, S5)</f>
        <v>15</v>
      </c>
      <c r="U5" s="217">
        <f>MIN(2*(Vout+Vfwd1+F5/FL5*Rdcr_sec)*F5/(I5*M5), Isw_max)</f>
        <v>2.5310348264485368E-9</v>
      </c>
      <c r="V5" s="217">
        <f t="shared" ref="V5:V68" si="11">L*U5/I5*1000000</f>
        <v>5.2366248091095913E-10</v>
      </c>
      <c r="W5" s="217">
        <f t="shared" ref="W5:W36" si="12">L*U5/J5*1000000</f>
        <v>1.9722340528843469E-9</v>
      </c>
      <c r="X5" s="197">
        <f t="shared" ref="X5:X36" si="13">IF(1/((350000*L)*(1/I5+1/J5))&gt;Isw_min, 350, 0.001/((Isw_min*L)*(1/I5+1/J5)))</f>
        <v>101.40784251980983</v>
      </c>
      <c r="Y5" s="443">
        <f t="shared" ref="Y5:Y68" si="14">MIN(1/(V5+W5+0.2)*1000, 350)</f>
        <v>350</v>
      </c>
      <c r="AA5" s="217">
        <f t="shared" ref="AA5:AA36" si="15">1/((X5*1000*L)*(1/I5+1/J5))</f>
        <v>10</v>
      </c>
      <c r="AB5" s="173">
        <f t="shared" ref="AB5:AB36" si="16">L*AA5/J5*1000000</f>
        <v>7.7922043279496078</v>
      </c>
      <c r="AC5" s="173">
        <f t="shared" ref="AC5:AC36" si="17">0.5*AB5*AA5*Nps*X5/1000</f>
        <v>3.9509531468544723</v>
      </c>
      <c r="AD5" s="173"/>
      <c r="AE5" s="173">
        <f t="shared" ref="AE5:AE36" si="18">L*Isw_min/J5*1000000</f>
        <v>7.7922043279496078</v>
      </c>
      <c r="AF5" s="545">
        <f>MAX(12, F5/(0.5*AE5/1000000*Isw_min*Nps)/1000)</f>
        <v>12</v>
      </c>
      <c r="AG5" s="528">
        <f t="shared" ref="AG5:AG36" si="19">0.5*AE5/1000000*Isw_min*Nps*X5*1000</f>
        <v>3.9509531468544723</v>
      </c>
      <c r="AI5" s="173">
        <f t="shared" ref="AI5:AI36" si="20">SQRT(F5/Efficiency/(0.5*L/J5*Fsw_DCM*Nps))</f>
        <v>8.5634902893543663E-5</v>
      </c>
      <c r="AJ5" s="173">
        <f t="shared" ref="AJ5:AJ36" si="21">MAX(IF(F5&gt;AC5,U5,AI5),Isw_min)</f>
        <v>10</v>
      </c>
      <c r="AK5" s="173">
        <f t="shared" ref="AK5:AK36" si="22">IF(F5&gt;AG5, (AJ5-Isw_min)/1.08*0.8+1.2, AF5*0.2/350+1)</f>
        <v>1.0068571428571429</v>
      </c>
      <c r="AM5" s="545">
        <f t="shared" ref="AM5:AM36" si="23">F5*1000</f>
        <v>1.0000000000000002E-6</v>
      </c>
      <c r="AN5" s="460">
        <f t="shared" ref="AN5:AN36" si="24">IF(F5&gt;AG5, Y5, AF5)</f>
        <v>12</v>
      </c>
      <c r="AP5">
        <f t="shared" ref="AP5:AP36" si="25">IF(H5&gt;N5, "",AM5)</f>
        <v>1.0000000000000002E-6</v>
      </c>
      <c r="AQ5" s="460">
        <f t="shared" ref="AQ5:AQ36" si="26">IF(H5&gt;N5, "",AN5)</f>
        <v>12</v>
      </c>
      <c r="AR5" s="460"/>
      <c r="AS5" s="5">
        <f>1/AN5*1000</f>
        <v>83.333333333333329</v>
      </c>
      <c r="AT5" s="5">
        <f t="shared" ref="AT5:AT36" si="27">L*AJ5/I5*1000000</f>
        <v>2.0689659242885443</v>
      </c>
      <c r="AU5" s="5">
        <f>AS5-AT5</f>
        <v>81.26436740904478</v>
      </c>
      <c r="AV5" s="5">
        <f t="shared" ref="AV5:AV36" si="28">L*AJ5/J5*1000000</f>
        <v>7.7922043279496078</v>
      </c>
      <c r="AW5" s="173">
        <f>AT5/AS5</f>
        <v>2.4827591091462532E-2</v>
      </c>
      <c r="AX5" s="173">
        <f t="shared" ref="AX5:AX36" si="29">0.5*L*AJ5^2*AN5*1000</f>
        <v>7.2000000000000011</v>
      </c>
      <c r="AY5" s="173">
        <f t="shared" ref="AY5:AY36" si="30">AJ5*Nps/2*(1-AW5)</f>
        <v>4.8758620445426875</v>
      </c>
      <c r="AZ5" s="173">
        <f>AX5/AY5</f>
        <v>1.4766619593059667</v>
      </c>
      <c r="BA5" s="460">
        <f t="shared" ref="BA5:BA36" si="31">F5*AT5/Vout_ripple*1000</f>
        <v>1.3793106161923631E-8</v>
      </c>
      <c r="BB5" s="5">
        <f t="shared" ref="BB5:BB36" si="32">H5/Efficiency/I5*AU5/Vinripple1</f>
        <v>7.247120992593888E-9</v>
      </c>
      <c r="BC5" s="5"/>
      <c r="BD5" s="173">
        <f>AJ5*SQRT(AW5/3)</f>
        <v>0.90971774178336107</v>
      </c>
      <c r="BE5" s="173">
        <f t="shared" ref="BE5:BE36" si="33">AJ5*Nps*SQRT((1-AW5)/3)</f>
        <v>5.7013811452680407</v>
      </c>
      <c r="BF5" s="173"/>
      <c r="BG5" s="528">
        <f t="shared" ref="BG5:BG36" si="34">Rdson*BD5^2</f>
        <v>1.6551727394308359E-2</v>
      </c>
      <c r="BH5" s="528">
        <f t="shared" ref="BH5:BH36" si="35">0.5*K5*AJ5*AN5*1000*Tfall</f>
        <v>0.1651500154046969</v>
      </c>
      <c r="BI5" s="528">
        <f t="shared" ref="BI5:BI36" si="36">Qg*Vdd*AN5*1000*0+Qg*I5*AN5*1000</f>
        <v>1.7399996576734016E-2</v>
      </c>
      <c r="BJ5" s="528">
        <f t="shared" ref="BJ5:BJ36" si="37">0.5*(Coss+Csw)*K5^2*AN5*1000</f>
        <v>6.4650732060851281E-3</v>
      </c>
      <c r="BK5">
        <f t="shared" ref="BK5:BK36" si="38">I5*IQ</f>
        <v>2.6099994865101023E-2</v>
      </c>
      <c r="BL5" s="460">
        <f>(BK5+BI5)*1000</f>
        <v>43.499991441835043</v>
      </c>
      <c r="BM5" s="528">
        <f t="shared" ref="BM5:BM36" si="39">(BH5+BI5*0+BJ5+BK5*0+BG5*(1+RdsonTC*(Ta-25)))/(1-BG5*RdsonTC*ThetaJA)</f>
        <v>0.1933963503776657</v>
      </c>
      <c r="BN5" s="460">
        <f>BM5*1000</f>
        <v>193.3963503776657</v>
      </c>
      <c r="BO5" s="528">
        <f>Vfwd2*F5*(1+Diode_TC/1000*(Ta-25))</f>
        <v>6.212499999999999E-10</v>
      </c>
      <c r="BP5" s="528"/>
      <c r="BR5" s="460">
        <f>SUM(BO5:BQ5)*1000</f>
        <v>6.2124999999999988E-7</v>
      </c>
      <c r="BS5" s="528">
        <f t="shared" ref="BS5:BS36" si="40">Rdcr_pri*BD5^2</f>
        <v>2.4827591091462538E-2</v>
      </c>
      <c r="BT5" s="528">
        <f t="shared" ref="BT5:BT36" si="41">Rdcr_sec*BE5^2</f>
        <v>0.9751724089085374</v>
      </c>
      <c r="BU5" s="528">
        <f t="shared" ref="BU5:BU36" si="42">AJ5^2.5*AN5^2.5*k_core*0+BZ5*0.015</f>
        <v>2.2500000000000002E-10</v>
      </c>
      <c r="BV5" s="528">
        <f t="shared" ref="BV5:BV36" si="43">(BU5+(BS5+BT5)*(1+Ltc*(Ta-25)))/(1-(BS5+BT5)*Ltc*ThetaCa)</f>
        <v>1.3478260872010868</v>
      </c>
      <c r="BW5" s="528">
        <f t="shared" ref="BW5:BW36" si="44">0.5*Lleak*0.000000001*AJ5^2*AN5*1000</f>
        <v>1.2000000000000001E-3</v>
      </c>
      <c r="BX5" s="460">
        <f>1000*(BV5+BW5)</f>
        <v>1349.026087201087</v>
      </c>
      <c r="BY5" s="173">
        <f t="shared" ref="BY5:BY68" si="45">SUM(BM5,BO5:BQ5,BV5, BW5)+BK5+BI5</f>
        <v>1.5859224296418375</v>
      </c>
      <c r="BZ5" s="5">
        <f>MIN(H5,O5)</f>
        <v>1.5000000000000002E-8</v>
      </c>
      <c r="CA5" s="173">
        <f>BZ5/(BZ5+BY5)</f>
        <v>9.4582178659988528E-9</v>
      </c>
      <c r="CB5" s="5">
        <f>CA5*100</f>
        <v>9.4582178659988531E-7</v>
      </c>
      <c r="CE5" s="562">
        <f t="shared" ref="CE5:CE36" si="46">IF(ABS(F5-Ioutmax_Vinnom)&lt;Iout/200, AN5, -50)</f>
        <v>-50</v>
      </c>
      <c r="CF5">
        <f t="shared" ref="CF5:CF36" si="47">IF(ABS(F5-Ioutmax_Vinnom)&lt;Iout/200, N5*CA5, -50)</f>
        <v>-50</v>
      </c>
      <c r="CG5" s="173">
        <f t="shared" ref="CG5:CG36" si="48">MIN(SQRT(2*DU5*1000*Ls1_*CL5)/CU5,1-EA5-0.00000005*DU5*1000)</f>
        <v>4.3817804600413293E-6</v>
      </c>
      <c r="CI5" s="170">
        <v>0.1</v>
      </c>
      <c r="CJ5" s="217">
        <v>1.0000000000000001E-9</v>
      </c>
      <c r="CK5" s="217"/>
      <c r="CL5" s="217">
        <f t="shared" ref="CL5:CL68" si="49">CJ5*Vout</f>
        <v>1.5000000000000002E-8</v>
      </c>
      <c r="CM5" s="541">
        <f t="shared" ref="CM5:CM68" si="50">Vin</f>
        <v>58</v>
      </c>
      <c r="CN5" s="172">
        <f t="shared" ref="CN5:CN68" si="51">(CX5+Vfwd1)*Nps</f>
        <v>15.4</v>
      </c>
      <c r="CO5" s="443">
        <f t="shared" ref="CO5:CO68" si="52">(Vout+Vfwd1)*Nps+CM5</f>
        <v>73.400000000000006</v>
      </c>
      <c r="CP5" s="443"/>
      <c r="CQ5" s="217">
        <f t="shared" ref="CQ5:CQ68" si="53">(Vout+Vfwd1)*Nps/((Vout+Vfwd1)*Nps+CM5)</f>
        <v>0.2098092643051771</v>
      </c>
      <c r="CR5" s="172">
        <f t="shared" ref="CR5:CR68" si="54">CQ5*CM5*(Isw_max+VIN_nom/Lmag*ILIM_delay)*0.5*Efficiency</f>
        <v>305.10568119891008</v>
      </c>
      <c r="CS5" s="172">
        <f>CX5*CJ5</f>
        <v>1.5000000000000002E-8</v>
      </c>
      <c r="CT5" s="217">
        <f t="shared" ref="CT5:CT68" si="55">CR5/Vout</f>
        <v>20.340378746594006</v>
      </c>
      <c r="CU5" s="217">
        <f t="shared" ref="CU5:CU68" si="56">MIN(Vout,CR5/CJ5)</f>
        <v>15</v>
      </c>
      <c r="CV5" s="217">
        <f t="shared" ref="CV5:CV68" si="57">Isw_max/2*CM5*Nps*(CU5+Vfwd1)/CU5/(CM5+Nps*(CU5+Vfwd1))</f>
        <v>20.281562216167121</v>
      </c>
      <c r="CW5" s="172">
        <f t="shared" ref="CW5:CW68" si="58">(SQRT(Isw_max^2*Nps^2*CM5^2+4*Isw_max*CJ5/Efficiency*(Nps^2*Vfwd1*CM5-Nps*CM5^2)+4*(CJ5/Efficiency)^2*Nps^2*Vfwd1^2+8*(CJ5/Efficiency)^2*Nps*Vfwd1*CM5+4*(CJ5/Efficiency)^2*CM5^2)-2*CJ5/Efficiency*CM5-2*CJ5/Efficiency*Nps*Vfwd1+Isw_max*Nps*CM5)/(4*CJ5/Efficiency*Nps)</f>
        <v>1449999999941.9998</v>
      </c>
      <c r="CX5" s="172">
        <f t="shared" ref="CX5:CX68" si="59">MIN(Vout, CW5)</f>
        <v>15</v>
      </c>
      <c r="CY5" s="217">
        <f t="shared" ref="CY5:CY68" si="60">MIN(2*Vout*CJ5/(CM5*CQ5), Isw_max)</f>
        <v>2.4652933273622931E-9</v>
      </c>
      <c r="CZ5" s="217">
        <f t="shared" ref="CZ5:CZ68" si="61">L*CY5/CM5*1000000</f>
        <v>5.1006068841978483E-10</v>
      </c>
      <c r="DA5" s="217">
        <f t="shared" ref="DA5:DA68" si="62">L*CY5/CN5*1000000</f>
        <v>1.9210077875550337E-9</v>
      </c>
      <c r="DB5" s="197">
        <f t="shared" ref="DB5:DB68" si="63">IF(1/((350000*L)*(1/CM5+1/CN5))&gt;Isw_min, 350, 0.001/((Isw_min*L)*(1/CM5+1/CN5)))</f>
        <v>101.4078110808356</v>
      </c>
      <c r="DC5" s="443">
        <f>MIN(1/(CZ5+DA5)*1000, 350)</f>
        <v>350</v>
      </c>
      <c r="DE5" s="217">
        <f t="shared" ref="DE5:DE68" si="64">1/((DB5*1000*L)*(1/CM5+1/CN5))</f>
        <v>10</v>
      </c>
      <c r="DF5" s="173">
        <f t="shared" ref="DF5:DF68" si="65">L*DE5/CN5*1000000</f>
        <v>7.7922077922077913</v>
      </c>
      <c r="DG5" s="173">
        <f t="shared" ref="DG5:DG68" si="66">0.5*DF5*DE5*Nps*DB5/1000</f>
        <v>3.9509536784741139</v>
      </c>
      <c r="DH5" s="173"/>
      <c r="DI5" s="173">
        <f t="shared" ref="DI5:DI68" si="67">L*Isw_min/CN5*1000000</f>
        <v>7.7922077922077913</v>
      </c>
      <c r="DJ5" s="545">
        <f>MAX(12, CJ5/(0.5*DI5/1000000*Isw_min*Nps)/1000)</f>
        <v>12</v>
      </c>
      <c r="DK5" s="528">
        <f t="shared" ref="DK5:DK68" si="68">0.5*DI5/1000000*Isw_min*Nps*DB5*1000</f>
        <v>3.9509536784741139</v>
      </c>
      <c r="DM5" s="173">
        <f t="shared" ref="DM5:DM68" si="69">SQRT(CJ5/Efficiency/(0.5*L/CN5*Fsw_DCM*Nps))</f>
        <v>8.5634883857767534E-5</v>
      </c>
      <c r="DN5" s="173">
        <f t="shared" ref="DN5:DN68" si="70">MAX(IF(CJ5&gt;DG5,CY5,DM5),Isw_min)</f>
        <v>10</v>
      </c>
      <c r="DO5" s="173">
        <f t="shared" ref="DO5:DO68" si="71">IF(CJ5&gt;DK5, (DN5-Isw_min)/1.08*0.8+1.2, DJ5*0.2/350+1)</f>
        <v>1.0068571428571429</v>
      </c>
      <c r="DQ5" s="545">
        <f t="shared" ref="DQ5:DQ68" si="72">CJ5*1000</f>
        <v>1.0000000000000002E-6</v>
      </c>
      <c r="DR5" s="460">
        <f t="shared" ref="DR5:DR68" si="73">IF(CJ5&gt;DK5, DC5, DJ5)</f>
        <v>12</v>
      </c>
      <c r="DT5">
        <f t="shared" ref="DT5:DT68" si="74">IF(CL5&gt;CR5, "",DQ5)</f>
        <v>1.0000000000000002E-6</v>
      </c>
      <c r="DU5" s="460">
        <f t="shared" ref="DU5:DU68" si="75">IF(CL5&gt;CR5, "",DR5)</f>
        <v>12</v>
      </c>
      <c r="DV5" s="460"/>
      <c r="DW5" s="5">
        <f>1/DR5*1000</f>
        <v>83.333333333333329</v>
      </c>
      <c r="DX5" s="5">
        <f t="shared" ref="DX5:DX68" si="76">L*DN5/CM5*1000000</f>
        <v>2.068965517241379</v>
      </c>
      <c r="DY5" s="5">
        <f>DW5-DX5</f>
        <v>81.264367816091948</v>
      </c>
      <c r="DZ5" s="5">
        <f t="shared" ref="DZ5:DZ68" si="77">L*DN5/CN5*1000000</f>
        <v>7.7922077922077913</v>
      </c>
      <c r="EA5" s="173">
        <f>DX5/DW5</f>
        <v>2.4827586206896551E-2</v>
      </c>
      <c r="EB5" s="173">
        <f t="shared" ref="EB5:EB68" si="78">0.5*L*DN5^2*DR5*1000</f>
        <v>7.2000000000000011</v>
      </c>
      <c r="EC5" s="173">
        <f t="shared" ref="EC5:EC68" si="79">DN5*Nps/2*(1-EA5)</f>
        <v>4.8758620689655174</v>
      </c>
      <c r="ED5" s="173">
        <f>EB5/EC5</f>
        <v>1.4766619519094768</v>
      </c>
      <c r="EE5" s="460">
        <f t="shared" ref="EE5:EE68" si="80">CJ5*DX5/Vout_ripple*1000</f>
        <v>1.3793103448275862E-8</v>
      </c>
      <c r="EF5" s="5">
        <f t="shared" ref="EF5:EF68" si="81">CL5/Efficiency/CM5*DY5/Vinripple1</f>
        <v>7.247119603099758E-9</v>
      </c>
      <c r="EG5" s="5"/>
      <c r="EH5" s="173">
        <f>DN5*SQRT(EA5/3)</f>
        <v>0.90971765229468415</v>
      </c>
      <c r="EI5" s="173">
        <f t="shared" ref="EI5:EI68" si="82">DN5*Nps*SQRT((1-EA5)/3)</f>
        <v>5.7013811595469379</v>
      </c>
      <c r="EJ5" s="173"/>
      <c r="EK5" s="528">
        <f t="shared" ref="EK5:EK68" si="83">Rdson*EH5^2</f>
        <v>1.6551724137931038E-2</v>
      </c>
      <c r="EL5" s="528">
        <f t="shared" ref="EL5:EL68" si="84">0.5*CO5*DN5*DR5*1000*Trise</f>
        <v>0.17616000000000001</v>
      </c>
      <c r="EM5" s="528">
        <f t="shared" ref="EM5:EM68" si="85">Qg*Vdd*DR5*1000</f>
        <v>1.5E-3</v>
      </c>
      <c r="EN5" s="528">
        <f t="shared" ref="EN5:EN68" si="86">0.5*(Coss+Csw)*CO5^2*DR5*1000</f>
        <v>6.4650720000000014E-3</v>
      </c>
      <c r="EO5">
        <f t="shared" ref="EO5:EO68" si="87">CM5*IQ</f>
        <v>2.6099999999999998E-2</v>
      </c>
      <c r="EP5" s="460">
        <f>(EO5+EM5)*1000</f>
        <v>27.599999999999998</v>
      </c>
      <c r="EQ5" s="528">
        <f t="shared" ref="EQ5:EQ68" si="88">(EL5+EM5+EN5+EO5+EK5*(1+RdsonTC*(Ta-25)))/(1-EK5*RdsonTC*ThetaJA)</f>
        <v>0.23215877004849975</v>
      </c>
      <c r="ER5" s="460">
        <f>EQ5*1000</f>
        <v>232.15877004849975</v>
      </c>
      <c r="ES5" s="528">
        <f>Vfwd2*CJ5*(1+Diode_TC/1000*(Ta-25))</f>
        <v>6.212499999999999E-10</v>
      </c>
      <c r="ET5" s="528"/>
      <c r="EV5" s="460">
        <f>SUM(ES5:EU5)*1000</f>
        <v>6.2124999999999988E-7</v>
      </c>
      <c r="EW5" s="528">
        <f t="shared" ref="EW5:EW68" si="89">Rdcr_pri*EH5^2</f>
        <v>2.4827586206896554E-2</v>
      </c>
      <c r="EX5" s="528">
        <f t="shared" ref="EX5:EX68" si="90">Rdcr_sec*EI5^2</f>
        <v>0.9751724137931036</v>
      </c>
      <c r="EY5" s="528">
        <f t="shared" ref="EY5:EY68" si="91">DN5^2.5*DR5^2.5*k_core</f>
        <v>7.8872048280743991E-3</v>
      </c>
      <c r="EZ5" s="528">
        <f t="shared" ref="EZ5:EZ68" si="92">(EY5+(EW5+EX5)*(1+Ltc*(Ta-25)))/(1-(EW5+EX5)*Ltc*ThetaCa)</f>
        <v>1.3563991356826899</v>
      </c>
      <c r="FA5" s="528">
        <f t="shared" ref="FA5:FA68" si="93">0.5*Lleak*0.000000001*DN5^2*DR5*1000</f>
        <v>1.2000000000000001E-3</v>
      </c>
      <c r="FB5" s="460">
        <f>1000*(EZ5+FA5)</f>
        <v>1357.5991356826901</v>
      </c>
      <c r="FC5" s="173">
        <f>SUM(EQ5,ES5:EU5,EZ5, FA5)</f>
        <v>1.5897579063524396</v>
      </c>
      <c r="FD5" s="5">
        <f>MIN(CL5,CS5)</f>
        <v>1.5000000000000002E-8</v>
      </c>
      <c r="FE5" s="173">
        <f>FD5/(FD5+FC5)</f>
        <v>9.4353988104297015E-9</v>
      </c>
      <c r="FF5" s="5">
        <f>FE5*100</f>
        <v>9.4353988104297018E-7</v>
      </c>
      <c r="FI5" s="562">
        <f t="shared" ref="FI5:FI68" si="94">IF(ABS(CJ5-Ioutmax_Vinnom)&lt;Iout/200, DR5, -50)</f>
        <v>-50</v>
      </c>
      <c r="FJ5">
        <f t="shared" ref="FJ5:FJ68" si="95">IF(ABS(CJ5-Ioutmax_Vinnom)&lt;Iout/200, CR5*FE5, -50)</f>
        <v>-50</v>
      </c>
      <c r="FL5">
        <f t="shared" ref="FL5:FL36" si="96">MIN(SQRT(2*L*DR5*1000*CJ5*(CX5+Vfwd1))/(Nps*(CX5+Vfwd1)), 1-EA5)</f>
        <v>4.3244998209386832E-6</v>
      </c>
    </row>
    <row r="6" spans="2:168">
      <c r="E6" s="170">
        <v>1</v>
      </c>
      <c r="F6" s="217">
        <f t="shared" ref="F6:F37" si="97">IF(PLOT_TYPE=1, E6/100*Iout_max, min_I*EXP(N6*rr/100))</f>
        <v>0.1</v>
      </c>
      <c r="G6" s="217"/>
      <c r="H6" s="217">
        <f t="shared" si="0"/>
        <v>1.5</v>
      </c>
      <c r="I6" s="541">
        <f t="shared" si="1"/>
        <v>57.885891133853093</v>
      </c>
      <c r="J6" s="172">
        <f t="shared" si="2"/>
        <v>15.468465319688146</v>
      </c>
      <c r="K6" s="172">
        <f t="shared" si="3"/>
        <v>73.46846531968815</v>
      </c>
      <c r="L6" s="443"/>
      <c r="M6" s="217">
        <f t="shared" si="4"/>
        <v>0.21088292079963544</v>
      </c>
      <c r="N6" s="172">
        <f t="shared" si="5"/>
        <v>306.0636629550828</v>
      </c>
      <c r="O6" s="172">
        <f t="shared" ref="O6:O69" si="98">T6*F6</f>
        <v>1.5</v>
      </c>
      <c r="P6" s="217">
        <f t="shared" si="6"/>
        <v>20.404244197005521</v>
      </c>
      <c r="Q6" s="217">
        <f t="shared" si="7"/>
        <v>15</v>
      </c>
      <c r="R6" s="217">
        <f t="shared" si="8"/>
        <v>20.345242992327766</v>
      </c>
      <c r="S6" s="172">
        <f t="shared" si="9"/>
        <v>14413.588498710364</v>
      </c>
      <c r="T6" s="172">
        <f t="shared" si="10"/>
        <v>15</v>
      </c>
      <c r="U6" s="217">
        <f t="shared" ref="U6:U36" si="99">MIN(2*(Vout+Vfwd1+F6/FL6*Rdcr_sec)*F6/(I6*M6), Isw_max)</f>
        <v>0.25344781563043328</v>
      </c>
      <c r="V6" s="217">
        <f t="shared" si="11"/>
        <v>5.2540847657202759E-2</v>
      </c>
      <c r="W6" s="217">
        <f t="shared" si="12"/>
        <v>0.19661768150290654</v>
      </c>
      <c r="X6" s="197">
        <f t="shared" si="13"/>
        <v>101.72150898658086</v>
      </c>
      <c r="Y6" s="443">
        <f t="shared" si="14"/>
        <v>350</v>
      </c>
      <c r="AA6" s="217">
        <f t="shared" si="15"/>
        <v>10.000000000000002</v>
      </c>
      <c r="AB6" s="173">
        <f t="shared" si="16"/>
        <v>7.7577185273360598</v>
      </c>
      <c r="AC6" s="173">
        <f t="shared" si="17"/>
        <v>3.9456341744688999</v>
      </c>
      <c r="AD6" s="173"/>
      <c r="AE6" s="173">
        <f t="shared" si="18"/>
        <v>7.757718527336058</v>
      </c>
      <c r="AF6" s="545">
        <f t="shared" ref="AF6:AF36" si="100">MAX(12, F6/(0.5*AE6/1000000*Isw_min*Nps)/1000)</f>
        <v>12</v>
      </c>
      <c r="AG6" s="528">
        <f t="shared" si="19"/>
        <v>3.9456341744688985</v>
      </c>
      <c r="AI6" s="173">
        <f t="shared" si="20"/>
        <v>0.85825030536074765</v>
      </c>
      <c r="AJ6" s="173">
        <f t="shared" si="21"/>
        <v>10</v>
      </c>
      <c r="AK6" s="173">
        <f t="shared" si="22"/>
        <v>1.0068571428571429</v>
      </c>
      <c r="AM6" s="545">
        <f t="shared" si="23"/>
        <v>100</v>
      </c>
      <c r="AN6" s="460">
        <f t="shared" si="24"/>
        <v>12</v>
      </c>
      <c r="AP6">
        <f t="shared" si="25"/>
        <v>100</v>
      </c>
      <c r="AQ6" s="460">
        <f t="shared" si="26"/>
        <v>12</v>
      </c>
      <c r="AR6" s="460"/>
      <c r="AS6" s="5">
        <f t="shared" ref="AS6:AS69" si="101">1/AN6*1000</f>
        <v>83.333333333333329</v>
      </c>
      <c r="AT6" s="5">
        <f t="shared" si="27"/>
        <v>2.0730440120981579</v>
      </c>
      <c r="AU6" s="5">
        <f t="shared" ref="AU6:AU69" si="102">AS6-AT6</f>
        <v>81.260289321235177</v>
      </c>
      <c r="AV6" s="5">
        <f t="shared" si="28"/>
        <v>7.757718527336058</v>
      </c>
      <c r="AW6" s="173">
        <f t="shared" ref="AW6:AW69" si="103">AT6/AS6</f>
        <v>2.4876528145177896E-2</v>
      </c>
      <c r="AX6" s="173">
        <f t="shared" si="29"/>
        <v>7.2000000000000011</v>
      </c>
      <c r="AY6" s="173">
        <f t="shared" si="30"/>
        <v>4.8756173592741101</v>
      </c>
      <c r="AZ6" s="173">
        <f t="shared" ref="AZ6:AZ69" si="104">AX6/AY6</f>
        <v>1.4767360663167277</v>
      </c>
      <c r="BA6" s="460">
        <f t="shared" si="31"/>
        <v>1.3820293413987721</v>
      </c>
      <c r="BB6" s="5">
        <f t="shared" si="32"/>
        <v>0.72610412154633808</v>
      </c>
      <c r="BC6" s="5"/>
      <c r="BD6" s="173">
        <f t="shared" ref="BD6:BD69" si="105">AJ6*SQRT(AW6/3)</f>
        <v>0.91061386154575041</v>
      </c>
      <c r="BE6" s="173">
        <f t="shared" si="33"/>
        <v>5.7012380873363</v>
      </c>
      <c r="BF6" s="173"/>
      <c r="BG6" s="528">
        <f t="shared" si="34"/>
        <v>1.6584352096785264E-2</v>
      </c>
      <c r="BH6" s="528">
        <f t="shared" si="35"/>
        <v>0.16530404696929835</v>
      </c>
      <c r="BI6" s="528">
        <f t="shared" si="36"/>
        <v>1.7365767340155928E-2</v>
      </c>
      <c r="BJ6" s="528">
        <f t="shared" si="37"/>
        <v>6.4771384757162645E-3</v>
      </c>
      <c r="BK6">
        <f t="shared" si="38"/>
        <v>2.6048651010233893E-2</v>
      </c>
      <c r="BL6" s="460">
        <f t="shared" ref="BL6:BL69" si="106">(BK6+BI6)*1000</f>
        <v>43.414418350389823</v>
      </c>
      <c r="BM6" s="528">
        <f t="shared" si="39"/>
        <v>0.19360620664733286</v>
      </c>
      <c r="BN6" s="460">
        <f t="shared" ref="BN6:BN69" si="107">BM6*1000</f>
        <v>193.60620664733287</v>
      </c>
      <c r="BO6" s="528">
        <f t="shared" ref="BO6:BO36" si="108">Vfwd2*F6*(1+Diode_TC/1000*(Ta-25))</f>
        <v>6.2124999999999993E-2</v>
      </c>
      <c r="BP6" s="528"/>
      <c r="BR6" s="460">
        <f t="shared" ref="BR6:BR69" si="109">SUM(BO6:BQ6)*1000</f>
        <v>62.124999999999993</v>
      </c>
      <c r="BS6" s="528">
        <f t="shared" si="40"/>
        <v>2.4876528145177892E-2</v>
      </c>
      <c r="BT6" s="528">
        <f t="shared" si="41"/>
        <v>0.97512347185482207</v>
      </c>
      <c r="BU6" s="528">
        <f t="shared" si="42"/>
        <v>2.2499999999999999E-2</v>
      </c>
      <c r="BV6" s="528">
        <f t="shared" si="43"/>
        <v>1.3722826086956521</v>
      </c>
      <c r="BW6" s="528">
        <f t="shared" si="44"/>
        <v>1.2000000000000001E-3</v>
      </c>
      <c r="BX6" s="460">
        <f t="shared" ref="BX6:BX69" si="110">1000*(BV6+BW6)</f>
        <v>1373.4826086956523</v>
      </c>
      <c r="BY6" s="173">
        <f t="shared" si="45"/>
        <v>1.6726282336933747</v>
      </c>
      <c r="BZ6" s="5">
        <f t="shared" ref="BZ6:BZ69" si="111">MIN(H6,O6)</f>
        <v>1.5</v>
      </c>
      <c r="CA6" s="173">
        <f t="shared" ref="CA6:CA69" si="112">BZ6/(BZ6+BY6)</f>
        <v>0.47279412824672312</v>
      </c>
      <c r="CB6" s="5">
        <f t="shared" ref="CB6:CB69" si="113">CA6*100</f>
        <v>47.279412824672313</v>
      </c>
      <c r="CE6" s="562">
        <f t="shared" si="46"/>
        <v>-50</v>
      </c>
      <c r="CF6">
        <f t="shared" si="47"/>
        <v>-50</v>
      </c>
      <c r="CG6" s="173">
        <f t="shared" si="48"/>
        <v>4.381780460041329E-2</v>
      </c>
      <c r="CI6" s="170">
        <v>1</v>
      </c>
      <c r="CJ6" s="217">
        <f t="shared" ref="CJ6:CJ69" si="114">IF(PLOT_TYPE=1, CI6/100*Iout_max, min_I*EXP(CR6*rr/100))</f>
        <v>0.1</v>
      </c>
      <c r="CK6" s="217"/>
      <c r="CL6" s="217">
        <f t="shared" si="49"/>
        <v>1.5</v>
      </c>
      <c r="CM6" s="541">
        <f t="shared" si="50"/>
        <v>58</v>
      </c>
      <c r="CN6" s="172">
        <f t="shared" si="51"/>
        <v>15.4</v>
      </c>
      <c r="CO6" s="443">
        <f t="shared" si="52"/>
        <v>73.400000000000006</v>
      </c>
      <c r="CP6" s="443"/>
      <c r="CQ6" s="217">
        <f t="shared" si="53"/>
        <v>0.2098092643051771</v>
      </c>
      <c r="CR6" s="172">
        <f t="shared" si="54"/>
        <v>305.10568119891008</v>
      </c>
      <c r="CS6" s="172">
        <f t="shared" ref="CS6:CS69" si="115">CX6*CJ6</f>
        <v>1.5</v>
      </c>
      <c r="CT6" s="217">
        <f t="shared" si="55"/>
        <v>20.340378746594006</v>
      </c>
      <c r="CU6" s="217">
        <f t="shared" si="56"/>
        <v>15</v>
      </c>
      <c r="CV6" s="217">
        <f t="shared" si="57"/>
        <v>20.281562216167121</v>
      </c>
      <c r="CW6" s="172">
        <f t="shared" si="58"/>
        <v>14442.001606381031</v>
      </c>
      <c r="CX6" s="172">
        <f t="shared" si="59"/>
        <v>15</v>
      </c>
      <c r="CY6" s="217">
        <f t="shared" si="60"/>
        <v>0.24652933273622929</v>
      </c>
      <c r="CZ6" s="217">
        <f t="shared" si="61"/>
        <v>5.1006068841978482E-2</v>
      </c>
      <c r="DA6" s="217">
        <f t="shared" si="62"/>
        <v>0.19210077875550335</v>
      </c>
      <c r="DB6" s="197">
        <f t="shared" si="63"/>
        <v>101.4078110808356</v>
      </c>
      <c r="DC6" s="443">
        <f t="shared" ref="DC6:DC69" si="116">MIN(1/(CZ6+DA6)*1000, 350)</f>
        <v>350</v>
      </c>
      <c r="DE6" s="217">
        <f t="shared" si="64"/>
        <v>10</v>
      </c>
      <c r="DF6" s="173">
        <f t="shared" si="65"/>
        <v>7.7922077922077913</v>
      </c>
      <c r="DG6" s="173">
        <f t="shared" si="66"/>
        <v>3.9509536784741139</v>
      </c>
      <c r="DH6" s="173"/>
      <c r="DI6" s="173">
        <f t="shared" si="67"/>
        <v>7.7922077922077913</v>
      </c>
      <c r="DJ6" s="545">
        <f t="shared" ref="DJ6:DJ69" si="117">MAX(12, CJ6/(0.5*DI6/1000000*Isw_min*Nps)/1000)</f>
        <v>12</v>
      </c>
      <c r="DK6" s="528">
        <f t="shared" si="68"/>
        <v>3.9509536784741139</v>
      </c>
      <c r="DM6" s="173">
        <f t="shared" si="69"/>
        <v>0.8563488385776753</v>
      </c>
      <c r="DN6" s="173">
        <f t="shared" si="70"/>
        <v>10</v>
      </c>
      <c r="DO6" s="173">
        <f t="shared" si="71"/>
        <v>1.0068571428571429</v>
      </c>
      <c r="DQ6" s="545">
        <f t="shared" si="72"/>
        <v>100</v>
      </c>
      <c r="DR6" s="460">
        <f t="shared" si="73"/>
        <v>12</v>
      </c>
      <c r="DT6">
        <f t="shared" si="74"/>
        <v>100</v>
      </c>
      <c r="DU6" s="460">
        <f t="shared" si="75"/>
        <v>12</v>
      </c>
      <c r="DV6" s="460"/>
      <c r="DW6" s="5">
        <f t="shared" ref="DW6:DW69" si="118">1/DR6*1000</f>
        <v>83.333333333333329</v>
      </c>
      <c r="DX6" s="5">
        <f t="shared" si="76"/>
        <v>2.068965517241379</v>
      </c>
      <c r="DY6" s="5">
        <f t="shared" ref="DY6:DY69" si="119">DW6-DX6</f>
        <v>81.264367816091948</v>
      </c>
      <c r="DZ6" s="5">
        <f t="shared" si="77"/>
        <v>7.7922077922077913</v>
      </c>
      <c r="EA6" s="173">
        <f t="shared" ref="EA6:EA69" si="120">DX6/DW6</f>
        <v>2.4827586206896551E-2</v>
      </c>
      <c r="EB6" s="173">
        <f t="shared" si="78"/>
        <v>7.2000000000000011</v>
      </c>
      <c r="EC6" s="173">
        <f t="shared" si="79"/>
        <v>4.8758620689655174</v>
      </c>
      <c r="ED6" s="173">
        <f t="shared" ref="ED6:ED69" si="121">EB6/EC6</f>
        <v>1.4766619519094768</v>
      </c>
      <c r="EE6" s="460">
        <f t="shared" si="80"/>
        <v>1.3793103448275861</v>
      </c>
      <c r="EF6" s="5">
        <f t="shared" si="81"/>
        <v>0.72471196030997564</v>
      </c>
      <c r="EG6" s="5"/>
      <c r="EH6" s="173">
        <f t="shared" ref="EH6:EH69" si="122">DN6*SQRT(EA6/3)</f>
        <v>0.90971765229468415</v>
      </c>
      <c r="EI6" s="173">
        <f t="shared" si="82"/>
        <v>5.7013811595469379</v>
      </c>
      <c r="EJ6" s="173"/>
      <c r="EK6" s="528">
        <f t="shared" si="83"/>
        <v>1.6551724137931038E-2</v>
      </c>
      <c r="EL6" s="528">
        <f t="shared" si="84"/>
        <v>0.17616000000000001</v>
      </c>
      <c r="EM6" s="528">
        <f t="shared" si="85"/>
        <v>1.5E-3</v>
      </c>
      <c r="EN6" s="528">
        <f t="shared" si="86"/>
        <v>6.4650720000000014E-3</v>
      </c>
      <c r="EO6">
        <f t="shared" si="87"/>
        <v>2.6099999999999998E-2</v>
      </c>
      <c r="EP6" s="460">
        <f t="shared" ref="EP6:EP69" si="123">(EO6+EM6)*1000</f>
        <v>27.599999999999998</v>
      </c>
      <c r="EQ6" s="528">
        <f t="shared" si="88"/>
        <v>0.23215877004849975</v>
      </c>
      <c r="ER6" s="460">
        <f t="shared" ref="ER6:ER69" si="124">EQ6*1000</f>
        <v>232.15877004849975</v>
      </c>
      <c r="ES6" s="528">
        <f t="shared" ref="ES6:ES69" si="125">Vfwd2*CJ6*(1+Diode_TC/1000*(Ta-25))</f>
        <v>6.2124999999999993E-2</v>
      </c>
      <c r="ET6" s="528"/>
      <c r="EV6" s="460">
        <f t="shared" ref="EV6:EV69" si="126">SUM(ES6:EU6)*1000</f>
        <v>62.124999999999993</v>
      </c>
      <c r="EW6" s="528">
        <f t="shared" si="89"/>
        <v>2.4827586206896554E-2</v>
      </c>
      <c r="EX6" s="528">
        <f t="shared" si="90"/>
        <v>0.9751724137931036</v>
      </c>
      <c r="EY6" s="528">
        <f t="shared" si="91"/>
        <v>7.8872048280743991E-3</v>
      </c>
      <c r="EZ6" s="528">
        <f t="shared" si="92"/>
        <v>1.3563991356826899</v>
      </c>
      <c r="FA6" s="528">
        <f t="shared" si="93"/>
        <v>1.2000000000000001E-3</v>
      </c>
      <c r="FB6" s="460">
        <f t="shared" ref="FB6:FB69" si="127">1000*(EZ6+FA6)</f>
        <v>1357.5991356826901</v>
      </c>
      <c r="FC6" s="173">
        <f t="shared" ref="FC6:FC69" si="128">SUM(EQ6,ES6:EU6,EZ6, FA6)</f>
        <v>1.6518829057311897</v>
      </c>
      <c r="FD6" s="5">
        <f t="shared" ref="FD6:FD69" si="129">MIN(CL6,CS6)</f>
        <v>1.5</v>
      </c>
      <c r="FE6" s="173">
        <f t="shared" ref="FE6:FE69" si="130">FD6/(FD6+FC6)</f>
        <v>0.47590600439898717</v>
      </c>
      <c r="FF6" s="5">
        <f t="shared" ref="FF6:FF69" si="131">FE6*100</f>
        <v>47.590600439898715</v>
      </c>
      <c r="FI6" s="562">
        <f t="shared" si="94"/>
        <v>-50</v>
      </c>
      <c r="FJ6">
        <f t="shared" si="95"/>
        <v>-50</v>
      </c>
      <c r="FL6">
        <f t="shared" si="96"/>
        <v>4.3244998209386834E-2</v>
      </c>
    </row>
    <row r="7" spans="2:168">
      <c r="E7" s="170">
        <v>2</v>
      </c>
      <c r="F7" s="217">
        <f t="shared" si="97"/>
        <v>0.2</v>
      </c>
      <c r="G7" s="217"/>
      <c r="H7" s="217">
        <f t="shared" si="0"/>
        <v>3</v>
      </c>
      <c r="I7" s="541">
        <f t="shared" si="1"/>
        <v>57.838625693908021</v>
      </c>
      <c r="J7" s="172">
        <f t="shared" si="2"/>
        <v>15.496824583655187</v>
      </c>
      <c r="K7" s="172">
        <f t="shared" si="3"/>
        <v>73.496824583655183</v>
      </c>
      <c r="L7" s="443"/>
      <c r="M7" s="217">
        <f t="shared" si="4"/>
        <v>0.21132802754128235</v>
      </c>
      <c r="N7" s="172">
        <f t="shared" si="5"/>
        <v>306.45922898436334</v>
      </c>
      <c r="O7" s="172">
        <f t="shared" si="98"/>
        <v>3</v>
      </c>
      <c r="P7" s="217">
        <f t="shared" si="6"/>
        <v>20.430615265624223</v>
      </c>
      <c r="Q7" s="217">
        <f t="shared" si="7"/>
        <v>15</v>
      </c>
      <c r="R7" s="217">
        <f t="shared" si="8"/>
        <v>20.371537805986861</v>
      </c>
      <c r="S7" s="172">
        <f t="shared" si="9"/>
        <v>7171.9928116696947</v>
      </c>
      <c r="T7" s="172">
        <f t="shared" si="10"/>
        <v>15</v>
      </c>
      <c r="U7" s="217">
        <f t="shared" si="99"/>
        <v>0.50718171048095373</v>
      </c>
      <c r="V7" s="217">
        <f t="shared" si="11"/>
        <v>0.10522692150364295</v>
      </c>
      <c r="W7" s="217">
        <f t="shared" si="12"/>
        <v>0.39273726645848872</v>
      </c>
      <c r="X7" s="197">
        <f t="shared" si="13"/>
        <v>101.85104124787446</v>
      </c>
      <c r="Y7" s="443">
        <f t="shared" si="14"/>
        <v>350</v>
      </c>
      <c r="AA7" s="217">
        <f t="shared" si="15"/>
        <v>9.9999999999999982</v>
      </c>
      <c r="AB7" s="173">
        <f t="shared" si="16"/>
        <v>7.7435218648965289</v>
      </c>
      <c r="AC7" s="173">
        <f t="shared" si="17"/>
        <v>3.9434288243269702</v>
      </c>
      <c r="AD7" s="173"/>
      <c r="AE7" s="173">
        <f t="shared" si="18"/>
        <v>7.7435218648965307</v>
      </c>
      <c r="AF7" s="545">
        <f t="shared" si="100"/>
        <v>12</v>
      </c>
      <c r="AG7" s="528">
        <f t="shared" si="19"/>
        <v>3.9434288243269711</v>
      </c>
      <c r="AI7" s="173">
        <f t="shared" si="20"/>
        <v>1.2148613318342998</v>
      </c>
      <c r="AJ7" s="173">
        <f t="shared" si="21"/>
        <v>10</v>
      </c>
      <c r="AK7" s="173">
        <f t="shared" si="22"/>
        <v>1.0068571428571429</v>
      </c>
      <c r="AM7" s="545">
        <f t="shared" si="23"/>
        <v>200</v>
      </c>
      <c r="AN7" s="460">
        <f t="shared" si="24"/>
        <v>12</v>
      </c>
      <c r="AP7">
        <f t="shared" si="25"/>
        <v>200</v>
      </c>
      <c r="AQ7" s="460">
        <f t="shared" si="26"/>
        <v>12</v>
      </c>
      <c r="AR7" s="460"/>
      <c r="AS7" s="5">
        <f t="shared" si="101"/>
        <v>83.333333333333329</v>
      </c>
      <c r="AT7" s="5">
        <f t="shared" si="27"/>
        <v>2.0747380934509176</v>
      </c>
      <c r="AU7" s="5">
        <f t="shared" si="102"/>
        <v>81.258595239882411</v>
      </c>
      <c r="AV7" s="5">
        <f t="shared" si="28"/>
        <v>7.7435218648965307</v>
      </c>
      <c r="AW7" s="173">
        <f t="shared" si="103"/>
        <v>2.4896857121411015E-2</v>
      </c>
      <c r="AX7" s="173">
        <f t="shared" si="29"/>
        <v>7.2000000000000011</v>
      </c>
      <c r="AY7" s="173">
        <f t="shared" si="30"/>
        <v>4.8755157143929448</v>
      </c>
      <c r="AZ7" s="173">
        <f t="shared" si="104"/>
        <v>1.476766853349478</v>
      </c>
      <c r="BA7" s="460">
        <f t="shared" si="31"/>
        <v>2.7663174579345569</v>
      </c>
      <c r="BB7" s="5">
        <f t="shared" si="32"/>
        <v>1.4533646807283918</v>
      </c>
      <c r="BC7" s="5"/>
      <c r="BD7" s="173">
        <f t="shared" si="105"/>
        <v>0.91098586014293725</v>
      </c>
      <c r="BE7" s="173">
        <f t="shared" si="33"/>
        <v>5.7011786584839612</v>
      </c>
      <c r="BF7" s="173"/>
      <c r="BG7" s="528">
        <f t="shared" si="34"/>
        <v>1.6597904747607344E-2</v>
      </c>
      <c r="BH7" s="528">
        <f t="shared" si="35"/>
        <v>0.16536785531322418</v>
      </c>
      <c r="BI7" s="528">
        <f t="shared" si="36"/>
        <v>1.7351587708172408E-2</v>
      </c>
      <c r="BJ7" s="528">
        <f t="shared" si="37"/>
        <v>6.4821398686566974E-3</v>
      </c>
      <c r="BK7">
        <f t="shared" si="38"/>
        <v>2.602738156225861E-2</v>
      </c>
      <c r="BL7" s="460">
        <f t="shared" si="106"/>
        <v>43.378969270431014</v>
      </c>
      <c r="BM7" s="528">
        <f t="shared" si="39"/>
        <v>0.19369319473562627</v>
      </c>
      <c r="BN7" s="460">
        <f t="shared" si="107"/>
        <v>193.69319473562626</v>
      </c>
      <c r="BO7" s="528">
        <f t="shared" si="108"/>
        <v>0.12424999999999999</v>
      </c>
      <c r="BP7" s="528"/>
      <c r="BR7" s="460">
        <f t="shared" si="109"/>
        <v>124.24999999999999</v>
      </c>
      <c r="BS7" s="528">
        <f t="shared" si="40"/>
        <v>2.4896857121411015E-2</v>
      </c>
      <c r="BT7" s="528">
        <f t="shared" si="41"/>
        <v>0.97510314287858935</v>
      </c>
      <c r="BU7" s="528">
        <f t="shared" si="42"/>
        <v>4.4999999999999998E-2</v>
      </c>
      <c r="BV7" s="528">
        <f t="shared" si="43"/>
        <v>1.3967391304347831</v>
      </c>
      <c r="BW7" s="528">
        <f t="shared" si="44"/>
        <v>1.2000000000000001E-3</v>
      </c>
      <c r="BX7" s="460">
        <f t="shared" si="110"/>
        <v>1397.9391304347832</v>
      </c>
      <c r="BY7" s="173">
        <f t="shared" si="45"/>
        <v>1.7592612944408408</v>
      </c>
      <c r="BZ7" s="5">
        <f t="shared" si="111"/>
        <v>3</v>
      </c>
      <c r="CA7" s="173">
        <f t="shared" si="112"/>
        <v>0.63034992499870002</v>
      </c>
      <c r="CB7" s="5">
        <f t="shared" si="113"/>
        <v>63.03499249987</v>
      </c>
      <c r="CE7" s="562">
        <f t="shared" si="46"/>
        <v>-50</v>
      </c>
      <c r="CF7">
        <f t="shared" si="47"/>
        <v>-50</v>
      </c>
      <c r="CG7" s="173">
        <f t="shared" si="48"/>
        <v>6.1967733539318677E-2</v>
      </c>
      <c r="CI7" s="170">
        <v>2</v>
      </c>
      <c r="CJ7" s="217">
        <f t="shared" si="114"/>
        <v>0.2</v>
      </c>
      <c r="CK7" s="217"/>
      <c r="CL7" s="217">
        <f t="shared" si="49"/>
        <v>3</v>
      </c>
      <c r="CM7" s="541">
        <f t="shared" si="50"/>
        <v>58</v>
      </c>
      <c r="CN7" s="172">
        <f t="shared" si="51"/>
        <v>15.4</v>
      </c>
      <c r="CO7" s="443">
        <f t="shared" si="52"/>
        <v>73.400000000000006</v>
      </c>
      <c r="CP7" s="443"/>
      <c r="CQ7" s="217">
        <f t="shared" si="53"/>
        <v>0.2098092643051771</v>
      </c>
      <c r="CR7" s="172">
        <f t="shared" si="54"/>
        <v>305.10568119891008</v>
      </c>
      <c r="CS7" s="172">
        <f t="shared" si="115"/>
        <v>3</v>
      </c>
      <c r="CT7" s="217">
        <f t="shared" si="55"/>
        <v>20.340378746594006</v>
      </c>
      <c r="CU7" s="217">
        <f t="shared" si="56"/>
        <v>15</v>
      </c>
      <c r="CV7" s="217">
        <f t="shared" si="57"/>
        <v>20.281562216167121</v>
      </c>
      <c r="CW7" s="172">
        <f t="shared" si="58"/>
        <v>7192.0032256256045</v>
      </c>
      <c r="CX7" s="172">
        <f t="shared" si="59"/>
        <v>15</v>
      </c>
      <c r="CY7" s="217">
        <f t="shared" si="60"/>
        <v>0.49305866547245858</v>
      </c>
      <c r="CZ7" s="217">
        <f t="shared" si="61"/>
        <v>0.10201213768395696</v>
      </c>
      <c r="DA7" s="217">
        <f t="shared" si="62"/>
        <v>0.38420155751100671</v>
      </c>
      <c r="DB7" s="197">
        <f t="shared" si="63"/>
        <v>101.4078110808356</v>
      </c>
      <c r="DC7" s="443">
        <f t="shared" si="116"/>
        <v>350</v>
      </c>
      <c r="DE7" s="217">
        <f t="shared" si="64"/>
        <v>10</v>
      </c>
      <c r="DF7" s="173">
        <f t="shared" si="65"/>
        <v>7.7922077922077913</v>
      </c>
      <c r="DG7" s="173">
        <f t="shared" si="66"/>
        <v>3.9509536784741139</v>
      </c>
      <c r="DH7" s="173"/>
      <c r="DI7" s="173">
        <f t="shared" si="67"/>
        <v>7.7922077922077913</v>
      </c>
      <c r="DJ7" s="545">
        <f t="shared" si="117"/>
        <v>12</v>
      </c>
      <c r="DK7" s="528">
        <f t="shared" si="68"/>
        <v>3.9509536784741139</v>
      </c>
      <c r="DM7" s="173">
        <f t="shared" si="69"/>
        <v>1.2110601416389968</v>
      </c>
      <c r="DN7" s="173">
        <f t="shared" si="70"/>
        <v>10</v>
      </c>
      <c r="DO7" s="173">
        <f t="shared" si="71"/>
        <v>1.0068571428571429</v>
      </c>
      <c r="DQ7" s="545">
        <f t="shared" si="72"/>
        <v>200</v>
      </c>
      <c r="DR7" s="460">
        <f t="shared" si="73"/>
        <v>12</v>
      </c>
      <c r="DT7">
        <f t="shared" si="74"/>
        <v>200</v>
      </c>
      <c r="DU7" s="460">
        <f t="shared" si="75"/>
        <v>12</v>
      </c>
      <c r="DV7" s="460"/>
      <c r="DW7" s="5">
        <f t="shared" si="118"/>
        <v>83.333333333333329</v>
      </c>
      <c r="DX7" s="5">
        <f t="shared" si="76"/>
        <v>2.068965517241379</v>
      </c>
      <c r="DY7" s="5">
        <f t="shared" si="119"/>
        <v>81.264367816091948</v>
      </c>
      <c r="DZ7" s="5">
        <f t="shared" si="77"/>
        <v>7.7922077922077913</v>
      </c>
      <c r="EA7" s="173">
        <f t="shared" si="120"/>
        <v>2.4827586206896551E-2</v>
      </c>
      <c r="EB7" s="173">
        <f t="shared" si="78"/>
        <v>7.2000000000000011</v>
      </c>
      <c r="EC7" s="173">
        <f t="shared" si="79"/>
        <v>4.8758620689655174</v>
      </c>
      <c r="ED7" s="173">
        <f t="shared" si="121"/>
        <v>1.4766619519094768</v>
      </c>
      <c r="EE7" s="460">
        <f t="shared" si="80"/>
        <v>2.7586206896551722</v>
      </c>
      <c r="EF7" s="5">
        <f t="shared" si="81"/>
        <v>1.4494239206199513</v>
      </c>
      <c r="EG7" s="5"/>
      <c r="EH7" s="173">
        <f t="shared" si="122"/>
        <v>0.90971765229468415</v>
      </c>
      <c r="EI7" s="173">
        <f t="shared" si="82"/>
        <v>5.7013811595469379</v>
      </c>
      <c r="EJ7" s="173"/>
      <c r="EK7" s="528">
        <f t="shared" si="83"/>
        <v>1.6551724137931038E-2</v>
      </c>
      <c r="EL7" s="528">
        <f t="shared" si="84"/>
        <v>0.17616000000000001</v>
      </c>
      <c r="EM7" s="528">
        <f t="shared" si="85"/>
        <v>1.5E-3</v>
      </c>
      <c r="EN7" s="528">
        <f t="shared" si="86"/>
        <v>6.4650720000000014E-3</v>
      </c>
      <c r="EO7">
        <f t="shared" si="87"/>
        <v>2.6099999999999998E-2</v>
      </c>
      <c r="EP7" s="460">
        <f t="shared" si="123"/>
        <v>27.599999999999998</v>
      </c>
      <c r="EQ7" s="528">
        <f t="shared" si="88"/>
        <v>0.23215877004849975</v>
      </c>
      <c r="ER7" s="460">
        <f t="shared" si="124"/>
        <v>232.15877004849975</v>
      </c>
      <c r="ES7" s="528">
        <f t="shared" si="125"/>
        <v>0.12424999999999999</v>
      </c>
      <c r="ET7" s="528"/>
      <c r="EV7" s="460">
        <f t="shared" si="126"/>
        <v>124.24999999999999</v>
      </c>
      <c r="EW7" s="528">
        <f t="shared" si="89"/>
        <v>2.4827586206896554E-2</v>
      </c>
      <c r="EX7" s="528">
        <f t="shared" si="90"/>
        <v>0.9751724137931036</v>
      </c>
      <c r="EY7" s="528">
        <f t="shared" si="91"/>
        <v>7.8872048280743991E-3</v>
      </c>
      <c r="EZ7" s="528">
        <f t="shared" si="92"/>
        <v>1.3563991356826899</v>
      </c>
      <c r="FA7" s="528">
        <f t="shared" si="93"/>
        <v>1.2000000000000001E-3</v>
      </c>
      <c r="FB7" s="460">
        <f t="shared" si="127"/>
        <v>1357.5991356826901</v>
      </c>
      <c r="FC7" s="173">
        <f t="shared" si="128"/>
        <v>1.7140079057311897</v>
      </c>
      <c r="FD7" s="5">
        <f t="shared" si="129"/>
        <v>3</v>
      </c>
      <c r="FE7" s="173">
        <f t="shared" si="130"/>
        <v>0.6364011389019234</v>
      </c>
      <c r="FF7" s="5">
        <f t="shared" si="131"/>
        <v>63.640113890192339</v>
      </c>
      <c r="FI7" s="562">
        <f t="shared" si="94"/>
        <v>-50</v>
      </c>
      <c r="FJ7">
        <f t="shared" si="95"/>
        <v>-50</v>
      </c>
      <c r="FL7">
        <f t="shared" si="96"/>
        <v>6.115766297251507E-2</v>
      </c>
    </row>
    <row r="8" spans="2:168">
      <c r="E8" s="170">
        <v>3</v>
      </c>
      <c r="F8" s="217">
        <f t="shared" si="97"/>
        <v>0.3</v>
      </c>
      <c r="G8" s="217"/>
      <c r="H8" s="217">
        <f t="shared" si="0"/>
        <v>4.5</v>
      </c>
      <c r="I8" s="541">
        <f t="shared" si="1"/>
        <v>57.802357646239479</v>
      </c>
      <c r="J8" s="172">
        <f t="shared" si="2"/>
        <v>15.518585412256314</v>
      </c>
      <c r="K8" s="172">
        <f t="shared" si="3"/>
        <v>73.518585412256314</v>
      </c>
      <c r="L8" s="443"/>
      <c r="M8" s="217">
        <f t="shared" si="4"/>
        <v>0.21166972250670657</v>
      </c>
      <c r="N8" s="172">
        <f t="shared" si="5"/>
        <v>306.76226323305593</v>
      </c>
      <c r="O8" s="172">
        <f t="shared" si="98"/>
        <v>4.5</v>
      </c>
      <c r="P8" s="217">
        <f t="shared" si="6"/>
        <v>20.450817548870397</v>
      </c>
      <c r="Q8" s="217">
        <f t="shared" si="7"/>
        <v>15</v>
      </c>
      <c r="R8" s="217">
        <f t="shared" si="8"/>
        <v>20.391681672021534</v>
      </c>
      <c r="S8" s="172">
        <f t="shared" si="9"/>
        <v>4759.0656374267146</v>
      </c>
      <c r="T8" s="172">
        <f t="shared" si="10"/>
        <v>15</v>
      </c>
      <c r="U8" s="217">
        <f t="shared" si="99"/>
        <v>0.7611023160341629</v>
      </c>
      <c r="V8" s="217">
        <f t="shared" si="11"/>
        <v>0.15800787656979157</v>
      </c>
      <c r="W8" s="217">
        <f t="shared" si="12"/>
        <v>0.58853481485475401</v>
      </c>
      <c r="X8" s="197">
        <f t="shared" si="13"/>
        <v>101.95027354454906</v>
      </c>
      <c r="Y8" s="443">
        <f t="shared" si="14"/>
        <v>350</v>
      </c>
      <c r="AA8" s="217">
        <f t="shared" si="15"/>
        <v>9.9999999999999982</v>
      </c>
      <c r="AB8" s="173">
        <f t="shared" si="16"/>
        <v>7.7326635651485365</v>
      </c>
      <c r="AC8" s="173">
        <f t="shared" si="17"/>
        <v>3.9417358284743056</v>
      </c>
      <c r="AD8" s="173"/>
      <c r="AE8" s="173">
        <f t="shared" si="18"/>
        <v>7.7326635651485374</v>
      </c>
      <c r="AF8" s="545">
        <f t="shared" si="100"/>
        <v>12</v>
      </c>
      <c r="AG8" s="528">
        <f t="shared" si="19"/>
        <v>3.9417358284743065</v>
      </c>
      <c r="AI8" s="173">
        <f t="shared" si="20"/>
        <v>1.4889394793541721</v>
      </c>
      <c r="AJ8" s="173">
        <f t="shared" si="21"/>
        <v>10</v>
      </c>
      <c r="AK8" s="173">
        <f t="shared" si="22"/>
        <v>1.0068571428571429</v>
      </c>
      <c r="AM8" s="545">
        <f t="shared" si="23"/>
        <v>300</v>
      </c>
      <c r="AN8" s="460">
        <f t="shared" si="24"/>
        <v>12</v>
      </c>
      <c r="AP8">
        <f t="shared" si="25"/>
        <v>300</v>
      </c>
      <c r="AQ8" s="460">
        <f t="shared" si="26"/>
        <v>12</v>
      </c>
      <c r="AR8" s="460"/>
      <c r="AS8" s="5">
        <f t="shared" si="101"/>
        <v>83.333333333333329</v>
      </c>
      <c r="AT8" s="5">
        <f t="shared" si="27"/>
        <v>2.0760398863731644</v>
      </c>
      <c r="AU8" s="5">
        <f t="shared" si="102"/>
        <v>81.257293446960162</v>
      </c>
      <c r="AV8" s="5">
        <f t="shared" si="28"/>
        <v>7.7326635651485374</v>
      </c>
      <c r="AW8" s="173">
        <f t="shared" si="103"/>
        <v>2.4912478636477973E-2</v>
      </c>
      <c r="AX8" s="173">
        <f t="shared" si="29"/>
        <v>7.2000000000000011</v>
      </c>
      <c r="AY8" s="173">
        <f t="shared" si="30"/>
        <v>4.8754376068176102</v>
      </c>
      <c r="AZ8" s="173">
        <f t="shared" si="104"/>
        <v>1.4767905120828166</v>
      </c>
      <c r="BA8" s="460">
        <f t="shared" si="31"/>
        <v>4.1520797727463288</v>
      </c>
      <c r="BB8" s="5">
        <f t="shared" si="32"/>
        <v>2.1813799429476468</v>
      </c>
      <c r="BC8" s="5"/>
      <c r="BD8" s="173">
        <f t="shared" si="105"/>
        <v>0.91127161403681711</v>
      </c>
      <c r="BE8" s="173">
        <f t="shared" si="33"/>
        <v>5.7011329907996426</v>
      </c>
      <c r="BF8" s="173"/>
      <c r="BG8" s="528">
        <f t="shared" si="34"/>
        <v>1.6608319090985316E-2</v>
      </c>
      <c r="BH8" s="528">
        <f t="shared" si="35"/>
        <v>0.16541681717757672</v>
      </c>
      <c r="BI8" s="528">
        <f t="shared" si="36"/>
        <v>1.734070729387184E-2</v>
      </c>
      <c r="BJ8" s="528">
        <f t="shared" si="37"/>
        <v>6.4859788812230727E-3</v>
      </c>
      <c r="BK8">
        <f t="shared" si="38"/>
        <v>2.6011060940807764E-2</v>
      </c>
      <c r="BL8" s="460">
        <f t="shared" si="106"/>
        <v>43.351768234679611</v>
      </c>
      <c r="BM8" s="528">
        <f t="shared" si="39"/>
        <v>0.19375996459535924</v>
      </c>
      <c r="BN8" s="460">
        <f t="shared" si="107"/>
        <v>193.75996459535924</v>
      </c>
      <c r="BO8" s="528">
        <f t="shared" si="108"/>
        <v>0.18637499999999999</v>
      </c>
      <c r="BP8" s="528"/>
      <c r="BR8" s="460">
        <f t="shared" si="109"/>
        <v>186.37499999999997</v>
      </c>
      <c r="BS8" s="528">
        <f t="shared" si="40"/>
        <v>2.4912478636477973E-2</v>
      </c>
      <c r="BT8" s="528">
        <f t="shared" si="41"/>
        <v>0.97508752136352228</v>
      </c>
      <c r="BU8" s="528">
        <f t="shared" si="42"/>
        <v>6.7500000000000004E-2</v>
      </c>
      <c r="BV8" s="528">
        <f t="shared" si="43"/>
        <v>1.4211956521739133</v>
      </c>
      <c r="BW8" s="528">
        <f t="shared" si="44"/>
        <v>1.2000000000000001E-3</v>
      </c>
      <c r="BX8" s="460">
        <f t="shared" si="110"/>
        <v>1422.3956521739135</v>
      </c>
      <c r="BY8" s="173">
        <f t="shared" si="45"/>
        <v>1.8458823850039523</v>
      </c>
      <c r="BZ8" s="5">
        <f t="shared" si="111"/>
        <v>4.5</v>
      </c>
      <c r="CA8" s="173">
        <f t="shared" si="112"/>
        <v>0.70912124224584061</v>
      </c>
      <c r="CB8" s="5">
        <f t="shared" si="113"/>
        <v>70.912124224584062</v>
      </c>
      <c r="CE8" s="562">
        <f t="shared" si="46"/>
        <v>-50</v>
      </c>
      <c r="CF8">
        <f t="shared" si="47"/>
        <v>-50</v>
      </c>
      <c r="CG8" s="173">
        <f t="shared" si="48"/>
        <v>7.5894663844041116E-2</v>
      </c>
      <c r="CI8" s="170">
        <v>3</v>
      </c>
      <c r="CJ8" s="217">
        <f t="shared" si="114"/>
        <v>0.3</v>
      </c>
      <c r="CK8" s="217"/>
      <c r="CL8" s="217">
        <f t="shared" si="49"/>
        <v>4.5</v>
      </c>
      <c r="CM8" s="541">
        <f t="shared" si="50"/>
        <v>58</v>
      </c>
      <c r="CN8" s="172">
        <f t="shared" si="51"/>
        <v>15.4</v>
      </c>
      <c r="CO8" s="443">
        <f t="shared" si="52"/>
        <v>73.400000000000006</v>
      </c>
      <c r="CP8" s="443"/>
      <c r="CQ8" s="217">
        <f t="shared" si="53"/>
        <v>0.2098092643051771</v>
      </c>
      <c r="CR8" s="172">
        <f t="shared" si="54"/>
        <v>305.10568119891008</v>
      </c>
      <c r="CS8" s="172">
        <f t="shared" si="115"/>
        <v>4.5</v>
      </c>
      <c r="CT8" s="217">
        <f t="shared" si="55"/>
        <v>20.340378746594006</v>
      </c>
      <c r="CU8" s="217">
        <f t="shared" si="56"/>
        <v>15</v>
      </c>
      <c r="CV8" s="217">
        <f t="shared" si="57"/>
        <v>20.281562216167121</v>
      </c>
      <c r="CW8" s="172">
        <f t="shared" si="58"/>
        <v>4775.3381912210716</v>
      </c>
      <c r="CX8" s="172">
        <f t="shared" si="59"/>
        <v>15</v>
      </c>
      <c r="CY8" s="217">
        <f t="shared" si="60"/>
        <v>0.73958799820868792</v>
      </c>
      <c r="CZ8" s="217">
        <f t="shared" si="61"/>
        <v>0.15301820652593545</v>
      </c>
      <c r="DA8" s="217">
        <f t="shared" si="62"/>
        <v>0.57630233626651017</v>
      </c>
      <c r="DB8" s="197">
        <f t="shared" si="63"/>
        <v>101.4078110808356</v>
      </c>
      <c r="DC8" s="443">
        <f t="shared" si="116"/>
        <v>350</v>
      </c>
      <c r="DE8" s="217">
        <f t="shared" si="64"/>
        <v>10</v>
      </c>
      <c r="DF8" s="173">
        <f t="shared" si="65"/>
        <v>7.7922077922077913</v>
      </c>
      <c r="DG8" s="173">
        <f t="shared" si="66"/>
        <v>3.9509536784741139</v>
      </c>
      <c r="DH8" s="173"/>
      <c r="DI8" s="173">
        <f t="shared" si="67"/>
        <v>7.7922077922077913</v>
      </c>
      <c r="DJ8" s="545">
        <f t="shared" si="117"/>
        <v>12</v>
      </c>
      <c r="DK8" s="528">
        <f t="shared" si="68"/>
        <v>3.9509536784741139</v>
      </c>
      <c r="DM8" s="173">
        <f t="shared" si="69"/>
        <v>1.4832396974191326</v>
      </c>
      <c r="DN8" s="173">
        <f t="shared" si="70"/>
        <v>10</v>
      </c>
      <c r="DO8" s="173">
        <f t="shared" si="71"/>
        <v>1.0068571428571429</v>
      </c>
      <c r="DQ8" s="545">
        <f t="shared" si="72"/>
        <v>300</v>
      </c>
      <c r="DR8" s="460">
        <f t="shared" si="73"/>
        <v>12</v>
      </c>
      <c r="DT8">
        <f t="shared" si="74"/>
        <v>300</v>
      </c>
      <c r="DU8" s="460">
        <f t="shared" si="75"/>
        <v>12</v>
      </c>
      <c r="DV8" s="460"/>
      <c r="DW8" s="5">
        <f t="shared" si="118"/>
        <v>83.333333333333329</v>
      </c>
      <c r="DX8" s="5">
        <f t="shared" si="76"/>
        <v>2.068965517241379</v>
      </c>
      <c r="DY8" s="5">
        <f t="shared" si="119"/>
        <v>81.264367816091948</v>
      </c>
      <c r="DZ8" s="5">
        <f t="shared" si="77"/>
        <v>7.7922077922077913</v>
      </c>
      <c r="EA8" s="173">
        <f t="shared" si="120"/>
        <v>2.4827586206896551E-2</v>
      </c>
      <c r="EB8" s="173">
        <f t="shared" si="78"/>
        <v>7.2000000000000011</v>
      </c>
      <c r="EC8" s="173">
        <f t="shared" si="79"/>
        <v>4.8758620689655174</v>
      </c>
      <c r="ED8" s="173">
        <f t="shared" si="121"/>
        <v>1.4766619519094768</v>
      </c>
      <c r="EE8" s="460">
        <f t="shared" si="80"/>
        <v>4.137931034482758</v>
      </c>
      <c r="EF8" s="5">
        <f t="shared" si="81"/>
        <v>2.1741358809299269</v>
      </c>
      <c r="EG8" s="5"/>
      <c r="EH8" s="173">
        <f t="shared" si="122"/>
        <v>0.90971765229468415</v>
      </c>
      <c r="EI8" s="173">
        <f t="shared" si="82"/>
        <v>5.7013811595469379</v>
      </c>
      <c r="EJ8" s="173"/>
      <c r="EK8" s="528">
        <f t="shared" si="83"/>
        <v>1.6551724137931038E-2</v>
      </c>
      <c r="EL8" s="528">
        <f t="shared" si="84"/>
        <v>0.17616000000000001</v>
      </c>
      <c r="EM8" s="528">
        <f t="shared" si="85"/>
        <v>1.5E-3</v>
      </c>
      <c r="EN8" s="528">
        <f t="shared" si="86"/>
        <v>6.4650720000000014E-3</v>
      </c>
      <c r="EO8">
        <f t="shared" si="87"/>
        <v>2.6099999999999998E-2</v>
      </c>
      <c r="EP8" s="460">
        <f t="shared" si="123"/>
        <v>27.599999999999998</v>
      </c>
      <c r="EQ8" s="528">
        <f t="shared" si="88"/>
        <v>0.23215877004849975</v>
      </c>
      <c r="ER8" s="460">
        <f t="shared" si="124"/>
        <v>232.15877004849975</v>
      </c>
      <c r="ES8" s="528">
        <f t="shared" si="125"/>
        <v>0.18637499999999999</v>
      </c>
      <c r="ET8" s="528"/>
      <c r="EV8" s="460">
        <f t="shared" si="126"/>
        <v>186.37499999999997</v>
      </c>
      <c r="EW8" s="528">
        <f t="shared" si="89"/>
        <v>2.4827586206896554E-2</v>
      </c>
      <c r="EX8" s="528">
        <f t="shared" si="90"/>
        <v>0.9751724137931036</v>
      </c>
      <c r="EY8" s="528">
        <f t="shared" si="91"/>
        <v>7.8872048280743991E-3</v>
      </c>
      <c r="EZ8" s="528">
        <f t="shared" si="92"/>
        <v>1.3563991356826899</v>
      </c>
      <c r="FA8" s="528">
        <f t="shared" si="93"/>
        <v>1.2000000000000001E-3</v>
      </c>
      <c r="FB8" s="460">
        <f t="shared" si="127"/>
        <v>1357.5991356826901</v>
      </c>
      <c r="FC8" s="173">
        <f t="shared" si="128"/>
        <v>1.7761329057311896</v>
      </c>
      <c r="FD8" s="5">
        <f t="shared" si="129"/>
        <v>4.5</v>
      </c>
      <c r="FE8" s="173">
        <f t="shared" si="130"/>
        <v>0.71700202458917417</v>
      </c>
      <c r="FF8" s="5">
        <f t="shared" si="131"/>
        <v>71.700202458917417</v>
      </c>
      <c r="FI8" s="562">
        <f t="shared" si="94"/>
        <v>-50</v>
      </c>
      <c r="FJ8">
        <f t="shared" si="95"/>
        <v>-50</v>
      </c>
      <c r="FL8">
        <f t="shared" si="96"/>
        <v>7.4902534071883117E-2</v>
      </c>
    </row>
    <row r="9" spans="2:168">
      <c r="E9" s="170">
        <v>4</v>
      </c>
      <c r="F9" s="217">
        <f t="shared" si="97"/>
        <v>0.4</v>
      </c>
      <c r="G9" s="217"/>
      <c r="H9" s="217">
        <f t="shared" si="0"/>
        <v>6</v>
      </c>
      <c r="I9" s="541">
        <f t="shared" si="1"/>
        <v>57.771782267706179</v>
      </c>
      <c r="J9" s="172">
        <f t="shared" si="2"/>
        <v>15.536930639376292</v>
      </c>
      <c r="K9" s="172">
        <f t="shared" si="3"/>
        <v>73.536930639376294</v>
      </c>
      <c r="L9" s="443"/>
      <c r="M9" s="217">
        <f t="shared" si="4"/>
        <v>0.21195788766058157</v>
      </c>
      <c r="N9" s="172">
        <f t="shared" si="5"/>
        <v>307.01739930410025</v>
      </c>
      <c r="O9" s="172">
        <f t="shared" si="98"/>
        <v>6</v>
      </c>
      <c r="P9" s="217">
        <f t="shared" si="6"/>
        <v>20.46782662027335</v>
      </c>
      <c r="Q9" s="217">
        <f t="shared" si="7"/>
        <v>15</v>
      </c>
      <c r="R9" s="217">
        <f t="shared" si="8"/>
        <v>20.408641559750073</v>
      </c>
      <c r="S9" s="172">
        <f t="shared" si="9"/>
        <v>3552.97111278491</v>
      </c>
      <c r="T9" s="172">
        <f t="shared" si="10"/>
        <v>15</v>
      </c>
      <c r="U9" s="217">
        <f t="shared" si="99"/>
        <v>1.0151741734018287</v>
      </c>
      <c r="V9" s="217">
        <f t="shared" si="11"/>
        <v>0.21086574799392344</v>
      </c>
      <c r="W9" s="217">
        <f t="shared" si="12"/>
        <v>0.78407314569249931</v>
      </c>
      <c r="X9" s="197">
        <f t="shared" si="13"/>
        <v>102.0338213576545</v>
      </c>
      <c r="Y9" s="443">
        <f t="shared" si="14"/>
        <v>350</v>
      </c>
      <c r="AA9" s="217">
        <f t="shared" si="15"/>
        <v>10</v>
      </c>
      <c r="AB9" s="173">
        <f t="shared" si="16"/>
        <v>7.7235332245016206</v>
      </c>
      <c r="AC9" s="173">
        <f t="shared" si="17"/>
        <v>3.9403080463935378</v>
      </c>
      <c r="AD9" s="173"/>
      <c r="AE9" s="173">
        <f t="shared" si="18"/>
        <v>7.7235332245016206</v>
      </c>
      <c r="AF9" s="545">
        <f t="shared" si="100"/>
        <v>12</v>
      </c>
      <c r="AG9" s="528">
        <f t="shared" si="19"/>
        <v>3.9403080463935383</v>
      </c>
      <c r="AI9" s="173">
        <f t="shared" si="20"/>
        <v>1.7202951374346203</v>
      </c>
      <c r="AJ9" s="173">
        <f t="shared" si="21"/>
        <v>10</v>
      </c>
      <c r="AK9" s="173">
        <f t="shared" si="22"/>
        <v>1.0068571428571429</v>
      </c>
      <c r="AM9" s="545">
        <f t="shared" si="23"/>
        <v>400</v>
      </c>
      <c r="AN9" s="460">
        <f t="shared" si="24"/>
        <v>12</v>
      </c>
      <c r="AP9">
        <f t="shared" si="25"/>
        <v>400</v>
      </c>
      <c r="AQ9" s="460">
        <f t="shared" si="26"/>
        <v>12</v>
      </c>
      <c r="AR9" s="460"/>
      <c r="AS9" s="5">
        <f t="shared" si="101"/>
        <v>83.333333333333329</v>
      </c>
      <c r="AT9" s="5">
        <f t="shared" si="27"/>
        <v>2.0771386183645362</v>
      </c>
      <c r="AU9" s="5">
        <f t="shared" si="102"/>
        <v>81.256194714968785</v>
      </c>
      <c r="AV9" s="5">
        <f t="shared" si="28"/>
        <v>7.7235332245016206</v>
      </c>
      <c r="AW9" s="173">
        <f t="shared" si="103"/>
        <v>2.4925663420374434E-2</v>
      </c>
      <c r="AX9" s="173">
        <f t="shared" si="29"/>
        <v>7.2000000000000011</v>
      </c>
      <c r="AY9" s="173">
        <f t="shared" si="30"/>
        <v>4.8753716828981277</v>
      </c>
      <c r="AZ9" s="173">
        <f t="shared" si="104"/>
        <v>1.4768104809847062</v>
      </c>
      <c r="BA9" s="460">
        <f t="shared" si="31"/>
        <v>5.5390363156387634</v>
      </c>
      <c r="BB9" s="5">
        <f t="shared" si="32"/>
        <v>2.9100065521346541</v>
      </c>
      <c r="BC9" s="5"/>
      <c r="BD9" s="173">
        <f t="shared" si="105"/>
        <v>0.91151272473060652</v>
      </c>
      <c r="BE9" s="173">
        <f t="shared" si="33"/>
        <v>5.7010944463311191</v>
      </c>
      <c r="BF9" s="173"/>
      <c r="BG9" s="528">
        <f t="shared" si="34"/>
        <v>1.6617108946916287E-2</v>
      </c>
      <c r="BH9" s="528">
        <f t="shared" si="35"/>
        <v>0.16545809393859665</v>
      </c>
      <c r="BI9" s="528">
        <f t="shared" si="36"/>
        <v>1.7331534680311855E-2</v>
      </c>
      <c r="BJ9" s="528">
        <f t="shared" si="37"/>
        <v>6.4892162014325286E-3</v>
      </c>
      <c r="BK9">
        <f t="shared" si="38"/>
        <v>2.599730202046778E-2</v>
      </c>
      <c r="BL9" s="460">
        <f t="shared" si="106"/>
        <v>43.32883670077964</v>
      </c>
      <c r="BM9" s="528">
        <f t="shared" si="39"/>
        <v>0.19381626875695274</v>
      </c>
      <c r="BN9" s="460">
        <f t="shared" si="107"/>
        <v>193.81626875695272</v>
      </c>
      <c r="BO9" s="528">
        <f t="shared" si="108"/>
        <v>0.24849999999999997</v>
      </c>
      <c r="BP9" s="528"/>
      <c r="BR9" s="460">
        <f t="shared" si="109"/>
        <v>248.49999999999997</v>
      </c>
      <c r="BS9" s="528">
        <f t="shared" si="40"/>
        <v>2.492566342037443E-2</v>
      </c>
      <c r="BT9" s="528">
        <f t="shared" si="41"/>
        <v>0.97507433657962594</v>
      </c>
      <c r="BU9" s="528">
        <f t="shared" si="42"/>
        <v>0.09</v>
      </c>
      <c r="BV9" s="528">
        <f t="shared" si="43"/>
        <v>1.4456521739130441</v>
      </c>
      <c r="BW9" s="528">
        <f t="shared" si="44"/>
        <v>1.2000000000000001E-3</v>
      </c>
      <c r="BX9" s="460">
        <f t="shared" si="110"/>
        <v>1446.8521739130442</v>
      </c>
      <c r="BY9" s="173">
        <f t="shared" si="45"/>
        <v>1.9324972793707766</v>
      </c>
      <c r="BZ9" s="5">
        <f t="shared" si="111"/>
        <v>6</v>
      </c>
      <c r="CA9" s="173">
        <f t="shared" si="112"/>
        <v>0.75638223231460511</v>
      </c>
      <c r="CB9" s="5">
        <f t="shared" si="113"/>
        <v>75.638223231460515</v>
      </c>
      <c r="CE9" s="562">
        <f t="shared" si="46"/>
        <v>-50</v>
      </c>
      <c r="CF9">
        <f t="shared" si="47"/>
        <v>-50</v>
      </c>
      <c r="CG9" s="173">
        <f t="shared" si="48"/>
        <v>8.7635609200826581E-2</v>
      </c>
      <c r="CI9" s="170">
        <v>4</v>
      </c>
      <c r="CJ9" s="217">
        <f t="shared" si="114"/>
        <v>0.4</v>
      </c>
      <c r="CK9" s="217"/>
      <c r="CL9" s="217">
        <f t="shared" si="49"/>
        <v>6</v>
      </c>
      <c r="CM9" s="541">
        <f t="shared" si="50"/>
        <v>58</v>
      </c>
      <c r="CN9" s="172">
        <f t="shared" si="51"/>
        <v>15.4</v>
      </c>
      <c r="CO9" s="443">
        <f t="shared" si="52"/>
        <v>73.400000000000006</v>
      </c>
      <c r="CP9" s="443"/>
      <c r="CQ9" s="217">
        <f t="shared" si="53"/>
        <v>0.2098092643051771</v>
      </c>
      <c r="CR9" s="172">
        <f t="shared" si="54"/>
        <v>305.10568119891008</v>
      </c>
      <c r="CS9" s="172">
        <f t="shared" si="115"/>
        <v>6</v>
      </c>
      <c r="CT9" s="217">
        <f t="shared" si="55"/>
        <v>20.340378746594006</v>
      </c>
      <c r="CU9" s="217">
        <f t="shared" si="56"/>
        <v>15</v>
      </c>
      <c r="CV9" s="217">
        <f t="shared" si="57"/>
        <v>20.281562216167121</v>
      </c>
      <c r="CW9" s="172">
        <f t="shared" si="58"/>
        <v>3567.0065033239075</v>
      </c>
      <c r="CX9" s="172">
        <f t="shared" si="59"/>
        <v>15</v>
      </c>
      <c r="CY9" s="217">
        <f t="shared" si="60"/>
        <v>0.98611733094491716</v>
      </c>
      <c r="CZ9" s="217">
        <f t="shared" si="61"/>
        <v>0.20402427536791393</v>
      </c>
      <c r="DA9" s="217">
        <f t="shared" si="62"/>
        <v>0.76840311502201342</v>
      </c>
      <c r="DB9" s="197">
        <f t="shared" si="63"/>
        <v>101.4078110808356</v>
      </c>
      <c r="DC9" s="443">
        <f t="shared" si="116"/>
        <v>350</v>
      </c>
      <c r="DE9" s="217">
        <f t="shared" si="64"/>
        <v>10</v>
      </c>
      <c r="DF9" s="173">
        <f t="shared" si="65"/>
        <v>7.7922077922077913</v>
      </c>
      <c r="DG9" s="173">
        <f t="shared" si="66"/>
        <v>3.9509536784741139</v>
      </c>
      <c r="DH9" s="173"/>
      <c r="DI9" s="173">
        <f t="shared" si="67"/>
        <v>7.7922077922077913</v>
      </c>
      <c r="DJ9" s="545">
        <f t="shared" si="117"/>
        <v>12</v>
      </c>
      <c r="DK9" s="528">
        <f t="shared" si="68"/>
        <v>3.9509536784741139</v>
      </c>
      <c r="DM9" s="173">
        <f t="shared" si="69"/>
        <v>1.7126976771553506</v>
      </c>
      <c r="DN9" s="173">
        <f t="shared" si="70"/>
        <v>10</v>
      </c>
      <c r="DO9" s="173">
        <f t="shared" si="71"/>
        <v>1.0068571428571429</v>
      </c>
      <c r="DQ9" s="545">
        <f t="shared" si="72"/>
        <v>400</v>
      </c>
      <c r="DR9" s="460">
        <f t="shared" si="73"/>
        <v>12</v>
      </c>
      <c r="DT9">
        <f t="shared" si="74"/>
        <v>400</v>
      </c>
      <c r="DU9" s="460">
        <f t="shared" si="75"/>
        <v>12</v>
      </c>
      <c r="DV9" s="460"/>
      <c r="DW9" s="5">
        <f t="shared" si="118"/>
        <v>83.333333333333329</v>
      </c>
      <c r="DX9" s="5">
        <f t="shared" si="76"/>
        <v>2.068965517241379</v>
      </c>
      <c r="DY9" s="5">
        <f t="shared" si="119"/>
        <v>81.264367816091948</v>
      </c>
      <c r="DZ9" s="5">
        <f t="shared" si="77"/>
        <v>7.7922077922077913</v>
      </c>
      <c r="EA9" s="173">
        <f t="shared" si="120"/>
        <v>2.4827586206896551E-2</v>
      </c>
      <c r="EB9" s="173">
        <f t="shared" si="78"/>
        <v>7.2000000000000011</v>
      </c>
      <c r="EC9" s="173">
        <f t="shared" si="79"/>
        <v>4.8758620689655174</v>
      </c>
      <c r="ED9" s="173">
        <f t="shared" si="121"/>
        <v>1.4766619519094768</v>
      </c>
      <c r="EE9" s="460">
        <f t="shared" si="80"/>
        <v>5.5172413793103443</v>
      </c>
      <c r="EF9" s="5">
        <f t="shared" si="81"/>
        <v>2.8988478412399026</v>
      </c>
      <c r="EG9" s="5"/>
      <c r="EH9" s="173">
        <f t="shared" si="122"/>
        <v>0.90971765229468415</v>
      </c>
      <c r="EI9" s="173">
        <f t="shared" si="82"/>
        <v>5.7013811595469379</v>
      </c>
      <c r="EJ9" s="173"/>
      <c r="EK9" s="528">
        <f t="shared" si="83"/>
        <v>1.6551724137931038E-2</v>
      </c>
      <c r="EL9" s="528">
        <f t="shared" si="84"/>
        <v>0.17616000000000001</v>
      </c>
      <c r="EM9" s="528">
        <f t="shared" si="85"/>
        <v>1.5E-3</v>
      </c>
      <c r="EN9" s="528">
        <f t="shared" si="86"/>
        <v>6.4650720000000014E-3</v>
      </c>
      <c r="EO9">
        <f t="shared" si="87"/>
        <v>2.6099999999999998E-2</v>
      </c>
      <c r="EP9" s="460">
        <f t="shared" si="123"/>
        <v>27.599999999999998</v>
      </c>
      <c r="EQ9" s="528">
        <f t="shared" si="88"/>
        <v>0.23215877004849975</v>
      </c>
      <c r="ER9" s="460">
        <f t="shared" si="124"/>
        <v>232.15877004849975</v>
      </c>
      <c r="ES9" s="528">
        <f t="shared" si="125"/>
        <v>0.24849999999999997</v>
      </c>
      <c r="ET9" s="528"/>
      <c r="EV9" s="460">
        <f t="shared" si="126"/>
        <v>248.49999999999997</v>
      </c>
      <c r="EW9" s="528">
        <f t="shared" si="89"/>
        <v>2.4827586206896554E-2</v>
      </c>
      <c r="EX9" s="528">
        <f t="shared" si="90"/>
        <v>0.9751724137931036</v>
      </c>
      <c r="EY9" s="528">
        <f t="shared" si="91"/>
        <v>7.8872048280743991E-3</v>
      </c>
      <c r="EZ9" s="528">
        <f t="shared" si="92"/>
        <v>1.3563991356826899</v>
      </c>
      <c r="FA9" s="528">
        <f t="shared" si="93"/>
        <v>1.2000000000000001E-3</v>
      </c>
      <c r="FB9" s="460">
        <f t="shared" si="127"/>
        <v>1357.5991356826901</v>
      </c>
      <c r="FC9" s="173">
        <f t="shared" si="128"/>
        <v>1.8382579057311896</v>
      </c>
      <c r="FD9" s="5">
        <f t="shared" si="129"/>
        <v>6</v>
      </c>
      <c r="FE9" s="173">
        <f t="shared" si="130"/>
        <v>0.76547621578168668</v>
      </c>
      <c r="FF9" s="5">
        <f t="shared" si="131"/>
        <v>76.547621578168673</v>
      </c>
      <c r="FI9" s="562">
        <f t="shared" si="94"/>
        <v>-50</v>
      </c>
      <c r="FJ9">
        <f t="shared" si="95"/>
        <v>-50</v>
      </c>
      <c r="FL9">
        <f t="shared" si="96"/>
        <v>8.6489996418773668E-2</v>
      </c>
    </row>
    <row r="10" spans="2:168">
      <c r="E10" s="170">
        <v>5</v>
      </c>
      <c r="F10" s="217">
        <f t="shared" si="97"/>
        <v>0.5</v>
      </c>
      <c r="G10" s="217"/>
      <c r="H10" s="217">
        <f t="shared" si="0"/>
        <v>7.5</v>
      </c>
      <c r="I10" s="541">
        <f t="shared" si="1"/>
        <v>57.753268114390089</v>
      </c>
      <c r="J10" s="172">
        <f t="shared" si="2"/>
        <v>15.548039131365949</v>
      </c>
      <c r="K10" s="172">
        <f t="shared" si="3"/>
        <v>73.548039131365954</v>
      </c>
      <c r="L10" s="443"/>
      <c r="M10" s="217">
        <f t="shared" si="4"/>
        <v>0.21213242465171064</v>
      </c>
      <c r="N10" s="172">
        <f t="shared" si="5"/>
        <v>307.17174212440574</v>
      </c>
      <c r="O10" s="172">
        <f t="shared" si="98"/>
        <v>7.5</v>
      </c>
      <c r="P10" s="217">
        <f t="shared" si="6"/>
        <v>20.478116141627048</v>
      </c>
      <c r="Q10" s="217">
        <f t="shared" si="7"/>
        <v>15</v>
      </c>
      <c r="R10" s="217">
        <f t="shared" si="8"/>
        <v>20.418901327776496</v>
      </c>
      <c r="S10" s="172">
        <f t="shared" si="9"/>
        <v>2829.9182996931904</v>
      </c>
      <c r="T10" s="172">
        <f t="shared" si="10"/>
        <v>15</v>
      </c>
      <c r="U10" s="217">
        <f t="shared" si="99"/>
        <v>1.2692488322773459</v>
      </c>
      <c r="V10" s="217">
        <f t="shared" si="11"/>
        <v>0.26372509270229716</v>
      </c>
      <c r="W10" s="217">
        <f t="shared" si="12"/>
        <v>0.97960815885791108</v>
      </c>
      <c r="X10" s="197">
        <f t="shared" si="13"/>
        <v>102.08436319744666</v>
      </c>
      <c r="Y10" s="443">
        <f t="shared" si="14"/>
        <v>350</v>
      </c>
      <c r="AA10" s="217">
        <f t="shared" si="15"/>
        <v>9.9999999999999982</v>
      </c>
      <c r="AB10" s="173">
        <f t="shared" si="16"/>
        <v>7.7180150491078408</v>
      </c>
      <c r="AC10" s="173">
        <f t="shared" si="17"/>
        <v>3.9394432571824192</v>
      </c>
      <c r="AD10" s="173"/>
      <c r="AE10" s="173">
        <f t="shared" si="18"/>
        <v>7.7180150491078416</v>
      </c>
      <c r="AF10" s="545">
        <f t="shared" si="100"/>
        <v>12.956699276138288</v>
      </c>
      <c r="AG10" s="528">
        <f t="shared" si="19"/>
        <v>3.9394432571824201</v>
      </c>
      <c r="AI10" s="173">
        <f t="shared" si="20"/>
        <v>1.9240358829545394</v>
      </c>
      <c r="AJ10" s="173">
        <f t="shared" si="21"/>
        <v>10</v>
      </c>
      <c r="AK10" s="173">
        <f t="shared" si="22"/>
        <v>1.0074038281577933</v>
      </c>
      <c r="AM10" s="545">
        <f t="shared" si="23"/>
        <v>500</v>
      </c>
      <c r="AN10" s="460">
        <f t="shared" si="24"/>
        <v>12.956699276138288</v>
      </c>
      <c r="AP10">
        <f t="shared" si="25"/>
        <v>500</v>
      </c>
      <c r="AQ10" s="460">
        <f t="shared" si="26"/>
        <v>12.956699276138288</v>
      </c>
      <c r="AR10" s="460"/>
      <c r="AS10" s="5">
        <f t="shared" si="101"/>
        <v>77.180150491078436</v>
      </c>
      <c r="AT10" s="5">
        <f t="shared" si="27"/>
        <v>2.0778044934586171</v>
      </c>
      <c r="AU10" s="5">
        <f t="shared" si="102"/>
        <v>75.102345997619821</v>
      </c>
      <c r="AV10" s="5">
        <f t="shared" si="28"/>
        <v>7.7180150491078416</v>
      </c>
      <c r="AW10" s="173">
        <f t="shared" si="103"/>
        <v>2.6921487976352142E-2</v>
      </c>
      <c r="AX10" s="173">
        <f t="shared" si="29"/>
        <v>7.7740195656829734</v>
      </c>
      <c r="AY10" s="173">
        <f t="shared" si="30"/>
        <v>4.8653925601182388</v>
      </c>
      <c r="AZ10" s="173">
        <f t="shared" si="104"/>
        <v>1.5978195941282998</v>
      </c>
      <c r="BA10" s="460">
        <f t="shared" si="31"/>
        <v>6.9260149781953908</v>
      </c>
      <c r="BB10" s="5">
        <f t="shared" si="32"/>
        <v>3.3631032754986685</v>
      </c>
      <c r="BC10" s="5"/>
      <c r="BD10" s="173">
        <f t="shared" si="105"/>
        <v>0.94730297822031118</v>
      </c>
      <c r="BE10" s="173">
        <f t="shared" si="33"/>
        <v>5.6952568336106024</v>
      </c>
      <c r="BF10" s="173"/>
      <c r="BG10" s="528">
        <f t="shared" si="34"/>
        <v>1.7947658650901428E-2</v>
      </c>
      <c r="BH10" s="528">
        <f t="shared" si="35"/>
        <v>0.17867621725776744</v>
      </c>
      <c r="BI10" s="528">
        <f t="shared" si="36"/>
        <v>1.870729317930846E-2</v>
      </c>
      <c r="BJ10" s="528">
        <f t="shared" si="37"/>
        <v>7.0086855566499871E-3</v>
      </c>
      <c r="BK10">
        <f t="shared" si="38"/>
        <v>2.598897065147554E-2</v>
      </c>
      <c r="BL10" s="460">
        <f t="shared" si="106"/>
        <v>44.696263830783998</v>
      </c>
      <c r="BM10" s="528">
        <f t="shared" si="39"/>
        <v>0.20937126452035418</v>
      </c>
      <c r="BN10" s="460">
        <f t="shared" si="107"/>
        <v>209.37126452035417</v>
      </c>
      <c r="BO10" s="528">
        <f t="shared" si="108"/>
        <v>0.31062499999999998</v>
      </c>
      <c r="BP10" s="528"/>
      <c r="BR10" s="460">
        <f t="shared" si="109"/>
        <v>310.625</v>
      </c>
      <c r="BS10" s="528">
        <f t="shared" si="40"/>
        <v>2.6921487976352142E-2</v>
      </c>
      <c r="BT10" s="528">
        <f t="shared" si="41"/>
        <v>0.97307851202364792</v>
      </c>
      <c r="BU10" s="528">
        <f t="shared" si="42"/>
        <v>0.11249999999999999</v>
      </c>
      <c r="BV10" s="528">
        <f t="shared" si="43"/>
        <v>1.4701086956521738</v>
      </c>
      <c r="BW10" s="528">
        <f t="shared" si="44"/>
        <v>1.295669927613829E-3</v>
      </c>
      <c r="BX10" s="460">
        <f t="shared" si="110"/>
        <v>1471.4043655797877</v>
      </c>
      <c r="BY10" s="173">
        <f t="shared" si="45"/>
        <v>2.0360968939309259</v>
      </c>
      <c r="BZ10" s="5">
        <f t="shared" si="111"/>
        <v>7.5</v>
      </c>
      <c r="CA10" s="173">
        <f t="shared" si="112"/>
        <v>0.78648529722608385</v>
      </c>
      <c r="CB10" s="5">
        <f t="shared" si="113"/>
        <v>78.648529722608387</v>
      </c>
      <c r="CE10" s="562">
        <f t="shared" si="46"/>
        <v>-50</v>
      </c>
      <c r="CF10">
        <f t="shared" si="47"/>
        <v>-50</v>
      </c>
      <c r="CG10" s="173">
        <f t="shared" si="48"/>
        <v>0.10132456102380442</v>
      </c>
      <c r="CI10" s="170">
        <v>5</v>
      </c>
      <c r="CJ10" s="217">
        <f t="shared" si="114"/>
        <v>0.5</v>
      </c>
      <c r="CK10" s="217"/>
      <c r="CL10" s="217">
        <f t="shared" si="49"/>
        <v>7.5</v>
      </c>
      <c r="CM10" s="541">
        <f t="shared" si="50"/>
        <v>58</v>
      </c>
      <c r="CN10" s="172">
        <f t="shared" si="51"/>
        <v>15.4</v>
      </c>
      <c r="CO10" s="443">
        <f t="shared" si="52"/>
        <v>73.400000000000006</v>
      </c>
      <c r="CP10" s="443"/>
      <c r="CQ10" s="217">
        <f t="shared" si="53"/>
        <v>0.2098092643051771</v>
      </c>
      <c r="CR10" s="172">
        <f t="shared" si="54"/>
        <v>305.10568119891008</v>
      </c>
      <c r="CS10" s="172">
        <f t="shared" si="115"/>
        <v>7.5</v>
      </c>
      <c r="CT10" s="217">
        <f t="shared" si="55"/>
        <v>20.340378746594006</v>
      </c>
      <c r="CU10" s="217">
        <f t="shared" si="56"/>
        <v>15</v>
      </c>
      <c r="CV10" s="217">
        <f t="shared" si="57"/>
        <v>20.281562216167121</v>
      </c>
      <c r="CW10" s="172">
        <f t="shared" si="58"/>
        <v>2842.0081620930832</v>
      </c>
      <c r="CX10" s="172">
        <f t="shared" si="59"/>
        <v>15</v>
      </c>
      <c r="CY10" s="217">
        <f t="shared" si="60"/>
        <v>1.2326466636811464</v>
      </c>
      <c r="CZ10" s="217">
        <f t="shared" si="61"/>
        <v>0.2550303442098924</v>
      </c>
      <c r="DA10" s="217">
        <f t="shared" si="62"/>
        <v>0.96050389377751677</v>
      </c>
      <c r="DB10" s="197">
        <f t="shared" si="63"/>
        <v>101.4078110808356</v>
      </c>
      <c r="DC10" s="443">
        <f t="shared" si="116"/>
        <v>350</v>
      </c>
      <c r="DE10" s="217">
        <f t="shared" si="64"/>
        <v>10</v>
      </c>
      <c r="DF10" s="173">
        <f t="shared" si="65"/>
        <v>7.7922077922077913</v>
      </c>
      <c r="DG10" s="173">
        <f t="shared" si="66"/>
        <v>3.9509536784741139</v>
      </c>
      <c r="DH10" s="173"/>
      <c r="DI10" s="173">
        <f t="shared" si="67"/>
        <v>7.7922077922077913</v>
      </c>
      <c r="DJ10" s="545">
        <f t="shared" si="117"/>
        <v>12.833333333333334</v>
      </c>
      <c r="DK10" s="528">
        <f t="shared" si="68"/>
        <v>3.9509536784741139</v>
      </c>
      <c r="DM10" s="173">
        <f t="shared" si="69"/>
        <v>1.9148542155126762</v>
      </c>
      <c r="DN10" s="173">
        <f t="shared" si="70"/>
        <v>10</v>
      </c>
      <c r="DO10" s="173">
        <f t="shared" si="71"/>
        <v>1.0073333333333334</v>
      </c>
      <c r="DQ10" s="545">
        <f t="shared" si="72"/>
        <v>500</v>
      </c>
      <c r="DR10" s="460">
        <f t="shared" si="73"/>
        <v>12.833333333333334</v>
      </c>
      <c r="DT10">
        <f t="shared" si="74"/>
        <v>500</v>
      </c>
      <c r="DU10" s="460">
        <f t="shared" si="75"/>
        <v>12.833333333333334</v>
      </c>
      <c r="DV10" s="460"/>
      <c r="DW10" s="5">
        <f t="shared" si="118"/>
        <v>77.922077922077918</v>
      </c>
      <c r="DX10" s="5">
        <f t="shared" si="76"/>
        <v>2.068965517241379</v>
      </c>
      <c r="DY10" s="5">
        <f t="shared" si="119"/>
        <v>75.853112404836537</v>
      </c>
      <c r="DZ10" s="5">
        <f t="shared" si="77"/>
        <v>7.7922077922077913</v>
      </c>
      <c r="EA10" s="173">
        <f t="shared" si="120"/>
        <v>2.6551724137931033E-2</v>
      </c>
      <c r="EB10" s="173">
        <f t="shared" si="78"/>
        <v>7.7000000000000011</v>
      </c>
      <c r="EC10" s="173">
        <f t="shared" si="79"/>
        <v>4.8672413793103448</v>
      </c>
      <c r="ED10" s="173">
        <f t="shared" si="121"/>
        <v>1.5820049592631953</v>
      </c>
      <c r="EE10" s="460">
        <f t="shared" si="80"/>
        <v>6.8965517241379297</v>
      </c>
      <c r="EF10" s="5">
        <f t="shared" si="81"/>
        <v>3.3822731452810584</v>
      </c>
      <c r="EG10" s="5"/>
      <c r="EH10" s="173">
        <f t="shared" si="122"/>
        <v>0.94077493124783462</v>
      </c>
      <c r="EI10" s="173">
        <f t="shared" si="82"/>
        <v>5.6963388120852638</v>
      </c>
      <c r="EJ10" s="173"/>
      <c r="EK10" s="528">
        <f t="shared" si="83"/>
        <v>1.770114942528736E-2</v>
      </c>
      <c r="EL10" s="528">
        <f t="shared" si="84"/>
        <v>0.18839333333333336</v>
      </c>
      <c r="EM10" s="528">
        <f t="shared" si="85"/>
        <v>1.6041666666666667E-3</v>
      </c>
      <c r="EN10" s="528">
        <f t="shared" si="86"/>
        <v>6.9140353333333347E-3</v>
      </c>
      <c r="EO10">
        <f t="shared" si="87"/>
        <v>2.6099999999999998E-2</v>
      </c>
      <c r="EP10" s="460">
        <f t="shared" si="123"/>
        <v>27.704166666666666</v>
      </c>
      <c r="EQ10" s="528">
        <f t="shared" si="88"/>
        <v>0.2465288444170988</v>
      </c>
      <c r="ER10" s="460">
        <f t="shared" si="124"/>
        <v>246.52884441709881</v>
      </c>
      <c r="ES10" s="528">
        <f t="shared" si="125"/>
        <v>0.31062499999999998</v>
      </c>
      <c r="ET10" s="528"/>
      <c r="EV10" s="460">
        <f t="shared" si="126"/>
        <v>310.625</v>
      </c>
      <c r="EW10" s="528">
        <f t="shared" si="89"/>
        <v>2.6551724137931037E-2</v>
      </c>
      <c r="EX10" s="528">
        <f t="shared" si="90"/>
        <v>0.97344827586206861</v>
      </c>
      <c r="EY10" s="528">
        <f t="shared" si="91"/>
        <v>9.3286476832938024E-3</v>
      </c>
      <c r="EZ10" s="528">
        <f t="shared" si="92"/>
        <v>1.357965921394884</v>
      </c>
      <c r="FA10" s="528">
        <f t="shared" si="93"/>
        <v>1.2833333333333334E-3</v>
      </c>
      <c r="FB10" s="460">
        <f t="shared" si="127"/>
        <v>1359.2492547282172</v>
      </c>
      <c r="FC10" s="173">
        <f t="shared" si="128"/>
        <v>1.9164030991453163</v>
      </c>
      <c r="FD10" s="5">
        <f t="shared" si="129"/>
        <v>7.5</v>
      </c>
      <c r="FE10" s="173">
        <f t="shared" si="130"/>
        <v>0.79648247011438378</v>
      </c>
      <c r="FF10" s="5">
        <f t="shared" si="131"/>
        <v>79.648247011438372</v>
      </c>
      <c r="FI10" s="562">
        <f t="shared" si="94"/>
        <v>-50</v>
      </c>
      <c r="FJ10">
        <f t="shared" si="95"/>
        <v>-50</v>
      </c>
      <c r="FL10">
        <f t="shared" si="96"/>
        <v>0.1</v>
      </c>
    </row>
    <row r="11" spans="2:168">
      <c r="E11" s="170">
        <v>6</v>
      </c>
      <c r="F11" s="217">
        <f t="shared" si="97"/>
        <v>0.6</v>
      </c>
      <c r="G11" s="217"/>
      <c r="H11" s="217">
        <f t="shared" si="0"/>
        <v>9</v>
      </c>
      <c r="I11" s="541">
        <f t="shared" si="1"/>
        <v>57.753268114390089</v>
      </c>
      <c r="J11" s="172">
        <f t="shared" si="2"/>
        <v>15.548039131365949</v>
      </c>
      <c r="K11" s="172">
        <f t="shared" si="3"/>
        <v>73.548039131365954</v>
      </c>
      <c r="L11" s="443"/>
      <c r="M11" s="217">
        <f t="shared" si="4"/>
        <v>0.21213242465171064</v>
      </c>
      <c r="N11" s="172">
        <f t="shared" si="5"/>
        <v>307.17174212440574</v>
      </c>
      <c r="O11" s="172">
        <f t="shared" si="98"/>
        <v>9</v>
      </c>
      <c r="P11" s="217">
        <f t="shared" si="6"/>
        <v>20.478116141627048</v>
      </c>
      <c r="Q11" s="217">
        <f t="shared" si="7"/>
        <v>15</v>
      </c>
      <c r="R11" s="217">
        <f t="shared" si="8"/>
        <v>20.418901327776496</v>
      </c>
      <c r="S11" s="172">
        <f t="shared" si="9"/>
        <v>2348.642737668019</v>
      </c>
      <c r="T11" s="172">
        <f t="shared" si="10"/>
        <v>15</v>
      </c>
      <c r="U11" s="217">
        <f t="shared" si="99"/>
        <v>1.5230985987328152</v>
      </c>
      <c r="V11" s="217">
        <f t="shared" si="11"/>
        <v>0.31647011124275665</v>
      </c>
      <c r="W11" s="217">
        <f t="shared" si="12"/>
        <v>1.1755297906294933</v>
      </c>
      <c r="X11" s="197">
        <f t="shared" si="13"/>
        <v>102.08436319744666</v>
      </c>
      <c r="Y11" s="443">
        <f t="shared" si="14"/>
        <v>350</v>
      </c>
      <c r="AA11" s="217">
        <f t="shared" si="15"/>
        <v>9.9999999999999982</v>
      </c>
      <c r="AB11" s="173">
        <f t="shared" si="16"/>
        <v>7.7180150491078408</v>
      </c>
      <c r="AC11" s="173">
        <f t="shared" si="17"/>
        <v>3.9394432571824192</v>
      </c>
      <c r="AD11" s="173"/>
      <c r="AE11" s="173">
        <f t="shared" si="18"/>
        <v>7.7180150491078416</v>
      </c>
      <c r="AF11" s="545">
        <f t="shared" si="100"/>
        <v>15.548039131365945</v>
      </c>
      <c r="AG11" s="528">
        <f t="shared" si="19"/>
        <v>3.9394432571824201</v>
      </c>
      <c r="AI11" s="173">
        <f t="shared" si="20"/>
        <v>2.1076757090871414</v>
      </c>
      <c r="AJ11" s="173">
        <f t="shared" si="21"/>
        <v>10</v>
      </c>
      <c r="AK11" s="173">
        <f t="shared" si="22"/>
        <v>1.008884593789352</v>
      </c>
      <c r="AM11" s="545">
        <f t="shared" si="23"/>
        <v>600</v>
      </c>
      <c r="AN11" s="460">
        <f t="shared" si="24"/>
        <v>15.548039131365945</v>
      </c>
      <c r="AP11">
        <f t="shared" si="25"/>
        <v>600</v>
      </c>
      <c r="AQ11" s="460">
        <f t="shared" si="26"/>
        <v>15.548039131365945</v>
      </c>
      <c r="AR11" s="460"/>
      <c r="AS11" s="5">
        <f t="shared" si="101"/>
        <v>64.31679207589869</v>
      </c>
      <c r="AT11" s="5">
        <f t="shared" si="27"/>
        <v>2.0778044934586171</v>
      </c>
      <c r="AU11" s="5">
        <f t="shared" si="102"/>
        <v>62.238987582440075</v>
      </c>
      <c r="AV11" s="5">
        <f t="shared" si="28"/>
        <v>7.7180150491078416</v>
      </c>
      <c r="AW11" s="173">
        <f t="shared" si="103"/>
        <v>3.2305785571622572E-2</v>
      </c>
      <c r="AX11" s="173">
        <f t="shared" si="29"/>
        <v>9.328823478819567</v>
      </c>
      <c r="AY11" s="173">
        <f t="shared" si="30"/>
        <v>4.8384710721418873</v>
      </c>
      <c r="AZ11" s="173">
        <f t="shared" si="104"/>
        <v>1.928051927918192</v>
      </c>
      <c r="BA11" s="460">
        <f t="shared" si="31"/>
        <v>8.3112179738344683</v>
      </c>
      <c r="BB11" s="5">
        <f t="shared" si="32"/>
        <v>3.3444943465631649</v>
      </c>
      <c r="BC11" s="5"/>
      <c r="BD11" s="173">
        <f t="shared" si="105"/>
        <v>1.0377184199261791</v>
      </c>
      <c r="BE11" s="173">
        <f t="shared" si="33"/>
        <v>5.6794783047634967</v>
      </c>
      <c r="BF11" s="173"/>
      <c r="BG11" s="528">
        <f t="shared" si="34"/>
        <v>2.1537190381081716E-2</v>
      </c>
      <c r="BH11" s="528">
        <f t="shared" si="35"/>
        <v>0.21441146070932091</v>
      </c>
      <c r="BI11" s="528">
        <f t="shared" si="36"/>
        <v>2.2448751815170153E-2</v>
      </c>
      <c r="BJ11" s="528">
        <f t="shared" si="37"/>
        <v>8.4104226679799846E-3</v>
      </c>
      <c r="BK11">
        <f t="shared" si="38"/>
        <v>2.598897065147554E-2</v>
      </c>
      <c r="BL11" s="460">
        <f t="shared" si="106"/>
        <v>48.437722466645695</v>
      </c>
      <c r="BM11" s="528">
        <f t="shared" si="39"/>
        <v>0.25146090004082705</v>
      </c>
      <c r="BN11" s="460">
        <f t="shared" si="107"/>
        <v>251.46090004082706</v>
      </c>
      <c r="BO11" s="528">
        <f t="shared" si="108"/>
        <v>0.37274999999999997</v>
      </c>
      <c r="BP11" s="528"/>
      <c r="BR11" s="460">
        <f t="shared" si="109"/>
        <v>372.74999999999994</v>
      </c>
      <c r="BS11" s="528">
        <f t="shared" si="40"/>
        <v>3.2305785571622572E-2</v>
      </c>
      <c r="BT11" s="528">
        <f t="shared" si="41"/>
        <v>0.96769421442837711</v>
      </c>
      <c r="BU11" s="528">
        <f t="shared" si="42"/>
        <v>0.13500000000000001</v>
      </c>
      <c r="BV11" s="528">
        <f t="shared" si="43"/>
        <v>1.4945652173913038</v>
      </c>
      <c r="BW11" s="528">
        <f t="shared" si="44"/>
        <v>1.5548039131365948E-3</v>
      </c>
      <c r="BX11" s="460">
        <f t="shared" si="110"/>
        <v>1496.1200213044403</v>
      </c>
      <c r="BY11" s="173">
        <f t="shared" si="45"/>
        <v>2.1687686438119131</v>
      </c>
      <c r="BZ11" s="5">
        <f t="shared" si="111"/>
        <v>9</v>
      </c>
      <c r="CA11" s="173">
        <f t="shared" si="112"/>
        <v>0.80581846459739104</v>
      </c>
      <c r="CB11" s="5">
        <f t="shared" si="113"/>
        <v>80.581846459739097</v>
      </c>
      <c r="CE11" s="562">
        <f t="shared" si="46"/>
        <v>-50</v>
      </c>
      <c r="CF11">
        <f t="shared" si="47"/>
        <v>-50</v>
      </c>
      <c r="CG11" s="173">
        <f t="shared" si="48"/>
        <v>0.12158947322856531</v>
      </c>
      <c r="CI11" s="170">
        <v>6</v>
      </c>
      <c r="CJ11" s="217">
        <f t="shared" si="114"/>
        <v>0.6</v>
      </c>
      <c r="CK11" s="217"/>
      <c r="CL11" s="217">
        <f t="shared" si="49"/>
        <v>9</v>
      </c>
      <c r="CM11" s="541">
        <f t="shared" si="50"/>
        <v>58</v>
      </c>
      <c r="CN11" s="172">
        <f t="shared" si="51"/>
        <v>15.4</v>
      </c>
      <c r="CO11" s="443">
        <f t="shared" si="52"/>
        <v>73.400000000000006</v>
      </c>
      <c r="CP11" s="443"/>
      <c r="CQ11" s="217">
        <f t="shared" si="53"/>
        <v>0.2098092643051771</v>
      </c>
      <c r="CR11" s="172">
        <f t="shared" si="54"/>
        <v>305.10568119891008</v>
      </c>
      <c r="CS11" s="172">
        <f t="shared" si="115"/>
        <v>9</v>
      </c>
      <c r="CT11" s="217">
        <f t="shared" si="55"/>
        <v>20.340378746594006</v>
      </c>
      <c r="CU11" s="217">
        <f t="shared" si="56"/>
        <v>15</v>
      </c>
      <c r="CV11" s="217">
        <f t="shared" si="57"/>
        <v>20.281562216167121</v>
      </c>
      <c r="CW11" s="172">
        <f t="shared" si="58"/>
        <v>2358.6765010234544</v>
      </c>
      <c r="CX11" s="172">
        <f t="shared" si="59"/>
        <v>15</v>
      </c>
      <c r="CY11" s="217">
        <f t="shared" si="60"/>
        <v>1.4791759964173758</v>
      </c>
      <c r="CZ11" s="217">
        <f t="shared" si="61"/>
        <v>0.3060364130518709</v>
      </c>
      <c r="DA11" s="217">
        <f t="shared" si="62"/>
        <v>1.1526046725330203</v>
      </c>
      <c r="DB11" s="197">
        <f t="shared" si="63"/>
        <v>101.4078110808356</v>
      </c>
      <c r="DC11" s="443">
        <f t="shared" si="116"/>
        <v>350</v>
      </c>
      <c r="DE11" s="217">
        <f t="shared" si="64"/>
        <v>10</v>
      </c>
      <c r="DF11" s="173">
        <f t="shared" si="65"/>
        <v>7.7922077922077913</v>
      </c>
      <c r="DG11" s="173">
        <f t="shared" si="66"/>
        <v>3.9509536784741139</v>
      </c>
      <c r="DH11" s="173"/>
      <c r="DI11" s="173">
        <f t="shared" si="67"/>
        <v>7.7922077922077913</v>
      </c>
      <c r="DJ11" s="545">
        <f t="shared" si="117"/>
        <v>15.4</v>
      </c>
      <c r="DK11" s="528">
        <f t="shared" si="68"/>
        <v>3.9509536784741139</v>
      </c>
      <c r="DM11" s="173">
        <f t="shared" si="69"/>
        <v>2.0976176963403033</v>
      </c>
      <c r="DN11" s="173">
        <f t="shared" si="70"/>
        <v>10</v>
      </c>
      <c r="DO11" s="173">
        <f t="shared" si="71"/>
        <v>1.0087999999999999</v>
      </c>
      <c r="DQ11" s="545">
        <f t="shared" si="72"/>
        <v>600</v>
      </c>
      <c r="DR11" s="460">
        <f t="shared" si="73"/>
        <v>15.4</v>
      </c>
      <c r="DT11">
        <f t="shared" si="74"/>
        <v>600</v>
      </c>
      <c r="DU11" s="460">
        <f t="shared" si="75"/>
        <v>15.4</v>
      </c>
      <c r="DV11" s="460"/>
      <c r="DW11" s="5">
        <f t="shared" si="118"/>
        <v>64.935064935064929</v>
      </c>
      <c r="DX11" s="5">
        <f t="shared" si="76"/>
        <v>2.068965517241379</v>
      </c>
      <c r="DY11" s="5">
        <f t="shared" si="119"/>
        <v>62.866099417823548</v>
      </c>
      <c r="DZ11" s="5">
        <f t="shared" si="77"/>
        <v>7.7922077922077913</v>
      </c>
      <c r="EA11" s="173">
        <f t="shared" si="120"/>
        <v>3.1862068965517243E-2</v>
      </c>
      <c r="EB11" s="173">
        <f t="shared" si="78"/>
        <v>9.240000000000002</v>
      </c>
      <c r="EC11" s="173">
        <f t="shared" si="79"/>
        <v>4.8406896551724135</v>
      </c>
      <c r="ED11" s="173">
        <f t="shared" si="121"/>
        <v>1.9088189200740853</v>
      </c>
      <c r="EE11" s="460">
        <f t="shared" si="80"/>
        <v>8.275862068965516</v>
      </c>
      <c r="EF11" s="5">
        <f t="shared" si="81"/>
        <v>3.3638222042830672</v>
      </c>
      <c r="EG11" s="5"/>
      <c r="EH11" s="173">
        <f t="shared" si="122"/>
        <v>1.0305673027596216</v>
      </c>
      <c r="EI11" s="173">
        <f t="shared" si="82"/>
        <v>5.6807802604762045</v>
      </c>
      <c r="EJ11" s="173"/>
      <c r="EK11" s="528">
        <f t="shared" si="83"/>
        <v>2.1241379310344831E-2</v>
      </c>
      <c r="EL11" s="528">
        <f t="shared" si="84"/>
        <v>0.226072</v>
      </c>
      <c r="EM11" s="528">
        <f t="shared" si="85"/>
        <v>1.9249999999999998E-3</v>
      </c>
      <c r="EN11" s="528">
        <f t="shared" si="86"/>
        <v>8.2968424000000006E-3</v>
      </c>
      <c r="EO11">
        <f t="shared" si="87"/>
        <v>2.6099999999999998E-2</v>
      </c>
      <c r="EP11" s="460">
        <f t="shared" si="123"/>
        <v>28.024999999999999</v>
      </c>
      <c r="EQ11" s="528">
        <f t="shared" si="88"/>
        <v>0.29083824068440534</v>
      </c>
      <c r="ER11" s="460">
        <f t="shared" si="124"/>
        <v>290.83824068440532</v>
      </c>
      <c r="ES11" s="528">
        <f t="shared" si="125"/>
        <v>0.37274999999999997</v>
      </c>
      <c r="ET11" s="528"/>
      <c r="EV11" s="460">
        <f t="shared" si="126"/>
        <v>372.74999999999994</v>
      </c>
      <c r="EW11" s="528">
        <f t="shared" si="89"/>
        <v>3.1862068965517243E-2</v>
      </c>
      <c r="EX11" s="528">
        <f t="shared" si="90"/>
        <v>0.96813793103448276</v>
      </c>
      <c r="EY11" s="528">
        <f t="shared" si="91"/>
        <v>1.4715391009415983E-2</v>
      </c>
      <c r="EZ11" s="528">
        <f t="shared" si="92"/>
        <v>1.3638210771841477</v>
      </c>
      <c r="FA11" s="528">
        <f t="shared" si="93"/>
        <v>1.5400000000000001E-3</v>
      </c>
      <c r="FB11" s="460">
        <f t="shared" si="127"/>
        <v>1365.3610771841477</v>
      </c>
      <c r="FC11" s="173">
        <f t="shared" si="128"/>
        <v>2.0289493178685531</v>
      </c>
      <c r="FD11" s="5">
        <f t="shared" si="129"/>
        <v>9</v>
      </c>
      <c r="FE11" s="173">
        <f t="shared" si="130"/>
        <v>0.81603421510140128</v>
      </c>
      <c r="FF11" s="5">
        <f t="shared" si="131"/>
        <v>81.603421510140123</v>
      </c>
      <c r="FI11" s="562">
        <f t="shared" si="94"/>
        <v>-50</v>
      </c>
      <c r="FJ11">
        <f t="shared" si="95"/>
        <v>-50</v>
      </c>
      <c r="FL11">
        <f t="shared" si="96"/>
        <v>0.12000000000000001</v>
      </c>
    </row>
    <row r="12" spans="2:168">
      <c r="E12" s="170">
        <v>7</v>
      </c>
      <c r="F12" s="217">
        <f t="shared" si="97"/>
        <v>0.70000000000000007</v>
      </c>
      <c r="G12" s="217"/>
      <c r="H12" s="217">
        <f t="shared" si="0"/>
        <v>10.500000000000002</v>
      </c>
      <c r="I12" s="541">
        <f t="shared" si="1"/>
        <v>57.753268114390089</v>
      </c>
      <c r="J12" s="172">
        <f t="shared" si="2"/>
        <v>15.548039131365949</v>
      </c>
      <c r="K12" s="172">
        <f t="shared" si="3"/>
        <v>73.548039131365954</v>
      </c>
      <c r="L12" s="443"/>
      <c r="M12" s="217">
        <f t="shared" si="4"/>
        <v>0.21213242465171064</v>
      </c>
      <c r="N12" s="172">
        <f t="shared" si="5"/>
        <v>307.17174212440574</v>
      </c>
      <c r="O12" s="172">
        <f t="shared" si="98"/>
        <v>10.500000000000002</v>
      </c>
      <c r="P12" s="217">
        <f t="shared" si="6"/>
        <v>20.478116141627048</v>
      </c>
      <c r="Q12" s="217">
        <f t="shared" si="7"/>
        <v>15</v>
      </c>
      <c r="R12" s="217">
        <f t="shared" si="8"/>
        <v>20.418901327776496</v>
      </c>
      <c r="S12" s="172">
        <f t="shared" si="9"/>
        <v>2004.8749705257671</v>
      </c>
      <c r="T12" s="172">
        <f t="shared" si="10"/>
        <v>15</v>
      </c>
      <c r="U12" s="217">
        <f t="shared" si="99"/>
        <v>1.7769483651882845</v>
      </c>
      <c r="V12" s="217">
        <f t="shared" si="11"/>
        <v>0.36921512978321613</v>
      </c>
      <c r="W12" s="217">
        <f t="shared" si="12"/>
        <v>1.3714514224010756</v>
      </c>
      <c r="X12" s="197">
        <f t="shared" si="13"/>
        <v>102.08436319744666</v>
      </c>
      <c r="Y12" s="443">
        <f t="shared" si="14"/>
        <v>350</v>
      </c>
      <c r="AA12" s="217">
        <f t="shared" si="15"/>
        <v>9.9999999999999982</v>
      </c>
      <c r="AB12" s="173">
        <f t="shared" si="16"/>
        <v>7.7180150491078408</v>
      </c>
      <c r="AC12" s="173">
        <f t="shared" si="17"/>
        <v>3.9394432571824192</v>
      </c>
      <c r="AD12" s="173"/>
      <c r="AE12" s="173">
        <f t="shared" si="18"/>
        <v>7.7180150491078416</v>
      </c>
      <c r="AF12" s="545">
        <f t="shared" si="100"/>
        <v>18.139378986593606</v>
      </c>
      <c r="AG12" s="528">
        <f t="shared" si="19"/>
        <v>3.9394432571824201</v>
      </c>
      <c r="AI12" s="173">
        <f t="shared" si="20"/>
        <v>2.2765499578211141</v>
      </c>
      <c r="AJ12" s="173">
        <f t="shared" si="21"/>
        <v>10</v>
      </c>
      <c r="AK12" s="173">
        <f t="shared" si="22"/>
        <v>1.0103653594209105</v>
      </c>
      <c r="AM12" s="545">
        <f t="shared" si="23"/>
        <v>700.00000000000011</v>
      </c>
      <c r="AN12" s="460">
        <f t="shared" si="24"/>
        <v>18.139378986593606</v>
      </c>
      <c r="AP12">
        <f t="shared" si="25"/>
        <v>700.00000000000011</v>
      </c>
      <c r="AQ12" s="460">
        <f t="shared" si="26"/>
        <v>18.139378986593606</v>
      </c>
      <c r="AR12" s="460"/>
      <c r="AS12" s="5">
        <f t="shared" si="101"/>
        <v>55.128678922198866</v>
      </c>
      <c r="AT12" s="5">
        <f t="shared" si="27"/>
        <v>2.0778044934586171</v>
      </c>
      <c r="AU12" s="5">
        <f t="shared" si="102"/>
        <v>53.050874428740251</v>
      </c>
      <c r="AV12" s="5">
        <f t="shared" si="28"/>
        <v>7.7180150491078416</v>
      </c>
      <c r="AW12" s="173">
        <f t="shared" si="103"/>
        <v>3.7690083166893013E-2</v>
      </c>
      <c r="AX12" s="173">
        <f t="shared" si="29"/>
        <v>10.883627391956164</v>
      </c>
      <c r="AY12" s="173">
        <f t="shared" si="30"/>
        <v>4.8115495841655349</v>
      </c>
      <c r="AZ12" s="173">
        <f t="shared" si="104"/>
        <v>2.2619796806778014</v>
      </c>
      <c r="BA12" s="460">
        <f t="shared" si="31"/>
        <v>9.6964209694735466</v>
      </c>
      <c r="BB12" s="5">
        <f t="shared" si="32"/>
        <v>3.3258854176276609</v>
      </c>
      <c r="BC12" s="5"/>
      <c r="BD12" s="173">
        <f t="shared" si="105"/>
        <v>1.1208639995838479</v>
      </c>
      <c r="BE12" s="173">
        <f t="shared" si="33"/>
        <v>5.6636558182652861</v>
      </c>
      <c r="BF12" s="173"/>
      <c r="BG12" s="528">
        <f t="shared" si="34"/>
        <v>2.5126722111262004E-2</v>
      </c>
      <c r="BH12" s="528">
        <f t="shared" si="35"/>
        <v>0.25014670416087448</v>
      </c>
      <c r="BI12" s="528">
        <f t="shared" si="36"/>
        <v>2.6190210451031849E-2</v>
      </c>
      <c r="BJ12" s="528">
        <f t="shared" si="37"/>
        <v>9.8121597793099837E-3</v>
      </c>
      <c r="BK12">
        <f t="shared" si="38"/>
        <v>2.598897065147554E-2</v>
      </c>
      <c r="BL12" s="460">
        <f t="shared" si="106"/>
        <v>52.179181102507393</v>
      </c>
      <c r="BM12" s="528">
        <f t="shared" si="39"/>
        <v>0.29362276096028445</v>
      </c>
      <c r="BN12" s="460">
        <f t="shared" si="107"/>
        <v>293.62276096028444</v>
      </c>
      <c r="BO12" s="528">
        <f t="shared" si="108"/>
        <v>0.43487499999999996</v>
      </c>
      <c r="BP12" s="528"/>
      <c r="BR12" s="460">
        <f t="shared" si="109"/>
        <v>434.87499999999994</v>
      </c>
      <c r="BS12" s="528">
        <f t="shared" si="40"/>
        <v>3.7690083166893006E-2</v>
      </c>
      <c r="BT12" s="528">
        <f t="shared" si="41"/>
        <v>0.96230991683310685</v>
      </c>
      <c r="BU12" s="528">
        <f t="shared" si="42"/>
        <v>0.15750000000000003</v>
      </c>
      <c r="BV12" s="528">
        <f t="shared" si="43"/>
        <v>1.5190217391304344</v>
      </c>
      <c r="BW12" s="528">
        <f t="shared" si="44"/>
        <v>1.8139378986593607E-3</v>
      </c>
      <c r="BX12" s="460">
        <f t="shared" si="110"/>
        <v>1520.8356770290939</v>
      </c>
      <c r="BY12" s="173">
        <f t="shared" si="45"/>
        <v>2.3015126190918855</v>
      </c>
      <c r="BZ12" s="5">
        <f t="shared" si="111"/>
        <v>10.500000000000002</v>
      </c>
      <c r="CA12" s="173">
        <f t="shared" si="112"/>
        <v>0.82021557236451403</v>
      </c>
      <c r="CB12" s="5">
        <f t="shared" si="113"/>
        <v>82.0215572364514</v>
      </c>
      <c r="CE12" s="562">
        <f t="shared" si="46"/>
        <v>-50</v>
      </c>
      <c r="CF12">
        <f t="shared" si="47"/>
        <v>-50</v>
      </c>
      <c r="CG12" s="173">
        <f t="shared" si="48"/>
        <v>0.14185438543332621</v>
      </c>
      <c r="CI12" s="170">
        <v>7</v>
      </c>
      <c r="CJ12" s="217">
        <f t="shared" si="114"/>
        <v>0.70000000000000007</v>
      </c>
      <c r="CK12" s="217"/>
      <c r="CL12" s="217">
        <f t="shared" si="49"/>
        <v>10.500000000000002</v>
      </c>
      <c r="CM12" s="541">
        <f t="shared" si="50"/>
        <v>58</v>
      </c>
      <c r="CN12" s="172">
        <f t="shared" si="51"/>
        <v>15.4</v>
      </c>
      <c r="CO12" s="443">
        <f t="shared" si="52"/>
        <v>73.400000000000006</v>
      </c>
      <c r="CP12" s="443"/>
      <c r="CQ12" s="217">
        <f t="shared" si="53"/>
        <v>0.2098092643051771</v>
      </c>
      <c r="CR12" s="172">
        <f t="shared" si="54"/>
        <v>305.10568119891008</v>
      </c>
      <c r="CS12" s="172">
        <f t="shared" si="115"/>
        <v>10.500000000000002</v>
      </c>
      <c r="CT12" s="217">
        <f t="shared" si="55"/>
        <v>20.340378746594006</v>
      </c>
      <c r="CU12" s="217">
        <f t="shared" si="56"/>
        <v>15</v>
      </c>
      <c r="CV12" s="217">
        <f t="shared" si="57"/>
        <v>20.281562216167121</v>
      </c>
      <c r="CW12" s="172">
        <f t="shared" si="58"/>
        <v>2013.4400917077116</v>
      </c>
      <c r="CX12" s="172">
        <f t="shared" si="59"/>
        <v>15</v>
      </c>
      <c r="CY12" s="217">
        <f t="shared" si="60"/>
        <v>1.7257053291536053</v>
      </c>
      <c r="CZ12" s="217">
        <f t="shared" si="61"/>
        <v>0.35704248189384941</v>
      </c>
      <c r="DA12" s="217">
        <f t="shared" si="62"/>
        <v>1.3447054512885235</v>
      </c>
      <c r="DB12" s="197">
        <f t="shared" si="63"/>
        <v>101.4078110808356</v>
      </c>
      <c r="DC12" s="443">
        <f t="shared" si="116"/>
        <v>350</v>
      </c>
      <c r="DE12" s="217">
        <f t="shared" si="64"/>
        <v>10</v>
      </c>
      <c r="DF12" s="173">
        <f t="shared" si="65"/>
        <v>7.7922077922077913</v>
      </c>
      <c r="DG12" s="173">
        <f t="shared" si="66"/>
        <v>3.9509536784741139</v>
      </c>
      <c r="DH12" s="173"/>
      <c r="DI12" s="173">
        <f t="shared" si="67"/>
        <v>7.7922077922077913</v>
      </c>
      <c r="DJ12" s="545">
        <f t="shared" si="117"/>
        <v>17.966666666666669</v>
      </c>
      <c r="DK12" s="528">
        <f t="shared" si="68"/>
        <v>3.9509536784741139</v>
      </c>
      <c r="DM12" s="173">
        <f t="shared" si="69"/>
        <v>2.2656860623955239</v>
      </c>
      <c r="DN12" s="173">
        <f t="shared" si="70"/>
        <v>10</v>
      </c>
      <c r="DO12" s="173">
        <f t="shared" si="71"/>
        <v>1.0102666666666666</v>
      </c>
      <c r="DQ12" s="545">
        <f t="shared" si="72"/>
        <v>700.00000000000011</v>
      </c>
      <c r="DR12" s="460">
        <f t="shared" si="73"/>
        <v>17.966666666666669</v>
      </c>
      <c r="DT12">
        <f t="shared" si="74"/>
        <v>700.00000000000011</v>
      </c>
      <c r="DU12" s="460">
        <f t="shared" si="75"/>
        <v>17.966666666666669</v>
      </c>
      <c r="DV12" s="460"/>
      <c r="DW12" s="5">
        <f t="shared" si="118"/>
        <v>55.658627087198511</v>
      </c>
      <c r="DX12" s="5">
        <f t="shared" si="76"/>
        <v>2.068965517241379</v>
      </c>
      <c r="DY12" s="5">
        <f t="shared" si="119"/>
        <v>53.58966156995713</v>
      </c>
      <c r="DZ12" s="5">
        <f t="shared" si="77"/>
        <v>7.7922077922077913</v>
      </c>
      <c r="EA12" s="173">
        <f t="shared" si="120"/>
        <v>3.7172413793103445E-2</v>
      </c>
      <c r="EB12" s="173">
        <f t="shared" si="78"/>
        <v>10.780000000000001</v>
      </c>
      <c r="EC12" s="173">
        <f t="shared" si="79"/>
        <v>4.814137931034483</v>
      </c>
      <c r="ED12" s="173">
        <f t="shared" si="121"/>
        <v>2.2392378769429127</v>
      </c>
      <c r="EE12" s="460">
        <f t="shared" si="80"/>
        <v>9.6551724137931032</v>
      </c>
      <c r="EF12" s="5">
        <f t="shared" si="81"/>
        <v>3.3453712632850765</v>
      </c>
      <c r="EG12" s="5"/>
      <c r="EH12" s="173">
        <f t="shared" si="122"/>
        <v>1.1131399102404491</v>
      </c>
      <c r="EI12" s="173">
        <f t="shared" si="82"/>
        <v>5.6651789798349022</v>
      </c>
      <c r="EJ12" s="173"/>
      <c r="EK12" s="528">
        <f t="shared" si="83"/>
        <v>2.4781609195402302E-2</v>
      </c>
      <c r="EL12" s="528">
        <f t="shared" si="84"/>
        <v>0.26375066666666669</v>
      </c>
      <c r="EM12" s="528">
        <f t="shared" si="85"/>
        <v>2.2458333333333336E-3</v>
      </c>
      <c r="EN12" s="528">
        <f t="shared" si="86"/>
        <v>9.6796494666666708E-3</v>
      </c>
      <c r="EO12">
        <f t="shared" si="87"/>
        <v>2.6099999999999998E-2</v>
      </c>
      <c r="EP12" s="460">
        <f t="shared" si="123"/>
        <v>28.345833333333331</v>
      </c>
      <c r="EQ12" s="528">
        <f t="shared" si="88"/>
        <v>0.33522262092692773</v>
      </c>
      <c r="ER12" s="460">
        <f t="shared" si="124"/>
        <v>335.22262092692773</v>
      </c>
      <c r="ES12" s="528">
        <f t="shared" si="125"/>
        <v>0.43487499999999996</v>
      </c>
      <c r="ET12" s="528"/>
      <c r="EV12" s="460">
        <f t="shared" si="126"/>
        <v>434.87499999999994</v>
      </c>
      <c r="EW12" s="528">
        <f t="shared" si="89"/>
        <v>3.7172413793103452E-2</v>
      </c>
      <c r="EX12" s="528">
        <f t="shared" si="90"/>
        <v>0.96282758620689657</v>
      </c>
      <c r="EY12" s="528">
        <f t="shared" si="91"/>
        <v>2.1634097393415055E-2</v>
      </c>
      <c r="EZ12" s="528">
        <f t="shared" si="92"/>
        <v>1.3713414102102337</v>
      </c>
      <c r="FA12" s="528">
        <f t="shared" si="93"/>
        <v>1.7966666666666671E-3</v>
      </c>
      <c r="FB12" s="460">
        <f t="shared" si="127"/>
        <v>1373.1380768769004</v>
      </c>
      <c r="FC12" s="173">
        <f t="shared" si="128"/>
        <v>2.1432356978038278</v>
      </c>
      <c r="FD12" s="5">
        <f t="shared" si="129"/>
        <v>10.500000000000002</v>
      </c>
      <c r="FE12" s="173">
        <f t="shared" si="130"/>
        <v>0.83048360807066857</v>
      </c>
      <c r="FF12" s="5">
        <f t="shared" si="131"/>
        <v>83.048360807066857</v>
      </c>
      <c r="FI12" s="562">
        <f t="shared" si="94"/>
        <v>-50</v>
      </c>
      <c r="FJ12">
        <f t="shared" si="95"/>
        <v>-50</v>
      </c>
      <c r="FL12">
        <f t="shared" si="96"/>
        <v>0.14000000000000001</v>
      </c>
    </row>
    <row r="13" spans="2:168" s="76" customFormat="1">
      <c r="E13" s="189">
        <v>8</v>
      </c>
      <c r="F13" s="217">
        <f t="shared" si="97"/>
        <v>0.8</v>
      </c>
      <c r="G13" s="217"/>
      <c r="H13" s="217">
        <f t="shared" si="0"/>
        <v>12</v>
      </c>
      <c r="I13" s="541">
        <f t="shared" si="1"/>
        <v>57.753268114390089</v>
      </c>
      <c r="J13" s="172">
        <f t="shared" si="2"/>
        <v>15.548039131365949</v>
      </c>
      <c r="K13" s="172">
        <f t="shared" si="3"/>
        <v>73.548039131365954</v>
      </c>
      <c r="L13" s="535"/>
      <c r="M13" s="217">
        <f t="shared" si="4"/>
        <v>0.21213242465171064</v>
      </c>
      <c r="N13" s="172">
        <f t="shared" si="5"/>
        <v>307.17174212440574</v>
      </c>
      <c r="O13" s="172">
        <f t="shared" si="98"/>
        <v>12</v>
      </c>
      <c r="P13" s="329">
        <f t="shared" si="6"/>
        <v>20.478116141627048</v>
      </c>
      <c r="Q13" s="217">
        <f t="shared" si="7"/>
        <v>15</v>
      </c>
      <c r="R13" s="217">
        <f t="shared" si="8"/>
        <v>20.418901327776496</v>
      </c>
      <c r="S13" s="172">
        <f t="shared" si="9"/>
        <v>1747.0495804739153</v>
      </c>
      <c r="T13" s="172">
        <f t="shared" si="10"/>
        <v>15</v>
      </c>
      <c r="U13" s="217">
        <f t="shared" si="99"/>
        <v>2.0307981316437536</v>
      </c>
      <c r="V13" s="217">
        <f t="shared" si="11"/>
        <v>0.42196014832367557</v>
      </c>
      <c r="W13" s="217">
        <f t="shared" si="12"/>
        <v>1.5673730541726578</v>
      </c>
      <c r="X13" s="537">
        <f t="shared" si="13"/>
        <v>102.08436319744666</v>
      </c>
      <c r="Y13" s="443">
        <f t="shared" si="14"/>
        <v>350</v>
      </c>
      <c r="AA13" s="329">
        <f t="shared" si="15"/>
        <v>9.9999999999999982</v>
      </c>
      <c r="AB13" s="173">
        <f t="shared" si="16"/>
        <v>7.7180150491078408</v>
      </c>
      <c r="AC13" s="538">
        <f t="shared" si="17"/>
        <v>3.9394432571824192</v>
      </c>
      <c r="AD13" s="538"/>
      <c r="AE13" s="173">
        <f t="shared" si="18"/>
        <v>7.7180150491078416</v>
      </c>
      <c r="AF13" s="545">
        <f t="shared" si="100"/>
        <v>20.730718841821265</v>
      </c>
      <c r="AG13" s="528">
        <f t="shared" si="19"/>
        <v>3.9394432571824201</v>
      </c>
      <c r="AH13"/>
      <c r="AI13" s="173">
        <f t="shared" si="20"/>
        <v>2.4337342760117933</v>
      </c>
      <c r="AJ13" s="173">
        <f t="shared" si="21"/>
        <v>10</v>
      </c>
      <c r="AK13" s="173">
        <f t="shared" si="22"/>
        <v>1.0118461250524693</v>
      </c>
      <c r="AM13" s="545">
        <f t="shared" si="23"/>
        <v>800</v>
      </c>
      <c r="AN13" s="460">
        <f t="shared" si="24"/>
        <v>20.730718841821265</v>
      </c>
      <c r="AP13">
        <f t="shared" si="25"/>
        <v>800</v>
      </c>
      <c r="AQ13" s="460">
        <f t="shared" si="26"/>
        <v>20.730718841821265</v>
      </c>
      <c r="AR13" s="460"/>
      <c r="AS13" s="5">
        <f t="shared" si="101"/>
        <v>48.23759405692401</v>
      </c>
      <c r="AT13" s="5">
        <f t="shared" si="27"/>
        <v>2.0778044934586171</v>
      </c>
      <c r="AU13" s="5">
        <f t="shared" si="102"/>
        <v>46.159789563465395</v>
      </c>
      <c r="AV13" s="5">
        <f t="shared" si="28"/>
        <v>7.7180150491078416</v>
      </c>
      <c r="AW13" s="173">
        <f t="shared" si="103"/>
        <v>4.3074380762163439E-2</v>
      </c>
      <c r="AX13" s="173">
        <f t="shared" si="29"/>
        <v>12.43843130509276</v>
      </c>
      <c r="AY13" s="173">
        <f t="shared" si="30"/>
        <v>4.7846280961891825</v>
      </c>
      <c r="AZ13" s="173">
        <f t="shared" si="104"/>
        <v>2.59966523103428</v>
      </c>
      <c r="BA13" s="460">
        <f t="shared" si="31"/>
        <v>11.081623965112623</v>
      </c>
      <c r="BB13" s="5">
        <f t="shared" si="32"/>
        <v>3.3072764886921568</v>
      </c>
      <c r="BC13" s="5"/>
      <c r="BD13" s="173">
        <f t="shared" si="105"/>
        <v>1.1982540181748251</v>
      </c>
      <c r="BE13" s="173">
        <f t="shared" si="33"/>
        <v>5.6477890046691028</v>
      </c>
      <c r="BF13" s="173"/>
      <c r="BG13" s="528">
        <f t="shared" si="34"/>
        <v>2.8716253841442285E-2</v>
      </c>
      <c r="BH13" s="528">
        <f t="shared" si="35"/>
        <v>0.28588194761242797</v>
      </c>
      <c r="BI13" s="528">
        <f t="shared" si="36"/>
        <v>2.9931669086893545E-2</v>
      </c>
      <c r="BJ13" s="528">
        <f t="shared" si="37"/>
        <v>1.1213896890639981E-2</v>
      </c>
      <c r="BK13">
        <f t="shared" si="38"/>
        <v>2.598897065147554E-2</v>
      </c>
      <c r="BL13" s="460">
        <f t="shared" si="106"/>
        <v>55.920639738369083</v>
      </c>
      <c r="BM13" s="528">
        <f t="shared" si="39"/>
        <v>0.3358570333454779</v>
      </c>
      <c r="BN13" s="460">
        <f t="shared" si="107"/>
        <v>335.85703334547787</v>
      </c>
      <c r="BO13" s="528">
        <f t="shared" si="108"/>
        <v>0.49699999999999994</v>
      </c>
      <c r="BP13" s="528"/>
      <c r="BR13" s="460">
        <f t="shared" si="109"/>
        <v>496.99999999999994</v>
      </c>
      <c r="BS13" s="528">
        <f t="shared" si="40"/>
        <v>4.3074380762163425E-2</v>
      </c>
      <c r="BT13" s="528">
        <f t="shared" si="41"/>
        <v>0.95692561923783648</v>
      </c>
      <c r="BU13" s="528">
        <f t="shared" si="42"/>
        <v>0.18</v>
      </c>
      <c r="BV13" s="528">
        <f t="shared" si="43"/>
        <v>1.5434782608695647</v>
      </c>
      <c r="BW13" s="528">
        <f t="shared" si="44"/>
        <v>2.0730718841821265E-3</v>
      </c>
      <c r="BX13" s="460">
        <f t="shared" si="110"/>
        <v>1545.5513327537469</v>
      </c>
      <c r="BY13" s="173">
        <f t="shared" si="45"/>
        <v>2.4343290058375935</v>
      </c>
      <c r="BZ13" s="5">
        <f t="shared" si="111"/>
        <v>12</v>
      </c>
      <c r="CA13" s="173">
        <f t="shared" si="112"/>
        <v>0.83135142583676103</v>
      </c>
      <c r="CB13" s="5">
        <f t="shared" si="113"/>
        <v>83.1351425836761</v>
      </c>
      <c r="CE13" s="562">
        <f t="shared" si="46"/>
        <v>-50</v>
      </c>
      <c r="CF13">
        <f t="shared" si="47"/>
        <v>-50</v>
      </c>
      <c r="CG13" s="173">
        <f t="shared" si="48"/>
        <v>0.16211929763808711</v>
      </c>
      <c r="CH13"/>
      <c r="CI13" s="189">
        <v>8</v>
      </c>
      <c r="CJ13" s="217">
        <f t="shared" si="114"/>
        <v>0.8</v>
      </c>
      <c r="CK13" s="217"/>
      <c r="CL13" s="217">
        <f t="shared" si="49"/>
        <v>12</v>
      </c>
      <c r="CM13" s="541">
        <f t="shared" si="50"/>
        <v>58</v>
      </c>
      <c r="CN13" s="172">
        <f t="shared" si="51"/>
        <v>15.4</v>
      </c>
      <c r="CO13" s="535">
        <f t="shared" si="52"/>
        <v>73.400000000000006</v>
      </c>
      <c r="CP13" s="535"/>
      <c r="CQ13" s="329">
        <f t="shared" si="53"/>
        <v>0.2098092643051771</v>
      </c>
      <c r="CR13" s="172">
        <f t="shared" si="54"/>
        <v>305.10568119891008</v>
      </c>
      <c r="CS13" s="172">
        <f t="shared" si="115"/>
        <v>12</v>
      </c>
      <c r="CT13" s="329">
        <f t="shared" si="55"/>
        <v>20.340378746594006</v>
      </c>
      <c r="CU13" s="217">
        <f t="shared" si="56"/>
        <v>15</v>
      </c>
      <c r="CV13" s="217">
        <f t="shared" si="57"/>
        <v>20.281562216167121</v>
      </c>
      <c r="CW13" s="172">
        <f t="shared" si="58"/>
        <v>1754.5132200269136</v>
      </c>
      <c r="CX13" s="172">
        <f t="shared" si="59"/>
        <v>15</v>
      </c>
      <c r="CY13" s="217">
        <f t="shared" si="60"/>
        <v>1.9722346618898343</v>
      </c>
      <c r="CZ13" s="329">
        <f t="shared" si="61"/>
        <v>0.40804855073582785</v>
      </c>
      <c r="DA13" s="217">
        <f t="shared" si="62"/>
        <v>1.5368062300440268</v>
      </c>
      <c r="DB13" s="537">
        <f t="shared" si="63"/>
        <v>101.4078110808356</v>
      </c>
      <c r="DC13" s="535">
        <f t="shared" si="116"/>
        <v>350</v>
      </c>
      <c r="DE13" s="329">
        <f t="shared" si="64"/>
        <v>10</v>
      </c>
      <c r="DF13" s="173">
        <f t="shared" si="65"/>
        <v>7.7922077922077913</v>
      </c>
      <c r="DG13" s="538">
        <f t="shared" si="66"/>
        <v>3.9509536784741139</v>
      </c>
      <c r="DH13" s="538"/>
      <c r="DI13" s="173">
        <f t="shared" si="67"/>
        <v>7.7922077922077913</v>
      </c>
      <c r="DJ13" s="545">
        <f t="shared" si="117"/>
        <v>20.533333333333335</v>
      </c>
      <c r="DK13" s="528">
        <f t="shared" si="68"/>
        <v>3.9509536784741139</v>
      </c>
      <c r="DL13"/>
      <c r="DM13" s="173">
        <f t="shared" si="69"/>
        <v>2.4221202832779936</v>
      </c>
      <c r="DN13" s="173">
        <f t="shared" si="70"/>
        <v>10</v>
      </c>
      <c r="DO13" s="173">
        <f t="shared" si="71"/>
        <v>1.0117333333333334</v>
      </c>
      <c r="DQ13" s="545">
        <f t="shared" si="72"/>
        <v>800</v>
      </c>
      <c r="DR13" s="460">
        <f t="shared" si="73"/>
        <v>20.533333333333335</v>
      </c>
      <c r="DT13">
        <f t="shared" si="74"/>
        <v>800</v>
      </c>
      <c r="DU13" s="460">
        <f t="shared" si="75"/>
        <v>20.533333333333335</v>
      </c>
      <c r="DV13" s="460"/>
      <c r="DW13" s="5">
        <f t="shared" si="118"/>
        <v>48.701298701298697</v>
      </c>
      <c r="DX13" s="5">
        <f t="shared" si="76"/>
        <v>2.068965517241379</v>
      </c>
      <c r="DY13" s="5">
        <f t="shared" si="119"/>
        <v>46.632333184057316</v>
      </c>
      <c r="DZ13" s="5">
        <f t="shared" si="77"/>
        <v>7.7922077922077913</v>
      </c>
      <c r="EA13" s="173">
        <f t="shared" si="120"/>
        <v>4.2482758620689655E-2</v>
      </c>
      <c r="EB13" s="173">
        <f t="shared" si="78"/>
        <v>12.320000000000002</v>
      </c>
      <c r="EC13" s="173">
        <f t="shared" si="79"/>
        <v>4.7875862068965516</v>
      </c>
      <c r="ED13" s="173">
        <f t="shared" si="121"/>
        <v>2.5733218092768659</v>
      </c>
      <c r="EE13" s="460">
        <f t="shared" si="80"/>
        <v>11.034482758620689</v>
      </c>
      <c r="EF13" s="5">
        <f t="shared" si="81"/>
        <v>3.3269203222870849</v>
      </c>
      <c r="EG13" s="5"/>
      <c r="EH13" s="173">
        <f t="shared" si="122"/>
        <v>1.1899966193325882</v>
      </c>
      <c r="EI13" s="173">
        <f t="shared" si="82"/>
        <v>5.6495346161706408</v>
      </c>
      <c r="EJ13" s="173"/>
      <c r="EK13" s="528">
        <f t="shared" si="83"/>
        <v>2.8321839080459776E-2</v>
      </c>
      <c r="EL13" s="528">
        <f t="shared" si="84"/>
        <v>0.30142933333333338</v>
      </c>
      <c r="EM13" s="528">
        <f t="shared" si="85"/>
        <v>2.5666666666666667E-3</v>
      </c>
      <c r="EN13" s="528">
        <f t="shared" si="86"/>
        <v>1.1062456533333336E-2</v>
      </c>
      <c r="EO13">
        <f t="shared" si="87"/>
        <v>2.6099999999999998E-2</v>
      </c>
      <c r="EP13" s="460">
        <f t="shared" si="123"/>
        <v>28.666666666666668</v>
      </c>
      <c r="EQ13" s="528">
        <f t="shared" si="88"/>
        <v>0.37968217564685774</v>
      </c>
      <c r="ER13" s="460">
        <f t="shared" si="124"/>
        <v>379.68217564685773</v>
      </c>
      <c r="ES13" s="528">
        <f t="shared" si="125"/>
        <v>0.49699999999999994</v>
      </c>
      <c r="ET13" s="528"/>
      <c r="EV13" s="460">
        <f t="shared" si="126"/>
        <v>496.99999999999994</v>
      </c>
      <c r="EW13" s="528">
        <f t="shared" si="89"/>
        <v>4.2482758620689662E-2</v>
      </c>
      <c r="EX13" s="528">
        <f t="shared" si="90"/>
        <v>0.95751724137931049</v>
      </c>
      <c r="EY13" s="528">
        <f t="shared" si="91"/>
        <v>3.0207768748504567E-2</v>
      </c>
      <c r="EZ13" s="528">
        <f t="shared" si="92"/>
        <v>1.3806606182048966</v>
      </c>
      <c r="FA13" s="528">
        <f t="shared" si="93"/>
        <v>2.0533333333333337E-3</v>
      </c>
      <c r="FB13" s="460">
        <f t="shared" si="127"/>
        <v>1382.7139515382298</v>
      </c>
      <c r="FC13" s="173">
        <f t="shared" si="128"/>
        <v>2.259396127185088</v>
      </c>
      <c r="FD13" s="5">
        <f t="shared" si="129"/>
        <v>12</v>
      </c>
      <c r="FE13" s="173">
        <f t="shared" si="130"/>
        <v>0.84155036391214211</v>
      </c>
      <c r="FF13" s="5">
        <f t="shared" si="131"/>
        <v>84.15503639121421</v>
      </c>
      <c r="FI13" s="562">
        <f t="shared" si="94"/>
        <v>-50</v>
      </c>
      <c r="FJ13">
        <f t="shared" si="95"/>
        <v>-50</v>
      </c>
      <c r="FL13">
        <f t="shared" si="96"/>
        <v>0.16000000000000003</v>
      </c>
    </row>
    <row r="14" spans="2:168">
      <c r="E14" s="170">
        <v>9</v>
      </c>
      <c r="F14" s="217">
        <f t="shared" si="97"/>
        <v>0.89999999999999991</v>
      </c>
      <c r="G14" s="217"/>
      <c r="H14" s="217">
        <f t="shared" si="0"/>
        <v>13.499999999999998</v>
      </c>
      <c r="I14" s="541">
        <f t="shared" si="1"/>
        <v>57.753268114390089</v>
      </c>
      <c r="J14" s="172">
        <f t="shared" si="2"/>
        <v>15.548039131365949</v>
      </c>
      <c r="K14" s="172">
        <f t="shared" si="3"/>
        <v>73.548039131365954</v>
      </c>
      <c r="L14" s="443"/>
      <c r="M14" s="217">
        <f t="shared" si="4"/>
        <v>0.21213242465171064</v>
      </c>
      <c r="N14" s="172">
        <f t="shared" si="5"/>
        <v>307.17174212440574</v>
      </c>
      <c r="O14" s="172">
        <f t="shared" si="98"/>
        <v>13.499999999999998</v>
      </c>
      <c r="P14" s="217">
        <f t="shared" si="6"/>
        <v>20.478116141627048</v>
      </c>
      <c r="Q14" s="217">
        <f t="shared" si="7"/>
        <v>15</v>
      </c>
      <c r="R14" s="217">
        <f t="shared" si="8"/>
        <v>20.418901327776496</v>
      </c>
      <c r="S14" s="172">
        <f t="shared" si="9"/>
        <v>1546.5191132601028</v>
      </c>
      <c r="T14" s="172">
        <f t="shared" si="10"/>
        <v>15</v>
      </c>
      <c r="U14" s="217">
        <f t="shared" si="99"/>
        <v>2.2846478980992226</v>
      </c>
      <c r="V14" s="217">
        <f t="shared" si="11"/>
        <v>0.47470516686413494</v>
      </c>
      <c r="W14" s="217">
        <f t="shared" si="12"/>
        <v>1.7632946859442398</v>
      </c>
      <c r="X14" s="197">
        <f t="shared" si="13"/>
        <v>102.08436319744666</v>
      </c>
      <c r="Y14" s="443">
        <f t="shared" si="14"/>
        <v>350</v>
      </c>
      <c r="AA14" s="217">
        <f t="shared" si="15"/>
        <v>9.9999999999999982</v>
      </c>
      <c r="AB14" s="173">
        <f t="shared" si="16"/>
        <v>7.7180150491078408</v>
      </c>
      <c r="AC14" s="173">
        <f t="shared" si="17"/>
        <v>3.9394432571824192</v>
      </c>
      <c r="AD14" s="173"/>
      <c r="AE14" s="173">
        <f t="shared" si="18"/>
        <v>7.7180150491078416</v>
      </c>
      <c r="AF14" s="545">
        <f t="shared" si="100"/>
        <v>23.322058697048917</v>
      </c>
      <c r="AG14" s="528">
        <f t="shared" si="19"/>
        <v>3.9394432571824201</v>
      </c>
      <c r="AI14" s="173">
        <f t="shared" si="20"/>
        <v>2.5813650152611074</v>
      </c>
      <c r="AJ14" s="173">
        <f t="shared" si="21"/>
        <v>10</v>
      </c>
      <c r="AK14" s="173">
        <f t="shared" si="22"/>
        <v>1.013326890684028</v>
      </c>
      <c r="AM14" s="545">
        <f t="shared" si="23"/>
        <v>899.99999999999989</v>
      </c>
      <c r="AN14" s="460">
        <f t="shared" si="24"/>
        <v>23.322058697048917</v>
      </c>
      <c r="AP14">
        <f t="shared" si="25"/>
        <v>899.99999999999989</v>
      </c>
      <c r="AQ14" s="460">
        <f t="shared" si="26"/>
        <v>23.322058697048917</v>
      </c>
      <c r="AR14" s="460"/>
      <c r="AS14" s="5">
        <f t="shared" si="101"/>
        <v>42.877861383932462</v>
      </c>
      <c r="AT14" s="5">
        <f t="shared" si="27"/>
        <v>2.0778044934586171</v>
      </c>
      <c r="AU14" s="5">
        <f t="shared" si="102"/>
        <v>40.800056890473847</v>
      </c>
      <c r="AV14" s="5">
        <f t="shared" si="28"/>
        <v>7.7180150491078416</v>
      </c>
      <c r="AW14" s="173">
        <f t="shared" si="103"/>
        <v>4.8458678357433858E-2</v>
      </c>
      <c r="AX14" s="173">
        <f t="shared" si="29"/>
        <v>13.993235218229351</v>
      </c>
      <c r="AY14" s="173">
        <f t="shared" si="30"/>
        <v>4.7577066082128301</v>
      </c>
      <c r="AZ14" s="173">
        <f t="shared" si="104"/>
        <v>2.9411723694928984</v>
      </c>
      <c r="BA14" s="460">
        <f t="shared" si="31"/>
        <v>12.466826960751701</v>
      </c>
      <c r="BB14" s="5">
        <f t="shared" si="32"/>
        <v>3.2886675597566546</v>
      </c>
      <c r="BC14" s="5"/>
      <c r="BD14" s="173">
        <f t="shared" si="105"/>
        <v>1.2709403127531713</v>
      </c>
      <c r="BE14" s="173">
        <f t="shared" si="33"/>
        <v>5.6318774893238039</v>
      </c>
      <c r="BF14" s="173"/>
      <c r="BG14" s="528">
        <f t="shared" si="34"/>
        <v>3.2305785571622579E-2</v>
      </c>
      <c r="BH14" s="528">
        <f t="shared" si="35"/>
        <v>0.32161719106398134</v>
      </c>
      <c r="BI14" s="528">
        <f t="shared" si="36"/>
        <v>3.3673127722755228E-2</v>
      </c>
      <c r="BJ14" s="528">
        <f t="shared" si="37"/>
        <v>1.2615634001969975E-2</v>
      </c>
      <c r="BK14">
        <f t="shared" si="38"/>
        <v>2.598897065147554E-2</v>
      </c>
      <c r="BL14" s="460">
        <f t="shared" si="106"/>
        <v>59.662098374230766</v>
      </c>
      <c r="BM14" s="528">
        <f t="shared" si="39"/>
        <v>0.37816390390283405</v>
      </c>
      <c r="BN14" s="460">
        <f t="shared" si="107"/>
        <v>378.16390390283408</v>
      </c>
      <c r="BO14" s="528">
        <f t="shared" si="108"/>
        <v>0.55912499999999987</v>
      </c>
      <c r="BP14" s="528"/>
      <c r="BR14" s="460">
        <f t="shared" si="109"/>
        <v>559.12499999999989</v>
      </c>
      <c r="BS14" s="528">
        <f t="shared" si="40"/>
        <v>4.8458678357433872E-2</v>
      </c>
      <c r="BT14" s="528">
        <f t="shared" si="41"/>
        <v>0.95154132164256577</v>
      </c>
      <c r="BU14" s="528">
        <f t="shared" si="42"/>
        <v>0.20249999999999996</v>
      </c>
      <c r="BV14" s="528">
        <f t="shared" si="43"/>
        <v>1.5679347826086949</v>
      </c>
      <c r="BW14" s="528">
        <f t="shared" si="44"/>
        <v>2.3322058697048918E-3</v>
      </c>
      <c r="BX14" s="460">
        <f t="shared" si="110"/>
        <v>1570.2669884783998</v>
      </c>
      <c r="BY14" s="173">
        <f t="shared" si="45"/>
        <v>2.5672179907554646</v>
      </c>
      <c r="BZ14" s="5">
        <f t="shared" si="111"/>
        <v>13.499999999999998</v>
      </c>
      <c r="CA14" s="173">
        <f t="shared" si="112"/>
        <v>0.84022013068892476</v>
      </c>
      <c r="CB14" s="5">
        <f t="shared" si="113"/>
        <v>84.022013068892477</v>
      </c>
      <c r="CE14" s="562">
        <f t="shared" si="46"/>
        <v>-50</v>
      </c>
      <c r="CF14">
        <f t="shared" si="47"/>
        <v>-50</v>
      </c>
      <c r="CG14" s="173">
        <f t="shared" si="48"/>
        <v>0.18238420984284795</v>
      </c>
      <c r="CI14" s="170">
        <v>9</v>
      </c>
      <c r="CJ14" s="217">
        <f t="shared" si="114"/>
        <v>0.89999999999999991</v>
      </c>
      <c r="CK14" s="217"/>
      <c r="CL14" s="217">
        <f t="shared" si="49"/>
        <v>13.499999999999998</v>
      </c>
      <c r="CM14" s="541">
        <f t="shared" si="50"/>
        <v>58</v>
      </c>
      <c r="CN14" s="172">
        <f t="shared" si="51"/>
        <v>15.4</v>
      </c>
      <c r="CO14" s="443">
        <f t="shared" si="52"/>
        <v>73.400000000000006</v>
      </c>
      <c r="CP14" s="443"/>
      <c r="CQ14" s="217">
        <f t="shared" si="53"/>
        <v>0.2098092643051771</v>
      </c>
      <c r="CR14" s="172">
        <f t="shared" si="54"/>
        <v>305.10568119891008</v>
      </c>
      <c r="CS14" s="172">
        <f t="shared" si="115"/>
        <v>13.499999999999998</v>
      </c>
      <c r="CT14" s="217">
        <f t="shared" si="55"/>
        <v>20.340378746594006</v>
      </c>
      <c r="CU14" s="217">
        <f t="shared" si="56"/>
        <v>15</v>
      </c>
      <c r="CV14" s="217">
        <f t="shared" si="57"/>
        <v>20.281562216167121</v>
      </c>
      <c r="CW14" s="172">
        <f t="shared" si="58"/>
        <v>1553.1260448806972</v>
      </c>
      <c r="CX14" s="172">
        <f t="shared" si="59"/>
        <v>15</v>
      </c>
      <c r="CY14" s="217">
        <f t="shared" si="60"/>
        <v>2.2187639946260633</v>
      </c>
      <c r="CZ14" s="217">
        <f t="shared" si="61"/>
        <v>0.45905461957780624</v>
      </c>
      <c r="DA14" s="217">
        <f t="shared" si="62"/>
        <v>1.72890700879953</v>
      </c>
      <c r="DB14" s="197">
        <f t="shared" si="63"/>
        <v>101.4078110808356</v>
      </c>
      <c r="DC14" s="443">
        <f t="shared" si="116"/>
        <v>350</v>
      </c>
      <c r="DE14" s="217">
        <f t="shared" si="64"/>
        <v>10</v>
      </c>
      <c r="DF14" s="173">
        <f t="shared" si="65"/>
        <v>7.7922077922077913</v>
      </c>
      <c r="DG14" s="173">
        <f t="shared" si="66"/>
        <v>3.9509536784741139</v>
      </c>
      <c r="DH14" s="173"/>
      <c r="DI14" s="173">
        <f t="shared" si="67"/>
        <v>7.7922077922077913</v>
      </c>
      <c r="DJ14" s="545">
        <f t="shared" si="117"/>
        <v>23.1</v>
      </c>
      <c r="DK14" s="528">
        <f t="shared" si="68"/>
        <v>3.9509536784741139</v>
      </c>
      <c r="DM14" s="173">
        <f t="shared" si="69"/>
        <v>2.5690465157330258</v>
      </c>
      <c r="DN14" s="173">
        <f t="shared" si="70"/>
        <v>10</v>
      </c>
      <c r="DO14" s="173">
        <f t="shared" si="71"/>
        <v>1.0132000000000001</v>
      </c>
      <c r="DQ14" s="545">
        <f t="shared" si="72"/>
        <v>899.99999999999989</v>
      </c>
      <c r="DR14" s="460">
        <f t="shared" si="73"/>
        <v>23.1</v>
      </c>
      <c r="DT14">
        <f t="shared" si="74"/>
        <v>899.99999999999989</v>
      </c>
      <c r="DU14" s="460">
        <f t="shared" si="75"/>
        <v>23.1</v>
      </c>
      <c r="DV14" s="460"/>
      <c r="DW14" s="5">
        <f t="shared" si="118"/>
        <v>43.290043290043286</v>
      </c>
      <c r="DX14" s="5">
        <f t="shared" si="76"/>
        <v>2.068965517241379</v>
      </c>
      <c r="DY14" s="5">
        <f t="shared" si="119"/>
        <v>41.221077772801905</v>
      </c>
      <c r="DZ14" s="5">
        <f t="shared" si="77"/>
        <v>7.7922077922077913</v>
      </c>
      <c r="EA14" s="173">
        <f t="shared" si="120"/>
        <v>4.7793103448275857E-2</v>
      </c>
      <c r="EB14" s="173">
        <f t="shared" si="78"/>
        <v>13.860000000000003</v>
      </c>
      <c r="EC14" s="173">
        <f t="shared" si="79"/>
        <v>4.7610344827586211</v>
      </c>
      <c r="ED14" s="173">
        <f t="shared" si="121"/>
        <v>2.9111320344752665</v>
      </c>
      <c r="EE14" s="460">
        <f t="shared" si="80"/>
        <v>12.413793103448272</v>
      </c>
      <c r="EF14" s="5">
        <f t="shared" si="81"/>
        <v>3.3084693812890937</v>
      </c>
      <c r="EG14" s="5"/>
      <c r="EH14" s="173">
        <f t="shared" si="122"/>
        <v>1.2621820186787094</v>
      </c>
      <c r="EI14" s="173">
        <f t="shared" si="82"/>
        <v>5.6338468105777846</v>
      </c>
      <c r="EJ14" s="173"/>
      <c r="EK14" s="528">
        <f t="shared" si="83"/>
        <v>3.1862068965517236E-2</v>
      </c>
      <c r="EL14" s="528">
        <f t="shared" si="84"/>
        <v>0.33910800000000002</v>
      </c>
      <c r="EM14" s="528">
        <f t="shared" si="85"/>
        <v>2.8874999999999999E-3</v>
      </c>
      <c r="EN14" s="528">
        <f t="shared" si="86"/>
        <v>1.2445263600000003E-2</v>
      </c>
      <c r="EO14">
        <f t="shared" si="87"/>
        <v>2.6099999999999998E-2</v>
      </c>
      <c r="EP14" s="460">
        <f t="shared" si="123"/>
        <v>28.987500000000001</v>
      </c>
      <c r="EQ14" s="528">
        <f t="shared" si="88"/>
        <v>0.42421709599224716</v>
      </c>
      <c r="ER14" s="460">
        <f t="shared" si="124"/>
        <v>424.21709599224715</v>
      </c>
      <c r="ES14" s="528">
        <f t="shared" si="125"/>
        <v>0.55912499999999987</v>
      </c>
      <c r="ET14" s="528"/>
      <c r="EV14" s="460">
        <f t="shared" si="126"/>
        <v>559.12499999999989</v>
      </c>
      <c r="EW14" s="528">
        <f t="shared" si="89"/>
        <v>4.7793103448275857E-2</v>
      </c>
      <c r="EX14" s="528">
        <f t="shared" si="90"/>
        <v>0.9522068965517243</v>
      </c>
      <c r="EY14" s="528">
        <f t="shared" si="91"/>
        <v>4.0550849255934246E-2</v>
      </c>
      <c r="EZ14" s="528">
        <f t="shared" si="92"/>
        <v>1.3919030970173203</v>
      </c>
      <c r="FA14" s="528">
        <f t="shared" si="93"/>
        <v>2.3100000000000004E-3</v>
      </c>
      <c r="FB14" s="460">
        <f t="shared" si="127"/>
        <v>1394.2130970173203</v>
      </c>
      <c r="FC14" s="173">
        <f t="shared" si="128"/>
        <v>2.3775551930095671</v>
      </c>
      <c r="FD14" s="5">
        <f t="shared" si="129"/>
        <v>13.499999999999998</v>
      </c>
      <c r="FE14" s="173">
        <f t="shared" si="130"/>
        <v>0.85025684596225892</v>
      </c>
      <c r="FF14" s="5">
        <f t="shared" si="131"/>
        <v>85.025684596225886</v>
      </c>
      <c r="FI14" s="562">
        <f t="shared" si="94"/>
        <v>-50</v>
      </c>
      <c r="FJ14">
        <f t="shared" si="95"/>
        <v>-50</v>
      </c>
      <c r="FL14">
        <f t="shared" si="96"/>
        <v>0.18</v>
      </c>
    </row>
    <row r="15" spans="2:168">
      <c r="E15" s="170">
        <v>10</v>
      </c>
      <c r="F15" s="217">
        <f t="shared" si="97"/>
        <v>1</v>
      </c>
      <c r="G15" s="217"/>
      <c r="H15" s="217">
        <f t="shared" si="0"/>
        <v>15</v>
      </c>
      <c r="I15" s="541">
        <f t="shared" si="1"/>
        <v>57.753268114390089</v>
      </c>
      <c r="J15" s="172">
        <f t="shared" si="2"/>
        <v>15.548039131365949</v>
      </c>
      <c r="K15" s="172">
        <f t="shared" si="3"/>
        <v>73.548039131365954</v>
      </c>
      <c r="L15" s="443"/>
      <c r="M15" s="217">
        <f t="shared" si="4"/>
        <v>0.21213242465171064</v>
      </c>
      <c r="N15" s="172">
        <f t="shared" si="5"/>
        <v>307.17174212440574</v>
      </c>
      <c r="O15" s="172">
        <f t="shared" si="98"/>
        <v>15</v>
      </c>
      <c r="P15" s="217">
        <f t="shared" si="6"/>
        <v>20.478116141627048</v>
      </c>
      <c r="Q15" s="217">
        <f t="shared" si="7"/>
        <v>15</v>
      </c>
      <c r="R15" s="217">
        <f t="shared" si="8"/>
        <v>20.418901327776496</v>
      </c>
      <c r="S15" s="172">
        <f t="shared" si="9"/>
        <v>1386.0950964034564</v>
      </c>
      <c r="T15" s="172">
        <f t="shared" si="10"/>
        <v>15</v>
      </c>
      <c r="U15" s="217">
        <f t="shared" si="99"/>
        <v>2.5384976645546917</v>
      </c>
      <c r="V15" s="217">
        <f t="shared" si="11"/>
        <v>0.52745018540459432</v>
      </c>
      <c r="W15" s="217">
        <f t="shared" si="12"/>
        <v>1.9592163177158222</v>
      </c>
      <c r="X15" s="197">
        <f t="shared" si="13"/>
        <v>102.08436319744666</v>
      </c>
      <c r="Y15" s="443">
        <f t="shared" si="14"/>
        <v>350</v>
      </c>
      <c r="AA15" s="217">
        <f t="shared" si="15"/>
        <v>9.9999999999999982</v>
      </c>
      <c r="AB15" s="173">
        <f t="shared" si="16"/>
        <v>7.7180150491078408</v>
      </c>
      <c r="AC15" s="173">
        <f t="shared" si="17"/>
        <v>3.9394432571824192</v>
      </c>
      <c r="AD15" s="173"/>
      <c r="AE15" s="173">
        <f t="shared" si="18"/>
        <v>7.7180150491078416</v>
      </c>
      <c r="AF15" s="545">
        <f t="shared" si="100"/>
        <v>25.913398552276576</v>
      </c>
      <c r="AG15" s="528">
        <f t="shared" si="19"/>
        <v>3.9394432571824201</v>
      </c>
      <c r="AI15" s="173">
        <f t="shared" si="20"/>
        <v>2.7209976401668023</v>
      </c>
      <c r="AJ15" s="173">
        <f t="shared" si="21"/>
        <v>10</v>
      </c>
      <c r="AK15" s="173">
        <f t="shared" si="22"/>
        <v>1.0148076563155866</v>
      </c>
      <c r="AM15" s="545">
        <f t="shared" si="23"/>
        <v>1000</v>
      </c>
      <c r="AN15" s="460">
        <f t="shared" si="24"/>
        <v>25.913398552276576</v>
      </c>
      <c r="AP15">
        <f t="shared" si="25"/>
        <v>1000</v>
      </c>
      <c r="AQ15" s="460">
        <f t="shared" si="26"/>
        <v>25.913398552276576</v>
      </c>
      <c r="AR15" s="460"/>
      <c r="AS15" s="5">
        <f t="shared" si="101"/>
        <v>38.590075245539218</v>
      </c>
      <c r="AT15" s="5">
        <f t="shared" si="27"/>
        <v>2.0778044934586171</v>
      </c>
      <c r="AU15" s="5">
        <f t="shared" si="102"/>
        <v>36.512270752080603</v>
      </c>
      <c r="AV15" s="5">
        <f t="shared" si="28"/>
        <v>7.7180150491078416</v>
      </c>
      <c r="AW15" s="173">
        <f t="shared" si="103"/>
        <v>5.3842975952704285E-2</v>
      </c>
      <c r="AX15" s="173">
        <f t="shared" si="29"/>
        <v>15.548039131365947</v>
      </c>
      <c r="AY15" s="173">
        <f t="shared" si="30"/>
        <v>4.7307851202364786</v>
      </c>
      <c r="AZ15" s="173">
        <f t="shared" si="104"/>
        <v>3.2865663386099313</v>
      </c>
      <c r="BA15" s="460">
        <f t="shared" si="31"/>
        <v>13.852029956390782</v>
      </c>
      <c r="BB15" s="5">
        <f t="shared" si="32"/>
        <v>3.270058630821151</v>
      </c>
      <c r="BC15" s="5"/>
      <c r="BD15" s="173">
        <f t="shared" si="105"/>
        <v>1.3396887194755889</v>
      </c>
      <c r="BE15" s="173">
        <f t="shared" si="33"/>
        <v>5.6159208922707577</v>
      </c>
      <c r="BF15" s="173"/>
      <c r="BG15" s="528">
        <f t="shared" si="34"/>
        <v>3.5895317301802863E-2</v>
      </c>
      <c r="BH15" s="528">
        <f t="shared" si="35"/>
        <v>0.35735243451553489</v>
      </c>
      <c r="BI15" s="528">
        <f t="shared" si="36"/>
        <v>3.7414586358616921E-2</v>
      </c>
      <c r="BJ15" s="528">
        <f t="shared" si="37"/>
        <v>1.4017371113299974E-2</v>
      </c>
      <c r="BK15">
        <f t="shared" si="38"/>
        <v>2.598897065147554E-2</v>
      </c>
      <c r="BL15" s="460">
        <f t="shared" si="106"/>
        <v>63.403557010092456</v>
      </c>
      <c r="BM15" s="528">
        <f t="shared" si="39"/>
        <v>0.42054355998120635</v>
      </c>
      <c r="BN15" s="460">
        <f t="shared" si="107"/>
        <v>420.54355998120633</v>
      </c>
      <c r="BO15" s="528">
        <f t="shared" si="108"/>
        <v>0.62124999999999997</v>
      </c>
      <c r="BP15" s="528"/>
      <c r="BR15" s="460">
        <f t="shared" si="109"/>
        <v>621.25</v>
      </c>
      <c r="BS15" s="528">
        <f t="shared" si="40"/>
        <v>5.3842975952704292E-2</v>
      </c>
      <c r="BT15" s="528">
        <f t="shared" si="41"/>
        <v>0.94615702404729551</v>
      </c>
      <c r="BU15" s="528">
        <f t="shared" si="42"/>
        <v>0.22499999999999998</v>
      </c>
      <c r="BV15" s="528">
        <f t="shared" si="43"/>
        <v>1.5923913043478259</v>
      </c>
      <c r="BW15" s="528">
        <f t="shared" si="44"/>
        <v>2.591339855227658E-3</v>
      </c>
      <c r="BX15" s="460">
        <f t="shared" si="110"/>
        <v>1594.9826442030537</v>
      </c>
      <c r="BY15" s="173">
        <f t="shared" si="45"/>
        <v>2.7001797611943523</v>
      </c>
      <c r="BZ15" s="5">
        <f t="shared" si="111"/>
        <v>15</v>
      </c>
      <c r="CA15" s="173">
        <f t="shared" si="112"/>
        <v>0.84744902042666304</v>
      </c>
      <c r="CB15" s="5">
        <f t="shared" si="113"/>
        <v>84.744902042666297</v>
      </c>
      <c r="CE15" s="562">
        <f t="shared" si="46"/>
        <v>-50</v>
      </c>
      <c r="CF15">
        <f t="shared" si="47"/>
        <v>-50</v>
      </c>
      <c r="CG15" s="173">
        <f t="shared" si="48"/>
        <v>0.20264912204760885</v>
      </c>
      <c r="CI15" s="170">
        <v>10</v>
      </c>
      <c r="CJ15" s="217">
        <f t="shared" si="114"/>
        <v>1</v>
      </c>
      <c r="CK15" s="217"/>
      <c r="CL15" s="217">
        <f t="shared" si="49"/>
        <v>15</v>
      </c>
      <c r="CM15" s="541">
        <f t="shared" si="50"/>
        <v>58</v>
      </c>
      <c r="CN15" s="172">
        <f t="shared" si="51"/>
        <v>15.4</v>
      </c>
      <c r="CO15" s="443">
        <f t="shared" si="52"/>
        <v>73.400000000000006</v>
      </c>
      <c r="CP15" s="443"/>
      <c r="CQ15" s="217">
        <f t="shared" si="53"/>
        <v>0.2098092643051771</v>
      </c>
      <c r="CR15" s="172">
        <f t="shared" si="54"/>
        <v>305.10568119891008</v>
      </c>
      <c r="CS15" s="172">
        <f t="shared" si="115"/>
        <v>15</v>
      </c>
      <c r="CT15" s="217">
        <f t="shared" si="55"/>
        <v>20.340378746594006</v>
      </c>
      <c r="CU15" s="217">
        <f t="shared" si="56"/>
        <v>15</v>
      </c>
      <c r="CV15" s="217">
        <f t="shared" si="57"/>
        <v>20.281562216167121</v>
      </c>
      <c r="CW15" s="172">
        <f t="shared" si="58"/>
        <v>1392.016661679394</v>
      </c>
      <c r="CX15" s="172">
        <f t="shared" si="59"/>
        <v>15</v>
      </c>
      <c r="CY15" s="217">
        <f t="shared" si="60"/>
        <v>2.4652933273622928</v>
      </c>
      <c r="CZ15" s="217">
        <f t="shared" si="61"/>
        <v>0.5100606884197848</v>
      </c>
      <c r="DA15" s="217">
        <f t="shared" si="62"/>
        <v>1.9210077875550335</v>
      </c>
      <c r="DB15" s="197">
        <f t="shared" si="63"/>
        <v>101.4078110808356</v>
      </c>
      <c r="DC15" s="443">
        <f t="shared" si="116"/>
        <v>350</v>
      </c>
      <c r="DE15" s="217">
        <f t="shared" si="64"/>
        <v>10</v>
      </c>
      <c r="DF15" s="173">
        <f t="shared" si="65"/>
        <v>7.7922077922077913</v>
      </c>
      <c r="DG15" s="173">
        <f t="shared" si="66"/>
        <v>3.9509536784741139</v>
      </c>
      <c r="DH15" s="173"/>
      <c r="DI15" s="173">
        <f t="shared" si="67"/>
        <v>7.7922077922077913</v>
      </c>
      <c r="DJ15" s="545">
        <f t="shared" si="117"/>
        <v>25.666666666666668</v>
      </c>
      <c r="DK15" s="528">
        <f t="shared" si="68"/>
        <v>3.9509536784741139</v>
      </c>
      <c r="DM15" s="173">
        <f t="shared" si="69"/>
        <v>2.7080128015453204</v>
      </c>
      <c r="DN15" s="173">
        <f t="shared" si="70"/>
        <v>10</v>
      </c>
      <c r="DO15" s="173">
        <f t="shared" si="71"/>
        <v>1.0146666666666666</v>
      </c>
      <c r="DQ15" s="545">
        <f t="shared" si="72"/>
        <v>1000</v>
      </c>
      <c r="DR15" s="460">
        <f t="shared" si="73"/>
        <v>25.666666666666668</v>
      </c>
      <c r="DT15">
        <f t="shared" si="74"/>
        <v>1000</v>
      </c>
      <c r="DU15" s="460">
        <f t="shared" si="75"/>
        <v>25.666666666666668</v>
      </c>
      <c r="DV15" s="460"/>
      <c r="DW15" s="5">
        <f t="shared" si="118"/>
        <v>38.961038961038959</v>
      </c>
      <c r="DX15" s="5">
        <f t="shared" si="76"/>
        <v>2.068965517241379</v>
      </c>
      <c r="DY15" s="5">
        <f t="shared" si="119"/>
        <v>36.892073443797578</v>
      </c>
      <c r="DZ15" s="5">
        <f t="shared" si="77"/>
        <v>7.7922077922077913</v>
      </c>
      <c r="EA15" s="173">
        <f t="shared" si="120"/>
        <v>5.3103448275862067E-2</v>
      </c>
      <c r="EB15" s="173">
        <f t="shared" si="78"/>
        <v>15.400000000000002</v>
      </c>
      <c r="EC15" s="173">
        <f t="shared" si="79"/>
        <v>4.7344827586206897</v>
      </c>
      <c r="ED15" s="173">
        <f t="shared" si="121"/>
        <v>3.2527312454479245</v>
      </c>
      <c r="EE15" s="460">
        <f t="shared" si="80"/>
        <v>13.793103448275859</v>
      </c>
      <c r="EF15" s="5">
        <f t="shared" si="81"/>
        <v>3.2900184402911035</v>
      </c>
      <c r="EG15" s="5"/>
      <c r="EH15" s="173">
        <f t="shared" si="122"/>
        <v>1.3304566669113038</v>
      </c>
      <c r="EI15" s="173">
        <f t="shared" si="82"/>
        <v>5.6181151991397087</v>
      </c>
      <c r="EJ15" s="173"/>
      <c r="EK15" s="528">
        <f t="shared" si="83"/>
        <v>3.540229885057472E-2</v>
      </c>
      <c r="EL15" s="528">
        <f t="shared" si="84"/>
        <v>0.37678666666666671</v>
      </c>
      <c r="EM15" s="528">
        <f t="shared" si="85"/>
        <v>3.2083333333333334E-3</v>
      </c>
      <c r="EN15" s="528">
        <f t="shared" si="86"/>
        <v>1.3828070666666669E-2</v>
      </c>
      <c r="EO15">
        <f t="shared" si="87"/>
        <v>2.6099999999999998E-2</v>
      </c>
      <c r="EP15" s="460">
        <f t="shared" si="123"/>
        <v>29.308333333333334</v>
      </c>
      <c r="EQ15" s="528">
        <f t="shared" si="88"/>
        <v>0.46882757375974687</v>
      </c>
      <c r="ER15" s="460">
        <f t="shared" si="124"/>
        <v>468.82757375974688</v>
      </c>
      <c r="ES15" s="528">
        <f t="shared" si="125"/>
        <v>0.62124999999999997</v>
      </c>
      <c r="ET15" s="528"/>
      <c r="EV15" s="460">
        <f t="shared" si="126"/>
        <v>621.25</v>
      </c>
      <c r="EW15" s="528">
        <f t="shared" si="89"/>
        <v>5.3103448275862081E-2</v>
      </c>
      <c r="EX15" s="528">
        <f t="shared" si="90"/>
        <v>0.94689655172413822</v>
      </c>
      <c r="EY15" s="528">
        <f t="shared" si="91"/>
        <v>5.2770800289257756E-2</v>
      </c>
      <c r="EZ15" s="528">
        <f t="shared" si="92"/>
        <v>1.4051856524883239</v>
      </c>
      <c r="FA15" s="528">
        <f t="shared" si="93"/>
        <v>2.5666666666666667E-3</v>
      </c>
      <c r="FB15" s="460">
        <f t="shared" si="127"/>
        <v>1407.7523191549906</v>
      </c>
      <c r="FC15" s="173">
        <f t="shared" si="128"/>
        <v>2.4978298929147371</v>
      </c>
      <c r="FD15" s="5">
        <f t="shared" si="129"/>
        <v>15</v>
      </c>
      <c r="FE15" s="173">
        <f t="shared" si="130"/>
        <v>0.85724916128449935</v>
      </c>
      <c r="FF15" s="5">
        <f t="shared" si="131"/>
        <v>85.724916128449934</v>
      </c>
      <c r="FI15" s="562">
        <f t="shared" si="94"/>
        <v>-50</v>
      </c>
      <c r="FJ15">
        <f t="shared" si="95"/>
        <v>-50</v>
      </c>
      <c r="FL15">
        <f t="shared" si="96"/>
        <v>0.2</v>
      </c>
    </row>
    <row r="16" spans="2:168">
      <c r="E16" s="170">
        <v>11</v>
      </c>
      <c r="F16" s="217">
        <f t="shared" si="97"/>
        <v>1.1000000000000001</v>
      </c>
      <c r="G16" s="217"/>
      <c r="H16" s="217">
        <f t="shared" si="0"/>
        <v>16.5</v>
      </c>
      <c r="I16" s="541">
        <f t="shared" si="1"/>
        <v>57.753268114390089</v>
      </c>
      <c r="J16" s="172">
        <f t="shared" si="2"/>
        <v>15.548039131365949</v>
      </c>
      <c r="K16" s="172">
        <f t="shared" si="3"/>
        <v>73.548039131365954</v>
      </c>
      <c r="L16" s="443"/>
      <c r="M16" s="217">
        <f t="shared" si="4"/>
        <v>0.21213242465171064</v>
      </c>
      <c r="N16" s="172">
        <f t="shared" si="5"/>
        <v>307.17174212440574</v>
      </c>
      <c r="O16" s="172">
        <f t="shared" si="98"/>
        <v>16.5</v>
      </c>
      <c r="P16" s="217">
        <f t="shared" si="6"/>
        <v>20.478116141627048</v>
      </c>
      <c r="Q16" s="217">
        <f t="shared" si="7"/>
        <v>15</v>
      </c>
      <c r="R16" s="217">
        <f t="shared" si="8"/>
        <v>20.418901327776496</v>
      </c>
      <c r="S16" s="172">
        <f t="shared" si="9"/>
        <v>1254.8394111179527</v>
      </c>
      <c r="T16" s="172">
        <f t="shared" si="10"/>
        <v>15</v>
      </c>
      <c r="U16" s="217">
        <f t="shared" si="99"/>
        <v>2.7923474310101608</v>
      </c>
      <c r="V16" s="217">
        <f t="shared" si="11"/>
        <v>0.58019520394505386</v>
      </c>
      <c r="W16" s="217">
        <f t="shared" si="12"/>
        <v>2.1551379494874041</v>
      </c>
      <c r="X16" s="197">
        <f t="shared" si="13"/>
        <v>102.08436319744666</v>
      </c>
      <c r="Y16" s="443">
        <f t="shared" si="14"/>
        <v>340.67683214446748</v>
      </c>
      <c r="AA16" s="217">
        <f t="shared" si="15"/>
        <v>9.9999999999999982</v>
      </c>
      <c r="AB16" s="173">
        <f t="shared" si="16"/>
        <v>7.7180150491078408</v>
      </c>
      <c r="AC16" s="173">
        <f t="shared" si="17"/>
        <v>3.9394432571824192</v>
      </c>
      <c r="AD16" s="173"/>
      <c r="AE16" s="173">
        <f t="shared" si="18"/>
        <v>7.7180150491078416</v>
      </c>
      <c r="AF16" s="545">
        <f t="shared" si="100"/>
        <v>28.504738407504238</v>
      </c>
      <c r="AG16" s="528">
        <f t="shared" si="19"/>
        <v>3.9394432571824201</v>
      </c>
      <c r="AI16" s="173">
        <f t="shared" si="20"/>
        <v>2.853806400857045</v>
      </c>
      <c r="AJ16" s="173">
        <f t="shared" si="21"/>
        <v>10</v>
      </c>
      <c r="AK16" s="173">
        <f t="shared" si="22"/>
        <v>1.0162884219471453</v>
      </c>
      <c r="AM16" s="545">
        <f t="shared" si="23"/>
        <v>1100</v>
      </c>
      <c r="AN16" s="460">
        <f t="shared" si="24"/>
        <v>28.504738407504238</v>
      </c>
      <c r="AP16">
        <f t="shared" si="25"/>
        <v>1100</v>
      </c>
      <c r="AQ16" s="460">
        <f t="shared" si="26"/>
        <v>28.504738407504238</v>
      </c>
      <c r="AR16" s="460"/>
      <c r="AS16" s="5">
        <f t="shared" si="101"/>
        <v>35.08188658685382</v>
      </c>
      <c r="AT16" s="5">
        <f t="shared" si="27"/>
        <v>2.0778044934586171</v>
      </c>
      <c r="AU16" s="5">
        <f t="shared" si="102"/>
        <v>33.004082093395205</v>
      </c>
      <c r="AV16" s="5">
        <f t="shared" si="28"/>
        <v>7.7180150491078416</v>
      </c>
      <c r="AW16" s="173">
        <f t="shared" si="103"/>
        <v>5.9227273547974739E-2</v>
      </c>
      <c r="AX16" s="173">
        <f t="shared" si="29"/>
        <v>17.102843044502542</v>
      </c>
      <c r="AY16" s="173">
        <f t="shared" si="30"/>
        <v>4.7038636322601262</v>
      </c>
      <c r="AZ16" s="173">
        <f t="shared" si="104"/>
        <v>3.6359138745450656</v>
      </c>
      <c r="BA16" s="460">
        <f t="shared" si="31"/>
        <v>15.23723295202986</v>
      </c>
      <c r="BB16" s="5">
        <f t="shared" si="32"/>
        <v>3.2514497018856465</v>
      </c>
      <c r="BC16" s="5"/>
      <c r="BD16" s="173">
        <f t="shared" si="105"/>
        <v>1.4050773827797378</v>
      </c>
      <c r="BE16" s="173">
        <f t="shared" si="33"/>
        <v>5.599918828137973</v>
      </c>
      <c r="BF16" s="173"/>
      <c r="BG16" s="528">
        <f t="shared" si="34"/>
        <v>3.9484849031983162E-2</v>
      </c>
      <c r="BH16" s="528">
        <f t="shared" si="35"/>
        <v>0.39308767796708843</v>
      </c>
      <c r="BI16" s="528">
        <f t="shared" si="36"/>
        <v>4.115604499447862E-2</v>
      </c>
      <c r="BJ16" s="528">
        <f t="shared" si="37"/>
        <v>1.5419108224629975E-2</v>
      </c>
      <c r="BK16">
        <f t="shared" si="38"/>
        <v>2.598897065147554E-2</v>
      </c>
      <c r="BL16" s="460">
        <f t="shared" si="106"/>
        <v>67.14501564595416</v>
      </c>
      <c r="BM16" s="528">
        <f t="shared" si="39"/>
        <v>0.46299618957463962</v>
      </c>
      <c r="BN16" s="460">
        <f t="shared" si="107"/>
        <v>462.99618957463963</v>
      </c>
      <c r="BO16" s="528">
        <f t="shared" si="108"/>
        <v>0.68337499999999995</v>
      </c>
      <c r="BP16" s="528"/>
      <c r="BR16" s="460">
        <f t="shared" si="109"/>
        <v>683.375</v>
      </c>
      <c r="BS16" s="528">
        <f t="shared" si="40"/>
        <v>5.9227273547974732E-2</v>
      </c>
      <c r="BT16" s="528">
        <f t="shared" si="41"/>
        <v>0.94077272645202503</v>
      </c>
      <c r="BU16" s="528">
        <f t="shared" si="42"/>
        <v>0.2475</v>
      </c>
      <c r="BV16" s="528">
        <f t="shared" si="43"/>
        <v>1.6168478260869563</v>
      </c>
      <c r="BW16" s="528">
        <f t="shared" si="44"/>
        <v>2.8504738407504242E-3</v>
      </c>
      <c r="BX16" s="460">
        <f t="shared" si="110"/>
        <v>1619.6982999277068</v>
      </c>
      <c r="BY16" s="173">
        <f t="shared" si="45"/>
        <v>2.8332145051483004</v>
      </c>
      <c r="BZ16" s="5">
        <f t="shared" si="111"/>
        <v>16.5</v>
      </c>
      <c r="CA16" s="173">
        <f t="shared" si="112"/>
        <v>0.85345352143101516</v>
      </c>
      <c r="CB16" s="5">
        <f t="shared" si="113"/>
        <v>85.345352143101522</v>
      </c>
      <c r="CE16" s="562">
        <f t="shared" si="46"/>
        <v>-50</v>
      </c>
      <c r="CF16">
        <f t="shared" si="47"/>
        <v>-50</v>
      </c>
      <c r="CG16" s="173">
        <f t="shared" si="48"/>
        <v>0.22291403425236975</v>
      </c>
      <c r="CI16" s="170">
        <v>11</v>
      </c>
      <c r="CJ16" s="217">
        <f t="shared" si="114"/>
        <v>1.1000000000000001</v>
      </c>
      <c r="CK16" s="217"/>
      <c r="CL16" s="217">
        <f t="shared" si="49"/>
        <v>16.5</v>
      </c>
      <c r="CM16" s="541">
        <f t="shared" si="50"/>
        <v>58</v>
      </c>
      <c r="CN16" s="172">
        <f t="shared" si="51"/>
        <v>15.4</v>
      </c>
      <c r="CO16" s="443">
        <f t="shared" si="52"/>
        <v>73.400000000000006</v>
      </c>
      <c r="CP16" s="443"/>
      <c r="CQ16" s="217">
        <f t="shared" si="53"/>
        <v>0.2098092643051771</v>
      </c>
      <c r="CR16" s="172">
        <f t="shared" si="54"/>
        <v>305.10568119891008</v>
      </c>
      <c r="CS16" s="172">
        <f t="shared" si="115"/>
        <v>16.5</v>
      </c>
      <c r="CT16" s="217">
        <f t="shared" si="55"/>
        <v>20.340378746594006</v>
      </c>
      <c r="CU16" s="217">
        <f t="shared" si="56"/>
        <v>15</v>
      </c>
      <c r="CV16" s="217">
        <f t="shared" si="57"/>
        <v>20.281562216167121</v>
      </c>
      <c r="CW16" s="172">
        <f t="shared" si="58"/>
        <v>1260.2002221132097</v>
      </c>
      <c r="CX16" s="172">
        <f t="shared" si="59"/>
        <v>15</v>
      </c>
      <c r="CY16" s="217">
        <f t="shared" si="60"/>
        <v>2.7118226600985222</v>
      </c>
      <c r="CZ16" s="217">
        <f t="shared" si="61"/>
        <v>0.56106675726176325</v>
      </c>
      <c r="DA16" s="217">
        <f t="shared" si="62"/>
        <v>2.1131085663105367</v>
      </c>
      <c r="DB16" s="197">
        <f t="shared" si="63"/>
        <v>101.4078110808356</v>
      </c>
      <c r="DC16" s="443">
        <f t="shared" si="116"/>
        <v>350</v>
      </c>
      <c r="DE16" s="217">
        <f t="shared" si="64"/>
        <v>10</v>
      </c>
      <c r="DF16" s="173">
        <f t="shared" si="65"/>
        <v>7.7922077922077913</v>
      </c>
      <c r="DG16" s="173">
        <f t="shared" si="66"/>
        <v>3.9509536784741139</v>
      </c>
      <c r="DH16" s="173"/>
      <c r="DI16" s="173">
        <f t="shared" si="67"/>
        <v>7.7922077922077913</v>
      </c>
      <c r="DJ16" s="545">
        <f t="shared" si="117"/>
        <v>28.233333333333334</v>
      </c>
      <c r="DK16" s="528">
        <f t="shared" si="68"/>
        <v>3.9509536784741139</v>
      </c>
      <c r="DM16" s="173">
        <f t="shared" si="69"/>
        <v>2.8401877872187726</v>
      </c>
      <c r="DN16" s="173">
        <f t="shared" si="70"/>
        <v>10</v>
      </c>
      <c r="DO16" s="173">
        <f t="shared" si="71"/>
        <v>1.0161333333333333</v>
      </c>
      <c r="DQ16" s="545">
        <f t="shared" si="72"/>
        <v>1100</v>
      </c>
      <c r="DR16" s="460">
        <f t="shared" si="73"/>
        <v>28.233333333333334</v>
      </c>
      <c r="DT16">
        <f t="shared" si="74"/>
        <v>1100</v>
      </c>
      <c r="DU16" s="460">
        <f t="shared" si="75"/>
        <v>28.233333333333334</v>
      </c>
      <c r="DV16" s="460"/>
      <c r="DW16" s="5">
        <f t="shared" si="118"/>
        <v>35.419126328217232</v>
      </c>
      <c r="DX16" s="5">
        <f t="shared" si="76"/>
        <v>2.068965517241379</v>
      </c>
      <c r="DY16" s="5">
        <f t="shared" si="119"/>
        <v>33.350160810975851</v>
      </c>
      <c r="DZ16" s="5">
        <f t="shared" si="77"/>
        <v>7.7922077922077913</v>
      </c>
      <c r="EA16" s="173">
        <f t="shared" si="120"/>
        <v>5.8413793103448276E-2</v>
      </c>
      <c r="EB16" s="173">
        <f t="shared" si="78"/>
        <v>16.940000000000005</v>
      </c>
      <c r="EC16" s="173">
        <f t="shared" si="79"/>
        <v>4.7079310344827583</v>
      </c>
      <c r="ED16" s="173">
        <f t="shared" si="121"/>
        <v>3.5981835494030627</v>
      </c>
      <c r="EE16" s="460">
        <f t="shared" si="80"/>
        <v>15.172413793103447</v>
      </c>
      <c r="EF16" s="5">
        <f t="shared" si="81"/>
        <v>3.2715674992931123</v>
      </c>
      <c r="EG16" s="5"/>
      <c r="EH16" s="173">
        <f t="shared" si="122"/>
        <v>1.3953947243635434</v>
      </c>
      <c r="EI16" s="173">
        <f t="shared" si="82"/>
        <v>5.6023394128302968</v>
      </c>
      <c r="EJ16" s="173"/>
      <c r="EK16" s="528">
        <f t="shared" si="83"/>
        <v>3.8942528735632184E-2</v>
      </c>
      <c r="EL16" s="528">
        <f t="shared" si="84"/>
        <v>0.41446533333333335</v>
      </c>
      <c r="EM16" s="528">
        <f t="shared" si="85"/>
        <v>3.5291666666666666E-3</v>
      </c>
      <c r="EN16" s="528">
        <f t="shared" si="86"/>
        <v>1.5210877733333338E-2</v>
      </c>
      <c r="EO16">
        <f t="shared" si="87"/>
        <v>2.6099999999999998E-2</v>
      </c>
      <c r="EP16" s="460">
        <f t="shared" si="123"/>
        <v>29.629166666666666</v>
      </c>
      <c r="EQ16" s="528">
        <f t="shared" si="88"/>
        <v>0.51351380139735991</v>
      </c>
      <c r="ER16" s="460">
        <f t="shared" si="124"/>
        <v>513.51380139735988</v>
      </c>
      <c r="ES16" s="528">
        <f t="shared" si="125"/>
        <v>0.68337499999999995</v>
      </c>
      <c r="ET16" s="528"/>
      <c r="EV16" s="460">
        <f t="shared" si="126"/>
        <v>683.375</v>
      </c>
      <c r="EW16" s="528">
        <f t="shared" si="89"/>
        <v>5.8413793103448276E-2</v>
      </c>
      <c r="EX16" s="528">
        <f t="shared" si="90"/>
        <v>0.94158620689655148</v>
      </c>
      <c r="EY16" s="528">
        <f t="shared" si="91"/>
        <v>6.6969243544756182E-2</v>
      </c>
      <c r="EZ16" s="528">
        <f t="shared" si="92"/>
        <v>1.4206187429834303</v>
      </c>
      <c r="FA16" s="528">
        <f t="shared" si="93"/>
        <v>2.8233333333333335E-3</v>
      </c>
      <c r="FB16" s="460">
        <f t="shared" si="127"/>
        <v>1423.4420763167636</v>
      </c>
      <c r="FC16" s="173">
        <f t="shared" si="128"/>
        <v>2.6203308777141232</v>
      </c>
      <c r="FD16" s="5">
        <f t="shared" si="129"/>
        <v>16.5</v>
      </c>
      <c r="FE16" s="173">
        <f t="shared" si="130"/>
        <v>0.86295577757138742</v>
      </c>
      <c r="FF16" s="5">
        <f t="shared" si="131"/>
        <v>86.295577757138744</v>
      </c>
      <c r="FI16" s="562">
        <f t="shared" si="94"/>
        <v>-50</v>
      </c>
      <c r="FJ16">
        <f t="shared" si="95"/>
        <v>-50</v>
      </c>
      <c r="FL16">
        <f t="shared" si="96"/>
        <v>0.22000000000000003</v>
      </c>
    </row>
    <row r="17" spans="5:168">
      <c r="E17" s="170">
        <v>12</v>
      </c>
      <c r="F17" s="217">
        <f t="shared" si="97"/>
        <v>1.2</v>
      </c>
      <c r="G17" s="217"/>
      <c r="H17" s="217">
        <f t="shared" si="0"/>
        <v>18</v>
      </c>
      <c r="I17" s="541">
        <f t="shared" si="1"/>
        <v>57.753268114390089</v>
      </c>
      <c r="J17" s="172">
        <f t="shared" si="2"/>
        <v>15.548039131365949</v>
      </c>
      <c r="K17" s="172">
        <f t="shared" si="3"/>
        <v>73.548039131365954</v>
      </c>
      <c r="L17" s="443"/>
      <c r="M17" s="217">
        <f t="shared" si="4"/>
        <v>0.21213242465171064</v>
      </c>
      <c r="N17" s="172">
        <f t="shared" si="5"/>
        <v>307.17174212440574</v>
      </c>
      <c r="O17" s="172">
        <f t="shared" si="98"/>
        <v>18</v>
      </c>
      <c r="P17" s="217">
        <f t="shared" si="6"/>
        <v>20.478116141627048</v>
      </c>
      <c r="Q17" s="217">
        <f t="shared" si="7"/>
        <v>15</v>
      </c>
      <c r="R17" s="217">
        <f t="shared" si="8"/>
        <v>20.418901327776496</v>
      </c>
      <c r="S17" s="172">
        <f t="shared" si="9"/>
        <v>1145.4599782741275</v>
      </c>
      <c r="T17" s="172">
        <f t="shared" si="10"/>
        <v>15</v>
      </c>
      <c r="U17" s="217">
        <f t="shared" si="99"/>
        <v>3.0461971974656303</v>
      </c>
      <c r="V17" s="217">
        <f t="shared" si="11"/>
        <v>0.63294022248551329</v>
      </c>
      <c r="W17" s="217">
        <f t="shared" si="12"/>
        <v>2.3510595812589865</v>
      </c>
      <c r="X17" s="197">
        <f t="shared" si="13"/>
        <v>102.08436319744666</v>
      </c>
      <c r="Y17" s="443">
        <f t="shared" si="14"/>
        <v>314.07037111747417</v>
      </c>
      <c r="AA17" s="217">
        <f t="shared" si="15"/>
        <v>9.9999999999999982</v>
      </c>
      <c r="AB17" s="173">
        <f t="shared" si="16"/>
        <v>7.7180150491078408</v>
      </c>
      <c r="AC17" s="173">
        <f t="shared" si="17"/>
        <v>3.9394432571824192</v>
      </c>
      <c r="AD17" s="173"/>
      <c r="AE17" s="173">
        <f t="shared" si="18"/>
        <v>7.7180150491078416</v>
      </c>
      <c r="AF17" s="545">
        <f t="shared" si="100"/>
        <v>31.09607826273189</v>
      </c>
      <c r="AG17" s="528">
        <f t="shared" si="19"/>
        <v>3.9394432571824201</v>
      </c>
      <c r="AI17" s="173">
        <f t="shared" si="20"/>
        <v>2.9807035728753655</v>
      </c>
      <c r="AJ17" s="173">
        <f t="shared" si="21"/>
        <v>10</v>
      </c>
      <c r="AK17" s="173">
        <f t="shared" si="22"/>
        <v>1.017769187578704</v>
      </c>
      <c r="AM17" s="545">
        <f t="shared" si="23"/>
        <v>1200</v>
      </c>
      <c r="AN17" s="460">
        <f t="shared" si="24"/>
        <v>31.09607826273189</v>
      </c>
      <c r="AP17">
        <f t="shared" si="25"/>
        <v>1200</v>
      </c>
      <c r="AQ17" s="460">
        <f t="shared" si="26"/>
        <v>31.09607826273189</v>
      </c>
      <c r="AR17" s="460"/>
      <c r="AS17" s="5">
        <f t="shared" si="101"/>
        <v>32.158396037949345</v>
      </c>
      <c r="AT17" s="5">
        <f t="shared" si="27"/>
        <v>2.0778044934586171</v>
      </c>
      <c r="AU17" s="5">
        <f t="shared" si="102"/>
        <v>30.080591544490726</v>
      </c>
      <c r="AV17" s="5">
        <f t="shared" si="28"/>
        <v>7.7180150491078416</v>
      </c>
      <c r="AW17" s="173">
        <f t="shared" si="103"/>
        <v>6.4611571143245144E-2</v>
      </c>
      <c r="AX17" s="173">
        <f t="shared" si="29"/>
        <v>18.657646957639134</v>
      </c>
      <c r="AY17" s="173">
        <f t="shared" si="30"/>
        <v>4.6769421442837746</v>
      </c>
      <c r="AZ17" s="173">
        <f t="shared" si="104"/>
        <v>3.9892832500489184</v>
      </c>
      <c r="BA17" s="460">
        <f t="shared" si="31"/>
        <v>16.622435947668937</v>
      </c>
      <c r="BB17" s="5">
        <f t="shared" si="32"/>
        <v>3.2328407729501434</v>
      </c>
      <c r="BC17" s="5"/>
      <c r="BD17" s="173">
        <f t="shared" si="105"/>
        <v>1.4675554633839809</v>
      </c>
      <c r="BE17" s="173">
        <f t="shared" si="33"/>
        <v>5.5838709060315104</v>
      </c>
      <c r="BF17" s="173"/>
      <c r="BG17" s="528">
        <f t="shared" si="34"/>
        <v>4.3074380762163418E-2</v>
      </c>
      <c r="BH17" s="528">
        <f t="shared" si="35"/>
        <v>0.42882292141864181</v>
      </c>
      <c r="BI17" s="528">
        <f t="shared" si="36"/>
        <v>4.4897503630340306E-2</v>
      </c>
      <c r="BJ17" s="528">
        <f t="shared" si="37"/>
        <v>1.6820845335959969E-2</v>
      </c>
      <c r="BK17">
        <f t="shared" si="38"/>
        <v>2.598897065147554E-2</v>
      </c>
      <c r="BL17" s="460">
        <f t="shared" si="106"/>
        <v>70.88647428181585</v>
      </c>
      <c r="BM17" s="528">
        <f t="shared" si="39"/>
        <v>0.50552198132515014</v>
      </c>
      <c r="BN17" s="460">
        <f t="shared" si="107"/>
        <v>505.52198132515014</v>
      </c>
      <c r="BO17" s="528">
        <f t="shared" si="108"/>
        <v>0.74549999999999994</v>
      </c>
      <c r="BP17" s="528"/>
      <c r="BR17" s="460">
        <f t="shared" si="109"/>
        <v>745.49999999999989</v>
      </c>
      <c r="BS17" s="528">
        <f t="shared" si="40"/>
        <v>6.4611571143245131E-2</v>
      </c>
      <c r="BT17" s="528">
        <f t="shared" si="41"/>
        <v>0.93538842885675477</v>
      </c>
      <c r="BU17" s="528">
        <f t="shared" si="42"/>
        <v>0.27</v>
      </c>
      <c r="BV17" s="528">
        <f t="shared" si="43"/>
        <v>1.6413043478260867</v>
      </c>
      <c r="BW17" s="528">
        <f t="shared" si="44"/>
        <v>3.1096078262731895E-3</v>
      </c>
      <c r="BX17" s="460">
        <f t="shared" si="110"/>
        <v>1644.4139556523598</v>
      </c>
      <c r="BY17" s="173">
        <f t="shared" si="45"/>
        <v>2.9663224112593256</v>
      </c>
      <c r="BZ17" s="5">
        <f t="shared" si="111"/>
        <v>18</v>
      </c>
      <c r="CA17" s="173">
        <f t="shared" si="112"/>
        <v>0.85851966057402829</v>
      </c>
      <c r="CB17" s="5">
        <f t="shared" si="113"/>
        <v>85.851966057402834</v>
      </c>
      <c r="CE17" s="562">
        <f t="shared" si="46"/>
        <v>-50</v>
      </c>
      <c r="CF17">
        <f t="shared" si="47"/>
        <v>-50</v>
      </c>
      <c r="CG17" s="173">
        <f t="shared" si="48"/>
        <v>0.24317894645713062</v>
      </c>
      <c r="CI17" s="170">
        <v>12</v>
      </c>
      <c r="CJ17" s="217">
        <f t="shared" si="114"/>
        <v>1.2</v>
      </c>
      <c r="CK17" s="217"/>
      <c r="CL17" s="217">
        <f t="shared" si="49"/>
        <v>18</v>
      </c>
      <c r="CM17" s="541">
        <f t="shared" si="50"/>
        <v>58</v>
      </c>
      <c r="CN17" s="172">
        <f t="shared" si="51"/>
        <v>15.4</v>
      </c>
      <c r="CO17" s="443">
        <f t="shared" si="52"/>
        <v>73.400000000000006</v>
      </c>
      <c r="CP17" s="443"/>
      <c r="CQ17" s="217">
        <f t="shared" si="53"/>
        <v>0.2098092643051771</v>
      </c>
      <c r="CR17" s="172">
        <f t="shared" si="54"/>
        <v>305.10568119891008</v>
      </c>
      <c r="CS17" s="172">
        <f t="shared" si="115"/>
        <v>18</v>
      </c>
      <c r="CT17" s="217">
        <f t="shared" si="55"/>
        <v>20.340378746594006</v>
      </c>
      <c r="CU17" s="217">
        <f t="shared" si="56"/>
        <v>15</v>
      </c>
      <c r="CV17" s="217">
        <f t="shared" si="57"/>
        <v>20.281562216167121</v>
      </c>
      <c r="CW17" s="172">
        <f t="shared" si="58"/>
        <v>1150.3534940368379</v>
      </c>
      <c r="CX17" s="172">
        <f t="shared" si="59"/>
        <v>15</v>
      </c>
      <c r="CY17" s="217">
        <f t="shared" si="60"/>
        <v>2.9583519928347517</v>
      </c>
      <c r="CZ17" s="217">
        <f t="shared" si="61"/>
        <v>0.61207282610374181</v>
      </c>
      <c r="DA17" s="217">
        <f t="shared" si="62"/>
        <v>2.3052093450660407</v>
      </c>
      <c r="DB17" s="197">
        <f t="shared" si="63"/>
        <v>101.4078110808356</v>
      </c>
      <c r="DC17" s="443">
        <f t="shared" si="116"/>
        <v>342.78480494021471</v>
      </c>
      <c r="DE17" s="217">
        <f t="shared" si="64"/>
        <v>10</v>
      </c>
      <c r="DF17" s="173">
        <f t="shared" si="65"/>
        <v>7.7922077922077913</v>
      </c>
      <c r="DG17" s="173">
        <f t="shared" si="66"/>
        <v>3.9509536784741139</v>
      </c>
      <c r="DH17" s="173"/>
      <c r="DI17" s="173">
        <f t="shared" si="67"/>
        <v>7.7922077922077913</v>
      </c>
      <c r="DJ17" s="545">
        <f t="shared" si="117"/>
        <v>30.8</v>
      </c>
      <c r="DK17" s="528">
        <f t="shared" si="68"/>
        <v>3.9509536784741139</v>
      </c>
      <c r="DM17" s="173">
        <f t="shared" si="69"/>
        <v>2.9664793948382653</v>
      </c>
      <c r="DN17" s="173">
        <f t="shared" si="70"/>
        <v>10</v>
      </c>
      <c r="DO17" s="173">
        <f t="shared" si="71"/>
        <v>1.0176000000000001</v>
      </c>
      <c r="DQ17" s="545">
        <f t="shared" si="72"/>
        <v>1200</v>
      </c>
      <c r="DR17" s="460">
        <f t="shared" si="73"/>
        <v>30.8</v>
      </c>
      <c r="DT17">
        <f t="shared" si="74"/>
        <v>1200</v>
      </c>
      <c r="DU17" s="460">
        <f t="shared" si="75"/>
        <v>30.8</v>
      </c>
      <c r="DV17" s="460"/>
      <c r="DW17" s="5">
        <f t="shared" si="118"/>
        <v>32.467532467532465</v>
      </c>
      <c r="DX17" s="5">
        <f t="shared" si="76"/>
        <v>2.068965517241379</v>
      </c>
      <c r="DY17" s="5">
        <f t="shared" si="119"/>
        <v>30.398566950291084</v>
      </c>
      <c r="DZ17" s="5">
        <f t="shared" si="77"/>
        <v>7.7922077922077913</v>
      </c>
      <c r="EA17" s="173">
        <f t="shared" si="120"/>
        <v>6.3724137931034486E-2</v>
      </c>
      <c r="EB17" s="173">
        <f t="shared" si="78"/>
        <v>18.480000000000004</v>
      </c>
      <c r="EC17" s="173">
        <f t="shared" si="79"/>
        <v>4.6813793103448278</v>
      </c>
      <c r="ED17" s="173">
        <f t="shared" si="121"/>
        <v>3.9475545079552159</v>
      </c>
      <c r="EE17" s="460">
        <f t="shared" si="80"/>
        <v>16.551724137931032</v>
      </c>
      <c r="EF17" s="5">
        <f t="shared" si="81"/>
        <v>3.2531165582951211</v>
      </c>
      <c r="EG17" s="5"/>
      <c r="EH17" s="173">
        <f t="shared" si="122"/>
        <v>1.4574422565009162</v>
      </c>
      <c r="EI17" s="173">
        <f t="shared" si="82"/>
        <v>5.5865190774129516</v>
      </c>
      <c r="EJ17" s="173"/>
      <c r="EK17" s="528">
        <f t="shared" si="83"/>
        <v>4.2482758620689655E-2</v>
      </c>
      <c r="EL17" s="528">
        <f t="shared" si="84"/>
        <v>0.45214399999999999</v>
      </c>
      <c r="EM17" s="528">
        <f t="shared" si="85"/>
        <v>3.8499999999999997E-3</v>
      </c>
      <c r="EN17" s="528">
        <f t="shared" si="86"/>
        <v>1.6593684800000001E-2</v>
      </c>
      <c r="EO17">
        <f t="shared" si="87"/>
        <v>2.6099999999999998E-2</v>
      </c>
      <c r="EP17" s="460">
        <f t="shared" si="123"/>
        <v>29.949999999999996</v>
      </c>
      <c r="EQ17" s="528">
        <f t="shared" si="88"/>
        <v>0.55827597200720902</v>
      </c>
      <c r="ER17" s="460">
        <f t="shared" si="124"/>
        <v>558.27597200720902</v>
      </c>
      <c r="ES17" s="528">
        <f t="shared" si="125"/>
        <v>0.74549999999999994</v>
      </c>
      <c r="ET17" s="528"/>
      <c r="EV17" s="460">
        <f t="shared" si="126"/>
        <v>745.49999999999989</v>
      </c>
      <c r="EW17" s="528">
        <f t="shared" si="89"/>
        <v>6.3724137931034472E-2</v>
      </c>
      <c r="EX17" s="528">
        <f t="shared" si="90"/>
        <v>0.93627586206896563</v>
      </c>
      <c r="EY17" s="528">
        <f t="shared" si="91"/>
        <v>8.3242822164556723E-2</v>
      </c>
      <c r="EZ17" s="528">
        <f t="shared" si="92"/>
        <v>1.4383074153962572</v>
      </c>
      <c r="FA17" s="528">
        <f t="shared" si="93"/>
        <v>3.0800000000000003E-3</v>
      </c>
      <c r="FB17" s="460">
        <f t="shared" si="127"/>
        <v>1441.3874153962572</v>
      </c>
      <c r="FC17" s="173">
        <f t="shared" si="128"/>
        <v>2.745163387403466</v>
      </c>
      <c r="FD17" s="5">
        <f t="shared" si="129"/>
        <v>18</v>
      </c>
      <c r="FE17" s="173">
        <f t="shared" si="130"/>
        <v>0.86767212500864954</v>
      </c>
      <c r="FF17" s="5">
        <f t="shared" si="131"/>
        <v>86.767212500864957</v>
      </c>
      <c r="FI17" s="562">
        <f t="shared" si="94"/>
        <v>-50</v>
      </c>
      <c r="FJ17">
        <f t="shared" si="95"/>
        <v>-50</v>
      </c>
      <c r="FL17">
        <f t="shared" si="96"/>
        <v>0.24000000000000002</v>
      </c>
    </row>
    <row r="18" spans="5:168">
      <c r="E18" s="170">
        <v>13</v>
      </c>
      <c r="F18" s="217">
        <f t="shared" si="97"/>
        <v>1.3</v>
      </c>
      <c r="G18" s="217"/>
      <c r="H18" s="217">
        <f t="shared" si="0"/>
        <v>19.5</v>
      </c>
      <c r="I18" s="541">
        <f t="shared" si="1"/>
        <v>57.753268114390089</v>
      </c>
      <c r="J18" s="172">
        <f t="shared" si="2"/>
        <v>15.548039131365949</v>
      </c>
      <c r="K18" s="172">
        <f t="shared" si="3"/>
        <v>73.548039131365954</v>
      </c>
      <c r="L18" s="443"/>
      <c r="M18" s="217">
        <f t="shared" si="4"/>
        <v>0.21213242465171064</v>
      </c>
      <c r="N18" s="172">
        <f t="shared" si="5"/>
        <v>307.17174212440574</v>
      </c>
      <c r="O18" s="172">
        <f t="shared" si="98"/>
        <v>19.5</v>
      </c>
      <c r="P18" s="217">
        <f t="shared" si="6"/>
        <v>20.478116141627048</v>
      </c>
      <c r="Q18" s="217">
        <f t="shared" si="7"/>
        <v>15</v>
      </c>
      <c r="R18" s="217">
        <f t="shared" si="8"/>
        <v>20.418901327776496</v>
      </c>
      <c r="S18" s="172">
        <f t="shared" si="9"/>
        <v>1052.9084354554063</v>
      </c>
      <c r="T18" s="172">
        <f t="shared" si="10"/>
        <v>15</v>
      </c>
      <c r="U18" s="217">
        <f t="shared" si="99"/>
        <v>3.3000469639210994</v>
      </c>
      <c r="V18" s="217">
        <f t="shared" si="11"/>
        <v>0.68568524102597272</v>
      </c>
      <c r="W18" s="217">
        <f t="shared" si="12"/>
        <v>2.5469812130305689</v>
      </c>
      <c r="X18" s="197">
        <f t="shared" si="13"/>
        <v>102.08436319744666</v>
      </c>
      <c r="Y18" s="443">
        <f t="shared" si="14"/>
        <v>291.31872070420752</v>
      </c>
      <c r="AA18" s="217">
        <f t="shared" si="15"/>
        <v>9.9999999999999982</v>
      </c>
      <c r="AB18" s="173">
        <f t="shared" si="16"/>
        <v>7.7180150491078408</v>
      </c>
      <c r="AC18" s="173">
        <f t="shared" si="17"/>
        <v>3.9394432571824192</v>
      </c>
      <c r="AD18" s="173"/>
      <c r="AE18" s="173">
        <f t="shared" si="18"/>
        <v>7.7180150491078416</v>
      </c>
      <c r="AF18" s="545">
        <f t="shared" si="100"/>
        <v>33.687418117959552</v>
      </c>
      <c r="AG18" s="528">
        <f t="shared" si="19"/>
        <v>3.9394432571824201</v>
      </c>
      <c r="AI18" s="173">
        <f t="shared" si="20"/>
        <v>3.1024146410709355</v>
      </c>
      <c r="AJ18" s="173">
        <f t="shared" si="21"/>
        <v>10</v>
      </c>
      <c r="AK18" s="173">
        <f t="shared" si="22"/>
        <v>1.0192499532102626</v>
      </c>
      <c r="AM18" s="545">
        <f t="shared" si="23"/>
        <v>1300</v>
      </c>
      <c r="AN18" s="460">
        <f t="shared" si="24"/>
        <v>33.687418117959552</v>
      </c>
      <c r="AP18">
        <f t="shared" si="25"/>
        <v>1300</v>
      </c>
      <c r="AQ18" s="460">
        <f t="shared" si="26"/>
        <v>33.687418117959552</v>
      </c>
      <c r="AR18" s="460"/>
      <c r="AS18" s="5">
        <f t="shared" si="101"/>
        <v>29.68467326579939</v>
      </c>
      <c r="AT18" s="5">
        <f t="shared" si="27"/>
        <v>2.0778044934586171</v>
      </c>
      <c r="AU18" s="5">
        <f t="shared" si="102"/>
        <v>27.606868772340771</v>
      </c>
      <c r="AV18" s="5">
        <f t="shared" si="28"/>
        <v>7.7180150491078416</v>
      </c>
      <c r="AW18" s="173">
        <f t="shared" si="103"/>
        <v>6.9995868738515599E-2</v>
      </c>
      <c r="AX18" s="173">
        <f t="shared" si="29"/>
        <v>20.212450870775733</v>
      </c>
      <c r="AY18" s="173">
        <f t="shared" si="30"/>
        <v>4.6500206563074222</v>
      </c>
      <c r="AZ18" s="173">
        <f t="shared" si="104"/>
        <v>4.3467443189438271</v>
      </c>
      <c r="BA18" s="460">
        <f t="shared" si="31"/>
        <v>18.007638943308013</v>
      </c>
      <c r="BB18" s="5">
        <f t="shared" si="32"/>
        <v>3.2142318440146393</v>
      </c>
      <c r="BC18" s="5"/>
      <c r="BD18" s="173">
        <f t="shared" si="105"/>
        <v>1.5274801552285997</v>
      </c>
      <c r="BE18" s="173">
        <f t="shared" si="33"/>
        <v>5.5677767294240654</v>
      </c>
      <c r="BF18" s="173"/>
      <c r="BG18" s="528">
        <f t="shared" si="34"/>
        <v>4.6663912492343744E-2</v>
      </c>
      <c r="BH18" s="528">
        <f t="shared" si="35"/>
        <v>0.46455816487019541</v>
      </c>
      <c r="BI18" s="528">
        <f t="shared" si="36"/>
        <v>4.8638962266202006E-2</v>
      </c>
      <c r="BJ18" s="528">
        <f t="shared" si="37"/>
        <v>1.822258244728997E-2</v>
      </c>
      <c r="BK18">
        <f t="shared" si="38"/>
        <v>2.598897065147554E-2</v>
      </c>
      <c r="BL18" s="460">
        <f t="shared" si="106"/>
        <v>74.627932917677555</v>
      </c>
      <c r="BM18" s="528">
        <f t="shared" si="39"/>
        <v>0.5481211245255212</v>
      </c>
      <c r="BN18" s="460">
        <f t="shared" si="107"/>
        <v>548.12112452552117</v>
      </c>
      <c r="BO18" s="528">
        <f t="shared" si="108"/>
        <v>0.80762499999999993</v>
      </c>
      <c r="BP18" s="528"/>
      <c r="BR18" s="460">
        <f t="shared" si="109"/>
        <v>807.62499999999989</v>
      </c>
      <c r="BS18" s="528">
        <f t="shared" si="40"/>
        <v>6.9995868738515613E-2</v>
      </c>
      <c r="BT18" s="528">
        <f t="shared" si="41"/>
        <v>0.93000413126148418</v>
      </c>
      <c r="BU18" s="528">
        <f t="shared" si="42"/>
        <v>0.29249999999999998</v>
      </c>
      <c r="BV18" s="528">
        <f t="shared" si="43"/>
        <v>1.6657608695652171</v>
      </c>
      <c r="BW18" s="528">
        <f t="shared" si="44"/>
        <v>3.3687418117959553E-3</v>
      </c>
      <c r="BX18" s="460">
        <f t="shared" si="110"/>
        <v>1669.1296113770131</v>
      </c>
      <c r="BY18" s="173">
        <f t="shared" si="45"/>
        <v>3.0995036688202116</v>
      </c>
      <c r="BZ18" s="5">
        <f t="shared" si="111"/>
        <v>19.5</v>
      </c>
      <c r="CA18" s="173">
        <f t="shared" si="112"/>
        <v>0.86285080795395985</v>
      </c>
      <c r="CB18" s="5">
        <f t="shared" si="113"/>
        <v>86.285080795395984</v>
      </c>
      <c r="CE18" s="562">
        <f t="shared" si="46"/>
        <v>-50</v>
      </c>
      <c r="CF18">
        <f t="shared" si="47"/>
        <v>-50</v>
      </c>
      <c r="CG18" s="173">
        <f t="shared" si="48"/>
        <v>0.26344385866189157</v>
      </c>
      <c r="CI18" s="170">
        <v>13</v>
      </c>
      <c r="CJ18" s="217">
        <f t="shared" si="114"/>
        <v>1.3</v>
      </c>
      <c r="CK18" s="217"/>
      <c r="CL18" s="217">
        <f t="shared" si="49"/>
        <v>19.5</v>
      </c>
      <c r="CM18" s="541">
        <f t="shared" si="50"/>
        <v>58</v>
      </c>
      <c r="CN18" s="172">
        <f t="shared" si="51"/>
        <v>15.4</v>
      </c>
      <c r="CO18" s="443">
        <f t="shared" si="52"/>
        <v>73.400000000000006</v>
      </c>
      <c r="CP18" s="443"/>
      <c r="CQ18" s="217">
        <f t="shared" si="53"/>
        <v>0.2098092643051771</v>
      </c>
      <c r="CR18" s="172">
        <f t="shared" si="54"/>
        <v>305.10568119891008</v>
      </c>
      <c r="CS18" s="172">
        <f t="shared" si="115"/>
        <v>19.5</v>
      </c>
      <c r="CT18" s="217">
        <f t="shared" si="55"/>
        <v>20.340378746594006</v>
      </c>
      <c r="CU18" s="217">
        <f t="shared" si="56"/>
        <v>15</v>
      </c>
      <c r="CV18" s="217">
        <f t="shared" si="57"/>
        <v>20.281562216167121</v>
      </c>
      <c r="CW18" s="172">
        <f t="shared" si="58"/>
        <v>1057.406547561206</v>
      </c>
      <c r="CX18" s="172">
        <f t="shared" si="59"/>
        <v>15</v>
      </c>
      <c r="CY18" s="217">
        <f t="shared" si="60"/>
        <v>3.2048813255709807</v>
      </c>
      <c r="CZ18" s="217">
        <f t="shared" si="61"/>
        <v>0.66307889494572014</v>
      </c>
      <c r="DA18" s="217">
        <f t="shared" si="62"/>
        <v>2.4973101238215438</v>
      </c>
      <c r="DB18" s="197">
        <f t="shared" si="63"/>
        <v>101.4078110808356</v>
      </c>
      <c r="DC18" s="443">
        <f t="shared" si="116"/>
        <v>316.41674302173675</v>
      </c>
      <c r="DE18" s="217">
        <f t="shared" si="64"/>
        <v>10</v>
      </c>
      <c r="DF18" s="173">
        <f t="shared" si="65"/>
        <v>7.7922077922077913</v>
      </c>
      <c r="DG18" s="173">
        <f t="shared" si="66"/>
        <v>3.9509536784741139</v>
      </c>
      <c r="DH18" s="173"/>
      <c r="DI18" s="173">
        <f t="shared" si="67"/>
        <v>7.7922077922077913</v>
      </c>
      <c r="DJ18" s="545">
        <f t="shared" si="117"/>
        <v>33.366666666666674</v>
      </c>
      <c r="DK18" s="528">
        <f t="shared" si="68"/>
        <v>3.9509536784741139</v>
      </c>
      <c r="DM18" s="173">
        <f t="shared" si="69"/>
        <v>3.0876096471758432</v>
      </c>
      <c r="DN18" s="173">
        <f t="shared" si="70"/>
        <v>10</v>
      </c>
      <c r="DO18" s="173">
        <f t="shared" si="71"/>
        <v>1.0190666666666666</v>
      </c>
      <c r="DQ18" s="545">
        <f t="shared" si="72"/>
        <v>1300</v>
      </c>
      <c r="DR18" s="460">
        <f t="shared" si="73"/>
        <v>33.366666666666674</v>
      </c>
      <c r="DT18">
        <f t="shared" si="74"/>
        <v>1300</v>
      </c>
      <c r="DU18" s="460">
        <f t="shared" si="75"/>
        <v>33.366666666666674</v>
      </c>
      <c r="DV18" s="460"/>
      <c r="DW18" s="5">
        <f t="shared" si="118"/>
        <v>29.970029970029966</v>
      </c>
      <c r="DX18" s="5">
        <f t="shared" si="76"/>
        <v>2.068965517241379</v>
      </c>
      <c r="DY18" s="5">
        <f t="shared" si="119"/>
        <v>27.901064452788589</v>
      </c>
      <c r="DZ18" s="5">
        <f t="shared" si="77"/>
        <v>7.7922077922077913</v>
      </c>
      <c r="EA18" s="173">
        <f t="shared" si="120"/>
        <v>6.9034482758620688E-2</v>
      </c>
      <c r="EB18" s="173">
        <f t="shared" si="78"/>
        <v>20.020000000000007</v>
      </c>
      <c r="EC18" s="173">
        <f t="shared" si="79"/>
        <v>4.6548275862068964</v>
      </c>
      <c r="ED18" s="173">
        <f t="shared" si="121"/>
        <v>4.3009111786058245</v>
      </c>
      <c r="EE18" s="460">
        <f t="shared" si="80"/>
        <v>17.931034482758619</v>
      </c>
      <c r="EF18" s="5">
        <f t="shared" si="81"/>
        <v>3.2346656172971313</v>
      </c>
      <c r="EG18" s="5"/>
      <c r="EH18" s="173">
        <f t="shared" si="122"/>
        <v>1.5169539957715776</v>
      </c>
      <c r="EI18" s="173">
        <f t="shared" si="82"/>
        <v>5.5706538133369934</v>
      </c>
      <c r="EJ18" s="173"/>
      <c r="EK18" s="528">
        <f t="shared" si="83"/>
        <v>4.6022988505747112E-2</v>
      </c>
      <c r="EL18" s="528">
        <f t="shared" si="84"/>
        <v>0.48982266666666679</v>
      </c>
      <c r="EM18" s="528">
        <f t="shared" si="85"/>
        <v>4.1708333333333346E-3</v>
      </c>
      <c r="EN18" s="528">
        <f t="shared" si="86"/>
        <v>1.7976491866666673E-2</v>
      </c>
      <c r="EO18">
        <f t="shared" si="87"/>
        <v>2.6099999999999998E-2</v>
      </c>
      <c r="EP18" s="460">
        <f t="shared" si="123"/>
        <v>30.270833333333332</v>
      </c>
      <c r="EQ18" s="528">
        <f t="shared" si="88"/>
        <v>0.60311427934831896</v>
      </c>
      <c r="ER18" s="460">
        <f t="shared" si="124"/>
        <v>603.11427934831897</v>
      </c>
      <c r="ES18" s="528">
        <f t="shared" si="125"/>
        <v>0.80762499999999993</v>
      </c>
      <c r="ET18" s="528"/>
      <c r="EV18" s="460">
        <f t="shared" si="126"/>
        <v>807.62499999999989</v>
      </c>
      <c r="EW18" s="528">
        <f t="shared" si="89"/>
        <v>6.9034482758620661E-2</v>
      </c>
      <c r="EX18" s="528">
        <f t="shared" si="90"/>
        <v>0.93096551724137955</v>
      </c>
      <c r="EY18" s="528">
        <f t="shared" si="91"/>
        <v>0.10168386871293837</v>
      </c>
      <c r="EZ18" s="528">
        <f t="shared" si="92"/>
        <v>1.458352031209716</v>
      </c>
      <c r="FA18" s="528">
        <f t="shared" si="93"/>
        <v>3.3366666666666675E-3</v>
      </c>
      <c r="FB18" s="460">
        <f t="shared" si="127"/>
        <v>1461.6886978763828</v>
      </c>
      <c r="FC18" s="173">
        <f t="shared" si="128"/>
        <v>2.8724279772247017</v>
      </c>
      <c r="FD18" s="5">
        <f t="shared" si="129"/>
        <v>19.5</v>
      </c>
      <c r="FE18" s="173">
        <f t="shared" si="130"/>
        <v>0.8716085719373482</v>
      </c>
      <c r="FF18" s="5">
        <f t="shared" si="131"/>
        <v>87.160857193734813</v>
      </c>
      <c r="FI18" s="562">
        <f t="shared" si="94"/>
        <v>-50</v>
      </c>
      <c r="FJ18">
        <f t="shared" si="95"/>
        <v>-50</v>
      </c>
      <c r="FL18">
        <f t="shared" si="96"/>
        <v>0.26</v>
      </c>
    </row>
    <row r="19" spans="5:168">
      <c r="E19" s="170">
        <v>14</v>
      </c>
      <c r="F19" s="217">
        <f t="shared" si="97"/>
        <v>1.4000000000000001</v>
      </c>
      <c r="G19" s="217"/>
      <c r="H19" s="217">
        <f t="shared" si="0"/>
        <v>21.000000000000004</v>
      </c>
      <c r="I19" s="541">
        <f t="shared" si="1"/>
        <v>57.753268114390089</v>
      </c>
      <c r="J19" s="172">
        <f t="shared" si="2"/>
        <v>15.548039131365949</v>
      </c>
      <c r="K19" s="172">
        <f t="shared" si="3"/>
        <v>73.548039131365954</v>
      </c>
      <c r="L19" s="443"/>
      <c r="M19" s="217">
        <f t="shared" si="4"/>
        <v>0.21213242465171064</v>
      </c>
      <c r="N19" s="172">
        <f t="shared" si="5"/>
        <v>307.17174212440574</v>
      </c>
      <c r="O19" s="172">
        <f t="shared" si="98"/>
        <v>21.000000000000004</v>
      </c>
      <c r="P19" s="217">
        <f t="shared" si="6"/>
        <v>20.478116141627048</v>
      </c>
      <c r="Q19" s="217">
        <f t="shared" si="7"/>
        <v>15</v>
      </c>
      <c r="R19" s="217">
        <f t="shared" si="8"/>
        <v>20.418901327776496</v>
      </c>
      <c r="S19" s="172">
        <f t="shared" si="9"/>
        <v>973.5788095617537</v>
      </c>
      <c r="T19" s="172">
        <f t="shared" si="10"/>
        <v>15</v>
      </c>
      <c r="U19" s="217">
        <f t="shared" si="99"/>
        <v>3.5538967303765689</v>
      </c>
      <c r="V19" s="217">
        <f t="shared" si="11"/>
        <v>0.73843025956643227</v>
      </c>
      <c r="W19" s="217">
        <f t="shared" si="12"/>
        <v>2.7429028448021513</v>
      </c>
      <c r="X19" s="197">
        <f t="shared" si="13"/>
        <v>102.08436319744666</v>
      </c>
      <c r="Y19" s="443">
        <f t="shared" si="14"/>
        <v>271.64072678272845</v>
      </c>
      <c r="AA19" s="217">
        <f t="shared" si="15"/>
        <v>9.9999999999999982</v>
      </c>
      <c r="AB19" s="173">
        <f t="shared" si="16"/>
        <v>7.7180150491078408</v>
      </c>
      <c r="AC19" s="173">
        <f t="shared" si="17"/>
        <v>3.9394432571824192</v>
      </c>
      <c r="AD19" s="173"/>
      <c r="AE19" s="173">
        <f t="shared" si="18"/>
        <v>7.7180150491078416</v>
      </c>
      <c r="AF19" s="545">
        <f t="shared" si="100"/>
        <v>36.278757973187211</v>
      </c>
      <c r="AG19" s="528">
        <f t="shared" si="19"/>
        <v>3.9394432571824201</v>
      </c>
      <c r="AI19" s="173">
        <f t="shared" si="20"/>
        <v>3.2195278257705171</v>
      </c>
      <c r="AJ19" s="173">
        <f t="shared" si="21"/>
        <v>10</v>
      </c>
      <c r="AK19" s="173">
        <f t="shared" si="22"/>
        <v>1.0207307188418213</v>
      </c>
      <c r="AM19" s="545">
        <f t="shared" si="23"/>
        <v>1400.0000000000002</v>
      </c>
      <c r="AN19" s="460">
        <f t="shared" si="24"/>
        <v>36.278757973187211</v>
      </c>
      <c r="AP19">
        <f t="shared" si="25"/>
        <v>1400.0000000000002</v>
      </c>
      <c r="AQ19" s="460">
        <f t="shared" si="26"/>
        <v>36.278757973187211</v>
      </c>
      <c r="AR19" s="460"/>
      <c r="AS19" s="5">
        <f t="shared" si="101"/>
        <v>27.564339461099433</v>
      </c>
      <c r="AT19" s="5">
        <f t="shared" si="27"/>
        <v>2.0778044934586171</v>
      </c>
      <c r="AU19" s="5">
        <f t="shared" si="102"/>
        <v>25.486534967640814</v>
      </c>
      <c r="AV19" s="5">
        <f t="shared" si="28"/>
        <v>7.7180150491078416</v>
      </c>
      <c r="AW19" s="173">
        <f t="shared" si="103"/>
        <v>7.5380166333786025E-2</v>
      </c>
      <c r="AX19" s="173">
        <f t="shared" si="29"/>
        <v>21.767254783912328</v>
      </c>
      <c r="AY19" s="173">
        <f t="shared" si="30"/>
        <v>4.6230991683310698</v>
      </c>
      <c r="AZ19" s="173">
        <f t="shared" si="104"/>
        <v>4.7083685621587623</v>
      </c>
      <c r="BA19" s="460">
        <f t="shared" si="31"/>
        <v>19.392841938947093</v>
      </c>
      <c r="BB19" s="5">
        <f t="shared" si="32"/>
        <v>3.1956229150791362</v>
      </c>
      <c r="BC19" s="5"/>
      <c r="BD19" s="173">
        <f t="shared" si="105"/>
        <v>1.585141069787229</v>
      </c>
      <c r="BE19" s="173">
        <f t="shared" si="33"/>
        <v>5.5516358960406551</v>
      </c>
      <c r="BF19" s="173"/>
      <c r="BG19" s="528">
        <f t="shared" si="34"/>
        <v>5.0253444222524014E-2</v>
      </c>
      <c r="BH19" s="528">
        <f t="shared" si="35"/>
        <v>0.50029340832174896</v>
      </c>
      <c r="BI19" s="528">
        <f t="shared" si="36"/>
        <v>5.2380420902063698E-2</v>
      </c>
      <c r="BJ19" s="528">
        <f t="shared" si="37"/>
        <v>1.9624319558619967E-2</v>
      </c>
      <c r="BK19">
        <f t="shared" si="38"/>
        <v>2.598897065147554E-2</v>
      </c>
      <c r="BL19" s="460">
        <f t="shared" si="106"/>
        <v>78.369391553539245</v>
      </c>
      <c r="BM19" s="528">
        <f t="shared" si="39"/>
        <v>0.59079380912210877</v>
      </c>
      <c r="BN19" s="460">
        <f t="shared" si="107"/>
        <v>590.79380912210877</v>
      </c>
      <c r="BO19" s="528">
        <f t="shared" si="108"/>
        <v>0.86974999999999991</v>
      </c>
      <c r="BP19" s="528"/>
      <c r="BR19" s="460">
        <f t="shared" si="109"/>
        <v>869.74999999999989</v>
      </c>
      <c r="BS19" s="528">
        <f t="shared" si="40"/>
        <v>7.5380166333786025E-2</v>
      </c>
      <c r="BT19" s="528">
        <f t="shared" si="41"/>
        <v>0.92461983366621381</v>
      </c>
      <c r="BU19" s="528">
        <f t="shared" si="42"/>
        <v>0.31500000000000006</v>
      </c>
      <c r="BV19" s="528">
        <f t="shared" si="43"/>
        <v>1.6902173913043474</v>
      </c>
      <c r="BW19" s="528">
        <f t="shared" si="44"/>
        <v>3.6278757973187215E-3</v>
      </c>
      <c r="BX19" s="460">
        <f t="shared" si="110"/>
        <v>1693.8452671016662</v>
      </c>
      <c r="BY19" s="173">
        <f t="shared" si="45"/>
        <v>3.2327584677773142</v>
      </c>
      <c r="BZ19" s="5">
        <f t="shared" si="111"/>
        <v>21.000000000000004</v>
      </c>
      <c r="CA19" s="173">
        <f t="shared" si="112"/>
        <v>0.86659552307773946</v>
      </c>
      <c r="CB19" s="5">
        <f t="shared" si="113"/>
        <v>86.65955230777395</v>
      </c>
      <c r="CE19" s="562">
        <f t="shared" si="46"/>
        <v>-50</v>
      </c>
      <c r="CF19">
        <f t="shared" si="47"/>
        <v>-50</v>
      </c>
      <c r="CG19" s="173">
        <f t="shared" si="48"/>
        <v>0.28370877086665242</v>
      </c>
      <c r="CI19" s="170">
        <v>14</v>
      </c>
      <c r="CJ19" s="217">
        <f t="shared" si="114"/>
        <v>1.4000000000000001</v>
      </c>
      <c r="CK19" s="217"/>
      <c r="CL19" s="217">
        <f t="shared" si="49"/>
        <v>21.000000000000004</v>
      </c>
      <c r="CM19" s="541">
        <f t="shared" si="50"/>
        <v>58</v>
      </c>
      <c r="CN19" s="172">
        <f t="shared" si="51"/>
        <v>15.4</v>
      </c>
      <c r="CO19" s="443">
        <f t="shared" si="52"/>
        <v>73.400000000000006</v>
      </c>
      <c r="CP19" s="443"/>
      <c r="CQ19" s="217">
        <f t="shared" si="53"/>
        <v>0.2098092643051771</v>
      </c>
      <c r="CR19" s="172">
        <f t="shared" si="54"/>
        <v>305.10568119891008</v>
      </c>
      <c r="CS19" s="172">
        <f t="shared" si="115"/>
        <v>21.000000000000004</v>
      </c>
      <c r="CT19" s="217">
        <f t="shared" si="55"/>
        <v>20.340378746594006</v>
      </c>
      <c r="CU19" s="217">
        <f t="shared" si="56"/>
        <v>15</v>
      </c>
      <c r="CV19" s="217">
        <f t="shared" si="57"/>
        <v>20.281562216167121</v>
      </c>
      <c r="CW19" s="172">
        <f t="shared" si="58"/>
        <v>977.73800424878596</v>
      </c>
      <c r="CX19" s="172">
        <f t="shared" si="59"/>
        <v>15</v>
      </c>
      <c r="CY19" s="217">
        <f t="shared" si="60"/>
        <v>3.4514106583072106</v>
      </c>
      <c r="CZ19" s="217">
        <f t="shared" si="61"/>
        <v>0.71408496378769881</v>
      </c>
      <c r="DA19" s="217">
        <f t="shared" si="62"/>
        <v>2.689410902577047</v>
      </c>
      <c r="DB19" s="197">
        <f t="shared" si="63"/>
        <v>101.4078110808356</v>
      </c>
      <c r="DC19" s="443">
        <f t="shared" si="116"/>
        <v>293.8155470916127</v>
      </c>
      <c r="DE19" s="217">
        <f t="shared" si="64"/>
        <v>10</v>
      </c>
      <c r="DF19" s="173">
        <f t="shared" si="65"/>
        <v>7.7922077922077913</v>
      </c>
      <c r="DG19" s="173">
        <f t="shared" si="66"/>
        <v>3.9509536784741139</v>
      </c>
      <c r="DH19" s="173"/>
      <c r="DI19" s="173">
        <f t="shared" si="67"/>
        <v>7.7922077922077913</v>
      </c>
      <c r="DJ19" s="545">
        <f t="shared" si="117"/>
        <v>35.933333333333337</v>
      </c>
      <c r="DK19" s="528">
        <f t="shared" si="68"/>
        <v>3.9509536784741139</v>
      </c>
      <c r="DM19" s="173">
        <f t="shared" si="69"/>
        <v>3.2041639575194445</v>
      </c>
      <c r="DN19" s="173">
        <f t="shared" si="70"/>
        <v>10</v>
      </c>
      <c r="DO19" s="173">
        <f t="shared" si="71"/>
        <v>1.0205333333333333</v>
      </c>
      <c r="DQ19" s="545">
        <f t="shared" si="72"/>
        <v>1400.0000000000002</v>
      </c>
      <c r="DR19" s="460">
        <f t="shared" si="73"/>
        <v>35.933333333333337</v>
      </c>
      <c r="DT19">
        <f t="shared" si="74"/>
        <v>1400.0000000000002</v>
      </c>
      <c r="DU19" s="460">
        <f t="shared" si="75"/>
        <v>35.933333333333337</v>
      </c>
      <c r="DV19" s="460"/>
      <c r="DW19" s="5">
        <f t="shared" si="118"/>
        <v>27.829313543599255</v>
      </c>
      <c r="DX19" s="5">
        <f t="shared" si="76"/>
        <v>2.068965517241379</v>
      </c>
      <c r="DY19" s="5">
        <f t="shared" si="119"/>
        <v>25.760348026357875</v>
      </c>
      <c r="DZ19" s="5">
        <f t="shared" si="77"/>
        <v>7.7922077922077913</v>
      </c>
      <c r="EA19" s="173">
        <f t="shared" si="120"/>
        <v>7.4344827586206891E-2</v>
      </c>
      <c r="EB19" s="173">
        <f t="shared" si="78"/>
        <v>21.560000000000002</v>
      </c>
      <c r="EC19" s="173">
        <f t="shared" si="79"/>
        <v>4.6282758620689659</v>
      </c>
      <c r="ED19" s="173">
        <f t="shared" si="121"/>
        <v>4.6583221576516172</v>
      </c>
      <c r="EE19" s="460">
        <f t="shared" si="80"/>
        <v>19.310344827586206</v>
      </c>
      <c r="EF19" s="5">
        <f t="shared" si="81"/>
        <v>3.2162146762991406</v>
      </c>
      <c r="EG19" s="5"/>
      <c r="EH19" s="173">
        <f t="shared" si="122"/>
        <v>1.5742175578808126</v>
      </c>
      <c r="EI19" s="173">
        <f t="shared" si="82"/>
        <v>5.5547432356314275</v>
      </c>
      <c r="EJ19" s="173"/>
      <c r="EK19" s="528">
        <f t="shared" si="83"/>
        <v>4.9563218390804596E-2</v>
      </c>
      <c r="EL19" s="528">
        <f t="shared" si="84"/>
        <v>0.52750133333333338</v>
      </c>
      <c r="EM19" s="528">
        <f t="shared" si="85"/>
        <v>4.4916666666666672E-3</v>
      </c>
      <c r="EN19" s="528">
        <f t="shared" si="86"/>
        <v>1.9359298933333342E-2</v>
      </c>
      <c r="EO19">
        <f t="shared" si="87"/>
        <v>2.6099999999999998E-2</v>
      </c>
      <c r="EP19" s="460">
        <f t="shared" si="123"/>
        <v>30.591666666666665</v>
      </c>
      <c r="EQ19" s="528">
        <f t="shared" si="88"/>
        <v>0.64802891783941063</v>
      </c>
      <c r="ER19" s="460">
        <f t="shared" si="124"/>
        <v>648.02891783941061</v>
      </c>
      <c r="ES19" s="528">
        <f t="shared" si="125"/>
        <v>0.86974999999999991</v>
      </c>
      <c r="ET19" s="528"/>
      <c r="EV19" s="460">
        <f t="shared" si="126"/>
        <v>869.74999999999989</v>
      </c>
      <c r="EW19" s="528">
        <f t="shared" si="89"/>
        <v>7.4344827586206891E-2</v>
      </c>
      <c r="EX19" s="528">
        <f t="shared" si="90"/>
        <v>0.92565517241379291</v>
      </c>
      <c r="EY19" s="528">
        <f t="shared" si="91"/>
        <v>0.12238093577387191</v>
      </c>
      <c r="EZ19" s="528">
        <f t="shared" si="92"/>
        <v>1.4808488432324691</v>
      </c>
      <c r="FA19" s="528">
        <f t="shared" si="93"/>
        <v>3.5933333333333342E-3</v>
      </c>
      <c r="FB19" s="460">
        <f t="shared" si="127"/>
        <v>1484.4421765658024</v>
      </c>
      <c r="FC19" s="173">
        <f t="shared" si="128"/>
        <v>3.002221094405213</v>
      </c>
      <c r="FD19" s="5">
        <f t="shared" si="129"/>
        <v>21.000000000000004</v>
      </c>
      <c r="FE19" s="173">
        <f t="shared" si="130"/>
        <v>0.8749190300932187</v>
      </c>
      <c r="FF19" s="5">
        <f t="shared" si="131"/>
        <v>87.491903009321874</v>
      </c>
      <c r="FI19" s="562">
        <f t="shared" si="94"/>
        <v>-50</v>
      </c>
      <c r="FJ19">
        <f t="shared" si="95"/>
        <v>-50</v>
      </c>
      <c r="FL19">
        <f t="shared" si="96"/>
        <v>0.28000000000000003</v>
      </c>
    </row>
    <row r="20" spans="5:168">
      <c r="E20" s="170">
        <v>15</v>
      </c>
      <c r="F20" s="217">
        <f t="shared" si="97"/>
        <v>1.5</v>
      </c>
      <c r="G20" s="217"/>
      <c r="H20" s="217">
        <f t="shared" si="0"/>
        <v>22.5</v>
      </c>
      <c r="I20" s="541">
        <f t="shared" si="1"/>
        <v>57.753268114390089</v>
      </c>
      <c r="J20" s="172">
        <f t="shared" si="2"/>
        <v>15.548039131365949</v>
      </c>
      <c r="K20" s="172">
        <f t="shared" si="3"/>
        <v>73.548039131365954</v>
      </c>
      <c r="L20" s="443"/>
      <c r="M20" s="217">
        <f t="shared" si="4"/>
        <v>0.21213242465171064</v>
      </c>
      <c r="N20" s="172">
        <f t="shared" si="5"/>
        <v>307.17174212440574</v>
      </c>
      <c r="O20" s="172">
        <f t="shared" si="98"/>
        <v>22.5</v>
      </c>
      <c r="P20" s="217">
        <f t="shared" si="6"/>
        <v>20.478116141627048</v>
      </c>
      <c r="Q20" s="217">
        <f t="shared" si="7"/>
        <v>15</v>
      </c>
      <c r="R20" s="217">
        <f t="shared" si="8"/>
        <v>20.418901327776496</v>
      </c>
      <c r="S20" s="172">
        <f t="shared" si="9"/>
        <v>904.82672037188479</v>
      </c>
      <c r="T20" s="172">
        <f t="shared" si="10"/>
        <v>15</v>
      </c>
      <c r="U20" s="217">
        <f t="shared" si="99"/>
        <v>3.807746496832038</v>
      </c>
      <c r="V20" s="217">
        <f t="shared" si="11"/>
        <v>0.7911752781068917</v>
      </c>
      <c r="W20" s="217">
        <f t="shared" si="12"/>
        <v>2.9388244765737337</v>
      </c>
      <c r="X20" s="197">
        <f t="shared" si="13"/>
        <v>102.08436319744666</v>
      </c>
      <c r="Y20" s="443">
        <f t="shared" si="14"/>
        <v>254.45294209217218</v>
      </c>
      <c r="AA20" s="217">
        <f t="shared" si="15"/>
        <v>9.9999999999999982</v>
      </c>
      <c r="AB20" s="173">
        <f t="shared" si="16"/>
        <v>7.7180150491078408</v>
      </c>
      <c r="AC20" s="173">
        <f t="shared" si="17"/>
        <v>3.9394432571824192</v>
      </c>
      <c r="AD20" s="173"/>
      <c r="AE20" s="173">
        <f t="shared" si="18"/>
        <v>7.7180150491078416</v>
      </c>
      <c r="AF20" s="545">
        <f t="shared" si="100"/>
        <v>38.870097828414863</v>
      </c>
      <c r="AG20" s="528">
        <f t="shared" si="19"/>
        <v>3.9394432571824201</v>
      </c>
      <c r="AI20" s="173">
        <f t="shared" si="20"/>
        <v>3.332527904862908</v>
      </c>
      <c r="AJ20" s="173">
        <f t="shared" si="21"/>
        <v>10</v>
      </c>
      <c r="AK20" s="173">
        <f t="shared" si="22"/>
        <v>1.0222114844733798</v>
      </c>
      <c r="AM20" s="545">
        <f t="shared" si="23"/>
        <v>1500</v>
      </c>
      <c r="AN20" s="460">
        <f t="shared" si="24"/>
        <v>38.870097828414863</v>
      </c>
      <c r="AP20">
        <f t="shared" si="25"/>
        <v>1500</v>
      </c>
      <c r="AQ20" s="460">
        <f t="shared" si="26"/>
        <v>38.870097828414863</v>
      </c>
      <c r="AR20" s="460"/>
      <c r="AS20" s="5">
        <f t="shared" si="101"/>
        <v>25.726716830359475</v>
      </c>
      <c r="AT20" s="5">
        <f t="shared" si="27"/>
        <v>2.0778044934586171</v>
      </c>
      <c r="AU20" s="5">
        <f t="shared" si="102"/>
        <v>23.648912336900857</v>
      </c>
      <c r="AV20" s="5">
        <f t="shared" si="28"/>
        <v>7.7180150491078416</v>
      </c>
      <c r="AW20" s="173">
        <f t="shared" si="103"/>
        <v>8.0764463929056438E-2</v>
      </c>
      <c r="AX20" s="173">
        <f t="shared" si="29"/>
        <v>23.32205869704892</v>
      </c>
      <c r="AY20" s="173">
        <f t="shared" si="30"/>
        <v>4.5961776803547174</v>
      </c>
      <c r="AZ20" s="173">
        <f t="shared" si="104"/>
        <v>5.0742291353821214</v>
      </c>
      <c r="BA20" s="460">
        <f t="shared" si="31"/>
        <v>20.77804493458617</v>
      </c>
      <c r="BB20" s="5">
        <f t="shared" si="32"/>
        <v>3.1770139861436331</v>
      </c>
      <c r="BC20" s="5"/>
      <c r="BD20" s="173">
        <f t="shared" si="105"/>
        <v>1.6407768884388927</v>
      </c>
      <c r="BE20" s="173">
        <f t="shared" si="33"/>
        <v>5.5354479977412954</v>
      </c>
      <c r="BF20" s="173"/>
      <c r="BG20" s="528">
        <f t="shared" si="34"/>
        <v>5.3842975952704285E-2</v>
      </c>
      <c r="BH20" s="528">
        <f t="shared" si="35"/>
        <v>0.53602865177330228</v>
      </c>
      <c r="BI20" s="528">
        <f t="shared" si="36"/>
        <v>5.6121879537925384E-2</v>
      </c>
      <c r="BJ20" s="528">
        <f t="shared" si="37"/>
        <v>2.1026056669949961E-2</v>
      </c>
      <c r="BK20">
        <f t="shared" si="38"/>
        <v>2.598897065147554E-2</v>
      </c>
      <c r="BL20" s="460">
        <f t="shared" si="106"/>
        <v>82.110850189400921</v>
      </c>
      <c r="BM20" s="528">
        <f t="shared" si="39"/>
        <v>0.63354022571766744</v>
      </c>
      <c r="BN20" s="460">
        <f t="shared" si="107"/>
        <v>633.54022571766745</v>
      </c>
      <c r="BO20" s="528">
        <f t="shared" si="108"/>
        <v>0.93187499999999979</v>
      </c>
      <c r="BP20" s="528"/>
      <c r="BR20" s="460">
        <f t="shared" si="109"/>
        <v>931.87499999999977</v>
      </c>
      <c r="BS20" s="528">
        <f t="shared" si="40"/>
        <v>8.0764463929056424E-2</v>
      </c>
      <c r="BT20" s="528">
        <f t="shared" si="41"/>
        <v>0.91923553607094344</v>
      </c>
      <c r="BU20" s="528">
        <f t="shared" si="42"/>
        <v>0.33749999999999997</v>
      </c>
      <c r="BV20" s="528">
        <f t="shared" si="43"/>
        <v>1.7146739130434778</v>
      </c>
      <c r="BW20" s="528">
        <f t="shared" si="44"/>
        <v>3.8870097828414868E-3</v>
      </c>
      <c r="BX20" s="460">
        <f t="shared" si="110"/>
        <v>1718.5609228263193</v>
      </c>
      <c r="BY20" s="173">
        <f t="shared" si="45"/>
        <v>3.3660869987333872</v>
      </c>
      <c r="BZ20" s="5">
        <f t="shared" si="111"/>
        <v>22.5</v>
      </c>
      <c r="CA20" s="173">
        <f t="shared" si="112"/>
        <v>0.86986485435936955</v>
      </c>
      <c r="CB20" s="5">
        <f t="shared" si="113"/>
        <v>86.986485435936956</v>
      </c>
      <c r="CE20" s="562">
        <f t="shared" si="46"/>
        <v>-50</v>
      </c>
      <c r="CF20">
        <f t="shared" si="47"/>
        <v>-50</v>
      </c>
      <c r="CG20" s="173">
        <f t="shared" si="48"/>
        <v>0.30397368307141331</v>
      </c>
      <c r="CI20" s="170">
        <v>15</v>
      </c>
      <c r="CJ20" s="217">
        <f t="shared" si="114"/>
        <v>1.5</v>
      </c>
      <c r="CK20" s="217"/>
      <c r="CL20" s="217">
        <f t="shared" si="49"/>
        <v>22.5</v>
      </c>
      <c r="CM20" s="541">
        <f t="shared" si="50"/>
        <v>58</v>
      </c>
      <c r="CN20" s="172">
        <f t="shared" si="51"/>
        <v>15.4</v>
      </c>
      <c r="CO20" s="443">
        <f t="shared" si="52"/>
        <v>73.400000000000006</v>
      </c>
      <c r="CP20" s="443"/>
      <c r="CQ20" s="217">
        <f t="shared" si="53"/>
        <v>0.2098092643051771</v>
      </c>
      <c r="CR20" s="172">
        <f t="shared" si="54"/>
        <v>305.10568119891008</v>
      </c>
      <c r="CS20" s="172">
        <f t="shared" si="115"/>
        <v>22.5</v>
      </c>
      <c r="CT20" s="217">
        <f t="shared" si="55"/>
        <v>20.340378746594006</v>
      </c>
      <c r="CU20" s="217">
        <f t="shared" si="56"/>
        <v>15</v>
      </c>
      <c r="CV20" s="217">
        <f t="shared" si="57"/>
        <v>20.281562216167121</v>
      </c>
      <c r="CW20" s="172">
        <f t="shared" si="58"/>
        <v>908.69218663080358</v>
      </c>
      <c r="CX20" s="172">
        <f t="shared" si="59"/>
        <v>15</v>
      </c>
      <c r="CY20" s="217">
        <f t="shared" si="60"/>
        <v>3.6979399910434396</v>
      </c>
      <c r="CZ20" s="217">
        <f t="shared" si="61"/>
        <v>0.76509103262967715</v>
      </c>
      <c r="DA20" s="217">
        <f t="shared" si="62"/>
        <v>2.8815116813325505</v>
      </c>
      <c r="DB20" s="197">
        <f t="shared" si="63"/>
        <v>101.4078110808356</v>
      </c>
      <c r="DC20" s="443">
        <f t="shared" si="116"/>
        <v>274.22784395217184</v>
      </c>
      <c r="DE20" s="217">
        <f t="shared" si="64"/>
        <v>10</v>
      </c>
      <c r="DF20" s="173">
        <f t="shared" si="65"/>
        <v>7.7922077922077913</v>
      </c>
      <c r="DG20" s="173">
        <f t="shared" si="66"/>
        <v>3.9509536784741139</v>
      </c>
      <c r="DH20" s="173"/>
      <c r="DI20" s="173">
        <f t="shared" si="67"/>
        <v>7.7922077922077913</v>
      </c>
      <c r="DJ20" s="545">
        <f t="shared" si="117"/>
        <v>38.5</v>
      </c>
      <c r="DK20" s="528">
        <f t="shared" si="68"/>
        <v>3.9509536784741139</v>
      </c>
      <c r="DM20" s="173">
        <f t="shared" si="69"/>
        <v>3.3166247903553998</v>
      </c>
      <c r="DN20" s="173">
        <f t="shared" si="70"/>
        <v>10</v>
      </c>
      <c r="DO20" s="173">
        <f t="shared" si="71"/>
        <v>1.022</v>
      </c>
      <c r="DQ20" s="545">
        <f t="shared" si="72"/>
        <v>1500</v>
      </c>
      <c r="DR20" s="460">
        <f t="shared" si="73"/>
        <v>38.5</v>
      </c>
      <c r="DT20">
        <f t="shared" si="74"/>
        <v>1500</v>
      </c>
      <c r="DU20" s="460">
        <f t="shared" si="75"/>
        <v>38.5</v>
      </c>
      <c r="DV20" s="460"/>
      <c r="DW20" s="5">
        <f t="shared" si="118"/>
        <v>25.974025974025977</v>
      </c>
      <c r="DX20" s="5">
        <f t="shared" si="76"/>
        <v>2.068965517241379</v>
      </c>
      <c r="DY20" s="5">
        <f t="shared" si="119"/>
        <v>23.905060456784597</v>
      </c>
      <c r="DZ20" s="5">
        <f t="shared" si="77"/>
        <v>7.7922077922077913</v>
      </c>
      <c r="EA20" s="173">
        <f t="shared" si="120"/>
        <v>7.9655172413793079E-2</v>
      </c>
      <c r="EB20" s="173">
        <f t="shared" si="78"/>
        <v>23.1</v>
      </c>
      <c r="EC20" s="173">
        <f t="shared" si="79"/>
        <v>4.6017241379310345</v>
      </c>
      <c r="ED20" s="173">
        <f t="shared" si="121"/>
        <v>5.0198576245784938</v>
      </c>
      <c r="EE20" s="460">
        <f t="shared" si="80"/>
        <v>20.68965517241379</v>
      </c>
      <c r="EF20" s="5">
        <f t="shared" si="81"/>
        <v>3.1977637353011499</v>
      </c>
      <c r="EG20" s="5"/>
      <c r="EH20" s="173">
        <f t="shared" si="122"/>
        <v>1.6294699794083667</v>
      </c>
      <c r="EI20" s="173">
        <f t="shared" si="82"/>
        <v>5.5387869537959507</v>
      </c>
      <c r="EJ20" s="173"/>
      <c r="EK20" s="528">
        <f t="shared" si="83"/>
        <v>5.3103448275862053E-2</v>
      </c>
      <c r="EL20" s="528">
        <f t="shared" si="84"/>
        <v>0.56518000000000002</v>
      </c>
      <c r="EM20" s="528">
        <f t="shared" si="85"/>
        <v>4.8124999999999999E-3</v>
      </c>
      <c r="EN20" s="528">
        <f t="shared" si="86"/>
        <v>2.0742106000000003E-2</v>
      </c>
      <c r="EO20">
        <f t="shared" si="87"/>
        <v>2.6099999999999998E-2</v>
      </c>
      <c r="EP20" s="460">
        <f t="shared" si="123"/>
        <v>30.912499999999998</v>
      </c>
      <c r="EQ20" s="528">
        <f t="shared" si="88"/>
        <v>0.69302008256171244</v>
      </c>
      <c r="ER20" s="460">
        <f t="shared" si="124"/>
        <v>693.02008256171246</v>
      </c>
      <c r="ES20" s="528">
        <f t="shared" si="125"/>
        <v>0.93187499999999979</v>
      </c>
      <c r="ET20" s="528"/>
      <c r="EV20" s="460">
        <f t="shared" si="126"/>
        <v>931.87499999999977</v>
      </c>
      <c r="EW20" s="528">
        <f t="shared" si="89"/>
        <v>7.9655172413793079E-2</v>
      </c>
      <c r="EX20" s="528">
        <f t="shared" si="90"/>
        <v>0.92034482758620673</v>
      </c>
      <c r="EY20" s="528">
        <f t="shared" si="91"/>
        <v>0.14541922578037128</v>
      </c>
      <c r="EZ20" s="528">
        <f t="shared" si="92"/>
        <v>1.5058904628047511</v>
      </c>
      <c r="FA20" s="528">
        <f t="shared" si="93"/>
        <v>3.8500000000000006E-3</v>
      </c>
      <c r="FB20" s="460">
        <f t="shared" si="127"/>
        <v>1509.7404628047511</v>
      </c>
      <c r="FC20" s="173">
        <f t="shared" si="128"/>
        <v>3.1346355453664634</v>
      </c>
      <c r="FD20" s="5">
        <f t="shared" si="129"/>
        <v>22.5</v>
      </c>
      <c r="FE20" s="173">
        <f t="shared" si="130"/>
        <v>0.8777187395615984</v>
      </c>
      <c r="FF20" s="5">
        <f t="shared" si="131"/>
        <v>87.771873956159837</v>
      </c>
      <c r="FI20" s="562">
        <f t="shared" si="94"/>
        <v>-50</v>
      </c>
      <c r="FJ20">
        <f t="shared" si="95"/>
        <v>-50</v>
      </c>
      <c r="FL20">
        <f t="shared" si="96"/>
        <v>0.3</v>
      </c>
    </row>
    <row r="21" spans="5:168" s="76" customFormat="1">
      <c r="E21" s="189">
        <v>16</v>
      </c>
      <c r="F21" s="329">
        <f t="shared" si="97"/>
        <v>1.6</v>
      </c>
      <c r="G21" s="217"/>
      <c r="H21" s="217">
        <f t="shared" si="0"/>
        <v>24</v>
      </c>
      <c r="I21" s="541">
        <f t="shared" si="1"/>
        <v>57.753268114390089</v>
      </c>
      <c r="J21" s="172">
        <f t="shared" si="2"/>
        <v>15.548039131365949</v>
      </c>
      <c r="K21" s="172">
        <f t="shared" si="3"/>
        <v>73.548039131365954</v>
      </c>
      <c r="L21" s="535"/>
      <c r="M21" s="217">
        <f t="shared" si="4"/>
        <v>0.21213242465171064</v>
      </c>
      <c r="N21" s="172">
        <f t="shared" si="5"/>
        <v>307.17174212440574</v>
      </c>
      <c r="O21" s="172">
        <f t="shared" si="98"/>
        <v>24</v>
      </c>
      <c r="P21" s="329">
        <f t="shared" si="6"/>
        <v>20.478116141627048</v>
      </c>
      <c r="Q21" s="217">
        <f t="shared" si="7"/>
        <v>15</v>
      </c>
      <c r="R21" s="217">
        <f t="shared" si="8"/>
        <v>20.418901327776496</v>
      </c>
      <c r="S21" s="172">
        <f t="shared" si="9"/>
        <v>844.6688827696712</v>
      </c>
      <c r="T21" s="172">
        <f t="shared" si="10"/>
        <v>15</v>
      </c>
      <c r="U21" s="217">
        <f t="shared" si="99"/>
        <v>4.0615962632875071</v>
      </c>
      <c r="V21" s="217">
        <f t="shared" si="11"/>
        <v>0.84392029664735113</v>
      </c>
      <c r="W21" s="217">
        <f t="shared" si="12"/>
        <v>3.1347461083453156</v>
      </c>
      <c r="X21" s="537">
        <f t="shared" si="13"/>
        <v>102.08436319744666</v>
      </c>
      <c r="Y21" s="443">
        <f t="shared" si="14"/>
        <v>239.31079992535439</v>
      </c>
      <c r="AA21" s="329">
        <f t="shared" si="15"/>
        <v>9.9999999999999982</v>
      </c>
      <c r="AB21" s="173">
        <f t="shared" si="16"/>
        <v>7.7180150491078408</v>
      </c>
      <c r="AC21" s="538">
        <f t="shared" si="17"/>
        <v>3.9394432571824192</v>
      </c>
      <c r="AD21" s="538"/>
      <c r="AE21" s="173">
        <f t="shared" si="18"/>
        <v>7.7180150491078416</v>
      </c>
      <c r="AF21" s="545">
        <f t="shared" si="100"/>
        <v>41.461437683642529</v>
      </c>
      <c r="AG21" s="528">
        <f t="shared" si="19"/>
        <v>3.9394432571824201</v>
      </c>
      <c r="AH21"/>
      <c r="AI21" s="173">
        <f t="shared" si="20"/>
        <v>3.4418200203481435</v>
      </c>
      <c r="AJ21" s="173">
        <f t="shared" si="21"/>
        <v>10</v>
      </c>
      <c r="AK21" s="173">
        <f t="shared" si="22"/>
        <v>1.0236922501049386</v>
      </c>
      <c r="AM21" s="545">
        <f t="shared" si="23"/>
        <v>1600</v>
      </c>
      <c r="AN21" s="460">
        <f t="shared" si="24"/>
        <v>41.461437683642529</v>
      </c>
      <c r="AP21">
        <f t="shared" si="25"/>
        <v>1600</v>
      </c>
      <c r="AQ21" s="460">
        <f t="shared" si="26"/>
        <v>41.461437683642529</v>
      </c>
      <c r="AR21" s="460"/>
      <c r="AS21" s="5">
        <f t="shared" si="101"/>
        <v>24.118797028462005</v>
      </c>
      <c r="AT21" s="5">
        <f t="shared" si="27"/>
        <v>2.0778044934586171</v>
      </c>
      <c r="AU21" s="5">
        <f t="shared" si="102"/>
        <v>22.040992535003387</v>
      </c>
      <c r="AV21" s="5">
        <f t="shared" si="28"/>
        <v>7.7180150491078416</v>
      </c>
      <c r="AW21" s="173">
        <f t="shared" si="103"/>
        <v>8.6148761524326878E-2</v>
      </c>
      <c r="AX21" s="173">
        <f t="shared" si="29"/>
        <v>24.876862610185519</v>
      </c>
      <c r="AY21" s="173">
        <f t="shared" si="30"/>
        <v>4.5692561923783659</v>
      </c>
      <c r="AZ21" s="173">
        <f t="shared" si="104"/>
        <v>5.4444009183990936</v>
      </c>
      <c r="BA21" s="460">
        <f t="shared" si="31"/>
        <v>22.163247930225246</v>
      </c>
      <c r="BB21" s="5">
        <f t="shared" si="32"/>
        <v>3.1584050572081286</v>
      </c>
      <c r="BC21" s="5"/>
      <c r="BD21" s="173">
        <f t="shared" si="105"/>
        <v>1.6945870836708952</v>
      </c>
      <c r="BE21" s="173">
        <f t="shared" si="33"/>
        <v>5.5192126204005865</v>
      </c>
      <c r="BF21" s="173"/>
      <c r="BG21" s="528">
        <f t="shared" si="34"/>
        <v>5.7432507682884597E-2</v>
      </c>
      <c r="BH21" s="528">
        <f t="shared" si="35"/>
        <v>0.57176389522485593</v>
      </c>
      <c r="BI21" s="528">
        <f t="shared" si="36"/>
        <v>5.9863338173787091E-2</v>
      </c>
      <c r="BJ21" s="528">
        <f t="shared" si="37"/>
        <v>2.2427793781279962E-2</v>
      </c>
      <c r="BK21">
        <f t="shared" si="38"/>
        <v>2.598897065147554E-2</v>
      </c>
      <c r="BL21" s="460">
        <f t="shared" si="106"/>
        <v>85.852308825262625</v>
      </c>
      <c r="BM21" s="528">
        <f t="shared" si="39"/>
        <v>0.67636056557418789</v>
      </c>
      <c r="BN21" s="460">
        <f t="shared" si="107"/>
        <v>676.36056557418794</v>
      </c>
      <c r="BO21" s="528">
        <f t="shared" si="108"/>
        <v>0.99399999999999988</v>
      </c>
      <c r="BP21" s="528"/>
      <c r="BR21" s="460">
        <f t="shared" si="109"/>
        <v>993.99999999999989</v>
      </c>
      <c r="BS21" s="528">
        <f t="shared" si="40"/>
        <v>8.6148761524326892E-2</v>
      </c>
      <c r="BT21" s="528">
        <f t="shared" si="41"/>
        <v>0.91385123847567318</v>
      </c>
      <c r="BU21" s="528">
        <f t="shared" si="42"/>
        <v>0.36</v>
      </c>
      <c r="BV21" s="528">
        <f t="shared" si="43"/>
        <v>1.7391304347826086</v>
      </c>
      <c r="BW21" s="528">
        <f t="shared" si="44"/>
        <v>4.146143768364253E-3</v>
      </c>
      <c r="BX21" s="460">
        <f t="shared" si="110"/>
        <v>1743.276578550973</v>
      </c>
      <c r="BY21" s="173">
        <f t="shared" si="45"/>
        <v>3.4994894529504235</v>
      </c>
      <c r="BZ21" s="5">
        <f t="shared" si="111"/>
        <v>24</v>
      </c>
      <c r="CA21" s="173">
        <f t="shared" si="112"/>
        <v>0.87274347551296216</v>
      </c>
      <c r="CB21" s="5">
        <f t="shared" si="113"/>
        <v>87.274347551296216</v>
      </c>
      <c r="CE21" s="562">
        <f t="shared" si="46"/>
        <v>-50</v>
      </c>
      <c r="CF21">
        <f t="shared" si="47"/>
        <v>-50</v>
      </c>
      <c r="CG21" s="173">
        <f t="shared" si="48"/>
        <v>0.32423859527617421</v>
      </c>
      <c r="CH21"/>
      <c r="CI21" s="189">
        <v>16</v>
      </c>
      <c r="CJ21" s="329">
        <f t="shared" si="114"/>
        <v>1.6</v>
      </c>
      <c r="CK21" s="217"/>
      <c r="CL21" s="217">
        <f t="shared" si="49"/>
        <v>24</v>
      </c>
      <c r="CM21" s="541">
        <f t="shared" si="50"/>
        <v>58</v>
      </c>
      <c r="CN21" s="172">
        <f t="shared" si="51"/>
        <v>15.4</v>
      </c>
      <c r="CO21" s="535">
        <f t="shared" si="52"/>
        <v>73.400000000000006</v>
      </c>
      <c r="CP21" s="535"/>
      <c r="CQ21" s="329">
        <f t="shared" si="53"/>
        <v>0.2098092643051771</v>
      </c>
      <c r="CR21" s="172">
        <f t="shared" si="54"/>
        <v>305.10568119891008</v>
      </c>
      <c r="CS21" s="172">
        <f t="shared" si="115"/>
        <v>24</v>
      </c>
      <c r="CT21" s="329">
        <f t="shared" si="55"/>
        <v>20.340378746594006</v>
      </c>
      <c r="CU21" s="217">
        <f t="shared" si="56"/>
        <v>15</v>
      </c>
      <c r="CV21" s="217">
        <f t="shared" si="57"/>
        <v>20.281562216167121</v>
      </c>
      <c r="CW21" s="172">
        <f t="shared" si="58"/>
        <v>848.27733665552012</v>
      </c>
      <c r="CX21" s="172">
        <f t="shared" si="59"/>
        <v>15</v>
      </c>
      <c r="CY21" s="217">
        <f t="shared" si="60"/>
        <v>3.9444693237796686</v>
      </c>
      <c r="CZ21" s="329">
        <f t="shared" si="61"/>
        <v>0.81609710147165571</v>
      </c>
      <c r="DA21" s="217">
        <f t="shared" si="62"/>
        <v>3.0736124600880537</v>
      </c>
      <c r="DB21" s="537">
        <f t="shared" si="63"/>
        <v>101.4078110808356</v>
      </c>
      <c r="DC21" s="535">
        <f t="shared" si="116"/>
        <v>257.08860370516106</v>
      </c>
      <c r="DE21" s="329">
        <f t="shared" si="64"/>
        <v>10</v>
      </c>
      <c r="DF21" s="173">
        <f t="shared" si="65"/>
        <v>7.7922077922077913</v>
      </c>
      <c r="DG21" s="538">
        <f t="shared" si="66"/>
        <v>3.9509536784741139</v>
      </c>
      <c r="DH21" s="538"/>
      <c r="DI21" s="173">
        <f t="shared" si="67"/>
        <v>7.7922077922077913</v>
      </c>
      <c r="DJ21" s="545">
        <f t="shared" si="117"/>
        <v>41.06666666666667</v>
      </c>
      <c r="DK21" s="528">
        <f t="shared" si="68"/>
        <v>3.9509536784741139</v>
      </c>
      <c r="DL21"/>
      <c r="DM21" s="173">
        <f t="shared" si="69"/>
        <v>3.4253953543107012</v>
      </c>
      <c r="DN21" s="173">
        <f t="shared" si="70"/>
        <v>10</v>
      </c>
      <c r="DO21" s="173">
        <f t="shared" si="71"/>
        <v>1.0234666666666667</v>
      </c>
      <c r="DQ21" s="545">
        <f t="shared" si="72"/>
        <v>1600</v>
      </c>
      <c r="DR21" s="460">
        <f t="shared" si="73"/>
        <v>41.06666666666667</v>
      </c>
      <c r="DT21">
        <f t="shared" si="74"/>
        <v>1600</v>
      </c>
      <c r="DU21" s="460">
        <f t="shared" si="75"/>
        <v>41.06666666666667</v>
      </c>
      <c r="DV21" s="460"/>
      <c r="DW21" s="5">
        <f t="shared" si="118"/>
        <v>24.350649350649348</v>
      </c>
      <c r="DX21" s="5">
        <f t="shared" si="76"/>
        <v>2.068965517241379</v>
      </c>
      <c r="DY21" s="5">
        <f t="shared" si="119"/>
        <v>22.281683833407968</v>
      </c>
      <c r="DZ21" s="5">
        <f t="shared" si="77"/>
        <v>7.7922077922077913</v>
      </c>
      <c r="EA21" s="173">
        <f t="shared" si="120"/>
        <v>8.496551724137931E-2</v>
      </c>
      <c r="EB21" s="173">
        <f t="shared" si="78"/>
        <v>24.640000000000004</v>
      </c>
      <c r="EC21" s="173">
        <f t="shared" si="79"/>
        <v>4.5751724137931031</v>
      </c>
      <c r="ED21" s="173">
        <f t="shared" si="121"/>
        <v>5.3855893880012076</v>
      </c>
      <c r="EE21" s="460">
        <f t="shared" si="80"/>
        <v>22.068965517241377</v>
      </c>
      <c r="EF21" s="5">
        <f t="shared" si="81"/>
        <v>3.1793127943031578</v>
      </c>
      <c r="EG21" s="5"/>
      <c r="EH21" s="173">
        <f t="shared" si="122"/>
        <v>1.6829093582382793</v>
      </c>
      <c r="EI21" s="173">
        <f t="shared" si="82"/>
        <v>5.522784571689118</v>
      </c>
      <c r="EJ21" s="173"/>
      <c r="EK21" s="528">
        <f t="shared" si="83"/>
        <v>5.6643678160919538E-2</v>
      </c>
      <c r="EL21" s="528">
        <f t="shared" si="84"/>
        <v>0.60285866666666676</v>
      </c>
      <c r="EM21" s="528">
        <f t="shared" si="85"/>
        <v>5.1333333333333335E-3</v>
      </c>
      <c r="EN21" s="528">
        <f t="shared" si="86"/>
        <v>2.2124913066666672E-2</v>
      </c>
      <c r="EO21">
        <f t="shared" si="87"/>
        <v>2.6099999999999998E-2</v>
      </c>
      <c r="EP21" s="460">
        <f t="shared" si="123"/>
        <v>31.233333333333331</v>
      </c>
      <c r="EQ21" s="528">
        <f t="shared" si="88"/>
        <v>0.73808796926178444</v>
      </c>
      <c r="ER21" s="460">
        <f t="shared" si="124"/>
        <v>738.08796926178445</v>
      </c>
      <c r="ES21" s="528">
        <f t="shared" si="125"/>
        <v>0.99399999999999988</v>
      </c>
      <c r="ET21" s="528"/>
      <c r="EV21" s="460">
        <f t="shared" si="126"/>
        <v>993.99999999999989</v>
      </c>
      <c r="EW21" s="528">
        <f t="shared" si="89"/>
        <v>8.4965517241379296E-2</v>
      </c>
      <c r="EX21" s="528">
        <f t="shared" si="90"/>
        <v>0.91503448275862065</v>
      </c>
      <c r="EY21" s="528">
        <f t="shared" si="91"/>
        <v>0.17088094501266138</v>
      </c>
      <c r="EZ21" s="528">
        <f t="shared" si="92"/>
        <v>1.5335662445789797</v>
      </c>
      <c r="FA21" s="528">
        <f t="shared" si="93"/>
        <v>4.1066666666666673E-3</v>
      </c>
      <c r="FB21" s="460">
        <f t="shared" si="127"/>
        <v>1537.6729112456464</v>
      </c>
      <c r="FC21" s="173">
        <f t="shared" si="128"/>
        <v>3.2697608805074307</v>
      </c>
      <c r="FD21" s="5">
        <f t="shared" si="129"/>
        <v>24</v>
      </c>
      <c r="FE21" s="173">
        <f t="shared" si="130"/>
        <v>0.88009572600085861</v>
      </c>
      <c r="FF21" s="5">
        <f t="shared" si="131"/>
        <v>88.00957260008586</v>
      </c>
      <c r="FI21" s="562">
        <f t="shared" si="94"/>
        <v>-50</v>
      </c>
      <c r="FJ21">
        <f t="shared" si="95"/>
        <v>-50</v>
      </c>
      <c r="FL21">
        <f t="shared" si="96"/>
        <v>0.32000000000000006</v>
      </c>
    </row>
    <row r="22" spans="5:168">
      <c r="E22" s="170">
        <v>17</v>
      </c>
      <c r="F22" s="217">
        <f t="shared" si="97"/>
        <v>1.7000000000000002</v>
      </c>
      <c r="G22" s="217"/>
      <c r="H22" s="217">
        <f t="shared" si="0"/>
        <v>25.500000000000004</v>
      </c>
      <c r="I22" s="541">
        <f t="shared" si="1"/>
        <v>57.753268114390089</v>
      </c>
      <c r="J22" s="172">
        <f t="shared" si="2"/>
        <v>15.548039131365949</v>
      </c>
      <c r="K22" s="172">
        <f t="shared" si="3"/>
        <v>73.548039131365954</v>
      </c>
      <c r="L22" s="443"/>
      <c r="M22" s="217">
        <f t="shared" si="4"/>
        <v>0.21213242465171064</v>
      </c>
      <c r="N22" s="172">
        <f t="shared" si="5"/>
        <v>307.17174212440574</v>
      </c>
      <c r="O22" s="172">
        <f t="shared" si="98"/>
        <v>25.500000000000004</v>
      </c>
      <c r="P22" s="217">
        <f t="shared" si="6"/>
        <v>20.478116141627048</v>
      </c>
      <c r="Q22" s="217">
        <f t="shared" si="7"/>
        <v>15</v>
      </c>
      <c r="R22" s="217">
        <f t="shared" si="8"/>
        <v>20.418901327776496</v>
      </c>
      <c r="S22" s="172">
        <f t="shared" si="9"/>
        <v>791.58866700831402</v>
      </c>
      <c r="T22" s="172">
        <f t="shared" si="10"/>
        <v>15</v>
      </c>
      <c r="U22" s="217">
        <f t="shared" si="99"/>
        <v>4.3154460297429766</v>
      </c>
      <c r="V22" s="217">
        <f t="shared" si="11"/>
        <v>0.89666531518781056</v>
      </c>
      <c r="W22" s="217">
        <f t="shared" si="12"/>
        <v>3.3306677401168976</v>
      </c>
      <c r="X22" s="197">
        <f t="shared" si="13"/>
        <v>102.08436319744666</v>
      </c>
      <c r="Y22" s="443">
        <f t="shared" si="14"/>
        <v>225.86961213632384</v>
      </c>
      <c r="AA22" s="217">
        <f t="shared" si="15"/>
        <v>9.9999999999999982</v>
      </c>
      <c r="AB22" s="173">
        <f t="shared" si="16"/>
        <v>7.7180150491078408</v>
      </c>
      <c r="AC22" s="173">
        <f t="shared" si="17"/>
        <v>3.9394432571824192</v>
      </c>
      <c r="AD22" s="173"/>
      <c r="AE22" s="173">
        <f t="shared" si="18"/>
        <v>7.7180150491078416</v>
      </c>
      <c r="AF22" s="545">
        <f t="shared" si="100"/>
        <v>44.052777538870188</v>
      </c>
      <c r="AG22" s="528">
        <f t="shared" si="19"/>
        <v>3.9394432571824201</v>
      </c>
      <c r="AI22" s="173">
        <f t="shared" si="20"/>
        <v>3.5477468720652303</v>
      </c>
      <c r="AJ22" s="173">
        <f t="shared" si="21"/>
        <v>10</v>
      </c>
      <c r="AK22" s="173">
        <f t="shared" si="22"/>
        <v>1.0251730157364973</v>
      </c>
      <c r="AM22" s="545">
        <f t="shared" si="23"/>
        <v>1700.0000000000002</v>
      </c>
      <c r="AN22" s="460">
        <f t="shared" si="24"/>
        <v>44.052777538870188</v>
      </c>
      <c r="AP22">
        <f t="shared" si="25"/>
        <v>1700.0000000000002</v>
      </c>
      <c r="AQ22" s="460">
        <f t="shared" si="26"/>
        <v>44.052777538870188</v>
      </c>
      <c r="AR22" s="460"/>
      <c r="AS22" s="5">
        <f t="shared" si="101"/>
        <v>22.700044262081885</v>
      </c>
      <c r="AT22" s="5">
        <f t="shared" si="27"/>
        <v>2.0778044934586171</v>
      </c>
      <c r="AU22" s="5">
        <f t="shared" si="102"/>
        <v>20.622239768623267</v>
      </c>
      <c r="AV22" s="5">
        <f t="shared" si="28"/>
        <v>7.7180150491078416</v>
      </c>
      <c r="AW22" s="173">
        <f t="shared" si="103"/>
        <v>9.1533059119597318E-2</v>
      </c>
      <c r="AX22" s="173">
        <f t="shared" si="29"/>
        <v>26.431666523322114</v>
      </c>
      <c r="AY22" s="173">
        <f t="shared" si="30"/>
        <v>4.5423347044020135</v>
      </c>
      <c r="AZ22" s="173">
        <f t="shared" si="104"/>
        <v>5.8189605661835024</v>
      </c>
      <c r="BA22" s="460">
        <f t="shared" si="31"/>
        <v>23.54845092586433</v>
      </c>
      <c r="BB22" s="5">
        <f t="shared" si="32"/>
        <v>3.1397961282726254</v>
      </c>
      <c r="BC22" s="5"/>
      <c r="BD22" s="173">
        <f t="shared" si="105"/>
        <v>1.7467403844456233</v>
      </c>
      <c r="BE22" s="173">
        <f t="shared" si="33"/>
        <v>5.5029293437840989</v>
      </c>
      <c r="BF22" s="173"/>
      <c r="BG22" s="528">
        <f t="shared" si="34"/>
        <v>6.1022039413064881E-2</v>
      </c>
      <c r="BH22" s="528">
        <f t="shared" si="35"/>
        <v>0.60749913867640948</v>
      </c>
      <c r="BI22" s="528">
        <f t="shared" si="36"/>
        <v>6.360479680964877E-2</v>
      </c>
      <c r="BJ22" s="528">
        <f t="shared" si="37"/>
        <v>2.382953089260996E-2</v>
      </c>
      <c r="BK22">
        <f t="shared" si="38"/>
        <v>2.598897065147554E-2</v>
      </c>
      <c r="BL22" s="460">
        <f t="shared" si="106"/>
        <v>89.593767461124315</v>
      </c>
      <c r="BM22" s="528">
        <f t="shared" si="39"/>
        <v>0.71925502061574753</v>
      </c>
      <c r="BN22" s="460">
        <f t="shared" si="107"/>
        <v>719.25502061574753</v>
      </c>
      <c r="BO22" s="528">
        <f t="shared" si="108"/>
        <v>1.056125</v>
      </c>
      <c r="BP22" s="528"/>
      <c r="BR22" s="460">
        <f t="shared" si="109"/>
        <v>1056.125</v>
      </c>
      <c r="BS22" s="528">
        <f t="shared" si="40"/>
        <v>9.1533059119597318E-2</v>
      </c>
      <c r="BT22" s="528">
        <f t="shared" si="41"/>
        <v>0.90846694088040281</v>
      </c>
      <c r="BU22" s="528">
        <f t="shared" si="42"/>
        <v>0.38250000000000006</v>
      </c>
      <c r="BV22" s="528">
        <f t="shared" si="43"/>
        <v>1.7635869565217395</v>
      </c>
      <c r="BW22" s="528">
        <f t="shared" si="44"/>
        <v>4.4052777538870188E-3</v>
      </c>
      <c r="BX22" s="460">
        <f t="shared" si="110"/>
        <v>1767.9922342756265</v>
      </c>
      <c r="BY22" s="173">
        <f t="shared" si="45"/>
        <v>3.6329660223524982</v>
      </c>
      <c r="BZ22" s="5">
        <f t="shared" si="111"/>
        <v>25.500000000000004</v>
      </c>
      <c r="CA22" s="173">
        <f t="shared" si="112"/>
        <v>0.87529707687280878</v>
      </c>
      <c r="CB22" s="5">
        <f t="shared" si="113"/>
        <v>87.529707687280876</v>
      </c>
      <c r="CE22" s="562">
        <f t="shared" si="46"/>
        <v>-50</v>
      </c>
      <c r="CF22">
        <f t="shared" si="47"/>
        <v>-50</v>
      </c>
      <c r="CG22" s="173">
        <f t="shared" si="48"/>
        <v>0.34450350748093511</v>
      </c>
      <c r="CI22" s="170">
        <v>17</v>
      </c>
      <c r="CJ22" s="217">
        <f t="shared" si="114"/>
        <v>1.7000000000000002</v>
      </c>
      <c r="CK22" s="217"/>
      <c r="CL22" s="217">
        <f t="shared" si="49"/>
        <v>25.500000000000004</v>
      </c>
      <c r="CM22" s="541">
        <f t="shared" si="50"/>
        <v>58</v>
      </c>
      <c r="CN22" s="172">
        <f t="shared" si="51"/>
        <v>15.4</v>
      </c>
      <c r="CO22" s="443">
        <f t="shared" si="52"/>
        <v>73.400000000000006</v>
      </c>
      <c r="CP22" s="443"/>
      <c r="CQ22" s="217">
        <f t="shared" si="53"/>
        <v>0.2098092643051771</v>
      </c>
      <c r="CR22" s="172">
        <f t="shared" si="54"/>
        <v>305.10568119891008</v>
      </c>
      <c r="CS22" s="172">
        <f t="shared" si="115"/>
        <v>25.500000000000004</v>
      </c>
      <c r="CT22" s="217">
        <f t="shared" si="55"/>
        <v>20.340378746594006</v>
      </c>
      <c r="CU22" s="217">
        <f t="shared" si="56"/>
        <v>15</v>
      </c>
      <c r="CV22" s="217">
        <f t="shared" si="57"/>
        <v>20.281562216167121</v>
      </c>
      <c r="CW22" s="172">
        <f t="shared" si="58"/>
        <v>794.97034527243977</v>
      </c>
      <c r="CX22" s="172">
        <f t="shared" si="59"/>
        <v>15</v>
      </c>
      <c r="CY22" s="217">
        <f t="shared" si="60"/>
        <v>4.190998656515899</v>
      </c>
      <c r="CZ22" s="217">
        <f t="shared" si="61"/>
        <v>0.86710317031363426</v>
      </c>
      <c r="DA22" s="217">
        <f t="shared" si="62"/>
        <v>3.2657132388435572</v>
      </c>
      <c r="DB22" s="197">
        <f t="shared" si="63"/>
        <v>101.4078110808356</v>
      </c>
      <c r="DC22" s="443">
        <f t="shared" si="116"/>
        <v>241.96574466368099</v>
      </c>
      <c r="DE22" s="217">
        <f t="shared" si="64"/>
        <v>10</v>
      </c>
      <c r="DF22" s="173">
        <f t="shared" si="65"/>
        <v>7.7922077922077913</v>
      </c>
      <c r="DG22" s="173">
        <f t="shared" si="66"/>
        <v>3.9509536784741139</v>
      </c>
      <c r="DH22" s="173"/>
      <c r="DI22" s="173">
        <f t="shared" si="67"/>
        <v>7.7922077922077913</v>
      </c>
      <c r="DJ22" s="545">
        <f t="shared" si="117"/>
        <v>43.63333333333334</v>
      </c>
      <c r="DK22" s="528">
        <f t="shared" si="68"/>
        <v>3.9509536784741139</v>
      </c>
      <c r="DM22" s="173">
        <f t="shared" si="69"/>
        <v>3.5308167138307631</v>
      </c>
      <c r="DN22" s="173">
        <f t="shared" si="70"/>
        <v>10</v>
      </c>
      <c r="DO22" s="173">
        <f t="shared" si="71"/>
        <v>1.0249333333333333</v>
      </c>
      <c r="DQ22" s="545">
        <f t="shared" si="72"/>
        <v>1700.0000000000002</v>
      </c>
      <c r="DR22" s="460">
        <f t="shared" si="73"/>
        <v>43.63333333333334</v>
      </c>
      <c r="DT22">
        <f t="shared" si="74"/>
        <v>1700.0000000000002</v>
      </c>
      <c r="DU22" s="460">
        <f t="shared" si="75"/>
        <v>43.63333333333334</v>
      </c>
      <c r="DV22" s="460"/>
      <c r="DW22" s="5">
        <f t="shared" si="118"/>
        <v>22.918258212375857</v>
      </c>
      <c r="DX22" s="5">
        <f t="shared" si="76"/>
        <v>2.068965517241379</v>
      </c>
      <c r="DY22" s="5">
        <f t="shared" si="119"/>
        <v>20.84929269513448</v>
      </c>
      <c r="DZ22" s="5">
        <f t="shared" si="77"/>
        <v>7.7922077922077913</v>
      </c>
      <c r="EA22" s="173">
        <f t="shared" si="120"/>
        <v>9.0275862068965512E-2</v>
      </c>
      <c r="EB22" s="173">
        <f t="shared" si="78"/>
        <v>26.180000000000007</v>
      </c>
      <c r="EC22" s="173">
        <f t="shared" si="79"/>
        <v>4.5486206896551726</v>
      </c>
      <c r="ED22" s="173">
        <f t="shared" si="121"/>
        <v>5.7555909332120399</v>
      </c>
      <c r="EE22" s="460">
        <f t="shared" si="80"/>
        <v>23.448275862068964</v>
      </c>
      <c r="EF22" s="5">
        <f t="shared" si="81"/>
        <v>3.1608618533051676</v>
      </c>
      <c r="EG22" s="5"/>
      <c r="EH22" s="173">
        <f t="shared" si="122"/>
        <v>1.7347032605892141</v>
      </c>
      <c r="EI22" s="173">
        <f t="shared" si="82"/>
        <v>5.5067356874135953</v>
      </c>
      <c r="EJ22" s="173"/>
      <c r="EK22" s="528">
        <f t="shared" si="83"/>
        <v>6.0183908045977015E-2</v>
      </c>
      <c r="EL22" s="528">
        <f t="shared" si="84"/>
        <v>0.6405373333333334</v>
      </c>
      <c r="EM22" s="528">
        <f t="shared" si="85"/>
        <v>5.4541666666666679E-3</v>
      </c>
      <c r="EN22" s="528">
        <f t="shared" si="86"/>
        <v>2.350772013333334E-2</v>
      </c>
      <c r="EO22">
        <f t="shared" si="87"/>
        <v>2.6099999999999998E-2</v>
      </c>
      <c r="EP22" s="460">
        <f t="shared" si="123"/>
        <v>31.554166666666667</v>
      </c>
      <c r="EQ22" s="528">
        <f t="shared" si="88"/>
        <v>0.78323277435435656</v>
      </c>
      <c r="ER22" s="460">
        <f t="shared" si="124"/>
        <v>783.23277435435659</v>
      </c>
      <c r="ES22" s="528">
        <f t="shared" si="125"/>
        <v>1.056125</v>
      </c>
      <c r="ET22" s="528"/>
      <c r="EV22" s="460">
        <f t="shared" si="126"/>
        <v>1056.125</v>
      </c>
      <c r="EW22" s="528">
        <f t="shared" si="89"/>
        <v>9.0275862068965512E-2</v>
      </c>
      <c r="EX22" s="528">
        <f t="shared" si="90"/>
        <v>0.90972413793103446</v>
      </c>
      <c r="EY22" s="528">
        <f t="shared" si="91"/>
        <v>0.19884559928237447</v>
      </c>
      <c r="EZ22" s="528">
        <f t="shared" si="92"/>
        <v>1.5639626079156244</v>
      </c>
      <c r="FA22" s="528">
        <f t="shared" si="93"/>
        <v>4.3633333333333345E-3</v>
      </c>
      <c r="FB22" s="460">
        <f t="shared" si="127"/>
        <v>1568.3259412489576</v>
      </c>
      <c r="FC22" s="173">
        <f t="shared" si="128"/>
        <v>3.4076837156033144</v>
      </c>
      <c r="FD22" s="5">
        <f t="shared" si="129"/>
        <v>25.500000000000004</v>
      </c>
      <c r="FE22" s="173">
        <f t="shared" si="130"/>
        <v>0.88211841013868675</v>
      </c>
      <c r="FF22" s="5">
        <f t="shared" si="131"/>
        <v>88.211841013868678</v>
      </c>
      <c r="FI22" s="562">
        <f t="shared" si="94"/>
        <v>-50</v>
      </c>
      <c r="FJ22">
        <f t="shared" si="95"/>
        <v>-50</v>
      </c>
      <c r="FL22">
        <f t="shared" si="96"/>
        <v>0.34</v>
      </c>
    </row>
    <row r="23" spans="5:168">
      <c r="E23" s="170">
        <v>18</v>
      </c>
      <c r="F23" s="217">
        <f t="shared" si="97"/>
        <v>1.7999999999999998</v>
      </c>
      <c r="G23" s="217"/>
      <c r="H23" s="217">
        <f t="shared" si="0"/>
        <v>26.999999999999996</v>
      </c>
      <c r="I23" s="541">
        <f t="shared" si="1"/>
        <v>57.753268114390089</v>
      </c>
      <c r="J23" s="172">
        <f t="shared" si="2"/>
        <v>15.548039131365949</v>
      </c>
      <c r="K23" s="172">
        <f t="shared" si="3"/>
        <v>73.548039131365954</v>
      </c>
      <c r="L23" s="443"/>
      <c r="M23" s="217">
        <f t="shared" si="4"/>
        <v>0.21213242465171064</v>
      </c>
      <c r="N23" s="172">
        <f t="shared" si="5"/>
        <v>307.17174212440574</v>
      </c>
      <c r="O23" s="172">
        <f t="shared" si="98"/>
        <v>26.999999999999996</v>
      </c>
      <c r="P23" s="217">
        <f t="shared" si="6"/>
        <v>20.478116141627048</v>
      </c>
      <c r="Q23" s="217">
        <f t="shared" si="7"/>
        <v>15</v>
      </c>
      <c r="R23" s="217">
        <f t="shared" si="8"/>
        <v>20.418901327776496</v>
      </c>
      <c r="S23" s="172">
        <f t="shared" si="9"/>
        <v>744.40647221981112</v>
      </c>
      <c r="T23" s="172">
        <f t="shared" si="10"/>
        <v>15</v>
      </c>
      <c r="U23" s="217">
        <f t="shared" si="99"/>
        <v>4.5692957961984453</v>
      </c>
      <c r="V23" s="217">
        <f t="shared" si="11"/>
        <v>0.94941033372826988</v>
      </c>
      <c r="W23" s="217">
        <f t="shared" si="12"/>
        <v>3.5265893718884795</v>
      </c>
      <c r="X23" s="197">
        <f t="shared" si="13"/>
        <v>102.08436319744666</v>
      </c>
      <c r="Y23" s="443">
        <f t="shared" si="14"/>
        <v>213.85801175282646</v>
      </c>
      <c r="AA23" s="217">
        <f t="shared" si="15"/>
        <v>9.9999999999999982</v>
      </c>
      <c r="AB23" s="173">
        <f t="shared" si="16"/>
        <v>7.7180150491078408</v>
      </c>
      <c r="AC23" s="173">
        <f t="shared" si="17"/>
        <v>3.9394432571824192</v>
      </c>
      <c r="AD23" s="173"/>
      <c r="AE23" s="173">
        <f t="shared" si="18"/>
        <v>7.7180150491078416</v>
      </c>
      <c r="AF23" s="545">
        <f t="shared" si="100"/>
        <v>46.644117394097833</v>
      </c>
      <c r="AG23" s="528">
        <f t="shared" si="19"/>
        <v>3.9394432571824201</v>
      </c>
      <c r="AI23" s="173">
        <f t="shared" si="20"/>
        <v>3.6506014140176895</v>
      </c>
      <c r="AJ23" s="173">
        <f t="shared" si="21"/>
        <v>10</v>
      </c>
      <c r="AK23" s="173">
        <f t="shared" si="22"/>
        <v>1.0266537813680559</v>
      </c>
      <c r="AM23" s="545">
        <f t="shared" si="23"/>
        <v>1799.9999999999998</v>
      </c>
      <c r="AN23" s="460">
        <f t="shared" si="24"/>
        <v>46.644117394097833</v>
      </c>
      <c r="AP23">
        <f t="shared" si="25"/>
        <v>1799.9999999999998</v>
      </c>
      <c r="AQ23" s="460">
        <f t="shared" si="26"/>
        <v>46.644117394097833</v>
      </c>
      <c r="AR23" s="460"/>
      <c r="AS23" s="5">
        <f t="shared" si="101"/>
        <v>21.438930691966231</v>
      </c>
      <c r="AT23" s="5">
        <f t="shared" si="27"/>
        <v>2.0778044934586171</v>
      </c>
      <c r="AU23" s="5">
        <f t="shared" si="102"/>
        <v>19.361126198507613</v>
      </c>
      <c r="AV23" s="5">
        <f t="shared" si="28"/>
        <v>7.7180150491078416</v>
      </c>
      <c r="AW23" s="173">
        <f t="shared" si="103"/>
        <v>9.6917356714867717E-2</v>
      </c>
      <c r="AX23" s="173">
        <f t="shared" si="29"/>
        <v>27.986470436458703</v>
      </c>
      <c r="AY23" s="173">
        <f t="shared" si="30"/>
        <v>4.515413216425662</v>
      </c>
      <c r="AZ23" s="173">
        <f t="shared" si="104"/>
        <v>6.1979865618173484</v>
      </c>
      <c r="BA23" s="460">
        <f t="shared" si="31"/>
        <v>24.933653921503403</v>
      </c>
      <c r="BB23" s="5">
        <f t="shared" si="32"/>
        <v>3.1211871993371219</v>
      </c>
      <c r="BC23" s="5"/>
      <c r="BD23" s="173">
        <f t="shared" si="105"/>
        <v>1.7973810272622379</v>
      </c>
      <c r="BE23" s="173">
        <f t="shared" si="33"/>
        <v>5.4865977414214608</v>
      </c>
      <c r="BF23" s="173"/>
      <c r="BG23" s="528">
        <f t="shared" si="34"/>
        <v>6.4611571143245158E-2</v>
      </c>
      <c r="BH23" s="528">
        <f t="shared" si="35"/>
        <v>0.64323438212796269</v>
      </c>
      <c r="BI23" s="528">
        <f t="shared" si="36"/>
        <v>6.7346255445510456E-2</v>
      </c>
      <c r="BJ23" s="528">
        <f t="shared" si="37"/>
        <v>2.523126800393995E-2</v>
      </c>
      <c r="BK23">
        <f t="shared" si="38"/>
        <v>2.598897065147554E-2</v>
      </c>
      <c r="BL23" s="460">
        <f t="shared" si="106"/>
        <v>93.335226096985991</v>
      </c>
      <c r="BM23" s="528">
        <f t="shared" si="39"/>
        <v>0.76222378343137942</v>
      </c>
      <c r="BN23" s="460">
        <f t="shared" si="107"/>
        <v>762.22378343137939</v>
      </c>
      <c r="BO23" s="528">
        <f t="shared" si="108"/>
        <v>1.1182499999999997</v>
      </c>
      <c r="BP23" s="528"/>
      <c r="BR23" s="460">
        <f t="shared" si="109"/>
        <v>1118.2499999999998</v>
      </c>
      <c r="BS23" s="528">
        <f t="shared" si="40"/>
        <v>9.6917356714867731E-2</v>
      </c>
      <c r="BT23" s="528">
        <f t="shared" si="41"/>
        <v>0.90308264328513221</v>
      </c>
      <c r="BU23" s="528">
        <f t="shared" si="42"/>
        <v>0.40499999999999992</v>
      </c>
      <c r="BV23" s="528">
        <f t="shared" si="43"/>
        <v>1.7880434782608694</v>
      </c>
      <c r="BW23" s="528">
        <f t="shared" si="44"/>
        <v>4.6644117394097837E-3</v>
      </c>
      <c r="BX23" s="460">
        <f t="shared" si="110"/>
        <v>1792.7078900002791</v>
      </c>
      <c r="BY23" s="173">
        <f t="shared" si="45"/>
        <v>3.7665168995286447</v>
      </c>
      <c r="BZ23" s="5">
        <f t="shared" si="111"/>
        <v>26.999999999999996</v>
      </c>
      <c r="CA23" s="173">
        <f t="shared" si="112"/>
        <v>0.87757740299857123</v>
      </c>
      <c r="CB23" s="5">
        <f t="shared" si="113"/>
        <v>87.757740299857119</v>
      </c>
      <c r="CE23" s="562">
        <f t="shared" si="46"/>
        <v>-50</v>
      </c>
      <c r="CF23">
        <f t="shared" si="47"/>
        <v>-50</v>
      </c>
      <c r="CG23" s="173">
        <f t="shared" si="48"/>
        <v>0.3647684196856959</v>
      </c>
      <c r="CI23" s="170">
        <v>18</v>
      </c>
      <c r="CJ23" s="217">
        <f t="shared" si="114"/>
        <v>1.7999999999999998</v>
      </c>
      <c r="CK23" s="217"/>
      <c r="CL23" s="217">
        <f t="shared" si="49"/>
        <v>26.999999999999996</v>
      </c>
      <c r="CM23" s="541">
        <f t="shared" si="50"/>
        <v>58</v>
      </c>
      <c r="CN23" s="172">
        <f t="shared" si="51"/>
        <v>15.4</v>
      </c>
      <c r="CO23" s="443">
        <f t="shared" si="52"/>
        <v>73.400000000000006</v>
      </c>
      <c r="CP23" s="443"/>
      <c r="CQ23" s="217">
        <f t="shared" si="53"/>
        <v>0.2098092643051771</v>
      </c>
      <c r="CR23" s="172">
        <f t="shared" si="54"/>
        <v>305.10568119891008</v>
      </c>
      <c r="CS23" s="172">
        <f t="shared" si="115"/>
        <v>26.999999999999996</v>
      </c>
      <c r="CT23" s="217">
        <f t="shared" si="55"/>
        <v>20.340378746594006</v>
      </c>
      <c r="CU23" s="217">
        <f t="shared" si="56"/>
        <v>15</v>
      </c>
      <c r="CV23" s="217">
        <f t="shared" si="57"/>
        <v>20.281562216167121</v>
      </c>
      <c r="CW23" s="172">
        <f t="shared" si="58"/>
        <v>747.58657215513585</v>
      </c>
      <c r="CX23" s="172">
        <f t="shared" si="59"/>
        <v>15</v>
      </c>
      <c r="CY23" s="217">
        <f t="shared" si="60"/>
        <v>4.4375279892521267</v>
      </c>
      <c r="CZ23" s="217">
        <f t="shared" si="61"/>
        <v>0.91810923915561249</v>
      </c>
      <c r="DA23" s="217">
        <f t="shared" si="62"/>
        <v>3.4578140175990599</v>
      </c>
      <c r="DB23" s="197">
        <f t="shared" si="63"/>
        <v>101.4078110808356</v>
      </c>
      <c r="DC23" s="443">
        <f t="shared" si="116"/>
        <v>228.52320329347654</v>
      </c>
      <c r="DE23" s="217">
        <f t="shared" si="64"/>
        <v>10</v>
      </c>
      <c r="DF23" s="173">
        <f t="shared" si="65"/>
        <v>7.7922077922077913</v>
      </c>
      <c r="DG23" s="173">
        <f t="shared" si="66"/>
        <v>3.9509536784741139</v>
      </c>
      <c r="DH23" s="173"/>
      <c r="DI23" s="173">
        <f t="shared" si="67"/>
        <v>7.7922077922077913</v>
      </c>
      <c r="DJ23" s="545">
        <f t="shared" si="117"/>
        <v>46.2</v>
      </c>
      <c r="DK23" s="528">
        <f t="shared" si="68"/>
        <v>3.9509536784741139</v>
      </c>
      <c r="DM23" s="173">
        <f t="shared" si="69"/>
        <v>3.6331804249169899</v>
      </c>
      <c r="DN23" s="173">
        <f t="shared" si="70"/>
        <v>10</v>
      </c>
      <c r="DO23" s="173">
        <f t="shared" si="71"/>
        <v>1.0264</v>
      </c>
      <c r="DQ23" s="545">
        <f t="shared" si="72"/>
        <v>1799.9999999999998</v>
      </c>
      <c r="DR23" s="460">
        <f t="shared" si="73"/>
        <v>46.2</v>
      </c>
      <c r="DT23">
        <f t="shared" si="74"/>
        <v>1799.9999999999998</v>
      </c>
      <c r="DU23" s="460">
        <f t="shared" si="75"/>
        <v>46.2</v>
      </c>
      <c r="DV23" s="460"/>
      <c r="DW23" s="5">
        <f t="shared" si="118"/>
        <v>21.645021645021643</v>
      </c>
      <c r="DX23" s="5">
        <f t="shared" si="76"/>
        <v>2.068965517241379</v>
      </c>
      <c r="DY23" s="5">
        <f t="shared" si="119"/>
        <v>19.576056127780262</v>
      </c>
      <c r="DZ23" s="5">
        <f t="shared" si="77"/>
        <v>7.7922077922077913</v>
      </c>
      <c r="EA23" s="173">
        <f t="shared" si="120"/>
        <v>9.5586206896551715E-2</v>
      </c>
      <c r="EB23" s="173">
        <f t="shared" si="78"/>
        <v>27.720000000000006</v>
      </c>
      <c r="EC23" s="173">
        <f t="shared" si="79"/>
        <v>4.5220689655172412</v>
      </c>
      <c r="ED23" s="173">
        <f t="shared" si="121"/>
        <v>6.1299374714046069</v>
      </c>
      <c r="EE23" s="460">
        <f t="shared" si="80"/>
        <v>24.827586206896544</v>
      </c>
      <c r="EF23" s="5">
        <f t="shared" si="81"/>
        <v>3.1424109123071755</v>
      </c>
      <c r="EG23" s="5"/>
      <c r="EH23" s="173">
        <f t="shared" si="122"/>
        <v>1.784994928998882</v>
      </c>
      <c r="EI23" s="173">
        <f t="shared" si="82"/>
        <v>5.490639893198388</v>
      </c>
      <c r="EJ23" s="173"/>
      <c r="EK23" s="528">
        <f t="shared" si="83"/>
        <v>6.3724137931034472E-2</v>
      </c>
      <c r="EL23" s="528">
        <f t="shared" si="84"/>
        <v>0.67821600000000004</v>
      </c>
      <c r="EM23" s="528">
        <f t="shared" si="85"/>
        <v>5.7749999999999998E-3</v>
      </c>
      <c r="EN23" s="528">
        <f t="shared" si="86"/>
        <v>2.4890527200000005E-2</v>
      </c>
      <c r="EO23">
        <f t="shared" si="87"/>
        <v>2.6099999999999998E-2</v>
      </c>
      <c r="EP23" s="460">
        <f t="shared" si="123"/>
        <v>31.875</v>
      </c>
      <c r="EQ23" s="528">
        <f t="shared" si="88"/>
        <v>0.8284546949251822</v>
      </c>
      <c r="ER23" s="460">
        <f t="shared" si="124"/>
        <v>828.45469492518225</v>
      </c>
      <c r="ES23" s="528">
        <f t="shared" si="125"/>
        <v>1.1182499999999997</v>
      </c>
      <c r="ET23" s="528"/>
      <c r="EV23" s="460">
        <f t="shared" si="126"/>
        <v>1118.2499999999998</v>
      </c>
      <c r="EW23" s="528">
        <f t="shared" si="89"/>
        <v>9.5586206896551715E-2</v>
      </c>
      <c r="EX23" s="528">
        <f t="shared" si="90"/>
        <v>0.90441379310344816</v>
      </c>
      <c r="EY23" s="528">
        <f t="shared" si="91"/>
        <v>0.22939024393395663</v>
      </c>
      <c r="EZ23" s="528">
        <f t="shared" si="92"/>
        <v>1.5971633086238655</v>
      </c>
      <c r="FA23" s="528">
        <f t="shared" si="93"/>
        <v>4.6200000000000008E-3</v>
      </c>
      <c r="FB23" s="460">
        <f t="shared" si="127"/>
        <v>1601.7833086238654</v>
      </c>
      <c r="FC23" s="173">
        <f t="shared" si="128"/>
        <v>3.5484880035490471</v>
      </c>
      <c r="FD23" s="5">
        <f t="shared" si="129"/>
        <v>26.999999999999996</v>
      </c>
      <c r="FE23" s="173">
        <f t="shared" si="130"/>
        <v>0.88384079751715394</v>
      </c>
      <c r="FF23" s="5">
        <f t="shared" si="131"/>
        <v>88.38407975171539</v>
      </c>
      <c r="FI23" s="562">
        <f t="shared" si="94"/>
        <v>-50</v>
      </c>
      <c r="FJ23">
        <f t="shared" si="95"/>
        <v>-50</v>
      </c>
      <c r="FL23">
        <f t="shared" si="96"/>
        <v>0.36</v>
      </c>
    </row>
    <row r="24" spans="5:168">
      <c r="E24" s="170">
        <v>19</v>
      </c>
      <c r="F24" s="217">
        <f t="shared" si="97"/>
        <v>1.9</v>
      </c>
      <c r="G24" s="217"/>
      <c r="H24" s="217">
        <f t="shared" si="0"/>
        <v>28.5</v>
      </c>
      <c r="I24" s="541">
        <f t="shared" si="1"/>
        <v>57.753268114390089</v>
      </c>
      <c r="J24" s="172">
        <f t="shared" si="2"/>
        <v>15.548039131365949</v>
      </c>
      <c r="K24" s="172">
        <f t="shared" si="3"/>
        <v>73.548039131365954</v>
      </c>
      <c r="L24" s="443"/>
      <c r="M24" s="217">
        <f t="shared" si="4"/>
        <v>0.21213242465171064</v>
      </c>
      <c r="N24" s="172">
        <f t="shared" si="5"/>
        <v>307.17174212440574</v>
      </c>
      <c r="O24" s="172">
        <f t="shared" si="98"/>
        <v>28.5</v>
      </c>
      <c r="P24" s="217">
        <f t="shared" si="6"/>
        <v>20.478116141627048</v>
      </c>
      <c r="Q24" s="217">
        <f t="shared" si="7"/>
        <v>15</v>
      </c>
      <c r="R24" s="217">
        <f t="shared" si="8"/>
        <v>20.418901327776496</v>
      </c>
      <c r="S24" s="172">
        <f t="shared" si="9"/>
        <v>702.19103460567044</v>
      </c>
      <c r="T24" s="172">
        <f t="shared" si="10"/>
        <v>15</v>
      </c>
      <c r="U24" s="217">
        <f t="shared" si="99"/>
        <v>4.8231455626539148</v>
      </c>
      <c r="V24" s="217">
        <f t="shared" si="11"/>
        <v>1.0021553522687294</v>
      </c>
      <c r="W24" s="217">
        <f t="shared" si="12"/>
        <v>3.7225110036600619</v>
      </c>
      <c r="X24" s="197">
        <f t="shared" si="13"/>
        <v>102.08436319744666</v>
      </c>
      <c r="Y24" s="443">
        <f t="shared" si="14"/>
        <v>203.05944153883701</v>
      </c>
      <c r="AA24" s="217">
        <f t="shared" si="15"/>
        <v>9.9999999999999982</v>
      </c>
      <c r="AB24" s="173">
        <f t="shared" si="16"/>
        <v>7.7180150491078408</v>
      </c>
      <c r="AC24" s="173">
        <f t="shared" si="17"/>
        <v>3.9394432571824192</v>
      </c>
      <c r="AD24" s="173"/>
      <c r="AE24" s="173">
        <f t="shared" si="18"/>
        <v>7.7180150491078416</v>
      </c>
      <c r="AF24" s="545">
        <f t="shared" si="100"/>
        <v>49.235457249325499</v>
      </c>
      <c r="AG24" s="528">
        <f t="shared" si="19"/>
        <v>3.9394432571824201</v>
      </c>
      <c r="AI24" s="173">
        <f t="shared" si="20"/>
        <v>3.7506364126381651</v>
      </c>
      <c r="AJ24" s="173">
        <f t="shared" si="21"/>
        <v>10</v>
      </c>
      <c r="AK24" s="173">
        <f t="shared" si="22"/>
        <v>1.0281345469996146</v>
      </c>
      <c r="AM24" s="545">
        <f t="shared" si="23"/>
        <v>1900</v>
      </c>
      <c r="AN24" s="460">
        <f t="shared" si="24"/>
        <v>49.235457249325499</v>
      </c>
      <c r="AP24">
        <f t="shared" si="25"/>
        <v>1900</v>
      </c>
      <c r="AQ24" s="460">
        <f t="shared" si="26"/>
        <v>49.235457249325499</v>
      </c>
      <c r="AR24" s="460"/>
      <c r="AS24" s="5">
        <f t="shared" si="101"/>
        <v>20.310565918704846</v>
      </c>
      <c r="AT24" s="5">
        <f t="shared" si="27"/>
        <v>2.0778044934586171</v>
      </c>
      <c r="AU24" s="5">
        <f t="shared" si="102"/>
        <v>18.232761425246228</v>
      </c>
      <c r="AV24" s="5">
        <f t="shared" si="28"/>
        <v>7.7180150491078416</v>
      </c>
      <c r="AW24" s="173">
        <f t="shared" si="103"/>
        <v>0.10230165431013817</v>
      </c>
      <c r="AX24" s="173">
        <f t="shared" si="29"/>
        <v>29.541274349595305</v>
      </c>
      <c r="AY24" s="173">
        <f t="shared" si="30"/>
        <v>4.4884917284493095</v>
      </c>
      <c r="AZ24" s="173">
        <f t="shared" si="104"/>
        <v>6.5815592713147915</v>
      </c>
      <c r="BA24" s="460">
        <f t="shared" si="31"/>
        <v>26.318856917142483</v>
      </c>
      <c r="BB24" s="5">
        <f t="shared" si="32"/>
        <v>3.1025782704016183</v>
      </c>
      <c r="BC24" s="5"/>
      <c r="BD24" s="173">
        <f t="shared" si="105"/>
        <v>1.8466334621876839</v>
      </c>
      <c r="BE24" s="173">
        <f t="shared" si="33"/>
        <v>5.4702173804760328</v>
      </c>
      <c r="BF24" s="173"/>
      <c r="BG24" s="528">
        <f t="shared" si="34"/>
        <v>6.8201102873425443E-2</v>
      </c>
      <c r="BH24" s="528">
        <f t="shared" si="35"/>
        <v>0.67896962557951623</v>
      </c>
      <c r="BI24" s="528">
        <f t="shared" si="36"/>
        <v>7.1087714081372169E-2</v>
      </c>
      <c r="BJ24" s="528">
        <f t="shared" si="37"/>
        <v>2.6633005115269955E-2</v>
      </c>
      <c r="BK24">
        <f t="shared" si="38"/>
        <v>2.598897065147554E-2</v>
      </c>
      <c r="BL24" s="460">
        <f t="shared" si="106"/>
        <v>97.07668473284771</v>
      </c>
      <c r="BM24" s="528">
        <f t="shared" si="39"/>
        <v>0.80526704727795584</v>
      </c>
      <c r="BN24" s="460">
        <f t="shared" si="107"/>
        <v>805.26704727795584</v>
      </c>
      <c r="BO24" s="528">
        <f t="shared" si="108"/>
        <v>1.1803749999999997</v>
      </c>
      <c r="BP24" s="528"/>
      <c r="BR24" s="460">
        <f t="shared" si="109"/>
        <v>1180.3749999999998</v>
      </c>
      <c r="BS24" s="528">
        <f t="shared" si="40"/>
        <v>0.10230165431013816</v>
      </c>
      <c r="BT24" s="528">
        <f t="shared" si="41"/>
        <v>0.89769834568986207</v>
      </c>
      <c r="BU24" s="528">
        <f t="shared" si="42"/>
        <v>0.42749999999999999</v>
      </c>
      <c r="BV24" s="528">
        <f t="shared" si="43"/>
        <v>1.8125000000000004</v>
      </c>
      <c r="BW24" s="528">
        <f t="shared" si="44"/>
        <v>4.9235457249325503E-3</v>
      </c>
      <c r="BX24" s="460">
        <f t="shared" si="110"/>
        <v>1817.4235457249331</v>
      </c>
      <c r="BY24" s="173">
        <f t="shared" si="45"/>
        <v>3.9001422777357364</v>
      </c>
      <c r="BZ24" s="5">
        <f t="shared" si="111"/>
        <v>28.5</v>
      </c>
      <c r="CA24" s="173">
        <f t="shared" si="112"/>
        <v>0.87962576693943151</v>
      </c>
      <c r="CB24" s="5">
        <f t="shared" si="113"/>
        <v>87.962576693943149</v>
      </c>
      <c r="CE24" s="562">
        <f t="shared" si="46"/>
        <v>-50</v>
      </c>
      <c r="CF24">
        <f t="shared" si="47"/>
        <v>-50</v>
      </c>
      <c r="CG24" s="173">
        <f t="shared" si="48"/>
        <v>0.38503333189045674</v>
      </c>
      <c r="CI24" s="170">
        <v>19</v>
      </c>
      <c r="CJ24" s="217">
        <f t="shared" si="114"/>
        <v>1.9</v>
      </c>
      <c r="CK24" s="217"/>
      <c r="CL24" s="217">
        <f t="shared" si="49"/>
        <v>28.5</v>
      </c>
      <c r="CM24" s="541">
        <f t="shared" si="50"/>
        <v>58</v>
      </c>
      <c r="CN24" s="172">
        <f t="shared" si="51"/>
        <v>15.4</v>
      </c>
      <c r="CO24" s="443">
        <f t="shared" si="52"/>
        <v>73.400000000000006</v>
      </c>
      <c r="CP24" s="443"/>
      <c r="CQ24" s="217">
        <f t="shared" si="53"/>
        <v>0.2098092643051771</v>
      </c>
      <c r="CR24" s="172">
        <f t="shared" si="54"/>
        <v>305.10568119891008</v>
      </c>
      <c r="CS24" s="172">
        <f t="shared" si="115"/>
        <v>28.5</v>
      </c>
      <c r="CT24" s="217">
        <f t="shared" si="55"/>
        <v>20.340378746594006</v>
      </c>
      <c r="CU24" s="217">
        <f t="shared" si="56"/>
        <v>15</v>
      </c>
      <c r="CV24" s="217">
        <f t="shared" si="57"/>
        <v>20.281562216167121</v>
      </c>
      <c r="CW24" s="172">
        <f t="shared" si="58"/>
        <v>705.1907749853126</v>
      </c>
      <c r="CX24" s="172">
        <f t="shared" si="59"/>
        <v>15</v>
      </c>
      <c r="CY24" s="217">
        <f t="shared" si="60"/>
        <v>4.684057321988357</v>
      </c>
      <c r="CZ24" s="217">
        <f t="shared" si="61"/>
        <v>0.96911530799759127</v>
      </c>
      <c r="DA24" s="217">
        <f t="shared" si="62"/>
        <v>3.649914796354564</v>
      </c>
      <c r="DB24" s="197">
        <f t="shared" si="63"/>
        <v>101.4078110808356</v>
      </c>
      <c r="DC24" s="443">
        <f t="shared" si="116"/>
        <v>216.49566627803037</v>
      </c>
      <c r="DE24" s="217">
        <f t="shared" si="64"/>
        <v>10</v>
      </c>
      <c r="DF24" s="173">
        <f t="shared" si="65"/>
        <v>7.7922077922077913</v>
      </c>
      <c r="DG24" s="173">
        <f t="shared" si="66"/>
        <v>3.9509536784741139</v>
      </c>
      <c r="DH24" s="173"/>
      <c r="DI24" s="173">
        <f t="shared" si="67"/>
        <v>7.7922077922077913</v>
      </c>
      <c r="DJ24" s="545">
        <f t="shared" si="117"/>
        <v>48.766666666666666</v>
      </c>
      <c r="DK24" s="528">
        <f t="shared" si="68"/>
        <v>3.9509536784741139</v>
      </c>
      <c r="DM24" s="173">
        <f t="shared" si="69"/>
        <v>3.7327380477785117</v>
      </c>
      <c r="DN24" s="173">
        <f t="shared" si="70"/>
        <v>10</v>
      </c>
      <c r="DO24" s="173">
        <f t="shared" si="71"/>
        <v>1.0278666666666667</v>
      </c>
      <c r="DQ24" s="545">
        <f t="shared" si="72"/>
        <v>1900</v>
      </c>
      <c r="DR24" s="460">
        <f t="shared" si="73"/>
        <v>48.766666666666666</v>
      </c>
      <c r="DT24">
        <f t="shared" si="74"/>
        <v>1900</v>
      </c>
      <c r="DU24" s="460">
        <f t="shared" si="75"/>
        <v>48.766666666666666</v>
      </c>
      <c r="DV24" s="460"/>
      <c r="DW24" s="5">
        <f t="shared" si="118"/>
        <v>20.505809979494192</v>
      </c>
      <c r="DX24" s="5">
        <f t="shared" si="76"/>
        <v>2.068965517241379</v>
      </c>
      <c r="DY24" s="5">
        <f t="shared" si="119"/>
        <v>18.436844462252814</v>
      </c>
      <c r="DZ24" s="5">
        <f t="shared" si="77"/>
        <v>7.7922077922077913</v>
      </c>
      <c r="EA24" s="173">
        <f t="shared" si="120"/>
        <v>0.1008965517241379</v>
      </c>
      <c r="EB24" s="173">
        <f t="shared" si="78"/>
        <v>29.26</v>
      </c>
      <c r="EC24" s="173">
        <f t="shared" si="79"/>
        <v>4.4955172413793107</v>
      </c>
      <c r="ED24" s="173">
        <f t="shared" si="121"/>
        <v>6.508705990642019</v>
      </c>
      <c r="EE24" s="460">
        <f t="shared" si="80"/>
        <v>26.206896551724135</v>
      </c>
      <c r="EF24" s="5">
        <f t="shared" si="81"/>
        <v>3.1239599713091861</v>
      </c>
      <c r="EG24" s="5"/>
      <c r="EH24" s="173">
        <f t="shared" si="122"/>
        <v>1.833907955924887</v>
      </c>
      <c r="EI24" s="173">
        <f t="shared" si="82"/>
        <v>5.4744967752779559</v>
      </c>
      <c r="EJ24" s="173"/>
      <c r="EK24" s="528">
        <f t="shared" si="83"/>
        <v>6.7264367816091949E-2</v>
      </c>
      <c r="EL24" s="528">
        <f t="shared" si="84"/>
        <v>0.71589466666666657</v>
      </c>
      <c r="EM24" s="528">
        <f t="shared" si="85"/>
        <v>6.0958333333333324E-3</v>
      </c>
      <c r="EN24" s="528">
        <f t="shared" si="86"/>
        <v>2.627333426666667E-2</v>
      </c>
      <c r="EO24">
        <f t="shared" si="87"/>
        <v>2.6099999999999998E-2</v>
      </c>
      <c r="EP24" s="460">
        <f t="shared" si="123"/>
        <v>32.195833333333333</v>
      </c>
      <c r="EQ24" s="528">
        <f t="shared" si="88"/>
        <v>0.873753928733907</v>
      </c>
      <c r="ER24" s="460">
        <f t="shared" si="124"/>
        <v>873.75392873390706</v>
      </c>
      <c r="ES24" s="528">
        <f t="shared" si="125"/>
        <v>1.1803749999999997</v>
      </c>
      <c r="ET24" s="528"/>
      <c r="EV24" s="460">
        <f t="shared" si="126"/>
        <v>1180.3749999999998</v>
      </c>
      <c r="EW24" s="528">
        <f t="shared" si="89"/>
        <v>0.10089655172413792</v>
      </c>
      <c r="EX24" s="528">
        <f t="shared" si="90"/>
        <v>0.89910344827586208</v>
      </c>
      <c r="EY24" s="528">
        <f t="shared" si="91"/>
        <v>0.2625896974784947</v>
      </c>
      <c r="EZ24" s="528">
        <f t="shared" si="92"/>
        <v>1.6332496711722768</v>
      </c>
      <c r="FA24" s="528">
        <f t="shared" si="93"/>
        <v>4.8766666666666672E-3</v>
      </c>
      <c r="FB24" s="460">
        <f t="shared" si="127"/>
        <v>1638.1263378389435</v>
      </c>
      <c r="FC24" s="173">
        <f t="shared" si="128"/>
        <v>3.6922552665728499</v>
      </c>
      <c r="FD24" s="5">
        <f t="shared" si="129"/>
        <v>28.5</v>
      </c>
      <c r="FE24" s="173">
        <f t="shared" si="130"/>
        <v>0.8853061012346426</v>
      </c>
      <c r="FF24" s="5">
        <f t="shared" si="131"/>
        <v>88.530610123464257</v>
      </c>
      <c r="FI24" s="562">
        <f t="shared" si="94"/>
        <v>-50</v>
      </c>
      <c r="FJ24">
        <f t="shared" si="95"/>
        <v>-50</v>
      </c>
      <c r="FL24">
        <f t="shared" si="96"/>
        <v>0.38</v>
      </c>
    </row>
    <row r="25" spans="5:168">
      <c r="E25" s="170">
        <v>20</v>
      </c>
      <c r="F25" s="217">
        <f t="shared" si="97"/>
        <v>2</v>
      </c>
      <c r="G25" s="217"/>
      <c r="H25" s="217">
        <f t="shared" si="0"/>
        <v>30</v>
      </c>
      <c r="I25" s="541">
        <f t="shared" si="1"/>
        <v>57.753268114390089</v>
      </c>
      <c r="J25" s="172">
        <f t="shared" si="2"/>
        <v>15.548039131365949</v>
      </c>
      <c r="K25" s="172">
        <f t="shared" si="3"/>
        <v>73.548039131365954</v>
      </c>
      <c r="L25" s="443"/>
      <c r="M25" s="217">
        <f t="shared" si="4"/>
        <v>0.21213242465171064</v>
      </c>
      <c r="N25" s="172">
        <f t="shared" si="5"/>
        <v>307.17174212440574</v>
      </c>
      <c r="O25" s="172">
        <f t="shared" si="98"/>
        <v>30</v>
      </c>
      <c r="P25" s="217">
        <f t="shared" si="6"/>
        <v>20.478116141627048</v>
      </c>
      <c r="Q25" s="217">
        <f t="shared" si="7"/>
        <v>15</v>
      </c>
      <c r="R25" s="217">
        <f t="shared" si="8"/>
        <v>20.418901327776496</v>
      </c>
      <c r="S25" s="172">
        <f t="shared" si="9"/>
        <v>664.19734317043151</v>
      </c>
      <c r="T25" s="172">
        <f t="shared" si="10"/>
        <v>15</v>
      </c>
      <c r="U25" s="217">
        <f t="shared" si="99"/>
        <v>5.0769953291093834</v>
      </c>
      <c r="V25" s="217">
        <f t="shared" si="11"/>
        <v>1.0549003708091886</v>
      </c>
      <c r="W25" s="217">
        <f t="shared" si="12"/>
        <v>3.9184326354316443</v>
      </c>
      <c r="X25" s="197">
        <f t="shared" si="13"/>
        <v>102.08436319744666</v>
      </c>
      <c r="Y25" s="443">
        <f t="shared" si="14"/>
        <v>193.29898129381064</v>
      </c>
      <c r="AA25" s="217">
        <f t="shared" si="15"/>
        <v>9.9999999999999982</v>
      </c>
      <c r="AB25" s="173">
        <f t="shared" si="16"/>
        <v>7.7180150491078408</v>
      </c>
      <c r="AC25" s="173">
        <f t="shared" si="17"/>
        <v>3.9394432571824192</v>
      </c>
      <c r="AD25" s="173"/>
      <c r="AE25" s="173">
        <f t="shared" si="18"/>
        <v>7.7180150491078416</v>
      </c>
      <c r="AF25" s="545">
        <f t="shared" si="100"/>
        <v>51.826797104553151</v>
      </c>
      <c r="AG25" s="528">
        <f t="shared" si="19"/>
        <v>3.9394432571824201</v>
      </c>
      <c r="AI25" s="173">
        <f t="shared" si="20"/>
        <v>3.8480717659090788</v>
      </c>
      <c r="AJ25" s="173">
        <f t="shared" si="21"/>
        <v>10</v>
      </c>
      <c r="AK25" s="173">
        <f t="shared" si="22"/>
        <v>1.0296153126311731</v>
      </c>
      <c r="AM25" s="545">
        <f t="shared" si="23"/>
        <v>2000</v>
      </c>
      <c r="AN25" s="460">
        <f t="shared" si="24"/>
        <v>51.826797104553151</v>
      </c>
      <c r="AP25">
        <f t="shared" si="25"/>
        <v>2000</v>
      </c>
      <c r="AQ25" s="460">
        <f t="shared" si="26"/>
        <v>51.826797104553151</v>
      </c>
      <c r="AR25" s="460"/>
      <c r="AS25" s="5">
        <f t="shared" si="101"/>
        <v>19.295037622769609</v>
      </c>
      <c r="AT25" s="5">
        <f t="shared" si="27"/>
        <v>2.0778044934586171</v>
      </c>
      <c r="AU25" s="5">
        <f t="shared" si="102"/>
        <v>17.217233129310991</v>
      </c>
      <c r="AV25" s="5">
        <f t="shared" si="28"/>
        <v>7.7180150491078416</v>
      </c>
      <c r="AW25" s="173">
        <f t="shared" si="103"/>
        <v>0.10768595190540857</v>
      </c>
      <c r="AX25" s="173">
        <f t="shared" si="29"/>
        <v>31.096078262731893</v>
      </c>
      <c r="AY25" s="173">
        <f t="shared" si="30"/>
        <v>4.4615702404729571</v>
      </c>
      <c r="AZ25" s="173">
        <f t="shared" si="104"/>
        <v>6.9697610004309816</v>
      </c>
      <c r="BA25" s="460">
        <f t="shared" si="31"/>
        <v>27.704059912781563</v>
      </c>
      <c r="BB25" s="5">
        <f t="shared" si="32"/>
        <v>3.0839693414661156</v>
      </c>
      <c r="BC25" s="5"/>
      <c r="BD25" s="173">
        <f t="shared" si="105"/>
        <v>1.8946059564406224</v>
      </c>
      <c r="BE25" s="173">
        <f t="shared" si="33"/>
        <v>5.4537878216110549</v>
      </c>
      <c r="BF25" s="173"/>
      <c r="BG25" s="528">
        <f t="shared" si="34"/>
        <v>7.1790634603605713E-2</v>
      </c>
      <c r="BH25" s="528">
        <f t="shared" si="35"/>
        <v>0.71470486903106978</v>
      </c>
      <c r="BI25" s="528">
        <f t="shared" si="36"/>
        <v>7.4829172717233841E-2</v>
      </c>
      <c r="BJ25" s="528">
        <f t="shared" si="37"/>
        <v>2.8034742226599949E-2</v>
      </c>
      <c r="BK25">
        <f t="shared" si="38"/>
        <v>2.598897065147554E-2</v>
      </c>
      <c r="BL25" s="460">
        <f t="shared" si="106"/>
        <v>100.81814336870939</v>
      </c>
      <c r="BM25" s="528">
        <f t="shared" si="39"/>
        <v>0.84838500608308254</v>
      </c>
      <c r="BN25" s="460">
        <f t="shared" si="107"/>
        <v>848.38500608308254</v>
      </c>
      <c r="BO25" s="528">
        <f t="shared" si="108"/>
        <v>1.2424999999999999</v>
      </c>
      <c r="BP25" s="528"/>
      <c r="BR25" s="460">
        <f t="shared" si="109"/>
        <v>1242.5</v>
      </c>
      <c r="BS25" s="528">
        <f t="shared" si="40"/>
        <v>0.10768595190540857</v>
      </c>
      <c r="BT25" s="528">
        <f t="shared" si="41"/>
        <v>0.89231404809459169</v>
      </c>
      <c r="BU25" s="528">
        <f t="shared" si="42"/>
        <v>0.44999999999999996</v>
      </c>
      <c r="BV25" s="528">
        <f t="shared" si="43"/>
        <v>1.8369565217391308</v>
      </c>
      <c r="BW25" s="528">
        <f t="shared" si="44"/>
        <v>5.182679710455316E-3</v>
      </c>
      <c r="BX25" s="460">
        <f t="shared" si="110"/>
        <v>1842.1392014495862</v>
      </c>
      <c r="BY25" s="173">
        <f t="shared" si="45"/>
        <v>4.0338423509013781</v>
      </c>
      <c r="BZ25" s="5">
        <f t="shared" si="111"/>
        <v>30</v>
      </c>
      <c r="CA25" s="173">
        <f t="shared" si="112"/>
        <v>0.88147555279503886</v>
      </c>
      <c r="CB25" s="5">
        <f t="shared" si="113"/>
        <v>88.147555279503891</v>
      </c>
      <c r="CE25" s="562">
        <f t="shared" si="46"/>
        <v>-50</v>
      </c>
      <c r="CF25">
        <f t="shared" si="47"/>
        <v>-50</v>
      </c>
      <c r="CG25" s="173">
        <f t="shared" si="48"/>
        <v>0.4052982440952177</v>
      </c>
      <c r="CI25" s="170">
        <v>20</v>
      </c>
      <c r="CJ25" s="217">
        <f t="shared" si="114"/>
        <v>2</v>
      </c>
      <c r="CK25" s="217"/>
      <c r="CL25" s="217">
        <f t="shared" si="49"/>
        <v>30</v>
      </c>
      <c r="CM25" s="541">
        <f t="shared" si="50"/>
        <v>58</v>
      </c>
      <c r="CN25" s="172">
        <f t="shared" si="51"/>
        <v>15.4</v>
      </c>
      <c r="CO25" s="443">
        <f t="shared" si="52"/>
        <v>73.400000000000006</v>
      </c>
      <c r="CP25" s="443"/>
      <c r="CQ25" s="217">
        <f t="shared" si="53"/>
        <v>0.2098092643051771</v>
      </c>
      <c r="CR25" s="172">
        <f t="shared" si="54"/>
        <v>305.10568119891008</v>
      </c>
      <c r="CS25" s="172">
        <f t="shared" si="115"/>
        <v>30</v>
      </c>
      <c r="CT25" s="217">
        <f t="shared" si="55"/>
        <v>20.340378746594006</v>
      </c>
      <c r="CU25" s="217">
        <f t="shared" si="56"/>
        <v>15</v>
      </c>
      <c r="CV25" s="217">
        <f t="shared" si="57"/>
        <v>20.281562216167121</v>
      </c>
      <c r="CW25" s="172">
        <f t="shared" si="58"/>
        <v>667.03475995167173</v>
      </c>
      <c r="CX25" s="172">
        <f t="shared" si="59"/>
        <v>15</v>
      </c>
      <c r="CY25" s="217">
        <f t="shared" si="60"/>
        <v>4.9305866547245856</v>
      </c>
      <c r="CZ25" s="217">
        <f t="shared" si="61"/>
        <v>1.0201213768395696</v>
      </c>
      <c r="DA25" s="217">
        <f t="shared" si="62"/>
        <v>3.8420155751100671</v>
      </c>
      <c r="DB25" s="197">
        <f t="shared" si="63"/>
        <v>101.4078110808356</v>
      </c>
      <c r="DC25" s="443">
        <f t="shared" si="116"/>
        <v>205.67088296412885</v>
      </c>
      <c r="DE25" s="217">
        <f t="shared" si="64"/>
        <v>10</v>
      </c>
      <c r="DF25" s="173">
        <f t="shared" si="65"/>
        <v>7.7922077922077913</v>
      </c>
      <c r="DG25" s="173">
        <f t="shared" si="66"/>
        <v>3.9509536784741139</v>
      </c>
      <c r="DH25" s="173"/>
      <c r="DI25" s="173">
        <f t="shared" si="67"/>
        <v>7.7922077922077913</v>
      </c>
      <c r="DJ25" s="545">
        <f t="shared" si="117"/>
        <v>51.333333333333336</v>
      </c>
      <c r="DK25" s="528">
        <f t="shared" si="68"/>
        <v>3.9509536784741139</v>
      </c>
      <c r="DM25" s="173">
        <f t="shared" si="69"/>
        <v>3.8297084310253524</v>
      </c>
      <c r="DN25" s="173">
        <f t="shared" si="70"/>
        <v>10</v>
      </c>
      <c r="DO25" s="173">
        <f t="shared" si="71"/>
        <v>1.0293333333333334</v>
      </c>
      <c r="DQ25" s="545">
        <f t="shared" si="72"/>
        <v>2000</v>
      </c>
      <c r="DR25" s="460">
        <f t="shared" si="73"/>
        <v>51.333333333333336</v>
      </c>
      <c r="DT25">
        <f t="shared" si="74"/>
        <v>2000</v>
      </c>
      <c r="DU25" s="460">
        <f t="shared" si="75"/>
        <v>51.333333333333336</v>
      </c>
      <c r="DV25" s="460"/>
      <c r="DW25" s="5">
        <f t="shared" si="118"/>
        <v>19.480519480519479</v>
      </c>
      <c r="DX25" s="5">
        <f t="shared" si="76"/>
        <v>2.068965517241379</v>
      </c>
      <c r="DY25" s="5">
        <f t="shared" si="119"/>
        <v>17.411553963278102</v>
      </c>
      <c r="DZ25" s="5">
        <f t="shared" si="77"/>
        <v>7.7922077922077913</v>
      </c>
      <c r="EA25" s="173">
        <f t="shared" si="120"/>
        <v>0.10620689655172413</v>
      </c>
      <c r="EB25" s="173">
        <f t="shared" si="78"/>
        <v>30.800000000000004</v>
      </c>
      <c r="EC25" s="173">
        <f t="shared" si="79"/>
        <v>4.4689655172413794</v>
      </c>
      <c r="ED25" s="173">
        <f t="shared" si="121"/>
        <v>6.8919753086419764</v>
      </c>
      <c r="EE25" s="460">
        <f t="shared" si="80"/>
        <v>27.586206896551719</v>
      </c>
      <c r="EF25" s="5">
        <f t="shared" si="81"/>
        <v>3.1055090303111954</v>
      </c>
      <c r="EG25" s="5"/>
      <c r="EH25" s="173">
        <f t="shared" si="122"/>
        <v>1.8815498624956692</v>
      </c>
      <c r="EI25" s="173">
        <f t="shared" si="82"/>
        <v>5.458305913768104</v>
      </c>
      <c r="EJ25" s="173"/>
      <c r="EK25" s="528">
        <f t="shared" si="83"/>
        <v>7.0804597701149441E-2</v>
      </c>
      <c r="EL25" s="528">
        <f t="shared" si="84"/>
        <v>0.75357333333333343</v>
      </c>
      <c r="EM25" s="528">
        <f t="shared" si="85"/>
        <v>6.4166666666666669E-3</v>
      </c>
      <c r="EN25" s="528">
        <f t="shared" si="86"/>
        <v>2.7656141333333339E-2</v>
      </c>
      <c r="EO25">
        <f t="shared" si="87"/>
        <v>2.6099999999999998E-2</v>
      </c>
      <c r="EP25" s="460">
        <f t="shared" si="123"/>
        <v>32.516666666666666</v>
      </c>
      <c r="EQ25" s="528">
        <f t="shared" si="88"/>
        <v>0.91913067421695083</v>
      </c>
      <c r="ER25" s="460">
        <f t="shared" si="124"/>
        <v>919.13067421695087</v>
      </c>
      <c r="ES25" s="528">
        <f t="shared" si="125"/>
        <v>1.2424999999999999</v>
      </c>
      <c r="ET25" s="528"/>
      <c r="EV25" s="460">
        <f t="shared" si="126"/>
        <v>1242.5</v>
      </c>
      <c r="EW25" s="528">
        <f t="shared" si="89"/>
        <v>0.10620689655172415</v>
      </c>
      <c r="EX25" s="528">
        <f t="shared" si="90"/>
        <v>0.89379310344827567</v>
      </c>
      <c r="EY25" s="528">
        <f t="shared" si="91"/>
        <v>0.29851672586540179</v>
      </c>
      <c r="EZ25" s="528">
        <f t="shared" si="92"/>
        <v>1.6723007889841321</v>
      </c>
      <c r="FA25" s="528">
        <f t="shared" si="93"/>
        <v>5.1333333333333335E-3</v>
      </c>
      <c r="FB25" s="460">
        <f t="shared" si="127"/>
        <v>1677.4341223174656</v>
      </c>
      <c r="FC25" s="173">
        <f t="shared" si="128"/>
        <v>3.8390647965344162</v>
      </c>
      <c r="FD25" s="5">
        <f t="shared" si="129"/>
        <v>30</v>
      </c>
      <c r="FE25" s="173">
        <f t="shared" si="130"/>
        <v>0.88654932340424519</v>
      </c>
      <c r="FF25" s="5">
        <f t="shared" si="131"/>
        <v>88.654932340424523</v>
      </c>
      <c r="FI25" s="562">
        <f t="shared" si="94"/>
        <v>-50</v>
      </c>
      <c r="FJ25">
        <f t="shared" si="95"/>
        <v>-50</v>
      </c>
      <c r="FL25">
        <f t="shared" si="96"/>
        <v>0.4</v>
      </c>
    </row>
    <row r="26" spans="5:168">
      <c r="E26" s="170">
        <v>21</v>
      </c>
      <c r="F26" s="217">
        <f t="shared" si="97"/>
        <v>2.1</v>
      </c>
      <c r="G26" s="217"/>
      <c r="H26" s="217">
        <f t="shared" si="0"/>
        <v>31.5</v>
      </c>
      <c r="I26" s="541">
        <f t="shared" si="1"/>
        <v>57.753268114390089</v>
      </c>
      <c r="J26" s="172">
        <f t="shared" si="2"/>
        <v>15.548039131365949</v>
      </c>
      <c r="K26" s="172">
        <f t="shared" si="3"/>
        <v>73.548039131365954</v>
      </c>
      <c r="L26" s="443"/>
      <c r="M26" s="217">
        <f t="shared" si="4"/>
        <v>0.21213242465171064</v>
      </c>
      <c r="N26" s="172">
        <f t="shared" si="5"/>
        <v>307.17174212440574</v>
      </c>
      <c r="O26" s="172">
        <f t="shared" si="98"/>
        <v>31.5</v>
      </c>
      <c r="P26" s="217">
        <f t="shared" si="6"/>
        <v>20.478116141627048</v>
      </c>
      <c r="Q26" s="217">
        <f t="shared" si="7"/>
        <v>15</v>
      </c>
      <c r="R26" s="217">
        <f t="shared" si="8"/>
        <v>20.418901327776496</v>
      </c>
      <c r="S26" s="172">
        <f t="shared" si="9"/>
        <v>629.82229381705758</v>
      </c>
      <c r="T26" s="172">
        <f t="shared" si="10"/>
        <v>15</v>
      </c>
      <c r="U26" s="217">
        <f t="shared" si="99"/>
        <v>5.330845095564853</v>
      </c>
      <c r="V26" s="217">
        <f t="shared" si="11"/>
        <v>1.1076453893496483</v>
      </c>
      <c r="W26" s="217">
        <f t="shared" si="12"/>
        <v>4.1143542672032263</v>
      </c>
      <c r="X26" s="197">
        <f t="shared" si="13"/>
        <v>102.08436319744666</v>
      </c>
      <c r="Y26" s="443">
        <f t="shared" si="14"/>
        <v>184.43379995264817</v>
      </c>
      <c r="AA26" s="217">
        <f t="shared" si="15"/>
        <v>9.9999999999999982</v>
      </c>
      <c r="AB26" s="173">
        <f t="shared" si="16"/>
        <v>7.7180150491078408</v>
      </c>
      <c r="AC26" s="173">
        <f t="shared" si="17"/>
        <v>3.9394432571824192</v>
      </c>
      <c r="AD26" s="173"/>
      <c r="AE26" s="173">
        <f t="shared" si="18"/>
        <v>7.7180150491078416</v>
      </c>
      <c r="AF26" s="545">
        <f t="shared" si="100"/>
        <v>54.418136959780817</v>
      </c>
      <c r="AG26" s="528">
        <f t="shared" si="19"/>
        <v>3.9394432571824201</v>
      </c>
      <c r="AI26" s="173">
        <f t="shared" si="20"/>
        <v>3.9431001929149541</v>
      </c>
      <c r="AJ26" s="173">
        <f t="shared" si="21"/>
        <v>10</v>
      </c>
      <c r="AK26" s="173">
        <f t="shared" si="22"/>
        <v>1.0310960782627319</v>
      </c>
      <c r="AM26" s="545">
        <f t="shared" si="23"/>
        <v>2100</v>
      </c>
      <c r="AN26" s="460">
        <f t="shared" si="24"/>
        <v>54.418136959780817</v>
      </c>
      <c r="AP26">
        <f t="shared" si="25"/>
        <v>2100</v>
      </c>
      <c r="AQ26" s="460">
        <f t="shared" si="26"/>
        <v>54.418136959780817</v>
      </c>
      <c r="AR26" s="460"/>
      <c r="AS26" s="5">
        <f t="shared" si="101"/>
        <v>18.376226307399623</v>
      </c>
      <c r="AT26" s="5">
        <f t="shared" si="27"/>
        <v>2.0778044934586171</v>
      </c>
      <c r="AU26" s="5">
        <f t="shared" si="102"/>
        <v>16.298421813941005</v>
      </c>
      <c r="AV26" s="5">
        <f t="shared" si="28"/>
        <v>7.7180150491078416</v>
      </c>
      <c r="AW26" s="173">
        <f t="shared" si="103"/>
        <v>0.11307024950067902</v>
      </c>
      <c r="AX26" s="173">
        <f t="shared" si="29"/>
        <v>32.650882175868496</v>
      </c>
      <c r="AY26" s="173">
        <f t="shared" si="30"/>
        <v>4.4346487524966047</v>
      </c>
      <c r="AZ26" s="173">
        <f t="shared" si="104"/>
        <v>7.3626760535401603</v>
      </c>
      <c r="BA26" s="460">
        <f t="shared" si="31"/>
        <v>29.08926290842064</v>
      </c>
      <c r="BB26" s="5">
        <f t="shared" si="32"/>
        <v>3.0653604125306111</v>
      </c>
      <c r="BC26" s="5"/>
      <c r="BD26" s="173">
        <f t="shared" si="105"/>
        <v>1.9413933956540854</v>
      </c>
      <c r="BE26" s="173">
        <f t="shared" si="33"/>
        <v>5.4373086188521649</v>
      </c>
      <c r="BF26" s="173"/>
      <c r="BG26" s="528">
        <f t="shared" si="34"/>
        <v>7.5380166333785997E-2</v>
      </c>
      <c r="BH26" s="528">
        <f t="shared" si="35"/>
        <v>0.75044011248262343</v>
      </c>
      <c r="BI26" s="528">
        <f t="shared" si="36"/>
        <v>7.8570631353095555E-2</v>
      </c>
      <c r="BJ26" s="528">
        <f t="shared" si="37"/>
        <v>2.9436479337929949E-2</v>
      </c>
      <c r="BK26">
        <f t="shared" si="38"/>
        <v>2.598897065147554E-2</v>
      </c>
      <c r="BL26" s="460">
        <f t="shared" si="106"/>
        <v>104.55960200457109</v>
      </c>
      <c r="BM26" s="528">
        <f t="shared" si="39"/>
        <v>0.89157785444801352</v>
      </c>
      <c r="BN26" s="460">
        <f t="shared" si="107"/>
        <v>891.57785444801357</v>
      </c>
      <c r="BO26" s="528">
        <f t="shared" si="108"/>
        <v>1.3046249999999999</v>
      </c>
      <c r="BP26" s="528"/>
      <c r="BR26" s="460">
        <f t="shared" si="109"/>
        <v>1304.625</v>
      </c>
      <c r="BS26" s="528">
        <f t="shared" si="40"/>
        <v>0.113070249500679</v>
      </c>
      <c r="BT26" s="528">
        <f t="shared" si="41"/>
        <v>0.8869297504993211</v>
      </c>
      <c r="BU26" s="528">
        <f t="shared" si="42"/>
        <v>0.47249999999999998</v>
      </c>
      <c r="BV26" s="528">
        <f t="shared" si="43"/>
        <v>1.8614130434782608</v>
      </c>
      <c r="BW26" s="528">
        <f t="shared" si="44"/>
        <v>5.4418136959780818E-3</v>
      </c>
      <c r="BX26" s="460">
        <f t="shared" si="110"/>
        <v>1866.854857174239</v>
      </c>
      <c r="BY26" s="173">
        <f t="shared" si="45"/>
        <v>4.1676173136268231</v>
      </c>
      <c r="BZ26" s="5">
        <f t="shared" si="111"/>
        <v>31.5</v>
      </c>
      <c r="CA26" s="173">
        <f t="shared" si="112"/>
        <v>0.88315403081229704</v>
      </c>
      <c r="CB26" s="5">
        <f t="shared" si="113"/>
        <v>88.315403081229704</v>
      </c>
      <c r="CE26" s="562">
        <f t="shared" si="46"/>
        <v>-50</v>
      </c>
      <c r="CF26">
        <f t="shared" si="47"/>
        <v>-50</v>
      </c>
      <c r="CG26" s="173">
        <f t="shared" si="48"/>
        <v>0.42556315629997865</v>
      </c>
      <c r="CI26" s="170">
        <v>21</v>
      </c>
      <c r="CJ26" s="217">
        <f t="shared" si="114"/>
        <v>2.1</v>
      </c>
      <c r="CK26" s="217"/>
      <c r="CL26" s="217">
        <f t="shared" si="49"/>
        <v>31.5</v>
      </c>
      <c r="CM26" s="541">
        <f t="shared" si="50"/>
        <v>58</v>
      </c>
      <c r="CN26" s="172">
        <f t="shared" si="51"/>
        <v>15.4</v>
      </c>
      <c r="CO26" s="443">
        <f t="shared" si="52"/>
        <v>73.400000000000006</v>
      </c>
      <c r="CP26" s="443"/>
      <c r="CQ26" s="217">
        <f t="shared" si="53"/>
        <v>0.2098092643051771</v>
      </c>
      <c r="CR26" s="172">
        <f t="shared" si="54"/>
        <v>305.10568119891008</v>
      </c>
      <c r="CS26" s="172">
        <f t="shared" si="115"/>
        <v>31.5</v>
      </c>
      <c r="CT26" s="217">
        <f t="shared" si="55"/>
        <v>20.340378746594006</v>
      </c>
      <c r="CU26" s="217">
        <f t="shared" si="56"/>
        <v>15</v>
      </c>
      <c r="CV26" s="217">
        <f t="shared" si="57"/>
        <v>20.281562216167121</v>
      </c>
      <c r="CW26" s="172">
        <f t="shared" si="58"/>
        <v>632.51284639198093</v>
      </c>
      <c r="CX26" s="172">
        <f t="shared" si="59"/>
        <v>15</v>
      </c>
      <c r="CY26" s="217">
        <f t="shared" si="60"/>
        <v>5.177115987460815</v>
      </c>
      <c r="CZ26" s="217">
        <f t="shared" si="61"/>
        <v>1.0711274456815481</v>
      </c>
      <c r="DA26" s="217">
        <f t="shared" si="62"/>
        <v>4.0341163538655707</v>
      </c>
      <c r="DB26" s="197">
        <f t="shared" si="63"/>
        <v>101.4078110808356</v>
      </c>
      <c r="DC26" s="443">
        <f t="shared" si="116"/>
        <v>195.87703139440842</v>
      </c>
      <c r="DE26" s="217">
        <f t="shared" si="64"/>
        <v>10</v>
      </c>
      <c r="DF26" s="173">
        <f t="shared" si="65"/>
        <v>7.7922077922077913</v>
      </c>
      <c r="DG26" s="173">
        <f t="shared" si="66"/>
        <v>3.9509536784741139</v>
      </c>
      <c r="DH26" s="173"/>
      <c r="DI26" s="173">
        <f t="shared" si="67"/>
        <v>7.7922077922077913</v>
      </c>
      <c r="DJ26" s="545">
        <f t="shared" si="117"/>
        <v>53.900000000000006</v>
      </c>
      <c r="DK26" s="528">
        <f t="shared" si="68"/>
        <v>3.9509536784741139</v>
      </c>
      <c r="DM26" s="173">
        <f t="shared" si="69"/>
        <v>3.9242833740697169</v>
      </c>
      <c r="DN26" s="173">
        <f t="shared" si="70"/>
        <v>10</v>
      </c>
      <c r="DO26" s="173">
        <f t="shared" si="71"/>
        <v>1.0307999999999999</v>
      </c>
      <c r="DQ26" s="545">
        <f t="shared" si="72"/>
        <v>2100</v>
      </c>
      <c r="DR26" s="460">
        <f t="shared" si="73"/>
        <v>53.900000000000006</v>
      </c>
      <c r="DT26">
        <f t="shared" si="74"/>
        <v>2100</v>
      </c>
      <c r="DU26" s="460">
        <f t="shared" si="75"/>
        <v>53.900000000000006</v>
      </c>
      <c r="DV26" s="460"/>
      <c r="DW26" s="5">
        <f t="shared" si="118"/>
        <v>18.552875695732837</v>
      </c>
      <c r="DX26" s="5">
        <f t="shared" si="76"/>
        <v>2.068965517241379</v>
      </c>
      <c r="DY26" s="5">
        <f t="shared" si="119"/>
        <v>16.483910178491456</v>
      </c>
      <c r="DZ26" s="5">
        <f t="shared" si="77"/>
        <v>7.7922077922077913</v>
      </c>
      <c r="EA26" s="173">
        <f t="shared" si="120"/>
        <v>0.11151724137931034</v>
      </c>
      <c r="EB26" s="173">
        <f t="shared" si="78"/>
        <v>32.340000000000011</v>
      </c>
      <c r="EC26" s="173">
        <f t="shared" si="79"/>
        <v>4.4424137931034489</v>
      </c>
      <c r="ED26" s="173">
        <f t="shared" si="121"/>
        <v>7.2798261274547871</v>
      </c>
      <c r="EE26" s="460">
        <f t="shared" si="80"/>
        <v>28.965517241379306</v>
      </c>
      <c r="EF26" s="5">
        <f t="shared" si="81"/>
        <v>3.0870580893132034</v>
      </c>
      <c r="EG26" s="5"/>
      <c r="EH26" s="173">
        <f t="shared" si="122"/>
        <v>1.9280148804691173</v>
      </c>
      <c r="EI26" s="173">
        <f t="shared" si="82"/>
        <v>5.4420668825385619</v>
      </c>
      <c r="EJ26" s="173"/>
      <c r="EK26" s="528">
        <f t="shared" si="83"/>
        <v>7.4344827586206891E-2</v>
      </c>
      <c r="EL26" s="528">
        <f t="shared" si="84"/>
        <v>0.79125200000000018</v>
      </c>
      <c r="EM26" s="528">
        <f t="shared" si="85"/>
        <v>6.7375000000000004E-3</v>
      </c>
      <c r="EN26" s="528">
        <f t="shared" si="86"/>
        <v>2.9038948400000007E-2</v>
      </c>
      <c r="EO26">
        <f t="shared" si="87"/>
        <v>2.6099999999999998E-2</v>
      </c>
      <c r="EP26" s="460">
        <f t="shared" si="123"/>
        <v>32.837499999999999</v>
      </c>
      <c r="EQ26" s="528">
        <f t="shared" si="88"/>
        <v>0.96458513049040506</v>
      </c>
      <c r="ER26" s="460">
        <f t="shared" si="124"/>
        <v>964.58513049040505</v>
      </c>
      <c r="ES26" s="528">
        <f t="shared" si="125"/>
        <v>1.3046249999999999</v>
      </c>
      <c r="ET26" s="528"/>
      <c r="EV26" s="460">
        <f t="shared" si="126"/>
        <v>1304.625</v>
      </c>
      <c r="EW26" s="528">
        <f t="shared" si="89"/>
        <v>0.11151724137931034</v>
      </c>
      <c r="EX26" s="528">
        <f t="shared" si="90"/>
        <v>0.88848275862068937</v>
      </c>
      <c r="EY26" s="528">
        <f t="shared" si="91"/>
        <v>0.33724220275159505</v>
      </c>
      <c r="EZ26" s="528">
        <f t="shared" si="92"/>
        <v>1.7143936986430377</v>
      </c>
      <c r="FA26" s="528">
        <f t="shared" si="93"/>
        <v>5.3900000000000007E-3</v>
      </c>
      <c r="FB26" s="460">
        <f t="shared" si="127"/>
        <v>1719.7836986430377</v>
      </c>
      <c r="FC26" s="173">
        <f t="shared" si="128"/>
        <v>3.9889938291334421</v>
      </c>
      <c r="FD26" s="5">
        <f t="shared" si="129"/>
        <v>31.5</v>
      </c>
      <c r="FE26" s="173">
        <f t="shared" si="130"/>
        <v>0.88759912866679203</v>
      </c>
      <c r="FF26" s="5">
        <f t="shared" si="131"/>
        <v>88.759912866679201</v>
      </c>
      <c r="FI26" s="562">
        <f t="shared" si="94"/>
        <v>-50</v>
      </c>
      <c r="FJ26">
        <f t="shared" si="95"/>
        <v>-50</v>
      </c>
      <c r="FL26">
        <f t="shared" si="96"/>
        <v>0.42000000000000004</v>
      </c>
    </row>
    <row r="27" spans="5:168">
      <c r="E27" s="170">
        <v>22</v>
      </c>
      <c r="F27" s="217">
        <f t="shared" si="97"/>
        <v>2.2000000000000002</v>
      </c>
      <c r="G27" s="217"/>
      <c r="H27" s="217">
        <f t="shared" si="0"/>
        <v>33</v>
      </c>
      <c r="I27" s="541">
        <f t="shared" si="1"/>
        <v>57.753268114390089</v>
      </c>
      <c r="J27" s="172">
        <f t="shared" si="2"/>
        <v>15.548039131365949</v>
      </c>
      <c r="K27" s="172">
        <f t="shared" si="3"/>
        <v>73.548039131365954</v>
      </c>
      <c r="L27" s="443"/>
      <c r="M27" s="217">
        <f t="shared" si="4"/>
        <v>0.21213242465171064</v>
      </c>
      <c r="N27" s="172">
        <f t="shared" si="5"/>
        <v>307.17174212440574</v>
      </c>
      <c r="O27" s="172">
        <f t="shared" si="98"/>
        <v>33</v>
      </c>
      <c r="P27" s="217">
        <f t="shared" si="6"/>
        <v>20.478116141627048</v>
      </c>
      <c r="Q27" s="217">
        <f t="shared" si="7"/>
        <v>15</v>
      </c>
      <c r="R27" s="217">
        <f t="shared" si="8"/>
        <v>20.418901327776496</v>
      </c>
      <c r="S27" s="172">
        <f t="shared" si="9"/>
        <v>598.57243777997132</v>
      </c>
      <c r="T27" s="172">
        <f t="shared" si="10"/>
        <v>15</v>
      </c>
      <c r="U27" s="217">
        <f t="shared" si="99"/>
        <v>5.5846948620203216</v>
      </c>
      <c r="V27" s="217">
        <f t="shared" si="11"/>
        <v>1.1603904078901077</v>
      </c>
      <c r="W27" s="217">
        <f t="shared" si="12"/>
        <v>4.3102758989748082</v>
      </c>
      <c r="X27" s="197">
        <f t="shared" si="13"/>
        <v>102.08436319744666</v>
      </c>
      <c r="Y27" s="443">
        <f t="shared" si="14"/>
        <v>176.34611981830048</v>
      </c>
      <c r="AA27" s="217">
        <f t="shared" si="15"/>
        <v>9.9999999999999982</v>
      </c>
      <c r="AB27" s="173">
        <f t="shared" si="16"/>
        <v>7.7180150491078408</v>
      </c>
      <c r="AC27" s="173">
        <f t="shared" si="17"/>
        <v>3.9394432571824192</v>
      </c>
      <c r="AD27" s="173"/>
      <c r="AE27" s="173">
        <f t="shared" si="18"/>
        <v>7.7180150491078416</v>
      </c>
      <c r="AF27" s="545">
        <f t="shared" si="100"/>
        <v>57.009476815008476</v>
      </c>
      <c r="AG27" s="528">
        <f t="shared" si="19"/>
        <v>3.9394432571824201</v>
      </c>
      <c r="AI27" s="173">
        <f t="shared" si="20"/>
        <v>4.0358917164791821</v>
      </c>
      <c r="AJ27" s="173">
        <f t="shared" si="21"/>
        <v>10</v>
      </c>
      <c r="AK27" s="173">
        <f t="shared" si="22"/>
        <v>1.0325768438942906</v>
      </c>
      <c r="AM27" s="545">
        <f t="shared" si="23"/>
        <v>2200</v>
      </c>
      <c r="AN27" s="460">
        <f t="shared" si="24"/>
        <v>57.009476815008476</v>
      </c>
      <c r="AP27">
        <f t="shared" si="25"/>
        <v>2200</v>
      </c>
      <c r="AQ27" s="460">
        <f t="shared" si="26"/>
        <v>57.009476815008476</v>
      </c>
      <c r="AR27" s="460"/>
      <c r="AS27" s="5">
        <f t="shared" si="101"/>
        <v>17.54094329342691</v>
      </c>
      <c r="AT27" s="5">
        <f t="shared" si="27"/>
        <v>2.0778044934586171</v>
      </c>
      <c r="AU27" s="5">
        <f t="shared" si="102"/>
        <v>15.463138799968293</v>
      </c>
      <c r="AV27" s="5">
        <f t="shared" si="28"/>
        <v>7.7180150491078416</v>
      </c>
      <c r="AW27" s="173">
        <f t="shared" si="103"/>
        <v>0.11845454709594948</v>
      </c>
      <c r="AX27" s="173">
        <f t="shared" si="29"/>
        <v>34.205686089005084</v>
      </c>
      <c r="AY27" s="173">
        <f t="shared" si="30"/>
        <v>4.4077272645202523</v>
      </c>
      <c r="AZ27" s="173">
        <f t="shared" si="104"/>
        <v>7.7603907946713928</v>
      </c>
      <c r="BA27" s="460">
        <f t="shared" si="31"/>
        <v>30.47446590405972</v>
      </c>
      <c r="BB27" s="5">
        <f t="shared" si="32"/>
        <v>3.0467514835951075</v>
      </c>
      <c r="BC27" s="5"/>
      <c r="BD27" s="173">
        <f t="shared" si="105"/>
        <v>1.9870794909107981</v>
      </c>
      <c r="BE27" s="173">
        <f t="shared" si="33"/>
        <v>5.4207793194461464</v>
      </c>
      <c r="BF27" s="173"/>
      <c r="BG27" s="528">
        <f t="shared" si="34"/>
        <v>7.8969698063966323E-2</v>
      </c>
      <c r="BH27" s="528">
        <f t="shared" si="35"/>
        <v>0.78617535593417687</v>
      </c>
      <c r="BI27" s="528">
        <f t="shared" si="36"/>
        <v>8.231208998895724E-2</v>
      </c>
      <c r="BJ27" s="528">
        <f t="shared" si="37"/>
        <v>3.083821644925995E-2</v>
      </c>
      <c r="BK27">
        <f t="shared" si="38"/>
        <v>2.598897065147554E-2</v>
      </c>
      <c r="BL27" s="460">
        <f t="shared" si="106"/>
        <v>108.30106064043278</v>
      </c>
      <c r="BM27" s="528">
        <f t="shared" si="39"/>
        <v>0.93484578765057791</v>
      </c>
      <c r="BN27" s="460">
        <f t="shared" si="107"/>
        <v>934.8457876505779</v>
      </c>
      <c r="BO27" s="528">
        <f t="shared" si="108"/>
        <v>1.3667499999999999</v>
      </c>
      <c r="BP27" s="528"/>
      <c r="BR27" s="460">
        <f t="shared" si="109"/>
        <v>1366.75</v>
      </c>
      <c r="BS27" s="528">
        <f t="shared" si="40"/>
        <v>0.11845454709594948</v>
      </c>
      <c r="BT27" s="528">
        <f t="shared" si="41"/>
        <v>0.88154545290405073</v>
      </c>
      <c r="BU27" s="528">
        <f t="shared" si="42"/>
        <v>0.495</v>
      </c>
      <c r="BV27" s="528">
        <f t="shared" si="43"/>
        <v>1.8858695652173918</v>
      </c>
      <c r="BW27" s="528">
        <f t="shared" si="44"/>
        <v>5.7009476815008484E-3</v>
      </c>
      <c r="BX27" s="460">
        <f t="shared" si="110"/>
        <v>1891.5705128988927</v>
      </c>
      <c r="BY27" s="173">
        <f>SUM(BM27,BO27:BQ27,BV27, BW27)+BK27+BI27</f>
        <v>4.3014673611899035</v>
      </c>
      <c r="BZ27" s="5">
        <f t="shared" si="111"/>
        <v>33</v>
      </c>
      <c r="CA27" s="173">
        <f t="shared" si="112"/>
        <v>0.88468369569650385</v>
      </c>
      <c r="CB27" s="5">
        <f t="shared" si="113"/>
        <v>88.468369569650378</v>
      </c>
      <c r="CE27" s="562">
        <f t="shared" si="46"/>
        <v>-50</v>
      </c>
      <c r="CF27">
        <f t="shared" si="47"/>
        <v>-50</v>
      </c>
      <c r="CG27" s="173">
        <f t="shared" si="48"/>
        <v>0.44582806850473949</v>
      </c>
      <c r="CI27" s="170">
        <v>22</v>
      </c>
      <c r="CJ27" s="217">
        <f t="shared" si="114"/>
        <v>2.2000000000000002</v>
      </c>
      <c r="CK27" s="217"/>
      <c r="CL27" s="217">
        <f t="shared" si="49"/>
        <v>33</v>
      </c>
      <c r="CM27" s="541">
        <f t="shared" si="50"/>
        <v>58</v>
      </c>
      <c r="CN27" s="172">
        <f t="shared" si="51"/>
        <v>15.4</v>
      </c>
      <c r="CO27" s="443">
        <f t="shared" si="52"/>
        <v>73.400000000000006</v>
      </c>
      <c r="CP27" s="443"/>
      <c r="CQ27" s="217">
        <f t="shared" si="53"/>
        <v>0.2098092643051771</v>
      </c>
      <c r="CR27" s="172">
        <f t="shared" si="54"/>
        <v>305.10568119891008</v>
      </c>
      <c r="CS27" s="172">
        <f t="shared" si="115"/>
        <v>33</v>
      </c>
      <c r="CT27" s="217">
        <f t="shared" si="55"/>
        <v>20.340378746594006</v>
      </c>
      <c r="CU27" s="217">
        <f t="shared" si="56"/>
        <v>15</v>
      </c>
      <c r="CV27" s="217">
        <f t="shared" si="57"/>
        <v>20.281562216167121</v>
      </c>
      <c r="CW27" s="172">
        <f t="shared" si="58"/>
        <v>601.12947744187102</v>
      </c>
      <c r="CX27" s="172">
        <f t="shared" si="59"/>
        <v>15</v>
      </c>
      <c r="CY27" s="217">
        <f t="shared" si="60"/>
        <v>5.4236453201970445</v>
      </c>
      <c r="CZ27" s="217">
        <f t="shared" si="61"/>
        <v>1.1221335145235265</v>
      </c>
      <c r="DA27" s="217">
        <f t="shared" si="62"/>
        <v>4.2262171326210733</v>
      </c>
      <c r="DB27" s="197">
        <f t="shared" si="63"/>
        <v>101.4078110808356</v>
      </c>
      <c r="DC27" s="443">
        <f t="shared" si="116"/>
        <v>186.97352996738988</v>
      </c>
      <c r="DE27" s="217">
        <f t="shared" si="64"/>
        <v>10</v>
      </c>
      <c r="DF27" s="173">
        <f t="shared" si="65"/>
        <v>7.7922077922077913</v>
      </c>
      <c r="DG27" s="173">
        <f t="shared" si="66"/>
        <v>3.9509536784741139</v>
      </c>
      <c r="DH27" s="173"/>
      <c r="DI27" s="173">
        <f t="shared" si="67"/>
        <v>7.7922077922077913</v>
      </c>
      <c r="DJ27" s="545">
        <f t="shared" si="117"/>
        <v>56.466666666666669</v>
      </c>
      <c r="DK27" s="528">
        <f t="shared" si="68"/>
        <v>3.9509536784741139</v>
      </c>
      <c r="DM27" s="173">
        <f t="shared" si="69"/>
        <v>4.0166320883712183</v>
      </c>
      <c r="DN27" s="173">
        <f t="shared" si="70"/>
        <v>10</v>
      </c>
      <c r="DO27" s="173">
        <f t="shared" si="71"/>
        <v>1.0322666666666667</v>
      </c>
      <c r="DQ27" s="545">
        <f t="shared" si="72"/>
        <v>2200</v>
      </c>
      <c r="DR27" s="460">
        <f t="shared" si="73"/>
        <v>56.466666666666669</v>
      </c>
      <c r="DT27">
        <f t="shared" si="74"/>
        <v>2200</v>
      </c>
      <c r="DU27" s="460">
        <f t="shared" si="75"/>
        <v>56.466666666666669</v>
      </c>
      <c r="DV27" s="460"/>
      <c r="DW27" s="5">
        <f t="shared" si="118"/>
        <v>17.709563164108616</v>
      </c>
      <c r="DX27" s="5">
        <f t="shared" si="76"/>
        <v>2.068965517241379</v>
      </c>
      <c r="DY27" s="5">
        <f t="shared" si="119"/>
        <v>15.640597646867237</v>
      </c>
      <c r="DZ27" s="5">
        <f t="shared" si="77"/>
        <v>7.7922077922077913</v>
      </c>
      <c r="EA27" s="173">
        <f t="shared" si="120"/>
        <v>0.11682758620689655</v>
      </c>
      <c r="EB27" s="173">
        <f t="shared" si="78"/>
        <v>33.88000000000001</v>
      </c>
      <c r="EC27" s="173">
        <f t="shared" si="79"/>
        <v>4.4158620689655166</v>
      </c>
      <c r="ED27" s="173">
        <f t="shared" si="121"/>
        <v>7.6723410901140126</v>
      </c>
      <c r="EE27" s="460">
        <f t="shared" si="80"/>
        <v>30.344827586206893</v>
      </c>
      <c r="EF27" s="5">
        <f t="shared" si="81"/>
        <v>3.0686071483152126</v>
      </c>
      <c r="EG27" s="5"/>
      <c r="EH27" s="173">
        <f t="shared" si="122"/>
        <v>1.9733861440587896</v>
      </c>
      <c r="EI27" s="173">
        <f t="shared" si="82"/>
        <v>5.4257792490821179</v>
      </c>
      <c r="EJ27" s="173"/>
      <c r="EK27" s="528">
        <f t="shared" si="83"/>
        <v>7.7885057471264368E-2</v>
      </c>
      <c r="EL27" s="528">
        <f t="shared" si="84"/>
        <v>0.8289306666666667</v>
      </c>
      <c r="EM27" s="528">
        <f t="shared" si="85"/>
        <v>7.0583333333333331E-3</v>
      </c>
      <c r="EN27" s="528">
        <f t="shared" si="86"/>
        <v>3.0421755466666676E-2</v>
      </c>
      <c r="EO27">
        <f t="shared" si="87"/>
        <v>2.6099999999999998E-2</v>
      </c>
      <c r="EP27" s="460">
        <f t="shared" si="123"/>
        <v>33.158333333333331</v>
      </c>
      <c r="EQ27" s="528">
        <f t="shared" si="88"/>
        <v>1.0101174973529461</v>
      </c>
      <c r="ER27" s="460">
        <f t="shared" si="124"/>
        <v>1010.1174973529461</v>
      </c>
      <c r="ES27" s="528">
        <f t="shared" si="125"/>
        <v>1.3667499999999999</v>
      </c>
      <c r="ET27" s="528"/>
      <c r="EV27" s="460">
        <f t="shared" si="126"/>
        <v>1366.75</v>
      </c>
      <c r="EW27" s="528">
        <f t="shared" si="89"/>
        <v>0.11682758620689654</v>
      </c>
      <c r="EX27" s="528">
        <f t="shared" si="90"/>
        <v>0.88317241379310329</v>
      </c>
      <c r="EY27" s="528">
        <f t="shared" si="91"/>
        <v>0.37883524993144391</v>
      </c>
      <c r="EZ27" s="528">
        <f t="shared" si="92"/>
        <v>1.7596035325341779</v>
      </c>
      <c r="FA27" s="528">
        <f t="shared" si="93"/>
        <v>5.646666666666667E-3</v>
      </c>
      <c r="FB27" s="460">
        <f t="shared" si="127"/>
        <v>1765.2501992008445</v>
      </c>
      <c r="FC27" s="173">
        <f t="shared" si="128"/>
        <v>4.1421176965537905</v>
      </c>
      <c r="FD27" s="5">
        <f t="shared" si="129"/>
        <v>33</v>
      </c>
      <c r="FE27" s="173">
        <f t="shared" si="130"/>
        <v>0.8884792264567587</v>
      </c>
      <c r="FF27" s="5">
        <f t="shared" si="131"/>
        <v>88.847922645675865</v>
      </c>
      <c r="FI27" s="562">
        <f t="shared" si="94"/>
        <v>-50</v>
      </c>
      <c r="FJ27">
        <f t="shared" si="95"/>
        <v>-50</v>
      </c>
      <c r="FL27">
        <f t="shared" si="96"/>
        <v>0.44000000000000006</v>
      </c>
    </row>
    <row r="28" spans="5:168">
      <c r="E28" s="170">
        <v>23</v>
      </c>
      <c r="F28" s="217">
        <f t="shared" si="97"/>
        <v>2.3000000000000003</v>
      </c>
      <c r="G28" s="217"/>
      <c r="H28" s="217">
        <f t="shared" si="0"/>
        <v>34.500000000000007</v>
      </c>
      <c r="I28" s="541">
        <f t="shared" si="1"/>
        <v>57.753268114390089</v>
      </c>
      <c r="J28" s="172">
        <f t="shared" si="2"/>
        <v>15.548039131365949</v>
      </c>
      <c r="K28" s="172">
        <f t="shared" si="3"/>
        <v>73.548039131365954</v>
      </c>
      <c r="L28" s="443"/>
      <c r="M28" s="217">
        <f t="shared" si="4"/>
        <v>0.21213242465171064</v>
      </c>
      <c r="N28" s="172">
        <f t="shared" si="5"/>
        <v>307.17174212440574</v>
      </c>
      <c r="O28" s="172">
        <f t="shared" si="98"/>
        <v>34.500000000000007</v>
      </c>
      <c r="P28" s="217">
        <f t="shared" si="6"/>
        <v>20.478116141627048</v>
      </c>
      <c r="Q28" s="217">
        <f t="shared" si="7"/>
        <v>15</v>
      </c>
      <c r="R28" s="217">
        <f t="shared" si="8"/>
        <v>20.418901327776496</v>
      </c>
      <c r="S28" s="172">
        <f t="shared" si="9"/>
        <v>570.04014351036255</v>
      </c>
      <c r="T28" s="172">
        <f t="shared" si="10"/>
        <v>15</v>
      </c>
      <c r="U28" s="217">
        <f t="shared" si="99"/>
        <v>5.838544628475792</v>
      </c>
      <c r="V28" s="217">
        <f t="shared" si="11"/>
        <v>1.2131354264305674</v>
      </c>
      <c r="W28" s="217">
        <f t="shared" si="12"/>
        <v>4.5061975307463911</v>
      </c>
      <c r="X28" s="197">
        <f t="shared" si="13"/>
        <v>102.08436319744666</v>
      </c>
      <c r="Y28" s="443">
        <f t="shared" si="14"/>
        <v>168.93795419761599</v>
      </c>
      <c r="AA28" s="217">
        <f t="shared" si="15"/>
        <v>9.9999999999999982</v>
      </c>
      <c r="AB28" s="173">
        <f t="shared" si="16"/>
        <v>7.7180150491078408</v>
      </c>
      <c r="AC28" s="173">
        <f t="shared" si="17"/>
        <v>3.9394432571824192</v>
      </c>
      <c r="AD28" s="173"/>
      <c r="AE28" s="173">
        <f t="shared" si="18"/>
        <v>7.7180150491078416</v>
      </c>
      <c r="AF28" s="545">
        <f t="shared" si="100"/>
        <v>59.600816670236135</v>
      </c>
      <c r="AG28" s="528">
        <f t="shared" si="19"/>
        <v>3.9394432571824201</v>
      </c>
      <c r="AI28" s="173">
        <f t="shared" si="20"/>
        <v>4.1265972377886131</v>
      </c>
      <c r="AJ28" s="173">
        <f t="shared" si="21"/>
        <v>10</v>
      </c>
      <c r="AK28" s="173">
        <f t="shared" si="22"/>
        <v>1.0340576095258491</v>
      </c>
      <c r="AM28" s="545">
        <f t="shared" si="23"/>
        <v>2300.0000000000005</v>
      </c>
      <c r="AN28" s="460">
        <f t="shared" si="24"/>
        <v>59.600816670236135</v>
      </c>
      <c r="AP28">
        <f t="shared" si="25"/>
        <v>2300.0000000000005</v>
      </c>
      <c r="AQ28" s="460">
        <f t="shared" si="26"/>
        <v>59.600816670236135</v>
      </c>
      <c r="AR28" s="460"/>
      <c r="AS28" s="5">
        <f t="shared" si="101"/>
        <v>16.77829358501705</v>
      </c>
      <c r="AT28" s="5">
        <f t="shared" si="27"/>
        <v>2.0778044934586171</v>
      </c>
      <c r="AU28" s="5">
        <f t="shared" si="102"/>
        <v>14.700489091558433</v>
      </c>
      <c r="AV28" s="5">
        <f t="shared" si="28"/>
        <v>7.7180150491078416</v>
      </c>
      <c r="AW28" s="173">
        <f t="shared" si="103"/>
        <v>0.12383884469121988</v>
      </c>
      <c r="AX28" s="173">
        <f t="shared" si="29"/>
        <v>35.76049000214168</v>
      </c>
      <c r="AY28" s="173">
        <f t="shared" si="30"/>
        <v>4.3808057765439008</v>
      </c>
      <c r="AZ28" s="173">
        <f t="shared" si="104"/>
        <v>8.1629937107948649</v>
      </c>
      <c r="BA28" s="460">
        <f t="shared" si="31"/>
        <v>31.859668899698796</v>
      </c>
      <c r="BB28" s="5">
        <f t="shared" si="32"/>
        <v>3.0281425546596057</v>
      </c>
      <c r="BC28" s="5"/>
      <c r="BD28" s="173">
        <f t="shared" si="105"/>
        <v>2.0317385387168621</v>
      </c>
      <c r="BE28" s="173">
        <f t="shared" si="33"/>
        <v>5.4041994637157877</v>
      </c>
      <c r="BF28" s="173"/>
      <c r="BG28" s="528">
        <f t="shared" si="34"/>
        <v>8.2559229794146594E-2</v>
      </c>
      <c r="BH28" s="528">
        <f t="shared" si="35"/>
        <v>0.82191059938573041</v>
      </c>
      <c r="BI28" s="528">
        <f t="shared" si="36"/>
        <v>8.605354862481894E-2</v>
      </c>
      <c r="BJ28" s="528">
        <f t="shared" si="37"/>
        <v>3.2239953560589944E-2</v>
      </c>
      <c r="BK28">
        <f t="shared" si="38"/>
        <v>2.598897065147554E-2</v>
      </c>
      <c r="BL28" s="460">
        <f t="shared" si="106"/>
        <v>112.04251927629448</v>
      </c>
      <c r="BM28" s="528">
        <f t="shared" si="39"/>
        <v>0.97818900164812228</v>
      </c>
      <c r="BN28" s="460">
        <f t="shared" si="107"/>
        <v>978.18900164812226</v>
      </c>
      <c r="BO28" s="528">
        <f t="shared" si="108"/>
        <v>1.4288750000000001</v>
      </c>
      <c r="BP28" s="528"/>
      <c r="BR28" s="460">
        <f t="shared" si="109"/>
        <v>1428.8750000000002</v>
      </c>
      <c r="BS28" s="528">
        <f t="shared" si="40"/>
        <v>0.12383884469121989</v>
      </c>
      <c r="BT28" s="528">
        <f t="shared" si="41"/>
        <v>0.87616115530878025</v>
      </c>
      <c r="BU28" s="528">
        <f t="shared" si="42"/>
        <v>0.51750000000000007</v>
      </c>
      <c r="BV28" s="528">
        <f t="shared" si="43"/>
        <v>1.9103260869565222</v>
      </c>
      <c r="BW28" s="528">
        <f t="shared" si="44"/>
        <v>5.9600816670236142E-3</v>
      </c>
      <c r="BX28" s="460">
        <f t="shared" si="110"/>
        <v>1916.2861686235458</v>
      </c>
      <c r="BY28" s="173">
        <f t="shared" si="45"/>
        <v>4.435392689547963</v>
      </c>
      <c r="BZ28" s="5">
        <f t="shared" si="111"/>
        <v>34.500000000000007</v>
      </c>
      <c r="CA28" s="173">
        <f t="shared" si="112"/>
        <v>0.88608326812281979</v>
      </c>
      <c r="CB28" s="5">
        <f t="shared" si="113"/>
        <v>88.608326812281973</v>
      </c>
      <c r="CE28" s="562">
        <f t="shared" si="46"/>
        <v>-50</v>
      </c>
      <c r="CF28">
        <f t="shared" si="47"/>
        <v>-50</v>
      </c>
      <c r="CG28" s="173">
        <f t="shared" si="48"/>
        <v>0.46609298070950039</v>
      </c>
      <c r="CI28" s="170">
        <v>23</v>
      </c>
      <c r="CJ28" s="217">
        <f t="shared" si="114"/>
        <v>2.3000000000000003</v>
      </c>
      <c r="CK28" s="217"/>
      <c r="CL28" s="217">
        <f t="shared" si="49"/>
        <v>34.500000000000007</v>
      </c>
      <c r="CM28" s="541">
        <f t="shared" si="50"/>
        <v>58</v>
      </c>
      <c r="CN28" s="172">
        <f t="shared" si="51"/>
        <v>15.4</v>
      </c>
      <c r="CO28" s="443">
        <f t="shared" si="52"/>
        <v>73.400000000000006</v>
      </c>
      <c r="CP28" s="443"/>
      <c r="CQ28" s="217">
        <f t="shared" si="53"/>
        <v>0.2098092643051771</v>
      </c>
      <c r="CR28" s="172">
        <f t="shared" si="54"/>
        <v>305.10568119891008</v>
      </c>
      <c r="CS28" s="172">
        <f t="shared" si="115"/>
        <v>34.500000000000007</v>
      </c>
      <c r="CT28" s="217">
        <f t="shared" si="55"/>
        <v>20.340378746594006</v>
      </c>
      <c r="CU28" s="217">
        <f t="shared" si="56"/>
        <v>15</v>
      </c>
      <c r="CV28" s="217">
        <f t="shared" si="57"/>
        <v>20.281562216167121</v>
      </c>
      <c r="CW28" s="172">
        <f t="shared" si="58"/>
        <v>572.47528007962285</v>
      </c>
      <c r="CX28" s="172">
        <f t="shared" si="59"/>
        <v>15</v>
      </c>
      <c r="CY28" s="217">
        <f t="shared" si="60"/>
        <v>5.6701746529332748</v>
      </c>
      <c r="CZ28" s="217">
        <f t="shared" si="61"/>
        <v>1.1731395833655049</v>
      </c>
      <c r="DA28" s="217">
        <f t="shared" si="62"/>
        <v>4.4183179113765769</v>
      </c>
      <c r="DB28" s="197">
        <f t="shared" si="63"/>
        <v>101.4078110808356</v>
      </c>
      <c r="DC28" s="443">
        <f t="shared" si="116"/>
        <v>178.84424605576424</v>
      </c>
      <c r="DE28" s="217">
        <f t="shared" si="64"/>
        <v>10</v>
      </c>
      <c r="DF28" s="173">
        <f t="shared" si="65"/>
        <v>7.7922077922077913</v>
      </c>
      <c r="DG28" s="173">
        <f t="shared" si="66"/>
        <v>3.9509536784741139</v>
      </c>
      <c r="DH28" s="173"/>
      <c r="DI28" s="173">
        <f t="shared" si="67"/>
        <v>7.7922077922077913</v>
      </c>
      <c r="DJ28" s="545">
        <f t="shared" si="117"/>
        <v>59.033333333333346</v>
      </c>
      <c r="DK28" s="528">
        <f t="shared" si="68"/>
        <v>3.9509536784741139</v>
      </c>
      <c r="DM28" s="173">
        <f t="shared" si="69"/>
        <v>4.1069047550030513</v>
      </c>
      <c r="DN28" s="173">
        <f t="shared" si="70"/>
        <v>10</v>
      </c>
      <c r="DO28" s="173">
        <f t="shared" si="71"/>
        <v>1.0337333333333334</v>
      </c>
      <c r="DQ28" s="545">
        <f t="shared" si="72"/>
        <v>2300.0000000000005</v>
      </c>
      <c r="DR28" s="460">
        <f t="shared" si="73"/>
        <v>59.033333333333346</v>
      </c>
      <c r="DT28">
        <f t="shared" si="74"/>
        <v>2300.0000000000005</v>
      </c>
      <c r="DU28" s="460">
        <f t="shared" si="75"/>
        <v>59.033333333333346</v>
      </c>
      <c r="DV28" s="460"/>
      <c r="DW28" s="5">
        <f t="shared" si="118"/>
        <v>16.939582156973458</v>
      </c>
      <c r="DX28" s="5">
        <f t="shared" si="76"/>
        <v>2.068965517241379</v>
      </c>
      <c r="DY28" s="5">
        <f t="shared" si="119"/>
        <v>14.870616639732079</v>
      </c>
      <c r="DZ28" s="5">
        <f t="shared" si="77"/>
        <v>7.7922077922077913</v>
      </c>
      <c r="EA28" s="173">
        <f t="shared" si="120"/>
        <v>0.12213793103448277</v>
      </c>
      <c r="EB28" s="173">
        <f t="shared" si="78"/>
        <v>35.420000000000016</v>
      </c>
      <c r="EC28" s="173">
        <f t="shared" si="79"/>
        <v>4.3893103448275861</v>
      </c>
      <c r="ED28" s="173">
        <f t="shared" si="121"/>
        <v>8.0696048393432367</v>
      </c>
      <c r="EE28" s="460">
        <f t="shared" si="80"/>
        <v>31.724137931034484</v>
      </c>
      <c r="EF28" s="5">
        <f t="shared" si="81"/>
        <v>3.0501562073172224</v>
      </c>
      <c r="EG28" s="5"/>
      <c r="EH28" s="173">
        <f t="shared" si="122"/>
        <v>2.0177374377792794</v>
      </c>
      <c r="EI28" s="173">
        <f t="shared" si="82"/>
        <v>5.4094425743802148</v>
      </c>
      <c r="EJ28" s="173"/>
      <c r="EK28" s="528">
        <f t="shared" si="83"/>
        <v>8.1425287356321832E-2</v>
      </c>
      <c r="EL28" s="528">
        <f t="shared" si="84"/>
        <v>0.86660933333333345</v>
      </c>
      <c r="EM28" s="528">
        <f t="shared" si="85"/>
        <v>7.3791666666666676E-3</v>
      </c>
      <c r="EN28" s="528">
        <f t="shared" si="86"/>
        <v>3.1804562533333344E-2</v>
      </c>
      <c r="EO28">
        <f t="shared" si="87"/>
        <v>2.6099999999999998E-2</v>
      </c>
      <c r="EP28" s="460">
        <f t="shared" si="123"/>
        <v>33.479166666666664</v>
      </c>
      <c r="EQ28" s="528">
        <f t="shared" si="88"/>
        <v>1.0557279752887621</v>
      </c>
      <c r="ER28" s="460">
        <f t="shared" si="124"/>
        <v>1055.7279752887621</v>
      </c>
      <c r="ES28" s="528">
        <f t="shared" si="125"/>
        <v>1.4288750000000001</v>
      </c>
      <c r="ET28" s="528"/>
      <c r="EV28" s="460">
        <f t="shared" si="126"/>
        <v>1428.8750000000002</v>
      </c>
      <c r="EW28" s="528">
        <f t="shared" si="89"/>
        <v>0.12213793103448274</v>
      </c>
      <c r="EX28" s="528">
        <f t="shared" si="90"/>
        <v>0.87786206896551733</v>
      </c>
      <c r="EY28" s="528">
        <f t="shared" si="91"/>
        <v>0.42336336120559115</v>
      </c>
      <c r="EZ28" s="528">
        <f t="shared" si="92"/>
        <v>1.8080036534843382</v>
      </c>
      <c r="FA28" s="528">
        <f t="shared" si="93"/>
        <v>5.9033333333333351E-3</v>
      </c>
      <c r="FB28" s="460">
        <f t="shared" si="127"/>
        <v>1813.9069868176716</v>
      </c>
      <c r="FC28" s="173">
        <f t="shared" si="128"/>
        <v>4.2985099621064338</v>
      </c>
      <c r="FD28" s="5">
        <f t="shared" si="129"/>
        <v>34.500000000000007</v>
      </c>
      <c r="FE28" s="173">
        <f t="shared" si="130"/>
        <v>0.88920940607500942</v>
      </c>
      <c r="FF28" s="5">
        <f t="shared" si="131"/>
        <v>88.920940607500938</v>
      </c>
      <c r="FI28" s="562">
        <f t="shared" si="94"/>
        <v>-50</v>
      </c>
      <c r="FJ28">
        <f t="shared" si="95"/>
        <v>-50</v>
      </c>
      <c r="FL28">
        <f t="shared" si="96"/>
        <v>0.46000000000000008</v>
      </c>
    </row>
    <row r="29" spans="5:168">
      <c r="E29" s="170">
        <v>24</v>
      </c>
      <c r="F29" s="217">
        <f t="shared" si="97"/>
        <v>2.4</v>
      </c>
      <c r="G29" s="217"/>
      <c r="H29" s="217">
        <f t="shared" si="0"/>
        <v>36</v>
      </c>
      <c r="I29" s="541">
        <f t="shared" si="1"/>
        <v>57.753268114390089</v>
      </c>
      <c r="J29" s="172">
        <f t="shared" si="2"/>
        <v>15.548039131365949</v>
      </c>
      <c r="K29" s="172">
        <f t="shared" si="3"/>
        <v>73.548039131365954</v>
      </c>
      <c r="L29" s="443"/>
      <c r="M29" s="217">
        <f t="shared" si="4"/>
        <v>0.21213242465171064</v>
      </c>
      <c r="N29" s="172">
        <f t="shared" si="5"/>
        <v>307.17174212440574</v>
      </c>
      <c r="O29" s="172">
        <f t="shared" si="98"/>
        <v>36</v>
      </c>
      <c r="P29" s="217">
        <f t="shared" si="6"/>
        <v>20.478116141627048</v>
      </c>
      <c r="Q29" s="217">
        <f t="shared" si="7"/>
        <v>15</v>
      </c>
      <c r="R29" s="217">
        <f t="shared" si="8"/>
        <v>20.418901327776496</v>
      </c>
      <c r="S29" s="172">
        <f t="shared" si="9"/>
        <v>543.88571809018902</v>
      </c>
      <c r="T29" s="172">
        <f t="shared" si="10"/>
        <v>15</v>
      </c>
      <c r="U29" s="217">
        <f t="shared" si="99"/>
        <v>6.0923943949312607</v>
      </c>
      <c r="V29" s="217">
        <f t="shared" si="11"/>
        <v>1.2658804449710266</v>
      </c>
      <c r="W29" s="217">
        <f t="shared" si="12"/>
        <v>4.702119162517973</v>
      </c>
      <c r="X29" s="197">
        <f t="shared" si="13"/>
        <v>102.08436319744666</v>
      </c>
      <c r="Y29" s="443">
        <f t="shared" si="14"/>
        <v>162.12711796962992</v>
      </c>
      <c r="AA29" s="217">
        <f t="shared" si="15"/>
        <v>9.9999999999999982</v>
      </c>
      <c r="AB29" s="173">
        <f t="shared" si="16"/>
        <v>7.7180150491078408</v>
      </c>
      <c r="AC29" s="173">
        <f t="shared" si="17"/>
        <v>3.9394432571824192</v>
      </c>
      <c r="AD29" s="173"/>
      <c r="AE29" s="173">
        <f t="shared" si="18"/>
        <v>7.7180150491078416</v>
      </c>
      <c r="AF29" s="545">
        <f t="shared" si="100"/>
        <v>62.19215652546378</v>
      </c>
      <c r="AG29" s="528">
        <f t="shared" si="19"/>
        <v>3.9394432571824201</v>
      </c>
      <c r="AI29" s="173">
        <f t="shared" si="20"/>
        <v>4.2153514181742828</v>
      </c>
      <c r="AJ29" s="173">
        <f t="shared" si="21"/>
        <v>10</v>
      </c>
      <c r="AK29" s="173">
        <f t="shared" si="22"/>
        <v>1.0355383751574079</v>
      </c>
      <c r="AM29" s="545">
        <f t="shared" si="23"/>
        <v>2400</v>
      </c>
      <c r="AN29" s="460">
        <f t="shared" si="24"/>
        <v>62.19215652546378</v>
      </c>
      <c r="AP29">
        <f t="shared" si="25"/>
        <v>2400</v>
      </c>
      <c r="AQ29" s="460">
        <f t="shared" si="26"/>
        <v>62.19215652546378</v>
      </c>
      <c r="AR29" s="460"/>
      <c r="AS29" s="5">
        <f t="shared" si="101"/>
        <v>16.079198018974672</v>
      </c>
      <c r="AT29" s="5">
        <f t="shared" si="27"/>
        <v>2.0778044934586171</v>
      </c>
      <c r="AU29" s="5">
        <f t="shared" si="102"/>
        <v>14.001393525516056</v>
      </c>
      <c r="AV29" s="5">
        <f t="shared" si="28"/>
        <v>7.7180150491078416</v>
      </c>
      <c r="AW29" s="173">
        <f t="shared" si="103"/>
        <v>0.12922314228649029</v>
      </c>
      <c r="AX29" s="173">
        <f t="shared" si="29"/>
        <v>37.315293915278268</v>
      </c>
      <c r="AY29" s="173">
        <f t="shared" si="30"/>
        <v>4.3538842885675493</v>
      </c>
      <c r="AZ29" s="173">
        <f t="shared" si="104"/>
        <v>8.5705754774560621</v>
      </c>
      <c r="BA29" s="460">
        <f t="shared" si="31"/>
        <v>33.244871895337873</v>
      </c>
      <c r="BB29" s="5">
        <f t="shared" si="32"/>
        <v>3.0095336257241012</v>
      </c>
      <c r="BC29" s="5"/>
      <c r="BD29" s="173">
        <f t="shared" si="105"/>
        <v>2.0754368398523582</v>
      </c>
      <c r="BE29" s="173">
        <f t="shared" si="33"/>
        <v>5.3875685849107295</v>
      </c>
      <c r="BF29" s="173"/>
      <c r="BG29" s="528">
        <f t="shared" si="34"/>
        <v>8.6148761524326864E-2</v>
      </c>
      <c r="BH29" s="528">
        <f t="shared" si="35"/>
        <v>0.85764584283728362</v>
      </c>
      <c r="BI29" s="528">
        <f t="shared" si="36"/>
        <v>8.9795007260680612E-2</v>
      </c>
      <c r="BJ29" s="528">
        <f t="shared" si="37"/>
        <v>3.3641690671919938E-2</v>
      </c>
      <c r="BK29">
        <f t="shared" si="38"/>
        <v>2.598897065147554E-2</v>
      </c>
      <c r="BL29" s="460">
        <f t="shared" si="106"/>
        <v>115.78397791215615</v>
      </c>
      <c r="BM29" s="528">
        <f t="shared" si="39"/>
        <v>1.0216076930804701</v>
      </c>
      <c r="BN29" s="460">
        <f t="shared" si="107"/>
        <v>1021.6076930804701</v>
      </c>
      <c r="BO29" s="528">
        <f t="shared" si="108"/>
        <v>1.4909999999999999</v>
      </c>
      <c r="BP29" s="528"/>
      <c r="BR29" s="460">
        <f t="shared" si="109"/>
        <v>1490.9999999999998</v>
      </c>
      <c r="BS29" s="528">
        <f t="shared" si="40"/>
        <v>0.12922314228649029</v>
      </c>
      <c r="BT29" s="528">
        <f t="shared" si="41"/>
        <v>0.87077685771350999</v>
      </c>
      <c r="BU29" s="528">
        <f t="shared" si="42"/>
        <v>0.54</v>
      </c>
      <c r="BV29" s="528">
        <f t="shared" si="43"/>
        <v>1.9347826086956526</v>
      </c>
      <c r="BW29" s="528">
        <f t="shared" si="44"/>
        <v>6.2192156525463791E-3</v>
      </c>
      <c r="BX29" s="460">
        <f t="shared" si="110"/>
        <v>1941.0018243481991</v>
      </c>
      <c r="BY29" s="173">
        <f t="shared" si="45"/>
        <v>4.5693934953408251</v>
      </c>
      <c r="BZ29" s="5">
        <f t="shared" si="111"/>
        <v>36</v>
      </c>
      <c r="CA29" s="173">
        <f t="shared" si="112"/>
        <v>0.8873684543530187</v>
      </c>
      <c r="CB29" s="5">
        <f t="shared" si="113"/>
        <v>88.736845435301873</v>
      </c>
      <c r="CE29" s="562">
        <f t="shared" si="46"/>
        <v>-50</v>
      </c>
      <c r="CF29">
        <f t="shared" si="47"/>
        <v>-50</v>
      </c>
      <c r="CG29" s="173">
        <f t="shared" si="48"/>
        <v>0.48635789291426124</v>
      </c>
      <c r="CI29" s="170">
        <v>24</v>
      </c>
      <c r="CJ29" s="217">
        <f t="shared" si="114"/>
        <v>2.4</v>
      </c>
      <c r="CK29" s="217"/>
      <c r="CL29" s="217">
        <f t="shared" si="49"/>
        <v>36</v>
      </c>
      <c r="CM29" s="541">
        <f t="shared" si="50"/>
        <v>58</v>
      </c>
      <c r="CN29" s="172">
        <f t="shared" si="51"/>
        <v>15.4</v>
      </c>
      <c r="CO29" s="443">
        <f t="shared" si="52"/>
        <v>73.400000000000006</v>
      </c>
      <c r="CP29" s="443"/>
      <c r="CQ29" s="217">
        <f t="shared" si="53"/>
        <v>0.2098092643051771</v>
      </c>
      <c r="CR29" s="172">
        <f t="shared" si="54"/>
        <v>305.10568119891008</v>
      </c>
      <c r="CS29" s="172">
        <f t="shared" si="115"/>
        <v>36</v>
      </c>
      <c r="CT29" s="217">
        <f t="shared" si="55"/>
        <v>20.340378746594006</v>
      </c>
      <c r="CU29" s="217">
        <f t="shared" si="56"/>
        <v>15</v>
      </c>
      <c r="CV29" s="217">
        <f t="shared" si="57"/>
        <v>20.281562216167121</v>
      </c>
      <c r="CW29" s="172">
        <f t="shared" si="58"/>
        <v>546.20911015977492</v>
      </c>
      <c r="CX29" s="172">
        <f t="shared" si="59"/>
        <v>15</v>
      </c>
      <c r="CY29" s="217">
        <f t="shared" si="60"/>
        <v>5.9167039856695034</v>
      </c>
      <c r="CZ29" s="217">
        <f t="shared" si="61"/>
        <v>1.2241456522074836</v>
      </c>
      <c r="DA29" s="217">
        <f t="shared" si="62"/>
        <v>4.6104186901320814</v>
      </c>
      <c r="DB29" s="197">
        <f t="shared" si="63"/>
        <v>101.4078110808356</v>
      </c>
      <c r="DC29" s="443">
        <f t="shared" si="116"/>
        <v>171.39240247010736</v>
      </c>
      <c r="DE29" s="217">
        <f t="shared" si="64"/>
        <v>10</v>
      </c>
      <c r="DF29" s="173">
        <f t="shared" si="65"/>
        <v>7.7922077922077913</v>
      </c>
      <c r="DG29" s="173">
        <f t="shared" si="66"/>
        <v>3.9509536784741139</v>
      </c>
      <c r="DH29" s="173"/>
      <c r="DI29" s="173">
        <f t="shared" si="67"/>
        <v>7.7922077922077913</v>
      </c>
      <c r="DJ29" s="545">
        <f t="shared" si="117"/>
        <v>61.6</v>
      </c>
      <c r="DK29" s="528">
        <f t="shared" si="68"/>
        <v>3.9509536784741139</v>
      </c>
      <c r="DM29" s="173">
        <f t="shared" si="69"/>
        <v>4.1952353926806065</v>
      </c>
      <c r="DN29" s="173">
        <f t="shared" si="70"/>
        <v>10</v>
      </c>
      <c r="DO29" s="173">
        <f t="shared" si="71"/>
        <v>1.0351999999999999</v>
      </c>
      <c r="DQ29" s="545">
        <f t="shared" si="72"/>
        <v>2400</v>
      </c>
      <c r="DR29" s="460">
        <f t="shared" si="73"/>
        <v>61.6</v>
      </c>
      <c r="DT29">
        <f t="shared" si="74"/>
        <v>2400</v>
      </c>
      <c r="DU29" s="460">
        <f t="shared" si="75"/>
        <v>61.6</v>
      </c>
      <c r="DV29" s="460"/>
      <c r="DW29" s="5">
        <f t="shared" si="118"/>
        <v>16.233766233766232</v>
      </c>
      <c r="DX29" s="5">
        <f t="shared" si="76"/>
        <v>2.068965517241379</v>
      </c>
      <c r="DY29" s="5">
        <f t="shared" si="119"/>
        <v>14.164800716524853</v>
      </c>
      <c r="DZ29" s="5">
        <f t="shared" si="77"/>
        <v>7.7922077922077913</v>
      </c>
      <c r="EA29" s="173">
        <f t="shared" si="120"/>
        <v>0.12744827586206897</v>
      </c>
      <c r="EB29" s="173">
        <f t="shared" si="78"/>
        <v>36.960000000000008</v>
      </c>
      <c r="EC29" s="173">
        <f t="shared" si="79"/>
        <v>4.3627586206896556</v>
      </c>
      <c r="ED29" s="173">
        <f t="shared" si="121"/>
        <v>8.4717040784065762</v>
      </c>
      <c r="EE29" s="460">
        <f t="shared" si="80"/>
        <v>33.103448275862064</v>
      </c>
      <c r="EF29" s="5">
        <f t="shared" si="81"/>
        <v>3.0317052663192312</v>
      </c>
      <c r="EG29" s="5"/>
      <c r="EH29" s="173">
        <f t="shared" si="122"/>
        <v>2.0611346055192432</v>
      </c>
      <c r="EI29" s="173">
        <f t="shared" si="82"/>
        <v>5.393056412764877</v>
      </c>
      <c r="EJ29" s="173"/>
      <c r="EK29" s="528">
        <f t="shared" si="83"/>
        <v>8.4965517241379324E-2</v>
      </c>
      <c r="EL29" s="528">
        <f t="shared" si="84"/>
        <v>0.90428799999999998</v>
      </c>
      <c r="EM29" s="528">
        <f t="shared" si="85"/>
        <v>7.6999999999999994E-3</v>
      </c>
      <c r="EN29" s="528">
        <f t="shared" si="86"/>
        <v>3.3187369600000002E-2</v>
      </c>
      <c r="EO29">
        <f t="shared" si="87"/>
        <v>2.6099999999999998E-2</v>
      </c>
      <c r="EP29" s="460">
        <f t="shared" si="123"/>
        <v>33.799999999999997</v>
      </c>
      <c r="EQ29" s="528">
        <f t="shared" si="88"/>
        <v>1.1014167654704947</v>
      </c>
      <c r="ER29" s="460">
        <f t="shared" si="124"/>
        <v>1101.4167654704947</v>
      </c>
      <c r="ES29" s="528">
        <f t="shared" si="125"/>
        <v>1.4909999999999999</v>
      </c>
      <c r="ET29" s="528"/>
      <c r="EV29" s="460">
        <f t="shared" si="126"/>
        <v>1490.9999999999998</v>
      </c>
      <c r="EW29" s="528">
        <f t="shared" si="89"/>
        <v>0.12744827586206897</v>
      </c>
      <c r="EX29" s="528">
        <f t="shared" si="90"/>
        <v>0.87255172413793092</v>
      </c>
      <c r="EY29" s="528">
        <f t="shared" si="91"/>
        <v>0.47089251230131174</v>
      </c>
      <c r="EZ29" s="528">
        <f t="shared" si="92"/>
        <v>1.8596657742405558</v>
      </c>
      <c r="FA29" s="528">
        <f t="shared" si="93"/>
        <v>6.1600000000000005E-3</v>
      </c>
      <c r="FB29" s="460">
        <f t="shared" si="127"/>
        <v>1865.8257742405558</v>
      </c>
      <c r="FC29" s="173">
        <f t="shared" si="128"/>
        <v>4.4582425397110503</v>
      </c>
      <c r="FD29" s="5">
        <f t="shared" si="129"/>
        <v>36</v>
      </c>
      <c r="FE29" s="173">
        <f t="shared" si="130"/>
        <v>0.88980632227573542</v>
      </c>
      <c r="FF29" s="5">
        <f t="shared" si="131"/>
        <v>88.980632227573537</v>
      </c>
      <c r="FI29" s="562">
        <f t="shared" si="94"/>
        <v>-50</v>
      </c>
      <c r="FJ29">
        <f t="shared" si="95"/>
        <v>-50</v>
      </c>
      <c r="FL29">
        <f t="shared" si="96"/>
        <v>0.48000000000000004</v>
      </c>
    </row>
    <row r="30" spans="5:168">
      <c r="E30" s="170">
        <v>25</v>
      </c>
      <c r="F30" s="217">
        <f t="shared" si="97"/>
        <v>2.5</v>
      </c>
      <c r="G30" s="217"/>
      <c r="H30" s="217">
        <f t="shared" si="0"/>
        <v>37.5</v>
      </c>
      <c r="I30" s="541">
        <f t="shared" si="1"/>
        <v>57.753268114390089</v>
      </c>
      <c r="J30" s="172">
        <f t="shared" si="2"/>
        <v>15.548039131365949</v>
      </c>
      <c r="K30" s="172">
        <f t="shared" si="3"/>
        <v>73.548039131365954</v>
      </c>
      <c r="L30" s="443"/>
      <c r="M30" s="217">
        <f t="shared" si="4"/>
        <v>0.21213242465171064</v>
      </c>
      <c r="N30" s="172">
        <f t="shared" si="5"/>
        <v>307.17174212440574</v>
      </c>
      <c r="O30" s="172">
        <f t="shared" si="98"/>
        <v>37.5</v>
      </c>
      <c r="P30" s="217">
        <f t="shared" si="6"/>
        <v>20.478116141627048</v>
      </c>
      <c r="Q30" s="217">
        <f t="shared" si="7"/>
        <v>15</v>
      </c>
      <c r="R30" s="217">
        <f t="shared" si="8"/>
        <v>20.418901327776496</v>
      </c>
      <c r="S30" s="172">
        <f t="shared" si="9"/>
        <v>519.82381950683759</v>
      </c>
      <c r="T30" s="172">
        <f t="shared" si="10"/>
        <v>15</v>
      </c>
      <c r="U30" s="217">
        <f t="shared" si="99"/>
        <v>6.3462441613867293</v>
      </c>
      <c r="V30" s="217">
        <f t="shared" si="11"/>
        <v>1.318625463511486</v>
      </c>
      <c r="W30" s="217">
        <f t="shared" si="12"/>
        <v>4.8980407942895559</v>
      </c>
      <c r="X30" s="197">
        <f t="shared" si="13"/>
        <v>102.08436319744666</v>
      </c>
      <c r="Y30" s="443">
        <f t="shared" si="14"/>
        <v>155.84416577443983</v>
      </c>
      <c r="AA30" s="217">
        <f t="shared" si="15"/>
        <v>9.9999999999999982</v>
      </c>
      <c r="AB30" s="173">
        <f t="shared" si="16"/>
        <v>7.7180150491078408</v>
      </c>
      <c r="AC30" s="173">
        <f t="shared" si="17"/>
        <v>3.9394432571824192</v>
      </c>
      <c r="AD30" s="173"/>
      <c r="AE30" s="173">
        <f t="shared" si="18"/>
        <v>7.7180150491078416</v>
      </c>
      <c r="AF30" s="545">
        <f t="shared" si="100"/>
        <v>64.783496380691446</v>
      </c>
      <c r="AG30" s="528">
        <f t="shared" si="19"/>
        <v>3.9394432571824201</v>
      </c>
      <c r="AI30" s="173">
        <f t="shared" si="20"/>
        <v>4.3022750254351791</v>
      </c>
      <c r="AJ30" s="173">
        <f t="shared" si="21"/>
        <v>10</v>
      </c>
      <c r="AK30" s="173">
        <f t="shared" si="22"/>
        <v>1.0370191407889666</v>
      </c>
      <c r="AM30" s="545">
        <f t="shared" si="23"/>
        <v>2500</v>
      </c>
      <c r="AN30" s="460">
        <f t="shared" si="24"/>
        <v>64.783496380691446</v>
      </c>
      <c r="AP30">
        <f t="shared" si="25"/>
        <v>2500</v>
      </c>
      <c r="AQ30" s="460">
        <f t="shared" si="26"/>
        <v>64.783496380691446</v>
      </c>
      <c r="AR30" s="460"/>
      <c r="AS30" s="5">
        <f t="shared" si="101"/>
        <v>15.436030098215683</v>
      </c>
      <c r="AT30" s="5">
        <f t="shared" si="27"/>
        <v>2.0778044934586171</v>
      </c>
      <c r="AU30" s="5">
        <f t="shared" si="102"/>
        <v>13.358225604757067</v>
      </c>
      <c r="AV30" s="5">
        <f t="shared" si="28"/>
        <v>7.7180150491078416</v>
      </c>
      <c r="AW30" s="173">
        <f t="shared" si="103"/>
        <v>0.13460743988176074</v>
      </c>
      <c r="AX30" s="173">
        <f t="shared" si="29"/>
        <v>38.87009782841487</v>
      </c>
      <c r="AY30" s="173">
        <f t="shared" si="30"/>
        <v>4.3269628005911969</v>
      </c>
      <c r="AZ30" s="173">
        <f t="shared" si="104"/>
        <v>8.9832290268601369</v>
      </c>
      <c r="BA30" s="460">
        <f t="shared" si="31"/>
        <v>34.63007489097695</v>
      </c>
      <c r="BB30" s="5">
        <f t="shared" si="32"/>
        <v>2.9909246967885972</v>
      </c>
      <c r="BC30" s="5"/>
      <c r="BD30" s="173">
        <f t="shared" si="105"/>
        <v>2.118233854588619</v>
      </c>
      <c r="BE30" s="173">
        <f t="shared" si="33"/>
        <v>5.3708862090541416</v>
      </c>
      <c r="BF30" s="173"/>
      <c r="BG30" s="528">
        <f t="shared" si="34"/>
        <v>8.9738293254507176E-2</v>
      </c>
      <c r="BH30" s="528">
        <f t="shared" si="35"/>
        <v>0.89338108628883739</v>
      </c>
      <c r="BI30" s="528">
        <f t="shared" si="36"/>
        <v>9.3536465896542312E-2</v>
      </c>
      <c r="BJ30" s="528">
        <f t="shared" si="37"/>
        <v>3.5043427783249932E-2</v>
      </c>
      <c r="BK30">
        <f t="shared" si="38"/>
        <v>2.598897065147554E-2</v>
      </c>
      <c r="BL30" s="460">
        <f t="shared" si="106"/>
        <v>119.52543654801785</v>
      </c>
      <c r="BM30" s="528">
        <f t="shared" si="39"/>
        <v>1.0651020592728955</v>
      </c>
      <c r="BN30" s="460">
        <f t="shared" si="107"/>
        <v>1065.1020592728955</v>
      </c>
      <c r="BO30" s="528">
        <f t="shared" si="108"/>
        <v>1.5531249999999999</v>
      </c>
      <c r="BP30" s="528"/>
      <c r="BR30" s="460">
        <f t="shared" si="109"/>
        <v>1553.1249999999998</v>
      </c>
      <c r="BS30" s="528">
        <f t="shared" si="40"/>
        <v>0.13460743988176074</v>
      </c>
      <c r="BT30" s="528">
        <f t="shared" si="41"/>
        <v>0.86539256011823895</v>
      </c>
      <c r="BU30" s="528">
        <f t="shared" si="42"/>
        <v>0.5625</v>
      </c>
      <c r="BV30" s="528">
        <f t="shared" si="43"/>
        <v>1.959239130434782</v>
      </c>
      <c r="BW30" s="528">
        <f t="shared" si="44"/>
        <v>6.4783496380691448E-3</v>
      </c>
      <c r="BX30" s="460">
        <f t="shared" si="110"/>
        <v>1965.7174800728512</v>
      </c>
      <c r="BY30" s="173">
        <f t="shared" si="45"/>
        <v>4.7034699758937641</v>
      </c>
      <c r="BZ30" s="5">
        <f t="shared" si="111"/>
        <v>37.5</v>
      </c>
      <c r="CA30" s="173">
        <f t="shared" si="112"/>
        <v>0.88855252948204622</v>
      </c>
      <c r="CB30" s="5">
        <f t="shared" si="113"/>
        <v>88.855252948204622</v>
      </c>
      <c r="CE30" s="562">
        <f t="shared" si="46"/>
        <v>-50</v>
      </c>
      <c r="CF30">
        <f t="shared" si="47"/>
        <v>-50</v>
      </c>
      <c r="CG30" s="173">
        <f t="shared" si="48"/>
        <v>0.50662280511902213</v>
      </c>
      <c r="CI30" s="170">
        <v>25</v>
      </c>
      <c r="CJ30" s="217">
        <f t="shared" si="114"/>
        <v>2.5</v>
      </c>
      <c r="CK30" s="217"/>
      <c r="CL30" s="217">
        <f t="shared" si="49"/>
        <v>37.5</v>
      </c>
      <c r="CM30" s="541">
        <f t="shared" si="50"/>
        <v>58</v>
      </c>
      <c r="CN30" s="172">
        <f t="shared" si="51"/>
        <v>15.4</v>
      </c>
      <c r="CO30" s="443">
        <f t="shared" si="52"/>
        <v>73.400000000000006</v>
      </c>
      <c r="CP30" s="443"/>
      <c r="CQ30" s="217">
        <f t="shared" si="53"/>
        <v>0.2098092643051771</v>
      </c>
      <c r="CR30" s="172">
        <f t="shared" si="54"/>
        <v>305.10568119891008</v>
      </c>
      <c r="CS30" s="172">
        <f t="shared" si="115"/>
        <v>37.5</v>
      </c>
      <c r="CT30" s="217">
        <f t="shared" si="55"/>
        <v>20.340378746594006</v>
      </c>
      <c r="CU30" s="217">
        <f t="shared" si="56"/>
        <v>15</v>
      </c>
      <c r="CV30" s="217">
        <f t="shared" si="57"/>
        <v>20.281562216167121</v>
      </c>
      <c r="CW30" s="172">
        <f t="shared" si="58"/>
        <v>522.04440663868775</v>
      </c>
      <c r="CX30" s="172">
        <f t="shared" si="59"/>
        <v>15</v>
      </c>
      <c r="CY30" s="217">
        <f t="shared" si="60"/>
        <v>6.163233318405732</v>
      </c>
      <c r="CZ30" s="217">
        <f t="shared" si="61"/>
        <v>1.2751517210494618</v>
      </c>
      <c r="DA30" s="217">
        <f t="shared" si="62"/>
        <v>4.8025194688875832</v>
      </c>
      <c r="DB30" s="197">
        <f t="shared" si="63"/>
        <v>101.4078110808356</v>
      </c>
      <c r="DC30" s="443">
        <f t="shared" si="116"/>
        <v>164.5367063713031</v>
      </c>
      <c r="DE30" s="217">
        <f t="shared" si="64"/>
        <v>10</v>
      </c>
      <c r="DF30" s="173">
        <f t="shared" si="65"/>
        <v>7.7922077922077913</v>
      </c>
      <c r="DG30" s="173">
        <f t="shared" si="66"/>
        <v>3.9509536784741139</v>
      </c>
      <c r="DH30" s="173"/>
      <c r="DI30" s="173">
        <f t="shared" si="67"/>
        <v>7.7922077922077913</v>
      </c>
      <c r="DJ30" s="545">
        <f t="shared" si="117"/>
        <v>64.166666666666671</v>
      </c>
      <c r="DK30" s="528">
        <f t="shared" si="68"/>
        <v>3.9509536784741139</v>
      </c>
      <c r="DM30" s="173">
        <f t="shared" si="69"/>
        <v>4.281744192888377</v>
      </c>
      <c r="DN30" s="173">
        <f t="shared" si="70"/>
        <v>10</v>
      </c>
      <c r="DO30" s="173">
        <f t="shared" si="71"/>
        <v>1.0366666666666666</v>
      </c>
      <c r="DQ30" s="545">
        <f t="shared" si="72"/>
        <v>2500</v>
      </c>
      <c r="DR30" s="460">
        <f t="shared" si="73"/>
        <v>64.166666666666671</v>
      </c>
      <c r="DT30">
        <f t="shared" si="74"/>
        <v>2500</v>
      </c>
      <c r="DU30" s="460">
        <f t="shared" si="75"/>
        <v>64.166666666666671</v>
      </c>
      <c r="DV30" s="460"/>
      <c r="DW30" s="5">
        <f t="shared" si="118"/>
        <v>15.584415584415583</v>
      </c>
      <c r="DX30" s="5">
        <f t="shared" si="76"/>
        <v>2.068965517241379</v>
      </c>
      <c r="DY30" s="5">
        <f t="shared" si="119"/>
        <v>13.515450067174203</v>
      </c>
      <c r="DZ30" s="5">
        <f t="shared" si="77"/>
        <v>7.7922077922077913</v>
      </c>
      <c r="EA30" s="173">
        <f t="shared" si="120"/>
        <v>0.13275862068965516</v>
      </c>
      <c r="EB30" s="173">
        <f t="shared" si="78"/>
        <v>38.500000000000007</v>
      </c>
      <c r="EC30" s="173">
        <f t="shared" si="79"/>
        <v>4.3362068965517242</v>
      </c>
      <c r="ED30" s="173">
        <f t="shared" si="121"/>
        <v>8.8787276341948331</v>
      </c>
      <c r="EE30" s="460">
        <f t="shared" si="80"/>
        <v>34.482758620689651</v>
      </c>
      <c r="EF30" s="5">
        <f t="shared" si="81"/>
        <v>3.01325432532124</v>
      </c>
      <c r="EG30" s="5"/>
      <c r="EH30" s="173">
        <f t="shared" si="122"/>
        <v>2.1036366977978491</v>
      </c>
      <c r="EI30" s="173">
        <f t="shared" si="82"/>
        <v>5.3766203117768594</v>
      </c>
      <c r="EJ30" s="173"/>
      <c r="EK30" s="528">
        <f t="shared" si="83"/>
        <v>8.8505747126436787E-2</v>
      </c>
      <c r="EL30" s="528">
        <f t="shared" si="84"/>
        <v>0.94196666666666673</v>
      </c>
      <c r="EM30" s="528">
        <f t="shared" si="85"/>
        <v>8.0208333333333329E-3</v>
      </c>
      <c r="EN30" s="528">
        <f t="shared" si="86"/>
        <v>3.4570176666666674E-2</v>
      </c>
      <c r="EO30">
        <f t="shared" si="87"/>
        <v>2.6099999999999998E-2</v>
      </c>
      <c r="EP30" s="460">
        <f t="shared" si="123"/>
        <v>34.12083333333333</v>
      </c>
      <c r="EQ30" s="528">
        <f t="shared" si="88"/>
        <v>1.1471840697621993</v>
      </c>
      <c r="ER30" s="460">
        <f t="shared" si="124"/>
        <v>1147.1840697621994</v>
      </c>
      <c r="ES30" s="528">
        <f t="shared" si="125"/>
        <v>1.5531249999999999</v>
      </c>
      <c r="ET30" s="528"/>
      <c r="EV30" s="460">
        <f t="shared" si="126"/>
        <v>1553.1249999999998</v>
      </c>
      <c r="EW30" s="528">
        <f t="shared" si="89"/>
        <v>0.13275862068965519</v>
      </c>
      <c r="EX30" s="528">
        <f t="shared" si="90"/>
        <v>0.86724137931034473</v>
      </c>
      <c r="EY30" s="528">
        <f t="shared" si="91"/>
        <v>0.52148725894977166</v>
      </c>
      <c r="EZ30" s="528">
        <f t="shared" si="92"/>
        <v>1.9146600640758384</v>
      </c>
      <c r="FA30" s="528">
        <f t="shared" si="93"/>
        <v>6.4166666666666677E-3</v>
      </c>
      <c r="FB30" s="460">
        <f t="shared" si="127"/>
        <v>1921.0767307425051</v>
      </c>
      <c r="FC30" s="173">
        <f t="shared" si="128"/>
        <v>4.6213858005047044</v>
      </c>
      <c r="FD30" s="5">
        <f t="shared" si="129"/>
        <v>37.5</v>
      </c>
      <c r="FE30" s="173">
        <f t="shared" si="130"/>
        <v>0.89028409885675386</v>
      </c>
      <c r="FF30" s="5">
        <f t="shared" si="131"/>
        <v>89.028409885675387</v>
      </c>
      <c r="FI30" s="562">
        <f t="shared" si="94"/>
        <v>-50</v>
      </c>
      <c r="FJ30">
        <f t="shared" si="95"/>
        <v>-50</v>
      </c>
      <c r="FL30">
        <f t="shared" si="96"/>
        <v>0.5</v>
      </c>
    </row>
    <row r="31" spans="5:168">
      <c r="E31" s="170">
        <v>26</v>
      </c>
      <c r="F31" s="217">
        <f t="shared" si="97"/>
        <v>2.6</v>
      </c>
      <c r="G31" s="217"/>
      <c r="H31" s="217">
        <f t="shared" si="0"/>
        <v>39</v>
      </c>
      <c r="I31" s="541">
        <f t="shared" si="1"/>
        <v>57.753268114390089</v>
      </c>
      <c r="J31" s="172">
        <f t="shared" si="2"/>
        <v>15.548039131365949</v>
      </c>
      <c r="K31" s="172">
        <f t="shared" si="3"/>
        <v>73.548039131365954</v>
      </c>
      <c r="L31" s="443"/>
      <c r="M31" s="217">
        <f t="shared" si="4"/>
        <v>0.21213242465171064</v>
      </c>
      <c r="N31" s="172">
        <f t="shared" si="5"/>
        <v>307.17174212440574</v>
      </c>
      <c r="O31" s="172">
        <f t="shared" si="98"/>
        <v>39</v>
      </c>
      <c r="P31" s="217">
        <f t="shared" si="6"/>
        <v>20.478116141627048</v>
      </c>
      <c r="Q31" s="217">
        <f t="shared" si="7"/>
        <v>15</v>
      </c>
      <c r="R31" s="217">
        <f t="shared" si="8"/>
        <v>20.418901327776496</v>
      </c>
      <c r="S31" s="172">
        <f t="shared" si="9"/>
        <v>497.61300455673035</v>
      </c>
      <c r="T31" s="172">
        <f t="shared" si="10"/>
        <v>15</v>
      </c>
      <c r="U31" s="217">
        <f t="shared" si="99"/>
        <v>6.6000939278421988</v>
      </c>
      <c r="V31" s="217">
        <f t="shared" si="11"/>
        <v>1.3713704820519454</v>
      </c>
      <c r="W31" s="217">
        <f t="shared" si="12"/>
        <v>5.0939624260611378</v>
      </c>
      <c r="X31" s="197">
        <f t="shared" si="13"/>
        <v>102.08436319744666</v>
      </c>
      <c r="Y31" s="443">
        <f t="shared" si="14"/>
        <v>150.03001557248461</v>
      </c>
      <c r="AA31" s="217">
        <f t="shared" si="15"/>
        <v>9.9999999999999982</v>
      </c>
      <c r="AB31" s="173">
        <f t="shared" si="16"/>
        <v>7.7180150491078408</v>
      </c>
      <c r="AC31" s="173">
        <f t="shared" si="17"/>
        <v>3.9394432571824192</v>
      </c>
      <c r="AD31" s="173"/>
      <c r="AE31" s="173">
        <f t="shared" si="18"/>
        <v>7.7180150491078416</v>
      </c>
      <c r="AF31" s="545">
        <f t="shared" si="100"/>
        <v>67.374836235919105</v>
      </c>
      <c r="AG31" s="528">
        <f t="shared" si="19"/>
        <v>3.9394432571824201</v>
      </c>
      <c r="AI31" s="173">
        <f t="shared" si="20"/>
        <v>4.3874768615073751</v>
      </c>
      <c r="AJ31" s="173">
        <f t="shared" si="21"/>
        <v>10</v>
      </c>
      <c r="AK31" s="173">
        <f t="shared" si="22"/>
        <v>1.0384999064205251</v>
      </c>
      <c r="AM31" s="545">
        <f t="shared" si="23"/>
        <v>2600</v>
      </c>
      <c r="AN31" s="460">
        <f t="shared" si="24"/>
        <v>67.374836235919105</v>
      </c>
      <c r="AP31">
        <f t="shared" si="25"/>
        <v>2600</v>
      </c>
      <c r="AQ31" s="460">
        <f t="shared" si="26"/>
        <v>67.374836235919105</v>
      </c>
      <c r="AR31" s="460"/>
      <c r="AS31" s="5">
        <f t="shared" si="101"/>
        <v>14.842336632899695</v>
      </c>
      <c r="AT31" s="5">
        <f t="shared" si="27"/>
        <v>2.0778044934586171</v>
      </c>
      <c r="AU31" s="5">
        <f t="shared" si="102"/>
        <v>12.764532139441078</v>
      </c>
      <c r="AV31" s="5">
        <f t="shared" si="28"/>
        <v>7.7180150491078416</v>
      </c>
      <c r="AW31" s="173">
        <f t="shared" si="103"/>
        <v>0.1399917374770312</v>
      </c>
      <c r="AX31" s="173">
        <f t="shared" si="29"/>
        <v>40.424901741551466</v>
      </c>
      <c r="AY31" s="173">
        <f t="shared" si="30"/>
        <v>4.3000413126148445</v>
      </c>
      <c r="AZ31" s="173">
        <f t="shared" si="104"/>
        <v>9.4010496185138237</v>
      </c>
      <c r="BA31" s="460">
        <f t="shared" si="31"/>
        <v>36.015277886616026</v>
      </c>
      <c r="BB31" s="5">
        <f t="shared" si="32"/>
        <v>2.972315767853094</v>
      </c>
      <c r="BC31" s="5"/>
      <c r="BD31" s="173">
        <f t="shared" si="105"/>
        <v>2.1601831517800458</v>
      </c>
      <c r="BE31" s="173">
        <f t="shared" si="33"/>
        <v>5.3541518547851217</v>
      </c>
      <c r="BF31" s="173"/>
      <c r="BG31" s="528">
        <f t="shared" si="34"/>
        <v>9.332782498468746E-2</v>
      </c>
      <c r="BH31" s="528">
        <f t="shared" si="35"/>
        <v>0.92911632974039082</v>
      </c>
      <c r="BI31" s="528">
        <f t="shared" si="36"/>
        <v>9.7277924532404011E-2</v>
      </c>
      <c r="BJ31" s="528">
        <f t="shared" si="37"/>
        <v>3.644516489457994E-2</v>
      </c>
      <c r="BK31">
        <f t="shared" si="38"/>
        <v>2.598897065147554E-2</v>
      </c>
      <c r="BL31" s="460">
        <f t="shared" si="106"/>
        <v>123.26689518387956</v>
      </c>
      <c r="BM31" s="528">
        <f t="shared" si="39"/>
        <v>1.1086722982391102</v>
      </c>
      <c r="BN31" s="460">
        <f t="shared" si="107"/>
        <v>1108.6722982391102</v>
      </c>
      <c r="BO31" s="528">
        <f t="shared" si="108"/>
        <v>1.6152499999999999</v>
      </c>
      <c r="BP31" s="528"/>
      <c r="BR31" s="460">
        <f t="shared" si="109"/>
        <v>1615.2499999999998</v>
      </c>
      <c r="BS31" s="528">
        <f t="shared" si="40"/>
        <v>0.13999173747703117</v>
      </c>
      <c r="BT31" s="528">
        <f t="shared" si="41"/>
        <v>0.8600082625229688</v>
      </c>
      <c r="BU31" s="528">
        <f t="shared" si="42"/>
        <v>0.58499999999999996</v>
      </c>
      <c r="BV31" s="528">
        <f t="shared" si="43"/>
        <v>1.9836956521739129</v>
      </c>
      <c r="BW31" s="528">
        <f t="shared" si="44"/>
        <v>6.7374836235919106E-3</v>
      </c>
      <c r="BX31" s="460">
        <f t="shared" si="110"/>
        <v>1990.4331357975047</v>
      </c>
      <c r="BY31" s="173">
        <f t="shared" si="45"/>
        <v>4.8376223292204941</v>
      </c>
      <c r="BZ31" s="5">
        <f t="shared" si="111"/>
        <v>39</v>
      </c>
      <c r="CA31" s="173">
        <f t="shared" si="112"/>
        <v>0.88964679030970351</v>
      </c>
      <c r="CB31" s="5">
        <f t="shared" si="113"/>
        <v>88.964679030970345</v>
      </c>
      <c r="CE31" s="562">
        <f t="shared" si="46"/>
        <v>-50</v>
      </c>
      <c r="CF31">
        <f t="shared" si="47"/>
        <v>-50</v>
      </c>
      <c r="CG31" s="173">
        <f t="shared" si="48"/>
        <v>0.52688771732378314</v>
      </c>
      <c r="CI31" s="170">
        <v>26</v>
      </c>
      <c r="CJ31" s="217">
        <f t="shared" si="114"/>
        <v>2.6</v>
      </c>
      <c r="CK31" s="217"/>
      <c r="CL31" s="217">
        <f t="shared" si="49"/>
        <v>39</v>
      </c>
      <c r="CM31" s="541">
        <f t="shared" si="50"/>
        <v>58</v>
      </c>
      <c r="CN31" s="172">
        <f t="shared" si="51"/>
        <v>15.4</v>
      </c>
      <c r="CO31" s="443">
        <f t="shared" si="52"/>
        <v>73.400000000000006</v>
      </c>
      <c r="CP31" s="443"/>
      <c r="CQ31" s="217">
        <f t="shared" si="53"/>
        <v>0.2098092643051771</v>
      </c>
      <c r="CR31" s="172">
        <f t="shared" si="54"/>
        <v>305.10568119891008</v>
      </c>
      <c r="CS31" s="172">
        <f t="shared" si="115"/>
        <v>39</v>
      </c>
      <c r="CT31" s="217">
        <f t="shared" si="55"/>
        <v>20.340378746594006</v>
      </c>
      <c r="CU31" s="217">
        <f t="shared" si="56"/>
        <v>15</v>
      </c>
      <c r="CV31" s="217">
        <f t="shared" si="57"/>
        <v>20.281562216167121</v>
      </c>
      <c r="CW31" s="172">
        <f t="shared" si="58"/>
        <v>499.73869482499714</v>
      </c>
      <c r="CX31" s="172">
        <f t="shared" si="59"/>
        <v>15</v>
      </c>
      <c r="CY31" s="217">
        <f t="shared" si="60"/>
        <v>6.4097626511419614</v>
      </c>
      <c r="CZ31" s="217">
        <f t="shared" si="61"/>
        <v>1.3261577898914403</v>
      </c>
      <c r="DA31" s="217">
        <f t="shared" si="62"/>
        <v>4.9946202476430877</v>
      </c>
      <c r="DB31" s="197">
        <f t="shared" si="63"/>
        <v>101.4078110808356</v>
      </c>
      <c r="DC31" s="443">
        <f t="shared" si="116"/>
        <v>158.20837151086837</v>
      </c>
      <c r="DE31" s="217">
        <f t="shared" si="64"/>
        <v>10</v>
      </c>
      <c r="DF31" s="173">
        <f t="shared" si="65"/>
        <v>7.7922077922077913</v>
      </c>
      <c r="DG31" s="173">
        <f t="shared" si="66"/>
        <v>3.9509536784741139</v>
      </c>
      <c r="DH31" s="173"/>
      <c r="DI31" s="173">
        <f t="shared" si="67"/>
        <v>7.7922077922077913</v>
      </c>
      <c r="DJ31" s="545">
        <f t="shared" si="117"/>
        <v>66.733333333333348</v>
      </c>
      <c r="DK31" s="528">
        <f t="shared" si="68"/>
        <v>3.9509536784741139</v>
      </c>
      <c r="DM31" s="173">
        <f t="shared" si="69"/>
        <v>4.3665394383500846</v>
      </c>
      <c r="DN31" s="173">
        <f t="shared" si="70"/>
        <v>10</v>
      </c>
      <c r="DO31" s="173">
        <f t="shared" si="71"/>
        <v>1.0381333333333334</v>
      </c>
      <c r="DQ31" s="545">
        <f t="shared" si="72"/>
        <v>2600</v>
      </c>
      <c r="DR31" s="460">
        <f t="shared" si="73"/>
        <v>66.733333333333348</v>
      </c>
      <c r="DT31">
        <f t="shared" si="74"/>
        <v>2600</v>
      </c>
      <c r="DU31" s="460">
        <f t="shared" si="75"/>
        <v>66.733333333333348</v>
      </c>
      <c r="DV31" s="460"/>
      <c r="DW31" s="5">
        <f t="shared" si="118"/>
        <v>14.985014985014983</v>
      </c>
      <c r="DX31" s="5">
        <f t="shared" si="76"/>
        <v>2.068965517241379</v>
      </c>
      <c r="DY31" s="5">
        <f t="shared" si="119"/>
        <v>12.916049467773604</v>
      </c>
      <c r="DZ31" s="5">
        <f t="shared" si="77"/>
        <v>7.7922077922077913</v>
      </c>
      <c r="EA31" s="173">
        <f t="shared" si="120"/>
        <v>0.13806896551724138</v>
      </c>
      <c r="EB31" s="173">
        <f t="shared" si="78"/>
        <v>40.040000000000013</v>
      </c>
      <c r="EC31" s="173">
        <f t="shared" si="79"/>
        <v>4.3096551724137928</v>
      </c>
      <c r="ED31" s="173">
        <f t="shared" si="121"/>
        <v>9.2907665226436276</v>
      </c>
      <c r="EE31" s="460">
        <f t="shared" si="80"/>
        <v>35.862068965517238</v>
      </c>
      <c r="EF31" s="5">
        <f t="shared" si="81"/>
        <v>2.9948033843232489</v>
      </c>
      <c r="EG31" s="5"/>
      <c r="EH31" s="173">
        <f t="shared" si="122"/>
        <v>2.1452969143162242</v>
      </c>
      <c r="EI31" s="173">
        <f t="shared" si="82"/>
        <v>5.3601338120198658</v>
      </c>
      <c r="EJ31" s="173"/>
      <c r="EK31" s="528">
        <f t="shared" si="83"/>
        <v>9.2045977011494265E-2</v>
      </c>
      <c r="EL31" s="528">
        <f t="shared" si="84"/>
        <v>0.97964533333333359</v>
      </c>
      <c r="EM31" s="528">
        <f t="shared" si="85"/>
        <v>8.3416666666666691E-3</v>
      </c>
      <c r="EN31" s="528">
        <f t="shared" si="86"/>
        <v>3.5952983733333346E-2</v>
      </c>
      <c r="EO31">
        <f t="shared" si="87"/>
        <v>2.6099999999999998E-2</v>
      </c>
      <c r="EP31" s="460">
        <f t="shared" si="123"/>
        <v>34.44166666666667</v>
      </c>
      <c r="EQ31" s="528">
        <f t="shared" si="88"/>
        <v>1.1930300907223155</v>
      </c>
      <c r="ER31" s="460">
        <f t="shared" si="124"/>
        <v>1193.0300907223154</v>
      </c>
      <c r="ES31" s="528">
        <f t="shared" si="125"/>
        <v>1.6152499999999999</v>
      </c>
      <c r="ET31" s="528"/>
      <c r="EV31" s="460">
        <f t="shared" si="126"/>
        <v>1615.2499999999998</v>
      </c>
      <c r="EW31" s="528">
        <f t="shared" si="89"/>
        <v>0.13806896551724138</v>
      </c>
      <c r="EX31" s="528">
        <f t="shared" si="90"/>
        <v>0.86193103448275854</v>
      </c>
      <c r="EY31" s="528">
        <f t="shared" si="91"/>
        <v>0.57521082483361041</v>
      </c>
      <c r="EZ31" s="528">
        <f t="shared" si="92"/>
        <v>1.973055244384359</v>
      </c>
      <c r="FA31" s="528">
        <f t="shared" si="93"/>
        <v>6.6733333333333349E-3</v>
      </c>
      <c r="FB31" s="460">
        <f t="shared" si="127"/>
        <v>1979.7285777176924</v>
      </c>
      <c r="FC31" s="173">
        <f t="shared" si="128"/>
        <v>4.7880086684400078</v>
      </c>
      <c r="FD31" s="5">
        <f t="shared" si="129"/>
        <v>39</v>
      </c>
      <c r="FE31" s="173">
        <f t="shared" si="130"/>
        <v>0.89065479764803868</v>
      </c>
      <c r="FF31" s="5">
        <f t="shared" si="131"/>
        <v>89.065479764803868</v>
      </c>
      <c r="FI31" s="562">
        <f t="shared" si="94"/>
        <v>-50</v>
      </c>
      <c r="FJ31">
        <f t="shared" si="95"/>
        <v>-50</v>
      </c>
      <c r="FL31">
        <f t="shared" si="96"/>
        <v>0.52</v>
      </c>
    </row>
    <row r="32" spans="5:168">
      <c r="E32" s="170">
        <v>27</v>
      </c>
      <c r="F32" s="217">
        <f t="shared" si="97"/>
        <v>2.7</v>
      </c>
      <c r="G32" s="217"/>
      <c r="H32" s="217">
        <f t="shared" si="0"/>
        <v>40.5</v>
      </c>
      <c r="I32" s="541">
        <f t="shared" si="1"/>
        <v>57.753268114390089</v>
      </c>
      <c r="J32" s="172">
        <f t="shared" si="2"/>
        <v>15.548039131365949</v>
      </c>
      <c r="K32" s="172">
        <f t="shared" si="3"/>
        <v>73.548039131365954</v>
      </c>
      <c r="L32" s="443"/>
      <c r="M32" s="217">
        <f t="shared" si="4"/>
        <v>0.21213242465171064</v>
      </c>
      <c r="N32" s="172">
        <f t="shared" si="5"/>
        <v>307.17174212440574</v>
      </c>
      <c r="O32" s="172">
        <f t="shared" si="98"/>
        <v>40.5</v>
      </c>
      <c r="P32" s="217">
        <f t="shared" si="6"/>
        <v>20.478116141627048</v>
      </c>
      <c r="Q32" s="217">
        <f t="shared" si="7"/>
        <v>15</v>
      </c>
      <c r="R32" s="217">
        <f t="shared" si="8"/>
        <v>20.418901327776496</v>
      </c>
      <c r="S32" s="172">
        <f t="shared" si="9"/>
        <v>477.04759943703903</v>
      </c>
      <c r="T32" s="172">
        <f t="shared" si="10"/>
        <v>15</v>
      </c>
      <c r="U32" s="217">
        <f t="shared" si="99"/>
        <v>6.8539436942976684</v>
      </c>
      <c r="V32" s="217">
        <f t="shared" si="11"/>
        <v>1.4241155005924049</v>
      </c>
      <c r="W32" s="217">
        <f t="shared" si="12"/>
        <v>5.2898840578327198</v>
      </c>
      <c r="X32" s="197">
        <f t="shared" si="13"/>
        <v>102.08436319744666</v>
      </c>
      <c r="Y32" s="443">
        <f t="shared" si="14"/>
        <v>144.63408502556814</v>
      </c>
      <c r="AA32" s="217">
        <f t="shared" si="15"/>
        <v>9.9999999999999982</v>
      </c>
      <c r="AB32" s="173">
        <f t="shared" si="16"/>
        <v>7.7180150491078408</v>
      </c>
      <c r="AC32" s="173">
        <f t="shared" si="17"/>
        <v>3.9394432571824192</v>
      </c>
      <c r="AD32" s="173"/>
      <c r="AE32" s="173">
        <f t="shared" si="18"/>
        <v>7.7180150491078416</v>
      </c>
      <c r="AF32" s="545">
        <f t="shared" si="100"/>
        <v>69.966176091146764</v>
      </c>
      <c r="AG32" s="528">
        <f t="shared" si="19"/>
        <v>3.9394432571824201</v>
      </c>
      <c r="AI32" s="173">
        <f t="shared" si="20"/>
        <v>4.4710553593130484</v>
      </c>
      <c r="AJ32" s="173">
        <f t="shared" si="21"/>
        <v>10</v>
      </c>
      <c r="AK32" s="173">
        <f t="shared" si="22"/>
        <v>1.0399806720520839</v>
      </c>
      <c r="AM32" s="545">
        <f t="shared" si="23"/>
        <v>2700</v>
      </c>
      <c r="AN32" s="460">
        <f t="shared" si="24"/>
        <v>69.966176091146764</v>
      </c>
      <c r="AP32">
        <f t="shared" si="25"/>
        <v>2700</v>
      </c>
      <c r="AQ32" s="460">
        <f t="shared" si="26"/>
        <v>69.966176091146764</v>
      </c>
      <c r="AR32" s="460"/>
      <c r="AS32" s="5">
        <f t="shared" si="101"/>
        <v>14.292620461310818</v>
      </c>
      <c r="AT32" s="5">
        <f t="shared" si="27"/>
        <v>2.0778044934586171</v>
      </c>
      <c r="AU32" s="5">
        <f t="shared" si="102"/>
        <v>12.214815967852202</v>
      </c>
      <c r="AV32" s="5">
        <f t="shared" si="28"/>
        <v>7.7180150491078416</v>
      </c>
      <c r="AW32" s="173">
        <f t="shared" si="103"/>
        <v>0.1453760350723016</v>
      </c>
      <c r="AX32" s="173">
        <f t="shared" si="29"/>
        <v>41.979705654688061</v>
      </c>
      <c r="AY32" s="173">
        <f t="shared" si="30"/>
        <v>4.273119824638492</v>
      </c>
      <c r="AZ32" s="173">
        <f t="shared" si="104"/>
        <v>9.8241349125377173</v>
      </c>
      <c r="BA32" s="460">
        <f t="shared" si="31"/>
        <v>37.40048088225511</v>
      </c>
      <c r="BB32" s="5">
        <f t="shared" si="32"/>
        <v>2.95370683891759</v>
      </c>
      <c r="BC32" s="5"/>
      <c r="BD32" s="173">
        <f t="shared" si="105"/>
        <v>2.2013331950759718</v>
      </c>
      <c r="BE32" s="173">
        <f t="shared" si="33"/>
        <v>5.3373650331966189</v>
      </c>
      <c r="BF32" s="173"/>
      <c r="BG32" s="528">
        <f t="shared" si="34"/>
        <v>9.6917356714867731E-2</v>
      </c>
      <c r="BH32" s="528">
        <f t="shared" si="35"/>
        <v>0.96485157319194437</v>
      </c>
      <c r="BI32" s="528">
        <f t="shared" si="36"/>
        <v>0.1010193831682657</v>
      </c>
      <c r="BJ32" s="528">
        <f t="shared" si="37"/>
        <v>3.7846902005909934E-2</v>
      </c>
      <c r="BK32">
        <f t="shared" si="38"/>
        <v>2.598897065147554E-2</v>
      </c>
      <c r="BL32" s="460">
        <f t="shared" si="106"/>
        <v>127.00835381974123</v>
      </c>
      <c r="BM32" s="528">
        <f t="shared" si="39"/>
        <v>1.1523186086842716</v>
      </c>
      <c r="BN32" s="460">
        <f t="shared" si="107"/>
        <v>1152.3186086842716</v>
      </c>
      <c r="BO32" s="528">
        <f t="shared" si="108"/>
        <v>1.6773749999999998</v>
      </c>
      <c r="BP32" s="528"/>
      <c r="BR32" s="460">
        <f t="shared" si="109"/>
        <v>1677.3749999999998</v>
      </c>
      <c r="BS32" s="528">
        <f t="shared" si="40"/>
        <v>0.1453760350723016</v>
      </c>
      <c r="BT32" s="528">
        <f t="shared" si="41"/>
        <v>0.85462396492769832</v>
      </c>
      <c r="BU32" s="528">
        <f t="shared" si="42"/>
        <v>0.60749999999999993</v>
      </c>
      <c r="BV32" s="528">
        <f t="shared" si="43"/>
        <v>2.008152173913043</v>
      </c>
      <c r="BW32" s="528">
        <f t="shared" si="44"/>
        <v>6.9966176091146772E-3</v>
      </c>
      <c r="BX32" s="460">
        <f t="shared" si="110"/>
        <v>2015.1487915221576</v>
      </c>
      <c r="BY32" s="173">
        <f t="shared" si="45"/>
        <v>4.9718507540261712</v>
      </c>
      <c r="BZ32" s="5">
        <f t="shared" si="111"/>
        <v>40.5</v>
      </c>
      <c r="CA32" s="173">
        <f t="shared" si="112"/>
        <v>0.8906609106165323</v>
      </c>
      <c r="CB32" s="5">
        <f t="shared" si="113"/>
        <v>89.066091061653225</v>
      </c>
      <c r="CE32" s="562">
        <f t="shared" si="46"/>
        <v>-50</v>
      </c>
      <c r="CF32">
        <f t="shared" si="47"/>
        <v>-50</v>
      </c>
      <c r="CG32" s="173">
        <f t="shared" si="48"/>
        <v>0.54715262952854382</v>
      </c>
      <c r="CI32" s="170">
        <v>27</v>
      </c>
      <c r="CJ32" s="217">
        <f t="shared" si="114"/>
        <v>2.7</v>
      </c>
      <c r="CK32" s="217"/>
      <c r="CL32" s="217">
        <f t="shared" si="49"/>
        <v>40.5</v>
      </c>
      <c r="CM32" s="541">
        <f t="shared" si="50"/>
        <v>58</v>
      </c>
      <c r="CN32" s="172">
        <f t="shared" si="51"/>
        <v>15.4</v>
      </c>
      <c r="CO32" s="443">
        <f t="shared" si="52"/>
        <v>73.400000000000006</v>
      </c>
      <c r="CP32" s="443"/>
      <c r="CQ32" s="217">
        <f t="shared" si="53"/>
        <v>0.2098092643051771</v>
      </c>
      <c r="CR32" s="172">
        <f t="shared" si="54"/>
        <v>305.10568119891008</v>
      </c>
      <c r="CS32" s="172">
        <f t="shared" si="115"/>
        <v>40.5</v>
      </c>
      <c r="CT32" s="217">
        <f t="shared" si="55"/>
        <v>20.340378746594006</v>
      </c>
      <c r="CU32" s="217">
        <f t="shared" si="56"/>
        <v>15</v>
      </c>
      <c r="CV32" s="217">
        <f t="shared" si="57"/>
        <v>20.281562216167121</v>
      </c>
      <c r="CW32" s="172">
        <f t="shared" si="58"/>
        <v>479.08542224109925</v>
      </c>
      <c r="CX32" s="172">
        <f t="shared" si="59"/>
        <v>15</v>
      </c>
      <c r="CY32" s="217">
        <f t="shared" si="60"/>
        <v>6.6562919838781909</v>
      </c>
      <c r="CZ32" s="217">
        <f t="shared" si="61"/>
        <v>1.3771638587334187</v>
      </c>
      <c r="DA32" s="217">
        <f t="shared" si="62"/>
        <v>5.1867210263985903</v>
      </c>
      <c r="DB32" s="197">
        <f t="shared" si="63"/>
        <v>101.4078110808356</v>
      </c>
      <c r="DC32" s="443">
        <f t="shared" si="116"/>
        <v>152.34880219565102</v>
      </c>
      <c r="DE32" s="217">
        <f t="shared" si="64"/>
        <v>10</v>
      </c>
      <c r="DF32" s="173">
        <f t="shared" si="65"/>
        <v>7.7922077922077913</v>
      </c>
      <c r="DG32" s="173">
        <f t="shared" si="66"/>
        <v>3.9509536784741139</v>
      </c>
      <c r="DH32" s="173"/>
      <c r="DI32" s="173">
        <f t="shared" si="67"/>
        <v>7.7922077922077913</v>
      </c>
      <c r="DJ32" s="545">
        <f t="shared" si="117"/>
        <v>69.3</v>
      </c>
      <c r="DK32" s="528">
        <f t="shared" si="68"/>
        <v>3.9509536784741139</v>
      </c>
      <c r="DM32" s="173">
        <f t="shared" si="69"/>
        <v>4.4497190922573981</v>
      </c>
      <c r="DN32" s="173">
        <f t="shared" si="70"/>
        <v>10</v>
      </c>
      <c r="DO32" s="173">
        <f t="shared" si="71"/>
        <v>1.0396000000000001</v>
      </c>
      <c r="DQ32" s="545">
        <f t="shared" si="72"/>
        <v>2700</v>
      </c>
      <c r="DR32" s="460">
        <f t="shared" si="73"/>
        <v>69.3</v>
      </c>
      <c r="DT32">
        <f t="shared" si="74"/>
        <v>2700</v>
      </c>
      <c r="DU32" s="460">
        <f t="shared" si="75"/>
        <v>69.3</v>
      </c>
      <c r="DV32" s="460"/>
      <c r="DW32" s="5">
        <f t="shared" si="118"/>
        <v>14.430014430014429</v>
      </c>
      <c r="DX32" s="5">
        <f t="shared" si="76"/>
        <v>2.068965517241379</v>
      </c>
      <c r="DY32" s="5">
        <f t="shared" si="119"/>
        <v>12.36104891277305</v>
      </c>
      <c r="DZ32" s="5">
        <f t="shared" si="77"/>
        <v>7.7922077922077913</v>
      </c>
      <c r="EA32" s="173">
        <f t="shared" si="120"/>
        <v>0.14337931034482757</v>
      </c>
      <c r="EB32" s="173">
        <f t="shared" si="78"/>
        <v>41.58</v>
      </c>
      <c r="EC32" s="173">
        <f t="shared" si="79"/>
        <v>4.2831034482758623</v>
      </c>
      <c r="ED32" s="173">
        <f t="shared" si="121"/>
        <v>9.7079140165848159</v>
      </c>
      <c r="EE32" s="460">
        <f t="shared" si="80"/>
        <v>37.241379310344826</v>
      </c>
      <c r="EF32" s="5">
        <f t="shared" si="81"/>
        <v>2.9763524433252586</v>
      </c>
      <c r="EG32" s="5"/>
      <c r="EH32" s="173">
        <f t="shared" si="122"/>
        <v>2.1861633847513744</v>
      </c>
      <c r="EI32" s="173">
        <f t="shared" si="82"/>
        <v>5.343596447010734</v>
      </c>
      <c r="EJ32" s="173"/>
      <c r="EK32" s="528">
        <f t="shared" si="83"/>
        <v>9.5586206896551715E-2</v>
      </c>
      <c r="EL32" s="528">
        <f t="shared" si="84"/>
        <v>1.0173240000000001</v>
      </c>
      <c r="EM32" s="528">
        <f t="shared" si="85"/>
        <v>8.6624999999999983E-3</v>
      </c>
      <c r="EN32" s="528">
        <f t="shared" si="86"/>
        <v>3.7335790800000004E-2</v>
      </c>
      <c r="EO32">
        <f t="shared" si="87"/>
        <v>2.6099999999999998E-2</v>
      </c>
      <c r="EP32" s="460">
        <f t="shared" si="123"/>
        <v>34.762499999999996</v>
      </c>
      <c r="EQ32" s="528">
        <f t="shared" si="88"/>
        <v>1.2389550316066553</v>
      </c>
      <c r="ER32" s="460">
        <f t="shared" si="124"/>
        <v>1238.9550316066552</v>
      </c>
      <c r="ES32" s="528">
        <f t="shared" si="125"/>
        <v>1.6773749999999998</v>
      </c>
      <c r="ET32" s="528"/>
      <c r="EV32" s="460">
        <f t="shared" si="126"/>
        <v>1677.3749999999998</v>
      </c>
      <c r="EW32" s="528">
        <f t="shared" si="89"/>
        <v>0.14337931034482757</v>
      </c>
      <c r="EX32" s="528">
        <f t="shared" si="90"/>
        <v>0.85662068965517213</v>
      </c>
      <c r="EY32" s="528">
        <f t="shared" si="91"/>
        <v>0.63212518081210267</v>
      </c>
      <c r="EZ32" s="528">
        <f t="shared" si="92"/>
        <v>2.034918674795763</v>
      </c>
      <c r="FA32" s="528">
        <f t="shared" si="93"/>
        <v>6.9300000000000004E-3</v>
      </c>
      <c r="FB32" s="460">
        <f t="shared" si="127"/>
        <v>2041.8486747957631</v>
      </c>
      <c r="FC32" s="173">
        <f t="shared" si="128"/>
        <v>4.9581787064024185</v>
      </c>
      <c r="FD32" s="5">
        <f t="shared" si="129"/>
        <v>40.5</v>
      </c>
      <c r="FE32" s="173">
        <f t="shared" si="130"/>
        <v>0.89092878668928943</v>
      </c>
      <c r="FF32" s="5">
        <f t="shared" si="131"/>
        <v>89.092878668928947</v>
      </c>
      <c r="FI32" s="562">
        <f t="shared" si="94"/>
        <v>-50</v>
      </c>
      <c r="FJ32">
        <f t="shared" si="95"/>
        <v>-50</v>
      </c>
      <c r="FL32">
        <f t="shared" si="96"/>
        <v>0.54</v>
      </c>
    </row>
    <row r="33" spans="5:168">
      <c r="E33" s="170">
        <v>28</v>
      </c>
      <c r="F33" s="217">
        <f t="shared" si="97"/>
        <v>2.8000000000000003</v>
      </c>
      <c r="G33" s="217"/>
      <c r="H33" s="217">
        <f t="shared" si="0"/>
        <v>42.000000000000007</v>
      </c>
      <c r="I33" s="541">
        <f t="shared" si="1"/>
        <v>57.753268114390089</v>
      </c>
      <c r="J33" s="172">
        <f t="shared" si="2"/>
        <v>15.548039131365949</v>
      </c>
      <c r="K33" s="172">
        <f t="shared" si="3"/>
        <v>73.548039131365954</v>
      </c>
      <c r="L33" s="443"/>
      <c r="M33" s="217">
        <f t="shared" si="4"/>
        <v>0.21213242465171064</v>
      </c>
      <c r="N33" s="172">
        <f t="shared" si="5"/>
        <v>307.17174212440574</v>
      </c>
      <c r="O33" s="172">
        <f t="shared" si="98"/>
        <v>42.000000000000007</v>
      </c>
      <c r="P33" s="217">
        <f t="shared" si="6"/>
        <v>20.478116141627048</v>
      </c>
      <c r="Q33" s="217">
        <f t="shared" si="7"/>
        <v>15</v>
      </c>
      <c r="R33" s="217">
        <f t="shared" si="8"/>
        <v>20.418901327776496</v>
      </c>
      <c r="S33" s="172">
        <f t="shared" si="9"/>
        <v>457.95131235347833</v>
      </c>
      <c r="T33" s="172">
        <f t="shared" si="10"/>
        <v>15</v>
      </c>
      <c r="U33" s="217">
        <f t="shared" si="99"/>
        <v>7.1077934607531379</v>
      </c>
      <c r="V33" s="217">
        <f t="shared" si="11"/>
        <v>1.4768605191328645</v>
      </c>
      <c r="W33" s="217">
        <f t="shared" si="12"/>
        <v>5.4858056896043026</v>
      </c>
      <c r="X33" s="197">
        <f t="shared" si="13"/>
        <v>102.08436319744666</v>
      </c>
      <c r="Y33" s="443">
        <f t="shared" si="14"/>
        <v>139.61281607401719</v>
      </c>
      <c r="AA33" s="217">
        <f t="shared" si="15"/>
        <v>9.9999999999999982</v>
      </c>
      <c r="AB33" s="173">
        <f t="shared" si="16"/>
        <v>7.7180150491078408</v>
      </c>
      <c r="AC33" s="173">
        <f t="shared" si="17"/>
        <v>3.9394432571824192</v>
      </c>
      <c r="AD33" s="173"/>
      <c r="AE33" s="173">
        <f t="shared" si="18"/>
        <v>7.7180150491078416</v>
      </c>
      <c r="AF33" s="545">
        <f t="shared" si="100"/>
        <v>72.557515946374423</v>
      </c>
      <c r="AG33" s="528">
        <f t="shared" si="19"/>
        <v>3.9394432571824201</v>
      </c>
      <c r="AI33" s="173">
        <f t="shared" si="20"/>
        <v>4.5530999156422283</v>
      </c>
      <c r="AJ33" s="173">
        <f t="shared" si="21"/>
        <v>10</v>
      </c>
      <c r="AK33" s="173">
        <f t="shared" si="22"/>
        <v>1.0414614376836426</v>
      </c>
      <c r="AM33" s="545">
        <f t="shared" si="23"/>
        <v>2800.0000000000005</v>
      </c>
      <c r="AN33" s="460">
        <f t="shared" si="24"/>
        <v>72.557515946374423</v>
      </c>
      <c r="AP33">
        <f t="shared" si="25"/>
        <v>2800.0000000000005</v>
      </c>
      <c r="AQ33" s="460">
        <f t="shared" si="26"/>
        <v>72.557515946374423</v>
      </c>
      <c r="AR33" s="460"/>
      <c r="AS33" s="5">
        <f t="shared" si="101"/>
        <v>13.782169730549716</v>
      </c>
      <c r="AT33" s="5">
        <f t="shared" si="27"/>
        <v>2.0778044934586171</v>
      </c>
      <c r="AU33" s="5">
        <f t="shared" si="102"/>
        <v>11.7043652370911</v>
      </c>
      <c r="AV33" s="5">
        <f t="shared" si="28"/>
        <v>7.7180150491078416</v>
      </c>
      <c r="AW33" s="173">
        <f t="shared" si="103"/>
        <v>0.15076033266757205</v>
      </c>
      <c r="AX33" s="173">
        <f t="shared" si="29"/>
        <v>43.534509567824657</v>
      </c>
      <c r="AY33" s="173">
        <f t="shared" si="30"/>
        <v>4.2461983366621396</v>
      </c>
      <c r="AZ33" s="173">
        <f t="shared" si="104"/>
        <v>10.252585045767399</v>
      </c>
      <c r="BA33" s="460">
        <f t="shared" si="31"/>
        <v>38.785683877894186</v>
      </c>
      <c r="BB33" s="5">
        <f t="shared" si="32"/>
        <v>2.9350979099820869</v>
      </c>
      <c r="BC33" s="5"/>
      <c r="BD33" s="173">
        <f t="shared" si="105"/>
        <v>2.2417279991676957</v>
      </c>
      <c r="BE33" s="173">
        <f t="shared" si="33"/>
        <v>5.3205252476687805</v>
      </c>
      <c r="BF33" s="173"/>
      <c r="BG33" s="528">
        <f t="shared" si="34"/>
        <v>0.10050688844504801</v>
      </c>
      <c r="BH33" s="528">
        <f t="shared" si="35"/>
        <v>1.0005868166434979</v>
      </c>
      <c r="BI33" s="528">
        <f t="shared" si="36"/>
        <v>0.1047608418041274</v>
      </c>
      <c r="BJ33" s="528">
        <f t="shared" si="37"/>
        <v>3.9248639117239935E-2</v>
      </c>
      <c r="BK33">
        <f t="shared" si="38"/>
        <v>2.598897065147554E-2</v>
      </c>
      <c r="BL33" s="460">
        <f t="shared" si="106"/>
        <v>130.74981245560295</v>
      </c>
      <c r="BM33" s="528">
        <f t="shared" si="39"/>
        <v>1.1960411900080012</v>
      </c>
      <c r="BN33" s="460">
        <f t="shared" si="107"/>
        <v>1196.0411900080012</v>
      </c>
      <c r="BO33" s="528">
        <f t="shared" si="108"/>
        <v>1.7394999999999998</v>
      </c>
      <c r="BP33" s="528"/>
      <c r="BR33" s="460">
        <f t="shared" si="109"/>
        <v>1739.4999999999998</v>
      </c>
      <c r="BS33" s="528">
        <f t="shared" si="40"/>
        <v>0.15076033266757202</v>
      </c>
      <c r="BT33" s="528">
        <f t="shared" si="41"/>
        <v>0.84923966733242806</v>
      </c>
      <c r="BU33" s="528">
        <f t="shared" si="42"/>
        <v>0.63000000000000012</v>
      </c>
      <c r="BV33" s="528">
        <f t="shared" si="43"/>
        <v>2.0326086956521738</v>
      </c>
      <c r="BW33" s="528">
        <f t="shared" si="44"/>
        <v>7.255751594637443E-3</v>
      </c>
      <c r="BX33" s="460">
        <f t="shared" si="110"/>
        <v>2039.8644472468113</v>
      </c>
      <c r="BY33" s="173">
        <f t="shared" si="45"/>
        <v>5.1061554497104158</v>
      </c>
      <c r="BZ33" s="5">
        <f t="shared" si="111"/>
        <v>42.000000000000007</v>
      </c>
      <c r="CA33" s="173">
        <f t="shared" si="112"/>
        <v>0.89160322253082946</v>
      </c>
      <c r="CB33" s="5">
        <f t="shared" si="113"/>
        <v>89.160322253082953</v>
      </c>
      <c r="CE33" s="562">
        <f t="shared" si="46"/>
        <v>-50</v>
      </c>
      <c r="CF33">
        <f t="shared" si="47"/>
        <v>-50</v>
      </c>
      <c r="CG33" s="173">
        <f t="shared" si="48"/>
        <v>0.56741754173330483</v>
      </c>
      <c r="CI33" s="170">
        <v>28</v>
      </c>
      <c r="CJ33" s="217">
        <f t="shared" si="114"/>
        <v>2.8000000000000003</v>
      </c>
      <c r="CK33" s="217"/>
      <c r="CL33" s="217">
        <f t="shared" si="49"/>
        <v>42.000000000000007</v>
      </c>
      <c r="CM33" s="541">
        <f t="shared" si="50"/>
        <v>58</v>
      </c>
      <c r="CN33" s="172">
        <f t="shared" si="51"/>
        <v>15.4</v>
      </c>
      <c r="CO33" s="443">
        <f t="shared" si="52"/>
        <v>73.400000000000006</v>
      </c>
      <c r="CP33" s="443"/>
      <c r="CQ33" s="217">
        <f t="shared" si="53"/>
        <v>0.2098092643051771</v>
      </c>
      <c r="CR33" s="172">
        <f t="shared" si="54"/>
        <v>305.10568119891008</v>
      </c>
      <c r="CS33" s="172">
        <f t="shared" si="115"/>
        <v>42.000000000000007</v>
      </c>
      <c r="CT33" s="217">
        <f t="shared" si="55"/>
        <v>20.340378746594006</v>
      </c>
      <c r="CU33" s="217">
        <f t="shared" si="56"/>
        <v>15</v>
      </c>
      <c r="CV33" s="217">
        <f t="shared" si="57"/>
        <v>20.281562216167121</v>
      </c>
      <c r="CW33" s="172">
        <f t="shared" si="58"/>
        <v>459.90754394290667</v>
      </c>
      <c r="CX33" s="172">
        <f t="shared" si="59"/>
        <v>15</v>
      </c>
      <c r="CY33" s="217">
        <f t="shared" si="60"/>
        <v>6.9028213166144212</v>
      </c>
      <c r="CZ33" s="217">
        <f t="shared" si="61"/>
        <v>1.4281699275753976</v>
      </c>
      <c r="DA33" s="217">
        <f t="shared" si="62"/>
        <v>5.3788218051540939</v>
      </c>
      <c r="DB33" s="197">
        <f t="shared" si="63"/>
        <v>101.4078110808356</v>
      </c>
      <c r="DC33" s="443">
        <f t="shared" si="116"/>
        <v>146.90777354580635</v>
      </c>
      <c r="DE33" s="217">
        <f t="shared" si="64"/>
        <v>10</v>
      </c>
      <c r="DF33" s="173">
        <f t="shared" si="65"/>
        <v>7.7922077922077913</v>
      </c>
      <c r="DG33" s="173">
        <f t="shared" si="66"/>
        <v>3.9509536784741139</v>
      </c>
      <c r="DH33" s="173"/>
      <c r="DI33" s="173">
        <f t="shared" si="67"/>
        <v>7.7922077922077913</v>
      </c>
      <c r="DJ33" s="545">
        <f t="shared" si="117"/>
        <v>71.866666666666674</v>
      </c>
      <c r="DK33" s="528">
        <f t="shared" si="68"/>
        <v>3.9509536784741139</v>
      </c>
      <c r="DM33" s="173">
        <f t="shared" si="69"/>
        <v>4.5313721247910479</v>
      </c>
      <c r="DN33" s="173">
        <f t="shared" si="70"/>
        <v>10</v>
      </c>
      <c r="DO33" s="173">
        <f t="shared" si="71"/>
        <v>1.0410666666666666</v>
      </c>
      <c r="DQ33" s="545">
        <f t="shared" si="72"/>
        <v>2800.0000000000005</v>
      </c>
      <c r="DR33" s="460">
        <f t="shared" si="73"/>
        <v>71.866666666666674</v>
      </c>
      <c r="DT33">
        <f t="shared" si="74"/>
        <v>2800.0000000000005</v>
      </c>
      <c r="DU33" s="460">
        <f t="shared" si="75"/>
        <v>71.866666666666674</v>
      </c>
      <c r="DV33" s="460"/>
      <c r="DW33" s="5">
        <f t="shared" si="118"/>
        <v>13.914656771799628</v>
      </c>
      <c r="DX33" s="5">
        <f t="shared" si="76"/>
        <v>2.068965517241379</v>
      </c>
      <c r="DY33" s="5">
        <f t="shared" si="119"/>
        <v>11.845691254558249</v>
      </c>
      <c r="DZ33" s="5">
        <f t="shared" si="77"/>
        <v>7.7922077922077913</v>
      </c>
      <c r="EA33" s="173">
        <f t="shared" si="120"/>
        <v>0.14868965517241378</v>
      </c>
      <c r="EB33" s="173">
        <f t="shared" si="78"/>
        <v>43.120000000000005</v>
      </c>
      <c r="EC33" s="173">
        <f t="shared" si="79"/>
        <v>4.2565517241379318</v>
      </c>
      <c r="ED33" s="173">
        <f t="shared" si="121"/>
        <v>10.130265716137394</v>
      </c>
      <c r="EE33" s="460">
        <f t="shared" si="80"/>
        <v>38.620689655172413</v>
      </c>
      <c r="EF33" s="5">
        <f t="shared" si="81"/>
        <v>2.9579015023272679</v>
      </c>
      <c r="EG33" s="5"/>
      <c r="EH33" s="173">
        <f t="shared" si="122"/>
        <v>2.2262798204808982</v>
      </c>
      <c r="EI33" s="173">
        <f t="shared" si="82"/>
        <v>5.3270077430254297</v>
      </c>
      <c r="EJ33" s="173"/>
      <c r="EK33" s="528">
        <f t="shared" si="83"/>
        <v>9.9126436781609206E-2</v>
      </c>
      <c r="EL33" s="528">
        <f t="shared" si="84"/>
        <v>1.0550026666666668</v>
      </c>
      <c r="EM33" s="528">
        <f t="shared" si="85"/>
        <v>8.9833333333333345E-3</v>
      </c>
      <c r="EN33" s="528">
        <f t="shared" si="86"/>
        <v>3.8718597866666683E-2</v>
      </c>
      <c r="EO33">
        <f t="shared" si="87"/>
        <v>2.6099999999999998E-2</v>
      </c>
      <c r="EP33" s="460">
        <f t="shared" si="123"/>
        <v>35.083333333333336</v>
      </c>
      <c r="EQ33" s="528">
        <f t="shared" si="88"/>
        <v>1.2849590963714097</v>
      </c>
      <c r="ER33" s="460">
        <f t="shared" si="124"/>
        <v>1284.9590963714097</v>
      </c>
      <c r="ES33" s="528">
        <f t="shared" si="125"/>
        <v>1.7394999999999998</v>
      </c>
      <c r="ET33" s="528"/>
      <c r="EV33" s="460">
        <f t="shared" si="126"/>
        <v>1739.4999999999998</v>
      </c>
      <c r="EW33" s="528">
        <f t="shared" si="89"/>
        <v>0.14868965517241381</v>
      </c>
      <c r="EX33" s="528">
        <f t="shared" si="90"/>
        <v>0.8513103448275865</v>
      </c>
      <c r="EY33" s="528">
        <f t="shared" si="91"/>
        <v>0.692291116589282</v>
      </c>
      <c r="EZ33" s="528">
        <f t="shared" si="92"/>
        <v>2.1003164310753069</v>
      </c>
      <c r="FA33" s="528">
        <f t="shared" si="93"/>
        <v>7.1866666666666685E-3</v>
      </c>
      <c r="FB33" s="460">
        <f t="shared" si="127"/>
        <v>2107.5030977419733</v>
      </c>
      <c r="FC33" s="173">
        <f t="shared" si="128"/>
        <v>5.1319621941133837</v>
      </c>
      <c r="FD33" s="5">
        <f t="shared" si="129"/>
        <v>42.000000000000007</v>
      </c>
      <c r="FE33" s="173">
        <f t="shared" si="130"/>
        <v>0.89111503202482101</v>
      </c>
      <c r="FF33" s="5">
        <f t="shared" si="131"/>
        <v>89.111503202482098</v>
      </c>
      <c r="FI33" s="562">
        <f t="shared" si="94"/>
        <v>-50</v>
      </c>
      <c r="FJ33">
        <f t="shared" si="95"/>
        <v>-50</v>
      </c>
      <c r="FL33">
        <f t="shared" si="96"/>
        <v>0.56000000000000005</v>
      </c>
    </row>
    <row r="34" spans="5:168">
      <c r="E34" s="170">
        <v>29</v>
      </c>
      <c r="F34" s="217">
        <f t="shared" si="97"/>
        <v>2.9</v>
      </c>
      <c r="G34" s="217"/>
      <c r="H34" s="217">
        <f t="shared" si="0"/>
        <v>43.5</v>
      </c>
      <c r="I34" s="541">
        <f t="shared" si="1"/>
        <v>57.753268114390089</v>
      </c>
      <c r="J34" s="172">
        <f t="shared" si="2"/>
        <v>15.548039131365949</v>
      </c>
      <c r="K34" s="172">
        <f t="shared" si="3"/>
        <v>73.548039131365954</v>
      </c>
      <c r="L34" s="443"/>
      <c r="M34" s="217">
        <f t="shared" si="4"/>
        <v>0.21213242465171064</v>
      </c>
      <c r="N34" s="172">
        <f t="shared" si="5"/>
        <v>307.17174212440574</v>
      </c>
      <c r="O34" s="172">
        <f t="shared" si="98"/>
        <v>43.5</v>
      </c>
      <c r="P34" s="217">
        <f t="shared" si="6"/>
        <v>20.478116141627048</v>
      </c>
      <c r="Q34" s="217">
        <f t="shared" si="7"/>
        <v>15</v>
      </c>
      <c r="R34" s="217">
        <f t="shared" si="8"/>
        <v>20.418901327776496</v>
      </c>
      <c r="S34" s="172">
        <f t="shared" si="9"/>
        <v>440.17216765754313</v>
      </c>
      <c r="T34" s="172">
        <f t="shared" si="10"/>
        <v>15</v>
      </c>
      <c r="U34" s="217">
        <f t="shared" si="99"/>
        <v>7.3616432272086056</v>
      </c>
      <c r="V34" s="217">
        <f t="shared" si="11"/>
        <v>1.5296055376733237</v>
      </c>
      <c r="W34" s="217">
        <f t="shared" si="12"/>
        <v>5.6817273213758837</v>
      </c>
      <c r="X34" s="197">
        <f t="shared" si="13"/>
        <v>102.08436319744666</v>
      </c>
      <c r="Y34" s="443">
        <f t="shared" si="14"/>
        <v>134.92849653608582</v>
      </c>
      <c r="AA34" s="217">
        <f t="shared" si="15"/>
        <v>9.9999999999999982</v>
      </c>
      <c r="AB34" s="173">
        <f t="shared" si="16"/>
        <v>7.7180150491078408</v>
      </c>
      <c r="AC34" s="173">
        <f t="shared" si="17"/>
        <v>3.9394432571824192</v>
      </c>
      <c r="AD34" s="173"/>
      <c r="AE34" s="173">
        <f t="shared" si="18"/>
        <v>7.7180150491078416</v>
      </c>
      <c r="AF34" s="545">
        <f t="shared" si="100"/>
        <v>75.148855801602068</v>
      </c>
      <c r="AG34" s="528">
        <f t="shared" si="19"/>
        <v>3.9394432571824201</v>
      </c>
      <c r="AI34" s="173">
        <f t="shared" si="20"/>
        <v>4.6336920115174456</v>
      </c>
      <c r="AJ34" s="173">
        <f t="shared" si="21"/>
        <v>10</v>
      </c>
      <c r="AK34" s="173">
        <f t="shared" si="22"/>
        <v>1.0429422033152012</v>
      </c>
      <c r="AM34" s="545">
        <f t="shared" si="23"/>
        <v>2900</v>
      </c>
      <c r="AN34" s="460">
        <f t="shared" si="24"/>
        <v>75.148855801602068</v>
      </c>
      <c r="AP34">
        <f t="shared" si="25"/>
        <v>2900</v>
      </c>
      <c r="AQ34" s="460">
        <f t="shared" si="26"/>
        <v>75.148855801602068</v>
      </c>
      <c r="AR34" s="460"/>
      <c r="AS34" s="5">
        <f t="shared" si="101"/>
        <v>13.306922498461798</v>
      </c>
      <c r="AT34" s="5">
        <f t="shared" si="27"/>
        <v>2.0778044934586171</v>
      </c>
      <c r="AU34" s="5">
        <f t="shared" si="102"/>
        <v>11.229118005003182</v>
      </c>
      <c r="AV34" s="5">
        <f t="shared" si="28"/>
        <v>7.7180150491078416</v>
      </c>
      <c r="AW34" s="173">
        <f t="shared" si="103"/>
        <v>0.15614463026284245</v>
      </c>
      <c r="AX34" s="173">
        <f t="shared" si="29"/>
        <v>45.089313480961245</v>
      </c>
      <c r="AY34" s="173">
        <f t="shared" si="30"/>
        <v>4.2192768486857881</v>
      </c>
      <c r="AZ34" s="173">
        <f t="shared" si="104"/>
        <v>10.686502710767977</v>
      </c>
      <c r="BA34" s="460">
        <f t="shared" si="31"/>
        <v>40.170886873533263</v>
      </c>
      <c r="BB34" s="5">
        <f t="shared" si="32"/>
        <v>2.9164889810465837</v>
      </c>
      <c r="BC34" s="5"/>
      <c r="BD34" s="173">
        <f t="shared" si="105"/>
        <v>2.2814076814022992</v>
      </c>
      <c r="BE34" s="173">
        <f t="shared" si="33"/>
        <v>5.3036319936975183</v>
      </c>
      <c r="BF34" s="173"/>
      <c r="BG34" s="528">
        <f t="shared" si="34"/>
        <v>0.1040964201752283</v>
      </c>
      <c r="BH34" s="528">
        <f t="shared" si="35"/>
        <v>1.0363220600950511</v>
      </c>
      <c r="BI34" s="528">
        <f t="shared" si="36"/>
        <v>0.10850230043998907</v>
      </c>
      <c r="BJ34" s="528">
        <f t="shared" si="37"/>
        <v>4.0650376228569922E-2</v>
      </c>
      <c r="BK34">
        <f t="shared" si="38"/>
        <v>2.598897065147554E-2</v>
      </c>
      <c r="BL34" s="460">
        <f t="shared" si="106"/>
        <v>134.4912710914646</v>
      </c>
      <c r="BM34" s="528">
        <f t="shared" si="39"/>
        <v>1.2398402423074226</v>
      </c>
      <c r="BN34" s="460">
        <f t="shared" si="107"/>
        <v>1239.8402423074226</v>
      </c>
      <c r="BO34" s="528">
        <f t="shared" si="108"/>
        <v>1.8016249999999998</v>
      </c>
      <c r="BP34" s="528"/>
      <c r="BR34" s="460">
        <f t="shared" si="109"/>
        <v>1801.6249999999998</v>
      </c>
      <c r="BS34" s="528">
        <f t="shared" si="40"/>
        <v>0.15614463026284242</v>
      </c>
      <c r="BT34" s="528">
        <f t="shared" si="41"/>
        <v>0.84385536973715736</v>
      </c>
      <c r="BU34" s="528">
        <f t="shared" si="42"/>
        <v>0.65249999999999997</v>
      </c>
      <c r="BV34" s="528">
        <f t="shared" si="43"/>
        <v>2.0570652173913038</v>
      </c>
      <c r="BW34" s="528">
        <f t="shared" si="44"/>
        <v>7.514885580160207E-3</v>
      </c>
      <c r="BX34" s="460">
        <f t="shared" si="110"/>
        <v>2064.5801029714639</v>
      </c>
      <c r="BY34" s="173">
        <f t="shared" si="45"/>
        <v>5.2405366163703508</v>
      </c>
      <c r="BZ34" s="5">
        <f t="shared" si="111"/>
        <v>43.5</v>
      </c>
      <c r="CA34" s="173">
        <f t="shared" si="112"/>
        <v>0.89248094132369027</v>
      </c>
      <c r="CB34" s="5">
        <f t="shared" si="113"/>
        <v>89.248094132369033</v>
      </c>
      <c r="CE34" s="562">
        <f t="shared" si="46"/>
        <v>-50</v>
      </c>
      <c r="CF34">
        <f t="shared" si="47"/>
        <v>-50</v>
      </c>
      <c r="CG34" s="173">
        <f t="shared" si="48"/>
        <v>0.58768245393806562</v>
      </c>
      <c r="CI34" s="170">
        <v>29</v>
      </c>
      <c r="CJ34" s="217">
        <f t="shared" si="114"/>
        <v>2.9</v>
      </c>
      <c r="CK34" s="217"/>
      <c r="CL34" s="217">
        <f t="shared" si="49"/>
        <v>43.5</v>
      </c>
      <c r="CM34" s="541">
        <f t="shared" si="50"/>
        <v>58</v>
      </c>
      <c r="CN34" s="172">
        <f t="shared" si="51"/>
        <v>15.4</v>
      </c>
      <c r="CO34" s="443">
        <f t="shared" si="52"/>
        <v>73.400000000000006</v>
      </c>
      <c r="CP34" s="443"/>
      <c r="CQ34" s="217">
        <f t="shared" si="53"/>
        <v>0.2098092643051771</v>
      </c>
      <c r="CR34" s="172">
        <f t="shared" si="54"/>
        <v>305.10568119891008</v>
      </c>
      <c r="CS34" s="172">
        <f t="shared" si="115"/>
        <v>43.5</v>
      </c>
      <c r="CT34" s="217">
        <f t="shared" si="55"/>
        <v>20.340378746594006</v>
      </c>
      <c r="CU34" s="217">
        <f t="shared" si="56"/>
        <v>15</v>
      </c>
      <c r="CV34" s="217">
        <f t="shared" si="57"/>
        <v>20.281562216167121</v>
      </c>
      <c r="CW34" s="172">
        <f t="shared" si="58"/>
        <v>442.05243501484898</v>
      </c>
      <c r="CX34" s="172">
        <f t="shared" si="59"/>
        <v>15</v>
      </c>
      <c r="CY34" s="217">
        <f t="shared" si="60"/>
        <v>7.1493506493506498</v>
      </c>
      <c r="CZ34" s="217">
        <f t="shared" si="61"/>
        <v>1.4791759964173761</v>
      </c>
      <c r="DA34" s="217">
        <f t="shared" si="62"/>
        <v>5.5709225839095984</v>
      </c>
      <c r="DB34" s="197">
        <f t="shared" si="63"/>
        <v>101.4078110808356</v>
      </c>
      <c r="DC34" s="443">
        <f t="shared" si="116"/>
        <v>141.84198825112335</v>
      </c>
      <c r="DE34" s="217">
        <f t="shared" si="64"/>
        <v>10</v>
      </c>
      <c r="DF34" s="173">
        <f t="shared" si="65"/>
        <v>7.7922077922077913</v>
      </c>
      <c r="DG34" s="173">
        <f t="shared" si="66"/>
        <v>3.9509536784741139</v>
      </c>
      <c r="DH34" s="173"/>
      <c r="DI34" s="173">
        <f t="shared" si="67"/>
        <v>7.7922077922077913</v>
      </c>
      <c r="DJ34" s="545">
        <f t="shared" si="117"/>
        <v>74.433333333333323</v>
      </c>
      <c r="DK34" s="528">
        <f t="shared" si="68"/>
        <v>3.9509536784741139</v>
      </c>
      <c r="DM34" s="173">
        <f t="shared" si="69"/>
        <v>4.6115796281390038</v>
      </c>
      <c r="DN34" s="173">
        <f t="shared" si="70"/>
        <v>10</v>
      </c>
      <c r="DO34" s="173">
        <f t="shared" si="71"/>
        <v>1.0425333333333333</v>
      </c>
      <c r="DQ34" s="545">
        <f t="shared" si="72"/>
        <v>2900</v>
      </c>
      <c r="DR34" s="460">
        <f t="shared" si="73"/>
        <v>74.433333333333323</v>
      </c>
      <c r="DT34">
        <f t="shared" si="74"/>
        <v>2900</v>
      </c>
      <c r="DU34" s="460">
        <f t="shared" si="75"/>
        <v>74.433333333333323</v>
      </c>
      <c r="DV34" s="460"/>
      <c r="DW34" s="5">
        <f t="shared" si="118"/>
        <v>13.434841021047919</v>
      </c>
      <c r="DX34" s="5">
        <f t="shared" si="76"/>
        <v>2.068965517241379</v>
      </c>
      <c r="DY34" s="5">
        <f t="shared" si="119"/>
        <v>11.36587550380654</v>
      </c>
      <c r="DZ34" s="5">
        <f t="shared" si="77"/>
        <v>7.7922077922077913</v>
      </c>
      <c r="EA34" s="173">
        <f t="shared" si="120"/>
        <v>0.15399999999999994</v>
      </c>
      <c r="EB34" s="173">
        <f t="shared" si="78"/>
        <v>44.66</v>
      </c>
      <c r="EC34" s="173">
        <f t="shared" si="79"/>
        <v>4.2300000000000004</v>
      </c>
      <c r="ED34" s="173">
        <f t="shared" si="121"/>
        <v>10.557919621749408</v>
      </c>
      <c r="EE34" s="460">
        <f t="shared" si="80"/>
        <v>39.999999999999993</v>
      </c>
      <c r="EF34" s="5">
        <f t="shared" si="81"/>
        <v>2.9394505613292772</v>
      </c>
      <c r="EG34" s="5"/>
      <c r="EH34" s="173">
        <f t="shared" si="122"/>
        <v>2.2656860623955231</v>
      </c>
      <c r="EI34" s="173">
        <f t="shared" si="82"/>
        <v>5.3103672189407014</v>
      </c>
      <c r="EJ34" s="173"/>
      <c r="EK34" s="528">
        <f t="shared" si="83"/>
        <v>0.1026666666666666</v>
      </c>
      <c r="EL34" s="528">
        <f t="shared" si="84"/>
        <v>1.0926813333333332</v>
      </c>
      <c r="EM34" s="528">
        <f t="shared" si="85"/>
        <v>9.3041666666666654E-3</v>
      </c>
      <c r="EN34" s="528">
        <f t="shared" si="86"/>
        <v>4.0101404933333334E-2</v>
      </c>
      <c r="EO34">
        <f t="shared" si="87"/>
        <v>2.6099999999999998E-2</v>
      </c>
      <c r="EP34" s="460">
        <f t="shared" si="123"/>
        <v>35.404166666666669</v>
      </c>
      <c r="EQ34" s="528">
        <f t="shared" si="88"/>
        <v>1.3310424896761643</v>
      </c>
      <c r="ER34" s="460">
        <f t="shared" si="124"/>
        <v>1331.0424896761645</v>
      </c>
      <c r="ES34" s="528">
        <f t="shared" si="125"/>
        <v>1.8016249999999998</v>
      </c>
      <c r="ET34" s="528"/>
      <c r="EV34" s="460">
        <f t="shared" si="126"/>
        <v>1801.6249999999998</v>
      </c>
      <c r="EW34" s="528">
        <f t="shared" si="89"/>
        <v>0.15399999999999989</v>
      </c>
      <c r="EX34" s="528">
        <f t="shared" si="90"/>
        <v>0.84599999999999997</v>
      </c>
      <c r="EY34" s="528">
        <f t="shared" si="91"/>
        <v>0.75576830579749188</v>
      </c>
      <c r="EZ34" s="528">
        <f t="shared" si="92"/>
        <v>2.1693133758668388</v>
      </c>
      <c r="FA34" s="528">
        <f t="shared" si="93"/>
        <v>7.4433333333333331E-3</v>
      </c>
      <c r="FB34" s="460">
        <f t="shared" si="127"/>
        <v>2176.7567092001723</v>
      </c>
      <c r="FC34" s="173">
        <f t="shared" si="128"/>
        <v>5.3094241988763367</v>
      </c>
      <c r="FD34" s="5">
        <f t="shared" si="129"/>
        <v>43.5</v>
      </c>
      <c r="FE34" s="173">
        <f t="shared" si="130"/>
        <v>0.8912213310027417</v>
      </c>
      <c r="FF34" s="5">
        <f t="shared" si="131"/>
        <v>89.122133100274169</v>
      </c>
      <c r="FI34" s="562">
        <f t="shared" si="94"/>
        <v>-50</v>
      </c>
      <c r="FJ34">
        <f t="shared" si="95"/>
        <v>-50</v>
      </c>
      <c r="FL34">
        <f t="shared" si="96"/>
        <v>0.57999999999999985</v>
      </c>
    </row>
    <row r="35" spans="5:168">
      <c r="E35" s="170">
        <v>30</v>
      </c>
      <c r="F35" s="217">
        <f t="shared" si="97"/>
        <v>3</v>
      </c>
      <c r="G35" s="217"/>
      <c r="H35" s="217">
        <f t="shared" si="0"/>
        <v>45</v>
      </c>
      <c r="I35" s="541">
        <f t="shared" si="1"/>
        <v>57.753268114390089</v>
      </c>
      <c r="J35" s="172">
        <f t="shared" si="2"/>
        <v>15.548039131365949</v>
      </c>
      <c r="K35" s="172">
        <f t="shared" si="3"/>
        <v>73.548039131365954</v>
      </c>
      <c r="L35" s="443"/>
      <c r="M35" s="217">
        <f t="shared" si="4"/>
        <v>0.21213242465171064</v>
      </c>
      <c r="N35" s="172">
        <f t="shared" si="5"/>
        <v>307.17174212440574</v>
      </c>
      <c r="O35" s="172">
        <f t="shared" si="98"/>
        <v>45</v>
      </c>
      <c r="P35" s="217">
        <f t="shared" si="6"/>
        <v>20.478116141627048</v>
      </c>
      <c r="Q35" s="217">
        <f t="shared" si="7"/>
        <v>15</v>
      </c>
      <c r="R35" s="217">
        <f t="shared" si="8"/>
        <v>20.418901327776496</v>
      </c>
      <c r="S35" s="172">
        <f t="shared" si="9"/>
        <v>423.57845315631721</v>
      </c>
      <c r="T35" s="172">
        <f t="shared" si="10"/>
        <v>15</v>
      </c>
      <c r="U35" s="217">
        <f t="shared" si="99"/>
        <v>7.6154929936640761</v>
      </c>
      <c r="V35" s="217">
        <f t="shared" si="11"/>
        <v>1.5823505562137834</v>
      </c>
      <c r="W35" s="217">
        <f t="shared" si="12"/>
        <v>5.8776489531474674</v>
      </c>
      <c r="X35" s="197">
        <f t="shared" si="13"/>
        <v>102.08436319744666</v>
      </c>
      <c r="Y35" s="443">
        <f t="shared" si="14"/>
        <v>130.54831123395041</v>
      </c>
      <c r="AA35" s="217">
        <f t="shared" si="15"/>
        <v>9.9999999999999982</v>
      </c>
      <c r="AB35" s="173">
        <f t="shared" si="16"/>
        <v>7.7180150491078408</v>
      </c>
      <c r="AC35" s="173">
        <f t="shared" si="17"/>
        <v>3.9394432571824192</v>
      </c>
      <c r="AD35" s="173"/>
      <c r="AE35" s="173">
        <f t="shared" si="18"/>
        <v>7.7180150491078416</v>
      </c>
      <c r="AF35" s="545">
        <f t="shared" si="100"/>
        <v>77.740195656829727</v>
      </c>
      <c r="AG35" s="528">
        <f t="shared" si="19"/>
        <v>3.9394432571824201</v>
      </c>
      <c r="AI35" s="173">
        <f t="shared" si="20"/>
        <v>4.7129061600439197</v>
      </c>
      <c r="AJ35" s="173">
        <f t="shared" si="21"/>
        <v>10</v>
      </c>
      <c r="AK35" s="173">
        <f t="shared" si="22"/>
        <v>1.0444229689467599</v>
      </c>
      <c r="AM35" s="545">
        <f t="shared" si="23"/>
        <v>3000</v>
      </c>
      <c r="AN35" s="460">
        <f t="shared" si="24"/>
        <v>77.740195656829727</v>
      </c>
      <c r="AP35">
        <f t="shared" si="25"/>
        <v>3000</v>
      </c>
      <c r="AQ35" s="460">
        <f t="shared" si="26"/>
        <v>77.740195656829727</v>
      </c>
      <c r="AR35" s="460"/>
      <c r="AS35" s="5">
        <f t="shared" si="101"/>
        <v>12.863358415179738</v>
      </c>
      <c r="AT35" s="5">
        <f t="shared" si="27"/>
        <v>2.0778044934586171</v>
      </c>
      <c r="AU35" s="5">
        <f t="shared" si="102"/>
        <v>10.785553921721121</v>
      </c>
      <c r="AV35" s="5">
        <f t="shared" si="28"/>
        <v>7.7180150491078416</v>
      </c>
      <c r="AW35" s="173">
        <f t="shared" si="103"/>
        <v>0.16152892785811288</v>
      </c>
      <c r="AX35" s="173">
        <f t="shared" si="29"/>
        <v>46.64411739409784</v>
      </c>
      <c r="AY35" s="173">
        <f t="shared" si="30"/>
        <v>4.1923553607094357</v>
      </c>
      <c r="AZ35" s="173">
        <f t="shared" si="104"/>
        <v>11.125993237893045</v>
      </c>
      <c r="BA35" s="460">
        <f t="shared" si="31"/>
        <v>41.556089869172339</v>
      </c>
      <c r="BB35" s="5">
        <f t="shared" si="32"/>
        <v>2.8978800521110801</v>
      </c>
      <c r="BC35" s="5"/>
      <c r="BD35" s="173">
        <f t="shared" si="105"/>
        <v>2.3204089284586087</v>
      </c>
      <c r="BE35" s="173">
        <f t="shared" si="33"/>
        <v>5.2866847587181622</v>
      </c>
      <c r="BF35" s="173"/>
      <c r="BG35" s="528">
        <f t="shared" si="34"/>
        <v>0.10768595190540857</v>
      </c>
      <c r="BH35" s="528">
        <f t="shared" si="35"/>
        <v>1.0720573035466046</v>
      </c>
      <c r="BI35" s="528">
        <f t="shared" si="36"/>
        <v>0.11224375907585077</v>
      </c>
      <c r="BJ35" s="528">
        <f t="shared" si="37"/>
        <v>4.2052113339899923E-2</v>
      </c>
      <c r="BK35">
        <f t="shared" si="38"/>
        <v>2.598897065147554E-2</v>
      </c>
      <c r="BL35" s="460">
        <f t="shared" si="106"/>
        <v>138.2327297273263</v>
      </c>
      <c r="BM35" s="528">
        <f t="shared" si="39"/>
        <v>1.2837159663802133</v>
      </c>
      <c r="BN35" s="460">
        <f t="shared" si="107"/>
        <v>1283.7159663802133</v>
      </c>
      <c r="BO35" s="528">
        <f t="shared" si="108"/>
        <v>1.8637499999999996</v>
      </c>
      <c r="BP35" s="528"/>
      <c r="BR35" s="460">
        <f t="shared" si="109"/>
        <v>1863.7499999999995</v>
      </c>
      <c r="BS35" s="528">
        <f t="shared" si="40"/>
        <v>0.16152892785811285</v>
      </c>
      <c r="BT35" s="528">
        <f t="shared" si="41"/>
        <v>0.83847107214188743</v>
      </c>
      <c r="BU35" s="528">
        <f t="shared" si="42"/>
        <v>0.67499999999999993</v>
      </c>
      <c r="BV35" s="528">
        <f t="shared" si="43"/>
        <v>2.081521739130435</v>
      </c>
      <c r="BW35" s="528">
        <f t="shared" si="44"/>
        <v>7.7740195656829736E-3</v>
      </c>
      <c r="BX35" s="460">
        <f t="shared" si="110"/>
        <v>2089.2957586961179</v>
      </c>
      <c r="BY35" s="173">
        <f t="shared" si="45"/>
        <v>5.3749944548036561</v>
      </c>
      <c r="BZ35" s="5">
        <f t="shared" si="111"/>
        <v>45</v>
      </c>
      <c r="CA35" s="173">
        <f t="shared" si="112"/>
        <v>0.89330034647197654</v>
      </c>
      <c r="CB35" s="5">
        <f t="shared" si="113"/>
        <v>89.33003464719765</v>
      </c>
      <c r="CE35" s="562">
        <f t="shared" si="46"/>
        <v>-50</v>
      </c>
      <c r="CF35">
        <f t="shared" si="47"/>
        <v>-50</v>
      </c>
      <c r="CG35" s="173">
        <f t="shared" si="48"/>
        <v>0.60794736614282663</v>
      </c>
      <c r="CI35" s="170">
        <v>30</v>
      </c>
      <c r="CJ35" s="217">
        <f t="shared" si="114"/>
        <v>3</v>
      </c>
      <c r="CK35" s="217"/>
      <c r="CL35" s="217">
        <f t="shared" si="49"/>
        <v>45</v>
      </c>
      <c r="CM35" s="541">
        <f t="shared" si="50"/>
        <v>58</v>
      </c>
      <c r="CN35" s="172">
        <f t="shared" si="51"/>
        <v>15.4</v>
      </c>
      <c r="CO35" s="443">
        <f t="shared" si="52"/>
        <v>73.400000000000006</v>
      </c>
      <c r="CP35" s="443"/>
      <c r="CQ35" s="217">
        <f t="shared" si="53"/>
        <v>0.2098092643051771</v>
      </c>
      <c r="CR35" s="172">
        <f t="shared" si="54"/>
        <v>305.10568119891008</v>
      </c>
      <c r="CS35" s="172">
        <f t="shared" si="115"/>
        <v>45</v>
      </c>
      <c r="CT35" s="217">
        <f t="shared" si="55"/>
        <v>20.340378746594006</v>
      </c>
      <c r="CU35" s="217">
        <f t="shared" si="56"/>
        <v>15</v>
      </c>
      <c r="CV35" s="217">
        <f t="shared" si="57"/>
        <v>20.281562216167121</v>
      </c>
      <c r="CW35" s="172">
        <f t="shared" si="58"/>
        <v>425.38782056589235</v>
      </c>
      <c r="CX35" s="172">
        <f t="shared" si="59"/>
        <v>15</v>
      </c>
      <c r="CY35" s="217">
        <f t="shared" si="60"/>
        <v>7.3958799820868792</v>
      </c>
      <c r="CZ35" s="217">
        <f t="shared" si="61"/>
        <v>1.5301820652593543</v>
      </c>
      <c r="DA35" s="217">
        <f t="shared" si="62"/>
        <v>5.7630233626651011</v>
      </c>
      <c r="DB35" s="197">
        <f t="shared" si="63"/>
        <v>101.4078110808356</v>
      </c>
      <c r="DC35" s="443">
        <f t="shared" si="116"/>
        <v>137.11392197608592</v>
      </c>
      <c r="DE35" s="217">
        <f t="shared" si="64"/>
        <v>10</v>
      </c>
      <c r="DF35" s="173">
        <f t="shared" si="65"/>
        <v>7.7922077922077913</v>
      </c>
      <c r="DG35" s="173">
        <f t="shared" si="66"/>
        <v>3.9509536784741139</v>
      </c>
      <c r="DH35" s="173"/>
      <c r="DI35" s="173">
        <f t="shared" si="67"/>
        <v>7.7922077922077913</v>
      </c>
      <c r="DJ35" s="545">
        <f t="shared" si="117"/>
        <v>77</v>
      </c>
      <c r="DK35" s="528">
        <f t="shared" si="68"/>
        <v>3.9509536784741139</v>
      </c>
      <c r="DM35" s="173">
        <f t="shared" si="69"/>
        <v>4.6904157598234297</v>
      </c>
      <c r="DN35" s="173">
        <f t="shared" si="70"/>
        <v>10</v>
      </c>
      <c r="DO35" s="173">
        <f t="shared" si="71"/>
        <v>1.044</v>
      </c>
      <c r="DQ35" s="545">
        <f t="shared" si="72"/>
        <v>3000</v>
      </c>
      <c r="DR35" s="460">
        <f t="shared" si="73"/>
        <v>77</v>
      </c>
      <c r="DT35">
        <f t="shared" si="74"/>
        <v>3000</v>
      </c>
      <c r="DU35" s="460">
        <f t="shared" si="75"/>
        <v>77</v>
      </c>
      <c r="DV35" s="460"/>
      <c r="DW35" s="5">
        <f t="shared" si="118"/>
        <v>12.987012987012989</v>
      </c>
      <c r="DX35" s="5">
        <f t="shared" si="76"/>
        <v>2.068965517241379</v>
      </c>
      <c r="DY35" s="5">
        <f t="shared" si="119"/>
        <v>10.91804746977161</v>
      </c>
      <c r="DZ35" s="5">
        <f t="shared" si="77"/>
        <v>7.7922077922077913</v>
      </c>
      <c r="EA35" s="173">
        <f t="shared" si="120"/>
        <v>0.15931034482758616</v>
      </c>
      <c r="EB35" s="173">
        <f t="shared" si="78"/>
        <v>46.2</v>
      </c>
      <c r="EC35" s="173">
        <f t="shared" si="79"/>
        <v>4.203448275862069</v>
      </c>
      <c r="ED35" s="173">
        <f t="shared" si="121"/>
        <v>10.990976210008204</v>
      </c>
      <c r="EE35" s="460">
        <f t="shared" si="80"/>
        <v>41.37931034482758</v>
      </c>
      <c r="EF35" s="5">
        <f t="shared" si="81"/>
        <v>2.9209996203312865</v>
      </c>
      <c r="EG35" s="5"/>
      <c r="EH35" s="173">
        <f t="shared" si="122"/>
        <v>2.3044185443591201</v>
      </c>
      <c r="EI35" s="173">
        <f t="shared" si="82"/>
        <v>5.2936743860712792</v>
      </c>
      <c r="EJ35" s="173"/>
      <c r="EK35" s="528">
        <f t="shared" si="83"/>
        <v>0.10620689655172411</v>
      </c>
      <c r="EL35" s="528">
        <f t="shared" si="84"/>
        <v>1.13036</v>
      </c>
      <c r="EM35" s="528">
        <f t="shared" si="85"/>
        <v>9.6249999999999999E-3</v>
      </c>
      <c r="EN35" s="528">
        <f t="shared" si="86"/>
        <v>4.1484212000000006E-2</v>
      </c>
      <c r="EO35">
        <f t="shared" si="87"/>
        <v>2.6099999999999998E-2</v>
      </c>
      <c r="EP35" s="460">
        <f t="shared" si="123"/>
        <v>35.725000000000001</v>
      </c>
      <c r="EQ35" s="528">
        <f t="shared" si="88"/>
        <v>1.3772054168869379</v>
      </c>
      <c r="ER35" s="460">
        <f t="shared" si="124"/>
        <v>1377.2054168869379</v>
      </c>
      <c r="ES35" s="528">
        <f t="shared" si="125"/>
        <v>1.8637499999999996</v>
      </c>
      <c r="ET35" s="528"/>
      <c r="EV35" s="460">
        <f t="shared" si="126"/>
        <v>1863.7499999999995</v>
      </c>
      <c r="EW35" s="528">
        <f t="shared" si="89"/>
        <v>0.15931034482758616</v>
      </c>
      <c r="EX35" s="528">
        <f t="shared" si="90"/>
        <v>0.84068965517241401</v>
      </c>
      <c r="EY35" s="528">
        <f t="shared" si="91"/>
        <v>0.82261536531358459</v>
      </c>
      <c r="EZ35" s="528">
        <f t="shared" si="92"/>
        <v>2.2419732231669403</v>
      </c>
      <c r="FA35" s="528">
        <f t="shared" si="93"/>
        <v>7.7000000000000011E-3</v>
      </c>
      <c r="FB35" s="460">
        <f t="shared" si="127"/>
        <v>2249.6732231669403</v>
      </c>
      <c r="FC35" s="173">
        <f t="shared" si="128"/>
        <v>5.4906286400538775</v>
      </c>
      <c r="FD35" s="5">
        <f t="shared" si="129"/>
        <v>45</v>
      </c>
      <c r="FE35" s="173">
        <f t="shared" si="130"/>
        <v>0.89125450033121201</v>
      </c>
      <c r="FF35" s="5">
        <f t="shared" si="131"/>
        <v>89.125450033121197</v>
      </c>
      <c r="FI35" s="562">
        <f t="shared" si="94"/>
        <v>-50</v>
      </c>
      <c r="FJ35">
        <f t="shared" si="95"/>
        <v>-50</v>
      </c>
      <c r="FL35">
        <f t="shared" si="96"/>
        <v>0.6</v>
      </c>
    </row>
    <row r="36" spans="5:168">
      <c r="E36" s="170">
        <v>31</v>
      </c>
      <c r="F36" s="217">
        <f t="shared" si="97"/>
        <v>3.1</v>
      </c>
      <c r="G36" s="217"/>
      <c r="H36" s="217">
        <f t="shared" si="0"/>
        <v>46.5</v>
      </c>
      <c r="I36" s="541">
        <f t="shared" si="1"/>
        <v>57.753268114390089</v>
      </c>
      <c r="J36" s="172">
        <f t="shared" si="2"/>
        <v>15.548039131365949</v>
      </c>
      <c r="K36" s="172">
        <f t="shared" si="3"/>
        <v>73.548039131365954</v>
      </c>
      <c r="L36" s="443"/>
      <c r="M36" s="217">
        <f t="shared" si="4"/>
        <v>0.21213242465171064</v>
      </c>
      <c r="N36" s="172">
        <f t="shared" si="5"/>
        <v>307.17174212440574</v>
      </c>
      <c r="O36" s="172">
        <f t="shared" si="98"/>
        <v>46.5</v>
      </c>
      <c r="P36" s="217">
        <f t="shared" si="6"/>
        <v>20.478116141627048</v>
      </c>
      <c r="Q36" s="217">
        <f t="shared" si="7"/>
        <v>15</v>
      </c>
      <c r="R36" s="217">
        <f t="shared" si="8"/>
        <v>20.418901327776496</v>
      </c>
      <c r="S36" s="172">
        <f t="shared" si="9"/>
        <v>408.05545181395183</v>
      </c>
      <c r="T36" s="172">
        <f t="shared" si="10"/>
        <v>15</v>
      </c>
      <c r="U36" s="217">
        <f t="shared" si="99"/>
        <v>7.8693427601195456</v>
      </c>
      <c r="V36" s="217">
        <f t="shared" si="11"/>
        <v>1.6350955747542428</v>
      </c>
      <c r="W36" s="217">
        <f t="shared" si="12"/>
        <v>6.0735705849190493</v>
      </c>
      <c r="X36" s="197">
        <f t="shared" si="13"/>
        <v>102.08436319744666</v>
      </c>
      <c r="Y36" s="443">
        <f t="shared" si="14"/>
        <v>126.44357212838911</v>
      </c>
      <c r="AA36" s="217">
        <f t="shared" si="15"/>
        <v>9.9999999999999982</v>
      </c>
      <c r="AB36" s="173">
        <f t="shared" si="16"/>
        <v>7.7180150491078408</v>
      </c>
      <c r="AC36" s="173">
        <f t="shared" si="17"/>
        <v>3.9394432571824192</v>
      </c>
      <c r="AD36" s="173"/>
      <c r="AE36" s="173">
        <f t="shared" si="18"/>
        <v>7.7180150491078416</v>
      </c>
      <c r="AF36" s="545">
        <f t="shared" si="100"/>
        <v>80.3315355120574</v>
      </c>
      <c r="AG36" s="528">
        <f t="shared" si="19"/>
        <v>3.9394432571824201</v>
      </c>
      <c r="AI36" s="173">
        <f t="shared" si="20"/>
        <v>4.7908107131423234</v>
      </c>
      <c r="AJ36" s="173">
        <f t="shared" si="21"/>
        <v>10</v>
      </c>
      <c r="AK36" s="173">
        <f t="shared" si="22"/>
        <v>1.0459037345783184</v>
      </c>
      <c r="AM36" s="545">
        <f t="shared" si="23"/>
        <v>3100</v>
      </c>
      <c r="AN36" s="460">
        <f t="shared" si="24"/>
        <v>80.3315355120574</v>
      </c>
      <c r="AP36">
        <f t="shared" si="25"/>
        <v>3100</v>
      </c>
      <c r="AQ36" s="460">
        <f t="shared" si="26"/>
        <v>80.3315355120574</v>
      </c>
      <c r="AR36" s="460"/>
      <c r="AS36" s="5">
        <f t="shared" si="101"/>
        <v>12.448411369528777</v>
      </c>
      <c r="AT36" s="5">
        <f t="shared" si="27"/>
        <v>2.0778044934586171</v>
      </c>
      <c r="AU36" s="5">
        <f t="shared" si="102"/>
        <v>10.370606876070161</v>
      </c>
      <c r="AV36" s="5">
        <f t="shared" si="28"/>
        <v>7.7180150491078416</v>
      </c>
      <c r="AW36" s="173">
        <f t="shared" si="103"/>
        <v>0.16691322545338333</v>
      </c>
      <c r="AX36" s="173">
        <f t="shared" si="29"/>
        <v>48.198921307234443</v>
      </c>
      <c r="AY36" s="173">
        <f t="shared" si="30"/>
        <v>4.1654338727330833</v>
      </c>
      <c r="AZ36" s="173">
        <f t="shared" si="104"/>
        <v>11.571164680525701</v>
      </c>
      <c r="BA36" s="460">
        <f t="shared" si="31"/>
        <v>42.941292864811423</v>
      </c>
      <c r="BB36" s="5">
        <f t="shared" si="32"/>
        <v>2.8792711231755765</v>
      </c>
      <c r="BC36" s="5"/>
      <c r="BD36" s="173">
        <f t="shared" si="105"/>
        <v>2.3587653935437167</v>
      </c>
      <c r="BE36" s="173">
        <f t="shared" si="33"/>
        <v>5.2696830219239832</v>
      </c>
      <c r="BF36" s="173"/>
      <c r="BG36" s="528">
        <f t="shared" si="34"/>
        <v>0.11127548363558891</v>
      </c>
      <c r="BH36" s="528">
        <f t="shared" si="35"/>
        <v>1.1077925469981584</v>
      </c>
      <c r="BI36" s="528">
        <f t="shared" si="36"/>
        <v>0.11598521771171248</v>
      </c>
      <c r="BJ36" s="528">
        <f t="shared" si="37"/>
        <v>4.3453850451229924E-2</v>
      </c>
      <c r="BK36">
        <f t="shared" si="38"/>
        <v>2.598897065147554E-2</v>
      </c>
      <c r="BL36" s="460">
        <f t="shared" si="106"/>
        <v>141.97418836318803</v>
      </c>
      <c r="BM36" s="528">
        <f t="shared" si="39"/>
        <v>1.3276685637276739</v>
      </c>
      <c r="BN36" s="460">
        <f t="shared" si="107"/>
        <v>1327.6685637276739</v>
      </c>
      <c r="BO36" s="528">
        <f t="shared" si="108"/>
        <v>1.9258749999999998</v>
      </c>
      <c r="BP36" s="528"/>
      <c r="BR36" s="460">
        <f t="shared" si="109"/>
        <v>1925.8749999999998</v>
      </c>
      <c r="BS36" s="528">
        <f t="shared" si="40"/>
        <v>0.16691322545338336</v>
      </c>
      <c r="BT36" s="528">
        <f t="shared" si="41"/>
        <v>0.8330867745466165</v>
      </c>
      <c r="BU36" s="528">
        <f t="shared" si="42"/>
        <v>0.69750000000000001</v>
      </c>
      <c r="BV36" s="528">
        <f t="shared" si="43"/>
        <v>2.105978260869565</v>
      </c>
      <c r="BW36" s="528">
        <f t="shared" si="44"/>
        <v>8.0331535512057402E-3</v>
      </c>
      <c r="BX36" s="460">
        <f t="shared" si="110"/>
        <v>2114.0114144207705</v>
      </c>
      <c r="BY36" s="173">
        <f t="shared" si="45"/>
        <v>5.5095291665116335</v>
      </c>
      <c r="BZ36" s="5">
        <f t="shared" si="111"/>
        <v>46.5</v>
      </c>
      <c r="CA36" s="173">
        <f t="shared" si="112"/>
        <v>0.89406692860316916</v>
      </c>
      <c r="CB36" s="5">
        <f t="shared" si="113"/>
        <v>89.406692860316923</v>
      </c>
      <c r="CE36" s="562">
        <f t="shared" si="46"/>
        <v>-50</v>
      </c>
      <c r="CF36">
        <f t="shared" si="47"/>
        <v>-50</v>
      </c>
      <c r="CG36" s="173">
        <f t="shared" si="48"/>
        <v>0.62821227834758753</v>
      </c>
      <c r="CI36" s="170">
        <v>31</v>
      </c>
      <c r="CJ36" s="217">
        <f t="shared" si="114"/>
        <v>3.1</v>
      </c>
      <c r="CK36" s="217"/>
      <c r="CL36" s="217">
        <f t="shared" si="49"/>
        <v>46.5</v>
      </c>
      <c r="CM36" s="541">
        <f t="shared" si="50"/>
        <v>58</v>
      </c>
      <c r="CN36" s="172">
        <f t="shared" si="51"/>
        <v>15.4</v>
      </c>
      <c r="CO36" s="443">
        <f t="shared" si="52"/>
        <v>73.400000000000006</v>
      </c>
      <c r="CP36" s="443"/>
      <c r="CQ36" s="217">
        <f t="shared" si="53"/>
        <v>0.2098092643051771</v>
      </c>
      <c r="CR36" s="172">
        <f t="shared" si="54"/>
        <v>305.10568119891008</v>
      </c>
      <c r="CS36" s="172">
        <f t="shared" si="115"/>
        <v>46.5</v>
      </c>
      <c r="CT36" s="217">
        <f t="shared" si="55"/>
        <v>20.340378746594006</v>
      </c>
      <c r="CU36" s="217">
        <f t="shared" si="56"/>
        <v>15</v>
      </c>
      <c r="CV36" s="217">
        <f t="shared" si="57"/>
        <v>20.281562216167121</v>
      </c>
      <c r="CW36" s="172">
        <f t="shared" si="58"/>
        <v>409.79849346828445</v>
      </c>
      <c r="CX36" s="172">
        <f t="shared" si="59"/>
        <v>15</v>
      </c>
      <c r="CY36" s="217">
        <f t="shared" si="60"/>
        <v>7.6424093148231078</v>
      </c>
      <c r="CZ36" s="217">
        <f t="shared" si="61"/>
        <v>1.5811881341013325</v>
      </c>
      <c r="DA36" s="217">
        <f t="shared" si="62"/>
        <v>5.9551241414206029</v>
      </c>
      <c r="DB36" s="197">
        <f t="shared" si="63"/>
        <v>101.4078110808356</v>
      </c>
      <c r="DC36" s="443">
        <f t="shared" si="116"/>
        <v>132.69089223492188</v>
      </c>
      <c r="DE36" s="217">
        <f t="shared" si="64"/>
        <v>10</v>
      </c>
      <c r="DF36" s="173">
        <f t="shared" si="65"/>
        <v>7.7922077922077913</v>
      </c>
      <c r="DG36" s="173">
        <f t="shared" si="66"/>
        <v>3.9509536784741139</v>
      </c>
      <c r="DH36" s="173"/>
      <c r="DI36" s="173">
        <f t="shared" si="67"/>
        <v>7.7922077922077913</v>
      </c>
      <c r="DJ36" s="545">
        <f t="shared" si="117"/>
        <v>79.566666666666677</v>
      </c>
      <c r="DK36" s="528">
        <f t="shared" si="68"/>
        <v>3.9509536784741139</v>
      </c>
      <c r="DM36" s="173">
        <f t="shared" si="69"/>
        <v>4.7679485455836597</v>
      </c>
      <c r="DN36" s="173">
        <f t="shared" si="70"/>
        <v>10</v>
      </c>
      <c r="DO36" s="173">
        <f t="shared" si="71"/>
        <v>1.0454666666666668</v>
      </c>
      <c r="DQ36" s="545">
        <f t="shared" si="72"/>
        <v>3100</v>
      </c>
      <c r="DR36" s="460">
        <f t="shared" si="73"/>
        <v>79.566666666666677</v>
      </c>
      <c r="DT36">
        <f t="shared" si="74"/>
        <v>3100</v>
      </c>
      <c r="DU36" s="460">
        <f t="shared" si="75"/>
        <v>79.566666666666677</v>
      </c>
      <c r="DV36" s="460"/>
      <c r="DW36" s="5">
        <f t="shared" si="118"/>
        <v>12.568077084206115</v>
      </c>
      <c r="DX36" s="5">
        <f t="shared" si="76"/>
        <v>2.068965517241379</v>
      </c>
      <c r="DY36" s="5">
        <f t="shared" si="119"/>
        <v>10.499111566964736</v>
      </c>
      <c r="DZ36" s="5">
        <f t="shared" si="77"/>
        <v>7.7922077922077913</v>
      </c>
      <c r="EA36" s="173">
        <f t="shared" si="120"/>
        <v>0.1646206896551724</v>
      </c>
      <c r="EB36" s="173">
        <f t="shared" si="78"/>
        <v>47.740000000000009</v>
      </c>
      <c r="EC36" s="173">
        <f t="shared" si="79"/>
        <v>4.1768965517241377</v>
      </c>
      <c r="ED36" s="173">
        <f t="shared" si="121"/>
        <v>11.429538512342114</v>
      </c>
      <c r="EE36" s="460">
        <f t="shared" si="80"/>
        <v>42.75862068965516</v>
      </c>
      <c r="EF36" s="5">
        <f t="shared" si="81"/>
        <v>2.9025486793332944</v>
      </c>
      <c r="EG36" s="5"/>
      <c r="EH36" s="173">
        <f t="shared" si="122"/>
        <v>2.3425106876680584</v>
      </c>
      <c r="EI36" s="173">
        <f t="shared" si="82"/>
        <v>5.2769287480024074</v>
      </c>
      <c r="EJ36" s="173"/>
      <c r="EK36" s="528">
        <f t="shared" si="83"/>
        <v>0.1097471264367816</v>
      </c>
      <c r="EL36" s="528">
        <f t="shared" si="84"/>
        <v>1.1680386666666669</v>
      </c>
      <c r="EM36" s="528">
        <f t="shared" si="85"/>
        <v>9.9458333333333343E-3</v>
      </c>
      <c r="EN36" s="528">
        <f t="shared" si="86"/>
        <v>4.2867019066666678E-2</v>
      </c>
      <c r="EO36">
        <f t="shared" si="87"/>
        <v>2.6099999999999998E-2</v>
      </c>
      <c r="EP36" s="460">
        <f t="shared" si="123"/>
        <v>36.045833333333334</v>
      </c>
      <c r="EQ36" s="528">
        <f t="shared" si="88"/>
        <v>1.4234480840792294</v>
      </c>
      <c r="ER36" s="460">
        <f t="shared" si="124"/>
        <v>1423.4480840792294</v>
      </c>
      <c r="ES36" s="528">
        <f t="shared" si="125"/>
        <v>1.9258749999999998</v>
      </c>
      <c r="ET36" s="528"/>
      <c r="EV36" s="460">
        <f t="shared" si="126"/>
        <v>1925.8749999999998</v>
      </c>
      <c r="EW36" s="528">
        <f t="shared" si="89"/>
        <v>0.1646206896551724</v>
      </c>
      <c r="EX36" s="528">
        <f t="shared" si="90"/>
        <v>0.8353793103448276</v>
      </c>
      <c r="EY36" s="528">
        <f t="shared" si="91"/>
        <v>0.89288990949903424</v>
      </c>
      <c r="EZ36" s="528">
        <f t="shared" si="92"/>
        <v>2.3183585972815588</v>
      </c>
      <c r="FA36" s="528">
        <f t="shared" si="93"/>
        <v>7.9566666666666674E-3</v>
      </c>
      <c r="FB36" s="460">
        <f t="shared" si="127"/>
        <v>2326.3152639482255</v>
      </c>
      <c r="FC36" s="173">
        <f t="shared" si="128"/>
        <v>5.675638348027455</v>
      </c>
      <c r="FD36" s="5">
        <f t="shared" si="129"/>
        <v>46.5</v>
      </c>
      <c r="FE36" s="173">
        <f t="shared" si="130"/>
        <v>0.89122052881903979</v>
      </c>
      <c r="FF36" s="5">
        <f t="shared" si="131"/>
        <v>89.122052881903983</v>
      </c>
      <c r="FI36" s="562">
        <f t="shared" si="94"/>
        <v>-50</v>
      </c>
      <c r="FJ36">
        <f t="shared" si="95"/>
        <v>-50</v>
      </c>
      <c r="FL36">
        <f t="shared" si="96"/>
        <v>0.62</v>
      </c>
    </row>
    <row r="37" spans="5:168">
      <c r="E37" s="170">
        <v>32</v>
      </c>
      <c r="F37" s="217">
        <f t="shared" si="97"/>
        <v>3.2</v>
      </c>
      <c r="G37" s="217"/>
      <c r="H37" s="217">
        <f t="shared" ref="H37:H68" si="132">F37*Vout</f>
        <v>48</v>
      </c>
      <c r="I37" s="541">
        <f t="shared" ref="I37:I68" si="133">Vin-F37*(Rdcr_pri+RON/1000)/CG37/Nps</f>
        <v>57.753268114390089</v>
      </c>
      <c r="J37" s="172">
        <f t="shared" ref="J37:J68" si="134">(T37+Vfwd1+F37/CG37*Rdcr_sec)*Nps</f>
        <v>15.548039131365949</v>
      </c>
      <c r="K37" s="172">
        <f t="shared" ref="K37:K68" si="135">(Vout+Vfwd1+F37/CG37*Rdcr_sec)*Nps+VIN_nom</f>
        <v>73.548039131365954</v>
      </c>
      <c r="L37" s="443"/>
      <c r="M37" s="217">
        <f t="shared" ref="M37:M68" si="136">(Vout+Vfwd1+F37/FL37*Rdcr_sec)*Nps/((Vout+Vfwd1+F37/FL37*Rdcr_sec)*Nps+I37)</f>
        <v>0.21213242465171064</v>
      </c>
      <c r="N37" s="172">
        <f t="shared" ref="N37:N68" si="137">M37*I37*(Isw_max+VIN_nom/Lmag*ILIM_delay)*0.5*Efficiency</f>
        <v>307.17174212440574</v>
      </c>
      <c r="O37" s="172">
        <f t="shared" si="98"/>
        <v>48</v>
      </c>
      <c r="P37" s="217">
        <f t="shared" ref="P37:P68" si="138">N37/Vout</f>
        <v>20.478116141627048</v>
      </c>
      <c r="Q37" s="217">
        <f t="shared" ref="Q37:Q68" si="139">MIN(Vout,N37/F37)</f>
        <v>15</v>
      </c>
      <c r="R37" s="217">
        <f t="shared" ref="R37:R68" si="140">Isw_max/2*I37*Nps*(Q37+Vfwd1+F37/FL37*Rdcr_sec)/Q37/(I37+Nps*(Q37+Vfwd1+F37/FL37*Rdcr_sec))</f>
        <v>20.418901327776496</v>
      </c>
      <c r="S37" s="172">
        <f t="shared" ref="S37:S68" si="141">(SQRT(Isw_max^2*Nps^2*I37^2+4*Isw_max*F37/Efficiency*(Nps^2*Vfwd1*I37-Nps*I37^2)+4*(F37/Efficiency)^2*Nps^2*Vfwd1^2+8*(F37/Efficiency)^2*Nps*Vfwd1*I37+4*(F37/Efficiency)^2*I37^2)-2*F37/Efficiency*I37-2*F37/Efficiency*Nps*Vfwd1+Isw_max*Nps*I37)/(4*F37/Efficiency*Nps)</f>
        <v>393.50278625913614</v>
      </c>
      <c r="T37" s="172">
        <f t="shared" ref="T37:T68" si="142">MIN(Vout, S37)</f>
        <v>15</v>
      </c>
      <c r="U37" s="217">
        <f t="shared" ref="U37:U68" si="143">MIN(2*(Vout+Vfwd1+F37/FL37*Rdcr_sec)*F37/(I37*M37), Isw_max)</f>
        <v>8.1231925265750142</v>
      </c>
      <c r="V37" s="217">
        <f t="shared" si="11"/>
        <v>1.6878405932947023</v>
      </c>
      <c r="W37" s="217">
        <f t="shared" ref="W37:W68" si="144">L*U37/J37*1000000</f>
        <v>6.2694922166906313</v>
      </c>
      <c r="X37" s="197">
        <f t="shared" ref="X37:X68" si="145">IF(1/((350000*L)*(1/I37+1/J37))&gt;Isw_min, 350, 0.001/((Isw_min*L)*(1/I37+1/J37)))</f>
        <v>102.08436319744666</v>
      </c>
      <c r="Y37" s="443">
        <f t="shared" si="14"/>
        <v>122.58908926406768</v>
      </c>
      <c r="AA37" s="217">
        <f t="shared" ref="AA37:AA68" si="146">1/((X37*1000*L)*(1/I37+1/J37))</f>
        <v>9.9999999999999982</v>
      </c>
      <c r="AB37" s="173">
        <f t="shared" ref="AB37:AB68" si="147">L*AA37/J37*1000000</f>
        <v>7.7180150491078408</v>
      </c>
      <c r="AC37" s="173">
        <f t="shared" ref="AC37:AC68" si="148">0.5*AB37*AA37*Nps*X37/1000</f>
        <v>3.9394432571824192</v>
      </c>
      <c r="AD37" s="173"/>
      <c r="AE37" s="173">
        <f t="shared" ref="AE37:AE68" si="149">L*Isw_min/J37*1000000</f>
        <v>7.7180150491078416</v>
      </c>
      <c r="AF37" s="545">
        <f t="shared" ref="AF37:AF68" si="150">MAX(12, F37/(0.5*AE37/1000000*Isw_min*Nps)/1000)</f>
        <v>82.922875367285059</v>
      </c>
      <c r="AG37" s="528">
        <f t="shared" ref="AG37:AG68" si="151">0.5*AE37/1000000*Isw_min*Nps*X37*1000</f>
        <v>3.9394432571824201</v>
      </c>
      <c r="AI37" s="173">
        <f t="shared" ref="AI37:AI68" si="152">SQRT(F37/Efficiency/(0.5*L/J37*Fsw_DCM*Nps))</f>
        <v>4.8674685520235865</v>
      </c>
      <c r="AJ37" s="173">
        <f t="shared" ref="AJ37:AJ71" si="153">MAX(IF(F37&gt;AC37,U37,AI37),Isw_min)</f>
        <v>10</v>
      </c>
      <c r="AK37" s="173">
        <f t="shared" ref="AK37:AK68" si="154">IF(F37&gt;AG37, (AJ37-Isw_min)/1.08*0.8+1.2, AF37*0.2/350+1)</f>
        <v>1.0473845002098772</v>
      </c>
      <c r="AM37" s="545">
        <f t="shared" ref="AM37:AM68" si="155">F37*1000</f>
        <v>3200</v>
      </c>
      <c r="AN37" s="460">
        <f t="shared" ref="AN37:AN68" si="156">IF(F37&gt;AG37, Y37, AF37)</f>
        <v>82.922875367285059</v>
      </c>
      <c r="AP37">
        <f t="shared" ref="AP37:AP68" si="157">IF(H37&gt;N37, "",AM37)</f>
        <v>3200</v>
      </c>
      <c r="AQ37" s="460">
        <f t="shared" ref="AQ37:AQ68" si="158">IF(H37&gt;N37, "",AN37)</f>
        <v>82.922875367285059</v>
      </c>
      <c r="AR37" s="460"/>
      <c r="AS37" s="5">
        <f t="shared" si="101"/>
        <v>12.059398514231003</v>
      </c>
      <c r="AT37" s="5">
        <f t="shared" ref="AT37:AT68" si="159">L*AJ37/I37*1000000</f>
        <v>2.0778044934586171</v>
      </c>
      <c r="AU37" s="5">
        <f t="shared" si="102"/>
        <v>9.9815940207723859</v>
      </c>
      <c r="AV37" s="5">
        <f t="shared" ref="AV37:AV68" si="160">L*AJ37/J37*1000000</f>
        <v>7.7180150491078416</v>
      </c>
      <c r="AW37" s="173">
        <f t="shared" si="103"/>
        <v>0.17229752304865376</v>
      </c>
      <c r="AX37" s="173">
        <f t="shared" ref="AX37:AX68" si="161">0.5*L*AJ37^2*AN37*1000</f>
        <v>49.753725220371038</v>
      </c>
      <c r="AY37" s="173">
        <f t="shared" ref="AY37:AY68" si="162">AJ37*Nps/2*(1-AW37)</f>
        <v>4.1385123847567309</v>
      </c>
      <c r="AZ37" s="173">
        <f t="shared" si="104"/>
        <v>12.022127903646627</v>
      </c>
      <c r="BA37" s="460">
        <f t="shared" ref="BA37:BA68" si="163">F37*AT37/Vout_ripple*1000</f>
        <v>44.326495860450493</v>
      </c>
      <c r="BB37" s="5">
        <f t="shared" ref="BB37:BB68" si="164">H37/Efficiency/I37*AU37/Vinripple1</f>
        <v>2.8606621942400725</v>
      </c>
      <c r="BC37" s="5"/>
      <c r="BD37" s="173">
        <f t="shared" si="105"/>
        <v>2.3965080363496503</v>
      </c>
      <c r="BE37" s="173">
        <f t="shared" ref="BE37:BE68" si="165">AJ37*Nps*SQRT((1-AW37)/3)</f>
        <v>5.2526262540794653</v>
      </c>
      <c r="BF37" s="173"/>
      <c r="BG37" s="528">
        <f t="shared" ref="BG37:BG68" si="166">Rdson*BD37^2</f>
        <v>0.11486501536576914</v>
      </c>
      <c r="BH37" s="528">
        <f t="shared" ref="BH37:BH68" si="167">0.5*K37*AJ37*AN37*1000*Tfall</f>
        <v>1.1435277904497119</v>
      </c>
      <c r="BI37" s="528">
        <f t="shared" ref="BI37:BI68" si="168">Qg*Vdd*AN37*1000*0+Qg*I37*AN37*1000</f>
        <v>0.11972667634757418</v>
      </c>
      <c r="BJ37" s="528">
        <f t="shared" ref="BJ37:BJ68" si="169">0.5*(Coss+Csw)*K37^2*AN37*1000</f>
        <v>4.4855587562559925E-2</v>
      </c>
      <c r="BK37">
        <f t="shared" ref="BK37:BK68" si="170">I37*IQ</f>
        <v>2.598897065147554E-2</v>
      </c>
      <c r="BL37" s="460">
        <f t="shared" si="106"/>
        <v>145.71564699904971</v>
      </c>
      <c r="BM37" s="528">
        <f t="shared" ref="BM37:BM68" si="171">(BH37+BI37*0+BJ37+BK37*0+BG37*(1+RdsonTC*(Ta-25)))/(1-BG37*RdsonTC*ThetaJA)</f>
        <v>1.3716982365578108</v>
      </c>
      <c r="BN37" s="460">
        <f t="shared" si="107"/>
        <v>1371.6982365578108</v>
      </c>
      <c r="BO37" s="528">
        <f t="shared" ref="BO37:BO68" si="172">Vfwd2*F37*(1+Diode_TC/1000*(Ta-25))</f>
        <v>1.9879999999999998</v>
      </c>
      <c r="BP37" s="528"/>
      <c r="BR37" s="460">
        <f t="shared" si="109"/>
        <v>1987.9999999999998</v>
      </c>
      <c r="BS37" s="528">
        <f t="shared" ref="BS37:BS68" si="173">Rdcr_pri*BD37^2</f>
        <v>0.1722975230486537</v>
      </c>
      <c r="BT37" s="528">
        <f t="shared" ref="BT37:BT68" si="174">Rdcr_sec*BE37^2</f>
        <v>0.82770247695134613</v>
      </c>
      <c r="BU37" s="528">
        <f t="shared" ref="BU37:BU68" si="175">AJ37^2.5*AN37^2.5*k_core*0+BZ37*0.015</f>
        <v>0.72</v>
      </c>
      <c r="BV37" s="528">
        <f t="shared" ref="BV37:BV68" si="176">(BU37+(BS37+BT37)*(1+Ltc*(Ta-25)))/(1-(BS37+BT37)*Ltc*ThetaCa)</f>
        <v>2.1304347826086953</v>
      </c>
      <c r="BW37" s="528">
        <f t="shared" ref="BW37:BW68" si="177">0.5*Lleak*0.000000001*AJ37^2*AN37*1000</f>
        <v>8.292287536728506E-3</v>
      </c>
      <c r="BX37" s="460">
        <f t="shared" si="110"/>
        <v>2138.727070145424</v>
      </c>
      <c r="BY37" s="173">
        <f t="shared" si="45"/>
        <v>5.6441409537022844</v>
      </c>
      <c r="BZ37" s="5">
        <f t="shared" si="111"/>
        <v>48</v>
      </c>
      <c r="CA37" s="173">
        <f t="shared" si="112"/>
        <v>0.89478550959417036</v>
      </c>
      <c r="CB37" s="5">
        <f t="shared" si="113"/>
        <v>89.478550959417035</v>
      </c>
      <c r="CE37" s="562">
        <f t="shared" ref="CE37:CE68" si="178">IF(ABS(F37-Ioutmax_Vinnom)&lt;Iout/200, AN37, -50)</f>
        <v>-50</v>
      </c>
      <c r="CF37">
        <f t="shared" ref="CF37:CF68" si="179">IF(ABS(F37-Ioutmax_Vinnom)&lt;Iout/200, N37*CA37, -50)</f>
        <v>-50</v>
      </c>
      <c r="CG37" s="173">
        <f t="shared" ref="CG37:CG68" si="180">MIN(SQRT(2*DU37*1000*Ls1_*CL37)/CU37,1-EA37-0.00000005*DU37*1000)</f>
        <v>0.64847719055234843</v>
      </c>
      <c r="CI37" s="170">
        <v>32</v>
      </c>
      <c r="CJ37" s="217">
        <f t="shared" si="114"/>
        <v>3.2</v>
      </c>
      <c r="CK37" s="217"/>
      <c r="CL37" s="217">
        <f t="shared" si="49"/>
        <v>48</v>
      </c>
      <c r="CM37" s="541">
        <f t="shared" si="50"/>
        <v>58</v>
      </c>
      <c r="CN37" s="172">
        <f t="shared" si="51"/>
        <v>15.4</v>
      </c>
      <c r="CO37" s="443">
        <f t="shared" si="52"/>
        <v>73.400000000000006</v>
      </c>
      <c r="CP37" s="443"/>
      <c r="CQ37" s="217">
        <f t="shared" si="53"/>
        <v>0.2098092643051771</v>
      </c>
      <c r="CR37" s="172">
        <f t="shared" si="54"/>
        <v>305.10568119891008</v>
      </c>
      <c r="CS37" s="172">
        <f t="shared" si="115"/>
        <v>48</v>
      </c>
      <c r="CT37" s="217">
        <f t="shared" si="55"/>
        <v>20.340378746594006</v>
      </c>
      <c r="CU37" s="217">
        <f t="shared" si="56"/>
        <v>15</v>
      </c>
      <c r="CV37" s="217">
        <f t="shared" si="57"/>
        <v>20.281562216167121</v>
      </c>
      <c r="CW37" s="172">
        <f t="shared" si="58"/>
        <v>395.18364752030436</v>
      </c>
      <c r="CX37" s="172">
        <f t="shared" si="59"/>
        <v>15</v>
      </c>
      <c r="CY37" s="217">
        <f t="shared" si="60"/>
        <v>7.8889386475593373</v>
      </c>
      <c r="CZ37" s="217">
        <f t="shared" si="61"/>
        <v>1.6321942029433114</v>
      </c>
      <c r="DA37" s="217">
        <f t="shared" si="62"/>
        <v>6.1472249201761073</v>
      </c>
      <c r="DB37" s="197">
        <f t="shared" si="63"/>
        <v>101.4078110808356</v>
      </c>
      <c r="DC37" s="443">
        <f t="shared" si="116"/>
        <v>128.54430185258053</v>
      </c>
      <c r="DE37" s="217">
        <f t="shared" si="64"/>
        <v>10</v>
      </c>
      <c r="DF37" s="173">
        <f t="shared" si="65"/>
        <v>7.7922077922077913</v>
      </c>
      <c r="DG37" s="173">
        <f t="shared" si="66"/>
        <v>3.9509536784741139</v>
      </c>
      <c r="DH37" s="173"/>
      <c r="DI37" s="173">
        <f t="shared" si="67"/>
        <v>7.7922077922077913</v>
      </c>
      <c r="DJ37" s="545">
        <f t="shared" si="117"/>
        <v>82.13333333333334</v>
      </c>
      <c r="DK37" s="528">
        <f t="shared" si="68"/>
        <v>3.9509536784741139</v>
      </c>
      <c r="DM37" s="173">
        <f t="shared" si="69"/>
        <v>4.8442405665559871</v>
      </c>
      <c r="DN37" s="173">
        <f t="shared" si="70"/>
        <v>10</v>
      </c>
      <c r="DO37" s="173">
        <f t="shared" si="71"/>
        <v>1.0469333333333333</v>
      </c>
      <c r="DQ37" s="545">
        <f t="shared" si="72"/>
        <v>3200</v>
      </c>
      <c r="DR37" s="460">
        <f t="shared" si="73"/>
        <v>82.13333333333334</v>
      </c>
      <c r="DT37">
        <f t="shared" si="74"/>
        <v>3200</v>
      </c>
      <c r="DU37" s="460">
        <f t="shared" si="75"/>
        <v>82.13333333333334</v>
      </c>
      <c r="DV37" s="460"/>
      <c r="DW37" s="5">
        <f t="shared" si="118"/>
        <v>12.175324675324674</v>
      </c>
      <c r="DX37" s="5">
        <f t="shared" si="76"/>
        <v>2.068965517241379</v>
      </c>
      <c r="DY37" s="5">
        <f t="shared" si="119"/>
        <v>10.106359158083295</v>
      </c>
      <c r="DZ37" s="5">
        <f t="shared" si="77"/>
        <v>7.7922077922077913</v>
      </c>
      <c r="EA37" s="173">
        <f t="shared" si="120"/>
        <v>0.16993103448275862</v>
      </c>
      <c r="EB37" s="173">
        <f t="shared" si="78"/>
        <v>49.280000000000008</v>
      </c>
      <c r="EC37" s="173">
        <f t="shared" si="79"/>
        <v>4.1503448275862072</v>
      </c>
      <c r="ED37" s="173">
        <f t="shared" si="121"/>
        <v>11.873712196743105</v>
      </c>
      <c r="EE37" s="460">
        <f t="shared" si="80"/>
        <v>44.137931034482754</v>
      </c>
      <c r="EF37" s="5">
        <f t="shared" si="81"/>
        <v>2.8840977383353037</v>
      </c>
      <c r="EG37" s="5"/>
      <c r="EH37" s="173">
        <f t="shared" si="122"/>
        <v>2.3799932386651763</v>
      </c>
      <c r="EI37" s="173">
        <f t="shared" si="82"/>
        <v>5.2601298004176078</v>
      </c>
      <c r="EJ37" s="173"/>
      <c r="EK37" s="528">
        <f t="shared" si="83"/>
        <v>0.1132873563218391</v>
      </c>
      <c r="EL37" s="528">
        <f t="shared" si="84"/>
        <v>1.2057173333333335</v>
      </c>
      <c r="EM37" s="528">
        <f t="shared" si="85"/>
        <v>1.0266666666666667E-2</v>
      </c>
      <c r="EN37" s="528">
        <f t="shared" si="86"/>
        <v>4.4249826133333343E-2</v>
      </c>
      <c r="EO37">
        <f t="shared" si="87"/>
        <v>2.6099999999999998E-2</v>
      </c>
      <c r="EP37" s="460">
        <f t="shared" si="123"/>
        <v>36.366666666666667</v>
      </c>
      <c r="EQ37" s="528">
        <f t="shared" si="88"/>
        <v>1.469770698041087</v>
      </c>
      <c r="ER37" s="460">
        <f t="shared" si="124"/>
        <v>1469.7706980410869</v>
      </c>
      <c r="ES37" s="528">
        <f t="shared" si="125"/>
        <v>1.9879999999999998</v>
      </c>
      <c r="ET37" s="528"/>
      <c r="EV37" s="460">
        <f t="shared" si="126"/>
        <v>1987.9999999999998</v>
      </c>
      <c r="EW37" s="528">
        <f t="shared" si="89"/>
        <v>0.16993103448275865</v>
      </c>
      <c r="EX37" s="528">
        <f t="shared" si="90"/>
        <v>0.83006896551724141</v>
      </c>
      <c r="EY37" s="528">
        <f t="shared" si="91"/>
        <v>0.96664859995214658</v>
      </c>
      <c r="EZ37" s="528">
        <f t="shared" si="92"/>
        <v>2.3985310869045069</v>
      </c>
      <c r="FA37" s="528">
        <f t="shared" si="93"/>
        <v>8.2133333333333346E-3</v>
      </c>
      <c r="FB37" s="460">
        <f t="shared" si="127"/>
        <v>2406.7444202378401</v>
      </c>
      <c r="FC37" s="173">
        <f t="shared" si="128"/>
        <v>5.8645151182789261</v>
      </c>
      <c r="FD37" s="5">
        <f t="shared" si="129"/>
        <v>48</v>
      </c>
      <c r="FE37" s="173">
        <f t="shared" si="130"/>
        <v>0.89112470231280705</v>
      </c>
      <c r="FF37" s="5">
        <f t="shared" si="131"/>
        <v>89.11247023128071</v>
      </c>
      <c r="FI37" s="562">
        <f t="shared" si="94"/>
        <v>-50</v>
      </c>
      <c r="FJ37">
        <f t="shared" si="95"/>
        <v>-50</v>
      </c>
      <c r="FL37">
        <f t="shared" ref="FL37:FL68" si="181">MIN(SQRT(2*L*DR37*1000*CJ37*(CX37+Vfwd1))/(Nps*(CX37+Vfwd1)), 1-EA37)</f>
        <v>0.64000000000000012</v>
      </c>
    </row>
    <row r="38" spans="5:168">
      <c r="E38" s="170">
        <v>33</v>
      </c>
      <c r="F38" s="217">
        <f t="shared" ref="F38:F69" si="182">IF(PLOT_TYPE=1, E38/100*Iout_max, min_I*EXP(N38*rr/100))</f>
        <v>3.3000000000000003</v>
      </c>
      <c r="G38" s="217"/>
      <c r="H38" s="217">
        <f t="shared" si="132"/>
        <v>49.500000000000007</v>
      </c>
      <c r="I38" s="541">
        <f t="shared" si="133"/>
        <v>57.753268114390089</v>
      </c>
      <c r="J38" s="172">
        <f t="shared" si="134"/>
        <v>15.548039131365949</v>
      </c>
      <c r="K38" s="172">
        <f t="shared" si="135"/>
        <v>73.548039131365954</v>
      </c>
      <c r="L38" s="443"/>
      <c r="M38" s="217">
        <f t="shared" si="136"/>
        <v>0.21213242465171064</v>
      </c>
      <c r="N38" s="172">
        <f t="shared" si="137"/>
        <v>307.17174212440574</v>
      </c>
      <c r="O38" s="172">
        <f t="shared" si="98"/>
        <v>49.500000000000007</v>
      </c>
      <c r="P38" s="217">
        <f t="shared" si="138"/>
        <v>20.478116141627048</v>
      </c>
      <c r="Q38" s="217">
        <f t="shared" si="139"/>
        <v>15</v>
      </c>
      <c r="R38" s="217">
        <f t="shared" si="140"/>
        <v>20.418901327776496</v>
      </c>
      <c r="S38" s="172">
        <f t="shared" si="141"/>
        <v>379.83224610941136</v>
      </c>
      <c r="T38" s="172">
        <f t="shared" si="142"/>
        <v>15</v>
      </c>
      <c r="U38" s="217">
        <f t="shared" si="143"/>
        <v>8.3770422930304829</v>
      </c>
      <c r="V38" s="217">
        <f t="shared" si="11"/>
        <v>1.7405856118351615</v>
      </c>
      <c r="W38" s="217">
        <f t="shared" si="144"/>
        <v>6.4654138484622123</v>
      </c>
      <c r="X38" s="197">
        <f t="shared" si="145"/>
        <v>102.08436319744666</v>
      </c>
      <c r="Y38" s="443">
        <f t="shared" si="14"/>
        <v>118.96265336717303</v>
      </c>
      <c r="AA38" s="217">
        <f t="shared" si="146"/>
        <v>9.9999999999999982</v>
      </c>
      <c r="AB38" s="173">
        <f t="shared" si="147"/>
        <v>7.7180150491078408</v>
      </c>
      <c r="AC38" s="173">
        <f t="shared" si="148"/>
        <v>3.9394432571824192</v>
      </c>
      <c r="AD38" s="173"/>
      <c r="AE38" s="173">
        <f t="shared" si="149"/>
        <v>7.7180150491078416</v>
      </c>
      <c r="AF38" s="545">
        <f t="shared" si="150"/>
        <v>85.514215222512703</v>
      </c>
      <c r="AG38" s="528">
        <f t="shared" si="151"/>
        <v>3.9394432571824201</v>
      </c>
      <c r="AI38" s="173">
        <f t="shared" si="152"/>
        <v>4.942937681249675</v>
      </c>
      <c r="AJ38" s="173">
        <f t="shared" si="153"/>
        <v>10</v>
      </c>
      <c r="AK38" s="173">
        <f t="shared" si="154"/>
        <v>1.0488652658414359</v>
      </c>
      <c r="AM38" s="545">
        <f t="shared" si="155"/>
        <v>3300.0000000000005</v>
      </c>
      <c r="AN38" s="460">
        <f t="shared" si="156"/>
        <v>85.514215222512703</v>
      </c>
      <c r="AP38">
        <f t="shared" si="157"/>
        <v>3300.0000000000005</v>
      </c>
      <c r="AQ38" s="460">
        <f t="shared" si="158"/>
        <v>85.514215222512703</v>
      </c>
      <c r="AR38" s="460"/>
      <c r="AS38" s="5">
        <f t="shared" si="101"/>
        <v>11.693962195617942</v>
      </c>
      <c r="AT38" s="5">
        <f t="shared" si="159"/>
        <v>2.0778044934586171</v>
      </c>
      <c r="AU38" s="5">
        <f t="shared" si="102"/>
        <v>9.6161577021593256</v>
      </c>
      <c r="AV38" s="5">
        <f t="shared" si="160"/>
        <v>7.7180150491078416</v>
      </c>
      <c r="AW38" s="173">
        <f t="shared" si="103"/>
        <v>0.17768182064392418</v>
      </c>
      <c r="AX38" s="173">
        <f t="shared" si="161"/>
        <v>51.308529133507626</v>
      </c>
      <c r="AY38" s="173">
        <f t="shared" si="162"/>
        <v>4.1115908967803794</v>
      </c>
      <c r="AZ38" s="173">
        <f t="shared" si="104"/>
        <v>12.478996675881655</v>
      </c>
      <c r="BA38" s="460">
        <f t="shared" si="163"/>
        <v>45.711698856089583</v>
      </c>
      <c r="BB38" s="5">
        <f t="shared" si="164"/>
        <v>2.8420532653045694</v>
      </c>
      <c r="BC38" s="5"/>
      <c r="BD38" s="173">
        <f t="shared" si="105"/>
        <v>2.4336654155404092</v>
      </c>
      <c r="BE38" s="173">
        <f t="shared" si="165"/>
        <v>5.2355139173280651</v>
      </c>
      <c r="BF38" s="173"/>
      <c r="BG38" s="528">
        <f t="shared" si="166"/>
        <v>0.11845454709594945</v>
      </c>
      <c r="BH38" s="528">
        <f t="shared" si="167"/>
        <v>1.1792630339012651</v>
      </c>
      <c r="BI38" s="528">
        <f t="shared" si="168"/>
        <v>0.12346813498343584</v>
      </c>
      <c r="BJ38" s="528">
        <f t="shared" si="169"/>
        <v>4.6257324673889912E-2</v>
      </c>
      <c r="BK38">
        <f t="shared" si="170"/>
        <v>2.598897065147554E-2</v>
      </c>
      <c r="BL38" s="460">
        <f t="shared" si="106"/>
        <v>149.45710563491139</v>
      </c>
      <c r="BM38" s="528">
        <f t="shared" si="171"/>
        <v>1.4158051877884397</v>
      </c>
      <c r="BN38" s="460">
        <f t="shared" si="107"/>
        <v>1415.8051877884398</v>
      </c>
      <c r="BO38" s="528">
        <f t="shared" si="172"/>
        <v>2.050125</v>
      </c>
      <c r="BP38" s="528"/>
      <c r="BR38" s="460">
        <f t="shared" si="109"/>
        <v>2050.125</v>
      </c>
      <c r="BS38" s="528">
        <f t="shared" si="173"/>
        <v>0.17768182064392415</v>
      </c>
      <c r="BT38" s="528">
        <f t="shared" si="174"/>
        <v>0.82231817935607587</v>
      </c>
      <c r="BU38" s="528">
        <f t="shared" si="175"/>
        <v>0.74250000000000005</v>
      </c>
      <c r="BV38" s="528">
        <f t="shared" si="176"/>
        <v>2.1548913043478257</v>
      </c>
      <c r="BW38" s="528">
        <f t="shared" si="177"/>
        <v>8.55142152225127E-3</v>
      </c>
      <c r="BX38" s="460">
        <f t="shared" si="110"/>
        <v>2163.4427258700766</v>
      </c>
      <c r="BY38" s="173">
        <f t="shared" si="45"/>
        <v>5.7788300192934283</v>
      </c>
      <c r="BZ38" s="5">
        <f t="shared" si="111"/>
        <v>49.500000000000007</v>
      </c>
      <c r="CA38" s="173">
        <f t="shared" si="112"/>
        <v>0.89546034137704256</v>
      </c>
      <c r="CB38" s="5">
        <f t="shared" si="113"/>
        <v>89.546034137704254</v>
      </c>
      <c r="CE38" s="562">
        <f t="shared" si="178"/>
        <v>-50</v>
      </c>
      <c r="CF38">
        <f t="shared" si="179"/>
        <v>-50</v>
      </c>
      <c r="CG38" s="173">
        <f t="shared" si="180"/>
        <v>0.66874210275710932</v>
      </c>
      <c r="CI38" s="170">
        <v>33</v>
      </c>
      <c r="CJ38" s="217">
        <f t="shared" si="114"/>
        <v>3.3000000000000003</v>
      </c>
      <c r="CK38" s="217"/>
      <c r="CL38" s="217">
        <f t="shared" si="49"/>
        <v>49.500000000000007</v>
      </c>
      <c r="CM38" s="541">
        <f t="shared" si="50"/>
        <v>58</v>
      </c>
      <c r="CN38" s="172">
        <f t="shared" si="51"/>
        <v>15.4</v>
      </c>
      <c r="CO38" s="443">
        <f t="shared" si="52"/>
        <v>73.400000000000006</v>
      </c>
      <c r="CP38" s="443"/>
      <c r="CQ38" s="217">
        <f t="shared" si="53"/>
        <v>0.2098092643051771</v>
      </c>
      <c r="CR38" s="172">
        <f t="shared" si="54"/>
        <v>305.10568119891008</v>
      </c>
      <c r="CS38" s="172">
        <f t="shared" si="115"/>
        <v>49.500000000000007</v>
      </c>
      <c r="CT38" s="217">
        <f t="shared" si="55"/>
        <v>20.340378746594006</v>
      </c>
      <c r="CU38" s="217">
        <f t="shared" si="56"/>
        <v>15</v>
      </c>
      <c r="CV38" s="217">
        <f t="shared" si="57"/>
        <v>20.281562216167121</v>
      </c>
      <c r="CW38" s="172">
        <f t="shared" si="58"/>
        <v>381.45469548853265</v>
      </c>
      <c r="CX38" s="172">
        <f t="shared" si="59"/>
        <v>15</v>
      </c>
      <c r="CY38" s="217">
        <f t="shared" si="60"/>
        <v>8.1354679802955676</v>
      </c>
      <c r="CZ38" s="217">
        <f t="shared" si="61"/>
        <v>1.6832002717852899</v>
      </c>
      <c r="DA38" s="217">
        <f t="shared" si="62"/>
        <v>6.3393256989316109</v>
      </c>
      <c r="DB38" s="197">
        <f t="shared" si="63"/>
        <v>101.4078110808356</v>
      </c>
      <c r="DC38" s="443">
        <f t="shared" si="116"/>
        <v>124.64901997825991</v>
      </c>
      <c r="DE38" s="217">
        <f t="shared" si="64"/>
        <v>10</v>
      </c>
      <c r="DF38" s="173">
        <f t="shared" si="65"/>
        <v>7.7922077922077913</v>
      </c>
      <c r="DG38" s="173">
        <f t="shared" si="66"/>
        <v>3.9509536784741139</v>
      </c>
      <c r="DH38" s="173"/>
      <c r="DI38" s="173">
        <f t="shared" si="67"/>
        <v>7.7922077922077913</v>
      </c>
      <c r="DJ38" s="545">
        <f t="shared" si="117"/>
        <v>84.700000000000017</v>
      </c>
      <c r="DK38" s="528">
        <f t="shared" si="68"/>
        <v>3.9509536784741139</v>
      </c>
      <c r="DM38" s="173">
        <f t="shared" si="69"/>
        <v>4.9193495504995379</v>
      </c>
      <c r="DN38" s="173">
        <f t="shared" si="70"/>
        <v>10</v>
      </c>
      <c r="DO38" s="173">
        <f t="shared" si="71"/>
        <v>1.0484</v>
      </c>
      <c r="DQ38" s="545">
        <f t="shared" si="72"/>
        <v>3300.0000000000005</v>
      </c>
      <c r="DR38" s="460">
        <f t="shared" si="73"/>
        <v>84.700000000000017</v>
      </c>
      <c r="DT38">
        <f t="shared" si="74"/>
        <v>3300.0000000000005</v>
      </c>
      <c r="DU38" s="460">
        <f t="shared" si="75"/>
        <v>84.700000000000017</v>
      </c>
      <c r="DV38" s="460"/>
      <c r="DW38" s="5">
        <f t="shared" si="118"/>
        <v>11.806375442739077</v>
      </c>
      <c r="DX38" s="5">
        <f t="shared" si="76"/>
        <v>2.068965517241379</v>
      </c>
      <c r="DY38" s="5">
        <f t="shared" si="119"/>
        <v>9.7374099254976976</v>
      </c>
      <c r="DZ38" s="5">
        <f t="shared" si="77"/>
        <v>7.7922077922077913</v>
      </c>
      <c r="EA38" s="173">
        <f t="shared" si="120"/>
        <v>0.17524137931034484</v>
      </c>
      <c r="EB38" s="173">
        <f t="shared" si="78"/>
        <v>50.820000000000014</v>
      </c>
      <c r="EC38" s="173">
        <f t="shared" si="79"/>
        <v>4.1237931034482758</v>
      </c>
      <c r="ED38" s="173">
        <f t="shared" si="121"/>
        <v>12.323605652646545</v>
      </c>
      <c r="EE38" s="460">
        <f t="shared" si="80"/>
        <v>45.517241379310349</v>
      </c>
      <c r="EF38" s="5">
        <f t="shared" si="81"/>
        <v>2.865646797337313</v>
      </c>
      <c r="EG38" s="5"/>
      <c r="EH38" s="173">
        <f t="shared" si="122"/>
        <v>2.4168945592112263</v>
      </c>
      <c r="EI38" s="173">
        <f t="shared" si="82"/>
        <v>5.2432770309214538</v>
      </c>
      <c r="EJ38" s="173"/>
      <c r="EK38" s="528">
        <f t="shared" si="83"/>
        <v>0.11682758620689657</v>
      </c>
      <c r="EL38" s="528">
        <f t="shared" si="84"/>
        <v>1.2433960000000002</v>
      </c>
      <c r="EM38" s="528">
        <f t="shared" si="85"/>
        <v>1.0587500000000001E-2</v>
      </c>
      <c r="EN38" s="528">
        <f t="shared" si="86"/>
        <v>4.5632633200000015E-2</v>
      </c>
      <c r="EO38">
        <f t="shared" si="87"/>
        <v>2.6099999999999998E-2</v>
      </c>
      <c r="EP38" s="460">
        <f t="shared" si="123"/>
        <v>36.6875</v>
      </c>
      <c r="EQ38" s="528">
        <f t="shared" si="88"/>
        <v>1.5161734662761903</v>
      </c>
      <c r="ER38" s="460">
        <f t="shared" si="124"/>
        <v>1516.1734662761903</v>
      </c>
      <c r="ES38" s="528">
        <f t="shared" si="125"/>
        <v>2.050125</v>
      </c>
      <c r="ET38" s="528"/>
      <c r="EV38" s="460">
        <f t="shared" si="126"/>
        <v>2050.125</v>
      </c>
      <c r="EW38" s="528">
        <f t="shared" si="89"/>
        <v>0.17524137931034484</v>
      </c>
      <c r="EX38" s="528">
        <f t="shared" si="90"/>
        <v>0.82475862068965478</v>
      </c>
      <c r="EY38" s="528">
        <f t="shared" si="91"/>
        <v>1.043947191275747</v>
      </c>
      <c r="EZ38" s="528">
        <f t="shared" si="92"/>
        <v>2.4825512948649422</v>
      </c>
      <c r="FA38" s="528">
        <f t="shared" si="93"/>
        <v>8.4700000000000018E-3</v>
      </c>
      <c r="FB38" s="460">
        <f t="shared" si="127"/>
        <v>2491.0212948649423</v>
      </c>
      <c r="FC38" s="173">
        <f t="shared" si="128"/>
        <v>6.0573197611411329</v>
      </c>
      <c r="FD38" s="5">
        <f t="shared" si="129"/>
        <v>49.500000000000007</v>
      </c>
      <c r="FE38" s="173">
        <f t="shared" si="130"/>
        <v>0.89097170656929625</v>
      </c>
      <c r="FF38" s="5">
        <f t="shared" si="131"/>
        <v>89.09717065692962</v>
      </c>
      <c r="FI38" s="562">
        <f t="shared" si="94"/>
        <v>-50</v>
      </c>
      <c r="FJ38">
        <f t="shared" si="95"/>
        <v>-50</v>
      </c>
      <c r="FL38">
        <f t="shared" si="181"/>
        <v>0.66</v>
      </c>
    </row>
    <row r="39" spans="5:168">
      <c r="E39" s="170">
        <v>34</v>
      </c>
      <c r="F39" s="217">
        <f t="shared" si="182"/>
        <v>3.4000000000000004</v>
      </c>
      <c r="G39" s="217"/>
      <c r="H39" s="217">
        <f t="shared" si="132"/>
        <v>51.000000000000007</v>
      </c>
      <c r="I39" s="541">
        <f t="shared" si="133"/>
        <v>57.753268114390089</v>
      </c>
      <c r="J39" s="172">
        <f t="shared" si="134"/>
        <v>15.548039131365949</v>
      </c>
      <c r="K39" s="172">
        <f t="shared" si="135"/>
        <v>73.548039131365954</v>
      </c>
      <c r="L39" s="443"/>
      <c r="M39" s="217">
        <f t="shared" si="136"/>
        <v>0.21213242465171064</v>
      </c>
      <c r="N39" s="172">
        <f t="shared" si="137"/>
        <v>307.17174212440574</v>
      </c>
      <c r="O39" s="172">
        <f t="shared" si="98"/>
        <v>51.000000000000007</v>
      </c>
      <c r="P39" s="217">
        <f t="shared" si="138"/>
        <v>20.478116141627048</v>
      </c>
      <c r="Q39" s="217">
        <f t="shared" si="139"/>
        <v>15</v>
      </c>
      <c r="R39" s="217">
        <f t="shared" si="140"/>
        <v>20.418901327776496</v>
      </c>
      <c r="S39" s="172">
        <f t="shared" si="141"/>
        <v>366.96599870886081</v>
      </c>
      <c r="T39" s="172">
        <f t="shared" si="142"/>
        <v>15</v>
      </c>
      <c r="U39" s="217">
        <f t="shared" si="143"/>
        <v>8.6308920594859533</v>
      </c>
      <c r="V39" s="217">
        <f t="shared" si="11"/>
        <v>1.7933306303756211</v>
      </c>
      <c r="W39" s="217">
        <f t="shared" si="144"/>
        <v>6.6613354802337952</v>
      </c>
      <c r="X39" s="197">
        <f t="shared" si="145"/>
        <v>102.08436319744666</v>
      </c>
      <c r="Y39" s="443">
        <f t="shared" si="14"/>
        <v>115.54460763935646</v>
      </c>
      <c r="AA39" s="217">
        <f t="shared" si="146"/>
        <v>9.9999999999999982</v>
      </c>
      <c r="AB39" s="173">
        <f t="shared" si="147"/>
        <v>7.7180150491078408</v>
      </c>
      <c r="AC39" s="173">
        <f t="shared" si="148"/>
        <v>3.9394432571824192</v>
      </c>
      <c r="AD39" s="173"/>
      <c r="AE39" s="173">
        <f t="shared" si="149"/>
        <v>7.7180150491078416</v>
      </c>
      <c r="AF39" s="545">
        <f t="shared" si="150"/>
        <v>88.105555077740377</v>
      </c>
      <c r="AG39" s="528">
        <f t="shared" si="151"/>
        <v>3.9394432571824201</v>
      </c>
      <c r="AI39" s="173">
        <f t="shared" si="152"/>
        <v>5.0172717423413742</v>
      </c>
      <c r="AJ39" s="173">
        <f t="shared" si="153"/>
        <v>10</v>
      </c>
      <c r="AK39" s="173">
        <f t="shared" si="154"/>
        <v>1.0503460314729944</v>
      </c>
      <c r="AM39" s="545">
        <f t="shared" si="155"/>
        <v>3400.0000000000005</v>
      </c>
      <c r="AN39" s="460">
        <f t="shared" si="156"/>
        <v>88.105555077740377</v>
      </c>
      <c r="AP39">
        <f t="shared" si="157"/>
        <v>3400.0000000000005</v>
      </c>
      <c r="AQ39" s="460">
        <f t="shared" si="158"/>
        <v>88.105555077740377</v>
      </c>
      <c r="AR39" s="460"/>
      <c r="AS39" s="5">
        <f t="shared" si="101"/>
        <v>11.350022131040943</v>
      </c>
      <c r="AT39" s="5">
        <f t="shared" si="159"/>
        <v>2.0778044934586171</v>
      </c>
      <c r="AU39" s="5">
        <f t="shared" si="102"/>
        <v>9.272217637582326</v>
      </c>
      <c r="AV39" s="5">
        <f t="shared" si="160"/>
        <v>7.7180150491078416</v>
      </c>
      <c r="AW39" s="173">
        <f t="shared" si="103"/>
        <v>0.18306611823919464</v>
      </c>
      <c r="AX39" s="173">
        <f t="shared" si="161"/>
        <v>52.863333046644229</v>
      </c>
      <c r="AY39" s="173">
        <f t="shared" si="162"/>
        <v>4.084669408804027</v>
      </c>
      <c r="AZ39" s="173">
        <f t="shared" si="104"/>
        <v>12.941887765189394</v>
      </c>
      <c r="BA39" s="460">
        <f t="shared" si="163"/>
        <v>47.09690185172866</v>
      </c>
      <c r="BB39" s="5">
        <f t="shared" si="164"/>
        <v>2.8234443363690653</v>
      </c>
      <c r="BC39" s="5"/>
      <c r="BD39" s="173">
        <f t="shared" si="105"/>
        <v>2.4702639416277945</v>
      </c>
      <c r="BE39" s="173">
        <f t="shared" si="165"/>
        <v>5.2183454649943259</v>
      </c>
      <c r="BF39" s="173"/>
      <c r="BG39" s="528">
        <f t="shared" si="166"/>
        <v>0.12204407882612976</v>
      </c>
      <c r="BH39" s="528">
        <f t="shared" si="167"/>
        <v>1.214998277352819</v>
      </c>
      <c r="BI39" s="528">
        <f t="shared" si="168"/>
        <v>0.12720959361929754</v>
      </c>
      <c r="BJ39" s="528">
        <f t="shared" si="169"/>
        <v>4.7659061785219919E-2</v>
      </c>
      <c r="BK39">
        <f t="shared" si="170"/>
        <v>2.598897065147554E-2</v>
      </c>
      <c r="BL39" s="460">
        <f t="shared" si="106"/>
        <v>153.19856427077309</v>
      </c>
      <c r="BM39" s="528">
        <f t="shared" si="171"/>
        <v>1.4599896210503021</v>
      </c>
      <c r="BN39" s="460">
        <f t="shared" si="107"/>
        <v>1459.989621050302</v>
      </c>
      <c r="BO39" s="528">
        <f t="shared" si="172"/>
        <v>2.11225</v>
      </c>
      <c r="BP39" s="528"/>
      <c r="BR39" s="460">
        <f t="shared" si="109"/>
        <v>2112.25</v>
      </c>
      <c r="BS39" s="528">
        <f t="shared" si="173"/>
        <v>0.18306611823919464</v>
      </c>
      <c r="BT39" s="528">
        <f t="shared" si="174"/>
        <v>0.81693388176080539</v>
      </c>
      <c r="BU39" s="528">
        <f t="shared" si="175"/>
        <v>0.76500000000000012</v>
      </c>
      <c r="BV39" s="528">
        <f t="shared" si="176"/>
        <v>2.1793478260869561</v>
      </c>
      <c r="BW39" s="528">
        <f t="shared" si="177"/>
        <v>8.8105555077740375E-3</v>
      </c>
      <c r="BX39" s="460">
        <f t="shared" si="110"/>
        <v>2188.1583815947301</v>
      </c>
      <c r="BY39" s="173">
        <f t="shared" si="45"/>
        <v>5.913596566915805</v>
      </c>
      <c r="BZ39" s="5">
        <f t="shared" si="111"/>
        <v>51.000000000000007</v>
      </c>
      <c r="CA39" s="173">
        <f t="shared" si="112"/>
        <v>0.89609518772965036</v>
      </c>
      <c r="CB39" s="5">
        <f t="shared" si="113"/>
        <v>89.609518772965032</v>
      </c>
      <c r="CE39" s="562">
        <f t="shared" si="178"/>
        <v>-50</v>
      </c>
      <c r="CF39">
        <f t="shared" si="179"/>
        <v>-50</v>
      </c>
      <c r="CG39" s="173">
        <f t="shared" si="180"/>
        <v>0.68900701496187022</v>
      </c>
      <c r="CI39" s="170">
        <v>34</v>
      </c>
      <c r="CJ39" s="217">
        <f t="shared" si="114"/>
        <v>3.4000000000000004</v>
      </c>
      <c r="CK39" s="217"/>
      <c r="CL39" s="217">
        <f t="shared" si="49"/>
        <v>51.000000000000007</v>
      </c>
      <c r="CM39" s="541">
        <f t="shared" si="50"/>
        <v>58</v>
      </c>
      <c r="CN39" s="172">
        <f t="shared" si="51"/>
        <v>15.4</v>
      </c>
      <c r="CO39" s="443">
        <f t="shared" si="52"/>
        <v>73.400000000000006</v>
      </c>
      <c r="CP39" s="443"/>
      <c r="CQ39" s="217">
        <f t="shared" si="53"/>
        <v>0.2098092643051771</v>
      </c>
      <c r="CR39" s="172">
        <f t="shared" si="54"/>
        <v>305.10568119891008</v>
      </c>
      <c r="CS39" s="172">
        <f t="shared" si="115"/>
        <v>51.000000000000007</v>
      </c>
      <c r="CT39" s="217">
        <f t="shared" si="55"/>
        <v>20.340378746594006</v>
      </c>
      <c r="CU39" s="217">
        <f t="shared" si="56"/>
        <v>15</v>
      </c>
      <c r="CV39" s="217">
        <f t="shared" si="57"/>
        <v>20.281562216167121</v>
      </c>
      <c r="CW39" s="172">
        <f t="shared" si="58"/>
        <v>368.53347220150505</v>
      </c>
      <c r="CX39" s="172">
        <f t="shared" si="59"/>
        <v>15</v>
      </c>
      <c r="CY39" s="217">
        <f t="shared" si="60"/>
        <v>8.381997313031798</v>
      </c>
      <c r="CZ39" s="217">
        <f t="shared" si="61"/>
        <v>1.7342063406272685</v>
      </c>
      <c r="DA39" s="217">
        <f t="shared" si="62"/>
        <v>6.5314264776871145</v>
      </c>
      <c r="DB39" s="197">
        <f t="shared" si="63"/>
        <v>101.4078110808356</v>
      </c>
      <c r="DC39" s="443">
        <f t="shared" si="116"/>
        <v>120.9828723318405</v>
      </c>
      <c r="DE39" s="217">
        <f t="shared" si="64"/>
        <v>10</v>
      </c>
      <c r="DF39" s="173">
        <f t="shared" si="65"/>
        <v>7.7922077922077913</v>
      </c>
      <c r="DG39" s="173">
        <f t="shared" si="66"/>
        <v>3.9509536784741139</v>
      </c>
      <c r="DH39" s="173"/>
      <c r="DI39" s="173">
        <f t="shared" si="67"/>
        <v>7.7922077922077913</v>
      </c>
      <c r="DJ39" s="545">
        <f t="shared" si="117"/>
        <v>87.26666666666668</v>
      </c>
      <c r="DK39" s="528">
        <f t="shared" si="68"/>
        <v>3.9509536784741139</v>
      </c>
      <c r="DM39" s="173">
        <f t="shared" si="69"/>
        <v>4.993328882953068</v>
      </c>
      <c r="DN39" s="173">
        <f t="shared" si="70"/>
        <v>10</v>
      </c>
      <c r="DO39" s="173">
        <f t="shared" si="71"/>
        <v>1.0498666666666667</v>
      </c>
      <c r="DQ39" s="545">
        <f t="shared" si="72"/>
        <v>3400.0000000000005</v>
      </c>
      <c r="DR39" s="460">
        <f t="shared" si="73"/>
        <v>87.26666666666668</v>
      </c>
      <c r="DT39">
        <f t="shared" si="74"/>
        <v>3400.0000000000005</v>
      </c>
      <c r="DU39" s="460">
        <f t="shared" si="75"/>
        <v>87.26666666666668</v>
      </c>
      <c r="DV39" s="460"/>
      <c r="DW39" s="5">
        <f t="shared" si="118"/>
        <v>11.459129106187929</v>
      </c>
      <c r="DX39" s="5">
        <f t="shared" si="76"/>
        <v>2.068965517241379</v>
      </c>
      <c r="DY39" s="5">
        <f t="shared" si="119"/>
        <v>9.3901635889465496</v>
      </c>
      <c r="DZ39" s="5">
        <f t="shared" si="77"/>
        <v>7.7922077922077913</v>
      </c>
      <c r="EA39" s="173">
        <f t="shared" si="120"/>
        <v>0.18055172413793102</v>
      </c>
      <c r="EB39" s="173">
        <f t="shared" si="78"/>
        <v>52.360000000000014</v>
      </c>
      <c r="EC39" s="173">
        <f t="shared" si="79"/>
        <v>4.0972413793103444</v>
      </c>
      <c r="ED39" s="173">
        <f t="shared" si="121"/>
        <v>12.779330079111265</v>
      </c>
      <c r="EE39" s="460">
        <f t="shared" si="80"/>
        <v>46.896551724137929</v>
      </c>
      <c r="EF39" s="5">
        <f t="shared" si="81"/>
        <v>2.8471958563393223</v>
      </c>
      <c r="EG39" s="5"/>
      <c r="EH39" s="173">
        <f t="shared" si="122"/>
        <v>2.4532408778180956</v>
      </c>
      <c r="EI39" s="173">
        <f t="shared" si="82"/>
        <v>5.2263699188572215</v>
      </c>
      <c r="EJ39" s="173"/>
      <c r="EK39" s="528">
        <f t="shared" si="83"/>
        <v>0.12036781609195402</v>
      </c>
      <c r="EL39" s="528">
        <f t="shared" si="84"/>
        <v>1.2810746666666668</v>
      </c>
      <c r="EM39" s="528">
        <f t="shared" si="85"/>
        <v>1.0908333333333336E-2</v>
      </c>
      <c r="EN39" s="528">
        <f t="shared" si="86"/>
        <v>4.701544026666668E-2</v>
      </c>
      <c r="EO39">
        <f t="shared" si="87"/>
        <v>2.6099999999999998E-2</v>
      </c>
      <c r="EP39" s="460">
        <f t="shared" si="123"/>
        <v>37.00833333333334</v>
      </c>
      <c r="EQ39" s="528">
        <f t="shared" si="88"/>
        <v>1.5626565970069468</v>
      </c>
      <c r="ER39" s="460">
        <f t="shared" si="124"/>
        <v>1562.6565970069469</v>
      </c>
      <c r="ES39" s="528">
        <f t="shared" si="125"/>
        <v>2.11225</v>
      </c>
      <c r="ET39" s="528"/>
      <c r="EV39" s="460">
        <f t="shared" si="126"/>
        <v>2112.25</v>
      </c>
      <c r="EW39" s="528">
        <f t="shared" si="89"/>
        <v>0.18055172413793102</v>
      </c>
      <c r="EX39" s="528">
        <f t="shared" si="90"/>
        <v>0.81944827586206914</v>
      </c>
      <c r="EY39" s="528">
        <f t="shared" si="91"/>
        <v>1.1248405732933582</v>
      </c>
      <c r="EZ39" s="528">
        <f t="shared" si="92"/>
        <v>2.5704788840145203</v>
      </c>
      <c r="FA39" s="528">
        <f t="shared" si="93"/>
        <v>8.726666666666669E-3</v>
      </c>
      <c r="FB39" s="460">
        <f t="shared" si="127"/>
        <v>2579.2055506811867</v>
      </c>
      <c r="FC39" s="173">
        <f t="shared" si="128"/>
        <v>6.2541121476881338</v>
      </c>
      <c r="FD39" s="5">
        <f t="shared" si="129"/>
        <v>51.000000000000007</v>
      </c>
      <c r="FE39" s="173">
        <f t="shared" si="130"/>
        <v>0.89076571248619618</v>
      </c>
      <c r="FF39" s="5">
        <f t="shared" si="131"/>
        <v>89.076571248619615</v>
      </c>
      <c r="FI39" s="562">
        <f t="shared" si="94"/>
        <v>-50</v>
      </c>
      <c r="FJ39">
        <f t="shared" si="95"/>
        <v>-50</v>
      </c>
      <c r="FL39">
        <f t="shared" si="181"/>
        <v>0.68</v>
      </c>
    </row>
    <row r="40" spans="5:168">
      <c r="E40" s="170">
        <v>35</v>
      </c>
      <c r="F40" s="217">
        <f t="shared" si="182"/>
        <v>3.5</v>
      </c>
      <c r="G40" s="217"/>
      <c r="H40" s="217">
        <f t="shared" si="132"/>
        <v>52.5</v>
      </c>
      <c r="I40" s="541">
        <f t="shared" si="133"/>
        <v>57.753268114390089</v>
      </c>
      <c r="J40" s="172">
        <f t="shared" si="134"/>
        <v>15.548039131365949</v>
      </c>
      <c r="K40" s="172">
        <f t="shared" si="135"/>
        <v>73.548039131365954</v>
      </c>
      <c r="L40" s="443"/>
      <c r="M40" s="217">
        <f t="shared" si="136"/>
        <v>0.21213242465171064</v>
      </c>
      <c r="N40" s="172">
        <f t="shared" si="137"/>
        <v>307.17174212440574</v>
      </c>
      <c r="O40" s="172">
        <f t="shared" si="98"/>
        <v>52.5</v>
      </c>
      <c r="P40" s="217">
        <f t="shared" si="138"/>
        <v>20.478116141627048</v>
      </c>
      <c r="Q40" s="217">
        <f t="shared" si="139"/>
        <v>15</v>
      </c>
      <c r="R40" s="217">
        <f t="shared" si="140"/>
        <v>20.418901327776496</v>
      </c>
      <c r="S40" s="172">
        <f t="shared" si="141"/>
        <v>354.83510659650102</v>
      </c>
      <c r="T40" s="172">
        <f t="shared" si="142"/>
        <v>15</v>
      </c>
      <c r="U40" s="217">
        <f t="shared" si="143"/>
        <v>8.8847418259414219</v>
      </c>
      <c r="V40" s="217">
        <f t="shared" si="11"/>
        <v>1.8460756489160806</v>
      </c>
      <c r="W40" s="217">
        <f t="shared" si="144"/>
        <v>6.857257112005378</v>
      </c>
      <c r="X40" s="197">
        <f t="shared" si="145"/>
        <v>102.08436319744666</v>
      </c>
      <c r="Y40" s="443">
        <f t="shared" si="14"/>
        <v>112.31749130945704</v>
      </c>
      <c r="AA40" s="217">
        <f t="shared" si="146"/>
        <v>9.9999999999999982</v>
      </c>
      <c r="AB40" s="173">
        <f t="shared" si="147"/>
        <v>7.7180150491078408</v>
      </c>
      <c r="AC40" s="173">
        <f t="shared" si="148"/>
        <v>3.9394432571824192</v>
      </c>
      <c r="AD40" s="173"/>
      <c r="AE40" s="173">
        <f t="shared" si="149"/>
        <v>7.7180150491078416</v>
      </c>
      <c r="AF40" s="545">
        <f t="shared" si="150"/>
        <v>90.696894932968021</v>
      </c>
      <c r="AG40" s="528">
        <f t="shared" si="151"/>
        <v>3.9394432571824201</v>
      </c>
      <c r="AI40" s="173">
        <f t="shared" si="152"/>
        <v>5.0905204598622902</v>
      </c>
      <c r="AJ40" s="173">
        <f t="shared" si="153"/>
        <v>10</v>
      </c>
      <c r="AK40" s="173">
        <f t="shared" si="154"/>
        <v>1.0518267971045532</v>
      </c>
      <c r="AM40" s="545">
        <f t="shared" si="155"/>
        <v>3500</v>
      </c>
      <c r="AN40" s="460">
        <f t="shared" si="156"/>
        <v>90.696894932968021</v>
      </c>
      <c r="AP40">
        <f t="shared" si="157"/>
        <v>3500</v>
      </c>
      <c r="AQ40" s="460">
        <f t="shared" si="158"/>
        <v>90.696894932968021</v>
      </c>
      <c r="AR40" s="460"/>
      <c r="AS40" s="5">
        <f t="shared" si="101"/>
        <v>11.025735784439775</v>
      </c>
      <c r="AT40" s="5">
        <f t="shared" si="159"/>
        <v>2.0778044934586171</v>
      </c>
      <c r="AU40" s="5">
        <f t="shared" si="102"/>
        <v>8.9479312909811579</v>
      </c>
      <c r="AV40" s="5">
        <f t="shared" si="160"/>
        <v>7.7180150491078416</v>
      </c>
      <c r="AW40" s="173">
        <f t="shared" si="103"/>
        <v>0.18845041583446503</v>
      </c>
      <c r="AX40" s="173">
        <f t="shared" si="161"/>
        <v>54.418136959780817</v>
      </c>
      <c r="AY40" s="173">
        <f t="shared" si="162"/>
        <v>4.0577479208276745</v>
      </c>
      <c r="AZ40" s="173">
        <f t="shared" si="104"/>
        <v>13.410921038357882</v>
      </c>
      <c r="BA40" s="460">
        <f t="shared" si="163"/>
        <v>48.482104847367729</v>
      </c>
      <c r="BB40" s="5">
        <f t="shared" si="164"/>
        <v>2.8048354074335622</v>
      </c>
      <c r="BC40" s="5"/>
      <c r="BD40" s="173">
        <f t="shared" si="105"/>
        <v>2.5063280966017798</v>
      </c>
      <c r="BE40" s="173">
        <f t="shared" si="165"/>
        <v>5.2011203413800979</v>
      </c>
      <c r="BF40" s="173"/>
      <c r="BG40" s="528">
        <f t="shared" si="166"/>
        <v>0.12563361055631</v>
      </c>
      <c r="BH40" s="528">
        <f t="shared" si="167"/>
        <v>1.2507335208043722</v>
      </c>
      <c r="BI40" s="528">
        <f t="shared" si="168"/>
        <v>0.13095105225515924</v>
      </c>
      <c r="BJ40" s="528">
        <f t="shared" si="169"/>
        <v>4.9060798896549906E-2</v>
      </c>
      <c r="BK40">
        <f t="shared" si="170"/>
        <v>2.598897065147554E-2</v>
      </c>
      <c r="BL40" s="460">
        <f t="shared" si="106"/>
        <v>156.94002290663477</v>
      </c>
      <c r="BM40" s="528">
        <f t="shared" si="171"/>
        <v>1.504251740690197</v>
      </c>
      <c r="BN40" s="460">
        <f t="shared" si="107"/>
        <v>1504.251740690197</v>
      </c>
      <c r="BO40" s="528">
        <f t="shared" si="172"/>
        <v>2.1743749999999995</v>
      </c>
      <c r="BP40" s="528"/>
      <c r="BR40" s="460">
        <f t="shared" si="109"/>
        <v>2174.3749999999995</v>
      </c>
      <c r="BS40" s="528">
        <f t="shared" si="173"/>
        <v>0.18845041583446501</v>
      </c>
      <c r="BT40" s="528">
        <f t="shared" si="174"/>
        <v>0.81154958416553469</v>
      </c>
      <c r="BU40" s="528">
        <f t="shared" si="175"/>
        <v>0.78749999999999998</v>
      </c>
      <c r="BV40" s="528">
        <f t="shared" si="176"/>
        <v>2.203804347826086</v>
      </c>
      <c r="BW40" s="528">
        <f t="shared" si="177"/>
        <v>9.0696894932968033E-3</v>
      </c>
      <c r="BX40" s="460">
        <f t="shared" si="110"/>
        <v>2212.8740373193828</v>
      </c>
      <c r="BY40" s="173">
        <f t="shared" si="45"/>
        <v>6.0484408009162136</v>
      </c>
      <c r="BZ40" s="5">
        <f t="shared" si="111"/>
        <v>52.5</v>
      </c>
      <c r="CA40" s="173">
        <f t="shared" si="112"/>
        <v>0.89669339237430967</v>
      </c>
      <c r="CB40" s="5">
        <f t="shared" si="113"/>
        <v>89.669339237430961</v>
      </c>
      <c r="CE40" s="562">
        <f t="shared" si="178"/>
        <v>-50</v>
      </c>
      <c r="CF40">
        <f t="shared" si="179"/>
        <v>-50</v>
      </c>
      <c r="CG40" s="173">
        <f t="shared" si="180"/>
        <v>0.70927192716663101</v>
      </c>
      <c r="CI40" s="170">
        <v>35</v>
      </c>
      <c r="CJ40" s="217">
        <f t="shared" si="114"/>
        <v>3.5</v>
      </c>
      <c r="CK40" s="217"/>
      <c r="CL40" s="217">
        <f t="shared" si="49"/>
        <v>52.5</v>
      </c>
      <c r="CM40" s="541">
        <f t="shared" si="50"/>
        <v>58</v>
      </c>
      <c r="CN40" s="172">
        <f t="shared" si="51"/>
        <v>15.4</v>
      </c>
      <c r="CO40" s="443">
        <f t="shared" si="52"/>
        <v>73.400000000000006</v>
      </c>
      <c r="CP40" s="443"/>
      <c r="CQ40" s="217">
        <f t="shared" si="53"/>
        <v>0.2098092643051771</v>
      </c>
      <c r="CR40" s="172">
        <f t="shared" si="54"/>
        <v>305.10568119891008</v>
      </c>
      <c r="CS40" s="172">
        <f t="shared" si="115"/>
        <v>52.5</v>
      </c>
      <c r="CT40" s="217">
        <f t="shared" si="55"/>
        <v>20.340378746594006</v>
      </c>
      <c r="CU40" s="217">
        <f t="shared" si="56"/>
        <v>15</v>
      </c>
      <c r="CV40" s="217">
        <f t="shared" si="57"/>
        <v>20.281562216167121</v>
      </c>
      <c r="CW40" s="172">
        <f t="shared" si="58"/>
        <v>356.35074568447277</v>
      </c>
      <c r="CX40" s="172">
        <f t="shared" si="59"/>
        <v>15</v>
      </c>
      <c r="CY40" s="217">
        <f t="shared" si="60"/>
        <v>8.6285266457680247</v>
      </c>
      <c r="CZ40" s="217">
        <f t="shared" si="61"/>
        <v>1.7852124094692465</v>
      </c>
      <c r="DA40" s="217">
        <f t="shared" si="62"/>
        <v>6.7235272564426172</v>
      </c>
      <c r="DB40" s="197">
        <f t="shared" si="63"/>
        <v>101.4078110808356</v>
      </c>
      <c r="DC40" s="443">
        <f t="shared" si="116"/>
        <v>117.52621883664506</v>
      </c>
      <c r="DE40" s="217">
        <f t="shared" si="64"/>
        <v>10</v>
      </c>
      <c r="DF40" s="173">
        <f t="shared" si="65"/>
        <v>7.7922077922077913</v>
      </c>
      <c r="DG40" s="173">
        <f t="shared" si="66"/>
        <v>3.9509536784741139</v>
      </c>
      <c r="DH40" s="173"/>
      <c r="DI40" s="173">
        <f t="shared" si="67"/>
        <v>7.7922077922077913</v>
      </c>
      <c r="DJ40" s="545">
        <f t="shared" si="117"/>
        <v>89.833333333333343</v>
      </c>
      <c r="DK40" s="528">
        <f t="shared" si="68"/>
        <v>3.9509536784741139</v>
      </c>
      <c r="DM40" s="173">
        <f t="shared" si="69"/>
        <v>5.0662280511902216</v>
      </c>
      <c r="DN40" s="173">
        <f t="shared" si="70"/>
        <v>10</v>
      </c>
      <c r="DO40" s="173">
        <f t="shared" si="71"/>
        <v>1.0513333333333335</v>
      </c>
      <c r="DQ40" s="545">
        <f t="shared" si="72"/>
        <v>3500</v>
      </c>
      <c r="DR40" s="460">
        <f t="shared" si="73"/>
        <v>89.833333333333343</v>
      </c>
      <c r="DT40">
        <f t="shared" si="74"/>
        <v>3500</v>
      </c>
      <c r="DU40" s="460">
        <f t="shared" si="75"/>
        <v>89.833333333333343</v>
      </c>
      <c r="DV40" s="460"/>
      <c r="DW40" s="5">
        <f t="shared" si="118"/>
        <v>11.131725417439702</v>
      </c>
      <c r="DX40" s="5">
        <f t="shared" si="76"/>
        <v>2.068965517241379</v>
      </c>
      <c r="DY40" s="5">
        <f t="shared" si="119"/>
        <v>9.0627599001983228</v>
      </c>
      <c r="DZ40" s="5">
        <f t="shared" si="77"/>
        <v>7.7922077922077913</v>
      </c>
      <c r="EA40" s="173">
        <f t="shared" si="120"/>
        <v>0.18586206896551724</v>
      </c>
      <c r="EB40" s="173">
        <f t="shared" si="78"/>
        <v>53.900000000000013</v>
      </c>
      <c r="EC40" s="173">
        <f t="shared" si="79"/>
        <v>4.0706896551724139</v>
      </c>
      <c r="ED40" s="173">
        <f t="shared" si="121"/>
        <v>13.24099957645066</v>
      </c>
      <c r="EE40" s="460">
        <f t="shared" si="80"/>
        <v>48.275862068965509</v>
      </c>
      <c r="EF40" s="5">
        <f t="shared" si="81"/>
        <v>2.8287449153413307</v>
      </c>
      <c r="EG40" s="5"/>
      <c r="EH40" s="173">
        <f t="shared" si="122"/>
        <v>2.4890565077656586</v>
      </c>
      <c r="EI40" s="173">
        <f t="shared" si="82"/>
        <v>5.209407935119188</v>
      </c>
      <c r="EJ40" s="173"/>
      <c r="EK40" s="528">
        <f t="shared" si="83"/>
        <v>0.12390804597701152</v>
      </c>
      <c r="EL40" s="528">
        <f t="shared" si="84"/>
        <v>1.3187533333333334</v>
      </c>
      <c r="EM40" s="528">
        <f t="shared" si="85"/>
        <v>1.1229166666666667E-2</v>
      </c>
      <c r="EN40" s="528">
        <f t="shared" si="86"/>
        <v>4.8398247333333345E-2</v>
      </c>
      <c r="EO40">
        <f t="shared" si="87"/>
        <v>2.6099999999999998E-2</v>
      </c>
      <c r="EP40" s="460">
        <f t="shared" si="123"/>
        <v>37.329166666666666</v>
      </c>
      <c r="EQ40" s="528">
        <f t="shared" si="88"/>
        <v>1.6092202991776092</v>
      </c>
      <c r="ER40" s="460">
        <f t="shared" si="124"/>
        <v>1609.2202991776091</v>
      </c>
      <c r="ES40" s="528">
        <f t="shared" si="125"/>
        <v>2.1743749999999995</v>
      </c>
      <c r="ET40" s="528"/>
      <c r="EV40" s="460">
        <f t="shared" si="126"/>
        <v>2174.3749999999995</v>
      </c>
      <c r="EW40" s="528">
        <f t="shared" si="89"/>
        <v>0.18586206896551727</v>
      </c>
      <c r="EX40" s="528">
        <f t="shared" si="90"/>
        <v>0.81413793103448284</v>
      </c>
      <c r="EY40" s="528">
        <f t="shared" si="91"/>
        <v>1.2093828100881767</v>
      </c>
      <c r="EZ40" s="528">
        <f t="shared" si="92"/>
        <v>2.662372619661062</v>
      </c>
      <c r="FA40" s="528">
        <f t="shared" si="93"/>
        <v>8.9833333333333345E-3</v>
      </c>
      <c r="FB40" s="460">
        <f t="shared" si="127"/>
        <v>2671.355952994395</v>
      </c>
      <c r="FC40" s="173">
        <f t="shared" si="128"/>
        <v>6.4549512521720036</v>
      </c>
      <c r="FD40" s="5">
        <f t="shared" si="129"/>
        <v>52.5</v>
      </c>
      <c r="FE40" s="173">
        <f t="shared" si="130"/>
        <v>0.89051044712832006</v>
      </c>
      <c r="FF40" s="5">
        <f t="shared" si="131"/>
        <v>89.05104471283201</v>
      </c>
      <c r="FI40" s="562">
        <f t="shared" si="94"/>
        <v>-50</v>
      </c>
      <c r="FJ40">
        <f t="shared" si="95"/>
        <v>-50</v>
      </c>
      <c r="FL40">
        <f t="shared" si="181"/>
        <v>0.70000000000000007</v>
      </c>
    </row>
    <row r="41" spans="5:168">
      <c r="E41" s="170">
        <v>36</v>
      </c>
      <c r="F41" s="217">
        <f t="shared" si="182"/>
        <v>3.5999999999999996</v>
      </c>
      <c r="G41" s="217"/>
      <c r="H41" s="217">
        <f t="shared" si="132"/>
        <v>53.999999999999993</v>
      </c>
      <c r="I41" s="541">
        <f t="shared" si="133"/>
        <v>57.753268114390089</v>
      </c>
      <c r="J41" s="172">
        <f t="shared" si="134"/>
        <v>15.548039131365949</v>
      </c>
      <c r="K41" s="172">
        <f t="shared" si="135"/>
        <v>73.548039131365954</v>
      </c>
      <c r="L41" s="443"/>
      <c r="M41" s="217">
        <f t="shared" si="136"/>
        <v>0.21213242465171064</v>
      </c>
      <c r="N41" s="172">
        <f t="shared" si="137"/>
        <v>307.17174212440574</v>
      </c>
      <c r="O41" s="172">
        <f t="shared" si="98"/>
        <v>53.999999999999993</v>
      </c>
      <c r="P41" s="217">
        <f t="shared" si="138"/>
        <v>20.478116141627048</v>
      </c>
      <c r="Q41" s="217">
        <f t="shared" si="139"/>
        <v>15</v>
      </c>
      <c r="R41" s="217">
        <f t="shared" si="140"/>
        <v>20.418901327776496</v>
      </c>
      <c r="S41" s="172">
        <f t="shared" si="141"/>
        <v>343.3782920632944</v>
      </c>
      <c r="T41" s="172">
        <f t="shared" si="142"/>
        <v>15</v>
      </c>
      <c r="U41" s="217">
        <f t="shared" si="143"/>
        <v>9.1385915923968906</v>
      </c>
      <c r="V41" s="217">
        <f t="shared" si="11"/>
        <v>1.8988206674565398</v>
      </c>
      <c r="W41" s="217">
        <f t="shared" si="144"/>
        <v>7.0531787437769591</v>
      </c>
      <c r="X41" s="197">
        <f t="shared" si="145"/>
        <v>102.08436319744666</v>
      </c>
      <c r="Y41" s="443">
        <f t="shared" si="14"/>
        <v>109.26574129501839</v>
      </c>
      <c r="AA41" s="217">
        <f t="shared" si="146"/>
        <v>9.9999999999999982</v>
      </c>
      <c r="AB41" s="173">
        <f t="shared" si="147"/>
        <v>7.7180150491078408</v>
      </c>
      <c r="AC41" s="173">
        <f t="shared" si="148"/>
        <v>3.9394432571824192</v>
      </c>
      <c r="AD41" s="173"/>
      <c r="AE41" s="173">
        <f t="shared" si="149"/>
        <v>7.7180150491078416</v>
      </c>
      <c r="AF41" s="545">
        <f t="shared" si="150"/>
        <v>93.288234788195666</v>
      </c>
      <c r="AG41" s="528">
        <f t="shared" si="151"/>
        <v>3.9394432571824201</v>
      </c>
      <c r="AI41" s="173">
        <f t="shared" si="152"/>
        <v>5.1627300305222148</v>
      </c>
      <c r="AJ41" s="173">
        <f t="shared" si="153"/>
        <v>10</v>
      </c>
      <c r="AK41" s="173">
        <f t="shared" si="154"/>
        <v>1.0533075627361117</v>
      </c>
      <c r="AM41" s="545">
        <f t="shared" si="155"/>
        <v>3599.9999999999995</v>
      </c>
      <c r="AN41" s="460">
        <f t="shared" si="156"/>
        <v>93.288234788195666</v>
      </c>
      <c r="AP41">
        <f t="shared" si="157"/>
        <v>3599.9999999999995</v>
      </c>
      <c r="AQ41" s="460">
        <f t="shared" si="158"/>
        <v>93.288234788195666</v>
      </c>
      <c r="AR41" s="460"/>
      <c r="AS41" s="5">
        <f t="shared" si="101"/>
        <v>10.719465345983116</v>
      </c>
      <c r="AT41" s="5">
        <f t="shared" si="159"/>
        <v>2.0778044934586171</v>
      </c>
      <c r="AU41" s="5">
        <f t="shared" si="102"/>
        <v>8.6416608525244989</v>
      </c>
      <c r="AV41" s="5">
        <f t="shared" si="160"/>
        <v>7.7180150491078416</v>
      </c>
      <c r="AW41" s="173">
        <f t="shared" si="103"/>
        <v>0.19383471342973543</v>
      </c>
      <c r="AX41" s="173">
        <f t="shared" si="161"/>
        <v>55.972940872917405</v>
      </c>
      <c r="AY41" s="173">
        <f t="shared" si="162"/>
        <v>4.030826432851323</v>
      </c>
      <c r="AZ41" s="173">
        <f t="shared" si="104"/>
        <v>13.886219564488494</v>
      </c>
      <c r="BA41" s="460">
        <f t="shared" si="163"/>
        <v>49.867307843006806</v>
      </c>
      <c r="BB41" s="5">
        <f t="shared" si="164"/>
        <v>2.786226478498059</v>
      </c>
      <c r="BC41" s="5"/>
      <c r="BD41" s="173">
        <f t="shared" si="105"/>
        <v>2.5418806255063426</v>
      </c>
      <c r="BE41" s="173">
        <f t="shared" si="165"/>
        <v>5.1838379815546718</v>
      </c>
      <c r="BF41" s="173"/>
      <c r="BG41" s="528">
        <f t="shared" si="166"/>
        <v>0.12922314228649032</v>
      </c>
      <c r="BH41" s="528">
        <f t="shared" si="167"/>
        <v>1.2864687642559254</v>
      </c>
      <c r="BI41" s="528">
        <f t="shared" si="168"/>
        <v>0.13469251089102091</v>
      </c>
      <c r="BJ41" s="528">
        <f t="shared" si="169"/>
        <v>5.04625360078799E-2</v>
      </c>
      <c r="BK41">
        <f t="shared" si="170"/>
        <v>2.598897065147554E-2</v>
      </c>
      <c r="BL41" s="460">
        <f t="shared" si="106"/>
        <v>160.68148154249644</v>
      </c>
      <c r="BM41" s="528">
        <f t="shared" si="171"/>
        <v>1.548591751774135</v>
      </c>
      <c r="BN41" s="460">
        <f t="shared" si="107"/>
        <v>1548.591751774135</v>
      </c>
      <c r="BO41" s="528">
        <f t="shared" si="172"/>
        <v>2.2364999999999995</v>
      </c>
      <c r="BP41" s="528"/>
      <c r="BR41" s="460">
        <f t="shared" si="109"/>
        <v>2236.4999999999995</v>
      </c>
      <c r="BS41" s="528">
        <f t="shared" si="173"/>
        <v>0.19383471342973549</v>
      </c>
      <c r="BT41" s="528">
        <f t="shared" si="174"/>
        <v>0.80616528657026443</v>
      </c>
      <c r="BU41" s="528">
        <f t="shared" si="175"/>
        <v>0.80999999999999983</v>
      </c>
      <c r="BV41" s="528">
        <f t="shared" si="176"/>
        <v>2.2282608695652173</v>
      </c>
      <c r="BW41" s="528">
        <f t="shared" si="177"/>
        <v>9.3288234788195673E-3</v>
      </c>
      <c r="BX41" s="460">
        <f t="shared" si="110"/>
        <v>2237.5896930440367</v>
      </c>
      <c r="BY41" s="173">
        <f t="shared" si="45"/>
        <v>6.183362926360668</v>
      </c>
      <c r="BZ41" s="5">
        <f t="shared" si="111"/>
        <v>53.999999999999993</v>
      </c>
      <c r="CA41" s="173">
        <f t="shared" si="112"/>
        <v>0.89725793598595471</v>
      </c>
      <c r="CB41" s="5">
        <f t="shared" si="113"/>
        <v>89.725793598595473</v>
      </c>
      <c r="CE41" s="562">
        <f t="shared" si="178"/>
        <v>-50</v>
      </c>
      <c r="CF41">
        <f t="shared" si="179"/>
        <v>-50</v>
      </c>
      <c r="CG41" s="173">
        <f t="shared" si="180"/>
        <v>0.7295368393713918</v>
      </c>
      <c r="CI41" s="170">
        <v>36</v>
      </c>
      <c r="CJ41" s="217">
        <f t="shared" si="114"/>
        <v>3.5999999999999996</v>
      </c>
      <c r="CK41" s="217"/>
      <c r="CL41" s="217">
        <f t="shared" si="49"/>
        <v>53.999999999999993</v>
      </c>
      <c r="CM41" s="541">
        <f t="shared" si="50"/>
        <v>58</v>
      </c>
      <c r="CN41" s="172">
        <f t="shared" si="51"/>
        <v>15.4</v>
      </c>
      <c r="CO41" s="443">
        <f t="shared" si="52"/>
        <v>73.400000000000006</v>
      </c>
      <c r="CP41" s="443"/>
      <c r="CQ41" s="217">
        <f t="shared" si="53"/>
        <v>0.2098092643051771</v>
      </c>
      <c r="CR41" s="172">
        <f t="shared" si="54"/>
        <v>305.10568119891008</v>
      </c>
      <c r="CS41" s="172">
        <f t="shared" si="115"/>
        <v>53.999999999999993</v>
      </c>
      <c r="CT41" s="217">
        <f t="shared" si="55"/>
        <v>20.340378746594006</v>
      </c>
      <c r="CU41" s="217">
        <f t="shared" si="56"/>
        <v>15</v>
      </c>
      <c r="CV41" s="217">
        <f t="shared" si="57"/>
        <v>20.281562216167121</v>
      </c>
      <c r="CW41" s="172">
        <f t="shared" si="58"/>
        <v>344.84497643839074</v>
      </c>
      <c r="CX41" s="172">
        <f t="shared" si="59"/>
        <v>15</v>
      </c>
      <c r="CY41" s="217">
        <f t="shared" si="60"/>
        <v>8.8750559785042533</v>
      </c>
      <c r="CZ41" s="217">
        <f t="shared" si="61"/>
        <v>1.836218478311225</v>
      </c>
      <c r="DA41" s="217">
        <f t="shared" si="62"/>
        <v>6.9156280351981199</v>
      </c>
      <c r="DB41" s="197">
        <f t="shared" si="63"/>
        <v>101.4078110808356</v>
      </c>
      <c r="DC41" s="443">
        <f t="shared" si="116"/>
        <v>114.26160164673827</v>
      </c>
      <c r="DE41" s="217">
        <f t="shared" si="64"/>
        <v>10</v>
      </c>
      <c r="DF41" s="173">
        <f t="shared" si="65"/>
        <v>7.7922077922077913</v>
      </c>
      <c r="DG41" s="173">
        <f t="shared" si="66"/>
        <v>3.9509536784741139</v>
      </c>
      <c r="DH41" s="173"/>
      <c r="DI41" s="173">
        <f t="shared" si="67"/>
        <v>7.7922077922077913</v>
      </c>
      <c r="DJ41" s="545">
        <f t="shared" si="117"/>
        <v>92.4</v>
      </c>
      <c r="DK41" s="528">
        <f t="shared" si="68"/>
        <v>3.9509536784741139</v>
      </c>
      <c r="DM41" s="173">
        <f t="shared" si="69"/>
        <v>5.1380930314660516</v>
      </c>
      <c r="DN41" s="173">
        <f t="shared" si="70"/>
        <v>10</v>
      </c>
      <c r="DO41" s="173">
        <f t="shared" si="71"/>
        <v>1.0528</v>
      </c>
      <c r="DQ41" s="545">
        <f t="shared" si="72"/>
        <v>3599.9999999999995</v>
      </c>
      <c r="DR41" s="460">
        <f t="shared" si="73"/>
        <v>92.4</v>
      </c>
      <c r="DT41">
        <f t="shared" si="74"/>
        <v>3599.9999999999995</v>
      </c>
      <c r="DU41" s="460">
        <f t="shared" si="75"/>
        <v>92.4</v>
      </c>
      <c r="DV41" s="460"/>
      <c r="DW41" s="5">
        <f t="shared" si="118"/>
        <v>10.822510822510822</v>
      </c>
      <c r="DX41" s="5">
        <f t="shared" si="76"/>
        <v>2.068965517241379</v>
      </c>
      <c r="DY41" s="5">
        <f t="shared" si="119"/>
        <v>8.7535453052694425</v>
      </c>
      <c r="DZ41" s="5">
        <f t="shared" si="77"/>
        <v>7.7922077922077913</v>
      </c>
      <c r="EA41" s="173">
        <f t="shared" si="120"/>
        <v>0.19117241379310343</v>
      </c>
      <c r="EB41" s="173">
        <f t="shared" si="78"/>
        <v>55.440000000000012</v>
      </c>
      <c r="EC41" s="173">
        <f t="shared" si="79"/>
        <v>4.0441379310344825</v>
      </c>
      <c r="ED41" s="173">
        <f t="shared" si="121"/>
        <v>13.708731241473401</v>
      </c>
      <c r="EE41" s="460">
        <f t="shared" si="80"/>
        <v>49.655172413793089</v>
      </c>
      <c r="EF41" s="5">
        <f t="shared" si="81"/>
        <v>2.8102939743433399</v>
      </c>
      <c r="EG41" s="5"/>
      <c r="EH41" s="173">
        <f t="shared" si="122"/>
        <v>2.5243640373574188</v>
      </c>
      <c r="EI41" s="173">
        <f t="shared" si="82"/>
        <v>5.1923905419594432</v>
      </c>
      <c r="EJ41" s="173"/>
      <c r="EK41" s="528">
        <f t="shared" si="83"/>
        <v>0.12744827586206894</v>
      </c>
      <c r="EL41" s="528">
        <f t="shared" si="84"/>
        <v>1.3564320000000001</v>
      </c>
      <c r="EM41" s="528">
        <f t="shared" si="85"/>
        <v>1.155E-2</v>
      </c>
      <c r="EN41" s="528">
        <f t="shared" si="86"/>
        <v>4.978105440000001E-2</v>
      </c>
      <c r="EO41">
        <f t="shared" si="87"/>
        <v>2.6099999999999998E-2</v>
      </c>
      <c r="EP41" s="460">
        <f t="shared" si="123"/>
        <v>37.65</v>
      </c>
      <c r="EQ41" s="528">
        <f t="shared" si="88"/>
        <v>1.6558647824574038</v>
      </c>
      <c r="ER41" s="460">
        <f t="shared" si="124"/>
        <v>1655.8647824574039</v>
      </c>
      <c r="ES41" s="528">
        <f t="shared" si="125"/>
        <v>2.2364999999999995</v>
      </c>
      <c r="ET41" s="528"/>
      <c r="EV41" s="460">
        <f t="shared" si="126"/>
        <v>2236.4999999999995</v>
      </c>
      <c r="EW41" s="528">
        <f t="shared" si="89"/>
        <v>0.19117241379310343</v>
      </c>
      <c r="EX41" s="528">
        <f t="shared" si="90"/>
        <v>0.80882758620689643</v>
      </c>
      <c r="EY41" s="528">
        <f t="shared" si="91"/>
        <v>1.2976271761898954</v>
      </c>
      <c r="EZ41" s="528">
        <f t="shared" si="92"/>
        <v>2.7582904089020599</v>
      </c>
      <c r="FA41" s="528">
        <f t="shared" si="93"/>
        <v>9.2400000000000017E-3</v>
      </c>
      <c r="FB41" s="460">
        <f t="shared" si="127"/>
        <v>2767.5304089020601</v>
      </c>
      <c r="FC41" s="173">
        <f t="shared" si="128"/>
        <v>6.659895191359464</v>
      </c>
      <c r="FD41" s="5">
        <f t="shared" si="129"/>
        <v>53.999999999999993</v>
      </c>
      <c r="FE41" s="173">
        <f t="shared" si="130"/>
        <v>0.89020925324137201</v>
      </c>
      <c r="FF41" s="5">
        <f t="shared" si="131"/>
        <v>89.020925324137195</v>
      </c>
      <c r="FI41" s="562">
        <f t="shared" si="94"/>
        <v>-50</v>
      </c>
      <c r="FJ41">
        <f t="shared" si="95"/>
        <v>-50</v>
      </c>
      <c r="FL41">
        <f t="shared" si="181"/>
        <v>0.72</v>
      </c>
    </row>
    <row r="42" spans="5:168">
      <c r="E42" s="170">
        <v>37</v>
      </c>
      <c r="F42" s="217">
        <f t="shared" si="182"/>
        <v>3.7</v>
      </c>
      <c r="G42" s="217"/>
      <c r="H42" s="217">
        <f t="shared" si="132"/>
        <v>55.5</v>
      </c>
      <c r="I42" s="541">
        <f t="shared" si="133"/>
        <v>57.753268114390089</v>
      </c>
      <c r="J42" s="172">
        <f t="shared" si="134"/>
        <v>15.548039131365949</v>
      </c>
      <c r="K42" s="172">
        <f t="shared" si="135"/>
        <v>73.548039131365954</v>
      </c>
      <c r="L42" s="443"/>
      <c r="M42" s="217">
        <f t="shared" si="136"/>
        <v>0.21213242465171064</v>
      </c>
      <c r="N42" s="172">
        <f t="shared" si="137"/>
        <v>307.17174212440574</v>
      </c>
      <c r="O42" s="172">
        <f t="shared" si="98"/>
        <v>55.5</v>
      </c>
      <c r="P42" s="217">
        <f t="shared" si="138"/>
        <v>20.478116141627048</v>
      </c>
      <c r="Q42" s="217">
        <f t="shared" si="139"/>
        <v>15</v>
      </c>
      <c r="R42" s="217">
        <f t="shared" si="140"/>
        <v>20.418901327776496</v>
      </c>
      <c r="S42" s="172">
        <f t="shared" si="141"/>
        <v>332.54090205128739</v>
      </c>
      <c r="T42" s="172">
        <f t="shared" si="142"/>
        <v>15</v>
      </c>
      <c r="U42" s="217">
        <f t="shared" si="143"/>
        <v>9.392441358852361</v>
      </c>
      <c r="V42" s="217">
        <f t="shared" si="11"/>
        <v>1.9515656859969996</v>
      </c>
      <c r="W42" s="217">
        <f t="shared" si="144"/>
        <v>7.2491003755485428</v>
      </c>
      <c r="X42" s="197">
        <f t="shared" si="145"/>
        <v>102.08436319744666</v>
      </c>
      <c r="Y42" s="443">
        <f t="shared" si="14"/>
        <v>106.37544121374656</v>
      </c>
      <c r="AA42" s="217">
        <f t="shared" si="146"/>
        <v>9.9999999999999982</v>
      </c>
      <c r="AB42" s="173">
        <f t="shared" si="147"/>
        <v>7.7180150491078408</v>
      </c>
      <c r="AC42" s="173">
        <f t="shared" si="148"/>
        <v>3.9394432571824192</v>
      </c>
      <c r="AD42" s="173"/>
      <c r="AE42" s="173">
        <f t="shared" si="149"/>
        <v>7.7180150491078416</v>
      </c>
      <c r="AF42" s="545">
        <f t="shared" si="150"/>
        <v>95.879574643423339</v>
      </c>
      <c r="AG42" s="528">
        <f t="shared" si="151"/>
        <v>3.9394432571824201</v>
      </c>
      <c r="AI42" s="173">
        <f t="shared" si="152"/>
        <v>5.2339434639509852</v>
      </c>
      <c r="AJ42" s="173">
        <f t="shared" si="153"/>
        <v>10</v>
      </c>
      <c r="AK42" s="173">
        <f t="shared" si="154"/>
        <v>1.0547883283676704</v>
      </c>
      <c r="AM42" s="545">
        <f t="shared" si="155"/>
        <v>3700</v>
      </c>
      <c r="AN42" s="460">
        <f t="shared" si="156"/>
        <v>95.879574643423339</v>
      </c>
      <c r="AP42">
        <f t="shared" si="157"/>
        <v>3700</v>
      </c>
      <c r="AQ42" s="460">
        <f t="shared" si="158"/>
        <v>95.879574643423339</v>
      </c>
      <c r="AR42" s="460"/>
      <c r="AS42" s="5">
        <f t="shared" si="101"/>
        <v>10.429750066361949</v>
      </c>
      <c r="AT42" s="5">
        <f t="shared" si="159"/>
        <v>2.0778044934586171</v>
      </c>
      <c r="AU42" s="5">
        <f t="shared" si="102"/>
        <v>8.3519455729033325</v>
      </c>
      <c r="AV42" s="5">
        <f t="shared" si="160"/>
        <v>7.7180150491078416</v>
      </c>
      <c r="AW42" s="173">
        <f t="shared" si="103"/>
        <v>0.19921901102500589</v>
      </c>
      <c r="AX42" s="173">
        <f t="shared" si="161"/>
        <v>57.527744786054015</v>
      </c>
      <c r="AY42" s="173">
        <f t="shared" si="162"/>
        <v>4.0039049448749706</v>
      </c>
      <c r="AZ42" s="173">
        <f t="shared" si="104"/>
        <v>14.367909722654623</v>
      </c>
      <c r="BA42" s="460">
        <f t="shared" si="163"/>
        <v>51.25251083864589</v>
      </c>
      <c r="BB42" s="5">
        <f t="shared" si="164"/>
        <v>2.767617549562555</v>
      </c>
      <c r="BC42" s="5"/>
      <c r="BD42" s="173">
        <f t="shared" si="105"/>
        <v>2.5769427042201638</v>
      </c>
      <c r="BE42" s="173">
        <f t="shared" si="165"/>
        <v>5.1664978111385862</v>
      </c>
      <c r="BF42" s="173"/>
      <c r="BG42" s="528">
        <f t="shared" si="166"/>
        <v>0.13281267401667063</v>
      </c>
      <c r="BH42" s="528">
        <f t="shared" si="167"/>
        <v>1.3222040077074793</v>
      </c>
      <c r="BI42" s="528">
        <f t="shared" si="168"/>
        <v>0.13843396952688261</v>
      </c>
      <c r="BJ42" s="528">
        <f t="shared" si="169"/>
        <v>5.1864273119209908E-2</v>
      </c>
      <c r="BK42">
        <f t="shared" si="170"/>
        <v>2.598897065147554E-2</v>
      </c>
      <c r="BL42" s="460">
        <f t="shared" si="106"/>
        <v>164.42294017835815</v>
      </c>
      <c r="BM42" s="528">
        <f t="shared" si="171"/>
        <v>1.5930098600905023</v>
      </c>
      <c r="BN42" s="460">
        <f t="shared" si="107"/>
        <v>1593.0098600905023</v>
      </c>
      <c r="BO42" s="528">
        <f t="shared" si="172"/>
        <v>2.2986249999999999</v>
      </c>
      <c r="BP42" s="528"/>
      <c r="BR42" s="460">
        <f t="shared" si="109"/>
        <v>2298.625</v>
      </c>
      <c r="BS42" s="528">
        <f t="shared" si="173"/>
        <v>0.19921901102500592</v>
      </c>
      <c r="BT42" s="528">
        <f t="shared" si="174"/>
        <v>0.80078098897499406</v>
      </c>
      <c r="BU42" s="528">
        <f t="shared" si="175"/>
        <v>0.83250000000000002</v>
      </c>
      <c r="BV42" s="528">
        <f t="shared" si="176"/>
        <v>2.2527173913043477</v>
      </c>
      <c r="BW42" s="528">
        <f t="shared" si="177"/>
        <v>9.5879574643423348E-3</v>
      </c>
      <c r="BX42" s="460">
        <f t="shared" si="110"/>
        <v>2262.3053487686898</v>
      </c>
      <c r="BY42" s="173">
        <f t="shared" si="45"/>
        <v>6.31836314903755</v>
      </c>
      <c r="BZ42" s="5">
        <f t="shared" si="111"/>
        <v>55.5</v>
      </c>
      <c r="CA42" s="173">
        <f t="shared" si="112"/>
        <v>0.89779148416135435</v>
      </c>
      <c r="CB42" s="5">
        <f t="shared" si="113"/>
        <v>89.779148416135428</v>
      </c>
      <c r="CE42" s="562">
        <f t="shared" si="178"/>
        <v>-50</v>
      </c>
      <c r="CF42">
        <f t="shared" si="179"/>
        <v>-50</v>
      </c>
      <c r="CG42" s="173">
        <f t="shared" si="180"/>
        <v>0.74980175157615281</v>
      </c>
      <c r="CI42" s="170">
        <v>37</v>
      </c>
      <c r="CJ42" s="217">
        <f t="shared" si="114"/>
        <v>3.7</v>
      </c>
      <c r="CK42" s="217"/>
      <c r="CL42" s="217">
        <f t="shared" si="49"/>
        <v>55.5</v>
      </c>
      <c r="CM42" s="541">
        <f t="shared" si="50"/>
        <v>58</v>
      </c>
      <c r="CN42" s="172">
        <f t="shared" si="51"/>
        <v>15.4</v>
      </c>
      <c r="CO42" s="443">
        <f t="shared" si="52"/>
        <v>73.400000000000006</v>
      </c>
      <c r="CP42" s="443"/>
      <c r="CQ42" s="217">
        <f t="shared" si="53"/>
        <v>0.2098092643051771</v>
      </c>
      <c r="CR42" s="172">
        <f t="shared" si="54"/>
        <v>305.10568119891008</v>
      </c>
      <c r="CS42" s="172">
        <f t="shared" si="115"/>
        <v>55.5</v>
      </c>
      <c r="CT42" s="217">
        <f t="shared" si="55"/>
        <v>20.340378746594006</v>
      </c>
      <c r="CU42" s="217">
        <f t="shared" si="56"/>
        <v>15</v>
      </c>
      <c r="CV42" s="217">
        <f t="shared" si="57"/>
        <v>20.281562216167121</v>
      </c>
      <c r="CW42" s="172">
        <f t="shared" si="58"/>
        <v>333.96127791692606</v>
      </c>
      <c r="CX42" s="172">
        <f t="shared" si="59"/>
        <v>15</v>
      </c>
      <c r="CY42" s="217">
        <f t="shared" si="60"/>
        <v>9.1215853112404837</v>
      </c>
      <c r="CZ42" s="217">
        <f t="shared" si="61"/>
        <v>1.8872245471532036</v>
      </c>
      <c r="DA42" s="217">
        <f t="shared" si="62"/>
        <v>7.1077288139536243</v>
      </c>
      <c r="DB42" s="197">
        <f t="shared" si="63"/>
        <v>101.4078110808356</v>
      </c>
      <c r="DC42" s="443">
        <f t="shared" si="116"/>
        <v>111.17345025088046</v>
      </c>
      <c r="DE42" s="217">
        <f t="shared" si="64"/>
        <v>10</v>
      </c>
      <c r="DF42" s="173">
        <f t="shared" si="65"/>
        <v>7.7922077922077913</v>
      </c>
      <c r="DG42" s="173">
        <f t="shared" si="66"/>
        <v>3.9509536784741139</v>
      </c>
      <c r="DH42" s="173"/>
      <c r="DI42" s="173">
        <f t="shared" si="67"/>
        <v>7.7922077922077913</v>
      </c>
      <c r="DJ42" s="545">
        <f t="shared" si="117"/>
        <v>94.966666666666669</v>
      </c>
      <c r="DK42" s="528">
        <f t="shared" si="68"/>
        <v>3.9509536784741139</v>
      </c>
      <c r="DM42" s="173">
        <f t="shared" si="69"/>
        <v>5.2089666281646823</v>
      </c>
      <c r="DN42" s="173">
        <f t="shared" si="70"/>
        <v>10</v>
      </c>
      <c r="DO42" s="173">
        <f t="shared" si="71"/>
        <v>1.0542666666666667</v>
      </c>
      <c r="DQ42" s="545">
        <f t="shared" si="72"/>
        <v>3700</v>
      </c>
      <c r="DR42" s="460">
        <f t="shared" si="73"/>
        <v>94.966666666666669</v>
      </c>
      <c r="DT42">
        <f t="shared" si="74"/>
        <v>3700</v>
      </c>
      <c r="DU42" s="460">
        <f t="shared" si="75"/>
        <v>94.966666666666669</v>
      </c>
      <c r="DV42" s="460"/>
      <c r="DW42" s="5">
        <f t="shared" si="118"/>
        <v>10.53001053001053</v>
      </c>
      <c r="DX42" s="5">
        <f t="shared" si="76"/>
        <v>2.068965517241379</v>
      </c>
      <c r="DY42" s="5">
        <f t="shared" si="119"/>
        <v>8.4610450127691514</v>
      </c>
      <c r="DZ42" s="5">
        <f t="shared" si="77"/>
        <v>7.7922077922077913</v>
      </c>
      <c r="EA42" s="173">
        <f t="shared" si="120"/>
        <v>0.19648275862068962</v>
      </c>
      <c r="EB42" s="173">
        <f t="shared" si="78"/>
        <v>56.980000000000011</v>
      </c>
      <c r="EC42" s="173">
        <f t="shared" si="79"/>
        <v>4.017586206896552</v>
      </c>
      <c r="ED42" s="173">
        <f t="shared" si="121"/>
        <v>14.182645266500732</v>
      </c>
      <c r="EE42" s="460">
        <f t="shared" si="80"/>
        <v>51.034482758620676</v>
      </c>
      <c r="EF42" s="5">
        <f t="shared" si="81"/>
        <v>2.7918430333453497</v>
      </c>
      <c r="EG42" s="5"/>
      <c r="EH42" s="173">
        <f t="shared" si="122"/>
        <v>2.559184496545007</v>
      </c>
      <c r="EI42" s="173">
        <f t="shared" si="82"/>
        <v>5.1753171927889605</v>
      </c>
      <c r="EJ42" s="173"/>
      <c r="EK42" s="528">
        <f t="shared" si="83"/>
        <v>0.13098850574712642</v>
      </c>
      <c r="EL42" s="528">
        <f t="shared" si="84"/>
        <v>1.3941106666666669</v>
      </c>
      <c r="EM42" s="528">
        <f t="shared" si="85"/>
        <v>1.1870833333333334E-2</v>
      </c>
      <c r="EN42" s="528">
        <f t="shared" si="86"/>
        <v>5.1163861466666676E-2</v>
      </c>
      <c r="EO42">
        <f t="shared" si="87"/>
        <v>2.6099999999999998E-2</v>
      </c>
      <c r="EP42" s="460">
        <f t="shared" si="123"/>
        <v>37.970833333333331</v>
      </c>
      <c r="EQ42" s="528">
        <f t="shared" si="88"/>
        <v>1.7025902572436786</v>
      </c>
      <c r="ER42" s="460">
        <f t="shared" si="124"/>
        <v>1702.5902572436787</v>
      </c>
      <c r="ES42" s="528">
        <f t="shared" si="125"/>
        <v>2.2986249999999999</v>
      </c>
      <c r="ET42" s="528"/>
      <c r="EV42" s="460">
        <f t="shared" si="126"/>
        <v>2298.625</v>
      </c>
      <c r="EW42" s="528">
        <f t="shared" si="89"/>
        <v>0.19648275862068962</v>
      </c>
      <c r="EX42" s="528">
        <f t="shared" si="90"/>
        <v>0.80351724137931024</v>
      </c>
      <c r="EY42" s="528">
        <f t="shared" si="91"/>
        <v>1.3896261901929081</v>
      </c>
      <c r="EZ42" s="528">
        <f t="shared" si="92"/>
        <v>2.8582893371662039</v>
      </c>
      <c r="FA42" s="528">
        <f t="shared" si="93"/>
        <v>9.4966666666666689E-3</v>
      </c>
      <c r="FB42" s="460">
        <f t="shared" si="127"/>
        <v>2867.7860038328708</v>
      </c>
      <c r="FC42" s="173">
        <f t="shared" si="128"/>
        <v>6.8690012610765487</v>
      </c>
      <c r="FD42" s="5">
        <f t="shared" si="129"/>
        <v>55.5</v>
      </c>
      <c r="FE42" s="173">
        <f t="shared" si="130"/>
        <v>0.88986513937712552</v>
      </c>
      <c r="FF42" s="5">
        <f t="shared" si="131"/>
        <v>88.986513937712559</v>
      </c>
      <c r="FI42" s="562">
        <f t="shared" si="94"/>
        <v>-50</v>
      </c>
      <c r="FJ42">
        <f t="shared" si="95"/>
        <v>-50</v>
      </c>
      <c r="FL42">
        <f t="shared" si="181"/>
        <v>0.74</v>
      </c>
    </row>
    <row r="43" spans="5:168">
      <c r="E43" s="170">
        <v>38</v>
      </c>
      <c r="F43" s="217">
        <f t="shared" si="182"/>
        <v>3.8</v>
      </c>
      <c r="G43" s="217"/>
      <c r="H43" s="217">
        <f t="shared" si="132"/>
        <v>57</v>
      </c>
      <c r="I43" s="541">
        <f t="shared" si="133"/>
        <v>57.753268114390089</v>
      </c>
      <c r="J43" s="172">
        <f t="shared" si="134"/>
        <v>15.548039131365949</v>
      </c>
      <c r="K43" s="172">
        <f t="shared" si="135"/>
        <v>73.548039131365954</v>
      </c>
      <c r="L43" s="443"/>
      <c r="M43" s="217">
        <f t="shared" si="136"/>
        <v>0.21213242465171064</v>
      </c>
      <c r="N43" s="172">
        <f t="shared" si="137"/>
        <v>307.17174212440574</v>
      </c>
      <c r="O43" s="172">
        <f t="shared" si="98"/>
        <v>57</v>
      </c>
      <c r="P43" s="217">
        <f t="shared" si="138"/>
        <v>20.478116141627048</v>
      </c>
      <c r="Q43" s="217">
        <f t="shared" si="139"/>
        <v>15</v>
      </c>
      <c r="R43" s="217">
        <f t="shared" si="140"/>
        <v>20.418901327776496</v>
      </c>
      <c r="S43" s="172">
        <f t="shared" si="141"/>
        <v>322.27403648974706</v>
      </c>
      <c r="T43" s="172">
        <f t="shared" si="142"/>
        <v>15</v>
      </c>
      <c r="U43" s="217">
        <f t="shared" si="143"/>
        <v>9.6462911253078296</v>
      </c>
      <c r="V43" s="217">
        <f t="shared" si="11"/>
        <v>2.0043107045374589</v>
      </c>
      <c r="W43" s="217">
        <f t="shared" si="144"/>
        <v>7.4450220073201239</v>
      </c>
      <c r="X43" s="197">
        <f t="shared" si="145"/>
        <v>102.08436319744666</v>
      </c>
      <c r="Y43" s="443">
        <f t="shared" si="14"/>
        <v>103.63410920333901</v>
      </c>
      <c r="AA43" s="217">
        <f t="shared" si="146"/>
        <v>9.9999999999999982</v>
      </c>
      <c r="AB43" s="173">
        <f t="shared" si="147"/>
        <v>7.7180150491078408</v>
      </c>
      <c r="AC43" s="173">
        <f t="shared" si="148"/>
        <v>3.9394432571824192</v>
      </c>
      <c r="AD43" s="173"/>
      <c r="AE43" s="173">
        <f t="shared" si="149"/>
        <v>7.7180150491078416</v>
      </c>
      <c r="AF43" s="545">
        <f t="shared" si="150"/>
        <v>98.470914498650998</v>
      </c>
      <c r="AG43" s="528">
        <f t="shared" si="151"/>
        <v>3.9394432571824201</v>
      </c>
      <c r="AI43" s="173">
        <f t="shared" si="152"/>
        <v>5.3042008822832658</v>
      </c>
      <c r="AJ43" s="173">
        <f t="shared" si="153"/>
        <v>10</v>
      </c>
      <c r="AK43" s="173">
        <f t="shared" si="154"/>
        <v>1.0562690939992292</v>
      </c>
      <c r="AM43" s="545">
        <f t="shared" si="155"/>
        <v>3800</v>
      </c>
      <c r="AN43" s="460">
        <f t="shared" si="156"/>
        <v>98.470914498650998</v>
      </c>
      <c r="AP43">
        <f t="shared" si="157"/>
        <v>3800</v>
      </c>
      <c r="AQ43" s="460">
        <f t="shared" si="158"/>
        <v>98.470914498650998</v>
      </c>
      <c r="AR43" s="460"/>
      <c r="AS43" s="5">
        <f t="shared" si="101"/>
        <v>10.155282959352423</v>
      </c>
      <c r="AT43" s="5">
        <f t="shared" si="159"/>
        <v>2.0778044934586171</v>
      </c>
      <c r="AU43" s="5">
        <f t="shared" si="102"/>
        <v>8.0774784658938064</v>
      </c>
      <c r="AV43" s="5">
        <f t="shared" si="160"/>
        <v>7.7180150491078416</v>
      </c>
      <c r="AW43" s="173">
        <f t="shared" si="103"/>
        <v>0.20460330862027634</v>
      </c>
      <c r="AX43" s="173">
        <f t="shared" si="161"/>
        <v>59.08254869919061</v>
      </c>
      <c r="AY43" s="173">
        <f t="shared" si="162"/>
        <v>3.9769834568986182</v>
      </c>
      <c r="AZ43" s="173">
        <f t="shared" si="104"/>
        <v>14.856121313933027</v>
      </c>
      <c r="BA43" s="460">
        <f t="shared" si="163"/>
        <v>52.637713834284966</v>
      </c>
      <c r="BB43" s="5">
        <f t="shared" si="164"/>
        <v>2.7490086206270514</v>
      </c>
      <c r="BC43" s="5"/>
      <c r="BD43" s="173">
        <f t="shared" si="105"/>
        <v>2.6115340869578061</v>
      </c>
      <c r="BE43" s="173">
        <f t="shared" si="165"/>
        <v>5.1490992460808904</v>
      </c>
      <c r="BF43" s="173"/>
      <c r="BG43" s="528">
        <f t="shared" si="166"/>
        <v>0.13640220574685086</v>
      </c>
      <c r="BH43" s="528">
        <f t="shared" si="167"/>
        <v>1.3579392511590325</v>
      </c>
      <c r="BI43" s="528">
        <f t="shared" si="168"/>
        <v>0.14217542816274434</v>
      </c>
      <c r="BJ43" s="528">
        <f t="shared" si="169"/>
        <v>5.3266010230539909E-2</v>
      </c>
      <c r="BK43">
        <f t="shared" si="170"/>
        <v>2.598897065147554E-2</v>
      </c>
      <c r="BL43" s="460">
        <f t="shared" si="106"/>
        <v>168.16439881421988</v>
      </c>
      <c r="BM43" s="528">
        <f t="shared" si="171"/>
        <v>1.6375062721532441</v>
      </c>
      <c r="BN43" s="460">
        <f t="shared" si="107"/>
        <v>1637.506272153244</v>
      </c>
      <c r="BO43" s="528">
        <f t="shared" si="172"/>
        <v>2.3607499999999995</v>
      </c>
      <c r="BP43" s="528"/>
      <c r="BR43" s="460">
        <f t="shared" si="109"/>
        <v>2360.7499999999995</v>
      </c>
      <c r="BS43" s="528">
        <f t="shared" si="173"/>
        <v>0.20460330862027626</v>
      </c>
      <c r="BT43" s="528">
        <f t="shared" si="174"/>
        <v>0.7953966913797238</v>
      </c>
      <c r="BU43" s="528">
        <f t="shared" si="175"/>
        <v>0.85499999999999998</v>
      </c>
      <c r="BV43" s="528">
        <f t="shared" si="176"/>
        <v>2.277173913043478</v>
      </c>
      <c r="BW43" s="528">
        <f t="shared" si="177"/>
        <v>9.8470914498651006E-3</v>
      </c>
      <c r="BX43" s="460">
        <f t="shared" si="110"/>
        <v>2287.0210044933433</v>
      </c>
      <c r="BY43" s="173">
        <f t="shared" si="45"/>
        <v>6.453441675460807</v>
      </c>
      <c r="BZ43" s="5">
        <f t="shared" si="111"/>
        <v>57</v>
      </c>
      <c r="CA43" s="173">
        <f t="shared" si="112"/>
        <v>0.89829642797836551</v>
      </c>
      <c r="CB43" s="5">
        <f t="shared" si="113"/>
        <v>89.829642797836556</v>
      </c>
      <c r="CE43" s="562">
        <f t="shared" si="178"/>
        <v>-50</v>
      </c>
      <c r="CF43">
        <f t="shared" si="179"/>
        <v>-50</v>
      </c>
      <c r="CG43" s="173">
        <f t="shared" si="180"/>
        <v>0.77006666378091349</v>
      </c>
      <c r="CI43" s="170">
        <v>38</v>
      </c>
      <c r="CJ43" s="217">
        <f t="shared" si="114"/>
        <v>3.8</v>
      </c>
      <c r="CK43" s="217"/>
      <c r="CL43" s="217">
        <f t="shared" si="49"/>
        <v>57</v>
      </c>
      <c r="CM43" s="541">
        <f t="shared" si="50"/>
        <v>58</v>
      </c>
      <c r="CN43" s="172">
        <f t="shared" si="51"/>
        <v>15.4</v>
      </c>
      <c r="CO43" s="443">
        <f t="shared" si="52"/>
        <v>73.400000000000006</v>
      </c>
      <c r="CP43" s="443"/>
      <c r="CQ43" s="217">
        <f t="shared" si="53"/>
        <v>0.2098092643051771</v>
      </c>
      <c r="CR43" s="172">
        <f t="shared" si="54"/>
        <v>305.10568119891008</v>
      </c>
      <c r="CS43" s="172">
        <f t="shared" si="115"/>
        <v>57</v>
      </c>
      <c r="CT43" s="217">
        <f t="shared" si="55"/>
        <v>20.340378746594006</v>
      </c>
      <c r="CU43" s="217">
        <f t="shared" si="56"/>
        <v>15</v>
      </c>
      <c r="CV43" s="217">
        <f t="shared" si="57"/>
        <v>20.281562216167121</v>
      </c>
      <c r="CW43" s="172">
        <f t="shared" si="58"/>
        <v>323.65054113869678</v>
      </c>
      <c r="CX43" s="172">
        <f t="shared" si="59"/>
        <v>15</v>
      </c>
      <c r="CY43" s="217">
        <f t="shared" si="60"/>
        <v>9.368114643976714</v>
      </c>
      <c r="CZ43" s="217">
        <f t="shared" si="61"/>
        <v>1.9382306159951825</v>
      </c>
      <c r="DA43" s="217">
        <f t="shared" si="62"/>
        <v>7.2998295927091279</v>
      </c>
      <c r="DB43" s="197">
        <f t="shared" si="63"/>
        <v>101.4078110808356</v>
      </c>
      <c r="DC43" s="443">
        <f t="shared" si="116"/>
        <v>108.24783313901519</v>
      </c>
      <c r="DE43" s="217">
        <f t="shared" si="64"/>
        <v>10</v>
      </c>
      <c r="DF43" s="173">
        <f t="shared" si="65"/>
        <v>7.7922077922077913</v>
      </c>
      <c r="DG43" s="173">
        <f t="shared" si="66"/>
        <v>3.9509536784741139</v>
      </c>
      <c r="DH43" s="173"/>
      <c r="DI43" s="173">
        <f t="shared" si="67"/>
        <v>7.7922077922077913</v>
      </c>
      <c r="DJ43" s="545">
        <f t="shared" si="117"/>
        <v>97.533333333333331</v>
      </c>
      <c r="DK43" s="528">
        <f t="shared" si="68"/>
        <v>3.9509536784741139</v>
      </c>
      <c r="DM43" s="173">
        <f t="shared" si="69"/>
        <v>5.2788887719544411</v>
      </c>
      <c r="DN43" s="173">
        <f t="shared" si="70"/>
        <v>10</v>
      </c>
      <c r="DO43" s="173">
        <f t="shared" si="71"/>
        <v>1.0557333333333334</v>
      </c>
      <c r="DQ43" s="545">
        <f t="shared" si="72"/>
        <v>3800</v>
      </c>
      <c r="DR43" s="460">
        <f t="shared" si="73"/>
        <v>97.533333333333331</v>
      </c>
      <c r="DT43">
        <f t="shared" si="74"/>
        <v>3800</v>
      </c>
      <c r="DU43" s="460">
        <f t="shared" si="75"/>
        <v>97.533333333333331</v>
      </c>
      <c r="DV43" s="460"/>
      <c r="DW43" s="5">
        <f t="shared" si="118"/>
        <v>10.252904989747096</v>
      </c>
      <c r="DX43" s="5">
        <f t="shared" si="76"/>
        <v>2.068965517241379</v>
      </c>
      <c r="DY43" s="5">
        <f t="shared" si="119"/>
        <v>8.1839394725057169</v>
      </c>
      <c r="DZ43" s="5">
        <f t="shared" si="77"/>
        <v>7.7922077922077913</v>
      </c>
      <c r="EA43" s="173">
        <f t="shared" si="120"/>
        <v>0.20179310344827581</v>
      </c>
      <c r="EB43" s="173">
        <f t="shared" si="78"/>
        <v>58.52</v>
      </c>
      <c r="EC43" s="173">
        <f t="shared" si="79"/>
        <v>3.9910344827586206</v>
      </c>
      <c r="ED43" s="173">
        <f t="shared" si="121"/>
        <v>14.662865042336271</v>
      </c>
      <c r="EE43" s="460">
        <f t="shared" si="80"/>
        <v>52.41379310344827</v>
      </c>
      <c r="EF43" s="5">
        <f t="shared" si="81"/>
        <v>2.773392092347359</v>
      </c>
      <c r="EG43" s="5"/>
      <c r="EH43" s="173">
        <f t="shared" si="122"/>
        <v>2.5935375034128954</v>
      </c>
      <c r="EI43" s="173">
        <f t="shared" si="82"/>
        <v>5.1581873319727487</v>
      </c>
      <c r="EJ43" s="173"/>
      <c r="EK43" s="528">
        <f t="shared" si="83"/>
        <v>0.13452873563218387</v>
      </c>
      <c r="EL43" s="528">
        <f t="shared" si="84"/>
        <v>1.4317893333333331</v>
      </c>
      <c r="EM43" s="528">
        <f t="shared" si="85"/>
        <v>1.2191666666666665E-2</v>
      </c>
      <c r="EN43" s="528">
        <f t="shared" si="86"/>
        <v>5.2546668533333341E-2</v>
      </c>
      <c r="EO43">
        <f t="shared" si="87"/>
        <v>2.6099999999999998E-2</v>
      </c>
      <c r="EP43" s="460">
        <f t="shared" si="123"/>
        <v>38.291666666666664</v>
      </c>
      <c r="EQ43" s="528">
        <f t="shared" si="88"/>
        <v>1.7493969346650666</v>
      </c>
      <c r="ER43" s="460">
        <f t="shared" si="124"/>
        <v>1749.3969346650667</v>
      </c>
      <c r="ES43" s="528">
        <f t="shared" si="125"/>
        <v>2.3607499999999995</v>
      </c>
      <c r="ET43" s="528"/>
      <c r="EV43" s="460">
        <f t="shared" si="126"/>
        <v>2360.7499999999995</v>
      </c>
      <c r="EW43" s="528">
        <f t="shared" si="89"/>
        <v>0.20179310344827581</v>
      </c>
      <c r="EX43" s="528">
        <f t="shared" si="90"/>
        <v>0.79820689655172428</v>
      </c>
      <c r="EY43" s="528">
        <f t="shared" si="91"/>
        <v>1.4854316460541377</v>
      </c>
      <c r="EZ43" s="528">
        <f t="shared" si="92"/>
        <v>2.9624257022327583</v>
      </c>
      <c r="FA43" s="528">
        <f t="shared" si="93"/>
        <v>9.7533333333333343E-3</v>
      </c>
      <c r="FB43" s="460">
        <f t="shared" si="127"/>
        <v>2972.1790355660914</v>
      </c>
      <c r="FC43" s="173">
        <f t="shared" si="128"/>
        <v>7.0823259702311576</v>
      </c>
      <c r="FD43" s="5">
        <f t="shared" si="129"/>
        <v>57</v>
      </c>
      <c r="FE43" s="173">
        <f t="shared" si="130"/>
        <v>0.88948082231719894</v>
      </c>
      <c r="FF43" s="5">
        <f t="shared" si="131"/>
        <v>88.948082231719894</v>
      </c>
      <c r="FI43" s="562">
        <f t="shared" si="94"/>
        <v>-50</v>
      </c>
      <c r="FJ43">
        <f t="shared" si="95"/>
        <v>-50</v>
      </c>
      <c r="FL43">
        <f t="shared" si="181"/>
        <v>0.76</v>
      </c>
    </row>
    <row r="44" spans="5:168">
      <c r="E44" s="170">
        <v>39</v>
      </c>
      <c r="F44" s="217">
        <f t="shared" si="182"/>
        <v>3.9000000000000004</v>
      </c>
      <c r="G44" s="217"/>
      <c r="H44" s="217">
        <f t="shared" si="132"/>
        <v>58.500000000000007</v>
      </c>
      <c r="I44" s="541">
        <f t="shared" si="133"/>
        <v>57.752504009500697</v>
      </c>
      <c r="J44" s="172">
        <f t="shared" si="134"/>
        <v>15.548497594299583</v>
      </c>
      <c r="K44" s="172">
        <f t="shared" si="135"/>
        <v>73.54849759429959</v>
      </c>
      <c r="L44" s="443"/>
      <c r="M44" s="217">
        <f t="shared" si="136"/>
        <v>0.21213463591891177</v>
      </c>
      <c r="N44" s="172">
        <f t="shared" si="137"/>
        <v>307.17088000135396</v>
      </c>
      <c r="O44" s="172">
        <f t="shared" si="98"/>
        <v>58.500000000000007</v>
      </c>
      <c r="P44" s="217">
        <f t="shared" si="138"/>
        <v>20.47805866675693</v>
      </c>
      <c r="Q44" s="217">
        <f t="shared" si="139"/>
        <v>15</v>
      </c>
      <c r="R44" s="217">
        <f t="shared" si="140"/>
        <v>20.418844019101538</v>
      </c>
      <c r="S44" s="172">
        <f t="shared" si="141"/>
        <v>312.52967672859546</v>
      </c>
      <c r="T44" s="172">
        <f t="shared" si="142"/>
        <v>15</v>
      </c>
      <c r="U44" s="217">
        <f t="shared" si="143"/>
        <v>9.9001686780550155</v>
      </c>
      <c r="V44" s="217">
        <f t="shared" si="11"/>
        <v>2.0570887128481288</v>
      </c>
      <c r="W44" s="217">
        <f t="shared" si="144"/>
        <v>7.6407397831296322</v>
      </c>
      <c r="X44" s="197">
        <f t="shared" si="145"/>
        <v>102.08644834419559</v>
      </c>
      <c r="Y44" s="443">
        <f t="shared" si="14"/>
        <v>101.03226181443495</v>
      </c>
      <c r="AA44" s="217">
        <f t="shared" si="146"/>
        <v>10</v>
      </c>
      <c r="AB44" s="173">
        <f t="shared" si="147"/>
        <v>7.7177874757490788</v>
      </c>
      <c r="AC44" s="173">
        <f t="shared" si="148"/>
        <v>3.9394075623726899</v>
      </c>
      <c r="AD44" s="173"/>
      <c r="AE44" s="173">
        <f t="shared" si="149"/>
        <v>7.7177874757490788</v>
      </c>
      <c r="AF44" s="545">
        <f t="shared" si="150"/>
        <v>101.06523436294729</v>
      </c>
      <c r="AG44" s="528">
        <f t="shared" si="151"/>
        <v>3.9394075623726899</v>
      </c>
      <c r="AI44" s="173">
        <f t="shared" si="152"/>
        <v>5.3736190083179851</v>
      </c>
      <c r="AJ44" s="173">
        <f t="shared" si="153"/>
        <v>10</v>
      </c>
      <c r="AK44" s="173">
        <f t="shared" si="154"/>
        <v>1.0577515624931126</v>
      </c>
      <c r="AM44" s="545">
        <f t="shared" si="155"/>
        <v>3900.0000000000005</v>
      </c>
      <c r="AN44" s="460">
        <f t="shared" si="156"/>
        <v>101.06523436294729</v>
      </c>
      <c r="AP44">
        <f t="shared" si="157"/>
        <v>3900.0000000000005</v>
      </c>
      <c r="AQ44" s="460">
        <f t="shared" si="158"/>
        <v>101.06523436294729</v>
      </c>
      <c r="AR44" s="460"/>
      <c r="AS44" s="5">
        <f t="shared" si="101"/>
        <v>9.8945993278834337</v>
      </c>
      <c r="AT44" s="5">
        <f t="shared" si="159"/>
        <v>2.0778319842245998</v>
      </c>
      <c r="AU44" s="5">
        <f t="shared" si="102"/>
        <v>7.8167673436588334</v>
      </c>
      <c r="AV44" s="5">
        <f t="shared" si="160"/>
        <v>7.7177874757490788</v>
      </c>
      <c r="AW44" s="173">
        <f t="shared" si="103"/>
        <v>0.20999657645248698</v>
      </c>
      <c r="AX44" s="173">
        <f t="shared" si="161"/>
        <v>60.639140617768376</v>
      </c>
      <c r="AY44" s="173">
        <f t="shared" si="162"/>
        <v>3.9500171177375654</v>
      </c>
      <c r="AZ44" s="173">
        <f t="shared" si="104"/>
        <v>15.351614641229808</v>
      </c>
      <c r="BA44" s="460">
        <f t="shared" si="163"/>
        <v>54.023631589839596</v>
      </c>
      <c r="BB44" s="5">
        <f t="shared" si="164"/>
        <v>2.730324305155047</v>
      </c>
      <c r="BC44" s="5"/>
      <c r="BD44" s="173">
        <f t="shared" si="105"/>
        <v>2.6457297446545001</v>
      </c>
      <c r="BE44" s="173">
        <f t="shared" si="165"/>
        <v>5.1316125586002475</v>
      </c>
      <c r="BF44" s="173"/>
      <c r="BG44" s="528">
        <f t="shared" si="166"/>
        <v>0.13999771763499133</v>
      </c>
      <c r="BH44" s="528">
        <f t="shared" si="167"/>
        <v>1.3937242774519787</v>
      </c>
      <c r="BI44" s="528">
        <f t="shared" si="168"/>
        <v>0.14591925881918102</v>
      </c>
      <c r="BJ44" s="528">
        <f t="shared" si="169"/>
        <v>5.4670040889223358E-2</v>
      </c>
      <c r="BK44">
        <f t="shared" si="170"/>
        <v>2.5988626804275314E-2</v>
      </c>
      <c r="BL44" s="460">
        <f t="shared" si="106"/>
        <v>171.90788562345634</v>
      </c>
      <c r="BM44" s="528">
        <f t="shared" si="171"/>
        <v>1.6821453918413516</v>
      </c>
      <c r="BN44" s="460">
        <f t="shared" si="107"/>
        <v>1682.1453918413515</v>
      </c>
      <c r="BO44" s="528">
        <f t="shared" si="172"/>
        <v>2.4228749999999999</v>
      </c>
      <c r="BP44" s="528"/>
      <c r="BR44" s="460">
        <f t="shared" si="109"/>
        <v>2422.875</v>
      </c>
      <c r="BS44" s="528">
        <f t="shared" si="173"/>
        <v>0.20999657645248695</v>
      </c>
      <c r="BT44" s="528">
        <f t="shared" si="174"/>
        <v>0.79000342354751341</v>
      </c>
      <c r="BU44" s="528">
        <f t="shared" si="175"/>
        <v>0.87750000000000006</v>
      </c>
      <c r="BV44" s="528">
        <f t="shared" si="176"/>
        <v>2.3016304347826093</v>
      </c>
      <c r="BW44" s="528">
        <f t="shared" si="177"/>
        <v>1.010652343629473E-2</v>
      </c>
      <c r="BX44" s="460">
        <f t="shared" si="110"/>
        <v>2311.736958218904</v>
      </c>
      <c r="BY44" s="173">
        <f t="shared" si="45"/>
        <v>6.5886652356837123</v>
      </c>
      <c r="BZ44" s="5">
        <f t="shared" si="111"/>
        <v>58.500000000000007</v>
      </c>
      <c r="CA44" s="173">
        <f t="shared" si="112"/>
        <v>0.89877399986884976</v>
      </c>
      <c r="CB44" s="5">
        <f t="shared" si="113"/>
        <v>89.877399986884981</v>
      </c>
      <c r="CE44" s="562">
        <f t="shared" si="178"/>
        <v>-50</v>
      </c>
      <c r="CF44">
        <f t="shared" si="179"/>
        <v>-50</v>
      </c>
      <c r="CG44" s="173">
        <f t="shared" si="180"/>
        <v>0.78789155172413794</v>
      </c>
      <c r="CI44" s="170">
        <v>39</v>
      </c>
      <c r="CJ44" s="217">
        <f t="shared" si="114"/>
        <v>3.9000000000000004</v>
      </c>
      <c r="CK44" s="217"/>
      <c r="CL44" s="217">
        <f t="shared" si="49"/>
        <v>58.500000000000007</v>
      </c>
      <c r="CM44" s="541">
        <f t="shared" si="50"/>
        <v>58</v>
      </c>
      <c r="CN44" s="172">
        <f t="shared" si="51"/>
        <v>15.4</v>
      </c>
      <c r="CO44" s="443">
        <f t="shared" si="52"/>
        <v>73.400000000000006</v>
      </c>
      <c r="CP44" s="443"/>
      <c r="CQ44" s="217">
        <f t="shared" si="53"/>
        <v>0.2098092643051771</v>
      </c>
      <c r="CR44" s="172">
        <f t="shared" si="54"/>
        <v>305.10568119891008</v>
      </c>
      <c r="CS44" s="172">
        <f t="shared" si="115"/>
        <v>58.500000000000007</v>
      </c>
      <c r="CT44" s="217">
        <f t="shared" si="55"/>
        <v>20.340378746594006</v>
      </c>
      <c r="CU44" s="217">
        <f t="shared" si="56"/>
        <v>15</v>
      </c>
      <c r="CV44" s="217">
        <f t="shared" si="57"/>
        <v>20.281562216167121</v>
      </c>
      <c r="CW44" s="172">
        <f t="shared" si="58"/>
        <v>313.86869397456962</v>
      </c>
      <c r="CX44" s="172">
        <f t="shared" si="59"/>
        <v>15</v>
      </c>
      <c r="CY44" s="217">
        <f t="shared" si="60"/>
        <v>9.6146439767129444</v>
      </c>
      <c r="CZ44" s="217">
        <f t="shared" si="61"/>
        <v>1.9892366848371608</v>
      </c>
      <c r="DA44" s="217">
        <f t="shared" si="62"/>
        <v>7.4919303714646315</v>
      </c>
      <c r="DB44" s="197">
        <f t="shared" si="63"/>
        <v>101.4078110808356</v>
      </c>
      <c r="DC44" s="443">
        <f t="shared" si="116"/>
        <v>105.47224767391222</v>
      </c>
      <c r="DE44" s="217">
        <f t="shared" si="64"/>
        <v>10</v>
      </c>
      <c r="DF44" s="173">
        <f t="shared" si="65"/>
        <v>7.7922077922077913</v>
      </c>
      <c r="DG44" s="173">
        <f t="shared" si="66"/>
        <v>3.9509536784741139</v>
      </c>
      <c r="DH44" s="173"/>
      <c r="DI44" s="173">
        <f t="shared" si="67"/>
        <v>7.7922077922077913</v>
      </c>
      <c r="DJ44" s="545">
        <f t="shared" si="117"/>
        <v>100.10000000000001</v>
      </c>
      <c r="DK44" s="528">
        <f t="shared" si="68"/>
        <v>3.9509536784741139</v>
      </c>
      <c r="DM44" s="173">
        <f t="shared" si="69"/>
        <v>5.3478967828483759</v>
      </c>
      <c r="DN44" s="173">
        <f t="shared" si="70"/>
        <v>10</v>
      </c>
      <c r="DO44" s="173">
        <f t="shared" si="71"/>
        <v>1.0571999999999999</v>
      </c>
      <c r="DQ44" s="545">
        <f t="shared" si="72"/>
        <v>3900.0000000000005</v>
      </c>
      <c r="DR44" s="460">
        <f t="shared" si="73"/>
        <v>100.10000000000001</v>
      </c>
      <c r="DT44">
        <f t="shared" si="74"/>
        <v>3900.0000000000005</v>
      </c>
      <c r="DU44" s="460">
        <f t="shared" si="75"/>
        <v>100.10000000000001</v>
      </c>
      <c r="DV44" s="460"/>
      <c r="DW44" s="5">
        <f t="shared" si="118"/>
        <v>9.9900099900099892</v>
      </c>
      <c r="DX44" s="5">
        <f t="shared" si="76"/>
        <v>2.068965517241379</v>
      </c>
      <c r="DY44" s="5">
        <f t="shared" si="119"/>
        <v>7.9210444727686102</v>
      </c>
      <c r="DZ44" s="5">
        <f t="shared" si="77"/>
        <v>7.7922077922077913</v>
      </c>
      <c r="EA44" s="173">
        <f t="shared" si="120"/>
        <v>0.20710344827586205</v>
      </c>
      <c r="EB44" s="173">
        <f t="shared" si="78"/>
        <v>60.060000000000009</v>
      </c>
      <c r="EC44" s="173">
        <f t="shared" si="79"/>
        <v>3.9644827586206901</v>
      </c>
      <c r="ED44" s="173">
        <f t="shared" si="121"/>
        <v>15.149517265373577</v>
      </c>
      <c r="EE44" s="460">
        <f t="shared" si="80"/>
        <v>53.793103448275865</v>
      </c>
      <c r="EF44" s="5">
        <f t="shared" si="81"/>
        <v>2.7549411513493682</v>
      </c>
      <c r="EG44" s="5"/>
      <c r="EH44" s="173">
        <f t="shared" si="122"/>
        <v>2.6274413934209968</v>
      </c>
      <c r="EI44" s="173">
        <f t="shared" si="82"/>
        <v>5.1410003946188585</v>
      </c>
      <c r="EJ44" s="173"/>
      <c r="EK44" s="528">
        <f t="shared" si="83"/>
        <v>0.13806896551724138</v>
      </c>
      <c r="EL44" s="528">
        <f t="shared" si="84"/>
        <v>1.4694680000000002</v>
      </c>
      <c r="EM44" s="528">
        <f t="shared" si="85"/>
        <v>1.2512500000000001E-2</v>
      </c>
      <c r="EN44" s="528">
        <f t="shared" si="86"/>
        <v>5.3929475600000013E-2</v>
      </c>
      <c r="EO44">
        <f t="shared" si="87"/>
        <v>2.6099999999999998E-2</v>
      </c>
      <c r="EP44" s="460">
        <f t="shared" si="123"/>
        <v>38.612500000000004</v>
      </c>
      <c r="EQ44" s="528">
        <f t="shared" si="88"/>
        <v>1.7962850265846666</v>
      </c>
      <c r="ER44" s="460">
        <f t="shared" si="124"/>
        <v>1796.2850265846666</v>
      </c>
      <c r="ES44" s="528">
        <f t="shared" si="125"/>
        <v>2.4228749999999999</v>
      </c>
      <c r="ET44" s="528"/>
      <c r="EV44" s="460">
        <f t="shared" si="126"/>
        <v>2422.875</v>
      </c>
      <c r="EW44" s="528">
        <f t="shared" si="89"/>
        <v>0.20710344827586208</v>
      </c>
      <c r="EX44" s="528">
        <f t="shared" si="90"/>
        <v>0.79289655172413775</v>
      </c>
      <c r="EY44" s="528">
        <f t="shared" si="91"/>
        <v>1.5850946422887529</v>
      </c>
      <c r="EZ44" s="528">
        <f t="shared" si="92"/>
        <v>3.0707550459660355</v>
      </c>
      <c r="FA44" s="528">
        <f t="shared" si="93"/>
        <v>1.0010000000000003E-2</v>
      </c>
      <c r="FB44" s="460">
        <f t="shared" si="127"/>
        <v>3080.7650459660354</v>
      </c>
      <c r="FC44" s="173">
        <f t="shared" si="128"/>
        <v>7.2999250725507023</v>
      </c>
      <c r="FD44" s="5">
        <f t="shared" si="129"/>
        <v>58.500000000000007</v>
      </c>
      <c r="FE44" s="173">
        <f t="shared" si="130"/>
        <v>0.88905876314445897</v>
      </c>
      <c r="FF44" s="5">
        <f t="shared" si="131"/>
        <v>88.905876314445891</v>
      </c>
      <c r="FI44" s="562">
        <f t="shared" si="94"/>
        <v>-50</v>
      </c>
      <c r="FJ44">
        <f t="shared" si="95"/>
        <v>-50</v>
      </c>
      <c r="FL44">
        <f t="shared" si="181"/>
        <v>0.78</v>
      </c>
    </row>
    <row r="45" spans="5:168">
      <c r="E45" s="170">
        <v>40</v>
      </c>
      <c r="F45" s="217">
        <f t="shared" si="182"/>
        <v>4</v>
      </c>
      <c r="G45" s="217"/>
      <c r="H45" s="217">
        <f t="shared" si="132"/>
        <v>60</v>
      </c>
      <c r="I45" s="541">
        <f t="shared" si="133"/>
        <v>57.744276670727551</v>
      </c>
      <c r="J45" s="172">
        <f t="shared" si="134"/>
        <v>15.553433997563472</v>
      </c>
      <c r="K45" s="172">
        <f t="shared" si="135"/>
        <v>73.553433997563474</v>
      </c>
      <c r="L45" s="443"/>
      <c r="M45" s="217">
        <f t="shared" si="136"/>
        <v>0.21218458739686535</v>
      </c>
      <c r="N45" s="172">
        <f t="shared" si="137"/>
        <v>307.19944029791247</v>
      </c>
      <c r="O45" s="172">
        <f t="shared" si="98"/>
        <v>60</v>
      </c>
      <c r="P45" s="217">
        <f t="shared" si="138"/>
        <v>20.479962686527497</v>
      </c>
      <c r="Q45" s="217">
        <f t="shared" si="139"/>
        <v>15</v>
      </c>
      <c r="R45" s="217">
        <f t="shared" si="140"/>
        <v>20.420742533181272</v>
      </c>
      <c r="S45" s="172">
        <f t="shared" si="141"/>
        <v>303.23352353745508</v>
      </c>
      <c r="T45" s="172">
        <f t="shared" si="142"/>
        <v>15</v>
      </c>
      <c r="U45" s="217">
        <f t="shared" si="143"/>
        <v>10.154662973101839</v>
      </c>
      <c r="V45" s="217">
        <f t="shared" si="11"/>
        <v>2.1102689773408283</v>
      </c>
      <c r="W45" s="217">
        <f t="shared" si="144"/>
        <v>7.8346656883818353</v>
      </c>
      <c r="X45" s="197">
        <f t="shared" si="145"/>
        <v>102.10889577889384</v>
      </c>
      <c r="Y45" s="443">
        <f t="shared" si="14"/>
        <v>98.571359299016862</v>
      </c>
      <c r="AA45" s="217">
        <f t="shared" si="146"/>
        <v>9.9999999999999982</v>
      </c>
      <c r="AB45" s="173">
        <f t="shared" si="147"/>
        <v>7.7153379773751976</v>
      </c>
      <c r="AC45" s="173">
        <f t="shared" si="148"/>
        <v>3.9390232071537277</v>
      </c>
      <c r="AD45" s="173"/>
      <c r="AE45" s="173">
        <f t="shared" si="149"/>
        <v>7.7153379773751984</v>
      </c>
      <c r="AF45" s="545">
        <f t="shared" si="150"/>
        <v>103.68955998375647</v>
      </c>
      <c r="AG45" s="528">
        <f t="shared" si="151"/>
        <v>3.939023207153729</v>
      </c>
      <c r="AI45" s="173">
        <f t="shared" si="152"/>
        <v>5.442939331536552</v>
      </c>
      <c r="AJ45" s="173">
        <f t="shared" si="153"/>
        <v>10.154662973101839</v>
      </c>
      <c r="AK45" s="173">
        <f t="shared" si="154"/>
        <v>1.3145651652606216</v>
      </c>
      <c r="AM45" s="545">
        <f t="shared" si="155"/>
        <v>4000</v>
      </c>
      <c r="AN45" s="460">
        <f t="shared" si="156"/>
        <v>98.571359299016862</v>
      </c>
      <c r="AP45">
        <f t="shared" si="157"/>
        <v>4000</v>
      </c>
      <c r="AQ45" s="460">
        <f t="shared" si="158"/>
        <v>98.571359299016862</v>
      </c>
      <c r="AR45" s="460"/>
      <c r="AS45" s="5">
        <f t="shared" si="101"/>
        <v>10.144934665722662</v>
      </c>
      <c r="AT45" s="5">
        <f t="shared" si="159"/>
        <v>2.1102689773408283</v>
      </c>
      <c r="AU45" s="5">
        <f t="shared" si="102"/>
        <v>8.0346656883818337</v>
      </c>
      <c r="AV45" s="5">
        <f t="shared" si="160"/>
        <v>7.8346656883818353</v>
      </c>
      <c r="AW45" s="173">
        <f t="shared" si="103"/>
        <v>0.20801208158303164</v>
      </c>
      <c r="AX45" s="173">
        <f t="shared" si="161"/>
        <v>60.98640365562575</v>
      </c>
      <c r="AY45" s="173">
        <f t="shared" si="162"/>
        <v>4.0211851951463942</v>
      </c>
      <c r="AZ45" s="173">
        <f t="shared" si="104"/>
        <v>15.166275785864544</v>
      </c>
      <c r="BA45" s="460">
        <f t="shared" si="163"/>
        <v>56.273839395755424</v>
      </c>
      <c r="BB45" s="5">
        <f t="shared" si="164"/>
        <v>2.8788041361424561</v>
      </c>
      <c r="BC45" s="5"/>
      <c r="BD45" s="173">
        <f t="shared" si="105"/>
        <v>2.6739246610558989</v>
      </c>
      <c r="BE45" s="173">
        <f t="shared" si="165"/>
        <v>5.217520510046791</v>
      </c>
      <c r="BF45" s="173"/>
      <c r="BG45" s="528">
        <f t="shared" si="166"/>
        <v>0.14299746186005807</v>
      </c>
      <c r="BH45" s="528">
        <f t="shared" si="167"/>
        <v>1.3804493770235555</v>
      </c>
      <c r="BI45" s="528">
        <f t="shared" si="168"/>
        <v>0.14229829607930305</v>
      </c>
      <c r="BJ45" s="528">
        <f t="shared" si="169"/>
        <v>5.3328166529385379E-2</v>
      </c>
      <c r="BK45">
        <f t="shared" si="170"/>
        <v>2.5984924501827399E-2</v>
      </c>
      <c r="BL45" s="460">
        <f t="shared" si="106"/>
        <v>168.28322058113045</v>
      </c>
      <c r="BM45" s="528">
        <f t="shared" si="171"/>
        <v>1.6721992926000959</v>
      </c>
      <c r="BN45" s="460">
        <f t="shared" si="107"/>
        <v>1672.199292600096</v>
      </c>
      <c r="BO45" s="528">
        <f t="shared" si="172"/>
        <v>2.4849999999999999</v>
      </c>
      <c r="BP45" s="528"/>
      <c r="BR45" s="460">
        <f t="shared" si="109"/>
        <v>2485</v>
      </c>
      <c r="BS45" s="528">
        <f t="shared" si="173"/>
        <v>0.21449619279008711</v>
      </c>
      <c r="BT45" s="528">
        <f t="shared" si="174"/>
        <v>0.81667560818276774</v>
      </c>
      <c r="BU45" s="528">
        <f t="shared" si="175"/>
        <v>0.89999999999999991</v>
      </c>
      <c r="BV45" s="528">
        <f t="shared" si="176"/>
        <v>2.3745375240156901</v>
      </c>
      <c r="BW45" s="528">
        <f t="shared" si="177"/>
        <v>1.0164400609270959E-2</v>
      </c>
      <c r="BX45" s="460">
        <f t="shared" si="110"/>
        <v>2384.7019246249611</v>
      </c>
      <c r="BY45" s="173">
        <f t="shared" si="45"/>
        <v>6.7101844378061859</v>
      </c>
      <c r="BZ45" s="5">
        <f t="shared" si="111"/>
        <v>60</v>
      </c>
      <c r="CA45" s="173">
        <f t="shared" si="112"/>
        <v>0.89941289333321983</v>
      </c>
      <c r="CB45" s="5">
        <f t="shared" si="113"/>
        <v>89.94128933332199</v>
      </c>
      <c r="CE45" s="562">
        <f t="shared" si="178"/>
        <v>-50</v>
      </c>
      <c r="CF45">
        <f t="shared" si="179"/>
        <v>-50</v>
      </c>
      <c r="CG45" s="173">
        <f t="shared" si="180"/>
        <v>0.78209524554921173</v>
      </c>
      <c r="CI45" s="170">
        <v>40</v>
      </c>
      <c r="CJ45" s="217">
        <f t="shared" si="114"/>
        <v>4</v>
      </c>
      <c r="CK45" s="217"/>
      <c r="CL45" s="217">
        <f t="shared" si="49"/>
        <v>60</v>
      </c>
      <c r="CM45" s="541">
        <f t="shared" si="50"/>
        <v>58</v>
      </c>
      <c r="CN45" s="172">
        <f t="shared" si="51"/>
        <v>15.4</v>
      </c>
      <c r="CO45" s="443">
        <f t="shared" si="52"/>
        <v>73.400000000000006</v>
      </c>
      <c r="CP45" s="443"/>
      <c r="CQ45" s="217">
        <f t="shared" si="53"/>
        <v>0.2098092643051771</v>
      </c>
      <c r="CR45" s="172">
        <f t="shared" si="54"/>
        <v>305.10568119891008</v>
      </c>
      <c r="CS45" s="172">
        <f t="shared" si="115"/>
        <v>60</v>
      </c>
      <c r="CT45" s="217">
        <f t="shared" si="55"/>
        <v>20.340378746594006</v>
      </c>
      <c r="CU45" s="217">
        <f t="shared" si="56"/>
        <v>15</v>
      </c>
      <c r="CV45" s="217">
        <f t="shared" si="57"/>
        <v>20.281562216167121</v>
      </c>
      <c r="CW45" s="172">
        <f t="shared" si="58"/>
        <v>304.57607154188429</v>
      </c>
      <c r="CX45" s="172">
        <f t="shared" si="59"/>
        <v>15</v>
      </c>
      <c r="CY45" s="217">
        <f t="shared" si="60"/>
        <v>9.8611733094491711</v>
      </c>
      <c r="CZ45" s="217">
        <f t="shared" si="61"/>
        <v>2.0402427536791392</v>
      </c>
      <c r="DA45" s="217">
        <f t="shared" si="62"/>
        <v>7.6840311502201342</v>
      </c>
      <c r="DB45" s="197">
        <f t="shared" si="63"/>
        <v>101.4078110808356</v>
      </c>
      <c r="DC45" s="443">
        <f t="shared" si="116"/>
        <v>102.83544148206443</v>
      </c>
      <c r="DE45" s="217">
        <f t="shared" si="64"/>
        <v>10</v>
      </c>
      <c r="DF45" s="173">
        <f t="shared" si="65"/>
        <v>7.7922077922077913</v>
      </c>
      <c r="DG45" s="173">
        <f t="shared" si="66"/>
        <v>3.9509536784741139</v>
      </c>
      <c r="DH45" s="173"/>
      <c r="DI45" s="173">
        <f t="shared" si="67"/>
        <v>7.7922077922077913</v>
      </c>
      <c r="DJ45" s="545">
        <f t="shared" si="117"/>
        <v>102.66666666666667</v>
      </c>
      <c r="DK45" s="528">
        <f t="shared" si="68"/>
        <v>3.9509536784741139</v>
      </c>
      <c r="DM45" s="173">
        <f t="shared" si="69"/>
        <v>5.4160256030906408</v>
      </c>
      <c r="DN45" s="173">
        <f t="shared" si="70"/>
        <v>10</v>
      </c>
      <c r="DO45" s="173">
        <f t="shared" si="71"/>
        <v>1.2</v>
      </c>
      <c r="DQ45" s="545">
        <f t="shared" si="72"/>
        <v>4000</v>
      </c>
      <c r="DR45" s="460">
        <f t="shared" si="73"/>
        <v>102.83544148206443</v>
      </c>
      <c r="DT45">
        <f t="shared" si="74"/>
        <v>4000</v>
      </c>
      <c r="DU45" s="460">
        <f t="shared" si="75"/>
        <v>102.83544148206443</v>
      </c>
      <c r="DV45" s="460"/>
      <c r="DW45" s="5">
        <f t="shared" si="118"/>
        <v>9.7242739038992738</v>
      </c>
      <c r="DX45" s="5">
        <f t="shared" si="76"/>
        <v>2.068965517241379</v>
      </c>
      <c r="DY45" s="5">
        <f t="shared" si="119"/>
        <v>7.6553083866578948</v>
      </c>
      <c r="DZ45" s="5">
        <f t="shared" si="77"/>
        <v>7.7922077922077913</v>
      </c>
      <c r="EA45" s="173">
        <f t="shared" si="120"/>
        <v>0.21276298237668501</v>
      </c>
      <c r="EB45" s="173">
        <f t="shared" si="78"/>
        <v>61.701264889238658</v>
      </c>
      <c r="EC45" s="173">
        <f t="shared" si="79"/>
        <v>3.936185088116575</v>
      </c>
      <c r="ED45" s="173">
        <f t="shared" si="121"/>
        <v>15.675397245804337</v>
      </c>
      <c r="EE45" s="460">
        <f t="shared" si="80"/>
        <v>55.172413793103438</v>
      </c>
      <c r="EF45" s="5">
        <f t="shared" si="81"/>
        <v>2.7307877716972273</v>
      </c>
      <c r="EG45" s="5"/>
      <c r="EH45" s="173">
        <f t="shared" si="122"/>
        <v>2.6630995874274337</v>
      </c>
      <c r="EI45" s="173">
        <f t="shared" si="82"/>
        <v>5.1226198298114189</v>
      </c>
      <c r="EJ45" s="173"/>
      <c r="EK45" s="528">
        <f t="shared" si="83"/>
        <v>0.14184198825112335</v>
      </c>
      <c r="EL45" s="528">
        <f t="shared" si="84"/>
        <v>1.5096242809567055</v>
      </c>
      <c r="EM45" s="528">
        <f t="shared" si="85"/>
        <v>1.2854430185258052E-2</v>
      </c>
      <c r="EN45" s="528">
        <f t="shared" si="86"/>
        <v>5.5403211111111114E-2</v>
      </c>
      <c r="EO45">
        <f t="shared" si="87"/>
        <v>2.6099999999999998E-2</v>
      </c>
      <c r="EP45" s="460">
        <f t="shared" si="123"/>
        <v>38.954430185258047</v>
      </c>
      <c r="EQ45" s="528">
        <f t="shared" si="88"/>
        <v>1.8463461716189928</v>
      </c>
      <c r="ER45" s="460">
        <f t="shared" si="124"/>
        <v>1846.3461716189929</v>
      </c>
      <c r="ES45" s="528">
        <f t="shared" si="125"/>
        <v>2.4849999999999999</v>
      </c>
      <c r="ET45" s="528"/>
      <c r="EV45" s="460">
        <f t="shared" si="126"/>
        <v>2485</v>
      </c>
      <c r="EW45" s="528">
        <f t="shared" si="89"/>
        <v>0.21276298237668501</v>
      </c>
      <c r="EX45" s="528">
        <f t="shared" si="90"/>
        <v>0.78723701762331511</v>
      </c>
      <c r="EY45" s="528">
        <f t="shared" si="91"/>
        <v>1.6956142061835779</v>
      </c>
      <c r="EZ45" s="528">
        <f t="shared" si="92"/>
        <v>3.1908850067212802</v>
      </c>
      <c r="FA45" s="528">
        <f t="shared" si="93"/>
        <v>1.0283544148206444E-2</v>
      </c>
      <c r="FB45" s="460">
        <f t="shared" si="127"/>
        <v>3201.1685508694864</v>
      </c>
      <c r="FC45" s="173">
        <f t="shared" si="128"/>
        <v>7.5325147224884796</v>
      </c>
      <c r="FD45" s="5">
        <f t="shared" si="129"/>
        <v>60</v>
      </c>
      <c r="FE45" s="173">
        <f t="shared" si="130"/>
        <v>0.88846091762698509</v>
      </c>
      <c r="FF45" s="5">
        <f t="shared" si="131"/>
        <v>88.846091762698506</v>
      </c>
      <c r="FI45" s="562">
        <f t="shared" si="94"/>
        <v>-50</v>
      </c>
      <c r="FJ45">
        <f t="shared" si="95"/>
        <v>-50</v>
      </c>
      <c r="FL45">
        <f t="shared" si="181"/>
        <v>0.78723701762331499</v>
      </c>
    </row>
    <row r="46" spans="5:168">
      <c r="E46" s="170">
        <v>41</v>
      </c>
      <c r="F46" s="217">
        <f t="shared" si="182"/>
        <v>4.0999999999999996</v>
      </c>
      <c r="G46" s="217"/>
      <c r="H46" s="217">
        <f t="shared" si="132"/>
        <v>61.499999999999993</v>
      </c>
      <c r="I46" s="541">
        <f t="shared" si="133"/>
        <v>57.738911498988202</v>
      </c>
      <c r="J46" s="172">
        <f t="shared" si="134"/>
        <v>15.556653100607081</v>
      </c>
      <c r="K46" s="172">
        <f t="shared" si="135"/>
        <v>73.556653100607079</v>
      </c>
      <c r="L46" s="443"/>
      <c r="M46" s="217">
        <f t="shared" si="136"/>
        <v>0.21223480259574276</v>
      </c>
      <c r="N46" s="172">
        <f t="shared" si="137"/>
        <v>307.24359207211648</v>
      </c>
      <c r="O46" s="172">
        <f t="shared" si="98"/>
        <v>61.499999999999993</v>
      </c>
      <c r="P46" s="217">
        <f t="shared" si="138"/>
        <v>20.4829061381411</v>
      </c>
      <c r="Q46" s="217">
        <f t="shared" si="139"/>
        <v>15</v>
      </c>
      <c r="R46" s="217">
        <f t="shared" si="140"/>
        <v>20.423677473468036</v>
      </c>
      <c r="S46" s="172">
        <f t="shared" si="141"/>
        <v>294.40596361012837</v>
      </c>
      <c r="T46" s="172">
        <f t="shared" si="142"/>
        <v>15</v>
      </c>
      <c r="U46" s="217">
        <f t="shared" si="143"/>
        <v>10.409193027338077</v>
      </c>
      <c r="V46" s="217">
        <f t="shared" si="11"/>
        <v>2.1633645852545351</v>
      </c>
      <c r="W46" s="217">
        <f t="shared" si="144"/>
        <v>8.0293823819457941</v>
      </c>
      <c r="X46" s="197">
        <f t="shared" si="145"/>
        <v>102.12353020078157</v>
      </c>
      <c r="Y46" s="443">
        <f t="shared" si="14"/>
        <v>96.220951318839539</v>
      </c>
      <c r="AA46" s="217">
        <f t="shared" si="146"/>
        <v>10</v>
      </c>
      <c r="AB46" s="173">
        <f t="shared" si="147"/>
        <v>7.7137414599363368</v>
      </c>
      <c r="AC46" s="173">
        <f t="shared" si="148"/>
        <v>3.9387725447241473</v>
      </c>
      <c r="AD46" s="173"/>
      <c r="AE46" s="173">
        <f t="shared" si="149"/>
        <v>7.7137414599363368</v>
      </c>
      <c r="AF46" s="545">
        <f t="shared" si="150"/>
        <v>106.30379618748171</v>
      </c>
      <c r="AG46" s="528">
        <f t="shared" si="151"/>
        <v>3.9387725447241468</v>
      </c>
      <c r="AI46" s="173">
        <f t="shared" si="152"/>
        <v>5.5111263092423632</v>
      </c>
      <c r="AJ46" s="173">
        <f t="shared" si="153"/>
        <v>10.409193027338077</v>
      </c>
      <c r="AK46" s="173">
        <f t="shared" si="154"/>
        <v>1.5031059461763532</v>
      </c>
      <c r="AM46" s="545">
        <f t="shared" si="155"/>
        <v>4100</v>
      </c>
      <c r="AN46" s="460">
        <f t="shared" si="156"/>
        <v>96.220951318839539</v>
      </c>
      <c r="AP46">
        <f t="shared" si="157"/>
        <v>4100</v>
      </c>
      <c r="AQ46" s="460">
        <f t="shared" si="158"/>
        <v>96.220951318839539</v>
      </c>
      <c r="AR46" s="460"/>
      <c r="AS46" s="5">
        <f t="shared" si="101"/>
        <v>10.392746967200328</v>
      </c>
      <c r="AT46" s="5">
        <f t="shared" si="159"/>
        <v>2.1633645852545351</v>
      </c>
      <c r="AU46" s="5">
        <f t="shared" si="102"/>
        <v>8.2293823819457934</v>
      </c>
      <c r="AV46" s="5">
        <f t="shared" si="160"/>
        <v>8.0293823819457941</v>
      </c>
      <c r="AW46" s="173">
        <f t="shared" si="103"/>
        <v>0.20816099844267813</v>
      </c>
      <c r="AX46" s="173">
        <f t="shared" si="161"/>
        <v>62.553990675809985</v>
      </c>
      <c r="AY46" s="173">
        <f t="shared" si="162"/>
        <v>4.1212025068924101</v>
      </c>
      <c r="AZ46" s="173">
        <f t="shared" si="104"/>
        <v>15.178577265056257</v>
      </c>
      <c r="BA46" s="460">
        <f t="shared" si="163"/>
        <v>59.131965330290619</v>
      </c>
      <c r="BB46" s="5">
        <f t="shared" si="164"/>
        <v>3.0225658282727377</v>
      </c>
      <c r="BC46" s="5"/>
      <c r="BD46" s="173">
        <f t="shared" si="105"/>
        <v>2.7419284383075047</v>
      </c>
      <c r="BE46" s="173">
        <f t="shared" si="165"/>
        <v>5.347796580461444</v>
      </c>
      <c r="BF46" s="173"/>
      <c r="BG46" s="528">
        <f t="shared" si="166"/>
        <v>0.15036343121598864</v>
      </c>
      <c r="BH46" s="528">
        <f t="shared" si="167"/>
        <v>1.3813697481503513</v>
      </c>
      <c r="BI46" s="528">
        <f t="shared" si="168"/>
        <v>0.1388923248136732</v>
      </c>
      <c r="BJ46" s="528">
        <f t="shared" si="169"/>
        <v>5.2061127173007558E-2</v>
      </c>
      <c r="BK46">
        <f t="shared" si="170"/>
        <v>2.5982510174544692E-2</v>
      </c>
      <c r="BL46" s="460">
        <f t="shared" si="106"/>
        <v>164.87483498821788</v>
      </c>
      <c r="BM46" s="528">
        <f t="shared" si="171"/>
        <v>1.6845761937859032</v>
      </c>
      <c r="BN46" s="460">
        <f t="shared" si="107"/>
        <v>1684.5761937859031</v>
      </c>
      <c r="BO46" s="528">
        <f t="shared" si="172"/>
        <v>2.5471249999999994</v>
      </c>
      <c r="BP46" s="528"/>
      <c r="BR46" s="460">
        <f t="shared" si="109"/>
        <v>2547.1249999999995</v>
      </c>
      <c r="BS46" s="528">
        <f t="shared" si="173"/>
        <v>0.22554514682398294</v>
      </c>
      <c r="BT46" s="528">
        <f t="shared" si="174"/>
        <v>0.85796784797985337</v>
      </c>
      <c r="BU46" s="528">
        <f t="shared" si="175"/>
        <v>0.92249999999999988</v>
      </c>
      <c r="BV46" s="528">
        <f t="shared" si="176"/>
        <v>2.4811223808661231</v>
      </c>
      <c r="BW46" s="528">
        <f t="shared" si="177"/>
        <v>1.0425665112634997E-2</v>
      </c>
      <c r="BX46" s="460">
        <f t="shared" si="110"/>
        <v>2491.5480459787582</v>
      </c>
      <c r="BY46" s="173">
        <f t="shared" si="45"/>
        <v>6.888124074752878</v>
      </c>
      <c r="BZ46" s="5">
        <f t="shared" si="111"/>
        <v>61.499999999999993</v>
      </c>
      <c r="CA46" s="173">
        <f t="shared" si="112"/>
        <v>0.89927894399876085</v>
      </c>
      <c r="CB46" s="5">
        <f t="shared" si="113"/>
        <v>89.927894399876081</v>
      </c>
      <c r="CE46" s="562">
        <f t="shared" si="178"/>
        <v>-50</v>
      </c>
      <c r="CF46">
        <f t="shared" si="179"/>
        <v>-50</v>
      </c>
      <c r="CG46" s="173">
        <f t="shared" si="180"/>
        <v>0.78517437269569779</v>
      </c>
      <c r="CI46" s="170">
        <v>41</v>
      </c>
      <c r="CJ46" s="217">
        <f t="shared" si="114"/>
        <v>4.0999999999999996</v>
      </c>
      <c r="CK46" s="217"/>
      <c r="CL46" s="217">
        <f t="shared" si="49"/>
        <v>61.499999999999993</v>
      </c>
      <c r="CM46" s="541">
        <f t="shared" si="50"/>
        <v>58</v>
      </c>
      <c r="CN46" s="172">
        <f t="shared" si="51"/>
        <v>15.4</v>
      </c>
      <c r="CO46" s="443">
        <f t="shared" si="52"/>
        <v>73.400000000000006</v>
      </c>
      <c r="CP46" s="443"/>
      <c r="CQ46" s="217">
        <f t="shared" si="53"/>
        <v>0.2098092643051771</v>
      </c>
      <c r="CR46" s="172">
        <f t="shared" si="54"/>
        <v>305.10568119891008</v>
      </c>
      <c r="CS46" s="172">
        <f t="shared" si="115"/>
        <v>61.499999999999993</v>
      </c>
      <c r="CT46" s="217">
        <f t="shared" si="55"/>
        <v>20.340378746594006</v>
      </c>
      <c r="CU46" s="217">
        <f t="shared" si="56"/>
        <v>15</v>
      </c>
      <c r="CV46" s="217">
        <f t="shared" si="57"/>
        <v>20.281562216167121</v>
      </c>
      <c r="CW46" s="172">
        <f t="shared" si="58"/>
        <v>295.73687873612744</v>
      </c>
      <c r="CX46" s="172">
        <f t="shared" si="59"/>
        <v>15</v>
      </c>
      <c r="CY46" s="217">
        <f t="shared" si="60"/>
        <v>10.1077026421854</v>
      </c>
      <c r="CZ46" s="217">
        <f t="shared" si="61"/>
        <v>2.0912488225211168</v>
      </c>
      <c r="DA46" s="217">
        <f t="shared" si="62"/>
        <v>7.8761319289756351</v>
      </c>
      <c r="DB46" s="197">
        <f t="shared" si="63"/>
        <v>101.4078110808356</v>
      </c>
      <c r="DC46" s="443">
        <f t="shared" si="116"/>
        <v>100.32725998250193</v>
      </c>
      <c r="DE46" s="217">
        <f t="shared" si="64"/>
        <v>10</v>
      </c>
      <c r="DF46" s="173">
        <f t="shared" si="65"/>
        <v>7.7922077922077913</v>
      </c>
      <c r="DG46" s="173">
        <f t="shared" si="66"/>
        <v>3.9509536784741139</v>
      </c>
      <c r="DH46" s="173"/>
      <c r="DI46" s="173">
        <f t="shared" si="67"/>
        <v>7.7922077922077913</v>
      </c>
      <c r="DJ46" s="545">
        <f t="shared" si="117"/>
        <v>105.23333333333333</v>
      </c>
      <c r="DK46" s="528">
        <f t="shared" si="68"/>
        <v>3.9509536784741139</v>
      </c>
      <c r="DM46" s="173">
        <f t="shared" si="69"/>
        <v>5.4833080039941828</v>
      </c>
      <c r="DN46" s="173">
        <f t="shared" si="70"/>
        <v>10.1077026421854</v>
      </c>
      <c r="DO46" s="173">
        <f t="shared" si="71"/>
        <v>1.2797797349521478</v>
      </c>
      <c r="DQ46" s="545">
        <f t="shared" si="72"/>
        <v>4100</v>
      </c>
      <c r="DR46" s="460">
        <f t="shared" si="73"/>
        <v>100.32725998250193</v>
      </c>
      <c r="DT46">
        <f t="shared" si="74"/>
        <v>4100</v>
      </c>
      <c r="DU46" s="460">
        <f t="shared" si="75"/>
        <v>100.32725998250193</v>
      </c>
      <c r="DV46" s="460"/>
      <c r="DW46" s="5">
        <f t="shared" si="118"/>
        <v>9.9673807514967514</v>
      </c>
      <c r="DX46" s="5">
        <f t="shared" si="76"/>
        <v>2.0912488225211168</v>
      </c>
      <c r="DY46" s="5">
        <f t="shared" si="119"/>
        <v>7.8761319289756351</v>
      </c>
      <c r="DZ46" s="5">
        <f t="shared" si="77"/>
        <v>7.8761319289756351</v>
      </c>
      <c r="EA46" s="173">
        <f t="shared" si="120"/>
        <v>0.2098092643051771</v>
      </c>
      <c r="EB46" s="173">
        <f t="shared" si="78"/>
        <v>61.500000000000014</v>
      </c>
      <c r="EC46" s="173">
        <f t="shared" si="79"/>
        <v>3.993506493506493</v>
      </c>
      <c r="ED46" s="173">
        <f t="shared" si="121"/>
        <v>15.400000000000006</v>
      </c>
      <c r="EE46" s="460">
        <f t="shared" si="80"/>
        <v>57.160801148910522</v>
      </c>
      <c r="EF46" s="5">
        <f t="shared" si="81"/>
        <v>2.8797985352675477</v>
      </c>
      <c r="EG46" s="5"/>
      <c r="EH46" s="173">
        <f t="shared" si="122"/>
        <v>2.6730320132040721</v>
      </c>
      <c r="EI46" s="173">
        <f t="shared" si="82"/>
        <v>5.1874962577335975</v>
      </c>
      <c r="EJ46" s="173"/>
      <c r="EK46" s="528">
        <f t="shared" si="83"/>
        <v>0.14290200287227631</v>
      </c>
      <c r="EL46" s="528">
        <f t="shared" si="84"/>
        <v>1.4886666666666672</v>
      </c>
      <c r="EM46" s="528">
        <f t="shared" si="85"/>
        <v>1.2540907497812739E-2</v>
      </c>
      <c r="EN46" s="528">
        <f t="shared" si="86"/>
        <v>5.4051913279132814E-2</v>
      </c>
      <c r="EO46">
        <f t="shared" si="87"/>
        <v>2.6099999999999998E-2</v>
      </c>
      <c r="EP46" s="460">
        <f t="shared" si="123"/>
        <v>38.640907497812741</v>
      </c>
      <c r="EQ46" s="528">
        <f t="shared" si="88"/>
        <v>1.8248035266146709</v>
      </c>
      <c r="ER46" s="460">
        <f t="shared" si="124"/>
        <v>1824.803526614671</v>
      </c>
      <c r="ES46" s="528">
        <f t="shared" si="125"/>
        <v>2.5471249999999994</v>
      </c>
      <c r="ET46" s="528"/>
      <c r="EV46" s="460">
        <f t="shared" si="126"/>
        <v>2547.1249999999995</v>
      </c>
      <c r="EW46" s="528">
        <f t="shared" si="89"/>
        <v>0.21435300430841445</v>
      </c>
      <c r="EX46" s="528">
        <f t="shared" si="90"/>
        <v>0.80730352272000228</v>
      </c>
      <c r="EY46" s="528">
        <f t="shared" si="91"/>
        <v>1.6373763960187144</v>
      </c>
      <c r="EZ46" s="528">
        <f t="shared" si="92"/>
        <v>3.1627282459928061</v>
      </c>
      <c r="FA46" s="528">
        <f t="shared" si="93"/>
        <v>1.0250000000000002E-2</v>
      </c>
      <c r="FB46" s="460">
        <f t="shared" si="127"/>
        <v>3172.978245992806</v>
      </c>
      <c r="FC46" s="173">
        <f t="shared" si="128"/>
        <v>7.5449067726074768</v>
      </c>
      <c r="FD46" s="5">
        <f t="shared" si="129"/>
        <v>61.499999999999993</v>
      </c>
      <c r="FE46" s="173">
        <f t="shared" si="130"/>
        <v>0.89072464392694628</v>
      </c>
      <c r="FF46" s="5">
        <f t="shared" si="131"/>
        <v>89.072464392694627</v>
      </c>
      <c r="FI46" s="562">
        <f t="shared" si="94"/>
        <v>-50</v>
      </c>
      <c r="FJ46">
        <f t="shared" si="95"/>
        <v>-50</v>
      </c>
      <c r="FL46">
        <f t="shared" si="181"/>
        <v>0.7901907356948229</v>
      </c>
    </row>
    <row r="47" spans="5:168">
      <c r="E47" s="170">
        <v>42</v>
      </c>
      <c r="F47" s="217">
        <f t="shared" si="182"/>
        <v>4.2</v>
      </c>
      <c r="G47" s="217"/>
      <c r="H47" s="217">
        <f t="shared" si="132"/>
        <v>63</v>
      </c>
      <c r="I47" s="541">
        <f t="shared" si="133"/>
        <v>57.732584164869351</v>
      </c>
      <c r="J47" s="172">
        <f t="shared" si="134"/>
        <v>15.560449501078388</v>
      </c>
      <c r="K47" s="172">
        <f t="shared" si="135"/>
        <v>73.560449501078381</v>
      </c>
      <c r="L47" s="443"/>
      <c r="M47" s="217">
        <f t="shared" si="136"/>
        <v>0.21229393141607958</v>
      </c>
      <c r="N47" s="172">
        <f t="shared" si="137"/>
        <v>307.2955116808252</v>
      </c>
      <c r="O47" s="172">
        <f t="shared" si="98"/>
        <v>63</v>
      </c>
      <c r="P47" s="217">
        <f t="shared" si="138"/>
        <v>20.486367445388346</v>
      </c>
      <c r="Q47" s="217">
        <f t="shared" si="139"/>
        <v>15</v>
      </c>
      <c r="R47" s="217">
        <f t="shared" si="140"/>
        <v>20.427128771949693</v>
      </c>
      <c r="S47" s="172">
        <f t="shared" si="141"/>
        <v>285.99438383180637</v>
      </c>
      <c r="T47" s="172">
        <f t="shared" si="142"/>
        <v>15</v>
      </c>
      <c r="U47" s="217">
        <f t="shared" si="143"/>
        <v>10.663876203341809</v>
      </c>
      <c r="V47" s="217">
        <f t="shared" si="11"/>
        <v>2.2165388279634666</v>
      </c>
      <c r="W47" s="217">
        <f t="shared" si="144"/>
        <v>8.2238314793691032</v>
      </c>
      <c r="X47" s="197">
        <f t="shared" si="145"/>
        <v>102.14078513912733</v>
      </c>
      <c r="Y47" s="443">
        <f t="shared" si="14"/>
        <v>93.981691531061927</v>
      </c>
      <c r="AA47" s="217">
        <f t="shared" si="146"/>
        <v>10</v>
      </c>
      <c r="AB47" s="173">
        <f t="shared" si="147"/>
        <v>7.7118594801315759</v>
      </c>
      <c r="AC47" s="173">
        <f t="shared" si="148"/>
        <v>3.9384769109163078</v>
      </c>
      <c r="AD47" s="173"/>
      <c r="AE47" s="173">
        <f t="shared" si="149"/>
        <v>7.7118594801315759</v>
      </c>
      <c r="AF47" s="545">
        <f t="shared" si="150"/>
        <v>108.92314650754871</v>
      </c>
      <c r="AG47" s="528">
        <f t="shared" si="151"/>
        <v>3.9384769109163074</v>
      </c>
      <c r="AI47" s="173">
        <f t="shared" si="152"/>
        <v>5.5786108487827661</v>
      </c>
      <c r="AJ47" s="173">
        <f t="shared" si="153"/>
        <v>10.663876203341809</v>
      </c>
      <c r="AK47" s="173">
        <f t="shared" si="154"/>
        <v>1.6917601506235624</v>
      </c>
      <c r="AM47" s="545">
        <f t="shared" si="155"/>
        <v>4200</v>
      </c>
      <c r="AN47" s="460">
        <f t="shared" si="156"/>
        <v>93.981691531061927</v>
      </c>
      <c r="AP47">
        <f t="shared" si="157"/>
        <v>4200</v>
      </c>
      <c r="AQ47" s="460">
        <f t="shared" si="158"/>
        <v>93.981691531061927</v>
      </c>
      <c r="AR47" s="460"/>
      <c r="AS47" s="5">
        <f t="shared" si="101"/>
        <v>10.640370307332569</v>
      </c>
      <c r="AT47" s="5">
        <f t="shared" si="159"/>
        <v>2.2165388279634666</v>
      </c>
      <c r="AU47" s="5">
        <f t="shared" si="102"/>
        <v>8.4238314793691025</v>
      </c>
      <c r="AV47" s="5">
        <f t="shared" si="160"/>
        <v>8.2238314793691032</v>
      </c>
      <c r="AW47" s="173">
        <f t="shared" si="103"/>
        <v>0.20831406839628402</v>
      </c>
      <c r="AX47" s="173">
        <f t="shared" si="161"/>
        <v>64.124604160721759</v>
      </c>
      <c r="AY47" s="173">
        <f t="shared" si="162"/>
        <v>4.2212203832746784</v>
      </c>
      <c r="AZ47" s="173">
        <f t="shared" si="104"/>
        <v>15.191010735851721</v>
      </c>
      <c r="BA47" s="460">
        <f t="shared" si="163"/>
        <v>62.063087182977064</v>
      </c>
      <c r="BB47" s="5">
        <f t="shared" si="164"/>
        <v>3.1697953523611986</v>
      </c>
      <c r="BC47" s="5"/>
      <c r="BD47" s="173">
        <f t="shared" si="105"/>
        <v>2.8100481900773655</v>
      </c>
      <c r="BE47" s="173">
        <f t="shared" si="165"/>
        <v>5.4781123022603477</v>
      </c>
      <c r="BF47" s="173"/>
      <c r="BG47" s="528">
        <f t="shared" si="166"/>
        <v>0.15792741661114154</v>
      </c>
      <c r="BH47" s="528">
        <f t="shared" si="167"/>
        <v>1.3823053808588397</v>
      </c>
      <c r="BI47" s="528">
        <f t="shared" si="168"/>
        <v>0.13564514790684554</v>
      </c>
      <c r="BJ47" s="528">
        <f t="shared" si="169"/>
        <v>5.085480650115852E-2</v>
      </c>
      <c r="BK47">
        <f t="shared" si="170"/>
        <v>2.5979662874191206E-2</v>
      </c>
      <c r="BL47" s="460">
        <f t="shared" si="106"/>
        <v>161.62481078103673</v>
      </c>
      <c r="BM47" s="528">
        <f t="shared" si="171"/>
        <v>1.6974212860615172</v>
      </c>
      <c r="BN47" s="460">
        <f t="shared" si="107"/>
        <v>1697.4212860615173</v>
      </c>
      <c r="BO47" s="528">
        <f t="shared" si="172"/>
        <v>2.6092499999999998</v>
      </c>
      <c r="BP47" s="528"/>
      <c r="BR47" s="460">
        <f t="shared" si="109"/>
        <v>2609.25</v>
      </c>
      <c r="BS47" s="528">
        <f t="shared" si="173"/>
        <v>0.23689112491671233</v>
      </c>
      <c r="BT47" s="528">
        <f t="shared" si="174"/>
        <v>0.90029143188528504</v>
      </c>
      <c r="BU47" s="528">
        <f t="shared" si="175"/>
        <v>0.94499999999999995</v>
      </c>
      <c r="BV47" s="528">
        <f t="shared" si="176"/>
        <v>2.5908037137438651</v>
      </c>
      <c r="BW47" s="528">
        <f t="shared" si="177"/>
        <v>1.0687434026786961E-2</v>
      </c>
      <c r="BX47" s="460">
        <f t="shared" si="110"/>
        <v>2601.4911477706519</v>
      </c>
      <c r="BY47" s="173">
        <f t="shared" si="45"/>
        <v>7.069787244613206</v>
      </c>
      <c r="BZ47" s="5">
        <f t="shared" si="111"/>
        <v>63</v>
      </c>
      <c r="CA47" s="173">
        <f t="shared" si="112"/>
        <v>0.89910362907293229</v>
      </c>
      <c r="CB47" s="5">
        <f t="shared" si="113"/>
        <v>89.910362907293234</v>
      </c>
      <c r="CE47" s="562">
        <f t="shared" si="178"/>
        <v>-50</v>
      </c>
      <c r="CF47">
        <f t="shared" si="179"/>
        <v>-50</v>
      </c>
      <c r="CG47" s="173">
        <f t="shared" si="180"/>
        <v>0.78529380990996267</v>
      </c>
      <c r="CI47" s="170">
        <v>42</v>
      </c>
      <c r="CJ47" s="217">
        <f t="shared" si="114"/>
        <v>4.2</v>
      </c>
      <c r="CK47" s="217"/>
      <c r="CL47" s="217">
        <f t="shared" si="49"/>
        <v>63</v>
      </c>
      <c r="CM47" s="541">
        <f t="shared" si="50"/>
        <v>58</v>
      </c>
      <c r="CN47" s="172">
        <f t="shared" si="51"/>
        <v>15.4</v>
      </c>
      <c r="CO47" s="443">
        <f t="shared" si="52"/>
        <v>73.400000000000006</v>
      </c>
      <c r="CP47" s="443"/>
      <c r="CQ47" s="217">
        <f t="shared" si="53"/>
        <v>0.2098092643051771</v>
      </c>
      <c r="CR47" s="172">
        <f t="shared" si="54"/>
        <v>305.10568119891008</v>
      </c>
      <c r="CS47" s="172">
        <f t="shared" si="115"/>
        <v>63</v>
      </c>
      <c r="CT47" s="217">
        <f t="shared" si="55"/>
        <v>20.340378746594006</v>
      </c>
      <c r="CU47" s="217">
        <f t="shared" si="56"/>
        <v>15</v>
      </c>
      <c r="CV47" s="217">
        <f t="shared" si="57"/>
        <v>20.281562216167121</v>
      </c>
      <c r="CW47" s="172">
        <f t="shared" si="58"/>
        <v>287.31872954381731</v>
      </c>
      <c r="CX47" s="172">
        <f t="shared" si="59"/>
        <v>15</v>
      </c>
      <c r="CY47" s="217">
        <f t="shared" si="60"/>
        <v>10.35423197492163</v>
      </c>
      <c r="CZ47" s="217">
        <f t="shared" si="61"/>
        <v>2.1422548913630961</v>
      </c>
      <c r="DA47" s="217">
        <f t="shared" si="62"/>
        <v>8.0682327077311413</v>
      </c>
      <c r="DB47" s="197">
        <f t="shared" si="63"/>
        <v>101.4078110808356</v>
      </c>
      <c r="DC47" s="443">
        <f t="shared" si="116"/>
        <v>97.93851569720421</v>
      </c>
      <c r="DE47" s="217">
        <f t="shared" si="64"/>
        <v>10</v>
      </c>
      <c r="DF47" s="173">
        <f t="shared" si="65"/>
        <v>7.7922077922077913</v>
      </c>
      <c r="DG47" s="173">
        <f t="shared" si="66"/>
        <v>3.9509536784741139</v>
      </c>
      <c r="DH47" s="173"/>
      <c r="DI47" s="173">
        <f t="shared" si="67"/>
        <v>7.7922077922077913</v>
      </c>
      <c r="DJ47" s="545">
        <f t="shared" si="117"/>
        <v>107.80000000000001</v>
      </c>
      <c r="DK47" s="528">
        <f t="shared" si="68"/>
        <v>3.9509536784741139</v>
      </c>
      <c r="DM47" s="173">
        <f t="shared" si="69"/>
        <v>5.5497747702046434</v>
      </c>
      <c r="DN47" s="173">
        <f t="shared" si="70"/>
        <v>10.35423197492163</v>
      </c>
      <c r="DO47" s="173">
        <f t="shared" si="71"/>
        <v>1.4623940554975037</v>
      </c>
      <c r="DQ47" s="545">
        <f t="shared" si="72"/>
        <v>4200</v>
      </c>
      <c r="DR47" s="460">
        <f t="shared" si="73"/>
        <v>97.93851569720421</v>
      </c>
      <c r="DT47">
        <f t="shared" si="74"/>
        <v>4200</v>
      </c>
      <c r="DU47" s="460">
        <f t="shared" si="75"/>
        <v>97.93851569720421</v>
      </c>
      <c r="DV47" s="460"/>
      <c r="DW47" s="5">
        <f t="shared" si="118"/>
        <v>10.210487599094238</v>
      </c>
      <c r="DX47" s="5">
        <f t="shared" si="76"/>
        <v>2.1422548913630961</v>
      </c>
      <c r="DY47" s="5">
        <f t="shared" si="119"/>
        <v>8.0682327077311413</v>
      </c>
      <c r="DZ47" s="5">
        <f t="shared" si="77"/>
        <v>8.0682327077311413</v>
      </c>
      <c r="EA47" s="173">
        <f t="shared" si="120"/>
        <v>0.2098092643051771</v>
      </c>
      <c r="EB47" s="173">
        <f t="shared" si="78"/>
        <v>62.999999999999986</v>
      </c>
      <c r="EC47" s="173">
        <f t="shared" si="79"/>
        <v>4.0909090909090908</v>
      </c>
      <c r="ED47" s="173">
        <f t="shared" si="121"/>
        <v>15.399999999999997</v>
      </c>
      <c r="EE47" s="460">
        <f t="shared" si="80"/>
        <v>59.983136958166696</v>
      </c>
      <c r="EF47" s="5">
        <f t="shared" si="81"/>
        <v>3.0219896586626742</v>
      </c>
      <c r="EG47" s="5"/>
      <c r="EH47" s="173">
        <f t="shared" si="122"/>
        <v>2.7382279159651475</v>
      </c>
      <c r="EI47" s="173">
        <f t="shared" si="82"/>
        <v>5.3140205567027108</v>
      </c>
      <c r="EJ47" s="173"/>
      <c r="EK47" s="528">
        <f t="shared" si="83"/>
        <v>0.14995784239541668</v>
      </c>
      <c r="EL47" s="528">
        <f t="shared" si="84"/>
        <v>1.4886666666666666</v>
      </c>
      <c r="EM47" s="528">
        <f t="shared" si="85"/>
        <v>1.2242314462150525E-2</v>
      </c>
      <c r="EN47" s="528">
        <f t="shared" si="86"/>
        <v>5.2764962962962965E-2</v>
      </c>
      <c r="EO47">
        <f t="shared" si="87"/>
        <v>2.6099999999999998E-2</v>
      </c>
      <c r="EP47" s="460">
        <f t="shared" si="123"/>
        <v>38.342314462150519</v>
      </c>
      <c r="EQ47" s="528">
        <f t="shared" si="88"/>
        <v>1.8356236438053961</v>
      </c>
      <c r="ER47" s="460">
        <f t="shared" si="124"/>
        <v>1835.6236438053961</v>
      </c>
      <c r="ES47" s="528">
        <f t="shared" si="125"/>
        <v>2.6092499999999998</v>
      </c>
      <c r="ET47" s="528"/>
      <c r="EV47" s="460">
        <f t="shared" si="126"/>
        <v>2609.25</v>
      </c>
      <c r="EW47" s="528">
        <f t="shared" si="89"/>
        <v>0.22493676359312503</v>
      </c>
      <c r="EX47" s="528">
        <f t="shared" si="90"/>
        <v>0.84716443431176958</v>
      </c>
      <c r="EY47" s="528">
        <f t="shared" si="91"/>
        <v>1.6373763960187111</v>
      </c>
      <c r="EZ47" s="528">
        <f t="shared" si="92"/>
        <v>3.2451086730800336</v>
      </c>
      <c r="FA47" s="528">
        <f t="shared" si="93"/>
        <v>1.0499999999999997E-2</v>
      </c>
      <c r="FB47" s="460">
        <f t="shared" si="127"/>
        <v>3255.6086730800334</v>
      </c>
      <c r="FC47" s="173">
        <f t="shared" si="128"/>
        <v>7.7004823168854299</v>
      </c>
      <c r="FD47" s="5">
        <f t="shared" si="129"/>
        <v>63</v>
      </c>
      <c r="FE47" s="173">
        <f t="shared" si="130"/>
        <v>0.891083029923739</v>
      </c>
      <c r="FF47" s="5">
        <f t="shared" si="131"/>
        <v>89.108302992373893</v>
      </c>
      <c r="FI47" s="562">
        <f t="shared" si="94"/>
        <v>-50</v>
      </c>
      <c r="FJ47">
        <f t="shared" si="95"/>
        <v>-50</v>
      </c>
      <c r="FL47">
        <f t="shared" si="181"/>
        <v>0.7901907356948229</v>
      </c>
    </row>
    <row r="48" spans="5:168">
      <c r="E48" s="170">
        <v>43</v>
      </c>
      <c r="F48" s="217">
        <f t="shared" si="182"/>
        <v>4.3</v>
      </c>
      <c r="G48" s="217"/>
      <c r="H48" s="217">
        <f t="shared" si="132"/>
        <v>64.5</v>
      </c>
      <c r="I48" s="541">
        <f t="shared" si="133"/>
        <v>57.726256818954077</v>
      </c>
      <c r="J48" s="172">
        <f t="shared" si="134"/>
        <v>15.564245908627555</v>
      </c>
      <c r="K48" s="172">
        <f t="shared" si="135"/>
        <v>73.564245908627555</v>
      </c>
      <c r="L48" s="443"/>
      <c r="M48" s="217">
        <f t="shared" si="136"/>
        <v>0.21235306435418666</v>
      </c>
      <c r="N48" s="172">
        <f t="shared" si="137"/>
        <v>307.34741842590864</v>
      </c>
      <c r="O48" s="172">
        <f t="shared" si="98"/>
        <v>64.5</v>
      </c>
      <c r="P48" s="217">
        <f t="shared" si="138"/>
        <v>20.489827895060575</v>
      </c>
      <c r="Q48" s="217">
        <f t="shared" si="139"/>
        <v>15</v>
      </c>
      <c r="R48" s="217">
        <f t="shared" si="140"/>
        <v>20.430579215336106</v>
      </c>
      <c r="S48" s="172">
        <f t="shared" si="141"/>
        <v>277.97446301702547</v>
      </c>
      <c r="T48" s="172">
        <f t="shared" si="142"/>
        <v>15</v>
      </c>
      <c r="U48" s="217">
        <f t="shared" si="143"/>
        <v>10.918597674665776</v>
      </c>
      <c r="V48" s="217">
        <f t="shared" si="11"/>
        <v>2.2697326886604681</v>
      </c>
      <c r="W48" s="217">
        <f t="shared" si="144"/>
        <v>8.4182152392851037</v>
      </c>
      <c r="X48" s="197">
        <f t="shared" si="145"/>
        <v>102.15803583882673</v>
      </c>
      <c r="Y48" s="443">
        <f t="shared" si="14"/>
        <v>91.844671431000151</v>
      </c>
      <c r="AA48" s="217">
        <f t="shared" si="146"/>
        <v>10</v>
      </c>
      <c r="AB48" s="173">
        <f t="shared" si="147"/>
        <v>7.7099784149183694</v>
      </c>
      <c r="AC48" s="173">
        <f t="shared" si="148"/>
        <v>3.9381812561390568</v>
      </c>
      <c r="AD48" s="173"/>
      <c r="AE48" s="173">
        <f t="shared" si="149"/>
        <v>7.7099784149183694</v>
      </c>
      <c r="AF48" s="545">
        <f t="shared" si="150"/>
        <v>111.54376234516414</v>
      </c>
      <c r="AG48" s="528">
        <f t="shared" si="151"/>
        <v>3.9381812561390568</v>
      </c>
      <c r="AI48" s="173">
        <f t="shared" si="152"/>
        <v>5.645320751235718</v>
      </c>
      <c r="AJ48" s="173">
        <f t="shared" si="153"/>
        <v>10.918597674665776</v>
      </c>
      <c r="AK48" s="173">
        <f t="shared" si="154"/>
        <v>1.8804427219746487</v>
      </c>
      <c r="AM48" s="545">
        <f t="shared" si="155"/>
        <v>4300</v>
      </c>
      <c r="AN48" s="460">
        <f t="shared" si="156"/>
        <v>91.844671431000151</v>
      </c>
      <c r="AP48">
        <f t="shared" si="157"/>
        <v>4300</v>
      </c>
      <c r="AQ48" s="460">
        <f t="shared" si="158"/>
        <v>91.844671431000151</v>
      </c>
      <c r="AR48" s="460"/>
      <c r="AS48" s="5">
        <f t="shared" si="101"/>
        <v>10.887947927945573</v>
      </c>
      <c r="AT48" s="5">
        <f t="shared" si="159"/>
        <v>2.2697326886604681</v>
      </c>
      <c r="AU48" s="5">
        <f t="shared" si="102"/>
        <v>8.6182152392851048</v>
      </c>
      <c r="AV48" s="5">
        <f t="shared" si="160"/>
        <v>8.4182152392851037</v>
      </c>
      <c r="AW48" s="173">
        <f t="shared" si="103"/>
        <v>0.20846285302622122</v>
      </c>
      <c r="AX48" s="173">
        <f t="shared" si="161"/>
        <v>65.696002205465092</v>
      </c>
      <c r="AY48" s="173">
        <f t="shared" si="162"/>
        <v>4.3212378261797415</v>
      </c>
      <c r="AZ48" s="173">
        <f t="shared" si="104"/>
        <v>15.203051729171936</v>
      </c>
      <c r="BA48" s="460">
        <f t="shared" si="163"/>
        <v>65.06567040826674</v>
      </c>
      <c r="BB48" s="5">
        <f t="shared" si="164"/>
        <v>3.3205166015925851</v>
      </c>
      <c r="BC48" s="5"/>
      <c r="BD48" s="173">
        <f t="shared" si="105"/>
        <v>2.8781973884133945</v>
      </c>
      <c r="BE48" s="173">
        <f t="shared" si="165"/>
        <v>5.6084375293304829</v>
      </c>
      <c r="BF48" s="173"/>
      <c r="BG48" s="528">
        <f t="shared" si="166"/>
        <v>0.16568040413339369</v>
      </c>
      <c r="BH48" s="528">
        <f t="shared" si="167"/>
        <v>1.3832124455958661</v>
      </c>
      <c r="BI48" s="528">
        <f t="shared" si="168"/>
        <v>0.13254622726195925</v>
      </c>
      <c r="BJ48" s="528">
        <f t="shared" si="169"/>
        <v>4.9703565005257612E-2</v>
      </c>
      <c r="BK48">
        <f t="shared" si="170"/>
        <v>2.5976815568529335E-2</v>
      </c>
      <c r="BL48" s="460">
        <f t="shared" si="106"/>
        <v>158.52304283048858</v>
      </c>
      <c r="BM48" s="528">
        <f t="shared" si="171"/>
        <v>1.7106718574426738</v>
      </c>
      <c r="BN48" s="460">
        <f t="shared" si="107"/>
        <v>1710.6718574426739</v>
      </c>
      <c r="BO48" s="528">
        <f t="shared" si="172"/>
        <v>2.6713749999999998</v>
      </c>
      <c r="BP48" s="528"/>
      <c r="BR48" s="460">
        <f t="shared" si="109"/>
        <v>2671.375</v>
      </c>
      <c r="BS48" s="528">
        <f t="shared" si="173"/>
        <v>0.2485206062000905</v>
      </c>
      <c r="BT48" s="528">
        <f t="shared" si="174"/>
        <v>0.94363714561207823</v>
      </c>
      <c r="BU48" s="528">
        <f t="shared" si="175"/>
        <v>0.96749999999999992</v>
      </c>
      <c r="BV48" s="528">
        <f t="shared" si="176"/>
        <v>2.7036276667184707</v>
      </c>
      <c r="BW48" s="528">
        <f t="shared" si="177"/>
        <v>1.0949333700910847E-2</v>
      </c>
      <c r="BX48" s="460">
        <f t="shared" si="110"/>
        <v>2714.5770004193819</v>
      </c>
      <c r="BY48" s="173">
        <f t="shared" si="45"/>
        <v>7.2551469006925435</v>
      </c>
      <c r="BZ48" s="5">
        <f t="shared" si="111"/>
        <v>64.5</v>
      </c>
      <c r="CA48" s="173">
        <f t="shared" si="112"/>
        <v>0.89889022301447596</v>
      </c>
      <c r="CB48" s="5">
        <f t="shared" si="113"/>
        <v>89.889022301447596</v>
      </c>
      <c r="CE48" s="562">
        <f t="shared" si="178"/>
        <v>-50</v>
      </c>
      <c r="CF48">
        <f t="shared" si="179"/>
        <v>-50</v>
      </c>
      <c r="CG48" s="173">
        <f t="shared" si="180"/>
        <v>0.78540769190495929</v>
      </c>
      <c r="CI48" s="170">
        <v>43</v>
      </c>
      <c r="CJ48" s="217">
        <f t="shared" si="114"/>
        <v>4.3</v>
      </c>
      <c r="CK48" s="217"/>
      <c r="CL48" s="217">
        <f t="shared" si="49"/>
        <v>64.5</v>
      </c>
      <c r="CM48" s="541">
        <f t="shared" si="50"/>
        <v>58</v>
      </c>
      <c r="CN48" s="172">
        <f t="shared" si="51"/>
        <v>15.4</v>
      </c>
      <c r="CO48" s="443">
        <f t="shared" si="52"/>
        <v>73.400000000000006</v>
      </c>
      <c r="CP48" s="443"/>
      <c r="CQ48" s="217">
        <f t="shared" si="53"/>
        <v>0.2098092643051771</v>
      </c>
      <c r="CR48" s="172">
        <f t="shared" si="54"/>
        <v>305.10568119891008</v>
      </c>
      <c r="CS48" s="172">
        <f t="shared" si="115"/>
        <v>64.5</v>
      </c>
      <c r="CT48" s="217">
        <f t="shared" si="55"/>
        <v>20.340378746594006</v>
      </c>
      <c r="CU48" s="217">
        <f t="shared" si="56"/>
        <v>15</v>
      </c>
      <c r="CV48" s="217">
        <f t="shared" si="57"/>
        <v>20.281562216167121</v>
      </c>
      <c r="CW48" s="172">
        <f t="shared" si="58"/>
        <v>279.29225063733168</v>
      </c>
      <c r="CX48" s="172">
        <f t="shared" si="59"/>
        <v>15</v>
      </c>
      <c r="CY48" s="217">
        <f t="shared" si="60"/>
        <v>10.60076130765786</v>
      </c>
      <c r="CZ48" s="217">
        <f t="shared" si="61"/>
        <v>2.193260960205075</v>
      </c>
      <c r="DA48" s="217">
        <f t="shared" si="62"/>
        <v>8.260333486486644</v>
      </c>
      <c r="DB48" s="197">
        <f t="shared" si="63"/>
        <v>101.4078110808356</v>
      </c>
      <c r="DC48" s="443">
        <f t="shared" si="116"/>
        <v>95.660875797269242</v>
      </c>
      <c r="DE48" s="217">
        <f t="shared" si="64"/>
        <v>10</v>
      </c>
      <c r="DF48" s="173">
        <f t="shared" si="65"/>
        <v>7.7922077922077913</v>
      </c>
      <c r="DG48" s="173">
        <f t="shared" si="66"/>
        <v>3.9509536784741139</v>
      </c>
      <c r="DH48" s="173"/>
      <c r="DI48" s="173">
        <f t="shared" si="67"/>
        <v>7.7922077922077913</v>
      </c>
      <c r="DJ48" s="545">
        <f t="shared" si="117"/>
        <v>110.36666666666667</v>
      </c>
      <c r="DK48" s="528">
        <f t="shared" si="68"/>
        <v>3.9509536784741139</v>
      </c>
      <c r="DM48" s="173">
        <f t="shared" si="69"/>
        <v>5.6154548643305233</v>
      </c>
      <c r="DN48" s="173">
        <f t="shared" si="70"/>
        <v>10.60076130765786</v>
      </c>
      <c r="DO48" s="173">
        <f t="shared" si="71"/>
        <v>1.6450083760428595</v>
      </c>
      <c r="DQ48" s="545">
        <f t="shared" si="72"/>
        <v>4300</v>
      </c>
      <c r="DR48" s="460">
        <f t="shared" si="73"/>
        <v>95.660875797269242</v>
      </c>
      <c r="DT48">
        <f t="shared" si="74"/>
        <v>4300</v>
      </c>
      <c r="DU48" s="460">
        <f t="shared" si="75"/>
        <v>95.660875797269242</v>
      </c>
      <c r="DV48" s="460"/>
      <c r="DW48" s="5">
        <f t="shared" si="118"/>
        <v>10.453594446691719</v>
      </c>
      <c r="DX48" s="5">
        <f t="shared" si="76"/>
        <v>2.193260960205075</v>
      </c>
      <c r="DY48" s="5">
        <f t="shared" si="119"/>
        <v>8.260333486486644</v>
      </c>
      <c r="DZ48" s="5">
        <f t="shared" si="77"/>
        <v>8.260333486486644</v>
      </c>
      <c r="EA48" s="173">
        <f t="shared" si="120"/>
        <v>0.20980926430517716</v>
      </c>
      <c r="EB48" s="173">
        <f t="shared" si="78"/>
        <v>64.500000000000014</v>
      </c>
      <c r="EC48" s="173">
        <f t="shared" si="79"/>
        <v>4.1883116883116882</v>
      </c>
      <c r="ED48" s="173">
        <f t="shared" si="121"/>
        <v>15.400000000000004</v>
      </c>
      <c r="EE48" s="460">
        <f t="shared" si="80"/>
        <v>62.873480859212144</v>
      </c>
      <c r="EF48" s="5">
        <f t="shared" si="81"/>
        <v>3.1676070741878033</v>
      </c>
      <c r="EG48" s="5"/>
      <c r="EH48" s="173">
        <f t="shared" si="122"/>
        <v>2.8034238187262233</v>
      </c>
      <c r="EI48" s="173">
        <f t="shared" si="82"/>
        <v>5.4405448556718232</v>
      </c>
      <c r="EJ48" s="173"/>
      <c r="EK48" s="528">
        <f t="shared" si="83"/>
        <v>0.15718370214803043</v>
      </c>
      <c r="EL48" s="528">
        <f t="shared" si="84"/>
        <v>1.4886666666666668</v>
      </c>
      <c r="EM48" s="528">
        <f t="shared" si="85"/>
        <v>1.1957609474658654E-2</v>
      </c>
      <c r="EN48" s="528">
        <f t="shared" si="86"/>
        <v>5.1537870801033593E-2</v>
      </c>
      <c r="EO48">
        <f t="shared" si="87"/>
        <v>2.6099999999999998E-2</v>
      </c>
      <c r="EP48" s="460">
        <f t="shared" si="123"/>
        <v>38.057609474658655</v>
      </c>
      <c r="EQ48" s="528">
        <f t="shared" si="88"/>
        <v>1.8468598417758122</v>
      </c>
      <c r="ER48" s="460">
        <f t="shared" si="124"/>
        <v>1846.8598417758121</v>
      </c>
      <c r="ES48" s="528">
        <f t="shared" si="125"/>
        <v>2.6713749999999998</v>
      </c>
      <c r="ET48" s="528"/>
      <c r="EV48" s="460">
        <f t="shared" si="126"/>
        <v>2671.375</v>
      </c>
      <c r="EW48" s="528">
        <f t="shared" si="89"/>
        <v>0.2357755532220456</v>
      </c>
      <c r="EX48" s="528">
        <f t="shared" si="90"/>
        <v>0.88798584979731421</v>
      </c>
      <c r="EY48" s="528">
        <f t="shared" si="91"/>
        <v>1.6373763960187142</v>
      </c>
      <c r="EZ48" s="528">
        <f t="shared" si="92"/>
        <v>3.330231374286504</v>
      </c>
      <c r="FA48" s="528">
        <f t="shared" si="93"/>
        <v>1.0750000000000003E-2</v>
      </c>
      <c r="FB48" s="460">
        <f t="shared" si="127"/>
        <v>3340.981374286504</v>
      </c>
      <c r="FC48" s="173">
        <f t="shared" si="128"/>
        <v>7.8592162160623165</v>
      </c>
      <c r="FD48" s="5">
        <f t="shared" si="129"/>
        <v>64.5</v>
      </c>
      <c r="FE48" s="173">
        <f t="shared" si="130"/>
        <v>0.89138610633101734</v>
      </c>
      <c r="FF48" s="5">
        <f t="shared" si="131"/>
        <v>89.138610633101734</v>
      </c>
      <c r="FI48" s="562">
        <f t="shared" si="94"/>
        <v>-50</v>
      </c>
      <c r="FJ48">
        <f t="shared" si="95"/>
        <v>-50</v>
      </c>
      <c r="FL48">
        <f t="shared" si="181"/>
        <v>0.79019073569482279</v>
      </c>
    </row>
    <row r="49" spans="5:168">
      <c r="E49" s="170">
        <v>44</v>
      </c>
      <c r="F49" s="217">
        <f t="shared" si="182"/>
        <v>4.4000000000000004</v>
      </c>
      <c r="G49" s="217"/>
      <c r="H49" s="217">
        <f t="shared" si="132"/>
        <v>66</v>
      </c>
      <c r="I49" s="541">
        <f t="shared" si="133"/>
        <v>57.719929462051461</v>
      </c>
      <c r="J49" s="172">
        <f t="shared" si="134"/>
        <v>15.568042322769125</v>
      </c>
      <c r="K49" s="172">
        <f t="shared" si="135"/>
        <v>73.568042322769131</v>
      </c>
      <c r="L49" s="443"/>
      <c r="M49" s="217">
        <f t="shared" si="136"/>
        <v>0.21241220140817421</v>
      </c>
      <c r="N49" s="172">
        <f t="shared" si="137"/>
        <v>307.39931230692861</v>
      </c>
      <c r="O49" s="172">
        <f t="shared" si="98"/>
        <v>66</v>
      </c>
      <c r="P49" s="217">
        <f t="shared" si="138"/>
        <v>20.493287487128573</v>
      </c>
      <c r="Q49" s="217">
        <f t="shared" si="139"/>
        <v>15</v>
      </c>
      <c r="R49" s="217">
        <f t="shared" si="140"/>
        <v>20.434028803598139</v>
      </c>
      <c r="S49" s="172">
        <f t="shared" si="141"/>
        <v>270.31949895025951</v>
      </c>
      <c r="T49" s="172">
        <f t="shared" si="142"/>
        <v>15</v>
      </c>
      <c r="U49" s="217">
        <f t="shared" si="143"/>
        <v>11.173357453904231</v>
      </c>
      <c r="V49" s="217">
        <f t="shared" si="11"/>
        <v>2.3229461764156034</v>
      </c>
      <c r="W49" s="217">
        <f t="shared" si="144"/>
        <v>8.612533719204432</v>
      </c>
      <c r="X49" s="197">
        <f t="shared" si="145"/>
        <v>102.17528229720831</v>
      </c>
      <c r="Y49" s="443">
        <f t="shared" si="14"/>
        <v>89.803044805759484</v>
      </c>
      <c r="AA49" s="217">
        <f t="shared" si="146"/>
        <v>10</v>
      </c>
      <c r="AB49" s="173">
        <f t="shared" si="147"/>
        <v>7.7080982638705544</v>
      </c>
      <c r="AC49" s="173">
        <f t="shared" si="148"/>
        <v>3.937885580427976</v>
      </c>
      <c r="AD49" s="173"/>
      <c r="AE49" s="173">
        <f t="shared" si="149"/>
        <v>7.7080982638705544</v>
      </c>
      <c r="AF49" s="545">
        <f t="shared" si="150"/>
        <v>114.16564370030693</v>
      </c>
      <c r="AG49" s="528">
        <f t="shared" si="151"/>
        <v>3.937885580427976</v>
      </c>
      <c r="AI49" s="173">
        <f t="shared" si="152"/>
        <v>5.7112831608093844</v>
      </c>
      <c r="AJ49" s="173">
        <f t="shared" si="153"/>
        <v>11.173357453904231</v>
      </c>
      <c r="AK49" s="173">
        <f t="shared" si="154"/>
        <v>2.0691536695586894</v>
      </c>
      <c r="AM49" s="545">
        <f t="shared" si="155"/>
        <v>4400</v>
      </c>
      <c r="AN49" s="460">
        <f t="shared" si="156"/>
        <v>89.803044805759484</v>
      </c>
      <c r="AP49">
        <f t="shared" si="157"/>
        <v>4400</v>
      </c>
      <c r="AQ49" s="460">
        <f t="shared" si="158"/>
        <v>89.803044805759484</v>
      </c>
      <c r="AR49" s="460"/>
      <c r="AS49" s="5">
        <f t="shared" si="101"/>
        <v>11.135479895620035</v>
      </c>
      <c r="AT49" s="5">
        <f t="shared" si="159"/>
        <v>2.3229461764156034</v>
      </c>
      <c r="AU49" s="5">
        <f t="shared" si="102"/>
        <v>8.8125337192044313</v>
      </c>
      <c r="AV49" s="5">
        <f t="shared" si="160"/>
        <v>8.612533719204432</v>
      </c>
      <c r="AW49" s="173">
        <f t="shared" si="103"/>
        <v>0.20860763956201811</v>
      </c>
      <c r="AX49" s="173">
        <f t="shared" si="161"/>
        <v>67.268183120777366</v>
      </c>
      <c r="AY49" s="173">
        <f t="shared" si="162"/>
        <v>4.4212548647312939</v>
      </c>
      <c r="AZ49" s="173">
        <f t="shared" si="104"/>
        <v>15.21472640208577</v>
      </c>
      <c r="BA49" s="460">
        <f t="shared" si="163"/>
        <v>68.139754508191047</v>
      </c>
      <c r="BB49" s="5">
        <f t="shared" si="164"/>
        <v>3.4747289904785954</v>
      </c>
      <c r="BC49" s="5"/>
      <c r="BD49" s="173">
        <f t="shared" si="105"/>
        <v>2.9463760110688373</v>
      </c>
      <c r="BE49" s="173">
        <f t="shared" si="165"/>
        <v>5.7387722844092561</v>
      </c>
      <c r="BF49" s="173"/>
      <c r="BG49" s="528">
        <f t="shared" si="166"/>
        <v>0.17362263197203828</v>
      </c>
      <c r="BH49" s="528">
        <f t="shared" si="167"/>
        <v>1.3840928530271108</v>
      </c>
      <c r="BI49" s="528">
        <f t="shared" si="168"/>
        <v>0.1295856352916471</v>
      </c>
      <c r="BJ49" s="528">
        <f t="shared" si="169"/>
        <v>4.8603714450901891E-2</v>
      </c>
      <c r="BK49">
        <f t="shared" si="170"/>
        <v>2.5973968257923155E-2</v>
      </c>
      <c r="BL49" s="460">
        <f t="shared" si="106"/>
        <v>155.55960354957026</v>
      </c>
      <c r="BM49" s="528">
        <f t="shared" si="171"/>
        <v>1.7243306703419736</v>
      </c>
      <c r="BN49" s="460">
        <f t="shared" si="107"/>
        <v>1724.3306703419737</v>
      </c>
      <c r="BO49" s="528">
        <f t="shared" si="172"/>
        <v>2.7334999999999998</v>
      </c>
      <c r="BP49" s="528"/>
      <c r="BR49" s="460">
        <f t="shared" si="109"/>
        <v>2733.5</v>
      </c>
      <c r="BS49" s="528">
        <f t="shared" si="173"/>
        <v>0.26043394795805741</v>
      </c>
      <c r="BT49" s="528">
        <f t="shared" si="174"/>
        <v>0.98800521996911495</v>
      </c>
      <c r="BU49" s="528">
        <f t="shared" si="175"/>
        <v>0.99</v>
      </c>
      <c r="BV49" s="528">
        <f t="shared" si="176"/>
        <v>2.8196805382268426</v>
      </c>
      <c r="BW49" s="528">
        <f t="shared" si="177"/>
        <v>1.1211363853462896E-2</v>
      </c>
      <c r="BX49" s="460">
        <f t="shared" si="110"/>
        <v>2830.8919020803055</v>
      </c>
      <c r="BY49" s="173">
        <f t="shared" si="45"/>
        <v>7.4442821759718498</v>
      </c>
      <c r="BZ49" s="5">
        <f t="shared" si="111"/>
        <v>66</v>
      </c>
      <c r="CA49" s="173">
        <f t="shared" si="112"/>
        <v>0.89864041208632939</v>
      </c>
      <c r="CB49" s="5">
        <f t="shared" si="113"/>
        <v>89.864041208632941</v>
      </c>
      <c r="CE49" s="562">
        <f t="shared" si="178"/>
        <v>-50</v>
      </c>
      <c r="CF49">
        <f t="shared" si="179"/>
        <v>-50</v>
      </c>
      <c r="CG49" s="173">
        <f t="shared" si="180"/>
        <v>0.78551639744563817</v>
      </c>
      <c r="CI49" s="170">
        <v>44</v>
      </c>
      <c r="CJ49" s="217">
        <f t="shared" si="114"/>
        <v>4.4000000000000004</v>
      </c>
      <c r="CK49" s="217"/>
      <c r="CL49" s="217">
        <f t="shared" si="49"/>
        <v>66</v>
      </c>
      <c r="CM49" s="541">
        <f t="shared" si="50"/>
        <v>58</v>
      </c>
      <c r="CN49" s="172">
        <f t="shared" si="51"/>
        <v>15.4</v>
      </c>
      <c r="CO49" s="443">
        <f t="shared" si="52"/>
        <v>73.400000000000006</v>
      </c>
      <c r="CP49" s="443"/>
      <c r="CQ49" s="217">
        <f t="shared" si="53"/>
        <v>0.2098092643051771</v>
      </c>
      <c r="CR49" s="172">
        <f t="shared" si="54"/>
        <v>305.10568119891008</v>
      </c>
      <c r="CS49" s="172">
        <f t="shared" si="115"/>
        <v>66</v>
      </c>
      <c r="CT49" s="217">
        <f t="shared" si="55"/>
        <v>20.340378746594006</v>
      </c>
      <c r="CU49" s="217">
        <f t="shared" si="56"/>
        <v>15</v>
      </c>
      <c r="CV49" s="217">
        <f t="shared" si="57"/>
        <v>20.281562216167121</v>
      </c>
      <c r="CW49" s="172">
        <f t="shared" si="58"/>
        <v>271.6307390250069</v>
      </c>
      <c r="CX49" s="172">
        <f t="shared" si="59"/>
        <v>15</v>
      </c>
      <c r="CY49" s="217">
        <f t="shared" si="60"/>
        <v>10.847290640394089</v>
      </c>
      <c r="CZ49" s="217">
        <f t="shared" si="61"/>
        <v>2.244267029047053</v>
      </c>
      <c r="DA49" s="217">
        <f t="shared" si="62"/>
        <v>8.4524342652421467</v>
      </c>
      <c r="DB49" s="197">
        <f t="shared" si="63"/>
        <v>101.4078110808356</v>
      </c>
      <c r="DC49" s="443">
        <f t="shared" si="116"/>
        <v>93.48676498369494</v>
      </c>
      <c r="DE49" s="217">
        <f t="shared" si="64"/>
        <v>10</v>
      </c>
      <c r="DF49" s="173">
        <f t="shared" si="65"/>
        <v>7.7922077922077913</v>
      </c>
      <c r="DG49" s="173">
        <f t="shared" si="66"/>
        <v>3.9509536784741139</v>
      </c>
      <c r="DH49" s="173"/>
      <c r="DI49" s="173">
        <f t="shared" si="67"/>
        <v>7.7922077922077913</v>
      </c>
      <c r="DJ49" s="545">
        <f t="shared" si="117"/>
        <v>112.93333333333334</v>
      </c>
      <c r="DK49" s="528">
        <f t="shared" si="68"/>
        <v>3.9509536784741139</v>
      </c>
      <c r="DM49" s="173">
        <f t="shared" si="69"/>
        <v>5.6803755744375453</v>
      </c>
      <c r="DN49" s="173">
        <f t="shared" si="70"/>
        <v>10.847290640394089</v>
      </c>
      <c r="DO49" s="173">
        <f t="shared" si="71"/>
        <v>1.8276226965882141</v>
      </c>
      <c r="DQ49" s="545">
        <f t="shared" si="72"/>
        <v>4400</v>
      </c>
      <c r="DR49" s="460">
        <f t="shared" si="73"/>
        <v>93.48676498369494</v>
      </c>
      <c r="DT49">
        <f t="shared" si="74"/>
        <v>4400</v>
      </c>
      <c r="DU49" s="460">
        <f t="shared" si="75"/>
        <v>93.48676498369494</v>
      </c>
      <c r="DV49" s="460"/>
      <c r="DW49" s="5">
        <f t="shared" si="118"/>
        <v>10.6967012942892</v>
      </c>
      <c r="DX49" s="5">
        <f t="shared" si="76"/>
        <v>2.244267029047053</v>
      </c>
      <c r="DY49" s="5">
        <f t="shared" si="119"/>
        <v>8.4524342652421467</v>
      </c>
      <c r="DZ49" s="5">
        <f t="shared" si="77"/>
        <v>8.4524342652421467</v>
      </c>
      <c r="EA49" s="173">
        <f t="shared" si="120"/>
        <v>0.20980926430517713</v>
      </c>
      <c r="EB49" s="173">
        <f t="shared" si="78"/>
        <v>66</v>
      </c>
      <c r="EC49" s="173">
        <f t="shared" si="79"/>
        <v>4.2857142857142856</v>
      </c>
      <c r="ED49" s="173">
        <f t="shared" si="121"/>
        <v>15.4</v>
      </c>
      <c r="EE49" s="460">
        <f t="shared" si="80"/>
        <v>65.831832852046887</v>
      </c>
      <c r="EF49" s="5">
        <f t="shared" si="81"/>
        <v>3.3166507818429345</v>
      </c>
      <c r="EG49" s="5"/>
      <c r="EH49" s="173">
        <f t="shared" si="122"/>
        <v>2.8686197214872977</v>
      </c>
      <c r="EI49" s="173">
        <f t="shared" si="82"/>
        <v>5.5670691546409348</v>
      </c>
      <c r="EJ49" s="173"/>
      <c r="EK49" s="528">
        <f t="shared" si="83"/>
        <v>0.16457958213011722</v>
      </c>
      <c r="EL49" s="528">
        <f t="shared" si="84"/>
        <v>1.4886666666666666</v>
      </c>
      <c r="EM49" s="528">
        <f t="shared" si="85"/>
        <v>1.1685845622961868E-2</v>
      </c>
      <c r="EN49" s="528">
        <f t="shared" si="86"/>
        <v>5.036655555555556E-2</v>
      </c>
      <c r="EO49">
        <f t="shared" si="87"/>
        <v>2.6099999999999998E-2</v>
      </c>
      <c r="EP49" s="460">
        <f t="shared" si="123"/>
        <v>37.785845622961865</v>
      </c>
      <c r="EQ49" s="528">
        <f t="shared" si="88"/>
        <v>1.858510535163808</v>
      </c>
      <c r="ER49" s="460">
        <f t="shared" si="124"/>
        <v>1858.5105351638081</v>
      </c>
      <c r="ES49" s="528">
        <f t="shared" si="125"/>
        <v>2.7334999999999998</v>
      </c>
      <c r="ET49" s="528"/>
      <c r="EV49" s="460">
        <f t="shared" si="126"/>
        <v>2733.5</v>
      </c>
      <c r="EW49" s="528">
        <f t="shared" si="89"/>
        <v>0.24686937319517582</v>
      </c>
      <c r="EX49" s="528">
        <f t="shared" si="90"/>
        <v>0.92976776917663584</v>
      </c>
      <c r="EY49" s="528">
        <f t="shared" si="91"/>
        <v>1.6373763960187124</v>
      </c>
      <c r="EZ49" s="528">
        <f t="shared" si="92"/>
        <v>3.4181612956898757</v>
      </c>
      <c r="FA49" s="528">
        <f t="shared" si="93"/>
        <v>1.0999999999999999E-2</v>
      </c>
      <c r="FB49" s="460">
        <f t="shared" si="127"/>
        <v>3429.1612956898757</v>
      </c>
      <c r="FC49" s="173">
        <f t="shared" si="128"/>
        <v>8.0211718308536817</v>
      </c>
      <c r="FD49" s="5">
        <f t="shared" si="129"/>
        <v>66</v>
      </c>
      <c r="FE49" s="173">
        <f t="shared" si="130"/>
        <v>0.89163678941502134</v>
      </c>
      <c r="FF49" s="5">
        <f t="shared" si="131"/>
        <v>89.163678941502127</v>
      </c>
      <c r="FI49" s="562">
        <f t="shared" si="94"/>
        <v>-50</v>
      </c>
      <c r="FJ49">
        <f t="shared" si="95"/>
        <v>-50</v>
      </c>
      <c r="FL49">
        <f t="shared" si="181"/>
        <v>0.7901907356948229</v>
      </c>
    </row>
    <row r="50" spans="5:168">
      <c r="E50" s="170">
        <v>45</v>
      </c>
      <c r="F50" s="217">
        <f t="shared" si="182"/>
        <v>4.5</v>
      </c>
      <c r="G50" s="217"/>
      <c r="H50" s="217">
        <f t="shared" si="132"/>
        <v>67.5</v>
      </c>
      <c r="I50" s="541">
        <f t="shared" si="133"/>
        <v>57.713602094898249</v>
      </c>
      <c r="J50" s="172">
        <f t="shared" si="134"/>
        <v>15.571838743061051</v>
      </c>
      <c r="K50" s="172">
        <f t="shared" si="135"/>
        <v>73.571838743061051</v>
      </c>
      <c r="L50" s="443"/>
      <c r="M50" s="217">
        <f t="shared" si="136"/>
        <v>0.21247134257635922</v>
      </c>
      <c r="N50" s="172">
        <f t="shared" si="137"/>
        <v>307.45119332336679</v>
      </c>
      <c r="O50" s="172">
        <f t="shared" si="98"/>
        <v>67.5</v>
      </c>
      <c r="P50" s="217">
        <f t="shared" si="138"/>
        <v>20.496746221557785</v>
      </c>
      <c r="Q50" s="217">
        <f t="shared" si="139"/>
        <v>15</v>
      </c>
      <c r="R50" s="217">
        <f t="shared" si="140"/>
        <v>20.437477536701348</v>
      </c>
      <c r="S50" s="172">
        <f t="shared" si="141"/>
        <v>263.00516297929903</v>
      </c>
      <c r="T50" s="172">
        <f t="shared" si="142"/>
        <v>15</v>
      </c>
      <c r="U50" s="217">
        <f t="shared" si="143"/>
        <v>11.428155553656969</v>
      </c>
      <c r="V50" s="217">
        <f t="shared" si="11"/>
        <v>2.3761793003040839</v>
      </c>
      <c r="W50" s="217">
        <f t="shared" si="144"/>
        <v>8.8067869765857605</v>
      </c>
      <c r="X50" s="197">
        <f t="shared" si="145"/>
        <v>102.19252451179989</v>
      </c>
      <c r="Y50" s="443">
        <f t="shared" si="14"/>
        <v>87.850563348346213</v>
      </c>
      <c r="AA50" s="217">
        <f t="shared" si="146"/>
        <v>10</v>
      </c>
      <c r="AB50" s="173">
        <f t="shared" si="147"/>
        <v>7.7062190265406558</v>
      </c>
      <c r="AC50" s="173">
        <f t="shared" si="148"/>
        <v>3.937589883815273</v>
      </c>
      <c r="AD50" s="173"/>
      <c r="AE50" s="173">
        <f t="shared" si="149"/>
        <v>7.7062190265406558</v>
      </c>
      <c r="AF50" s="545">
        <f t="shared" si="150"/>
        <v>116.78879057295789</v>
      </c>
      <c r="AG50" s="528">
        <f t="shared" si="151"/>
        <v>3.9375898838152725</v>
      </c>
      <c r="AI50" s="173">
        <f t="shared" si="152"/>
        <v>5.7765236845344932</v>
      </c>
      <c r="AJ50" s="173">
        <f t="shared" si="153"/>
        <v>11.428155553656969</v>
      </c>
      <c r="AK50" s="173">
        <f t="shared" si="154"/>
        <v>2.2578930027088662</v>
      </c>
      <c r="AM50" s="545">
        <f t="shared" si="155"/>
        <v>4500</v>
      </c>
      <c r="AN50" s="460">
        <f t="shared" si="156"/>
        <v>87.850563348346213</v>
      </c>
      <c r="AP50">
        <f t="shared" si="157"/>
        <v>4500</v>
      </c>
      <c r="AQ50" s="460">
        <f t="shared" si="158"/>
        <v>87.850563348346213</v>
      </c>
      <c r="AR50" s="460"/>
      <c r="AS50" s="5">
        <f t="shared" si="101"/>
        <v>11.382966276889846</v>
      </c>
      <c r="AT50" s="5">
        <f t="shared" si="159"/>
        <v>2.3761793003040839</v>
      </c>
      <c r="AU50" s="5">
        <f t="shared" si="102"/>
        <v>9.0067869765857616</v>
      </c>
      <c r="AV50" s="5">
        <f t="shared" si="160"/>
        <v>8.8067869765857605</v>
      </c>
      <c r="AW50" s="173">
        <f t="shared" si="103"/>
        <v>0.2087486901483929</v>
      </c>
      <c r="AX50" s="173">
        <f t="shared" si="161"/>
        <v>68.841145364931236</v>
      </c>
      <c r="AY50" s="173">
        <f t="shared" si="162"/>
        <v>4.5212715255094977</v>
      </c>
      <c r="AZ50" s="173">
        <f t="shared" si="104"/>
        <v>15.226058637823924</v>
      </c>
      <c r="BA50" s="460">
        <f t="shared" si="163"/>
        <v>71.285379009122522</v>
      </c>
      <c r="BB50" s="5">
        <f t="shared" si="164"/>
        <v>3.6324319353148966</v>
      </c>
      <c r="BC50" s="5"/>
      <c r="BD50" s="173">
        <f t="shared" si="105"/>
        <v>3.0145840382434006</v>
      </c>
      <c r="BE50" s="173">
        <f t="shared" si="165"/>
        <v>5.8691165884848742</v>
      </c>
      <c r="BF50" s="173"/>
      <c r="BG50" s="528">
        <f t="shared" si="166"/>
        <v>0.18175433847263775</v>
      </c>
      <c r="BH50" s="528">
        <f t="shared" si="167"/>
        <v>1.3849483469512156</v>
      </c>
      <c r="BI50" s="528">
        <f t="shared" si="168"/>
        <v>0.12675431142247764</v>
      </c>
      <c r="BJ50" s="528">
        <f t="shared" si="169"/>
        <v>4.7551888711330842E-2</v>
      </c>
      <c r="BK50">
        <f t="shared" si="170"/>
        <v>2.597112094270421E-2</v>
      </c>
      <c r="BL50" s="460">
        <f t="shared" si="106"/>
        <v>152.72543236518186</v>
      </c>
      <c r="BM50" s="528">
        <f t="shared" si="171"/>
        <v>1.7384007895173683</v>
      </c>
      <c r="BN50" s="460">
        <f t="shared" si="107"/>
        <v>1738.4007895173684</v>
      </c>
      <c r="BO50" s="528">
        <f t="shared" si="172"/>
        <v>2.7956249999999998</v>
      </c>
      <c r="BP50" s="528"/>
      <c r="BR50" s="460">
        <f t="shared" si="109"/>
        <v>2795.625</v>
      </c>
      <c r="BS50" s="528">
        <f t="shared" si="173"/>
        <v>0.27263150770895661</v>
      </c>
      <c r="BT50" s="528">
        <f t="shared" si="174"/>
        <v>1.0333958858768497</v>
      </c>
      <c r="BU50" s="528">
        <f t="shared" si="175"/>
        <v>1.0125</v>
      </c>
      <c r="BV50" s="528">
        <f t="shared" si="176"/>
        <v>2.9390526274584903</v>
      </c>
      <c r="BW50" s="528">
        <f t="shared" si="177"/>
        <v>1.1473524227488539E-2</v>
      </c>
      <c r="BX50" s="460">
        <f t="shared" si="110"/>
        <v>2950.5261516859787</v>
      </c>
      <c r="BY50" s="173">
        <f t="shared" si="45"/>
        <v>7.63727737356853</v>
      </c>
      <c r="BZ50" s="5">
        <f t="shared" si="111"/>
        <v>67.5</v>
      </c>
      <c r="CA50" s="173">
        <f t="shared" si="112"/>
        <v>0.89835568122068865</v>
      </c>
      <c r="CB50" s="5">
        <f t="shared" si="113"/>
        <v>89.835568122068864</v>
      </c>
      <c r="CE50" s="562">
        <f t="shared" si="178"/>
        <v>-50</v>
      </c>
      <c r="CF50">
        <f t="shared" si="179"/>
        <v>-50</v>
      </c>
      <c r="CG50" s="173">
        <f t="shared" si="180"/>
        <v>0.78562027162895332</v>
      </c>
      <c r="CI50" s="170">
        <v>45</v>
      </c>
      <c r="CJ50" s="217">
        <f t="shared" si="114"/>
        <v>4.5</v>
      </c>
      <c r="CK50" s="217"/>
      <c r="CL50" s="217">
        <f t="shared" si="49"/>
        <v>67.5</v>
      </c>
      <c r="CM50" s="541">
        <f t="shared" si="50"/>
        <v>58</v>
      </c>
      <c r="CN50" s="172">
        <f t="shared" si="51"/>
        <v>15.4</v>
      </c>
      <c r="CO50" s="443">
        <f t="shared" si="52"/>
        <v>73.400000000000006</v>
      </c>
      <c r="CP50" s="443"/>
      <c r="CQ50" s="217">
        <f t="shared" si="53"/>
        <v>0.2098092643051771</v>
      </c>
      <c r="CR50" s="172">
        <f t="shared" si="54"/>
        <v>305.10568119891008</v>
      </c>
      <c r="CS50" s="172">
        <f t="shared" si="115"/>
        <v>67.5</v>
      </c>
      <c r="CT50" s="217">
        <f t="shared" si="55"/>
        <v>20.340378746594006</v>
      </c>
      <c r="CU50" s="217">
        <f t="shared" si="56"/>
        <v>15</v>
      </c>
      <c r="CV50" s="217">
        <f t="shared" si="57"/>
        <v>20.281562216167121</v>
      </c>
      <c r="CW50" s="172">
        <f t="shared" si="58"/>
        <v>264.30986534791197</v>
      </c>
      <c r="CX50" s="172">
        <f t="shared" si="59"/>
        <v>15</v>
      </c>
      <c r="CY50" s="217">
        <f t="shared" si="60"/>
        <v>11.093819973130318</v>
      </c>
      <c r="CZ50" s="217">
        <f t="shared" si="61"/>
        <v>2.295273097889031</v>
      </c>
      <c r="DA50" s="217">
        <f t="shared" si="62"/>
        <v>8.6445350439976494</v>
      </c>
      <c r="DB50" s="197">
        <f t="shared" si="63"/>
        <v>101.4078110808356</v>
      </c>
      <c r="DC50" s="443">
        <f t="shared" si="116"/>
        <v>91.409281317390636</v>
      </c>
      <c r="DE50" s="217">
        <f t="shared" si="64"/>
        <v>10</v>
      </c>
      <c r="DF50" s="173">
        <f t="shared" si="65"/>
        <v>7.7922077922077913</v>
      </c>
      <c r="DG50" s="173">
        <f t="shared" si="66"/>
        <v>3.9509536784741139</v>
      </c>
      <c r="DH50" s="173"/>
      <c r="DI50" s="173">
        <f t="shared" si="67"/>
        <v>7.7922077922077913</v>
      </c>
      <c r="DJ50" s="545">
        <f t="shared" si="117"/>
        <v>115.5</v>
      </c>
      <c r="DK50" s="528">
        <f t="shared" si="68"/>
        <v>3.9509536784741139</v>
      </c>
      <c r="DM50" s="173">
        <f t="shared" si="69"/>
        <v>5.7445626465380286</v>
      </c>
      <c r="DN50" s="173">
        <f t="shared" si="70"/>
        <v>11.093819973130318</v>
      </c>
      <c r="DO50" s="173">
        <f t="shared" si="71"/>
        <v>2.0102370171335684</v>
      </c>
      <c r="DQ50" s="545">
        <f t="shared" si="72"/>
        <v>4500</v>
      </c>
      <c r="DR50" s="460">
        <f t="shared" si="73"/>
        <v>91.409281317390636</v>
      </c>
      <c r="DT50">
        <f t="shared" si="74"/>
        <v>4500</v>
      </c>
      <c r="DU50" s="460">
        <f t="shared" si="75"/>
        <v>91.409281317390636</v>
      </c>
      <c r="DV50" s="460"/>
      <c r="DW50" s="5">
        <f t="shared" si="118"/>
        <v>10.939808141886679</v>
      </c>
      <c r="DX50" s="5">
        <f t="shared" si="76"/>
        <v>2.295273097889031</v>
      </c>
      <c r="DY50" s="5">
        <f t="shared" si="119"/>
        <v>8.6445350439976494</v>
      </c>
      <c r="DZ50" s="5">
        <f t="shared" si="77"/>
        <v>8.6445350439976494</v>
      </c>
      <c r="EA50" s="173">
        <f t="shared" si="120"/>
        <v>0.20980926430517713</v>
      </c>
      <c r="EB50" s="173">
        <f t="shared" si="78"/>
        <v>67.500000000000014</v>
      </c>
      <c r="EC50" s="173">
        <f t="shared" si="79"/>
        <v>4.383116883116883</v>
      </c>
      <c r="ED50" s="173">
        <f t="shared" si="121"/>
        <v>15.400000000000004</v>
      </c>
      <c r="EE50" s="460">
        <f t="shared" si="80"/>
        <v>68.858192936670932</v>
      </c>
      <c r="EF50" s="5">
        <f t="shared" si="81"/>
        <v>3.4691207816280691</v>
      </c>
      <c r="EG50" s="5"/>
      <c r="EH50" s="173">
        <f t="shared" si="122"/>
        <v>2.9338156242483722</v>
      </c>
      <c r="EI50" s="173">
        <f t="shared" si="82"/>
        <v>5.6935934536100472</v>
      </c>
      <c r="EJ50" s="173"/>
      <c r="EK50" s="528">
        <f t="shared" si="83"/>
        <v>0.17214548234167734</v>
      </c>
      <c r="EL50" s="528">
        <f t="shared" si="84"/>
        <v>1.4886666666666672</v>
      </c>
      <c r="EM50" s="528">
        <f t="shared" si="85"/>
        <v>1.142616016467383E-2</v>
      </c>
      <c r="EN50" s="528">
        <f t="shared" si="86"/>
        <v>4.9247298765432115E-2</v>
      </c>
      <c r="EO50">
        <f t="shared" si="87"/>
        <v>2.6099999999999998E-2</v>
      </c>
      <c r="EP50" s="460">
        <f t="shared" si="123"/>
        <v>37.526160164673826</v>
      </c>
      <c r="EQ50" s="528">
        <f t="shared" si="88"/>
        <v>1.8705746978794313</v>
      </c>
      <c r="ER50" s="460">
        <f t="shared" si="124"/>
        <v>1870.5746978794314</v>
      </c>
      <c r="ES50" s="528">
        <f t="shared" si="125"/>
        <v>2.7956249999999998</v>
      </c>
      <c r="ET50" s="528"/>
      <c r="EV50" s="460">
        <f t="shared" si="126"/>
        <v>2795.625</v>
      </c>
      <c r="EW50" s="528">
        <f t="shared" si="89"/>
        <v>0.258218223512516</v>
      </c>
      <c r="EX50" s="528">
        <f t="shared" si="90"/>
        <v>0.97251019244973547</v>
      </c>
      <c r="EY50" s="528">
        <f t="shared" si="91"/>
        <v>1.637376396018714</v>
      </c>
      <c r="EZ50" s="528">
        <f t="shared" si="92"/>
        <v>3.5089664050389753</v>
      </c>
      <c r="FA50" s="528">
        <f t="shared" si="93"/>
        <v>1.1250000000000005E-2</v>
      </c>
      <c r="FB50" s="460">
        <f t="shared" si="127"/>
        <v>3520.2164050389752</v>
      </c>
      <c r="FC50" s="173">
        <f t="shared" si="128"/>
        <v>8.1864161029184075</v>
      </c>
      <c r="FD50" s="5">
        <f t="shared" si="129"/>
        <v>67.5</v>
      </c>
      <c r="FE50" s="173">
        <f t="shared" si="130"/>
        <v>0.89183770979740262</v>
      </c>
      <c r="FF50" s="5">
        <f t="shared" si="131"/>
        <v>89.18377097974026</v>
      </c>
      <c r="FI50" s="562">
        <f t="shared" si="94"/>
        <v>-50</v>
      </c>
      <c r="FJ50">
        <f t="shared" si="95"/>
        <v>-50</v>
      </c>
      <c r="FL50">
        <f t="shared" si="181"/>
        <v>0.7901907356948229</v>
      </c>
    </row>
    <row r="51" spans="5:168">
      <c r="E51" s="170">
        <v>46</v>
      </c>
      <c r="F51" s="217">
        <f t="shared" si="182"/>
        <v>4.6000000000000005</v>
      </c>
      <c r="G51" s="217"/>
      <c r="H51" s="217">
        <f t="shared" si="132"/>
        <v>69.000000000000014</v>
      </c>
      <c r="I51" s="541">
        <f t="shared" si="133"/>
        <v>57.707274718166772</v>
      </c>
      <c r="J51" s="172">
        <f t="shared" si="134"/>
        <v>15.575635169099938</v>
      </c>
      <c r="K51" s="172">
        <f t="shared" si="135"/>
        <v>73.57563516909994</v>
      </c>
      <c r="L51" s="443"/>
      <c r="M51" s="217">
        <f t="shared" si="136"/>
        <v>0.21253048785724277</v>
      </c>
      <c r="N51" s="172">
        <f t="shared" si="137"/>
        <v>307.50306147463328</v>
      </c>
      <c r="O51" s="172">
        <f t="shared" si="98"/>
        <v>69.000000000000014</v>
      </c>
      <c r="P51" s="217">
        <f t="shared" si="138"/>
        <v>20.500204098308885</v>
      </c>
      <c r="Q51" s="217">
        <f t="shared" si="139"/>
        <v>15</v>
      </c>
      <c r="R51" s="217">
        <f t="shared" si="140"/>
        <v>20.440925414606525</v>
      </c>
      <c r="S51" s="172">
        <f t="shared" si="141"/>
        <v>256.00924202005331</v>
      </c>
      <c r="T51" s="172">
        <f t="shared" si="142"/>
        <v>15</v>
      </c>
      <c r="U51" s="217">
        <f t="shared" si="143"/>
        <v>11.682991986529341</v>
      </c>
      <c r="V51" s="217">
        <f t="shared" si="11"/>
        <v>2.4294320694062717</v>
      </c>
      <c r="W51" s="217">
        <f t="shared" si="144"/>
        <v>9.0009750688358974</v>
      </c>
      <c r="X51" s="197">
        <f t="shared" si="145"/>
        <v>102.20976248030671</v>
      </c>
      <c r="Y51" s="443">
        <f t="shared" si="14"/>
        <v>85.981512780569872</v>
      </c>
      <c r="AA51" s="217">
        <f t="shared" si="146"/>
        <v>10</v>
      </c>
      <c r="AB51" s="173">
        <f t="shared" si="147"/>
        <v>7.7043407024623054</v>
      </c>
      <c r="AC51" s="173">
        <f t="shared" si="148"/>
        <v>3.9372941663301577</v>
      </c>
      <c r="AD51" s="173"/>
      <c r="AE51" s="173">
        <f t="shared" si="149"/>
        <v>7.7043407024623054</v>
      </c>
      <c r="AF51" s="545">
        <f t="shared" si="150"/>
        <v>119.41320296309955</v>
      </c>
      <c r="AG51" s="528">
        <f t="shared" si="151"/>
        <v>3.9372941663301573</v>
      </c>
      <c r="AI51" s="173">
        <f t="shared" si="152"/>
        <v>5.8410665113022819</v>
      </c>
      <c r="AJ51" s="173">
        <f t="shared" si="153"/>
        <v>11.682991986529341</v>
      </c>
      <c r="AK51" s="173">
        <f t="shared" si="154"/>
        <v>2.446660730762475</v>
      </c>
      <c r="AM51" s="545">
        <f t="shared" si="155"/>
        <v>4600.0000000000009</v>
      </c>
      <c r="AN51" s="460">
        <f t="shared" si="156"/>
        <v>85.981512780569872</v>
      </c>
      <c r="AP51">
        <f t="shared" si="157"/>
        <v>4600.0000000000009</v>
      </c>
      <c r="AQ51" s="460">
        <f t="shared" si="158"/>
        <v>85.981512780569872</v>
      </c>
      <c r="AR51" s="460"/>
      <c r="AS51" s="5">
        <f t="shared" si="101"/>
        <v>11.630407138242168</v>
      </c>
      <c r="AT51" s="5">
        <f t="shared" si="159"/>
        <v>2.4294320694062717</v>
      </c>
      <c r="AU51" s="5">
        <f t="shared" si="102"/>
        <v>9.2009750688358967</v>
      </c>
      <c r="AV51" s="5">
        <f t="shared" si="160"/>
        <v>9.0009750688358974</v>
      </c>
      <c r="AW51" s="173">
        <f t="shared" si="103"/>
        <v>0.20888624452518165</v>
      </c>
      <c r="AX51" s="173">
        <f t="shared" si="161"/>
        <v>70.414887527972681</v>
      </c>
      <c r="AY51" s="173">
        <f t="shared" si="162"/>
        <v>4.621287832822718</v>
      </c>
      <c r="AZ51" s="173">
        <f t="shared" si="104"/>
        <v>15.237070287604814</v>
      </c>
      <c r="BA51" s="460">
        <f t="shared" si="163"/>
        <v>74.502583461792341</v>
      </c>
      <c r="BB51" s="5">
        <f t="shared" si="164"/>
        <v>3.7936248541798094</v>
      </c>
      <c r="BC51" s="5"/>
      <c r="BD51" s="173">
        <f t="shared" si="105"/>
        <v>3.0828214523215625</v>
      </c>
      <c r="BE51" s="173">
        <f t="shared" si="165"/>
        <v>5.9994704609831118</v>
      </c>
      <c r="BF51" s="173"/>
      <c r="BG51" s="528">
        <f t="shared" si="166"/>
        <v>0.19007576213788058</v>
      </c>
      <c r="BH51" s="528">
        <f t="shared" si="167"/>
        <v>1.3857805221269741</v>
      </c>
      <c r="BI51" s="528">
        <f t="shared" si="168"/>
        <v>0.12404396946779782</v>
      </c>
      <c r="BJ51" s="528">
        <f t="shared" si="169"/>
        <v>4.6545009355146952E-2</v>
      </c>
      <c r="BK51">
        <f t="shared" si="170"/>
        <v>2.5968273623175046E-2</v>
      </c>
      <c r="BL51" s="460">
        <f t="shared" si="106"/>
        <v>150.01224309097285</v>
      </c>
      <c r="BM51" s="528">
        <f t="shared" si="171"/>
        <v>1.7528855693817045</v>
      </c>
      <c r="BN51" s="460">
        <f t="shared" si="107"/>
        <v>1752.8855693817045</v>
      </c>
      <c r="BO51" s="528">
        <f t="shared" si="172"/>
        <v>2.8577500000000002</v>
      </c>
      <c r="BP51" s="528"/>
      <c r="BR51" s="460">
        <f t="shared" si="109"/>
        <v>2857.7500000000005</v>
      </c>
      <c r="BS51" s="528">
        <f t="shared" si="173"/>
        <v>0.28511364320682081</v>
      </c>
      <c r="BT51" s="528">
        <f t="shared" si="174"/>
        <v>1.0798093743662673</v>
      </c>
      <c r="BU51" s="528">
        <f t="shared" si="175"/>
        <v>1.0350000000000001</v>
      </c>
      <c r="BV51" s="528">
        <f t="shared" si="176"/>
        <v>3.0618384431637811</v>
      </c>
      <c r="BW51" s="528">
        <f t="shared" si="177"/>
        <v>1.1735814587995448E-2</v>
      </c>
      <c r="BX51" s="460">
        <f t="shared" si="110"/>
        <v>3073.5742577517767</v>
      </c>
      <c r="BY51" s="173">
        <f t="shared" si="45"/>
        <v>7.8342220702244543</v>
      </c>
      <c r="BZ51" s="5">
        <f t="shared" si="111"/>
        <v>69.000000000000014</v>
      </c>
      <c r="CA51" s="173">
        <f t="shared" si="112"/>
        <v>0.89803733467797486</v>
      </c>
      <c r="CB51" s="5">
        <f t="shared" si="113"/>
        <v>89.803733467797485</v>
      </c>
      <c r="CE51" s="562">
        <f t="shared" si="178"/>
        <v>-50</v>
      </c>
      <c r="CF51">
        <f t="shared" si="179"/>
        <v>-50</v>
      </c>
      <c r="CG51" s="173">
        <f t="shared" si="180"/>
        <v>0.78571962954342878</v>
      </c>
      <c r="CI51" s="170">
        <v>46</v>
      </c>
      <c r="CJ51" s="217">
        <f t="shared" si="114"/>
        <v>4.6000000000000005</v>
      </c>
      <c r="CK51" s="217"/>
      <c r="CL51" s="217">
        <f t="shared" si="49"/>
        <v>69.000000000000014</v>
      </c>
      <c r="CM51" s="541">
        <f t="shared" si="50"/>
        <v>58</v>
      </c>
      <c r="CN51" s="172">
        <f t="shared" si="51"/>
        <v>15.4</v>
      </c>
      <c r="CO51" s="443">
        <f t="shared" si="52"/>
        <v>73.400000000000006</v>
      </c>
      <c r="CP51" s="443"/>
      <c r="CQ51" s="217">
        <f t="shared" si="53"/>
        <v>0.2098092643051771</v>
      </c>
      <c r="CR51" s="172">
        <f t="shared" si="54"/>
        <v>305.10568119891008</v>
      </c>
      <c r="CS51" s="172">
        <f t="shared" si="115"/>
        <v>69.000000000000014</v>
      </c>
      <c r="CT51" s="217">
        <f t="shared" si="55"/>
        <v>20.340378746594006</v>
      </c>
      <c r="CU51" s="217">
        <f t="shared" si="56"/>
        <v>15</v>
      </c>
      <c r="CV51" s="217">
        <f t="shared" si="57"/>
        <v>20.281562216167121</v>
      </c>
      <c r="CW51" s="172">
        <f t="shared" si="58"/>
        <v>257.30741587706348</v>
      </c>
      <c r="CX51" s="172">
        <f t="shared" si="59"/>
        <v>15</v>
      </c>
      <c r="CY51" s="217">
        <f t="shared" si="60"/>
        <v>11.34034930586655</v>
      </c>
      <c r="CZ51" s="217">
        <f t="shared" si="61"/>
        <v>2.3462791667310099</v>
      </c>
      <c r="DA51" s="217">
        <f t="shared" si="62"/>
        <v>8.8366358227531538</v>
      </c>
      <c r="DB51" s="197">
        <f t="shared" si="63"/>
        <v>101.4078110808356</v>
      </c>
      <c r="DC51" s="443">
        <f t="shared" si="116"/>
        <v>89.422123027882122</v>
      </c>
      <c r="DE51" s="217">
        <f t="shared" si="64"/>
        <v>10</v>
      </c>
      <c r="DF51" s="173">
        <f t="shared" si="65"/>
        <v>7.7922077922077913</v>
      </c>
      <c r="DG51" s="173">
        <f t="shared" si="66"/>
        <v>3.9509536784741139</v>
      </c>
      <c r="DH51" s="173"/>
      <c r="DI51" s="173">
        <f t="shared" si="67"/>
        <v>7.7922077922077913</v>
      </c>
      <c r="DJ51" s="545">
        <f t="shared" si="117"/>
        <v>118.06666666666669</v>
      </c>
      <c r="DK51" s="528">
        <f t="shared" si="68"/>
        <v>3.9509536784741139</v>
      </c>
      <c r="DM51" s="173">
        <f t="shared" si="69"/>
        <v>5.8080404038998683</v>
      </c>
      <c r="DN51" s="173">
        <f t="shared" si="70"/>
        <v>11.34034930586655</v>
      </c>
      <c r="DO51" s="173">
        <f t="shared" si="71"/>
        <v>2.1928513376789258</v>
      </c>
      <c r="DQ51" s="545">
        <f t="shared" si="72"/>
        <v>4600.0000000000009</v>
      </c>
      <c r="DR51" s="460">
        <f t="shared" si="73"/>
        <v>89.422123027882122</v>
      </c>
      <c r="DT51">
        <f t="shared" si="74"/>
        <v>4600.0000000000009</v>
      </c>
      <c r="DU51" s="460">
        <f t="shared" si="75"/>
        <v>89.422123027882122</v>
      </c>
      <c r="DV51" s="460"/>
      <c r="DW51" s="5">
        <f t="shared" si="118"/>
        <v>11.182914989484164</v>
      </c>
      <c r="DX51" s="5">
        <f t="shared" si="76"/>
        <v>2.3462791667310099</v>
      </c>
      <c r="DY51" s="5">
        <f t="shared" si="119"/>
        <v>8.8366358227531538</v>
      </c>
      <c r="DZ51" s="5">
        <f t="shared" si="77"/>
        <v>8.8366358227531538</v>
      </c>
      <c r="EA51" s="173">
        <f t="shared" si="120"/>
        <v>0.2098092643051771</v>
      </c>
      <c r="EB51" s="173">
        <f t="shared" si="78"/>
        <v>69.000000000000014</v>
      </c>
      <c r="EC51" s="173">
        <f t="shared" si="79"/>
        <v>4.4805194805194812</v>
      </c>
      <c r="ED51" s="173">
        <f t="shared" si="121"/>
        <v>15.4</v>
      </c>
      <c r="EE51" s="460">
        <f t="shared" si="80"/>
        <v>71.952561113084315</v>
      </c>
      <c r="EF51" s="5">
        <f t="shared" si="81"/>
        <v>3.6250170735432086</v>
      </c>
      <c r="EG51" s="5"/>
      <c r="EH51" s="173">
        <f t="shared" si="122"/>
        <v>2.999011527009448</v>
      </c>
      <c r="EI51" s="173">
        <f t="shared" si="82"/>
        <v>5.8201177525791605</v>
      </c>
      <c r="EJ51" s="173"/>
      <c r="EK51" s="528">
        <f t="shared" si="83"/>
        <v>0.17988140278271084</v>
      </c>
      <c r="EL51" s="528">
        <f t="shared" si="84"/>
        <v>1.4886666666666672</v>
      </c>
      <c r="EM51" s="528">
        <f t="shared" si="85"/>
        <v>1.1177765378485265E-2</v>
      </c>
      <c r="EN51" s="528">
        <f t="shared" si="86"/>
        <v>4.8176705314009673E-2</v>
      </c>
      <c r="EO51">
        <f t="shared" si="87"/>
        <v>2.6099999999999998E-2</v>
      </c>
      <c r="EP51" s="460">
        <f t="shared" si="123"/>
        <v>37.277765378485263</v>
      </c>
      <c r="EQ51" s="528">
        <f t="shared" si="88"/>
        <v>1.8830518170549821</v>
      </c>
      <c r="ER51" s="460">
        <f t="shared" si="124"/>
        <v>1883.0518170549822</v>
      </c>
      <c r="ES51" s="528">
        <f t="shared" si="125"/>
        <v>2.8577500000000002</v>
      </c>
      <c r="ET51" s="528"/>
      <c r="EV51" s="460">
        <f t="shared" si="126"/>
        <v>2857.7500000000005</v>
      </c>
      <c r="EW51" s="528">
        <f t="shared" si="89"/>
        <v>0.26982210417406621</v>
      </c>
      <c r="EX51" s="528">
        <f t="shared" si="90"/>
        <v>1.0162131196166129</v>
      </c>
      <c r="EY51" s="528">
        <f t="shared" si="91"/>
        <v>1.6373763960187169</v>
      </c>
      <c r="EZ51" s="528">
        <f t="shared" si="92"/>
        <v>3.6027178366656361</v>
      </c>
      <c r="FA51" s="528">
        <f t="shared" si="93"/>
        <v>1.1500000000000005E-2</v>
      </c>
      <c r="FB51" s="460">
        <f t="shared" si="127"/>
        <v>3614.2178366656358</v>
      </c>
      <c r="FC51" s="173">
        <f t="shared" si="128"/>
        <v>8.3550196537206176</v>
      </c>
      <c r="FD51" s="5">
        <f t="shared" si="129"/>
        <v>69.000000000000014</v>
      </c>
      <c r="FE51" s="173">
        <f t="shared" si="130"/>
        <v>0.89199124127791807</v>
      </c>
      <c r="FF51" s="5">
        <f t="shared" si="131"/>
        <v>89.199124127791805</v>
      </c>
      <c r="FI51" s="562">
        <f t="shared" si="94"/>
        <v>-50</v>
      </c>
      <c r="FJ51">
        <f t="shared" si="95"/>
        <v>-50</v>
      </c>
      <c r="FL51">
        <f t="shared" si="181"/>
        <v>0.7901907356948229</v>
      </c>
    </row>
    <row r="52" spans="5:168">
      <c r="E52" s="170">
        <v>47</v>
      </c>
      <c r="F52" s="217">
        <f t="shared" si="182"/>
        <v>4.6999999999999993</v>
      </c>
      <c r="G52" s="217"/>
      <c r="H52" s="217">
        <f t="shared" si="132"/>
        <v>70.499999999999986</v>
      </c>
      <c r="I52" s="541">
        <f t="shared" si="133"/>
        <v>57.700947332471806</v>
      </c>
      <c r="J52" s="172">
        <f t="shared" si="134"/>
        <v>15.579431600516916</v>
      </c>
      <c r="K52" s="172">
        <f t="shared" si="135"/>
        <v>73.579431600516912</v>
      </c>
      <c r="L52" s="443"/>
      <c r="M52" s="217">
        <f t="shared" si="136"/>
        <v>0.21258963724949079</v>
      </c>
      <c r="N52" s="172">
        <f t="shared" si="137"/>
        <v>307.55491676007517</v>
      </c>
      <c r="O52" s="172">
        <f t="shared" si="98"/>
        <v>70.499999999999986</v>
      </c>
      <c r="P52" s="217">
        <f t="shared" si="138"/>
        <v>20.503661117338346</v>
      </c>
      <c r="Q52" s="217">
        <f t="shared" si="139"/>
        <v>15</v>
      </c>
      <c r="R52" s="217">
        <f t="shared" si="140"/>
        <v>20.444372437270257</v>
      </c>
      <c r="S52" s="172">
        <f t="shared" si="141"/>
        <v>249.31141349692658</v>
      </c>
      <c r="T52" s="172">
        <f t="shared" si="142"/>
        <v>15</v>
      </c>
      <c r="U52" s="217">
        <f t="shared" si="143"/>
        <v>11.937866765132206</v>
      </c>
      <c r="V52" s="217">
        <f t="shared" si="11"/>
        <v>2.4827044928076698</v>
      </c>
      <c r="W52" s="217">
        <f t="shared" si="144"/>
        <v>9.1950980533098132</v>
      </c>
      <c r="X52" s="197">
        <f t="shared" si="145"/>
        <v>102.22699620059244</v>
      </c>
      <c r="Y52" s="443">
        <f t="shared" si="14"/>
        <v>84.190656993778006</v>
      </c>
      <c r="AA52" s="217">
        <f t="shared" si="146"/>
        <v>10.000000000000002</v>
      </c>
      <c r="AB52" s="173">
        <f t="shared" si="147"/>
        <v>7.7024632911523243</v>
      </c>
      <c r="AC52" s="173">
        <f t="shared" si="148"/>
        <v>3.9369984279991579</v>
      </c>
      <c r="AD52" s="173"/>
      <c r="AE52" s="173">
        <f t="shared" si="149"/>
        <v>7.7024632911523225</v>
      </c>
      <c r="AF52" s="545">
        <f t="shared" si="150"/>
        <v>122.0388808707158</v>
      </c>
      <c r="AG52" s="528">
        <f t="shared" si="151"/>
        <v>3.9369984279991557</v>
      </c>
      <c r="AI52" s="173">
        <f t="shared" si="152"/>
        <v>5.9049345193107241</v>
      </c>
      <c r="AJ52" s="173">
        <f t="shared" si="153"/>
        <v>11.937866765132206</v>
      </c>
      <c r="AK52" s="173">
        <f t="shared" si="154"/>
        <v>2.6354568630608934</v>
      </c>
      <c r="AM52" s="545">
        <f t="shared" si="155"/>
        <v>4699.9999999999991</v>
      </c>
      <c r="AN52" s="460">
        <f t="shared" si="156"/>
        <v>84.190656993778006</v>
      </c>
      <c r="AP52">
        <f t="shared" si="157"/>
        <v>4699.9999999999991</v>
      </c>
      <c r="AQ52" s="460">
        <f t="shared" si="158"/>
        <v>84.190656993778006</v>
      </c>
      <c r="AR52" s="460"/>
      <c r="AS52" s="5">
        <f t="shared" si="101"/>
        <v>11.877802546117483</v>
      </c>
      <c r="AT52" s="5">
        <f t="shared" si="159"/>
        <v>2.4827044928076698</v>
      </c>
      <c r="AU52" s="5">
        <f t="shared" si="102"/>
        <v>9.3950980533098125</v>
      </c>
      <c r="AV52" s="5">
        <f t="shared" si="160"/>
        <v>9.1950980533098132</v>
      </c>
      <c r="AW52" s="173">
        <f t="shared" si="103"/>
        <v>0.20902052237088212</v>
      </c>
      <c r="AX52" s="173">
        <f t="shared" si="161"/>
        <v>71.98940831793746</v>
      </c>
      <c r="AY52" s="173">
        <f t="shared" si="162"/>
        <v>4.72130380894514</v>
      </c>
      <c r="AZ52" s="173">
        <f t="shared" si="104"/>
        <v>15.247781382241049</v>
      </c>
      <c r="BA52" s="460">
        <f t="shared" si="163"/>
        <v>77.791407441306987</v>
      </c>
      <c r="BB52" s="5">
        <f t="shared" si="164"/>
        <v>3.9583071669329764</v>
      </c>
      <c r="BC52" s="5"/>
      <c r="BD52" s="173">
        <f t="shared" si="105"/>
        <v>3.1510882376438101</v>
      </c>
      <c r="BE52" s="173">
        <f t="shared" si="165"/>
        <v>6.1298339199306362</v>
      </c>
      <c r="BF52" s="173"/>
      <c r="BG52" s="528">
        <f t="shared" si="166"/>
        <v>0.19858714162834346</v>
      </c>
      <c r="BH52" s="528">
        <f t="shared" si="167"/>
        <v>1.386590839862853</v>
      </c>
      <c r="BI52" s="528">
        <f t="shared" si="168"/>
        <v>0.1214470166271046</v>
      </c>
      <c r="BJ52" s="528">
        <f t="shared" si="169"/>
        <v>4.5580255553455115E-2</v>
      </c>
      <c r="BK52">
        <f t="shared" si="170"/>
        <v>2.596542629961231E-2</v>
      </c>
      <c r="BL52" s="460">
        <f t="shared" si="106"/>
        <v>147.41244292671689</v>
      </c>
      <c r="BM52" s="528">
        <f t="shared" si="171"/>
        <v>1.7677886435536907</v>
      </c>
      <c r="BN52" s="460">
        <f t="shared" si="107"/>
        <v>1767.7886435536907</v>
      </c>
      <c r="BO52" s="528">
        <f t="shared" si="172"/>
        <v>2.9198749999999989</v>
      </c>
      <c r="BP52" s="528"/>
      <c r="BR52" s="460">
        <f t="shared" si="109"/>
        <v>2919.8749999999991</v>
      </c>
      <c r="BS52" s="528">
        <f t="shared" si="173"/>
        <v>0.29788071244251518</v>
      </c>
      <c r="BT52" s="528">
        <f t="shared" si="174"/>
        <v>1.1272459165779656</v>
      </c>
      <c r="BU52" s="528">
        <f t="shared" si="175"/>
        <v>1.0574999999999997</v>
      </c>
      <c r="BV52" s="528">
        <f t="shared" si="176"/>
        <v>3.1881369264535984</v>
      </c>
      <c r="BW52" s="528">
        <f t="shared" si="177"/>
        <v>1.1998234719656244E-2</v>
      </c>
      <c r="BX52" s="460">
        <f t="shared" si="110"/>
        <v>3200.1351611732548</v>
      </c>
      <c r="BY52" s="173">
        <f t="shared" si="45"/>
        <v>8.0352112476536615</v>
      </c>
      <c r="BZ52" s="5">
        <f t="shared" si="111"/>
        <v>70.499999999999986</v>
      </c>
      <c r="CA52" s="173">
        <f t="shared" si="112"/>
        <v>0.89768651385790055</v>
      </c>
      <c r="CB52" s="5">
        <f t="shared" si="113"/>
        <v>89.768651385790051</v>
      </c>
      <c r="CE52" s="562">
        <f t="shared" si="178"/>
        <v>-50</v>
      </c>
      <c r="CF52">
        <f t="shared" si="179"/>
        <v>-50</v>
      </c>
      <c r="CG52" s="173">
        <f t="shared" si="180"/>
        <v>0.78581475946154355</v>
      </c>
      <c r="CI52" s="170">
        <v>47</v>
      </c>
      <c r="CJ52" s="217">
        <f t="shared" si="114"/>
        <v>4.6999999999999993</v>
      </c>
      <c r="CK52" s="217"/>
      <c r="CL52" s="217">
        <f t="shared" si="49"/>
        <v>70.499999999999986</v>
      </c>
      <c r="CM52" s="541">
        <f t="shared" si="50"/>
        <v>58</v>
      </c>
      <c r="CN52" s="172">
        <f t="shared" si="51"/>
        <v>15.4</v>
      </c>
      <c r="CO52" s="443">
        <f t="shared" si="52"/>
        <v>73.400000000000006</v>
      </c>
      <c r="CP52" s="443"/>
      <c r="CQ52" s="217">
        <f t="shared" si="53"/>
        <v>0.2098092643051771</v>
      </c>
      <c r="CR52" s="172">
        <f t="shared" si="54"/>
        <v>305.10568119891008</v>
      </c>
      <c r="CS52" s="172">
        <f t="shared" si="115"/>
        <v>70.499999999999986</v>
      </c>
      <c r="CT52" s="217">
        <f t="shared" si="55"/>
        <v>20.340378746594006</v>
      </c>
      <c r="CU52" s="217">
        <f t="shared" si="56"/>
        <v>15</v>
      </c>
      <c r="CV52" s="217">
        <f t="shared" si="57"/>
        <v>20.281562216167121</v>
      </c>
      <c r="CW52" s="172">
        <f t="shared" si="58"/>
        <v>250.60306744718901</v>
      </c>
      <c r="CX52" s="172">
        <f t="shared" si="59"/>
        <v>15</v>
      </c>
      <c r="CY52" s="217">
        <f t="shared" si="60"/>
        <v>11.586878638602775</v>
      </c>
      <c r="CZ52" s="217">
        <f t="shared" si="61"/>
        <v>2.3972852355729879</v>
      </c>
      <c r="DA52" s="217">
        <f t="shared" si="62"/>
        <v>9.0287366015086565</v>
      </c>
      <c r="DB52" s="197">
        <f t="shared" si="63"/>
        <v>101.4078110808356</v>
      </c>
      <c r="DC52" s="443">
        <f t="shared" si="116"/>
        <v>87.519524665586758</v>
      </c>
      <c r="DE52" s="217">
        <f t="shared" si="64"/>
        <v>10</v>
      </c>
      <c r="DF52" s="173">
        <f t="shared" si="65"/>
        <v>7.7922077922077913</v>
      </c>
      <c r="DG52" s="173">
        <f t="shared" si="66"/>
        <v>3.9509536784741139</v>
      </c>
      <c r="DH52" s="173"/>
      <c r="DI52" s="173">
        <f t="shared" si="67"/>
        <v>7.7922077922077913</v>
      </c>
      <c r="DJ52" s="545">
        <f t="shared" si="117"/>
        <v>120.63333333333331</v>
      </c>
      <c r="DK52" s="528">
        <f t="shared" si="68"/>
        <v>3.9509536784741139</v>
      </c>
      <c r="DM52" s="173">
        <f t="shared" si="69"/>
        <v>5.8708318547431304</v>
      </c>
      <c r="DN52" s="173">
        <f t="shared" si="70"/>
        <v>11.586878638602775</v>
      </c>
      <c r="DO52" s="173">
        <f t="shared" si="71"/>
        <v>2.3754656582242775</v>
      </c>
      <c r="DQ52" s="545">
        <f t="shared" si="72"/>
        <v>4699.9999999999991</v>
      </c>
      <c r="DR52" s="460">
        <f t="shared" si="73"/>
        <v>87.519524665586758</v>
      </c>
      <c r="DT52">
        <f t="shared" si="74"/>
        <v>4699.9999999999991</v>
      </c>
      <c r="DU52" s="460">
        <f t="shared" si="75"/>
        <v>87.519524665586758</v>
      </c>
      <c r="DV52" s="460"/>
      <c r="DW52" s="5">
        <f t="shared" si="118"/>
        <v>11.426021837081645</v>
      </c>
      <c r="DX52" s="5">
        <f t="shared" si="76"/>
        <v>2.3972852355729879</v>
      </c>
      <c r="DY52" s="5">
        <f t="shared" si="119"/>
        <v>9.0287366015086583</v>
      </c>
      <c r="DZ52" s="5">
        <f t="shared" si="77"/>
        <v>9.0287366015086565</v>
      </c>
      <c r="EA52" s="173">
        <f t="shared" si="120"/>
        <v>0.20980926430517707</v>
      </c>
      <c r="EB52" s="173">
        <f t="shared" si="78"/>
        <v>70.499999999999986</v>
      </c>
      <c r="EC52" s="173">
        <f t="shared" si="79"/>
        <v>4.5779220779220768</v>
      </c>
      <c r="ED52" s="173">
        <f t="shared" si="121"/>
        <v>15.4</v>
      </c>
      <c r="EE52" s="460">
        <f t="shared" si="80"/>
        <v>75.114937381286936</v>
      </c>
      <c r="EF52" s="5">
        <f t="shared" si="81"/>
        <v>3.7843396575883483</v>
      </c>
      <c r="EG52" s="5"/>
      <c r="EH52" s="173">
        <f t="shared" si="122"/>
        <v>3.064207429770522</v>
      </c>
      <c r="EI52" s="173">
        <f t="shared" si="82"/>
        <v>5.9466420515482703</v>
      </c>
      <c r="EJ52" s="173"/>
      <c r="EK52" s="528">
        <f t="shared" si="83"/>
        <v>0.18778734345321738</v>
      </c>
      <c r="EL52" s="528">
        <f t="shared" si="84"/>
        <v>1.4886666666666666</v>
      </c>
      <c r="EM52" s="528">
        <f t="shared" si="85"/>
        <v>1.0939940583198344E-2</v>
      </c>
      <c r="EN52" s="528">
        <f t="shared" si="86"/>
        <v>4.7151669030732868E-2</v>
      </c>
      <c r="EO52">
        <f t="shared" si="87"/>
        <v>2.6099999999999998E-2</v>
      </c>
      <c r="EP52" s="460">
        <f t="shared" si="123"/>
        <v>37.039940583198344</v>
      </c>
      <c r="EQ52" s="528">
        <f t="shared" si="88"/>
        <v>1.895941853298077</v>
      </c>
      <c r="ER52" s="460">
        <f t="shared" si="124"/>
        <v>1895.9418532980769</v>
      </c>
      <c r="ES52" s="528">
        <f t="shared" si="125"/>
        <v>2.9198749999999989</v>
      </c>
      <c r="ET52" s="528"/>
      <c r="EV52" s="460">
        <f t="shared" si="126"/>
        <v>2919.8749999999991</v>
      </c>
      <c r="EW52" s="528">
        <f t="shared" si="89"/>
        <v>0.28168101517982608</v>
      </c>
      <c r="EX52" s="528">
        <f t="shared" si="90"/>
        <v>1.0608765506772666</v>
      </c>
      <c r="EY52" s="528">
        <f t="shared" si="91"/>
        <v>1.6373763960187153</v>
      </c>
      <c r="EZ52" s="528">
        <f t="shared" si="92"/>
        <v>3.6994900457391142</v>
      </c>
      <c r="FA52" s="528">
        <f t="shared" si="93"/>
        <v>1.1749999999999998E-2</v>
      </c>
      <c r="FB52" s="460">
        <f t="shared" si="127"/>
        <v>3711.2400457391145</v>
      </c>
      <c r="FC52" s="173">
        <f t="shared" si="128"/>
        <v>8.5270568990371896</v>
      </c>
      <c r="FD52" s="5">
        <f t="shared" si="129"/>
        <v>70.499999999999986</v>
      </c>
      <c r="FE52" s="173">
        <f t="shared" si="130"/>
        <v>0.89209952598979958</v>
      </c>
      <c r="FF52" s="5">
        <f t="shared" si="131"/>
        <v>89.209952598979953</v>
      </c>
      <c r="FI52" s="562">
        <f t="shared" si="94"/>
        <v>-50</v>
      </c>
      <c r="FJ52">
        <f t="shared" si="95"/>
        <v>-50</v>
      </c>
      <c r="FL52">
        <f t="shared" si="181"/>
        <v>0.7901907356948229</v>
      </c>
    </row>
    <row r="53" spans="5:168">
      <c r="E53" s="170">
        <v>48</v>
      </c>
      <c r="F53" s="217">
        <f t="shared" si="182"/>
        <v>4.8</v>
      </c>
      <c r="G53" s="217"/>
      <c r="H53" s="217">
        <f t="shared" si="132"/>
        <v>72</v>
      </c>
      <c r="I53" s="541">
        <f t="shared" si="133"/>
        <v>57.694619938376626</v>
      </c>
      <c r="J53" s="172">
        <f t="shared" si="134"/>
        <v>15.583228036974024</v>
      </c>
      <c r="K53" s="172">
        <f t="shared" si="135"/>
        <v>73.58322803697402</v>
      </c>
      <c r="L53" s="443"/>
      <c r="M53" s="217">
        <f t="shared" si="136"/>
        <v>0.21264879075191628</v>
      </c>
      <c r="N53" s="172">
        <f t="shared" si="137"/>
        <v>307.6067591789818</v>
      </c>
      <c r="O53" s="172">
        <f t="shared" si="98"/>
        <v>72</v>
      </c>
      <c r="P53" s="217">
        <f t="shared" si="138"/>
        <v>20.507117278598788</v>
      </c>
      <c r="Q53" s="217">
        <f t="shared" si="139"/>
        <v>15</v>
      </c>
      <c r="R53" s="217">
        <f t="shared" si="140"/>
        <v>20.447818604645317</v>
      </c>
      <c r="S53" s="172">
        <f t="shared" si="141"/>
        <v>242.89304841566235</v>
      </c>
      <c r="T53" s="172">
        <f t="shared" si="142"/>
        <v>15</v>
      </c>
      <c r="U53" s="217">
        <f t="shared" si="143"/>
        <v>12.192779902082005</v>
      </c>
      <c r="V53" s="217">
        <f t="shared" si="11"/>
        <v>2.5359965795989425</v>
      </c>
      <c r="W53" s="217">
        <f t="shared" si="144"/>
        <v>9.3891559873107919</v>
      </c>
      <c r="X53" s="197">
        <f t="shared" si="145"/>
        <v>102.24422567066263</v>
      </c>
      <c r="Y53" s="443">
        <f t="shared" si="14"/>
        <v>82.47318905735338</v>
      </c>
      <c r="AA53" s="217">
        <f t="shared" si="146"/>
        <v>10</v>
      </c>
      <c r="AB53" s="173">
        <f t="shared" si="147"/>
        <v>7.7005867921125413</v>
      </c>
      <c r="AC53" s="173">
        <f t="shared" si="148"/>
        <v>3.9367026688463933</v>
      </c>
      <c r="AD53" s="173"/>
      <c r="AE53" s="173">
        <f t="shared" si="149"/>
        <v>7.7005867921125413</v>
      </c>
      <c r="AF53" s="545">
        <f t="shared" si="150"/>
        <v>124.66582429579219</v>
      </c>
      <c r="AG53" s="528">
        <f t="shared" si="151"/>
        <v>3.9367026688463924</v>
      </c>
      <c r="AI53" s="173">
        <f t="shared" si="152"/>
        <v>5.9681493732693145</v>
      </c>
      <c r="AJ53" s="173">
        <f t="shared" si="153"/>
        <v>12.192779902082005</v>
      </c>
      <c r="AK53" s="173">
        <f t="shared" si="154"/>
        <v>2.8242814089496333</v>
      </c>
      <c r="AM53" s="545">
        <f t="shared" si="155"/>
        <v>4800</v>
      </c>
      <c r="AN53" s="460">
        <f t="shared" si="156"/>
        <v>82.47318905735338</v>
      </c>
      <c r="AP53">
        <f t="shared" si="157"/>
        <v>4800</v>
      </c>
      <c r="AQ53" s="460">
        <f t="shared" si="158"/>
        <v>82.47318905735338</v>
      </c>
      <c r="AR53" s="460"/>
      <c r="AS53" s="5">
        <f t="shared" si="101"/>
        <v>12.125152566909733</v>
      </c>
      <c r="AT53" s="5">
        <f t="shared" si="159"/>
        <v>2.5359965795989425</v>
      </c>
      <c r="AU53" s="5">
        <f t="shared" si="102"/>
        <v>9.5891559873107912</v>
      </c>
      <c r="AV53" s="5">
        <f t="shared" si="160"/>
        <v>9.3891559873107919</v>
      </c>
      <c r="AW53" s="173">
        <f t="shared" si="103"/>
        <v>0.20915172535806509</v>
      </c>
      <c r="AX53" s="173">
        <f t="shared" si="161"/>
        <v>73.56470654876253</v>
      </c>
      <c r="AY53" s="173">
        <f t="shared" si="162"/>
        <v>4.8213194743252075</v>
      </c>
      <c r="AZ53" s="173">
        <f t="shared" si="104"/>
        <v>15.258210317842224</v>
      </c>
      <c r="BA53" s="460">
        <f t="shared" si="163"/>
        <v>81.151890547166161</v>
      </c>
      <c r="BB53" s="5">
        <f t="shared" si="164"/>
        <v>4.1264782952140839</v>
      </c>
      <c r="BC53" s="5"/>
      <c r="BD53" s="173">
        <f t="shared" si="105"/>
        <v>3.2193843803061144</v>
      </c>
      <c r="BE53" s="173">
        <f t="shared" si="165"/>
        <v>6.2602069820983264</v>
      </c>
      <c r="BF53" s="173"/>
      <c r="BG53" s="528">
        <f t="shared" si="166"/>
        <v>0.20728871576317967</v>
      </c>
      <c r="BH53" s="528">
        <f t="shared" si="167"/>
        <v>1.3873806416898256</v>
      </c>
      <c r="BI53" s="528">
        <f t="shared" si="168"/>
        <v>0.11895648244424713</v>
      </c>
      <c r="BJ53" s="528">
        <f t="shared" si="169"/>
        <v>4.4655037686847678E-2</v>
      </c>
      <c r="BK53">
        <f t="shared" si="170"/>
        <v>2.596257897226948E-2</v>
      </c>
      <c r="BL53" s="460">
        <f t="shared" si="106"/>
        <v>144.91906141651663</v>
      </c>
      <c r="BM53" s="528">
        <f t="shared" si="171"/>
        <v>1.7831139163583674</v>
      </c>
      <c r="BN53" s="460">
        <f t="shared" si="107"/>
        <v>1783.1139163583673</v>
      </c>
      <c r="BO53" s="528">
        <f t="shared" si="172"/>
        <v>2.9819999999999998</v>
      </c>
      <c r="BP53" s="528"/>
      <c r="BR53" s="460">
        <f t="shared" si="109"/>
        <v>2981.9999999999995</v>
      </c>
      <c r="BS53" s="528">
        <f t="shared" si="173"/>
        <v>0.31093307364476952</v>
      </c>
      <c r="BT53" s="528">
        <f t="shared" si="174"/>
        <v>1.1757057437613789</v>
      </c>
      <c r="BU53" s="528">
        <f t="shared" si="175"/>
        <v>1.08</v>
      </c>
      <c r="BV53" s="528">
        <f t="shared" si="176"/>
        <v>3.3180516886661087</v>
      </c>
      <c r="BW53" s="528">
        <f t="shared" si="177"/>
        <v>1.2260784424793756E-2</v>
      </c>
      <c r="BX53" s="460">
        <f t="shared" si="110"/>
        <v>3330.3124730909026</v>
      </c>
      <c r="BY53" s="173">
        <f t="shared" si="45"/>
        <v>8.2403454508657852</v>
      </c>
      <c r="BZ53" s="5">
        <f t="shared" si="111"/>
        <v>72</v>
      </c>
      <c r="CA53" s="173">
        <f t="shared" si="112"/>
        <v>0.89730421268049421</v>
      </c>
      <c r="CB53" s="5">
        <f t="shared" si="113"/>
        <v>89.730421268049426</v>
      </c>
      <c r="CE53" s="562">
        <f t="shared" si="178"/>
        <v>-50</v>
      </c>
      <c r="CF53">
        <f t="shared" si="179"/>
        <v>-50</v>
      </c>
      <c r="CG53" s="173">
        <f t="shared" si="180"/>
        <v>0.78590592563307027</v>
      </c>
      <c r="CI53" s="170">
        <v>48</v>
      </c>
      <c r="CJ53" s="217">
        <f t="shared" si="114"/>
        <v>4.8</v>
      </c>
      <c r="CK53" s="217"/>
      <c r="CL53" s="217">
        <f t="shared" si="49"/>
        <v>72</v>
      </c>
      <c r="CM53" s="541">
        <f t="shared" si="50"/>
        <v>58</v>
      </c>
      <c r="CN53" s="172">
        <f t="shared" si="51"/>
        <v>15.4</v>
      </c>
      <c r="CO53" s="443">
        <f t="shared" si="52"/>
        <v>73.400000000000006</v>
      </c>
      <c r="CP53" s="443"/>
      <c r="CQ53" s="217">
        <f t="shared" si="53"/>
        <v>0.2098092643051771</v>
      </c>
      <c r="CR53" s="172">
        <f t="shared" si="54"/>
        <v>305.10568119891008</v>
      </c>
      <c r="CS53" s="172">
        <f t="shared" si="115"/>
        <v>72</v>
      </c>
      <c r="CT53" s="217">
        <f t="shared" si="55"/>
        <v>20.340378746594006</v>
      </c>
      <c r="CU53" s="217">
        <f t="shared" si="56"/>
        <v>15</v>
      </c>
      <c r="CV53" s="217">
        <f t="shared" si="57"/>
        <v>20.281562216167121</v>
      </c>
      <c r="CW53" s="172">
        <f t="shared" si="58"/>
        <v>244.17819052378974</v>
      </c>
      <c r="CX53" s="172">
        <f t="shared" si="59"/>
        <v>15</v>
      </c>
      <c r="CY53" s="217">
        <f t="shared" si="60"/>
        <v>11.833407971339007</v>
      </c>
      <c r="CZ53" s="217">
        <f t="shared" si="61"/>
        <v>2.4482913044149672</v>
      </c>
      <c r="DA53" s="217">
        <f t="shared" si="62"/>
        <v>9.2208373802641628</v>
      </c>
      <c r="DB53" s="197">
        <f t="shared" si="63"/>
        <v>101.4078110808356</v>
      </c>
      <c r="DC53" s="443">
        <f t="shared" si="116"/>
        <v>85.696201235053678</v>
      </c>
      <c r="DE53" s="217">
        <f t="shared" si="64"/>
        <v>10</v>
      </c>
      <c r="DF53" s="173">
        <f t="shared" si="65"/>
        <v>7.7922077922077913</v>
      </c>
      <c r="DG53" s="173">
        <f t="shared" si="66"/>
        <v>3.9509536784741139</v>
      </c>
      <c r="DH53" s="173"/>
      <c r="DI53" s="173">
        <f t="shared" si="67"/>
        <v>7.7922077922077913</v>
      </c>
      <c r="DJ53" s="545">
        <f t="shared" si="117"/>
        <v>123.2</v>
      </c>
      <c r="DK53" s="528">
        <f t="shared" si="68"/>
        <v>3.9509536784741139</v>
      </c>
      <c r="DM53" s="173">
        <f t="shared" si="69"/>
        <v>5.9329587896765306</v>
      </c>
      <c r="DN53" s="173">
        <f t="shared" si="70"/>
        <v>11.833407971339007</v>
      </c>
      <c r="DO53" s="173">
        <f t="shared" si="71"/>
        <v>2.5580799787696344</v>
      </c>
      <c r="DQ53" s="545">
        <f t="shared" si="72"/>
        <v>4800</v>
      </c>
      <c r="DR53" s="460">
        <f t="shared" si="73"/>
        <v>85.696201235053678</v>
      </c>
      <c r="DT53">
        <f t="shared" si="74"/>
        <v>4800</v>
      </c>
      <c r="DU53" s="460">
        <f t="shared" si="75"/>
        <v>85.696201235053678</v>
      </c>
      <c r="DV53" s="460"/>
      <c r="DW53" s="5">
        <f t="shared" si="118"/>
        <v>11.66912868467913</v>
      </c>
      <c r="DX53" s="5">
        <f t="shared" si="76"/>
        <v>2.4482913044149672</v>
      </c>
      <c r="DY53" s="5">
        <f t="shared" si="119"/>
        <v>9.2208373802641628</v>
      </c>
      <c r="DZ53" s="5">
        <f t="shared" si="77"/>
        <v>9.2208373802641628</v>
      </c>
      <c r="EA53" s="173">
        <f t="shared" si="120"/>
        <v>0.2098092643051771</v>
      </c>
      <c r="EB53" s="173">
        <f t="shared" si="78"/>
        <v>72.000000000000014</v>
      </c>
      <c r="EC53" s="173">
        <f t="shared" si="79"/>
        <v>4.675324675324676</v>
      </c>
      <c r="ED53" s="173">
        <f t="shared" si="121"/>
        <v>15.4</v>
      </c>
      <c r="EE53" s="460">
        <f t="shared" si="80"/>
        <v>78.345321741278951</v>
      </c>
      <c r="EF53" s="5">
        <f t="shared" si="81"/>
        <v>3.9470885337634938</v>
      </c>
      <c r="EG53" s="5"/>
      <c r="EH53" s="173">
        <f t="shared" si="122"/>
        <v>3.1294033325315973</v>
      </c>
      <c r="EI53" s="173">
        <f t="shared" si="82"/>
        <v>6.0731663505173836</v>
      </c>
      <c r="EJ53" s="173"/>
      <c r="EK53" s="528">
        <f t="shared" si="83"/>
        <v>0.19586330435319735</v>
      </c>
      <c r="EL53" s="528">
        <f t="shared" si="84"/>
        <v>1.4886666666666666</v>
      </c>
      <c r="EM53" s="528">
        <f t="shared" si="85"/>
        <v>1.0712025154381709E-2</v>
      </c>
      <c r="EN53" s="528">
        <f t="shared" si="86"/>
        <v>4.6169342592592588E-2</v>
      </c>
      <c r="EO53">
        <f t="shared" si="87"/>
        <v>2.6099999999999998E-2</v>
      </c>
      <c r="EP53" s="460">
        <f t="shared" si="123"/>
        <v>36.812025154381708</v>
      </c>
      <c r="EQ53" s="528">
        <f t="shared" si="88"/>
        <v>1.9092452063469016</v>
      </c>
      <c r="ER53" s="460">
        <f t="shared" si="124"/>
        <v>1909.2452063469016</v>
      </c>
      <c r="ES53" s="528">
        <f t="shared" si="125"/>
        <v>2.9819999999999998</v>
      </c>
      <c r="ET53" s="528"/>
      <c r="EV53" s="460">
        <f t="shared" si="126"/>
        <v>2981.9999999999995</v>
      </c>
      <c r="EW53" s="528">
        <f t="shared" si="89"/>
        <v>0.29379495652979598</v>
      </c>
      <c r="EX53" s="528">
        <f t="shared" si="90"/>
        <v>1.1065004856316991</v>
      </c>
      <c r="EY53" s="528">
        <f t="shared" si="91"/>
        <v>1.6373763960187113</v>
      </c>
      <c r="EZ53" s="528">
        <f t="shared" si="92"/>
        <v>3.7993609725364945</v>
      </c>
      <c r="FA53" s="528">
        <f t="shared" si="93"/>
        <v>1.2E-2</v>
      </c>
      <c r="FB53" s="460">
        <f t="shared" si="127"/>
        <v>3811.3609725364945</v>
      </c>
      <c r="FC53" s="173">
        <f t="shared" si="128"/>
        <v>8.7026061788833964</v>
      </c>
      <c r="FD53" s="5">
        <f t="shared" si="129"/>
        <v>72</v>
      </c>
      <c r="FE53" s="173">
        <f t="shared" si="130"/>
        <v>0.89216449640308493</v>
      </c>
      <c r="FF53" s="5">
        <f t="shared" si="131"/>
        <v>89.216449640308497</v>
      </c>
      <c r="FI53" s="562">
        <f t="shared" si="94"/>
        <v>-50</v>
      </c>
      <c r="FJ53">
        <f t="shared" si="95"/>
        <v>-50</v>
      </c>
      <c r="FL53">
        <f t="shared" si="181"/>
        <v>0.7901907356948229</v>
      </c>
    </row>
    <row r="54" spans="5:168">
      <c r="E54" s="170">
        <v>49</v>
      </c>
      <c r="F54" s="217">
        <f t="shared" si="182"/>
        <v>4.9000000000000004</v>
      </c>
      <c r="G54" s="217"/>
      <c r="H54" s="217">
        <f t="shared" si="132"/>
        <v>73.5</v>
      </c>
      <c r="I54" s="541">
        <f t="shared" si="133"/>
        <v>57.688292536398279</v>
      </c>
      <c r="J54" s="172">
        <f t="shared" si="134"/>
        <v>15.587024478161032</v>
      </c>
      <c r="K54" s="172">
        <f t="shared" si="135"/>
        <v>73.587024478161027</v>
      </c>
      <c r="L54" s="443"/>
      <c r="M54" s="217">
        <f t="shared" si="136"/>
        <v>0.21270794836346457</v>
      </c>
      <c r="N54" s="172">
        <f t="shared" si="137"/>
        <v>307.6585887305917</v>
      </c>
      <c r="O54" s="172">
        <f t="shared" si="98"/>
        <v>73.5</v>
      </c>
      <c r="P54" s="217">
        <f t="shared" si="138"/>
        <v>20.510572582039448</v>
      </c>
      <c r="Q54" s="217">
        <f t="shared" si="139"/>
        <v>15</v>
      </c>
      <c r="R54" s="217">
        <f t="shared" si="140"/>
        <v>20.451263916681068</v>
      </c>
      <c r="S54" s="172">
        <f t="shared" si="141"/>
        <v>236.73703854973729</v>
      </c>
      <c r="T54" s="172">
        <f t="shared" si="142"/>
        <v>15</v>
      </c>
      <c r="U54" s="217">
        <f t="shared" si="143"/>
        <v>12.447731410000706</v>
      </c>
      <c r="V54" s="217">
        <f t="shared" si="11"/>
        <v>2.5893083388759015</v>
      </c>
      <c r="W54" s="217">
        <f t="shared" si="144"/>
        <v>9.5831489280904485</v>
      </c>
      <c r="X54" s="197">
        <f t="shared" si="145"/>
        <v>102.26145088865005</v>
      </c>
      <c r="Y54" s="443">
        <f t="shared" si="14"/>
        <v>80.824688129651847</v>
      </c>
      <c r="AA54" s="217">
        <f t="shared" si="146"/>
        <v>10</v>
      </c>
      <c r="AB54" s="173">
        <f t="shared" si="147"/>
        <v>7.6987112048314232</v>
      </c>
      <c r="AC54" s="173">
        <f t="shared" si="148"/>
        <v>3.9364068888938419</v>
      </c>
      <c r="AD54" s="173"/>
      <c r="AE54" s="173">
        <f t="shared" si="149"/>
        <v>7.6987112048314232</v>
      </c>
      <c r="AF54" s="545">
        <f t="shared" si="150"/>
        <v>127.29403323831509</v>
      </c>
      <c r="AG54" s="528">
        <f t="shared" si="151"/>
        <v>3.9364068888938419</v>
      </c>
      <c r="AI54" s="173">
        <f t="shared" si="152"/>
        <v>6.0307316125305848</v>
      </c>
      <c r="AJ54" s="173">
        <f t="shared" si="153"/>
        <v>12.447731410000706</v>
      </c>
      <c r="AK54" s="173">
        <f t="shared" si="154"/>
        <v>3.0131343777783011</v>
      </c>
      <c r="AM54" s="545">
        <f t="shared" si="155"/>
        <v>4900</v>
      </c>
      <c r="AN54" s="460">
        <f t="shared" si="156"/>
        <v>80.824688129651847</v>
      </c>
      <c r="AP54">
        <f t="shared" si="157"/>
        <v>4900</v>
      </c>
      <c r="AQ54" s="460">
        <f t="shared" si="158"/>
        <v>80.824688129651847</v>
      </c>
      <c r="AR54" s="460"/>
      <c r="AS54" s="5">
        <f t="shared" si="101"/>
        <v>12.372457266966352</v>
      </c>
      <c r="AT54" s="5">
        <f t="shared" si="159"/>
        <v>2.5893083388759015</v>
      </c>
      <c r="AU54" s="5">
        <f t="shared" si="102"/>
        <v>9.7831489280904513</v>
      </c>
      <c r="AV54" s="5">
        <f t="shared" si="160"/>
        <v>9.5831489280904485</v>
      </c>
      <c r="AW54" s="173">
        <f t="shared" si="103"/>
        <v>0.2092800389611516</v>
      </c>
      <c r="AX54" s="173">
        <f t="shared" si="161"/>
        <v>75.140781129653462</v>
      </c>
      <c r="AY54" s="173">
        <f t="shared" si="162"/>
        <v>4.9213348477689047</v>
      </c>
      <c r="AZ54" s="173">
        <f t="shared" si="104"/>
        <v>15.26837401923965</v>
      </c>
      <c r="BA54" s="460">
        <f t="shared" si="163"/>
        <v>84.584072403279464</v>
      </c>
      <c r="BB54" s="5">
        <f t="shared" si="164"/>
        <v>4.2981376624415164</v>
      </c>
      <c r="BC54" s="5"/>
      <c r="BD54" s="173">
        <f t="shared" si="105"/>
        <v>3.2877098679835948</v>
      </c>
      <c r="BE54" s="173">
        <f t="shared" si="165"/>
        <v>6.3905896631272894</v>
      </c>
      <c r="BF54" s="173"/>
      <c r="BG54" s="528">
        <f t="shared" si="166"/>
        <v>0.21618072352073411</v>
      </c>
      <c r="BH54" s="528">
        <f t="shared" si="167"/>
        <v>1.3881511613869135</v>
      </c>
      <c r="BI54" s="528">
        <f t="shared" si="168"/>
        <v>0.11656595632466282</v>
      </c>
      <c r="BJ54" s="528">
        <f t="shared" si="169"/>
        <v>4.3766974132190363E-2</v>
      </c>
      <c r="BK54">
        <f t="shared" si="170"/>
        <v>2.5959731641379224E-2</v>
      </c>
      <c r="BL54" s="460">
        <f t="shared" si="106"/>
        <v>142.52568796604203</v>
      </c>
      <c r="BM54" s="528">
        <f t="shared" si="171"/>
        <v>1.7988655560333866</v>
      </c>
      <c r="BN54" s="460">
        <f t="shared" si="107"/>
        <v>1798.8655560333866</v>
      </c>
      <c r="BO54" s="528">
        <f t="shared" si="172"/>
        <v>3.0441250000000002</v>
      </c>
      <c r="BP54" s="528"/>
      <c r="BR54" s="460">
        <f t="shared" si="109"/>
        <v>3044.125</v>
      </c>
      <c r="BS54" s="528">
        <f t="shared" si="173"/>
        <v>0.32427108528110116</v>
      </c>
      <c r="BT54" s="528">
        <f t="shared" si="174"/>
        <v>1.2251890872740807</v>
      </c>
      <c r="BU54" s="528">
        <f t="shared" si="175"/>
        <v>1.1025</v>
      </c>
      <c r="BV54" s="528">
        <f t="shared" si="176"/>
        <v>3.4516912654729848</v>
      </c>
      <c r="BW54" s="528">
        <f t="shared" si="177"/>
        <v>1.2523463521608909E-2</v>
      </c>
      <c r="BX54" s="460">
        <f t="shared" si="110"/>
        <v>3464.2147289945938</v>
      </c>
      <c r="BY54" s="173">
        <f t="shared" si="45"/>
        <v>8.449730972994022</v>
      </c>
      <c r="BZ54" s="5">
        <f t="shared" si="111"/>
        <v>73.5</v>
      </c>
      <c r="CA54" s="173">
        <f t="shared" si="112"/>
        <v>0.89689129088442554</v>
      </c>
      <c r="CB54" s="5">
        <f t="shared" si="113"/>
        <v>89.689129088442556</v>
      </c>
      <c r="CE54" s="562">
        <f t="shared" si="178"/>
        <v>-50</v>
      </c>
      <c r="CF54">
        <f t="shared" si="179"/>
        <v>-50</v>
      </c>
      <c r="CG54" s="173">
        <f t="shared" si="180"/>
        <v>0.78599337073637132</v>
      </c>
      <c r="CI54" s="170">
        <v>49</v>
      </c>
      <c r="CJ54" s="217">
        <f t="shared" si="114"/>
        <v>4.9000000000000004</v>
      </c>
      <c r="CK54" s="217"/>
      <c r="CL54" s="217">
        <f t="shared" si="49"/>
        <v>73.5</v>
      </c>
      <c r="CM54" s="541">
        <f t="shared" si="50"/>
        <v>58</v>
      </c>
      <c r="CN54" s="172">
        <f t="shared" si="51"/>
        <v>15.4</v>
      </c>
      <c r="CO54" s="443">
        <f t="shared" si="52"/>
        <v>73.400000000000006</v>
      </c>
      <c r="CP54" s="443"/>
      <c r="CQ54" s="217">
        <f t="shared" si="53"/>
        <v>0.2098092643051771</v>
      </c>
      <c r="CR54" s="172">
        <f t="shared" si="54"/>
        <v>305.10568119891008</v>
      </c>
      <c r="CS54" s="172">
        <f t="shared" si="115"/>
        <v>73.5</v>
      </c>
      <c r="CT54" s="217">
        <f t="shared" si="55"/>
        <v>20.340378746594006</v>
      </c>
      <c r="CU54" s="217">
        <f t="shared" si="56"/>
        <v>15</v>
      </c>
      <c r="CV54" s="217">
        <f t="shared" si="57"/>
        <v>20.281562216167121</v>
      </c>
      <c r="CW54" s="172">
        <f t="shared" si="58"/>
        <v>238.0156763844644</v>
      </c>
      <c r="CX54" s="172">
        <f t="shared" si="59"/>
        <v>15</v>
      </c>
      <c r="CY54" s="217">
        <f t="shared" si="60"/>
        <v>12.079937304075235</v>
      </c>
      <c r="CZ54" s="217">
        <f t="shared" si="61"/>
        <v>2.4992973732569452</v>
      </c>
      <c r="DA54" s="217">
        <f t="shared" si="62"/>
        <v>9.4129381590196637</v>
      </c>
      <c r="DB54" s="197">
        <f t="shared" si="63"/>
        <v>101.4078110808356</v>
      </c>
      <c r="DC54" s="443">
        <f t="shared" si="116"/>
        <v>83.947299169032192</v>
      </c>
      <c r="DE54" s="217">
        <f t="shared" si="64"/>
        <v>10</v>
      </c>
      <c r="DF54" s="173">
        <f t="shared" si="65"/>
        <v>7.7922077922077913</v>
      </c>
      <c r="DG54" s="173">
        <f t="shared" si="66"/>
        <v>3.9509536784741139</v>
      </c>
      <c r="DH54" s="173"/>
      <c r="DI54" s="173">
        <f t="shared" si="67"/>
        <v>7.7922077922077913</v>
      </c>
      <c r="DJ54" s="545">
        <f t="shared" si="117"/>
        <v>125.76666666666668</v>
      </c>
      <c r="DK54" s="528">
        <f t="shared" si="68"/>
        <v>3.9509536784741139</v>
      </c>
      <c r="DM54" s="173">
        <f t="shared" si="69"/>
        <v>5.994441870043727</v>
      </c>
      <c r="DN54" s="173">
        <f t="shared" si="70"/>
        <v>12.079937304075235</v>
      </c>
      <c r="DO54" s="173">
        <f t="shared" si="71"/>
        <v>2.7406942993149892</v>
      </c>
      <c r="DQ54" s="545">
        <f t="shared" si="72"/>
        <v>4900</v>
      </c>
      <c r="DR54" s="460">
        <f t="shared" si="73"/>
        <v>83.947299169032192</v>
      </c>
      <c r="DT54">
        <f t="shared" si="74"/>
        <v>4900</v>
      </c>
      <c r="DU54" s="460">
        <f t="shared" si="75"/>
        <v>83.947299169032192</v>
      </c>
      <c r="DV54" s="460"/>
      <c r="DW54" s="5">
        <f t="shared" si="118"/>
        <v>11.912235532276609</v>
      </c>
      <c r="DX54" s="5">
        <f t="shared" si="76"/>
        <v>2.4992973732569452</v>
      </c>
      <c r="DY54" s="5">
        <f t="shared" si="119"/>
        <v>9.4129381590196637</v>
      </c>
      <c r="DZ54" s="5">
        <f t="shared" si="77"/>
        <v>9.4129381590196637</v>
      </c>
      <c r="EA54" s="173">
        <f t="shared" si="120"/>
        <v>0.2098092643051771</v>
      </c>
      <c r="EB54" s="173">
        <f t="shared" si="78"/>
        <v>73.500000000000014</v>
      </c>
      <c r="EC54" s="173">
        <f t="shared" si="79"/>
        <v>4.7727272727272725</v>
      </c>
      <c r="ED54" s="173">
        <f t="shared" si="121"/>
        <v>15.400000000000004</v>
      </c>
      <c r="EE54" s="460">
        <f t="shared" si="80"/>
        <v>81.643714193060219</v>
      </c>
      <c r="EF54" s="5">
        <f t="shared" si="81"/>
        <v>4.1132637020686396</v>
      </c>
      <c r="EG54" s="5"/>
      <c r="EH54" s="173">
        <f t="shared" si="122"/>
        <v>3.1945992352926722</v>
      </c>
      <c r="EI54" s="173">
        <f t="shared" si="82"/>
        <v>6.1996906494864961</v>
      </c>
      <c r="EJ54" s="173"/>
      <c r="EK54" s="528">
        <f t="shared" si="83"/>
        <v>0.2041092854826505</v>
      </c>
      <c r="EL54" s="528">
        <f t="shared" si="84"/>
        <v>1.4886666666666668</v>
      </c>
      <c r="EM54" s="528">
        <f t="shared" si="85"/>
        <v>1.0493412396129023E-2</v>
      </c>
      <c r="EN54" s="528">
        <f t="shared" si="86"/>
        <v>4.5227111111111114E-2</v>
      </c>
      <c r="EO54">
        <f t="shared" si="87"/>
        <v>2.6099999999999998E-2</v>
      </c>
      <c r="EP54" s="460">
        <f t="shared" si="123"/>
        <v>36.593412396129025</v>
      </c>
      <c r="EQ54" s="528">
        <f t="shared" si="88"/>
        <v>1.9229626853747337</v>
      </c>
      <c r="ER54" s="460">
        <f t="shared" si="124"/>
        <v>1922.9626853747336</v>
      </c>
      <c r="ES54" s="528">
        <f t="shared" si="125"/>
        <v>3.0441250000000002</v>
      </c>
      <c r="ET54" s="528"/>
      <c r="EV54" s="460">
        <f t="shared" si="126"/>
        <v>3044.125</v>
      </c>
      <c r="EW54" s="528">
        <f t="shared" si="89"/>
        <v>0.30616392822397576</v>
      </c>
      <c r="EX54" s="528">
        <f t="shared" si="90"/>
        <v>1.1530849244799086</v>
      </c>
      <c r="EY54" s="528">
        <f t="shared" si="91"/>
        <v>1.6373763960187142</v>
      </c>
      <c r="EZ54" s="528">
        <f t="shared" si="92"/>
        <v>3.9024122174600238</v>
      </c>
      <c r="FA54" s="528">
        <f t="shared" si="93"/>
        <v>1.225E-2</v>
      </c>
      <c r="FB54" s="460">
        <f t="shared" si="127"/>
        <v>3914.6622174600238</v>
      </c>
      <c r="FC54" s="173">
        <f t="shared" si="128"/>
        <v>8.8817499028347573</v>
      </c>
      <c r="FD54" s="5">
        <f t="shared" si="129"/>
        <v>73.5</v>
      </c>
      <c r="FE54" s="173">
        <f t="shared" si="130"/>
        <v>0.89218789460881387</v>
      </c>
      <c r="FF54" s="5">
        <f t="shared" si="131"/>
        <v>89.218789460881382</v>
      </c>
      <c r="FI54" s="562">
        <f t="shared" si="94"/>
        <v>-50</v>
      </c>
      <c r="FJ54">
        <f t="shared" si="95"/>
        <v>-50</v>
      </c>
      <c r="FL54">
        <f t="shared" si="181"/>
        <v>0.7901907356948229</v>
      </c>
    </row>
    <row r="55" spans="5:168">
      <c r="E55" s="170">
        <v>50</v>
      </c>
      <c r="F55" s="217">
        <f t="shared" si="182"/>
        <v>5</v>
      </c>
      <c r="G55" s="217"/>
      <c r="H55" s="217">
        <f t="shared" si="132"/>
        <v>75</v>
      </c>
      <c r="I55" s="541">
        <f t="shared" si="133"/>
        <v>57.681965127012226</v>
      </c>
      <c r="J55" s="172">
        <f t="shared" si="134"/>
        <v>15.590820923792663</v>
      </c>
      <c r="K55" s="172">
        <f t="shared" si="135"/>
        <v>73.590820923792663</v>
      </c>
      <c r="L55" s="443"/>
      <c r="M55" s="217">
        <f t="shared" si="136"/>
        <v>0.2127671100831999</v>
      </c>
      <c r="N55" s="172">
        <f t="shared" si="137"/>
        <v>307.71040541409729</v>
      </c>
      <c r="O55" s="172">
        <f t="shared" si="98"/>
        <v>75</v>
      </c>
      <c r="P55" s="217">
        <f t="shared" si="138"/>
        <v>20.514027027606485</v>
      </c>
      <c r="Q55" s="217">
        <f t="shared" si="139"/>
        <v>15</v>
      </c>
      <c r="R55" s="217">
        <f t="shared" si="140"/>
        <v>20.454708373323843</v>
      </c>
      <c r="S55" s="172">
        <f t="shared" si="141"/>
        <v>230.82764436440493</v>
      </c>
      <c r="T55" s="172">
        <f t="shared" si="142"/>
        <v>15</v>
      </c>
      <c r="U55" s="217">
        <f t="shared" si="143"/>
        <v>12.702721301515826</v>
      </c>
      <c r="V55" s="217">
        <f t="shared" si="11"/>
        <v>2.6426397797395142</v>
      </c>
      <c r="W55" s="217">
        <f t="shared" si="144"/>
        <v>9.7770769328488178</v>
      </c>
      <c r="X55" s="197">
        <f t="shared" si="145"/>
        <v>102.27867185280199</v>
      </c>
      <c r="Y55" s="443">
        <f t="shared" si="14"/>
        <v>79.241081458071648</v>
      </c>
      <c r="AA55" s="217">
        <f t="shared" si="146"/>
        <v>10</v>
      </c>
      <c r="AB55" s="173">
        <f t="shared" si="147"/>
        <v>7.6968365287854583</v>
      </c>
      <c r="AC55" s="173">
        <f t="shared" si="148"/>
        <v>3.9361110881615371</v>
      </c>
      <c r="AD55" s="173"/>
      <c r="AE55" s="173">
        <f t="shared" si="149"/>
        <v>7.6968365287854583</v>
      </c>
      <c r="AF55" s="545">
        <f t="shared" si="150"/>
        <v>129.92350769827218</v>
      </c>
      <c r="AG55" s="528">
        <f t="shared" si="151"/>
        <v>3.9361110881615371</v>
      </c>
      <c r="AI55" s="173">
        <f t="shared" si="152"/>
        <v>6.0927007311623589</v>
      </c>
      <c r="AJ55" s="173">
        <f t="shared" si="153"/>
        <v>12.702721301515826</v>
      </c>
      <c r="AK55" s="173">
        <f t="shared" si="154"/>
        <v>3.2020157789006118</v>
      </c>
      <c r="AM55" s="545">
        <f t="shared" si="155"/>
        <v>5000</v>
      </c>
      <c r="AN55" s="460">
        <f t="shared" si="156"/>
        <v>79.241081458071648</v>
      </c>
      <c r="AP55">
        <f t="shared" si="157"/>
        <v>5000</v>
      </c>
      <c r="AQ55" s="460">
        <f t="shared" si="158"/>
        <v>79.241081458071648</v>
      </c>
      <c r="AR55" s="460"/>
      <c r="AS55" s="5">
        <f t="shared" si="101"/>
        <v>12.61971671258833</v>
      </c>
      <c r="AT55" s="5">
        <f t="shared" si="159"/>
        <v>2.6426397797395142</v>
      </c>
      <c r="AU55" s="5">
        <f t="shared" si="102"/>
        <v>9.9770769328488154</v>
      </c>
      <c r="AV55" s="5">
        <f t="shared" si="160"/>
        <v>9.7770769328488178</v>
      </c>
      <c r="AW55" s="173">
        <f t="shared" si="103"/>
        <v>0.20940563405067936</v>
      </c>
      <c r="AX55" s="173">
        <f t="shared" si="161"/>
        <v>76.717631055707983</v>
      </c>
      <c r="AY55" s="173">
        <f t="shared" si="162"/>
        <v>5.0213499466014166</v>
      </c>
      <c r="AZ55" s="173">
        <f t="shared" si="104"/>
        <v>15.278288084189894</v>
      </c>
      <c r="BA55" s="460">
        <f t="shared" si="163"/>
        <v>88.087992657983804</v>
      </c>
      <c r="BB55" s="5">
        <f t="shared" si="164"/>
        <v>4.4732846938110615</v>
      </c>
      <c r="BC55" s="5"/>
      <c r="BD55" s="173">
        <f t="shared" si="105"/>
        <v>3.3560646897750934</v>
      </c>
      <c r="BE55" s="173">
        <f t="shared" si="165"/>
        <v>6.5209819776400328</v>
      </c>
      <c r="BF55" s="173"/>
      <c r="BG55" s="528">
        <f t="shared" si="166"/>
        <v>0.22526340403910389</v>
      </c>
      <c r="BH55" s="528">
        <f t="shared" si="167"/>
        <v>1.388903535586429</v>
      </c>
      <c r="BI55" s="528">
        <f t="shared" si="168"/>
        <v>0.11426953243228059</v>
      </c>
      <c r="BJ55" s="528">
        <f t="shared" si="169"/>
        <v>4.2913870791058094E-2</v>
      </c>
      <c r="BK55">
        <f t="shared" si="170"/>
        <v>2.5956884307155502E-2</v>
      </c>
      <c r="BL55" s="460">
        <f t="shared" si="106"/>
        <v>140.22641673943608</v>
      </c>
      <c r="BM55" s="528">
        <f t="shared" si="171"/>
        <v>1.8150479894373166</v>
      </c>
      <c r="BN55" s="460">
        <f t="shared" si="107"/>
        <v>1815.0479894373166</v>
      </c>
      <c r="BO55" s="528">
        <f t="shared" si="172"/>
        <v>3.1062499999999997</v>
      </c>
      <c r="BP55" s="528"/>
      <c r="BR55" s="460">
        <f t="shared" si="109"/>
        <v>3106.2499999999995</v>
      </c>
      <c r="BS55" s="528">
        <f t="shared" si="173"/>
        <v>0.3378951060586558</v>
      </c>
      <c r="BT55" s="528">
        <f t="shared" si="174"/>
        <v>1.2756961785811833</v>
      </c>
      <c r="BU55" s="528">
        <f t="shared" si="175"/>
        <v>1.125</v>
      </c>
      <c r="BV55" s="528">
        <f t="shared" si="176"/>
        <v>3.5891693885043368</v>
      </c>
      <c r="BW55" s="528">
        <f t="shared" si="177"/>
        <v>1.2786271842617996E-2</v>
      </c>
      <c r="BX55" s="460">
        <f t="shared" si="110"/>
        <v>3601.9556603469546</v>
      </c>
      <c r="BY55" s="173">
        <f t="shared" si="45"/>
        <v>8.6634800665237073</v>
      </c>
      <c r="BZ55" s="5">
        <f t="shared" si="111"/>
        <v>75</v>
      </c>
      <c r="CA55" s="173">
        <f t="shared" si="112"/>
        <v>0.89644848553233658</v>
      </c>
      <c r="CB55" s="5">
        <f t="shared" si="113"/>
        <v>89.644848553233658</v>
      </c>
      <c r="CE55" s="562">
        <f t="shared" si="178"/>
        <v>-50</v>
      </c>
      <c r="CF55">
        <f t="shared" si="179"/>
        <v>-50</v>
      </c>
      <c r="CG55" s="173">
        <f t="shared" si="180"/>
        <v>0.78607731803554037</v>
      </c>
      <c r="CI55" s="170">
        <v>50</v>
      </c>
      <c r="CJ55" s="217">
        <f t="shared" si="114"/>
        <v>5</v>
      </c>
      <c r="CK55" s="217"/>
      <c r="CL55" s="217">
        <f t="shared" si="49"/>
        <v>75</v>
      </c>
      <c r="CM55" s="541">
        <f t="shared" si="50"/>
        <v>58</v>
      </c>
      <c r="CN55" s="172">
        <f t="shared" si="51"/>
        <v>15.4</v>
      </c>
      <c r="CO55" s="443">
        <f t="shared" si="52"/>
        <v>73.400000000000006</v>
      </c>
      <c r="CP55" s="443"/>
      <c r="CQ55" s="217">
        <f t="shared" si="53"/>
        <v>0.2098092643051771</v>
      </c>
      <c r="CR55" s="172">
        <f t="shared" si="54"/>
        <v>305.10568119891008</v>
      </c>
      <c r="CS55" s="172">
        <f t="shared" si="115"/>
        <v>75</v>
      </c>
      <c r="CT55" s="217">
        <f t="shared" si="55"/>
        <v>20.340378746594006</v>
      </c>
      <c r="CU55" s="217">
        <f t="shared" si="56"/>
        <v>15</v>
      </c>
      <c r="CV55" s="217">
        <f t="shared" si="57"/>
        <v>20.281562216167121</v>
      </c>
      <c r="CW55" s="172">
        <f t="shared" si="58"/>
        <v>232.09978503849439</v>
      </c>
      <c r="CX55" s="172">
        <f t="shared" si="59"/>
        <v>15</v>
      </c>
      <c r="CY55" s="217">
        <f t="shared" si="60"/>
        <v>12.326466636811464</v>
      </c>
      <c r="CZ55" s="217">
        <f t="shared" si="61"/>
        <v>2.5503034420989237</v>
      </c>
      <c r="DA55" s="217">
        <f t="shared" si="62"/>
        <v>9.6050389377751664</v>
      </c>
      <c r="DB55" s="197">
        <f t="shared" si="63"/>
        <v>101.4078110808356</v>
      </c>
      <c r="DC55" s="443">
        <f t="shared" si="116"/>
        <v>82.268353185651549</v>
      </c>
      <c r="DE55" s="217">
        <f t="shared" si="64"/>
        <v>10</v>
      </c>
      <c r="DF55" s="173">
        <f t="shared" si="65"/>
        <v>7.7922077922077913</v>
      </c>
      <c r="DG55" s="173">
        <f t="shared" si="66"/>
        <v>3.9509536784741139</v>
      </c>
      <c r="DH55" s="173"/>
      <c r="DI55" s="173">
        <f t="shared" si="67"/>
        <v>7.7922077922077913</v>
      </c>
      <c r="DJ55" s="545">
        <f t="shared" si="117"/>
        <v>128.33333333333334</v>
      </c>
      <c r="DK55" s="528">
        <f t="shared" si="68"/>
        <v>3.9509536784741139</v>
      </c>
      <c r="DM55" s="173">
        <f t="shared" si="69"/>
        <v>6.0553007081949835</v>
      </c>
      <c r="DN55" s="173">
        <f t="shared" si="70"/>
        <v>12.326466636811464</v>
      </c>
      <c r="DO55" s="173">
        <f t="shared" si="71"/>
        <v>2.9233086198603435</v>
      </c>
      <c r="DQ55" s="545">
        <f t="shared" si="72"/>
        <v>5000</v>
      </c>
      <c r="DR55" s="460">
        <f t="shared" si="73"/>
        <v>82.268353185651549</v>
      </c>
      <c r="DT55">
        <f t="shared" si="74"/>
        <v>5000</v>
      </c>
      <c r="DU55" s="460">
        <f t="shared" si="75"/>
        <v>82.268353185651549</v>
      </c>
      <c r="DV55" s="460"/>
      <c r="DW55" s="5">
        <f t="shared" si="118"/>
        <v>12.155342379874092</v>
      </c>
      <c r="DX55" s="5">
        <f t="shared" si="76"/>
        <v>2.5503034420989237</v>
      </c>
      <c r="DY55" s="5">
        <f t="shared" si="119"/>
        <v>9.6050389377751682</v>
      </c>
      <c r="DZ55" s="5">
        <f t="shared" si="77"/>
        <v>9.6050389377751664</v>
      </c>
      <c r="EA55" s="173">
        <f t="shared" si="120"/>
        <v>0.20980926430517707</v>
      </c>
      <c r="EB55" s="173">
        <f t="shared" si="78"/>
        <v>74.999999999999986</v>
      </c>
      <c r="EC55" s="173">
        <f t="shared" si="79"/>
        <v>4.8701298701298699</v>
      </c>
      <c r="ED55" s="173">
        <f t="shared" si="121"/>
        <v>15.399999999999999</v>
      </c>
      <c r="EE55" s="460">
        <f t="shared" si="80"/>
        <v>85.010114736630797</v>
      </c>
      <c r="EF55" s="5">
        <f t="shared" si="81"/>
        <v>4.2828651625037901</v>
      </c>
      <c r="EG55" s="5"/>
      <c r="EH55" s="173">
        <f t="shared" si="122"/>
        <v>3.2597951380537471</v>
      </c>
      <c r="EI55" s="173">
        <f t="shared" si="82"/>
        <v>6.3262149484556076</v>
      </c>
      <c r="EJ55" s="173"/>
      <c r="EK55" s="528">
        <f t="shared" si="83"/>
        <v>0.21252528684157695</v>
      </c>
      <c r="EL55" s="528">
        <f t="shared" si="84"/>
        <v>1.4886666666666666</v>
      </c>
      <c r="EM55" s="528">
        <f t="shared" si="85"/>
        <v>1.0283544148206444E-2</v>
      </c>
      <c r="EN55" s="528">
        <f t="shared" si="86"/>
        <v>4.4322568888888893E-2</v>
      </c>
      <c r="EO55">
        <f t="shared" si="87"/>
        <v>2.6099999999999998E-2</v>
      </c>
      <c r="EP55" s="460">
        <f t="shared" si="123"/>
        <v>36.383544148206447</v>
      </c>
      <c r="EQ55" s="528">
        <f t="shared" si="88"/>
        <v>1.937095483312115</v>
      </c>
      <c r="ER55" s="460">
        <f t="shared" si="124"/>
        <v>1937.095483312115</v>
      </c>
      <c r="ES55" s="528">
        <f t="shared" si="125"/>
        <v>3.1062499999999997</v>
      </c>
      <c r="ET55" s="528"/>
      <c r="EV55" s="460">
        <f t="shared" si="126"/>
        <v>3106.2499999999995</v>
      </c>
      <c r="EW55" s="528">
        <f t="shared" si="89"/>
        <v>0.3187879302623654</v>
      </c>
      <c r="EX55" s="528">
        <f t="shared" si="90"/>
        <v>1.2006298672218956</v>
      </c>
      <c r="EY55" s="528">
        <f t="shared" si="91"/>
        <v>1.6373763960187144</v>
      </c>
      <c r="EZ55" s="528">
        <f t="shared" si="92"/>
        <v>4.0087292275955146</v>
      </c>
      <c r="FA55" s="528">
        <f t="shared" si="93"/>
        <v>1.2499999999999999E-2</v>
      </c>
      <c r="FB55" s="460">
        <f t="shared" si="127"/>
        <v>4021.2292275955147</v>
      </c>
      <c r="FC55" s="173">
        <f t="shared" si="128"/>
        <v>9.0645747109076282</v>
      </c>
      <c r="FD55" s="5">
        <f t="shared" si="129"/>
        <v>75</v>
      </c>
      <c r="FE55" s="173">
        <f t="shared" si="130"/>
        <v>0.89217128924900779</v>
      </c>
      <c r="FF55" s="5">
        <f t="shared" si="131"/>
        <v>89.217128924900777</v>
      </c>
      <c r="FI55" s="562">
        <f t="shared" si="94"/>
        <v>-50</v>
      </c>
      <c r="FJ55">
        <f t="shared" si="95"/>
        <v>-50</v>
      </c>
      <c r="FL55">
        <f t="shared" si="181"/>
        <v>0.7901907356948229</v>
      </c>
    </row>
    <row r="56" spans="5:168">
      <c r="E56" s="170">
        <v>51</v>
      </c>
      <c r="F56" s="217">
        <f t="shared" si="182"/>
        <v>5.0999999999999996</v>
      </c>
      <c r="G56" s="217"/>
      <c r="H56" s="217">
        <f t="shared" si="132"/>
        <v>76.5</v>
      </c>
      <c r="I56" s="541">
        <f t="shared" si="133"/>
        <v>57.67563771065646</v>
      </c>
      <c r="J56" s="172">
        <f t="shared" si="134"/>
        <v>15.594617373606125</v>
      </c>
      <c r="K56" s="172">
        <f t="shared" si="135"/>
        <v>73.594617373606127</v>
      </c>
      <c r="L56" s="443"/>
      <c r="M56" s="217">
        <f t="shared" si="136"/>
        <v>0.21282627591029368</v>
      </c>
      <c r="N56" s="172">
        <f t="shared" si="137"/>
        <v>307.76220922864928</v>
      </c>
      <c r="O56" s="172">
        <f t="shared" si="98"/>
        <v>76.5</v>
      </c>
      <c r="P56" s="217">
        <f t="shared" si="138"/>
        <v>20.517480615243286</v>
      </c>
      <c r="Q56" s="217">
        <f t="shared" si="139"/>
        <v>15</v>
      </c>
      <c r="R56" s="217">
        <f t="shared" si="140"/>
        <v>20.458151974517182</v>
      </c>
      <c r="S56" s="172">
        <f t="shared" si="141"/>
        <v>225.15036083204822</v>
      </c>
      <c r="T56" s="172">
        <f t="shared" si="142"/>
        <v>15</v>
      </c>
      <c r="U56" s="217">
        <f t="shared" si="143"/>
        <v>12.957749589260434</v>
      </c>
      <c r="V56" s="217">
        <f t="shared" si="11"/>
        <v>2.6959909112959055</v>
      </c>
      <c r="W56" s="217">
        <f t="shared" si="144"/>
        <v>9.9709400587344295</v>
      </c>
      <c r="X56" s="197">
        <f t="shared" si="145"/>
        <v>102.29588856146898</v>
      </c>
      <c r="Y56" s="443">
        <f t="shared" si="14"/>
        <v>77.718610780550605</v>
      </c>
      <c r="AA56" s="217">
        <f t="shared" si="146"/>
        <v>10</v>
      </c>
      <c r="AB56" s="173">
        <f t="shared" si="147"/>
        <v>7.694962763440409</v>
      </c>
      <c r="AC56" s="173">
        <f t="shared" si="148"/>
        <v>3.9358152666677677</v>
      </c>
      <c r="AD56" s="173"/>
      <c r="AE56" s="173">
        <f t="shared" si="149"/>
        <v>7.694962763440409</v>
      </c>
      <c r="AF56" s="545">
        <f t="shared" si="150"/>
        <v>132.55424767565205</v>
      </c>
      <c r="AG56" s="528">
        <f t="shared" si="151"/>
        <v>3.9358152666677673</v>
      </c>
      <c r="AI56" s="173">
        <f t="shared" si="152"/>
        <v>6.1540752508434151</v>
      </c>
      <c r="AJ56" s="173">
        <f t="shared" si="153"/>
        <v>12.957749589260434</v>
      </c>
      <c r="AK56" s="173">
        <f t="shared" si="154"/>
        <v>3.3909256216743957</v>
      </c>
      <c r="AM56" s="545">
        <f t="shared" si="155"/>
        <v>5100</v>
      </c>
      <c r="AN56" s="460">
        <f t="shared" si="156"/>
        <v>77.718610780550605</v>
      </c>
      <c r="AP56">
        <f t="shared" si="157"/>
        <v>5100</v>
      </c>
      <c r="AQ56" s="460">
        <f t="shared" si="158"/>
        <v>77.718610780550605</v>
      </c>
      <c r="AR56" s="460"/>
      <c r="AS56" s="5">
        <f t="shared" si="101"/>
        <v>12.866930970030333</v>
      </c>
      <c r="AT56" s="5">
        <f t="shared" si="159"/>
        <v>2.6959909112959055</v>
      </c>
      <c r="AU56" s="5">
        <f t="shared" si="102"/>
        <v>10.170940058734427</v>
      </c>
      <c r="AV56" s="5">
        <f t="shared" si="160"/>
        <v>9.9709400587344295</v>
      </c>
      <c r="AW56" s="173">
        <f t="shared" si="103"/>
        <v>0.20952866830290842</v>
      </c>
      <c r="AX56" s="173">
        <f t="shared" si="161"/>
        <v>78.295255399625304</v>
      </c>
      <c r="AY56" s="173">
        <f t="shared" si="162"/>
        <v>5.1213647868100685</v>
      </c>
      <c r="AZ56" s="173">
        <f t="shared" si="104"/>
        <v>15.287966910943846</v>
      </c>
      <c r="BA56" s="460">
        <f t="shared" si="163"/>
        <v>91.663690984060779</v>
      </c>
      <c r="BB56" s="5">
        <f t="shared" si="164"/>
        <v>4.6519188162946197</v>
      </c>
      <c r="BC56" s="5"/>
      <c r="BD56" s="173">
        <f t="shared" si="105"/>
        <v>3.424448836065785</v>
      </c>
      <c r="BE56" s="173">
        <f t="shared" si="165"/>
        <v>6.6513839393387899</v>
      </c>
      <c r="BF56" s="173"/>
      <c r="BG56" s="528">
        <f t="shared" si="166"/>
        <v>0.23453699661664618</v>
      </c>
      <c r="BH56" s="528">
        <f t="shared" si="167"/>
        <v>1.3896388131508364</v>
      </c>
      <c r="BI56" s="528">
        <f t="shared" si="168"/>
        <v>0.1120617609688639</v>
      </c>
      <c r="BJ56" s="528">
        <f t="shared" si="169"/>
        <v>4.2093702989336235E-2</v>
      </c>
      <c r="BK56">
        <f t="shared" si="170"/>
        <v>2.5954036969795407E-2</v>
      </c>
      <c r="BL56" s="460">
        <f t="shared" si="106"/>
        <v>138.01579793865932</v>
      </c>
      <c r="BM56" s="528">
        <f t="shared" si="171"/>
        <v>1.8316658980891192</v>
      </c>
      <c r="BN56" s="460">
        <f t="shared" si="107"/>
        <v>1831.6658980891191</v>
      </c>
      <c r="BO56" s="528">
        <f t="shared" si="172"/>
        <v>3.1683749999999993</v>
      </c>
      <c r="BP56" s="528"/>
      <c r="BR56" s="460">
        <f t="shared" si="109"/>
        <v>3168.3749999999991</v>
      </c>
      <c r="BS56" s="528">
        <f t="shared" si="173"/>
        <v>0.35180549492496926</v>
      </c>
      <c r="BT56" s="528">
        <f t="shared" si="174"/>
        <v>1.3272272492548198</v>
      </c>
      <c r="BU56" s="528">
        <f t="shared" si="175"/>
        <v>1.1475</v>
      </c>
      <c r="BV56" s="528">
        <f t="shared" si="176"/>
        <v>3.730605275889161</v>
      </c>
      <c r="BW56" s="528">
        <f t="shared" si="177"/>
        <v>1.3049209233270884E-2</v>
      </c>
      <c r="BX56" s="460">
        <f t="shared" si="110"/>
        <v>3743.6544851224317</v>
      </c>
      <c r="BY56" s="173">
        <f t="shared" si="45"/>
        <v>8.8817111811502087</v>
      </c>
      <c r="BZ56" s="5">
        <f t="shared" si="111"/>
        <v>76.5</v>
      </c>
      <c r="CA56" s="173">
        <f t="shared" si="112"/>
        <v>0.89597642096553543</v>
      </c>
      <c r="CB56" s="5">
        <f t="shared" si="113"/>
        <v>89.597642096553543</v>
      </c>
      <c r="CE56" s="562">
        <f t="shared" si="178"/>
        <v>-50</v>
      </c>
      <c r="CF56">
        <f t="shared" si="179"/>
        <v>-50</v>
      </c>
      <c r="CG56" s="173">
        <f t="shared" si="180"/>
        <v>0.78615797328376158</v>
      </c>
      <c r="CI56" s="170">
        <v>51</v>
      </c>
      <c r="CJ56" s="217">
        <f t="shared" si="114"/>
        <v>5.0999999999999996</v>
      </c>
      <c r="CK56" s="217"/>
      <c r="CL56" s="217">
        <f t="shared" si="49"/>
        <v>76.5</v>
      </c>
      <c r="CM56" s="541">
        <f t="shared" si="50"/>
        <v>58</v>
      </c>
      <c r="CN56" s="172">
        <f t="shared" si="51"/>
        <v>15.4</v>
      </c>
      <c r="CO56" s="443">
        <f t="shared" si="52"/>
        <v>73.400000000000006</v>
      </c>
      <c r="CP56" s="443"/>
      <c r="CQ56" s="217">
        <f t="shared" si="53"/>
        <v>0.2098092643051771</v>
      </c>
      <c r="CR56" s="172">
        <f t="shared" si="54"/>
        <v>305.10568119891008</v>
      </c>
      <c r="CS56" s="172">
        <f t="shared" si="115"/>
        <v>76.5</v>
      </c>
      <c r="CT56" s="217">
        <f t="shared" si="55"/>
        <v>20.340378746594006</v>
      </c>
      <c r="CU56" s="217">
        <f t="shared" si="56"/>
        <v>15</v>
      </c>
      <c r="CV56" s="217">
        <f t="shared" si="57"/>
        <v>20.281562216167121</v>
      </c>
      <c r="CW56" s="172">
        <f t="shared" si="58"/>
        <v>226.41601103826568</v>
      </c>
      <c r="CX56" s="172">
        <f t="shared" si="59"/>
        <v>15</v>
      </c>
      <c r="CY56" s="217">
        <f t="shared" si="60"/>
        <v>12.572995969547694</v>
      </c>
      <c r="CZ56" s="217">
        <f t="shared" si="61"/>
        <v>2.6013095109409026</v>
      </c>
      <c r="DA56" s="217">
        <f t="shared" si="62"/>
        <v>9.7971397165306708</v>
      </c>
      <c r="DB56" s="197">
        <f t="shared" si="63"/>
        <v>101.4078110808356</v>
      </c>
      <c r="DC56" s="443">
        <f t="shared" si="116"/>
        <v>80.655248221227012</v>
      </c>
      <c r="DE56" s="217">
        <f t="shared" si="64"/>
        <v>10</v>
      </c>
      <c r="DF56" s="173">
        <f t="shared" si="65"/>
        <v>7.7922077922077913</v>
      </c>
      <c r="DG56" s="173">
        <f t="shared" si="66"/>
        <v>3.9509536784741139</v>
      </c>
      <c r="DH56" s="173"/>
      <c r="DI56" s="173">
        <f t="shared" si="67"/>
        <v>7.7922077922077913</v>
      </c>
      <c r="DJ56" s="545">
        <f t="shared" si="117"/>
        <v>130.9</v>
      </c>
      <c r="DK56" s="528">
        <f t="shared" si="68"/>
        <v>3.9509536784741139</v>
      </c>
      <c r="DM56" s="173">
        <f t="shared" si="69"/>
        <v>6.1155539405682617</v>
      </c>
      <c r="DN56" s="173">
        <f t="shared" si="70"/>
        <v>12.572995969547694</v>
      </c>
      <c r="DO56" s="173">
        <f t="shared" si="71"/>
        <v>3.1059229404056996</v>
      </c>
      <c r="DQ56" s="545">
        <f t="shared" si="72"/>
        <v>5100</v>
      </c>
      <c r="DR56" s="460">
        <f t="shared" si="73"/>
        <v>80.655248221227012</v>
      </c>
      <c r="DT56">
        <f t="shared" si="74"/>
        <v>5100</v>
      </c>
      <c r="DU56" s="460">
        <f t="shared" si="75"/>
        <v>80.655248221227012</v>
      </c>
      <c r="DV56" s="460"/>
      <c r="DW56" s="5">
        <f t="shared" si="118"/>
        <v>12.398449227471573</v>
      </c>
      <c r="DX56" s="5">
        <f t="shared" si="76"/>
        <v>2.6013095109409026</v>
      </c>
      <c r="DY56" s="5">
        <f t="shared" si="119"/>
        <v>9.7971397165306708</v>
      </c>
      <c r="DZ56" s="5">
        <f t="shared" si="77"/>
        <v>9.7971397165306708</v>
      </c>
      <c r="EA56" s="173">
        <f t="shared" si="120"/>
        <v>0.20980926430517713</v>
      </c>
      <c r="EB56" s="173">
        <f t="shared" si="78"/>
        <v>76.500000000000014</v>
      </c>
      <c r="EC56" s="173">
        <f t="shared" si="79"/>
        <v>4.9675324675324681</v>
      </c>
      <c r="ED56" s="173">
        <f t="shared" si="121"/>
        <v>15.4</v>
      </c>
      <c r="EE56" s="460">
        <f t="shared" si="80"/>
        <v>88.444523371990684</v>
      </c>
      <c r="EF56" s="5">
        <f t="shared" si="81"/>
        <v>4.4558929150689428</v>
      </c>
      <c r="EG56" s="5"/>
      <c r="EH56" s="173">
        <f t="shared" si="122"/>
        <v>3.324991040814822</v>
      </c>
      <c r="EI56" s="173">
        <f t="shared" si="82"/>
        <v>6.45273924742472</v>
      </c>
      <c r="EJ56" s="173"/>
      <c r="EK56" s="528">
        <f t="shared" si="83"/>
        <v>0.22111130842997667</v>
      </c>
      <c r="EL56" s="528">
        <f t="shared" si="84"/>
        <v>1.4886666666666668</v>
      </c>
      <c r="EM56" s="528">
        <f t="shared" si="85"/>
        <v>1.0081906027653376E-2</v>
      </c>
      <c r="EN56" s="528">
        <f t="shared" si="86"/>
        <v>4.3453498910675382E-2</v>
      </c>
      <c r="EO56">
        <f t="shared" si="87"/>
        <v>2.6099999999999998E-2</v>
      </c>
      <c r="EP56" s="460">
        <f t="shared" si="123"/>
        <v>36.181906027653369</v>
      </c>
      <c r="EQ56" s="528">
        <f t="shared" si="88"/>
        <v>1.9516451546549234</v>
      </c>
      <c r="ER56" s="460">
        <f t="shared" si="124"/>
        <v>1951.6451546549233</v>
      </c>
      <c r="ES56" s="528">
        <f t="shared" si="125"/>
        <v>3.1683749999999993</v>
      </c>
      <c r="ET56" s="528"/>
      <c r="EV56" s="460">
        <f t="shared" si="126"/>
        <v>3168.3749999999991</v>
      </c>
      <c r="EW56" s="528">
        <f t="shared" si="89"/>
        <v>0.33166696264496498</v>
      </c>
      <c r="EX56" s="528">
        <f t="shared" si="90"/>
        <v>1.2491353138576602</v>
      </c>
      <c r="EY56" s="528">
        <f t="shared" si="91"/>
        <v>1.637376396018714</v>
      </c>
      <c r="EZ56" s="528">
        <f t="shared" si="92"/>
        <v>4.1184014956751804</v>
      </c>
      <c r="FA56" s="528">
        <f t="shared" si="93"/>
        <v>1.2750000000000003E-2</v>
      </c>
      <c r="FB56" s="460">
        <f t="shared" si="127"/>
        <v>4131.1514956751798</v>
      </c>
      <c r="FC56" s="173">
        <f t="shared" si="128"/>
        <v>9.2511716503301038</v>
      </c>
      <c r="FD56" s="5">
        <f t="shared" si="129"/>
        <v>76.5</v>
      </c>
      <c r="FE56" s="173">
        <f t="shared" si="130"/>
        <v>0.89211609040102846</v>
      </c>
      <c r="FF56" s="5">
        <f t="shared" si="131"/>
        <v>89.211609040102843</v>
      </c>
      <c r="FI56" s="562">
        <f t="shared" si="94"/>
        <v>-50</v>
      </c>
      <c r="FJ56">
        <f t="shared" si="95"/>
        <v>-50</v>
      </c>
      <c r="FL56">
        <f t="shared" si="181"/>
        <v>0.7901907356948229</v>
      </c>
    </row>
    <row r="57" spans="5:168">
      <c r="E57" s="170">
        <v>52</v>
      </c>
      <c r="F57" s="217">
        <f t="shared" si="182"/>
        <v>5.2</v>
      </c>
      <c r="G57" s="217"/>
      <c r="H57" s="217">
        <f t="shared" si="132"/>
        <v>78</v>
      </c>
      <c r="I57" s="541">
        <f t="shared" si="133"/>
        <v>57.669310287735087</v>
      </c>
      <c r="J57" s="172">
        <f t="shared" si="134"/>
        <v>15.598413827358948</v>
      </c>
      <c r="K57" s="172">
        <f t="shared" si="135"/>
        <v>73.598413827358954</v>
      </c>
      <c r="L57" s="443"/>
      <c r="M57" s="217">
        <f t="shared" si="136"/>
        <v>0.2128854458440142</v>
      </c>
      <c r="N57" s="172">
        <f t="shared" si="137"/>
        <v>307.8140001733608</v>
      </c>
      <c r="O57" s="172">
        <f t="shared" si="98"/>
        <v>78</v>
      </c>
      <c r="P57" s="217">
        <f t="shared" si="138"/>
        <v>20.520933344890718</v>
      </c>
      <c r="Q57" s="217">
        <f t="shared" si="139"/>
        <v>15</v>
      </c>
      <c r="R57" s="217">
        <f t="shared" si="140"/>
        <v>20.461594720202132</v>
      </c>
      <c r="S57" s="172">
        <f t="shared" si="141"/>
        <v>219.69179873039681</v>
      </c>
      <c r="T57" s="172">
        <f t="shared" si="142"/>
        <v>15</v>
      </c>
      <c r="U57" s="217">
        <f t="shared" si="143"/>
        <v>13.21281628587316</v>
      </c>
      <c r="V57" s="217">
        <f t="shared" si="11"/>
        <v>2.7493617426563639</v>
      </c>
      <c r="W57" s="217">
        <f t="shared" si="144"/>
        <v>10.164738362844391</v>
      </c>
      <c r="X57" s="197">
        <f t="shared" si="145"/>
        <v>102.31310101309471</v>
      </c>
      <c r="Y57" s="443">
        <f t="shared" si="14"/>
        <v>76.253802544983373</v>
      </c>
      <c r="AA57" s="217">
        <f t="shared" si="146"/>
        <v>10</v>
      </c>
      <c r="AB57" s="173">
        <f t="shared" si="147"/>
        <v>7.6930899082524116</v>
      </c>
      <c r="AC57" s="173">
        <f t="shared" si="148"/>
        <v>3.9355194244292431</v>
      </c>
      <c r="AD57" s="173"/>
      <c r="AE57" s="173">
        <f t="shared" si="149"/>
        <v>7.6930899082524116</v>
      </c>
      <c r="AF57" s="545">
        <f t="shared" si="150"/>
        <v>135.18625317044419</v>
      </c>
      <c r="AG57" s="528">
        <f t="shared" si="151"/>
        <v>3.9355194244292426</v>
      </c>
      <c r="AI57" s="173">
        <f t="shared" si="152"/>
        <v>6.2148727873532588</v>
      </c>
      <c r="AJ57" s="173">
        <f t="shared" si="153"/>
        <v>13.21281628587316</v>
      </c>
      <c r="AK57" s="173">
        <f t="shared" si="154"/>
        <v>3.5798639154615994</v>
      </c>
      <c r="AM57" s="545">
        <f t="shared" si="155"/>
        <v>5200</v>
      </c>
      <c r="AN57" s="460">
        <f t="shared" si="156"/>
        <v>76.253802544983373</v>
      </c>
      <c r="AP57">
        <f t="shared" si="157"/>
        <v>5200</v>
      </c>
      <c r="AQ57" s="460">
        <f t="shared" si="158"/>
        <v>76.253802544983373</v>
      </c>
      <c r="AR57" s="460"/>
      <c r="AS57" s="5">
        <f t="shared" si="101"/>
        <v>13.114100105500752</v>
      </c>
      <c r="AT57" s="5">
        <f t="shared" si="159"/>
        <v>2.7493617426563639</v>
      </c>
      <c r="AU57" s="5">
        <f t="shared" si="102"/>
        <v>10.364738362844388</v>
      </c>
      <c r="AV57" s="5">
        <f t="shared" si="160"/>
        <v>10.164738362844391</v>
      </c>
      <c r="AW57" s="173">
        <f t="shared" si="103"/>
        <v>0.20964928744924977</v>
      </c>
      <c r="AX57" s="173">
        <f t="shared" si="161"/>
        <v>79.873653304357859</v>
      </c>
      <c r="AY57" s="173">
        <f t="shared" si="162"/>
        <v>5.2213793831710049</v>
      </c>
      <c r="AZ57" s="173">
        <f t="shared" si="104"/>
        <v>15.297423811377914</v>
      </c>
      <c r="BA57" s="460">
        <f t="shared" si="163"/>
        <v>95.311207078753952</v>
      </c>
      <c r="BB57" s="5">
        <f t="shared" si="164"/>
        <v>4.8340394586388848</v>
      </c>
      <c r="BC57" s="5"/>
      <c r="BD57" s="173">
        <f t="shared" si="105"/>
        <v>3.4928622984054494</v>
      </c>
      <c r="BE57" s="173">
        <f t="shared" si="165"/>
        <v>6.7817955610926619</v>
      </c>
      <c r="BF57" s="173"/>
      <c r="BG57" s="528">
        <f t="shared" si="166"/>
        <v>0.24400174071244399</v>
      </c>
      <c r="BH57" s="528">
        <f t="shared" si="167"/>
        <v>1.3903579634840897</v>
      </c>
      <c r="BI57" s="528">
        <f t="shared" si="168"/>
        <v>0.10993760498965822</v>
      </c>
      <c r="BJ57" s="528">
        <f t="shared" si="169"/>
        <v>4.1304599433636457E-2</v>
      </c>
      <c r="BK57">
        <f t="shared" si="170"/>
        <v>2.595118962948079E-2</v>
      </c>
      <c r="BL57" s="460">
        <f t="shared" si="106"/>
        <v>135.88879461913902</v>
      </c>
      <c r="BM57" s="528">
        <f t="shared" si="171"/>
        <v>1.8487242153954584</v>
      </c>
      <c r="BN57" s="460">
        <f t="shared" si="107"/>
        <v>1848.7242153954585</v>
      </c>
      <c r="BO57" s="528">
        <f t="shared" si="172"/>
        <v>3.2304999999999997</v>
      </c>
      <c r="BP57" s="528"/>
      <c r="BR57" s="460">
        <f t="shared" si="109"/>
        <v>3230.4999999999995</v>
      </c>
      <c r="BS57" s="528">
        <f t="shared" si="173"/>
        <v>0.36600261106866594</v>
      </c>
      <c r="BT57" s="528">
        <f t="shared" si="174"/>
        <v>1.379782530973684</v>
      </c>
      <c r="BU57" s="528">
        <f t="shared" si="175"/>
        <v>1.17</v>
      </c>
      <c r="BV57" s="528">
        <f t="shared" si="176"/>
        <v>3.8761239432380865</v>
      </c>
      <c r="BW57" s="528">
        <f t="shared" si="177"/>
        <v>1.3312275550726312E-2</v>
      </c>
      <c r="BX57" s="460">
        <f t="shared" si="110"/>
        <v>3889.4362187888128</v>
      </c>
      <c r="BY57" s="173">
        <f t="shared" si="45"/>
        <v>9.1045492288034104</v>
      </c>
      <c r="BZ57" s="5">
        <f t="shared" si="111"/>
        <v>78</v>
      </c>
      <c r="CA57" s="173">
        <f t="shared" si="112"/>
        <v>0.89547561741134929</v>
      </c>
      <c r="CB57" s="5">
        <f t="shared" si="113"/>
        <v>89.547561741134928</v>
      </c>
      <c r="CE57" s="562">
        <f t="shared" si="178"/>
        <v>-50</v>
      </c>
      <c r="CF57">
        <f t="shared" si="179"/>
        <v>-50</v>
      </c>
      <c r="CG57" s="173">
        <f t="shared" si="180"/>
        <v>0.78623552640705119</v>
      </c>
      <c r="CI57" s="170">
        <v>52</v>
      </c>
      <c r="CJ57" s="217">
        <f t="shared" si="114"/>
        <v>5.2</v>
      </c>
      <c r="CK57" s="217"/>
      <c r="CL57" s="217">
        <f t="shared" si="49"/>
        <v>78</v>
      </c>
      <c r="CM57" s="541">
        <f t="shared" si="50"/>
        <v>58</v>
      </c>
      <c r="CN57" s="172">
        <f t="shared" si="51"/>
        <v>15.4</v>
      </c>
      <c r="CO57" s="443">
        <f t="shared" si="52"/>
        <v>73.400000000000006</v>
      </c>
      <c r="CP57" s="443"/>
      <c r="CQ57" s="217">
        <f t="shared" si="53"/>
        <v>0.2098092643051771</v>
      </c>
      <c r="CR57" s="172">
        <f t="shared" si="54"/>
        <v>305.10568119891008</v>
      </c>
      <c r="CS57" s="172">
        <f t="shared" si="115"/>
        <v>78</v>
      </c>
      <c r="CT57" s="217">
        <f t="shared" si="55"/>
        <v>20.340378746594006</v>
      </c>
      <c r="CU57" s="217">
        <f t="shared" si="56"/>
        <v>15</v>
      </c>
      <c r="CV57" s="217">
        <f t="shared" si="57"/>
        <v>20.281562216167121</v>
      </c>
      <c r="CW57" s="172">
        <f t="shared" si="58"/>
        <v>220.95096477401083</v>
      </c>
      <c r="CX57" s="172">
        <f t="shared" si="59"/>
        <v>15</v>
      </c>
      <c r="CY57" s="217">
        <f t="shared" si="60"/>
        <v>12.819525302283923</v>
      </c>
      <c r="CZ57" s="217">
        <f t="shared" si="61"/>
        <v>2.6523155797828806</v>
      </c>
      <c r="DA57" s="217">
        <f t="shared" si="62"/>
        <v>9.9892404952861753</v>
      </c>
      <c r="DB57" s="197">
        <f t="shared" si="63"/>
        <v>101.4078110808356</v>
      </c>
      <c r="DC57" s="443">
        <f t="shared" si="116"/>
        <v>79.104185755434187</v>
      </c>
      <c r="DE57" s="217">
        <f t="shared" si="64"/>
        <v>10</v>
      </c>
      <c r="DF57" s="173">
        <f t="shared" si="65"/>
        <v>7.7922077922077913</v>
      </c>
      <c r="DG57" s="173">
        <f t="shared" si="66"/>
        <v>3.9509536784741139</v>
      </c>
      <c r="DH57" s="173"/>
      <c r="DI57" s="173">
        <f t="shared" si="67"/>
        <v>7.7922077922077913</v>
      </c>
      <c r="DJ57" s="545">
        <f t="shared" si="117"/>
        <v>133.4666666666667</v>
      </c>
      <c r="DK57" s="528">
        <f t="shared" si="68"/>
        <v>3.9509536784741139</v>
      </c>
      <c r="DM57" s="173">
        <f t="shared" si="69"/>
        <v>6.1752192943516864</v>
      </c>
      <c r="DN57" s="173">
        <f t="shared" si="70"/>
        <v>12.819525302283923</v>
      </c>
      <c r="DO57" s="173">
        <f t="shared" si="71"/>
        <v>3.2885372609510535</v>
      </c>
      <c r="DQ57" s="545">
        <f t="shared" si="72"/>
        <v>5200</v>
      </c>
      <c r="DR57" s="460">
        <f t="shared" si="73"/>
        <v>79.104185755434187</v>
      </c>
      <c r="DT57">
        <f t="shared" si="74"/>
        <v>5200</v>
      </c>
      <c r="DU57" s="460">
        <f t="shared" si="75"/>
        <v>79.104185755434187</v>
      </c>
      <c r="DV57" s="460"/>
      <c r="DW57" s="5">
        <f t="shared" si="118"/>
        <v>12.641556075069055</v>
      </c>
      <c r="DX57" s="5">
        <f t="shared" si="76"/>
        <v>2.6523155797828806</v>
      </c>
      <c r="DY57" s="5">
        <f t="shared" si="119"/>
        <v>9.9892404952861735</v>
      </c>
      <c r="DZ57" s="5">
        <f t="shared" si="77"/>
        <v>9.9892404952861753</v>
      </c>
      <c r="EA57" s="173">
        <f t="shared" si="120"/>
        <v>0.2098092643051771</v>
      </c>
      <c r="EB57" s="173">
        <f t="shared" si="78"/>
        <v>78</v>
      </c>
      <c r="EC57" s="173">
        <f t="shared" si="79"/>
        <v>5.0649350649350646</v>
      </c>
      <c r="ED57" s="173">
        <f t="shared" si="121"/>
        <v>15.4</v>
      </c>
      <c r="EE57" s="460">
        <f t="shared" si="80"/>
        <v>91.946940099139866</v>
      </c>
      <c r="EF57" s="5">
        <f t="shared" si="81"/>
        <v>4.6323469597640994</v>
      </c>
      <c r="EG57" s="5"/>
      <c r="EH57" s="173">
        <f t="shared" si="122"/>
        <v>3.3901869435758969</v>
      </c>
      <c r="EI57" s="173">
        <f t="shared" si="82"/>
        <v>6.5792635463938325</v>
      </c>
      <c r="EJ57" s="173"/>
      <c r="EK57" s="528">
        <f t="shared" si="83"/>
        <v>0.22986735024784963</v>
      </c>
      <c r="EL57" s="528">
        <f t="shared" si="84"/>
        <v>1.4886666666666668</v>
      </c>
      <c r="EM57" s="528">
        <f t="shared" si="85"/>
        <v>9.8880232194292726E-3</v>
      </c>
      <c r="EN57" s="528">
        <f t="shared" si="86"/>
        <v>4.2617854700854711E-2</v>
      </c>
      <c r="EO57">
        <f t="shared" si="87"/>
        <v>2.6099999999999998E-2</v>
      </c>
      <c r="EP57" s="460">
        <f t="shared" si="123"/>
        <v>35.988023219429273</v>
      </c>
      <c r="EQ57" s="528">
        <f t="shared" si="88"/>
        <v>1.9666135963092946</v>
      </c>
      <c r="ER57" s="460">
        <f t="shared" si="124"/>
        <v>1966.6135963092945</v>
      </c>
      <c r="ES57" s="528">
        <f t="shared" si="125"/>
        <v>3.2304999999999997</v>
      </c>
      <c r="ET57" s="528"/>
      <c r="EV57" s="460">
        <f t="shared" si="126"/>
        <v>3230.4999999999995</v>
      </c>
      <c r="EW57" s="528">
        <f t="shared" si="89"/>
        <v>0.34480102537177443</v>
      </c>
      <c r="EX57" s="528">
        <f t="shared" si="90"/>
        <v>1.2986012643872025</v>
      </c>
      <c r="EY57" s="528">
        <f t="shared" si="91"/>
        <v>1.6373763960187158</v>
      </c>
      <c r="EZ57" s="528">
        <f t="shared" si="92"/>
        <v>4.2315227723841113</v>
      </c>
      <c r="FA57" s="528">
        <f t="shared" si="93"/>
        <v>1.3000000000000001E-2</v>
      </c>
      <c r="FB57" s="460">
        <f t="shared" si="127"/>
        <v>4244.5227723841108</v>
      </c>
      <c r="FC57" s="173">
        <f t="shared" si="128"/>
        <v>9.4416363686934055</v>
      </c>
      <c r="FD57" s="5">
        <f t="shared" si="129"/>
        <v>78</v>
      </c>
      <c r="FE57" s="173">
        <f t="shared" si="130"/>
        <v>0.89202356267804495</v>
      </c>
      <c r="FF57" s="5">
        <f t="shared" si="131"/>
        <v>89.20235626780449</v>
      </c>
      <c r="FI57" s="562">
        <f t="shared" si="94"/>
        <v>-50</v>
      </c>
      <c r="FJ57">
        <f t="shared" si="95"/>
        <v>-50</v>
      </c>
      <c r="FL57">
        <f t="shared" si="181"/>
        <v>0.7901907356948229</v>
      </c>
    </row>
    <row r="58" spans="5:168">
      <c r="E58" s="170">
        <v>53</v>
      </c>
      <c r="F58" s="217">
        <f t="shared" si="182"/>
        <v>5.3000000000000007</v>
      </c>
      <c r="G58" s="217"/>
      <c r="H58" s="217">
        <f t="shared" si="132"/>
        <v>79.500000000000014</v>
      </c>
      <c r="I58" s="541">
        <f t="shared" si="133"/>
        <v>57.662982858621589</v>
      </c>
      <c r="J58" s="172">
        <f t="shared" si="134"/>
        <v>15.602210284827047</v>
      </c>
      <c r="K58" s="172">
        <f t="shared" si="135"/>
        <v>73.602210284827052</v>
      </c>
      <c r="L58" s="443"/>
      <c r="M58" s="217">
        <f t="shared" si="136"/>
        <v>0.21294461988371752</v>
      </c>
      <c r="N58" s="172">
        <f t="shared" si="137"/>
        <v>307.86577824731114</v>
      </c>
      <c r="O58" s="172">
        <f t="shared" si="98"/>
        <v>79.500000000000014</v>
      </c>
      <c r="P58" s="217">
        <f t="shared" si="138"/>
        <v>20.52438521648741</v>
      </c>
      <c r="Q58" s="217">
        <f t="shared" si="139"/>
        <v>15</v>
      </c>
      <c r="R58" s="217">
        <f t="shared" si="140"/>
        <v>20.46503661031749</v>
      </c>
      <c r="S58" s="172">
        <f t="shared" si="141"/>
        <v>214.43957937870275</v>
      </c>
      <c r="T58" s="172">
        <f t="shared" si="142"/>
        <v>15</v>
      </c>
      <c r="U58" s="217">
        <f t="shared" si="143"/>
        <v>13.467921403998176</v>
      </c>
      <c r="V58" s="217">
        <f t="shared" si="11"/>
        <v>2.8027522829373357</v>
      </c>
      <c r="W58" s="217">
        <f t="shared" si="144"/>
        <v>10.358471902224439</v>
      </c>
      <c r="X58" s="197">
        <f t="shared" si="145"/>
        <v>102.33030920620727</v>
      </c>
      <c r="Y58" s="443">
        <f t="shared" si="14"/>
        <v>74.843441449814449</v>
      </c>
      <c r="AA58" s="217">
        <f t="shared" si="146"/>
        <v>10</v>
      </c>
      <c r="AB58" s="173">
        <f t="shared" si="147"/>
        <v>7.6912179626689481</v>
      </c>
      <c r="AC58" s="173">
        <f t="shared" si="148"/>
        <v>3.9352235614612452</v>
      </c>
      <c r="AD58" s="173"/>
      <c r="AE58" s="173">
        <f t="shared" si="149"/>
        <v>7.6912179626689481</v>
      </c>
      <c r="AF58" s="545">
        <f t="shared" si="150"/>
        <v>137.81952418263893</v>
      </c>
      <c r="AG58" s="528">
        <f t="shared" si="151"/>
        <v>3.9352235614612452</v>
      </c>
      <c r="AI58" s="173">
        <f t="shared" si="152"/>
        <v>6.2751101113307497</v>
      </c>
      <c r="AJ58" s="173">
        <f t="shared" si="153"/>
        <v>13.467921403998176</v>
      </c>
      <c r="AK58" s="173">
        <f t="shared" si="154"/>
        <v>3.7688306696282785</v>
      </c>
      <c r="AM58" s="545">
        <f t="shared" si="155"/>
        <v>5300.0000000000009</v>
      </c>
      <c r="AN58" s="460">
        <f t="shared" si="156"/>
        <v>74.843441449814449</v>
      </c>
      <c r="AP58">
        <f t="shared" si="157"/>
        <v>5300.0000000000009</v>
      </c>
      <c r="AQ58" s="460">
        <f t="shared" si="158"/>
        <v>74.843441449814449</v>
      </c>
      <c r="AR58" s="460"/>
      <c r="AS58" s="5">
        <f t="shared" si="101"/>
        <v>13.361224185161774</v>
      </c>
      <c r="AT58" s="5">
        <f t="shared" si="159"/>
        <v>2.8027522829373357</v>
      </c>
      <c r="AU58" s="5">
        <f t="shared" si="102"/>
        <v>10.558471902224438</v>
      </c>
      <c r="AV58" s="5">
        <f t="shared" si="160"/>
        <v>10.358471902224439</v>
      </c>
      <c r="AW58" s="173">
        <f t="shared" si="103"/>
        <v>0.20976762638635427</v>
      </c>
      <c r="AX58" s="173">
        <f t="shared" si="161"/>
        <v>81.452823976582053</v>
      </c>
      <c r="AY58" s="173">
        <f t="shared" si="162"/>
        <v>5.3213937493617509</v>
      </c>
      <c r="AZ58" s="173">
        <f t="shared" si="104"/>
        <v>15.306671111558231</v>
      </c>
      <c r="BA58" s="460">
        <f t="shared" si="163"/>
        <v>99.030580663785884</v>
      </c>
      <c r="BB58" s="5">
        <f t="shared" si="164"/>
        <v>5.0196460513640497</v>
      </c>
      <c r="BC58" s="5"/>
      <c r="BD58" s="173">
        <f t="shared" si="105"/>
        <v>3.5613050694003414</v>
      </c>
      <c r="BE58" s="173">
        <f t="shared" si="165"/>
        <v>6.9122168550150516</v>
      </c>
      <c r="BF58" s="173"/>
      <c r="BG58" s="528">
        <f t="shared" si="166"/>
        <v>0.25365787594673139</v>
      </c>
      <c r="BH58" s="528">
        <f t="shared" si="167"/>
        <v>1.3910618839160771</v>
      </c>
      <c r="BI58" s="528">
        <f t="shared" si="168"/>
        <v>0.10789240203502248</v>
      </c>
      <c r="BJ58" s="528">
        <f t="shared" si="169"/>
        <v>4.0544827956917565E-2</v>
      </c>
      <c r="BK58">
        <f t="shared" si="170"/>
        <v>2.5948342286379714E-2</v>
      </c>
      <c r="BL58" s="460">
        <f t="shared" si="106"/>
        <v>133.84074432140218</v>
      </c>
      <c r="BM58" s="528">
        <f t="shared" si="171"/>
        <v>1.8662281249454196</v>
      </c>
      <c r="BN58" s="460">
        <f t="shared" si="107"/>
        <v>1866.2281249454195</v>
      </c>
      <c r="BO58" s="528">
        <f t="shared" si="172"/>
        <v>3.2926250000000001</v>
      </c>
      <c r="BP58" s="528"/>
      <c r="BR58" s="460">
        <f t="shared" si="109"/>
        <v>3292.625</v>
      </c>
      <c r="BS58" s="528">
        <f t="shared" si="173"/>
        <v>0.38048681392009709</v>
      </c>
      <c r="BT58" s="528">
        <f t="shared" si="174"/>
        <v>1.4333622555226251</v>
      </c>
      <c r="BU58" s="528">
        <f t="shared" si="175"/>
        <v>1.1925000000000001</v>
      </c>
      <c r="BV58" s="528">
        <f t="shared" si="176"/>
        <v>4.0258565367388712</v>
      </c>
      <c r="BW58" s="528">
        <f t="shared" si="177"/>
        <v>1.357547066276368E-2</v>
      </c>
      <c r="BX58" s="460">
        <f t="shared" si="110"/>
        <v>4039.4320074016346</v>
      </c>
      <c r="BY58" s="173">
        <f t="shared" si="45"/>
        <v>9.3321258766684565</v>
      </c>
      <c r="BZ58" s="5">
        <f t="shared" si="111"/>
        <v>79.500000000000014</v>
      </c>
      <c r="CA58" s="173">
        <f t="shared" si="112"/>
        <v>0.89494649841404372</v>
      </c>
      <c r="CB58" s="5">
        <f t="shared" si="113"/>
        <v>89.494649841404367</v>
      </c>
      <c r="CE58" s="562">
        <f t="shared" si="178"/>
        <v>-50</v>
      </c>
      <c r="CF58">
        <f t="shared" si="179"/>
        <v>-50</v>
      </c>
      <c r="CG58" s="173">
        <f t="shared" si="180"/>
        <v>0.78631015299738649</v>
      </c>
      <c r="CI58" s="170">
        <v>53</v>
      </c>
      <c r="CJ58" s="217">
        <f t="shared" si="114"/>
        <v>5.3000000000000007</v>
      </c>
      <c r="CK58" s="217"/>
      <c r="CL58" s="217">
        <f t="shared" si="49"/>
        <v>79.500000000000014</v>
      </c>
      <c r="CM58" s="541">
        <f t="shared" si="50"/>
        <v>58</v>
      </c>
      <c r="CN58" s="172">
        <f t="shared" si="51"/>
        <v>15.4</v>
      </c>
      <c r="CO58" s="443">
        <f t="shared" si="52"/>
        <v>73.400000000000006</v>
      </c>
      <c r="CP58" s="443"/>
      <c r="CQ58" s="217">
        <f t="shared" si="53"/>
        <v>0.2098092643051771</v>
      </c>
      <c r="CR58" s="172">
        <f t="shared" si="54"/>
        <v>305.10568119891008</v>
      </c>
      <c r="CS58" s="172">
        <f t="shared" si="115"/>
        <v>79.500000000000014</v>
      </c>
      <c r="CT58" s="217">
        <f t="shared" si="55"/>
        <v>20.340378746594006</v>
      </c>
      <c r="CU58" s="217">
        <f t="shared" si="56"/>
        <v>15</v>
      </c>
      <c r="CV58" s="217">
        <f t="shared" si="57"/>
        <v>20.281562216167121</v>
      </c>
      <c r="CW58" s="172">
        <f t="shared" si="58"/>
        <v>215.69226720690494</v>
      </c>
      <c r="CX58" s="172">
        <f t="shared" si="59"/>
        <v>15</v>
      </c>
      <c r="CY58" s="217">
        <f t="shared" si="60"/>
        <v>13.066054635020155</v>
      </c>
      <c r="CZ58" s="217">
        <f t="shared" si="61"/>
        <v>2.7033216486248595</v>
      </c>
      <c r="DA58" s="217">
        <f t="shared" si="62"/>
        <v>10.181341274041678</v>
      </c>
      <c r="DB58" s="197">
        <f t="shared" si="63"/>
        <v>101.4078110808356</v>
      </c>
      <c r="DC58" s="443">
        <f t="shared" si="116"/>
        <v>77.611653948727877</v>
      </c>
      <c r="DE58" s="217">
        <f t="shared" si="64"/>
        <v>10</v>
      </c>
      <c r="DF58" s="173">
        <f t="shared" si="65"/>
        <v>7.7922077922077913</v>
      </c>
      <c r="DG58" s="173">
        <f t="shared" si="66"/>
        <v>3.9509536784741139</v>
      </c>
      <c r="DH58" s="173"/>
      <c r="DI58" s="173">
        <f t="shared" si="67"/>
        <v>7.7922077922077913</v>
      </c>
      <c r="DJ58" s="545">
        <f t="shared" si="117"/>
        <v>136.03333333333333</v>
      </c>
      <c r="DK58" s="528">
        <f t="shared" si="68"/>
        <v>3.9509536784741139</v>
      </c>
      <c r="DM58" s="173">
        <f t="shared" si="69"/>
        <v>6.2343136484032202</v>
      </c>
      <c r="DN58" s="173">
        <f t="shared" si="70"/>
        <v>13.066054635020155</v>
      </c>
      <c r="DO58" s="173">
        <f t="shared" si="71"/>
        <v>3.4711515814964109</v>
      </c>
      <c r="DQ58" s="545">
        <f t="shared" si="72"/>
        <v>5300.0000000000009</v>
      </c>
      <c r="DR58" s="460">
        <f t="shared" si="73"/>
        <v>77.611653948727877</v>
      </c>
      <c r="DT58">
        <f t="shared" si="74"/>
        <v>5300.0000000000009</v>
      </c>
      <c r="DU58" s="460">
        <f t="shared" si="75"/>
        <v>77.611653948727877</v>
      </c>
      <c r="DV58" s="460"/>
      <c r="DW58" s="5">
        <f t="shared" si="118"/>
        <v>12.884662922666537</v>
      </c>
      <c r="DX58" s="5">
        <f t="shared" si="76"/>
        <v>2.7033216486248595</v>
      </c>
      <c r="DY58" s="5">
        <f t="shared" si="119"/>
        <v>10.181341274041678</v>
      </c>
      <c r="DZ58" s="5">
        <f t="shared" si="77"/>
        <v>10.181341274041678</v>
      </c>
      <c r="EA58" s="173">
        <f t="shared" si="120"/>
        <v>0.20980926430517713</v>
      </c>
      <c r="EB58" s="173">
        <f t="shared" si="78"/>
        <v>79.500000000000028</v>
      </c>
      <c r="EC58" s="173">
        <f t="shared" si="79"/>
        <v>5.1623376623376638</v>
      </c>
      <c r="ED58" s="173">
        <f t="shared" si="121"/>
        <v>15.4</v>
      </c>
      <c r="EE58" s="460">
        <f t="shared" si="80"/>
        <v>95.517364918078385</v>
      </c>
      <c r="EF58" s="5">
        <f t="shared" si="81"/>
        <v>4.8122272965892599</v>
      </c>
      <c r="EG58" s="5"/>
      <c r="EH58" s="173">
        <f t="shared" si="122"/>
        <v>3.4553828463369727</v>
      </c>
      <c r="EI58" s="173">
        <f t="shared" si="82"/>
        <v>6.7057878453629458</v>
      </c>
      <c r="EJ58" s="173"/>
      <c r="EK58" s="528">
        <f t="shared" si="83"/>
        <v>0.23879341229519596</v>
      </c>
      <c r="EL58" s="528">
        <f t="shared" si="84"/>
        <v>1.4886666666666672</v>
      </c>
      <c r="EM58" s="528">
        <f t="shared" si="85"/>
        <v>9.7014567435909846E-3</v>
      </c>
      <c r="EN58" s="528">
        <f t="shared" si="86"/>
        <v>4.1813744234800845E-2</v>
      </c>
      <c r="EO58">
        <f t="shared" si="87"/>
        <v>2.6099999999999998E-2</v>
      </c>
      <c r="EP58" s="460">
        <f t="shared" si="123"/>
        <v>35.801456743590983</v>
      </c>
      <c r="EQ58" s="528">
        <f t="shared" si="88"/>
        <v>1.982003031093009</v>
      </c>
      <c r="ER58" s="460">
        <f t="shared" si="124"/>
        <v>1982.003031093009</v>
      </c>
      <c r="ES58" s="528">
        <f t="shared" si="125"/>
        <v>3.2926250000000001</v>
      </c>
      <c r="ET58" s="528"/>
      <c r="EV58" s="460">
        <f t="shared" si="126"/>
        <v>3292.625</v>
      </c>
      <c r="EW58" s="528">
        <f t="shared" si="89"/>
        <v>0.35819011844279391</v>
      </c>
      <c r="EX58" s="528">
        <f t="shared" si="90"/>
        <v>1.3490277188105226</v>
      </c>
      <c r="EY58" s="528">
        <f t="shared" si="91"/>
        <v>1.6373763960187184</v>
      </c>
      <c r="EZ58" s="528">
        <f t="shared" si="92"/>
        <v>4.348191293033314</v>
      </c>
      <c r="FA58" s="528">
        <f t="shared" si="93"/>
        <v>1.3250000000000007E-2</v>
      </c>
      <c r="FB58" s="460">
        <f t="shared" si="127"/>
        <v>4361.4412930333137</v>
      </c>
      <c r="FC58" s="173">
        <f t="shared" si="128"/>
        <v>9.6360693241263213</v>
      </c>
      <c r="FD58" s="5">
        <f t="shared" si="129"/>
        <v>79.500000000000014</v>
      </c>
      <c r="FE58" s="173">
        <f t="shared" si="130"/>
        <v>0.89189483676819314</v>
      </c>
      <c r="FF58" s="5">
        <f t="shared" si="131"/>
        <v>89.189483676819322</v>
      </c>
      <c r="FI58" s="562">
        <f t="shared" si="94"/>
        <v>-50</v>
      </c>
      <c r="FJ58">
        <f t="shared" si="95"/>
        <v>-50</v>
      </c>
      <c r="FL58">
        <f t="shared" si="181"/>
        <v>0.7901907356948229</v>
      </c>
    </row>
    <row r="59" spans="5:168">
      <c r="E59" s="170">
        <v>54</v>
      </c>
      <c r="F59" s="217">
        <f t="shared" si="182"/>
        <v>5.4</v>
      </c>
      <c r="G59" s="217"/>
      <c r="H59" s="217">
        <f t="shared" si="132"/>
        <v>81</v>
      </c>
      <c r="I59" s="541">
        <f t="shared" si="133"/>
        <v>57.65665542366164</v>
      </c>
      <c r="J59" s="172">
        <f t="shared" si="134"/>
        <v>15.606006745803018</v>
      </c>
      <c r="K59" s="172">
        <f t="shared" si="135"/>
        <v>73.606006745803015</v>
      </c>
      <c r="L59" s="443"/>
      <c r="M59" s="217">
        <f t="shared" si="136"/>
        <v>0.21300379802883909</v>
      </c>
      <c r="N59" s="172">
        <f t="shared" si="137"/>
        <v>307.91754344954865</v>
      </c>
      <c r="O59" s="172">
        <f t="shared" si="98"/>
        <v>81</v>
      </c>
      <c r="P59" s="217">
        <f t="shared" si="138"/>
        <v>20.52783622996991</v>
      </c>
      <c r="Q59" s="217">
        <f t="shared" si="139"/>
        <v>15</v>
      </c>
      <c r="R59" s="217">
        <f t="shared" si="140"/>
        <v>20.468477644799993</v>
      </c>
      <c r="S59" s="172">
        <f t="shared" si="141"/>
        <v>209.38224106991817</v>
      </c>
      <c r="T59" s="172">
        <f t="shared" si="142"/>
        <v>15</v>
      </c>
      <c r="U59" s="217">
        <f t="shared" si="143"/>
        <v>13.723064956285217</v>
      </c>
      <c r="V59" s="217">
        <f t="shared" si="11"/>
        <v>2.8561625412604341</v>
      </c>
      <c r="W59" s="217">
        <f t="shared" si="144"/>
        <v>10.552140733869013</v>
      </c>
      <c r="X59" s="197">
        <f t="shared" si="145"/>
        <v>102.34751313941125</v>
      </c>
      <c r="Y59" s="443">
        <f t="shared" si="14"/>
        <v>73.484546881579377</v>
      </c>
      <c r="AA59" s="217">
        <f t="shared" si="146"/>
        <v>9.9999999999999982</v>
      </c>
      <c r="AB59" s="173">
        <f t="shared" si="147"/>
        <v>7.6893469261297112</v>
      </c>
      <c r="AC59" s="173">
        <f t="shared" si="148"/>
        <v>3.9349276777777602</v>
      </c>
      <c r="AD59" s="173"/>
      <c r="AE59" s="173">
        <f t="shared" si="149"/>
        <v>7.6893469261297129</v>
      </c>
      <c r="AF59" s="545">
        <f t="shared" si="150"/>
        <v>140.4540607122272</v>
      </c>
      <c r="AG59" s="528">
        <f t="shared" si="151"/>
        <v>3.9349276777777615</v>
      </c>
      <c r="AI59" s="173">
        <f t="shared" si="152"/>
        <v>6.334803203893939</v>
      </c>
      <c r="AJ59" s="173">
        <f t="shared" si="153"/>
        <v>13.723064956285217</v>
      </c>
      <c r="AK59" s="173">
        <f t="shared" si="154"/>
        <v>3.9578258935446051</v>
      </c>
      <c r="AM59" s="545">
        <f t="shared" si="155"/>
        <v>5400</v>
      </c>
      <c r="AN59" s="460">
        <f t="shared" si="156"/>
        <v>73.484546881579377</v>
      </c>
      <c r="AP59">
        <f t="shared" si="157"/>
        <v>5400</v>
      </c>
      <c r="AQ59" s="460">
        <f t="shared" si="158"/>
        <v>73.484546881579377</v>
      </c>
      <c r="AR59" s="460"/>
      <c r="AS59" s="5">
        <f t="shared" si="101"/>
        <v>13.608303275129447</v>
      </c>
      <c r="AT59" s="5">
        <f t="shared" si="159"/>
        <v>2.8561625412604341</v>
      </c>
      <c r="AU59" s="5">
        <f t="shared" si="102"/>
        <v>10.752140733869012</v>
      </c>
      <c r="AV59" s="5">
        <f t="shared" si="160"/>
        <v>10.552140733869013</v>
      </c>
      <c r="AW59" s="173">
        <f t="shared" si="103"/>
        <v>0.20988381016466326</v>
      </c>
      <c r="AX59" s="173">
        <f t="shared" si="161"/>
        <v>83.032766680884535</v>
      </c>
      <c r="AY59" s="173">
        <f t="shared" si="162"/>
        <v>5.421407898061454</v>
      </c>
      <c r="AZ59" s="173">
        <f t="shared" si="104"/>
        <v>15.315720241337083</v>
      </c>
      <c r="BA59" s="460">
        <f t="shared" si="163"/>
        <v>102.82185148537563</v>
      </c>
      <c r="BB59" s="5">
        <f t="shared" si="164"/>
        <v>5.2087380267625036</v>
      </c>
      <c r="BC59" s="5"/>
      <c r="BD59" s="173">
        <f t="shared" si="105"/>
        <v>3.6297771426169456</v>
      </c>
      <c r="BE59" s="173">
        <f t="shared" si="165"/>
        <v>7.0426478325326398</v>
      </c>
      <c r="BF59" s="173"/>
      <c r="BG59" s="528">
        <f t="shared" si="166"/>
        <v>0.2635056421012888</v>
      </c>
      <c r="BH59" s="528">
        <f t="shared" si="167"/>
        <v>1.3917514062785696</v>
      </c>
      <c r="BI59" s="528">
        <f t="shared" si="168"/>
        <v>0.10592182996287829</v>
      </c>
      <c r="BJ59" s="528">
        <f t="shared" si="169"/>
        <v>3.981278282476889E-2</v>
      </c>
      <c r="BK59">
        <f t="shared" si="170"/>
        <v>2.5945494940647736E-2</v>
      </c>
      <c r="BL59" s="460">
        <f t="shared" si="106"/>
        <v>131.86732490352603</v>
      </c>
      <c r="BM59" s="528">
        <f t="shared" si="171"/>
        <v>1.8841830597715237</v>
      </c>
      <c r="BN59" s="460">
        <f t="shared" si="107"/>
        <v>1884.1830597715236</v>
      </c>
      <c r="BO59" s="528">
        <f t="shared" si="172"/>
        <v>3.3547499999999997</v>
      </c>
      <c r="BP59" s="528"/>
      <c r="BR59" s="460">
        <f t="shared" si="109"/>
        <v>3354.7499999999995</v>
      </c>
      <c r="BS59" s="528">
        <f t="shared" si="173"/>
        <v>0.39525846315193314</v>
      </c>
      <c r="BT59" s="528">
        <f t="shared" si="174"/>
        <v>1.4879666547923007</v>
      </c>
      <c r="BU59" s="528">
        <f t="shared" si="175"/>
        <v>1.2149999999999999</v>
      </c>
      <c r="BV59" s="528">
        <f t="shared" si="176"/>
        <v>4.1799406901941056</v>
      </c>
      <c r="BW59" s="528">
        <f t="shared" si="177"/>
        <v>1.3838794446814092E-2</v>
      </c>
      <c r="BX59" s="460">
        <f t="shared" si="110"/>
        <v>4193.7794846409197</v>
      </c>
      <c r="BY59" s="173">
        <f t="shared" si="45"/>
        <v>9.5645798693159687</v>
      </c>
      <c r="BZ59" s="5">
        <f t="shared" si="111"/>
        <v>81</v>
      </c>
      <c r="CA59" s="173">
        <f t="shared" si="112"/>
        <v>0.89438939723324962</v>
      </c>
      <c r="CB59" s="5">
        <f t="shared" si="113"/>
        <v>89.438939723324964</v>
      </c>
      <c r="CE59" s="562">
        <f t="shared" si="178"/>
        <v>-50</v>
      </c>
      <c r="CF59">
        <f t="shared" si="179"/>
        <v>-50</v>
      </c>
      <c r="CG59" s="173">
        <f t="shared" si="180"/>
        <v>0.7863820156399316</v>
      </c>
      <c r="CI59" s="170">
        <v>54</v>
      </c>
      <c r="CJ59" s="217">
        <f t="shared" si="114"/>
        <v>5.4</v>
      </c>
      <c r="CK59" s="217"/>
      <c r="CL59" s="217">
        <f t="shared" si="49"/>
        <v>81</v>
      </c>
      <c r="CM59" s="541">
        <f t="shared" si="50"/>
        <v>58</v>
      </c>
      <c r="CN59" s="172">
        <f t="shared" si="51"/>
        <v>15.4</v>
      </c>
      <c r="CO59" s="443">
        <f t="shared" si="52"/>
        <v>73.400000000000006</v>
      </c>
      <c r="CP59" s="443"/>
      <c r="CQ59" s="217">
        <f t="shared" si="53"/>
        <v>0.2098092643051771</v>
      </c>
      <c r="CR59" s="172">
        <f t="shared" si="54"/>
        <v>305.10568119891008</v>
      </c>
      <c r="CS59" s="172">
        <f t="shared" si="115"/>
        <v>81</v>
      </c>
      <c r="CT59" s="217">
        <f t="shared" si="55"/>
        <v>20.340378746594006</v>
      </c>
      <c r="CU59" s="217">
        <f t="shared" si="56"/>
        <v>15</v>
      </c>
      <c r="CV59" s="217">
        <f t="shared" si="57"/>
        <v>20.281562216167121</v>
      </c>
      <c r="CW59" s="172">
        <f t="shared" si="58"/>
        <v>210.6284562985077</v>
      </c>
      <c r="CX59" s="172">
        <f t="shared" si="59"/>
        <v>15</v>
      </c>
      <c r="CY59" s="217">
        <f t="shared" si="60"/>
        <v>13.312583967756382</v>
      </c>
      <c r="CZ59" s="217">
        <f t="shared" si="61"/>
        <v>2.7543277174668375</v>
      </c>
      <c r="DA59" s="217">
        <f t="shared" si="62"/>
        <v>10.373442052797181</v>
      </c>
      <c r="DB59" s="197">
        <f t="shared" si="63"/>
        <v>101.4078110808356</v>
      </c>
      <c r="DC59" s="443">
        <f t="shared" si="116"/>
        <v>76.174401097825509</v>
      </c>
      <c r="DE59" s="217">
        <f t="shared" si="64"/>
        <v>10</v>
      </c>
      <c r="DF59" s="173">
        <f t="shared" si="65"/>
        <v>7.7922077922077913</v>
      </c>
      <c r="DG59" s="173">
        <f t="shared" si="66"/>
        <v>3.9509536784741139</v>
      </c>
      <c r="DH59" s="173"/>
      <c r="DI59" s="173">
        <f t="shared" si="67"/>
        <v>7.7922077922077913</v>
      </c>
      <c r="DJ59" s="545">
        <f t="shared" si="117"/>
        <v>138.6</v>
      </c>
      <c r="DK59" s="528">
        <f t="shared" si="68"/>
        <v>3.9509536784741139</v>
      </c>
      <c r="DM59" s="173">
        <f t="shared" si="69"/>
        <v>6.2928530890209098</v>
      </c>
      <c r="DN59" s="173">
        <f t="shared" si="70"/>
        <v>13.312583967756382</v>
      </c>
      <c r="DO59" s="173">
        <f t="shared" si="71"/>
        <v>3.6537659020417648</v>
      </c>
      <c r="DQ59" s="545">
        <f t="shared" si="72"/>
        <v>5400</v>
      </c>
      <c r="DR59" s="460">
        <f t="shared" si="73"/>
        <v>76.174401097825509</v>
      </c>
      <c r="DT59">
        <f t="shared" si="74"/>
        <v>5400</v>
      </c>
      <c r="DU59" s="460">
        <f t="shared" si="75"/>
        <v>76.174401097825509</v>
      </c>
      <c r="DV59" s="460"/>
      <c r="DW59" s="5">
        <f t="shared" si="118"/>
        <v>13.127769770264019</v>
      </c>
      <c r="DX59" s="5">
        <f t="shared" si="76"/>
        <v>2.7543277174668375</v>
      </c>
      <c r="DY59" s="5">
        <f t="shared" si="119"/>
        <v>10.373442052797181</v>
      </c>
      <c r="DZ59" s="5">
        <f t="shared" si="77"/>
        <v>10.373442052797181</v>
      </c>
      <c r="EA59" s="173">
        <f t="shared" si="120"/>
        <v>0.2098092643051771</v>
      </c>
      <c r="EB59" s="173">
        <f t="shared" si="78"/>
        <v>81</v>
      </c>
      <c r="EC59" s="173">
        <f t="shared" si="79"/>
        <v>5.2597402597402603</v>
      </c>
      <c r="ED59" s="173">
        <f t="shared" si="121"/>
        <v>15.399999999999999</v>
      </c>
      <c r="EE59" s="460">
        <f t="shared" si="80"/>
        <v>99.155797828806158</v>
      </c>
      <c r="EF59" s="5">
        <f t="shared" si="81"/>
        <v>4.9955339255444207</v>
      </c>
      <c r="EG59" s="5"/>
      <c r="EH59" s="173">
        <f t="shared" si="122"/>
        <v>3.5205787490980471</v>
      </c>
      <c r="EI59" s="173">
        <f t="shared" si="82"/>
        <v>6.8323121443320565</v>
      </c>
      <c r="EJ59" s="173"/>
      <c r="EK59" s="528">
        <f t="shared" si="83"/>
        <v>0.2478894945720154</v>
      </c>
      <c r="EL59" s="528">
        <f t="shared" si="84"/>
        <v>1.4886666666666668</v>
      </c>
      <c r="EM59" s="528">
        <f t="shared" si="85"/>
        <v>9.5218001372281875E-3</v>
      </c>
      <c r="EN59" s="528">
        <f t="shared" si="86"/>
        <v>4.1039415637860087E-2</v>
      </c>
      <c r="EO59">
        <f t="shared" si="87"/>
        <v>2.6099999999999998E-2</v>
      </c>
      <c r="EP59" s="460">
        <f t="shared" si="123"/>
        <v>35.621800137228185</v>
      </c>
      <c r="EQ59" s="528">
        <f t="shared" si="88"/>
        <v>1.9978159935702322</v>
      </c>
      <c r="ER59" s="460">
        <f t="shared" si="124"/>
        <v>1997.8159935702322</v>
      </c>
      <c r="ES59" s="528">
        <f t="shared" si="125"/>
        <v>3.3547499999999997</v>
      </c>
      <c r="ET59" s="528"/>
      <c r="EV59" s="460">
        <f t="shared" si="126"/>
        <v>3354.7499999999995</v>
      </c>
      <c r="EW59" s="528">
        <f t="shared" si="89"/>
        <v>0.37183424185802305</v>
      </c>
      <c r="EX59" s="528">
        <f t="shared" si="90"/>
        <v>1.4004146771276189</v>
      </c>
      <c r="EY59" s="528">
        <f t="shared" si="91"/>
        <v>1.6373763960187153</v>
      </c>
      <c r="EZ59" s="528">
        <f t="shared" si="92"/>
        <v>4.4685100197140963</v>
      </c>
      <c r="FA59" s="528">
        <f t="shared" si="93"/>
        <v>1.35E-2</v>
      </c>
      <c r="FB59" s="460">
        <f t="shared" si="127"/>
        <v>4482.0100197140964</v>
      </c>
      <c r="FC59" s="173">
        <f t="shared" si="128"/>
        <v>9.8345760132843285</v>
      </c>
      <c r="FD59" s="5">
        <f t="shared" si="129"/>
        <v>81</v>
      </c>
      <c r="FE59" s="173">
        <f t="shared" si="130"/>
        <v>0.89173091960217821</v>
      </c>
      <c r="FF59" s="5">
        <f t="shared" si="131"/>
        <v>89.173091960217818</v>
      </c>
      <c r="FI59" s="562">
        <f t="shared" si="94"/>
        <v>-50</v>
      </c>
      <c r="FJ59">
        <f t="shared" si="95"/>
        <v>-50</v>
      </c>
      <c r="FL59">
        <f t="shared" si="181"/>
        <v>0.7901907356948229</v>
      </c>
    </row>
    <row r="60" spans="5:168">
      <c r="E60" s="170">
        <v>55</v>
      </c>
      <c r="F60" s="217">
        <f t="shared" si="182"/>
        <v>5.5</v>
      </c>
      <c r="G60" s="217"/>
      <c r="H60" s="217">
        <f t="shared" si="132"/>
        <v>82.5</v>
      </c>
      <c r="I60" s="541">
        <f t="shared" si="133"/>
        <v>57.650327983175643</v>
      </c>
      <c r="J60" s="172">
        <f t="shared" si="134"/>
        <v>15.609803210094613</v>
      </c>
      <c r="K60" s="172">
        <f t="shared" si="135"/>
        <v>73.609803210094611</v>
      </c>
      <c r="L60" s="443"/>
      <c r="M60" s="217">
        <f t="shared" si="136"/>
        <v>0.21306298027888673</v>
      </c>
      <c r="N60" s="172">
        <f t="shared" si="137"/>
        <v>307.96929577909356</v>
      </c>
      <c r="O60" s="172">
        <f t="shared" si="98"/>
        <v>82.5</v>
      </c>
      <c r="P60" s="217">
        <f t="shared" si="138"/>
        <v>20.531286385272903</v>
      </c>
      <c r="Q60" s="217">
        <f t="shared" si="139"/>
        <v>15</v>
      </c>
      <c r="R60" s="217">
        <f t="shared" si="140"/>
        <v>20.471917823584505</v>
      </c>
      <c r="S60" s="172">
        <f t="shared" si="141"/>
        <v>204.50915571029353</v>
      </c>
      <c r="T60" s="172">
        <f t="shared" si="142"/>
        <v>15</v>
      </c>
      <c r="U60" s="217">
        <f t="shared" si="143"/>
        <v>13.978246955389578</v>
      </c>
      <c r="V60" s="217">
        <f t="shared" si="11"/>
        <v>2.9095925267524403</v>
      </c>
      <c r="W60" s="217">
        <f t="shared" si="144"/>
        <v>10.745744914721334</v>
      </c>
      <c r="X60" s="197">
        <f t="shared" si="145"/>
        <v>102.36471281138076</v>
      </c>
      <c r="Y60" s="443">
        <f t="shared" si="14"/>
        <v>72.174351885985629</v>
      </c>
      <c r="AA60" s="217">
        <f t="shared" si="146"/>
        <v>10</v>
      </c>
      <c r="AB60" s="173">
        <f t="shared" si="147"/>
        <v>7.6874767980673768</v>
      </c>
      <c r="AC60" s="173">
        <f t="shared" si="148"/>
        <v>3.9346317733915992</v>
      </c>
      <c r="AD60" s="173"/>
      <c r="AE60" s="173">
        <f t="shared" si="149"/>
        <v>7.6874767980673768</v>
      </c>
      <c r="AF60" s="545">
        <f t="shared" si="150"/>
        <v>143.08986275920063</v>
      </c>
      <c r="AG60" s="528">
        <f t="shared" si="151"/>
        <v>3.9346317733915992</v>
      </c>
      <c r="AI60" s="173">
        <f t="shared" si="152"/>
        <v>6.3939673076424297</v>
      </c>
      <c r="AJ60" s="173">
        <f t="shared" si="153"/>
        <v>13.978246955389578</v>
      </c>
      <c r="AK60" s="173">
        <f t="shared" si="154"/>
        <v>4.1468495965848726</v>
      </c>
      <c r="AM60" s="545">
        <f t="shared" si="155"/>
        <v>5500</v>
      </c>
      <c r="AN60" s="460">
        <f t="shared" si="156"/>
        <v>72.174351885985629</v>
      </c>
      <c r="AP60">
        <f t="shared" si="157"/>
        <v>5500</v>
      </c>
      <c r="AQ60">
        <f t="shared" si="158"/>
        <v>72.174351885985629</v>
      </c>
      <c r="AS60" s="5">
        <f t="shared" si="101"/>
        <v>13.855337441473775</v>
      </c>
      <c r="AT60" s="5">
        <f t="shared" si="159"/>
        <v>2.9095925267524403</v>
      </c>
      <c r="AU60" s="5">
        <f t="shared" si="102"/>
        <v>10.945744914721335</v>
      </c>
      <c r="AV60" s="5">
        <f t="shared" si="160"/>
        <v>10.745744914721334</v>
      </c>
      <c r="AW60" s="173">
        <f t="shared" si="103"/>
        <v>0.20999795487066467</v>
      </c>
      <c r="AX60" s="173">
        <f t="shared" si="161"/>
        <v>84.613480734572917</v>
      </c>
      <c r="AY60" s="173">
        <f t="shared" si="162"/>
        <v>5.5214218410403362</v>
      </c>
      <c r="AZ60" s="173">
        <f t="shared" si="104"/>
        <v>15.324581814352044</v>
      </c>
      <c r="BA60" s="460">
        <f t="shared" si="163"/>
        <v>106.68505931425614</v>
      </c>
      <c r="BB60" s="5">
        <f t="shared" si="164"/>
        <v>5.4013148188975562</v>
      </c>
      <c r="BC60" s="5"/>
      <c r="BD60" s="173">
        <f t="shared" si="105"/>
        <v>3.6982785124960875</v>
      </c>
      <c r="BE60" s="173">
        <f t="shared" si="165"/>
        <v>7.1730885044469543</v>
      </c>
      <c r="BF60" s="173"/>
      <c r="BG60" s="528">
        <f t="shared" si="166"/>
        <v>0.27354527911980547</v>
      </c>
      <c r="BH60" s="528">
        <f t="shared" si="167"/>
        <v>1.3924273027740912</v>
      </c>
      <c r="BI60" s="528">
        <f t="shared" si="168"/>
        <v>0.10402187645500507</v>
      </c>
      <c r="BJ60" s="528">
        <f t="shared" si="169"/>
        <v>3.9106973406578441E-2</v>
      </c>
      <c r="BK60">
        <f t="shared" si="170"/>
        <v>2.5942647592429039E-2</v>
      </c>
      <c r="BL60" s="460">
        <f t="shared" si="106"/>
        <v>129.96452404743411</v>
      </c>
      <c r="BM60" s="528">
        <f t="shared" si="171"/>
        <v>1.902594702492175</v>
      </c>
      <c r="BN60" s="460">
        <f t="shared" si="107"/>
        <v>1902.594702492175</v>
      </c>
      <c r="BO60" s="528">
        <f t="shared" si="172"/>
        <v>3.4168749999999997</v>
      </c>
      <c r="BP60" s="528"/>
      <c r="BR60" s="460">
        <f t="shared" si="109"/>
        <v>3416.8749999999995</v>
      </c>
      <c r="BS60" s="528">
        <f t="shared" si="173"/>
        <v>0.41031791867970818</v>
      </c>
      <c r="BT60" s="528">
        <f t="shared" si="174"/>
        <v>1.5435959607788712</v>
      </c>
      <c r="BU60" s="528">
        <f t="shared" si="175"/>
        <v>1.2375</v>
      </c>
      <c r="BV60" s="528">
        <f t="shared" si="176"/>
        <v>4.3385209080066778</v>
      </c>
      <c r="BW60" s="528">
        <f t="shared" si="177"/>
        <v>1.4102246789095486E-2</v>
      </c>
      <c r="BX60" s="460">
        <f t="shared" si="110"/>
        <v>4352.6231547957732</v>
      </c>
      <c r="BY60" s="173">
        <f t="shared" si="45"/>
        <v>9.8020573813353824</v>
      </c>
      <c r="BZ60" s="5">
        <f t="shared" si="111"/>
        <v>82.5</v>
      </c>
      <c r="CA60" s="173">
        <f t="shared" si="112"/>
        <v>0.89380456233126737</v>
      </c>
      <c r="CB60" s="5">
        <f t="shared" si="113"/>
        <v>89.380456233126736</v>
      </c>
      <c r="CE60" s="562">
        <f t="shared" si="178"/>
        <v>-50</v>
      </c>
      <c r="CF60">
        <f t="shared" si="179"/>
        <v>-50</v>
      </c>
      <c r="CG60" s="173">
        <f t="shared" si="180"/>
        <v>0.78645126509547514</v>
      </c>
      <c r="CI60" s="170">
        <v>55</v>
      </c>
      <c r="CJ60" s="217">
        <f t="shared" si="114"/>
        <v>5.5</v>
      </c>
      <c r="CK60" s="217"/>
      <c r="CL60" s="217">
        <f t="shared" si="49"/>
        <v>82.5</v>
      </c>
      <c r="CM60" s="541">
        <f t="shared" si="50"/>
        <v>58</v>
      </c>
      <c r="CN60" s="172">
        <f t="shared" si="51"/>
        <v>15.4</v>
      </c>
      <c r="CO60" s="443">
        <f t="shared" si="52"/>
        <v>73.400000000000006</v>
      </c>
      <c r="CP60" s="443"/>
      <c r="CQ60" s="217">
        <f t="shared" si="53"/>
        <v>0.2098092643051771</v>
      </c>
      <c r="CR60" s="172">
        <f t="shared" si="54"/>
        <v>305.10568119891008</v>
      </c>
      <c r="CS60" s="172">
        <f t="shared" si="115"/>
        <v>82.5</v>
      </c>
      <c r="CT60" s="217">
        <f t="shared" si="55"/>
        <v>20.340378746594006</v>
      </c>
      <c r="CU60" s="217">
        <f t="shared" si="56"/>
        <v>15</v>
      </c>
      <c r="CV60" s="217">
        <f t="shared" si="57"/>
        <v>20.281562216167121</v>
      </c>
      <c r="CW60" s="172">
        <f t="shared" si="58"/>
        <v>205.74890364792546</v>
      </c>
      <c r="CX60" s="172">
        <f t="shared" si="59"/>
        <v>15</v>
      </c>
      <c r="CY60" s="217">
        <f t="shared" si="60"/>
        <v>13.559113300492612</v>
      </c>
      <c r="CZ60" s="217">
        <f t="shared" si="61"/>
        <v>2.8053337863088164</v>
      </c>
      <c r="DA60" s="217">
        <f t="shared" si="62"/>
        <v>10.565542831552685</v>
      </c>
      <c r="DB60" s="197">
        <f t="shared" si="63"/>
        <v>101.4078110808356</v>
      </c>
      <c r="DC60" s="443">
        <f t="shared" si="116"/>
        <v>74.789411986955955</v>
      </c>
      <c r="DE60" s="217">
        <f t="shared" si="64"/>
        <v>10</v>
      </c>
      <c r="DF60" s="173">
        <f t="shared" si="65"/>
        <v>7.7922077922077913</v>
      </c>
      <c r="DG60" s="173">
        <f t="shared" si="66"/>
        <v>3.9509536784741139</v>
      </c>
      <c r="DH60" s="173"/>
      <c r="DI60" s="173">
        <f t="shared" si="67"/>
        <v>7.7922077922077913</v>
      </c>
      <c r="DJ60" s="545">
        <f t="shared" si="117"/>
        <v>141.16666666666669</v>
      </c>
      <c r="DK60" s="528">
        <f t="shared" si="68"/>
        <v>3.9509536784741139</v>
      </c>
      <c r="DM60" s="173">
        <f t="shared" si="69"/>
        <v>6.3508529610858835</v>
      </c>
      <c r="DN60" s="173">
        <f t="shared" si="70"/>
        <v>13.559113300492612</v>
      </c>
      <c r="DO60" s="173">
        <f t="shared" si="71"/>
        <v>3.8363802225871204</v>
      </c>
      <c r="DQ60" s="545">
        <f t="shared" si="72"/>
        <v>5500</v>
      </c>
      <c r="DR60" s="460">
        <f t="shared" si="73"/>
        <v>74.789411986955955</v>
      </c>
      <c r="DT60">
        <f t="shared" si="74"/>
        <v>5500</v>
      </c>
      <c r="DU60">
        <f t="shared" si="75"/>
        <v>74.789411986955955</v>
      </c>
      <c r="DW60" s="5">
        <f t="shared" si="118"/>
        <v>13.3708766178615</v>
      </c>
      <c r="DX60" s="5">
        <f t="shared" si="76"/>
        <v>2.8053337863088164</v>
      </c>
      <c r="DY60" s="5">
        <f t="shared" si="119"/>
        <v>10.565542831552683</v>
      </c>
      <c r="DZ60" s="5">
        <f t="shared" si="77"/>
        <v>10.565542831552685</v>
      </c>
      <c r="EA60" s="173">
        <f t="shared" si="120"/>
        <v>0.20980926430517713</v>
      </c>
      <c r="EB60" s="173">
        <f t="shared" si="78"/>
        <v>82.5</v>
      </c>
      <c r="EC60" s="173">
        <f t="shared" si="79"/>
        <v>5.3571428571428577</v>
      </c>
      <c r="ED60" s="173">
        <f t="shared" si="121"/>
        <v>15.399999999999999</v>
      </c>
      <c r="EE60" s="460">
        <f t="shared" si="80"/>
        <v>102.86223883132327</v>
      </c>
      <c r="EF60" s="5">
        <f t="shared" si="81"/>
        <v>5.1822668466295854</v>
      </c>
      <c r="EG60" s="5"/>
      <c r="EH60" s="173">
        <f t="shared" si="122"/>
        <v>3.585774651859122</v>
      </c>
      <c r="EI60" s="173">
        <f t="shared" si="82"/>
        <v>6.9588364433011689</v>
      </c>
      <c r="EJ60" s="173"/>
      <c r="EK60" s="528">
        <f t="shared" si="83"/>
        <v>0.25715559707830815</v>
      </c>
      <c r="EL60" s="528">
        <f t="shared" si="84"/>
        <v>1.4886666666666668</v>
      </c>
      <c r="EM60" s="528">
        <f t="shared" si="85"/>
        <v>9.3486764983694935E-3</v>
      </c>
      <c r="EN60" s="528">
        <f t="shared" si="86"/>
        <v>4.0293244444444452E-2</v>
      </c>
      <c r="EO60">
        <f t="shared" si="87"/>
        <v>2.6099999999999998E-2</v>
      </c>
      <c r="EP60" s="460">
        <f t="shared" si="123"/>
        <v>35.448676498369487</v>
      </c>
      <c r="EQ60" s="528">
        <f t="shared" si="88"/>
        <v>2.0140553179444689</v>
      </c>
      <c r="ER60" s="460">
        <f t="shared" si="124"/>
        <v>2014.0553179444689</v>
      </c>
      <c r="ES60" s="528">
        <f t="shared" si="125"/>
        <v>3.4168749999999997</v>
      </c>
      <c r="ET60" s="528"/>
      <c r="EV60" s="460">
        <f t="shared" si="126"/>
        <v>3416.8749999999995</v>
      </c>
      <c r="EW60" s="528">
        <f t="shared" si="89"/>
        <v>0.38573339561746223</v>
      </c>
      <c r="EX60" s="528">
        <f t="shared" si="90"/>
        <v>1.452762139338494</v>
      </c>
      <c r="EY60" s="528">
        <f t="shared" si="91"/>
        <v>1.637376396018714</v>
      </c>
      <c r="EZ60" s="528">
        <f t="shared" si="92"/>
        <v>4.5925869001499278</v>
      </c>
      <c r="FA60" s="528">
        <f t="shared" si="93"/>
        <v>1.3750000000000002E-2</v>
      </c>
      <c r="FB60" s="460">
        <f t="shared" si="127"/>
        <v>4606.3369001499277</v>
      </c>
      <c r="FC60" s="173">
        <f t="shared" si="128"/>
        <v>10.037267218094398</v>
      </c>
      <c r="FD60" s="5">
        <f t="shared" si="129"/>
        <v>82.5</v>
      </c>
      <c r="FE60" s="173">
        <f t="shared" si="130"/>
        <v>0.89153270331143142</v>
      </c>
      <c r="FF60" s="5">
        <f t="shared" si="131"/>
        <v>89.153270331143148</v>
      </c>
      <c r="FI60" s="562">
        <f t="shared" si="94"/>
        <v>-50</v>
      </c>
      <c r="FJ60">
        <f t="shared" si="95"/>
        <v>-50</v>
      </c>
      <c r="FL60">
        <f t="shared" si="181"/>
        <v>0.7901907356948229</v>
      </c>
    </row>
    <row r="61" spans="5:168">
      <c r="E61" s="170">
        <v>56</v>
      </c>
      <c r="F61" s="217">
        <f t="shared" si="182"/>
        <v>5.6000000000000005</v>
      </c>
      <c r="G61" s="217"/>
      <c r="H61" s="217">
        <f t="shared" si="132"/>
        <v>84.000000000000014</v>
      </c>
      <c r="I61" s="541">
        <f t="shared" si="133"/>
        <v>57.644000537461032</v>
      </c>
      <c r="J61" s="172">
        <f t="shared" si="134"/>
        <v>15.61359967752338</v>
      </c>
      <c r="K61" s="172">
        <f t="shared" si="135"/>
        <v>73.613599677523382</v>
      </c>
      <c r="L61" s="443"/>
      <c r="M61" s="217">
        <f t="shared" si="136"/>
        <v>0.213122166633434</v>
      </c>
      <c r="N61" s="172">
        <f t="shared" si="137"/>
        <v>308.02103523494054</v>
      </c>
      <c r="O61" s="172">
        <f t="shared" si="98"/>
        <v>84.000000000000014</v>
      </c>
      <c r="P61" s="217">
        <f t="shared" si="138"/>
        <v>20.534735682329369</v>
      </c>
      <c r="Q61" s="217">
        <f t="shared" si="139"/>
        <v>15</v>
      </c>
      <c r="R61" s="217">
        <f t="shared" si="140"/>
        <v>20.475357146604214</v>
      </c>
      <c r="S61" s="172">
        <f t="shared" si="141"/>
        <v>199.81045439047068</v>
      </c>
      <c r="T61" s="172">
        <f t="shared" si="142"/>
        <v>15</v>
      </c>
      <c r="U61" s="217">
        <f t="shared" si="143"/>
        <v>14.233467413972116</v>
      </c>
      <c r="V61" s="217">
        <f t="shared" si="11"/>
        <v>2.9630422485453067</v>
      </c>
      <c r="W61" s="217">
        <f t="shared" si="144"/>
        <v>10.939284501673471</v>
      </c>
      <c r="X61" s="197">
        <f t="shared" si="145"/>
        <v>102.38190822085323</v>
      </c>
      <c r="Y61" s="443">
        <f t="shared" si="14"/>
        <v>70.910284360308594</v>
      </c>
      <c r="AA61" s="217">
        <f t="shared" si="146"/>
        <v>10</v>
      </c>
      <c r="AB61" s="173">
        <f t="shared" si="147"/>
        <v>7.6856075779082813</v>
      </c>
      <c r="AC61" s="173">
        <f t="shared" si="148"/>
        <v>3.934335848314499</v>
      </c>
      <c r="AD61" s="173"/>
      <c r="AE61" s="173">
        <f t="shared" si="149"/>
        <v>7.6856075779082813</v>
      </c>
      <c r="AF61" s="545">
        <f t="shared" si="150"/>
        <v>145.72693032355158</v>
      </c>
      <c r="AG61" s="528">
        <f t="shared" si="151"/>
        <v>3.9343358483144981</v>
      </c>
      <c r="AI61" s="173">
        <f t="shared" si="152"/>
        <v>6.4526169735022254</v>
      </c>
      <c r="AJ61" s="173">
        <f t="shared" si="153"/>
        <v>14.233467413972116</v>
      </c>
      <c r="AK61" s="173">
        <f t="shared" si="154"/>
        <v>4.3359017881274937</v>
      </c>
      <c r="AM61" s="545">
        <f t="shared" si="155"/>
        <v>5600.0000000000009</v>
      </c>
      <c r="AN61" s="460">
        <f t="shared" si="156"/>
        <v>70.910284360308594</v>
      </c>
      <c r="AP61">
        <f t="shared" si="157"/>
        <v>5600.0000000000009</v>
      </c>
      <c r="AQ61">
        <f t="shared" si="158"/>
        <v>70.910284360308594</v>
      </c>
      <c r="AS61" s="5">
        <f t="shared" si="101"/>
        <v>14.102326750218776</v>
      </c>
      <c r="AT61" s="5">
        <f t="shared" si="159"/>
        <v>2.9630422485453067</v>
      </c>
      <c r="AU61" s="5">
        <f t="shared" si="102"/>
        <v>11.139284501673469</v>
      </c>
      <c r="AV61" s="5">
        <f t="shared" si="160"/>
        <v>10.939284501673471</v>
      </c>
      <c r="AW61" s="173">
        <f t="shared" si="103"/>
        <v>0.21011016841595587</v>
      </c>
      <c r="AX61" s="173">
        <f t="shared" si="161"/>
        <v>86.194965503035093</v>
      </c>
      <c r="AY61" s="173">
        <f t="shared" si="162"/>
        <v>5.6214355892397077</v>
      </c>
      <c r="AZ61" s="173">
        <f t="shared" si="104"/>
        <v>15.333265699606256</v>
      </c>
      <c r="BA61" s="460">
        <f t="shared" si="163"/>
        <v>110.62024394569144</v>
      </c>
      <c r="BB61" s="5">
        <f t="shared" si="164"/>
        <v>5.5973758636021236</v>
      </c>
      <c r="BC61" s="5"/>
      <c r="BD61" s="173">
        <f t="shared" si="105"/>
        <v>3.766809174276156</v>
      </c>
      <c r="BE61" s="173">
        <f t="shared" si="165"/>
        <v>7.3035388809894304</v>
      </c>
      <c r="BF61" s="173"/>
      <c r="BG61" s="528">
        <f t="shared" si="166"/>
        <v>0.28377702710822034</v>
      </c>
      <c r="BH61" s="528">
        <f t="shared" si="167"/>
        <v>1.3930902912248542</v>
      </c>
      <c r="BI61" s="528">
        <f t="shared" si="168"/>
        <v>0.10218881174442858</v>
      </c>
      <c r="BJ61" s="528">
        <f t="shared" si="169"/>
        <v>3.8426014043381911E-2</v>
      </c>
      <c r="BK61">
        <f t="shared" si="170"/>
        <v>2.5939800241857464E-2</v>
      </c>
      <c r="BL61" s="460">
        <f t="shared" si="106"/>
        <v>128.12861198628605</v>
      </c>
      <c r="BM61" s="528">
        <f t="shared" si="171"/>
        <v>1.9214689862644976</v>
      </c>
      <c r="BN61" s="460">
        <f t="shared" si="107"/>
        <v>1921.4689862644975</v>
      </c>
      <c r="BO61" s="528">
        <f t="shared" si="172"/>
        <v>3.4789999999999996</v>
      </c>
      <c r="BP61" s="528"/>
      <c r="BR61" s="460">
        <f t="shared" si="109"/>
        <v>3478.9999999999995</v>
      </c>
      <c r="BS61" s="528">
        <f t="shared" si="173"/>
        <v>0.42566554066233048</v>
      </c>
      <c r="BT61" s="528">
        <f t="shared" si="174"/>
        <v>1.6002504055837303</v>
      </c>
      <c r="BU61" s="528">
        <f t="shared" si="175"/>
        <v>1.2600000000000002</v>
      </c>
      <c r="BV61" s="528">
        <f t="shared" si="176"/>
        <v>4.501748976314035</v>
      </c>
      <c r="BW61" s="528">
        <f t="shared" si="177"/>
        <v>1.4365827583839185E-2</v>
      </c>
      <c r="BX61" s="460">
        <f t="shared" si="110"/>
        <v>4516.1148038978745</v>
      </c>
      <c r="BY61" s="173">
        <f t="shared" si="45"/>
        <v>10.044712402148658</v>
      </c>
      <c r="BZ61" s="5">
        <f t="shared" si="111"/>
        <v>84.000000000000014</v>
      </c>
      <c r="CA61" s="173">
        <f t="shared" si="112"/>
        <v>0.89319216205164165</v>
      </c>
      <c r="CB61" s="5">
        <f t="shared" si="113"/>
        <v>89.319216205164167</v>
      </c>
      <c r="CE61" s="562">
        <f t="shared" si="178"/>
        <v>-50</v>
      </c>
      <c r="CF61">
        <f t="shared" si="179"/>
        <v>-50</v>
      </c>
      <c r="CG61" s="173">
        <f t="shared" si="180"/>
        <v>0.78651804135617764</v>
      </c>
      <c r="CI61" s="170">
        <v>56</v>
      </c>
      <c r="CJ61" s="217">
        <f t="shared" si="114"/>
        <v>5.6000000000000005</v>
      </c>
      <c r="CK61" s="217"/>
      <c r="CL61" s="217">
        <f t="shared" si="49"/>
        <v>84.000000000000014</v>
      </c>
      <c r="CM61" s="541">
        <f t="shared" si="50"/>
        <v>58</v>
      </c>
      <c r="CN61" s="172">
        <f t="shared" si="51"/>
        <v>15.4</v>
      </c>
      <c r="CO61" s="443">
        <f t="shared" si="52"/>
        <v>73.400000000000006</v>
      </c>
      <c r="CP61" s="443"/>
      <c r="CQ61" s="217">
        <f t="shared" si="53"/>
        <v>0.2098092643051771</v>
      </c>
      <c r="CR61" s="172">
        <f t="shared" si="54"/>
        <v>305.10568119891008</v>
      </c>
      <c r="CS61" s="172">
        <f t="shared" si="115"/>
        <v>84.000000000000014</v>
      </c>
      <c r="CT61" s="217">
        <f t="shared" si="55"/>
        <v>20.340378746594006</v>
      </c>
      <c r="CU61" s="217">
        <f t="shared" si="56"/>
        <v>15</v>
      </c>
      <c r="CV61" s="217">
        <f t="shared" si="57"/>
        <v>20.281562216167121</v>
      </c>
      <c r="CW61" s="172">
        <f t="shared" si="58"/>
        <v>201.04374006073147</v>
      </c>
      <c r="CX61" s="172">
        <f t="shared" si="59"/>
        <v>15</v>
      </c>
      <c r="CY61" s="217">
        <f t="shared" si="60"/>
        <v>13.805642633228842</v>
      </c>
      <c r="CZ61" s="217">
        <f t="shared" si="61"/>
        <v>2.8563398551507952</v>
      </c>
      <c r="DA61" s="217">
        <f t="shared" si="62"/>
        <v>10.757643610308188</v>
      </c>
      <c r="DB61" s="197">
        <f t="shared" si="63"/>
        <v>101.4078110808356</v>
      </c>
      <c r="DC61" s="443">
        <f t="shared" si="116"/>
        <v>73.453886772903175</v>
      </c>
      <c r="DE61" s="217">
        <f t="shared" si="64"/>
        <v>10</v>
      </c>
      <c r="DF61" s="173">
        <f t="shared" si="65"/>
        <v>7.7922077922077913</v>
      </c>
      <c r="DG61" s="173">
        <f t="shared" si="66"/>
        <v>3.9509536784741139</v>
      </c>
      <c r="DH61" s="173"/>
      <c r="DI61" s="173">
        <f t="shared" si="67"/>
        <v>7.7922077922077913</v>
      </c>
      <c r="DJ61" s="545">
        <f t="shared" si="117"/>
        <v>143.73333333333335</v>
      </c>
      <c r="DK61" s="528">
        <f t="shared" si="68"/>
        <v>3.9509536784741139</v>
      </c>
      <c r="DM61" s="173">
        <f t="shared" si="69"/>
        <v>6.408327915038889</v>
      </c>
      <c r="DN61" s="173">
        <f t="shared" si="70"/>
        <v>13.805642633228842</v>
      </c>
      <c r="DO61" s="173">
        <f t="shared" si="71"/>
        <v>4.0189945431324761</v>
      </c>
      <c r="DQ61" s="545">
        <f t="shared" si="72"/>
        <v>5600.0000000000009</v>
      </c>
      <c r="DR61" s="460">
        <f t="shared" si="73"/>
        <v>73.453886772903175</v>
      </c>
      <c r="DT61">
        <f t="shared" si="74"/>
        <v>5600.0000000000009</v>
      </c>
      <c r="DU61">
        <f t="shared" si="75"/>
        <v>73.453886772903175</v>
      </c>
      <c r="DW61" s="5">
        <f t="shared" si="118"/>
        <v>13.613983465458983</v>
      </c>
      <c r="DX61" s="5">
        <f t="shared" si="76"/>
        <v>2.8563398551507952</v>
      </c>
      <c r="DY61" s="5">
        <f t="shared" si="119"/>
        <v>10.757643610308188</v>
      </c>
      <c r="DZ61" s="5">
        <f t="shared" si="77"/>
        <v>10.757643610308188</v>
      </c>
      <c r="EA61" s="173">
        <f t="shared" si="120"/>
        <v>0.20980926430517716</v>
      </c>
      <c r="EB61" s="173">
        <f t="shared" si="78"/>
        <v>84.000000000000028</v>
      </c>
      <c r="EC61" s="173">
        <f t="shared" si="79"/>
        <v>5.454545454545455</v>
      </c>
      <c r="ED61" s="173">
        <f t="shared" si="121"/>
        <v>15.400000000000004</v>
      </c>
      <c r="EE61" s="460">
        <f t="shared" si="80"/>
        <v>106.63668792562969</v>
      </c>
      <c r="EF61" s="5">
        <f t="shared" si="81"/>
        <v>5.3724260598447549</v>
      </c>
      <c r="EG61" s="5"/>
      <c r="EH61" s="173">
        <f t="shared" si="122"/>
        <v>3.6509705546201983</v>
      </c>
      <c r="EI61" s="173">
        <f t="shared" si="82"/>
        <v>7.0853607422702822</v>
      </c>
      <c r="EJ61" s="173"/>
      <c r="EK61" s="528">
        <f t="shared" si="83"/>
        <v>0.26659171981407437</v>
      </c>
      <c r="EL61" s="528">
        <f t="shared" si="84"/>
        <v>1.4886666666666672</v>
      </c>
      <c r="EM61" s="528">
        <f t="shared" si="85"/>
        <v>9.181735846612896E-3</v>
      </c>
      <c r="EN61" s="528">
        <f t="shared" si="86"/>
        <v>3.9573722222222225E-2</v>
      </c>
      <c r="EO61">
        <f t="shared" si="87"/>
        <v>2.6099999999999998E-2</v>
      </c>
      <c r="EP61" s="460">
        <f t="shared" si="123"/>
        <v>35.281735846612889</v>
      </c>
      <c r="EQ61" s="528">
        <f t="shared" si="88"/>
        <v>2.0307241277748624</v>
      </c>
      <c r="ER61" s="460">
        <f t="shared" si="124"/>
        <v>2030.7241277748624</v>
      </c>
      <c r="ES61" s="528">
        <f t="shared" si="125"/>
        <v>3.4789999999999996</v>
      </c>
      <c r="ET61" s="528"/>
      <c r="EV61" s="460">
        <f t="shared" si="126"/>
        <v>3478.9999999999995</v>
      </c>
      <c r="EW61" s="528">
        <f t="shared" si="89"/>
        <v>0.3998875797211115</v>
      </c>
      <c r="EX61" s="528">
        <f t="shared" si="90"/>
        <v>1.5060701054431465</v>
      </c>
      <c r="EY61" s="528">
        <f t="shared" si="91"/>
        <v>1.6373763960187144</v>
      </c>
      <c r="EZ61" s="528">
        <f t="shared" si="92"/>
        <v>4.7205351445734065</v>
      </c>
      <c r="FA61" s="528">
        <f t="shared" si="93"/>
        <v>1.4000000000000007E-2</v>
      </c>
      <c r="FB61" s="460">
        <f t="shared" si="127"/>
        <v>4734.5351445734068</v>
      </c>
      <c r="FC61" s="173">
        <f t="shared" si="128"/>
        <v>10.244259272348268</v>
      </c>
      <c r="FD61" s="5">
        <f t="shared" si="129"/>
        <v>84.000000000000014</v>
      </c>
      <c r="FE61" s="173">
        <f t="shared" si="130"/>
        <v>0.891300973115569</v>
      </c>
      <c r="FF61" s="5">
        <f t="shared" si="131"/>
        <v>89.130097311556895</v>
      </c>
      <c r="FI61" s="562">
        <f t="shared" si="94"/>
        <v>-50</v>
      </c>
      <c r="FJ61">
        <f t="shared" si="95"/>
        <v>-50</v>
      </c>
      <c r="FL61">
        <f t="shared" si="181"/>
        <v>0.79019073569482279</v>
      </c>
    </row>
    <row r="62" spans="5:168">
      <c r="E62" s="170">
        <v>57</v>
      </c>
      <c r="F62" s="217">
        <f t="shared" si="182"/>
        <v>5.6999999999999993</v>
      </c>
      <c r="G62" s="217"/>
      <c r="H62" s="217">
        <f t="shared" si="132"/>
        <v>85.499999999999986</v>
      </c>
      <c r="I62" s="541">
        <f t="shared" si="133"/>
        <v>57.637673086794251</v>
      </c>
      <c r="J62" s="172">
        <f t="shared" si="134"/>
        <v>15.617396147923447</v>
      </c>
      <c r="K62" s="172">
        <f t="shared" si="135"/>
        <v>73.617396147923444</v>
      </c>
      <c r="L62" s="443"/>
      <c r="M62" s="217">
        <f t="shared" si="136"/>
        <v>0.21318135709211444</v>
      </c>
      <c r="N62" s="172">
        <f t="shared" si="137"/>
        <v>308.0727618160609</v>
      </c>
      <c r="O62" s="172">
        <f t="shared" si="98"/>
        <v>85.499999999999986</v>
      </c>
      <c r="P62" s="217">
        <f t="shared" si="138"/>
        <v>20.538184121070728</v>
      </c>
      <c r="Q62" s="217">
        <f t="shared" si="139"/>
        <v>15</v>
      </c>
      <c r="R62" s="217">
        <f t="shared" si="140"/>
        <v>20.47879561379073</v>
      </c>
      <c r="S62" s="172">
        <f t="shared" si="141"/>
        <v>195.27696079122114</v>
      </c>
      <c r="T62" s="172">
        <f t="shared" si="142"/>
        <v>15</v>
      </c>
      <c r="U62" s="217">
        <f t="shared" si="143"/>
        <v>14.488726344699256</v>
      </c>
      <c r="V62" s="217">
        <f t="shared" si="11"/>
        <v>3.0165117157761592</v>
      </c>
      <c r="W62" s="217">
        <f t="shared" si="144"/>
        <v>11.132759551566402</v>
      </c>
      <c r="X62" s="197">
        <f t="shared" si="145"/>
        <v>102.39909936662379</v>
      </c>
      <c r="Y62" s="443">
        <f t="shared" si="14"/>
        <v>69.689950198090912</v>
      </c>
      <c r="AA62" s="217">
        <f t="shared" si="146"/>
        <v>10</v>
      </c>
      <c r="AB62" s="173">
        <f t="shared" si="147"/>
        <v>7.6837392650730507</v>
      </c>
      <c r="AC62" s="173">
        <f t="shared" si="148"/>
        <v>3.9340399025572204</v>
      </c>
      <c r="AD62" s="173"/>
      <c r="AE62" s="173">
        <f t="shared" si="149"/>
        <v>7.6837392650730507</v>
      </c>
      <c r="AF62" s="545">
        <f t="shared" si="150"/>
        <v>148.36526340527271</v>
      </c>
      <c r="AG62" s="528">
        <f t="shared" si="151"/>
        <v>3.9340399025572212</v>
      </c>
      <c r="AI62" s="173">
        <f t="shared" si="152"/>
        <v>6.5107661038198374</v>
      </c>
      <c r="AJ62" s="173">
        <f t="shared" si="153"/>
        <v>14.488726344699256</v>
      </c>
      <c r="AK62" s="173">
        <f t="shared" si="154"/>
        <v>4.524982477555004</v>
      </c>
      <c r="AM62" s="545">
        <f t="shared" si="155"/>
        <v>5699.9999999999991</v>
      </c>
      <c r="AN62" s="460">
        <f t="shared" si="156"/>
        <v>69.689950198090912</v>
      </c>
      <c r="AP62">
        <f t="shared" si="157"/>
        <v>5699.9999999999991</v>
      </c>
      <c r="AQ62">
        <f t="shared" si="158"/>
        <v>69.689950198090912</v>
      </c>
      <c r="AS62" s="5">
        <f t="shared" si="101"/>
        <v>14.349271267342562</v>
      </c>
      <c r="AT62" s="5">
        <f t="shared" si="159"/>
        <v>3.0165117157761592</v>
      </c>
      <c r="AU62" s="5">
        <f t="shared" si="102"/>
        <v>11.332759551566403</v>
      </c>
      <c r="AV62" s="5">
        <f t="shared" si="160"/>
        <v>11.132759551566402</v>
      </c>
      <c r="AW62" s="173">
        <f t="shared" si="103"/>
        <v>0.21022055124439828</v>
      </c>
      <c r="AX62" s="173">
        <f t="shared" si="161"/>
        <v>87.777220395580144</v>
      </c>
      <c r="AY62" s="173">
        <f t="shared" si="162"/>
        <v>5.7214491528436708</v>
      </c>
      <c r="AZ62" s="173">
        <f t="shared" si="104"/>
        <v>15.341781085645612</v>
      </c>
      <c r="BA62" s="460">
        <f t="shared" si="163"/>
        <v>114.62744519949403</v>
      </c>
      <c r="BB62" s="5">
        <f t="shared" si="164"/>
        <v>5.7969205984774561</v>
      </c>
      <c r="BC62" s="5"/>
      <c r="BD62" s="173">
        <f t="shared" si="105"/>
        <v>3.8353691239243015</v>
      </c>
      <c r="BE62" s="173">
        <f t="shared" si="165"/>
        <v>7.4339989718707633</v>
      </c>
      <c r="BF62" s="173"/>
      <c r="BG62" s="528">
        <f t="shared" si="166"/>
        <v>0.29420112633503726</v>
      </c>
      <c r="BH62" s="528">
        <f t="shared" si="167"/>
        <v>1.3937410397768339</v>
      </c>
      <c r="BI62" s="528">
        <f t="shared" si="168"/>
        <v>0.10041916417381341</v>
      </c>
      <c r="BJ62" s="528">
        <f t="shared" si="169"/>
        <v>3.7768614967469152E-2</v>
      </c>
      <c r="BK62">
        <f t="shared" si="170"/>
        <v>2.5936952889057414E-2</v>
      </c>
      <c r="BL62" s="460">
        <f t="shared" si="106"/>
        <v>126.35611706287084</v>
      </c>
      <c r="BM62" s="528">
        <f t="shared" si="171"/>
        <v>1.9408120964882638</v>
      </c>
      <c r="BN62" s="460">
        <f t="shared" si="107"/>
        <v>1940.8120964882637</v>
      </c>
      <c r="BO62" s="528">
        <f t="shared" si="172"/>
        <v>3.5411249999999992</v>
      </c>
      <c r="BP62" s="528"/>
      <c r="BR62" s="460">
        <f t="shared" si="109"/>
        <v>3541.1249999999991</v>
      </c>
      <c r="BS62" s="528">
        <f t="shared" si="173"/>
        <v>0.44130168950255588</v>
      </c>
      <c r="BT62" s="528">
        <f t="shared" si="174"/>
        <v>1.657930221413267</v>
      </c>
      <c r="BU62" s="528">
        <f t="shared" si="175"/>
        <v>1.2824999999999998</v>
      </c>
      <c r="BV62" s="528">
        <f t="shared" si="176"/>
        <v>4.6697844046892829</v>
      </c>
      <c r="BW62" s="528">
        <f t="shared" si="177"/>
        <v>1.462953673259669E-2</v>
      </c>
      <c r="BX62" s="460">
        <f t="shared" si="110"/>
        <v>4684.4139414218789</v>
      </c>
      <c r="BY62" s="173">
        <f t="shared" si="45"/>
        <v>10.292707154973014</v>
      </c>
      <c r="BZ62" s="5">
        <f t="shared" si="111"/>
        <v>85.499999999999986</v>
      </c>
      <c r="CA62" s="173">
        <f t="shared" si="112"/>
        <v>0.89255228857535551</v>
      </c>
      <c r="CB62" s="5">
        <f t="shared" si="113"/>
        <v>89.255228857535556</v>
      </c>
      <c r="CE62" s="562">
        <f t="shared" si="178"/>
        <v>-50</v>
      </c>
      <c r="CF62">
        <f t="shared" si="179"/>
        <v>-50</v>
      </c>
      <c r="CG62" s="173">
        <f t="shared" si="180"/>
        <v>0.78658247459018904</v>
      </c>
      <c r="CI62" s="170">
        <v>57</v>
      </c>
      <c r="CJ62" s="217">
        <f t="shared" si="114"/>
        <v>5.6999999999999993</v>
      </c>
      <c r="CK62" s="217"/>
      <c r="CL62" s="217">
        <f t="shared" si="49"/>
        <v>85.499999999999986</v>
      </c>
      <c r="CM62" s="541">
        <f t="shared" si="50"/>
        <v>58</v>
      </c>
      <c r="CN62" s="172">
        <f t="shared" si="51"/>
        <v>15.4</v>
      </c>
      <c r="CO62" s="443">
        <f t="shared" si="52"/>
        <v>73.400000000000006</v>
      </c>
      <c r="CP62" s="443"/>
      <c r="CQ62" s="217">
        <f t="shared" si="53"/>
        <v>0.2098092643051771</v>
      </c>
      <c r="CR62" s="172">
        <f t="shared" si="54"/>
        <v>305.10568119891008</v>
      </c>
      <c r="CS62" s="172">
        <f t="shared" si="115"/>
        <v>85.499999999999986</v>
      </c>
      <c r="CT62" s="217">
        <f t="shared" si="55"/>
        <v>20.340378746594006</v>
      </c>
      <c r="CU62" s="217">
        <f t="shared" si="56"/>
        <v>15</v>
      </c>
      <c r="CV62" s="217">
        <f t="shared" si="57"/>
        <v>20.281562216167121</v>
      </c>
      <c r="CW62" s="172">
        <f t="shared" si="58"/>
        <v>196.50378895275952</v>
      </c>
      <c r="CX62" s="172">
        <f t="shared" si="59"/>
        <v>15</v>
      </c>
      <c r="CY62" s="217">
        <f t="shared" si="60"/>
        <v>14.052171965965067</v>
      </c>
      <c r="CZ62" s="217">
        <f t="shared" si="61"/>
        <v>2.9073459239927728</v>
      </c>
      <c r="DA62" s="217">
        <f t="shared" si="62"/>
        <v>10.949744389063689</v>
      </c>
      <c r="DB62" s="197">
        <f t="shared" si="63"/>
        <v>101.4078110808356</v>
      </c>
      <c r="DC62" s="443">
        <f t="shared" si="116"/>
        <v>72.165222092676814</v>
      </c>
      <c r="DE62" s="217">
        <f t="shared" si="64"/>
        <v>10</v>
      </c>
      <c r="DF62" s="173">
        <f t="shared" si="65"/>
        <v>7.7922077922077913</v>
      </c>
      <c r="DG62" s="173">
        <f t="shared" si="66"/>
        <v>3.9509536784741139</v>
      </c>
      <c r="DH62" s="173"/>
      <c r="DI62" s="173">
        <f t="shared" si="67"/>
        <v>7.7922077922077913</v>
      </c>
      <c r="DJ62" s="545">
        <f t="shared" si="117"/>
        <v>146.30000000000001</v>
      </c>
      <c r="DK62" s="528">
        <f t="shared" si="68"/>
        <v>3.9509536784741139</v>
      </c>
      <c r="DM62" s="173">
        <f t="shared" si="69"/>
        <v>6.4652919500978454</v>
      </c>
      <c r="DN62" s="173">
        <f t="shared" si="70"/>
        <v>14.052171965965067</v>
      </c>
      <c r="DO62" s="173">
        <f t="shared" si="71"/>
        <v>4.2016088636778273</v>
      </c>
      <c r="DQ62" s="545">
        <f t="shared" si="72"/>
        <v>5699.9999999999991</v>
      </c>
      <c r="DR62" s="460">
        <f t="shared" si="73"/>
        <v>72.165222092676814</v>
      </c>
      <c r="DT62">
        <f t="shared" si="74"/>
        <v>5699.9999999999991</v>
      </c>
      <c r="DU62">
        <f t="shared" si="75"/>
        <v>72.165222092676814</v>
      </c>
      <c r="DW62" s="5">
        <f t="shared" si="118"/>
        <v>13.857090313056462</v>
      </c>
      <c r="DX62" s="5">
        <f t="shared" si="76"/>
        <v>2.9073459239927728</v>
      </c>
      <c r="DY62" s="5">
        <f t="shared" si="119"/>
        <v>10.949744389063689</v>
      </c>
      <c r="DZ62" s="5">
        <f t="shared" si="77"/>
        <v>10.949744389063689</v>
      </c>
      <c r="EA62" s="173">
        <f t="shared" si="120"/>
        <v>0.20980926430517713</v>
      </c>
      <c r="EB62" s="173">
        <f t="shared" si="78"/>
        <v>85.499999999999986</v>
      </c>
      <c r="EC62" s="173">
        <f t="shared" si="79"/>
        <v>5.5519480519480515</v>
      </c>
      <c r="ED62" s="173">
        <f t="shared" si="121"/>
        <v>15.399999999999999</v>
      </c>
      <c r="EE62" s="460">
        <f t="shared" si="80"/>
        <v>110.47914511172536</v>
      </c>
      <c r="EF62" s="5">
        <f t="shared" si="81"/>
        <v>5.5660115651899238</v>
      </c>
      <c r="EG62" s="5"/>
      <c r="EH62" s="173">
        <f t="shared" si="122"/>
        <v>3.7161664573812714</v>
      </c>
      <c r="EI62" s="173">
        <f t="shared" si="82"/>
        <v>7.211885041239392</v>
      </c>
      <c r="EJ62" s="173"/>
      <c r="EK62" s="528">
        <f t="shared" si="83"/>
        <v>0.27619786277931335</v>
      </c>
      <c r="EL62" s="528">
        <f t="shared" si="84"/>
        <v>1.4886666666666668</v>
      </c>
      <c r="EM62" s="528">
        <f t="shared" si="85"/>
        <v>9.0206527615846015E-3</v>
      </c>
      <c r="EN62" s="528">
        <f t="shared" si="86"/>
        <v>3.8879446393762195E-2</v>
      </c>
      <c r="EO62">
        <f t="shared" si="87"/>
        <v>2.6099999999999998E-2</v>
      </c>
      <c r="EP62" s="460">
        <f t="shared" si="123"/>
        <v>35.120652761584601</v>
      </c>
      <c r="EQ62" s="528">
        <f t="shared" si="88"/>
        <v>2.0478258273149876</v>
      </c>
      <c r="ER62" s="460">
        <f t="shared" si="124"/>
        <v>2047.8258273149877</v>
      </c>
      <c r="ES62" s="528">
        <f t="shared" si="125"/>
        <v>3.5411249999999992</v>
      </c>
      <c r="ET62" s="528"/>
      <c r="EV62" s="460">
        <f t="shared" si="126"/>
        <v>3541.1249999999991</v>
      </c>
      <c r="EW62" s="528">
        <f t="shared" si="89"/>
        <v>0.41429679416897003</v>
      </c>
      <c r="EX62" s="528">
        <f t="shared" si="90"/>
        <v>1.5603385754415753</v>
      </c>
      <c r="EY62" s="528">
        <f t="shared" si="91"/>
        <v>1.6373763960187142</v>
      </c>
      <c r="EZ62" s="528">
        <f t="shared" si="92"/>
        <v>4.8524735220795447</v>
      </c>
      <c r="FA62" s="528">
        <f t="shared" si="93"/>
        <v>1.4250000000000001E-2</v>
      </c>
      <c r="FB62" s="460">
        <f t="shared" si="127"/>
        <v>4866.7235220795446</v>
      </c>
      <c r="FC62" s="173">
        <f t="shared" si="128"/>
        <v>10.455674349394531</v>
      </c>
      <c r="FD62" s="5">
        <f t="shared" si="129"/>
        <v>85.499999999999986</v>
      </c>
      <c r="FE62" s="173">
        <f t="shared" si="130"/>
        <v>0.89103641425807456</v>
      </c>
      <c r="FF62" s="5">
        <f t="shared" si="131"/>
        <v>89.103641425807453</v>
      </c>
      <c r="FI62" s="562">
        <f t="shared" si="94"/>
        <v>-50</v>
      </c>
      <c r="FJ62">
        <f t="shared" si="95"/>
        <v>-50</v>
      </c>
      <c r="FL62">
        <f t="shared" si="181"/>
        <v>0.7901907356948229</v>
      </c>
    </row>
    <row r="63" spans="5:168">
      <c r="E63" s="170">
        <v>58</v>
      </c>
      <c r="F63" s="217">
        <f t="shared" si="182"/>
        <v>5.8</v>
      </c>
      <c r="G63" s="217"/>
      <c r="H63" s="217">
        <f t="shared" si="132"/>
        <v>87</v>
      </c>
      <c r="I63" s="541">
        <f t="shared" si="133"/>
        <v>57.631345631432609</v>
      </c>
      <c r="J63" s="172">
        <f t="shared" si="134"/>
        <v>15.621192621140434</v>
      </c>
      <c r="K63" s="172">
        <f t="shared" si="135"/>
        <v>73.621192621140437</v>
      </c>
      <c r="L63" s="443"/>
      <c r="M63" s="217">
        <f t="shared" si="136"/>
        <v>0.21324055165461647</v>
      </c>
      <c r="N63" s="172">
        <f t="shared" si="137"/>
        <v>308.12447552140475</v>
      </c>
      <c r="O63" s="172">
        <f t="shared" si="98"/>
        <v>87</v>
      </c>
      <c r="P63" s="217">
        <f t="shared" si="138"/>
        <v>20.541631701426983</v>
      </c>
      <c r="Q63" s="217">
        <f t="shared" si="139"/>
        <v>15</v>
      </c>
      <c r="R63" s="217">
        <f t="shared" si="140"/>
        <v>20.482233225074268</v>
      </c>
      <c r="S63" s="172">
        <f t="shared" si="141"/>
        <v>190.90013147826846</v>
      </c>
      <c r="T63" s="172">
        <f t="shared" si="142"/>
        <v>15</v>
      </c>
      <c r="U63" s="217">
        <f t="shared" si="143"/>
        <v>14.744023760242987</v>
      </c>
      <c r="V63" s="217">
        <f t="shared" si="11"/>
        <v>3.0700009375873001</v>
      </c>
      <c r="W63" s="217">
        <f t="shared" si="144"/>
        <v>11.326170121190088</v>
      </c>
      <c r="X63" s="197">
        <f t="shared" si="145"/>
        <v>102.4162862475402</v>
      </c>
      <c r="Y63" s="443">
        <f t="shared" si="14"/>
        <v>68.511118153733293</v>
      </c>
      <c r="AA63" s="217">
        <f t="shared" si="146"/>
        <v>10</v>
      </c>
      <c r="AB63" s="173">
        <f t="shared" si="147"/>
        <v>7.6818718589771375</v>
      </c>
      <c r="AC63" s="173">
        <f t="shared" si="148"/>
        <v>3.9337439361296314</v>
      </c>
      <c r="AD63" s="173"/>
      <c r="AE63" s="173">
        <f t="shared" si="149"/>
        <v>7.6818718589771375</v>
      </c>
      <c r="AF63" s="545">
        <f t="shared" si="150"/>
        <v>151.00486200435751</v>
      </c>
      <c r="AG63" s="528">
        <f t="shared" si="151"/>
        <v>3.9337439361296322</v>
      </c>
      <c r="AI63" s="173">
        <f t="shared" si="152"/>
        <v>6.5684279920662361</v>
      </c>
      <c r="AJ63" s="173">
        <f t="shared" si="153"/>
        <v>14.744023760242987</v>
      </c>
      <c r="AK63" s="173">
        <f t="shared" si="154"/>
        <v>4.7140916742540639</v>
      </c>
      <c r="AM63" s="545">
        <f t="shared" si="155"/>
        <v>5800</v>
      </c>
      <c r="AN63" s="460">
        <f t="shared" si="156"/>
        <v>68.511118153733293</v>
      </c>
      <c r="AP63">
        <f t="shared" si="157"/>
        <v>5800</v>
      </c>
      <c r="AQ63">
        <f t="shared" si="158"/>
        <v>68.511118153733293</v>
      </c>
      <c r="AS63" s="5">
        <f t="shared" si="101"/>
        <v>14.596171058777387</v>
      </c>
      <c r="AT63" s="5">
        <f t="shared" si="159"/>
        <v>3.0700009375873001</v>
      </c>
      <c r="AU63" s="5">
        <f t="shared" si="102"/>
        <v>11.526170121190086</v>
      </c>
      <c r="AV63" s="5">
        <f t="shared" si="160"/>
        <v>11.326170121190088</v>
      </c>
      <c r="AW63" s="173">
        <f t="shared" si="103"/>
        <v>0.21032919696711552</v>
      </c>
      <c r="AX63" s="173">
        <f t="shared" si="161"/>
        <v>89.360244861703592</v>
      </c>
      <c r="AY63" s="173">
        <f t="shared" si="162"/>
        <v>5.8214625413435046</v>
      </c>
      <c r="AZ63" s="173">
        <f t="shared" si="104"/>
        <v>15.350136538211</v>
      </c>
      <c r="BA63" s="460">
        <f t="shared" si="163"/>
        <v>118.70670292004228</v>
      </c>
      <c r="BB63" s="5">
        <f t="shared" si="164"/>
        <v>5.999948462891842</v>
      </c>
      <c r="BC63" s="5"/>
      <c r="BD63" s="173">
        <f t="shared" si="105"/>
        <v>3.9039583580746799</v>
      </c>
      <c r="BE63" s="173">
        <f t="shared" si="165"/>
        <v>7.5644687863252349</v>
      </c>
      <c r="BF63" s="173"/>
      <c r="BG63" s="528">
        <f t="shared" si="166"/>
        <v>0.30481781723162304</v>
      </c>
      <c r="BH63" s="528">
        <f t="shared" si="167"/>
        <v>1.3943801711238504</v>
      </c>
      <c r="BI63" s="528">
        <f t="shared" si="168"/>
        <v>9.8709698247843009E-2</v>
      </c>
      <c r="BJ63" s="528">
        <f t="shared" si="169"/>
        <v>3.7133574148541543E-2</v>
      </c>
      <c r="BK63">
        <f t="shared" si="170"/>
        <v>2.5934105534144672E-2</v>
      </c>
      <c r="BL63" s="460">
        <f t="shared" si="106"/>
        <v>124.64380378198769</v>
      </c>
      <c r="BM63" s="528">
        <f t="shared" si="171"/>
        <v>1.9606304732116986</v>
      </c>
      <c r="BN63" s="460">
        <f t="shared" si="107"/>
        <v>1960.6304732116987</v>
      </c>
      <c r="BO63" s="528">
        <f t="shared" si="172"/>
        <v>3.6032499999999996</v>
      </c>
      <c r="BP63" s="528"/>
      <c r="BR63" s="460">
        <f t="shared" si="109"/>
        <v>3603.2499999999995</v>
      </c>
      <c r="BS63" s="528">
        <f t="shared" si="173"/>
        <v>0.45722672584743451</v>
      </c>
      <c r="BT63" s="528">
        <f t="shared" si="174"/>
        <v>1.7166356405786631</v>
      </c>
      <c r="BU63" s="528">
        <f t="shared" si="175"/>
        <v>1.3049999999999999</v>
      </c>
      <c r="BV63" s="528">
        <f t="shared" si="176"/>
        <v>4.8427949010686238</v>
      </c>
      <c r="BW63" s="528">
        <f t="shared" si="177"/>
        <v>1.4893374143617265E-2</v>
      </c>
      <c r="BX63" s="460">
        <f t="shared" si="110"/>
        <v>4857.688275212241</v>
      </c>
      <c r="BY63" s="173">
        <f t="shared" si="45"/>
        <v>10.546212552205928</v>
      </c>
      <c r="BZ63" s="5">
        <f t="shared" si="111"/>
        <v>87</v>
      </c>
      <c r="CA63" s="173">
        <f t="shared" si="112"/>
        <v>0.89188496122735994</v>
      </c>
      <c r="CB63" s="5">
        <f t="shared" si="113"/>
        <v>89.188496122735998</v>
      </c>
      <c r="CE63" s="562">
        <f t="shared" si="178"/>
        <v>-50</v>
      </c>
      <c r="CF63">
        <f t="shared" si="179"/>
        <v>-50</v>
      </c>
      <c r="CG63" s="173">
        <f t="shared" si="180"/>
        <v>0.78664468598854487</v>
      </c>
      <c r="CI63" s="170">
        <v>58</v>
      </c>
      <c r="CJ63" s="217">
        <f t="shared" si="114"/>
        <v>5.8</v>
      </c>
      <c r="CK63" s="217"/>
      <c r="CL63" s="217">
        <f t="shared" si="49"/>
        <v>87</v>
      </c>
      <c r="CM63" s="541">
        <f t="shared" si="50"/>
        <v>58</v>
      </c>
      <c r="CN63" s="172">
        <f t="shared" si="51"/>
        <v>15.4</v>
      </c>
      <c r="CO63" s="443">
        <f t="shared" si="52"/>
        <v>73.400000000000006</v>
      </c>
      <c r="CP63" s="443"/>
      <c r="CQ63" s="217">
        <f t="shared" si="53"/>
        <v>0.2098092643051771</v>
      </c>
      <c r="CR63" s="172">
        <f t="shared" si="54"/>
        <v>305.10568119891008</v>
      </c>
      <c r="CS63" s="172">
        <f t="shared" si="115"/>
        <v>87</v>
      </c>
      <c r="CT63" s="217">
        <f t="shared" si="55"/>
        <v>20.340378746594006</v>
      </c>
      <c r="CU63" s="217">
        <f t="shared" si="56"/>
        <v>15</v>
      </c>
      <c r="CV63" s="217">
        <f t="shared" si="57"/>
        <v>20.281562216167121</v>
      </c>
      <c r="CW63" s="172">
        <f t="shared" si="58"/>
        <v>192.12050664318582</v>
      </c>
      <c r="CX63" s="172">
        <f t="shared" si="59"/>
        <v>15</v>
      </c>
      <c r="CY63" s="217">
        <f t="shared" si="60"/>
        <v>14.2987012987013</v>
      </c>
      <c r="CZ63" s="217">
        <f t="shared" si="61"/>
        <v>2.9583519928347521</v>
      </c>
      <c r="DA63" s="217">
        <f t="shared" si="62"/>
        <v>11.141845167819197</v>
      </c>
      <c r="DB63" s="197">
        <f t="shared" si="63"/>
        <v>101.4078110808356</v>
      </c>
      <c r="DC63" s="443">
        <f t="shared" si="116"/>
        <v>70.920994125561677</v>
      </c>
      <c r="DE63" s="217">
        <f t="shared" si="64"/>
        <v>10</v>
      </c>
      <c r="DF63" s="173">
        <f t="shared" si="65"/>
        <v>7.7922077922077913</v>
      </c>
      <c r="DG63" s="173">
        <f t="shared" si="66"/>
        <v>3.9509536784741139</v>
      </c>
      <c r="DH63" s="173"/>
      <c r="DI63" s="173">
        <f t="shared" si="67"/>
        <v>7.7922077922077913</v>
      </c>
      <c r="DJ63" s="545">
        <f t="shared" si="117"/>
        <v>148.86666666666665</v>
      </c>
      <c r="DK63" s="528">
        <f t="shared" si="68"/>
        <v>3.9509536784741139</v>
      </c>
      <c r="DM63" s="173">
        <f t="shared" si="69"/>
        <v>6.521758454077653</v>
      </c>
      <c r="DN63" s="173">
        <f t="shared" si="70"/>
        <v>14.2987012987013</v>
      </c>
      <c r="DO63" s="173">
        <f t="shared" si="71"/>
        <v>4.3842231842231847</v>
      </c>
      <c r="DQ63" s="545">
        <f t="shared" si="72"/>
        <v>5800</v>
      </c>
      <c r="DR63" s="460">
        <f t="shared" si="73"/>
        <v>70.920994125561677</v>
      </c>
      <c r="DT63">
        <f t="shared" si="74"/>
        <v>5800</v>
      </c>
      <c r="DU63">
        <f t="shared" si="75"/>
        <v>70.920994125561677</v>
      </c>
      <c r="DW63" s="5">
        <f t="shared" si="118"/>
        <v>14.100197160653947</v>
      </c>
      <c r="DX63" s="5">
        <f t="shared" si="76"/>
        <v>2.9583519928347521</v>
      </c>
      <c r="DY63" s="5">
        <f t="shared" si="119"/>
        <v>11.141845167819195</v>
      </c>
      <c r="DZ63" s="5">
        <f t="shared" si="77"/>
        <v>11.141845167819197</v>
      </c>
      <c r="EA63" s="173">
        <f t="shared" si="120"/>
        <v>0.20980926430517713</v>
      </c>
      <c r="EB63" s="173">
        <f t="shared" si="78"/>
        <v>87.000000000000014</v>
      </c>
      <c r="EC63" s="173">
        <f t="shared" si="79"/>
        <v>5.6493506493506498</v>
      </c>
      <c r="ED63" s="173">
        <f t="shared" si="121"/>
        <v>15.400000000000002</v>
      </c>
      <c r="EE63" s="460">
        <f t="shared" si="80"/>
        <v>114.38961038961041</v>
      </c>
      <c r="EF63" s="5">
        <f t="shared" si="81"/>
        <v>5.7630233626650993</v>
      </c>
      <c r="EG63" s="5"/>
      <c r="EH63" s="173">
        <f t="shared" si="122"/>
        <v>3.7813623601423467</v>
      </c>
      <c r="EI63" s="173">
        <f t="shared" si="82"/>
        <v>7.3384093402085053</v>
      </c>
      <c r="EJ63" s="173"/>
      <c r="EK63" s="528">
        <f t="shared" si="83"/>
        <v>0.28597402597402594</v>
      </c>
      <c r="EL63" s="528">
        <f t="shared" si="84"/>
        <v>1.4886666666666666</v>
      </c>
      <c r="EM63" s="528">
        <f t="shared" si="85"/>
        <v>8.8651242656952092E-3</v>
      </c>
      <c r="EN63" s="528">
        <f t="shared" si="86"/>
        <v>3.8209111111111117E-2</v>
      </c>
      <c r="EO63">
        <f t="shared" si="87"/>
        <v>2.6099999999999998E-2</v>
      </c>
      <c r="EP63" s="460">
        <f t="shared" si="123"/>
        <v>34.965124265695209</v>
      </c>
      <c r="EQ63" s="528">
        <f t="shared" si="88"/>
        <v>2.065364094302069</v>
      </c>
      <c r="ER63" s="460">
        <f t="shared" si="124"/>
        <v>2065.3640943020691</v>
      </c>
      <c r="ES63" s="528">
        <f t="shared" si="125"/>
        <v>3.6032499999999996</v>
      </c>
      <c r="ET63" s="528"/>
      <c r="EV63" s="460">
        <f t="shared" si="126"/>
        <v>3603.2499999999995</v>
      </c>
      <c r="EW63" s="528">
        <f t="shared" si="89"/>
        <v>0.42896103896103893</v>
      </c>
      <c r="EX63" s="528">
        <f t="shared" si="90"/>
        <v>1.6155675493337829</v>
      </c>
      <c r="EY63" s="528">
        <f t="shared" si="91"/>
        <v>1.6373763960187171</v>
      </c>
      <c r="EZ63" s="528">
        <f t="shared" si="92"/>
        <v>4.9885266780426676</v>
      </c>
      <c r="FA63" s="528">
        <f t="shared" si="93"/>
        <v>1.4500000000000001E-2</v>
      </c>
      <c r="FB63" s="460">
        <f t="shared" si="127"/>
        <v>5003.0266780426673</v>
      </c>
      <c r="FC63" s="173">
        <f t="shared" si="128"/>
        <v>10.671640772344736</v>
      </c>
      <c r="FD63" s="5">
        <f t="shared" si="129"/>
        <v>87</v>
      </c>
      <c r="FE63" s="173">
        <f t="shared" si="130"/>
        <v>0.89073961809223179</v>
      </c>
      <c r="FF63" s="5">
        <f t="shared" si="131"/>
        <v>89.073961809223178</v>
      </c>
      <c r="FI63" s="562">
        <f t="shared" si="94"/>
        <v>-50</v>
      </c>
      <c r="FJ63">
        <f t="shared" si="95"/>
        <v>-50</v>
      </c>
      <c r="FL63">
        <f t="shared" si="181"/>
        <v>0.7901907356948229</v>
      </c>
    </row>
    <row r="64" spans="5:168">
      <c r="E64" s="170">
        <v>59</v>
      </c>
      <c r="F64" s="217">
        <f t="shared" si="182"/>
        <v>5.8999999999999995</v>
      </c>
      <c r="G64" s="217"/>
      <c r="H64" s="217">
        <f t="shared" si="132"/>
        <v>88.499999999999986</v>
      </c>
      <c r="I64" s="541">
        <f t="shared" si="133"/>
        <v>57.625018171615878</v>
      </c>
      <c r="J64" s="172">
        <f t="shared" si="134"/>
        <v>15.624989097030474</v>
      </c>
      <c r="K64" s="172">
        <f t="shared" si="135"/>
        <v>73.624989097030479</v>
      </c>
      <c r="L64" s="443"/>
      <c r="M64" s="217">
        <f t="shared" si="136"/>
        <v>0.21329975032067863</v>
      </c>
      <c r="N64" s="172">
        <f t="shared" si="137"/>
        <v>308.17617634990262</v>
      </c>
      <c r="O64" s="172">
        <f t="shared" si="98"/>
        <v>88.499999999999986</v>
      </c>
      <c r="P64" s="217">
        <f t="shared" si="138"/>
        <v>20.545078423326842</v>
      </c>
      <c r="Q64" s="217">
        <f t="shared" si="139"/>
        <v>15</v>
      </c>
      <c r="R64" s="217">
        <f t="shared" si="140"/>
        <v>20.485669980383729</v>
      </c>
      <c r="S64" s="172">
        <f t="shared" si="141"/>
        <v>186.67200226884972</v>
      </c>
      <c r="T64" s="172">
        <f t="shared" si="142"/>
        <v>15</v>
      </c>
      <c r="U64" s="217">
        <f t="shared" si="143"/>
        <v>14.999359673280864</v>
      </c>
      <c r="V64" s="217">
        <f t="shared" si="11"/>
        <v>3.1235099231262105</v>
      </c>
      <c r="W64" s="217">
        <f t="shared" si="144"/>
        <v>11.519516267283533</v>
      </c>
      <c r="X64" s="197">
        <f t="shared" si="145"/>
        <v>102.43346886249851</v>
      </c>
      <c r="Y64" s="443">
        <f t="shared" si="14"/>
        <v>67.371706225655785</v>
      </c>
      <c r="AA64" s="217">
        <f t="shared" si="146"/>
        <v>10</v>
      </c>
      <c r="AB64" s="173">
        <f t="shared" si="147"/>
        <v>7.6800053590313215</v>
      </c>
      <c r="AC64" s="173">
        <f t="shared" si="148"/>
        <v>3.933447949040783</v>
      </c>
      <c r="AD64" s="173"/>
      <c r="AE64" s="173">
        <f t="shared" si="149"/>
        <v>7.6800053590313215</v>
      </c>
      <c r="AF64" s="545">
        <f t="shared" si="150"/>
        <v>153.64572612079962</v>
      </c>
      <c r="AG64" s="528">
        <f t="shared" si="151"/>
        <v>3.933447949040783</v>
      </c>
      <c r="AI64" s="173">
        <f t="shared" si="152"/>
        <v>6.6256153594709248</v>
      </c>
      <c r="AJ64" s="173">
        <f t="shared" si="153"/>
        <v>14.999359673280864</v>
      </c>
      <c r="AK64" s="173">
        <f t="shared" si="154"/>
        <v>4.9032293876154549</v>
      </c>
      <c r="AM64" s="545">
        <f t="shared" si="155"/>
        <v>5899.9999999999991</v>
      </c>
      <c r="AN64" s="460">
        <f t="shared" si="156"/>
        <v>67.371706225655785</v>
      </c>
      <c r="AP64">
        <f t="shared" si="157"/>
        <v>5899.9999999999991</v>
      </c>
      <c r="AQ64">
        <f t="shared" si="158"/>
        <v>67.371706225655785</v>
      </c>
      <c r="AS64" s="5">
        <f t="shared" si="101"/>
        <v>14.843026190409743</v>
      </c>
      <c r="AT64" s="5">
        <f t="shared" si="159"/>
        <v>3.1235099231262105</v>
      </c>
      <c r="AU64" s="5">
        <f t="shared" si="102"/>
        <v>11.719516267283533</v>
      </c>
      <c r="AV64" s="5">
        <f t="shared" si="160"/>
        <v>11.519516267283533</v>
      </c>
      <c r="AW64" s="173">
        <f t="shared" si="103"/>
        <v>0.21043619293377974</v>
      </c>
      <c r="AX64" s="173">
        <f t="shared" si="161"/>
        <v>90.944038387727318</v>
      </c>
      <c r="AY64" s="173">
        <f t="shared" si="162"/>
        <v>5.9214757635955886</v>
      </c>
      <c r="AZ64" s="173">
        <f t="shared" si="104"/>
        <v>15.358340052126641</v>
      </c>
      <c r="BA64" s="460">
        <f t="shared" si="163"/>
        <v>122.85805697629759</v>
      </c>
      <c r="BB64" s="5">
        <f t="shared" si="164"/>
        <v>6.2064588979793252</v>
      </c>
      <c r="BC64" s="5"/>
      <c r="BD64" s="173">
        <f t="shared" si="105"/>
        <v>3.9725768739728986</v>
      </c>
      <c r="BE64" s="173">
        <f t="shared" si="165"/>
        <v>7.6949483331505952</v>
      </c>
      <c r="BF64" s="173"/>
      <c r="BG64" s="528">
        <f t="shared" si="166"/>
        <v>0.31562734039248574</v>
      </c>
      <c r="BH64" s="528">
        <f t="shared" si="167"/>
        <v>1.3950082663078269</v>
      </c>
      <c r="BI64" s="528">
        <f t="shared" si="168"/>
        <v>9.7057394887654524E-2</v>
      </c>
      <c r="BJ64" s="528">
        <f t="shared" si="169"/>
        <v>3.651976995796314E-2</v>
      </c>
      <c r="BK64">
        <f t="shared" si="170"/>
        <v>2.5931258177227145E-2</v>
      </c>
      <c r="BL64" s="460">
        <f t="shared" si="106"/>
        <v>122.98865306488167</v>
      </c>
      <c r="BM64" s="528">
        <f t="shared" si="171"/>
        <v>1.9809308141986044</v>
      </c>
      <c r="BN64" s="460">
        <f t="shared" si="107"/>
        <v>1980.9308141986044</v>
      </c>
      <c r="BO64" s="528">
        <f t="shared" si="172"/>
        <v>3.6653749999999987</v>
      </c>
      <c r="BP64" s="528"/>
      <c r="BR64" s="460">
        <f t="shared" si="109"/>
        <v>3665.3749999999986</v>
      </c>
      <c r="BS64" s="528">
        <f t="shared" si="173"/>
        <v>0.47344101058872862</v>
      </c>
      <c r="BT64" s="528">
        <f t="shared" si="174"/>
        <v>1.7763668954957137</v>
      </c>
      <c r="BU64" s="528">
        <f t="shared" si="175"/>
        <v>1.3274999999999997</v>
      </c>
      <c r="BV64" s="528">
        <f t="shared" si="176"/>
        <v>5.0209568828333051</v>
      </c>
      <c r="BW64" s="528">
        <f t="shared" si="177"/>
        <v>1.5157339731287883E-2</v>
      </c>
      <c r="BX64" s="460">
        <f t="shared" si="110"/>
        <v>5036.1142225645926</v>
      </c>
      <c r="BY64" s="173">
        <f t="shared" si="45"/>
        <v>10.805408689828079</v>
      </c>
      <c r="BZ64" s="5">
        <f t="shared" si="111"/>
        <v>88.499999999999986</v>
      </c>
      <c r="CA64" s="173">
        <f t="shared" si="112"/>
        <v>0.89119012919449481</v>
      </c>
      <c r="CB64" s="5">
        <f t="shared" si="113"/>
        <v>89.119012919449474</v>
      </c>
      <c r="CE64" s="562">
        <f t="shared" si="178"/>
        <v>-50</v>
      </c>
      <c r="CF64">
        <f t="shared" si="179"/>
        <v>-50</v>
      </c>
      <c r="CG64" s="173">
        <f t="shared" si="180"/>
        <v>0.78670478852593939</v>
      </c>
      <c r="CI64" s="170">
        <v>59</v>
      </c>
      <c r="CJ64" s="217">
        <f t="shared" si="114"/>
        <v>5.8999999999999995</v>
      </c>
      <c r="CK64" s="217"/>
      <c r="CL64" s="217">
        <f t="shared" si="49"/>
        <v>88.499999999999986</v>
      </c>
      <c r="CM64" s="541">
        <f t="shared" si="50"/>
        <v>58</v>
      </c>
      <c r="CN64" s="172">
        <f t="shared" si="51"/>
        <v>15.4</v>
      </c>
      <c r="CO64" s="443">
        <f t="shared" si="52"/>
        <v>73.400000000000006</v>
      </c>
      <c r="CP64" s="443"/>
      <c r="CQ64" s="217">
        <f t="shared" si="53"/>
        <v>0.2098092643051771</v>
      </c>
      <c r="CR64" s="172">
        <f t="shared" si="54"/>
        <v>305.10568119891008</v>
      </c>
      <c r="CS64" s="172">
        <f t="shared" si="115"/>
        <v>88.499999999999986</v>
      </c>
      <c r="CT64" s="217">
        <f t="shared" si="55"/>
        <v>20.340378746594006</v>
      </c>
      <c r="CU64" s="217">
        <f t="shared" si="56"/>
        <v>15</v>
      </c>
      <c r="CV64" s="217">
        <f t="shared" si="57"/>
        <v>20.281562216167121</v>
      </c>
      <c r="CW64" s="172">
        <f t="shared" si="58"/>
        <v>187.88592871952588</v>
      </c>
      <c r="CX64" s="172">
        <f t="shared" si="59"/>
        <v>15</v>
      </c>
      <c r="CY64" s="217">
        <f t="shared" si="60"/>
        <v>14.545230631437526</v>
      </c>
      <c r="CZ64" s="217">
        <f t="shared" si="61"/>
        <v>3.0093580616767297</v>
      </c>
      <c r="DA64" s="217">
        <f t="shared" si="62"/>
        <v>11.333945946574696</v>
      </c>
      <c r="DB64" s="197">
        <f t="shared" si="63"/>
        <v>101.4078110808356</v>
      </c>
      <c r="DC64" s="443">
        <f t="shared" si="116"/>
        <v>69.718943377670811</v>
      </c>
      <c r="DE64" s="217">
        <f t="shared" si="64"/>
        <v>10</v>
      </c>
      <c r="DF64" s="173">
        <f t="shared" si="65"/>
        <v>7.7922077922077913</v>
      </c>
      <c r="DG64" s="173">
        <f t="shared" si="66"/>
        <v>3.9509536784741139</v>
      </c>
      <c r="DH64" s="173"/>
      <c r="DI64" s="173">
        <f t="shared" si="67"/>
        <v>7.7922077922077913</v>
      </c>
      <c r="DJ64" s="545">
        <f t="shared" si="117"/>
        <v>151.43333333333331</v>
      </c>
      <c r="DK64" s="528">
        <f t="shared" si="68"/>
        <v>3.9509536784741139</v>
      </c>
      <c r="DM64" s="173">
        <f t="shared" si="69"/>
        <v>6.5777402401331315</v>
      </c>
      <c r="DN64" s="173">
        <f t="shared" si="70"/>
        <v>14.545230631437526</v>
      </c>
      <c r="DO64" s="173">
        <f t="shared" si="71"/>
        <v>4.5668375047685386</v>
      </c>
      <c r="DQ64" s="545">
        <f t="shared" si="72"/>
        <v>5899.9999999999991</v>
      </c>
      <c r="DR64" s="460">
        <f t="shared" si="73"/>
        <v>69.718943377670811</v>
      </c>
      <c r="DT64">
        <f t="shared" si="74"/>
        <v>5899.9999999999991</v>
      </c>
      <c r="DU64">
        <f t="shared" si="75"/>
        <v>69.718943377670811</v>
      </c>
      <c r="DW64" s="5">
        <f t="shared" si="118"/>
        <v>14.343304008251426</v>
      </c>
      <c r="DX64" s="5">
        <f t="shared" si="76"/>
        <v>3.0093580616767297</v>
      </c>
      <c r="DY64" s="5">
        <f t="shared" si="119"/>
        <v>11.333945946574696</v>
      </c>
      <c r="DZ64" s="5">
        <f t="shared" si="77"/>
        <v>11.333945946574696</v>
      </c>
      <c r="EA64" s="173">
        <f t="shared" si="120"/>
        <v>0.2098092643051771</v>
      </c>
      <c r="EB64" s="173">
        <f t="shared" si="78"/>
        <v>88.5</v>
      </c>
      <c r="EC64" s="173">
        <f t="shared" si="79"/>
        <v>5.7467532467532463</v>
      </c>
      <c r="ED64" s="173">
        <f t="shared" si="121"/>
        <v>15.400000000000002</v>
      </c>
      <c r="EE64" s="460">
        <f t="shared" si="80"/>
        <v>118.3680837592847</v>
      </c>
      <c r="EF64" s="5">
        <f t="shared" si="81"/>
        <v>5.9634614522702751</v>
      </c>
      <c r="EG64" s="5"/>
      <c r="EH64" s="173">
        <f t="shared" si="122"/>
        <v>3.8465582629034212</v>
      </c>
      <c r="EI64" s="173">
        <f t="shared" si="82"/>
        <v>7.464933639177616</v>
      </c>
      <c r="EJ64" s="173"/>
      <c r="EK64" s="528">
        <f t="shared" si="83"/>
        <v>0.29592020939821173</v>
      </c>
      <c r="EL64" s="528">
        <f t="shared" si="84"/>
        <v>1.4886666666666668</v>
      </c>
      <c r="EM64" s="528">
        <f t="shared" si="85"/>
        <v>8.7148679222088504E-3</v>
      </c>
      <c r="EN64" s="528">
        <f t="shared" si="86"/>
        <v>3.7561499058380424E-2</v>
      </c>
      <c r="EO64">
        <f t="shared" si="87"/>
        <v>2.6099999999999998E-2</v>
      </c>
      <c r="EP64" s="460">
        <f t="shared" si="123"/>
        <v>34.814867922208848</v>
      </c>
      <c r="EQ64" s="528">
        <f t="shared" si="88"/>
        <v>2.0833428740489364</v>
      </c>
      <c r="ER64" s="460">
        <f t="shared" si="124"/>
        <v>2083.3428740489362</v>
      </c>
      <c r="ES64" s="528">
        <f t="shared" si="125"/>
        <v>3.6653749999999987</v>
      </c>
      <c r="ET64" s="528"/>
      <c r="EV64" s="460">
        <f t="shared" si="126"/>
        <v>3665.3749999999986</v>
      </c>
      <c r="EW64" s="528">
        <f t="shared" si="89"/>
        <v>0.44388031409731754</v>
      </c>
      <c r="EX64" s="528">
        <f t="shared" si="90"/>
        <v>1.6717570271197668</v>
      </c>
      <c r="EY64" s="528">
        <f t="shared" si="91"/>
        <v>1.6373763960187142</v>
      </c>
      <c r="EZ64" s="528">
        <f t="shared" si="92"/>
        <v>5.1288254743349793</v>
      </c>
      <c r="FA64" s="528">
        <f t="shared" si="93"/>
        <v>1.4749999999999997E-2</v>
      </c>
      <c r="FB64" s="460">
        <f t="shared" si="127"/>
        <v>5143.5754743349798</v>
      </c>
      <c r="FC64" s="173">
        <f t="shared" si="128"/>
        <v>10.892293348383914</v>
      </c>
      <c r="FD64" s="5">
        <f t="shared" si="129"/>
        <v>88.499999999999986</v>
      </c>
      <c r="FE64" s="173">
        <f t="shared" si="130"/>
        <v>0.89041108740488661</v>
      </c>
      <c r="FF64" s="5">
        <f t="shared" si="131"/>
        <v>89.041108740488667</v>
      </c>
      <c r="FI64" s="562">
        <f t="shared" si="94"/>
        <v>-50</v>
      </c>
      <c r="FJ64">
        <f t="shared" si="95"/>
        <v>-50</v>
      </c>
      <c r="FL64">
        <f t="shared" si="181"/>
        <v>0.7901907356948229</v>
      </c>
    </row>
    <row r="65" spans="5:168">
      <c r="E65" s="170">
        <v>60</v>
      </c>
      <c r="F65" s="217">
        <f t="shared" si="182"/>
        <v>6</v>
      </c>
      <c r="G65" s="217"/>
      <c r="H65" s="217">
        <f t="shared" si="132"/>
        <v>90</v>
      </c>
      <c r="I65" s="541">
        <f t="shared" si="133"/>
        <v>57.618690707567787</v>
      </c>
      <c r="J65" s="172">
        <f t="shared" si="134"/>
        <v>15.628785575459329</v>
      </c>
      <c r="K65" s="172">
        <f t="shared" si="135"/>
        <v>73.628785575459332</v>
      </c>
      <c r="L65" s="443"/>
      <c r="M65" s="217">
        <f t="shared" si="136"/>
        <v>0.2133589530900854</v>
      </c>
      <c r="N65" s="172">
        <f t="shared" si="137"/>
        <v>308.22786430046705</v>
      </c>
      <c r="O65" s="172">
        <f t="shared" si="98"/>
        <v>90</v>
      </c>
      <c r="P65" s="217">
        <f t="shared" si="138"/>
        <v>20.548524286697802</v>
      </c>
      <c r="Q65" s="217">
        <f t="shared" si="139"/>
        <v>15</v>
      </c>
      <c r="R65" s="217">
        <f t="shared" si="140"/>
        <v>20.489105879646825</v>
      </c>
      <c r="S65" s="172">
        <f t="shared" si="141"/>
        <v>182.58513996164382</v>
      </c>
      <c r="T65" s="172">
        <f t="shared" si="142"/>
        <v>15</v>
      </c>
      <c r="U65" s="217">
        <f t="shared" si="143"/>
        <v>15.254734096496021</v>
      </c>
      <c r="V65" s="217">
        <f t="shared" si="11"/>
        <v>3.1770386815455542</v>
      </c>
      <c r="W65" s="217">
        <f t="shared" si="144"/>
        <v>11.712798046534862</v>
      </c>
      <c r="X65" s="197">
        <f t="shared" si="145"/>
        <v>102.45064721043886</v>
      </c>
      <c r="Y65" s="443">
        <f t="shared" si="14"/>
        <v>66.269769383197982</v>
      </c>
      <c r="AA65" s="217">
        <f t="shared" si="146"/>
        <v>10</v>
      </c>
      <c r="AB65" s="173">
        <f t="shared" si="147"/>
        <v>7.6781397646421556</v>
      </c>
      <c r="AC65" s="173">
        <f t="shared" si="148"/>
        <v>3.9331519412989775</v>
      </c>
      <c r="AD65" s="173"/>
      <c r="AE65" s="173">
        <f t="shared" si="149"/>
        <v>7.6781397646421556</v>
      </c>
      <c r="AF65" s="545">
        <f t="shared" si="150"/>
        <v>156.28785575459327</v>
      </c>
      <c r="AG65" s="528">
        <f t="shared" si="151"/>
        <v>3.9331519412989784</v>
      </c>
      <c r="AI65" s="173">
        <f t="shared" si="152"/>
        <v>6.6823403888713226</v>
      </c>
      <c r="AJ65" s="173">
        <f t="shared" si="153"/>
        <v>15.254734096496021</v>
      </c>
      <c r="AK65" s="173">
        <f t="shared" si="154"/>
        <v>5.0923956270340893</v>
      </c>
      <c r="AM65" s="545">
        <f t="shared" si="155"/>
        <v>6000</v>
      </c>
      <c r="AN65" s="460">
        <f t="shared" si="156"/>
        <v>66.269769383197982</v>
      </c>
      <c r="AP65">
        <f t="shared" si="157"/>
        <v>6000</v>
      </c>
      <c r="AQ65">
        <f t="shared" si="158"/>
        <v>66.269769383197982</v>
      </c>
      <c r="AS65" s="5">
        <f t="shared" si="101"/>
        <v>15.089836728080416</v>
      </c>
      <c r="AT65" s="5">
        <f t="shared" si="159"/>
        <v>3.1770386815455542</v>
      </c>
      <c r="AU65" s="5">
        <f t="shared" si="102"/>
        <v>11.912798046534862</v>
      </c>
      <c r="AV65" s="5">
        <f t="shared" si="160"/>
        <v>11.712798046534862</v>
      </c>
      <c r="AW65" s="173">
        <f t="shared" si="103"/>
        <v>0.21054162074752328</v>
      </c>
      <c r="AX65" s="173">
        <f t="shared" si="161"/>
        <v>92.528600493771293</v>
      </c>
      <c r="AY65" s="173">
        <f t="shared" si="162"/>
        <v>6.0214888278736218</v>
      </c>
      <c r="AZ65" s="173">
        <f t="shared" si="104"/>
        <v>15.366399098085859</v>
      </c>
      <c r="BA65" s="460">
        <f t="shared" si="163"/>
        <v>127.08154726182217</v>
      </c>
      <c r="BB65" s="5">
        <f t="shared" si="164"/>
        <v>6.4164513466384276</v>
      </c>
      <c r="BC65" s="5"/>
      <c r="BD65" s="173">
        <f t="shared" si="105"/>
        <v>4.0412246694259686</v>
      </c>
      <c r="BE65" s="173">
        <f t="shared" si="165"/>
        <v>7.8254376207440135</v>
      </c>
      <c r="BF65" s="173"/>
      <c r="BG65" s="528">
        <f t="shared" si="166"/>
        <v>0.32662993657554062</v>
      </c>
      <c r="BH65" s="528">
        <f t="shared" si="167"/>
        <v>1.3956258681440454</v>
      </c>
      <c r="BI65" s="528">
        <f t="shared" si="168"/>
        <v>9.5459433633808252E-2</v>
      </c>
      <c r="BJ65" s="528">
        <f t="shared" si="169"/>
        <v>3.5926154556919464E-2</v>
      </c>
      <c r="BK65">
        <f t="shared" si="170"/>
        <v>2.5928410818405502E-2</v>
      </c>
      <c r="BL65" s="460">
        <f t="shared" si="106"/>
        <v>121.38784445221376</v>
      </c>
      <c r="BM65" s="528">
        <f t="shared" si="171"/>
        <v>2.0017200786238187</v>
      </c>
      <c r="BN65" s="460">
        <f t="shared" si="107"/>
        <v>2001.7200786238188</v>
      </c>
      <c r="BO65" s="528">
        <f t="shared" si="172"/>
        <v>3.7274999999999991</v>
      </c>
      <c r="BP65" s="528"/>
      <c r="BR65" s="460">
        <f t="shared" si="109"/>
        <v>3727.4999999999991</v>
      </c>
      <c r="BS65" s="528">
        <f t="shared" si="173"/>
        <v>0.48994490486331088</v>
      </c>
      <c r="BT65" s="528">
        <f t="shared" si="174"/>
        <v>1.8371242186846717</v>
      </c>
      <c r="BU65" s="528">
        <f t="shared" si="175"/>
        <v>1.3499999999999999</v>
      </c>
      <c r="BV65" s="528">
        <f t="shared" si="176"/>
        <v>5.2044560272741229</v>
      </c>
      <c r="BW65" s="528">
        <f t="shared" si="177"/>
        <v>1.5421433415628549E-2</v>
      </c>
      <c r="BX65" s="460">
        <f t="shared" si="110"/>
        <v>5219.8774606897514</v>
      </c>
      <c r="BY65" s="173">
        <f t="shared" si="45"/>
        <v>11.070485383765783</v>
      </c>
      <c r="BZ65" s="5">
        <f t="shared" si="111"/>
        <v>90</v>
      </c>
      <c r="CA65" s="173">
        <f t="shared" si="112"/>
        <v>0.89046767370582003</v>
      </c>
      <c r="CB65" s="5">
        <f t="shared" si="113"/>
        <v>89.046767370582003</v>
      </c>
      <c r="CE65" s="562">
        <f t="shared" si="178"/>
        <v>-50</v>
      </c>
      <c r="CF65">
        <f t="shared" si="179"/>
        <v>-50</v>
      </c>
      <c r="CG65" s="173">
        <f t="shared" si="180"/>
        <v>0.78676288764542079</v>
      </c>
      <c r="CI65" s="170">
        <v>60</v>
      </c>
      <c r="CJ65" s="217">
        <f t="shared" si="114"/>
        <v>6</v>
      </c>
      <c r="CK65" s="217"/>
      <c r="CL65" s="217">
        <f t="shared" si="49"/>
        <v>90</v>
      </c>
      <c r="CM65" s="541">
        <f t="shared" si="50"/>
        <v>58</v>
      </c>
      <c r="CN65" s="172">
        <f t="shared" si="51"/>
        <v>15.4</v>
      </c>
      <c r="CO65" s="443">
        <f t="shared" si="52"/>
        <v>73.400000000000006</v>
      </c>
      <c r="CP65" s="443"/>
      <c r="CQ65" s="217">
        <f t="shared" si="53"/>
        <v>0.2098092643051771</v>
      </c>
      <c r="CR65" s="172">
        <f t="shared" si="54"/>
        <v>305.10568119891008</v>
      </c>
      <c r="CS65" s="172">
        <f t="shared" si="115"/>
        <v>90</v>
      </c>
      <c r="CT65" s="217">
        <f t="shared" si="55"/>
        <v>20.340378746594006</v>
      </c>
      <c r="CU65" s="217">
        <f t="shared" si="56"/>
        <v>15</v>
      </c>
      <c r="CV65" s="217">
        <f t="shared" si="57"/>
        <v>20.281562216167121</v>
      </c>
      <c r="CW65" s="172">
        <f t="shared" si="58"/>
        <v>183.79262176615734</v>
      </c>
      <c r="CX65" s="172">
        <f t="shared" si="59"/>
        <v>15</v>
      </c>
      <c r="CY65" s="217">
        <f t="shared" si="60"/>
        <v>14.791759964173758</v>
      </c>
      <c r="CZ65" s="217">
        <f t="shared" si="61"/>
        <v>3.0603641305187086</v>
      </c>
      <c r="DA65" s="217">
        <f t="shared" si="62"/>
        <v>11.526046725330202</v>
      </c>
      <c r="DB65" s="197">
        <f t="shared" si="63"/>
        <v>101.4078110808356</v>
      </c>
      <c r="DC65" s="443">
        <f t="shared" si="116"/>
        <v>68.55696098804296</v>
      </c>
      <c r="DE65" s="217">
        <f t="shared" si="64"/>
        <v>10</v>
      </c>
      <c r="DF65" s="173">
        <f t="shared" si="65"/>
        <v>7.7922077922077913</v>
      </c>
      <c r="DG65" s="173">
        <f t="shared" si="66"/>
        <v>3.9509536784741139</v>
      </c>
      <c r="DH65" s="173"/>
      <c r="DI65" s="173">
        <f t="shared" si="67"/>
        <v>7.7922077922077913</v>
      </c>
      <c r="DJ65" s="545">
        <f t="shared" si="117"/>
        <v>154</v>
      </c>
      <c r="DK65" s="528">
        <f t="shared" si="68"/>
        <v>3.9509536784741139</v>
      </c>
      <c r="DM65" s="173">
        <f t="shared" si="69"/>
        <v>6.6332495807107996</v>
      </c>
      <c r="DN65" s="173">
        <f t="shared" si="70"/>
        <v>14.791759964173758</v>
      </c>
      <c r="DO65" s="173">
        <f t="shared" si="71"/>
        <v>4.7494518253138951</v>
      </c>
      <c r="DQ65" s="545">
        <f t="shared" si="72"/>
        <v>6000</v>
      </c>
      <c r="DR65" s="460">
        <f t="shared" si="73"/>
        <v>68.55696098804296</v>
      </c>
      <c r="DT65">
        <f t="shared" si="74"/>
        <v>6000</v>
      </c>
      <c r="DU65">
        <f t="shared" si="75"/>
        <v>68.55696098804296</v>
      </c>
      <c r="DW65" s="5">
        <f t="shared" si="118"/>
        <v>14.586410855848911</v>
      </c>
      <c r="DX65" s="5">
        <f t="shared" si="76"/>
        <v>3.0603641305187086</v>
      </c>
      <c r="DY65" s="5">
        <f t="shared" si="119"/>
        <v>11.526046725330202</v>
      </c>
      <c r="DZ65" s="5">
        <f t="shared" si="77"/>
        <v>11.526046725330202</v>
      </c>
      <c r="EA65" s="173">
        <f t="shared" si="120"/>
        <v>0.2098092643051771</v>
      </c>
      <c r="EB65" s="173">
        <f t="shared" si="78"/>
        <v>90.000000000000028</v>
      </c>
      <c r="EC65" s="173">
        <f t="shared" si="79"/>
        <v>5.8441558441558445</v>
      </c>
      <c r="ED65" s="173">
        <f t="shared" si="121"/>
        <v>15.400000000000004</v>
      </c>
      <c r="EE65" s="460">
        <f t="shared" si="80"/>
        <v>122.41456522074834</v>
      </c>
      <c r="EF65" s="5">
        <f t="shared" si="81"/>
        <v>6.1673258340054584</v>
      </c>
      <c r="EG65" s="5"/>
      <c r="EH65" s="173">
        <f t="shared" si="122"/>
        <v>3.911754165664497</v>
      </c>
      <c r="EI65" s="173">
        <f t="shared" si="82"/>
        <v>7.5914579381467302</v>
      </c>
      <c r="EJ65" s="173"/>
      <c r="EK65" s="528">
        <f t="shared" si="83"/>
        <v>0.3060364130518709</v>
      </c>
      <c r="EL65" s="528">
        <f t="shared" si="84"/>
        <v>1.4886666666666668</v>
      </c>
      <c r="EM65" s="528">
        <f t="shared" si="85"/>
        <v>8.5696201235053691E-3</v>
      </c>
      <c r="EN65" s="528">
        <f t="shared" si="86"/>
        <v>3.6935474074074076E-2</v>
      </c>
      <c r="EO65">
        <f t="shared" si="87"/>
        <v>2.6099999999999998E-2</v>
      </c>
      <c r="EP65" s="460">
        <f t="shared" si="123"/>
        <v>34.669620123505368</v>
      </c>
      <c r="EQ65" s="528">
        <f t="shared" si="88"/>
        <v>2.1017663747119584</v>
      </c>
      <c r="ER65" s="460">
        <f t="shared" si="124"/>
        <v>2101.7663747119582</v>
      </c>
      <c r="ES65" s="528">
        <f t="shared" si="125"/>
        <v>3.7274999999999991</v>
      </c>
      <c r="ET65" s="528"/>
      <c r="EV65" s="460">
        <f t="shared" si="126"/>
        <v>3727.4999999999991</v>
      </c>
      <c r="EW65" s="528">
        <f t="shared" si="89"/>
        <v>0.4590546195778063</v>
      </c>
      <c r="EX65" s="528">
        <f t="shared" si="90"/>
        <v>1.7289070087995302</v>
      </c>
      <c r="EY65" s="528">
        <f t="shared" si="91"/>
        <v>1.6373763960187153</v>
      </c>
      <c r="EZ65" s="528">
        <f t="shared" si="92"/>
        <v>5.2735073542521667</v>
      </c>
      <c r="FA65" s="528">
        <f t="shared" si="93"/>
        <v>1.5000000000000003E-2</v>
      </c>
      <c r="FB65" s="460">
        <f t="shared" si="127"/>
        <v>5288.5073542521659</v>
      </c>
      <c r="FC65" s="173">
        <f t="shared" si="128"/>
        <v>11.117773728964124</v>
      </c>
      <c r="FD65" s="5">
        <f t="shared" si="129"/>
        <v>90</v>
      </c>
      <c r="FE65" s="173">
        <f t="shared" si="130"/>
        <v>0.89005124105318834</v>
      </c>
      <c r="FF65" s="5">
        <f t="shared" si="131"/>
        <v>89.005124105318828</v>
      </c>
      <c r="FI65" s="562">
        <f t="shared" si="94"/>
        <v>-50</v>
      </c>
      <c r="FJ65">
        <f t="shared" si="95"/>
        <v>-50</v>
      </c>
      <c r="FL65">
        <f t="shared" si="181"/>
        <v>0.7901907356948229</v>
      </c>
    </row>
    <row r="66" spans="5:168">
      <c r="E66" s="170">
        <v>61</v>
      </c>
      <c r="F66" s="217">
        <f t="shared" si="182"/>
        <v>6.1</v>
      </c>
      <c r="G66" s="217"/>
      <c r="H66" s="217">
        <f t="shared" si="132"/>
        <v>91.5</v>
      </c>
      <c r="I66" s="541">
        <f t="shared" si="133"/>
        <v>57.612363239497327</v>
      </c>
      <c r="J66" s="172">
        <f t="shared" si="134"/>
        <v>15.632582056301604</v>
      </c>
      <c r="K66" s="172">
        <f t="shared" si="135"/>
        <v>73.632582056301601</v>
      </c>
      <c r="L66" s="443"/>
      <c r="M66" s="217">
        <f t="shared" si="136"/>
        <v>0.21341815996266345</v>
      </c>
      <c r="N66" s="172">
        <f t="shared" si="137"/>
        <v>308.27953937199419</v>
      </c>
      <c r="O66" s="172">
        <f t="shared" si="98"/>
        <v>91.5</v>
      </c>
      <c r="P66" s="217">
        <f t="shared" si="138"/>
        <v>20.551969291466278</v>
      </c>
      <c r="Q66" s="217">
        <f t="shared" si="139"/>
        <v>15</v>
      </c>
      <c r="R66" s="217">
        <f t="shared" si="140"/>
        <v>20.492540922790187</v>
      </c>
      <c r="S66" s="172">
        <f t="shared" si="141"/>
        <v>178.63259881460269</v>
      </c>
      <c r="T66" s="172">
        <f t="shared" si="142"/>
        <v>15</v>
      </c>
      <c r="U66" s="217">
        <f t="shared" si="143"/>
        <v>15.510147042577165</v>
      </c>
      <c r="V66" s="217">
        <f t="shared" si="11"/>
        <v>3.2305872220031833</v>
      </c>
      <c r="W66" s="217">
        <f t="shared" si="144"/>
        <v>11.906015515581378</v>
      </c>
      <c r="X66" s="197">
        <f t="shared" si="145"/>
        <v>102.467821290342</v>
      </c>
      <c r="Y66" s="443">
        <f t="shared" si="14"/>
        <v>65.203488485057747</v>
      </c>
      <c r="AA66" s="217">
        <f t="shared" si="146"/>
        <v>10</v>
      </c>
      <c r="AB66" s="173">
        <f t="shared" si="147"/>
        <v>7.6762750752123612</v>
      </c>
      <c r="AC66" s="173">
        <f t="shared" si="148"/>
        <v>3.9328559129118341</v>
      </c>
      <c r="AD66" s="173"/>
      <c r="AE66" s="173">
        <f t="shared" si="149"/>
        <v>7.6762750752123612</v>
      </c>
      <c r="AF66" s="545">
        <f t="shared" si="150"/>
        <v>158.93125090573295</v>
      </c>
      <c r="AG66" s="528">
        <f t="shared" si="151"/>
        <v>3.9328559129118346</v>
      </c>
      <c r="AI66" s="173">
        <f t="shared" si="152"/>
        <v>6.7386147560317928</v>
      </c>
      <c r="AJ66" s="173">
        <f t="shared" si="153"/>
        <v>15.510147042577165</v>
      </c>
      <c r="AK66" s="173">
        <f t="shared" si="154"/>
        <v>5.2815904019090105</v>
      </c>
      <c r="AM66" s="545">
        <f t="shared" si="155"/>
        <v>6100</v>
      </c>
      <c r="AN66" s="460">
        <f t="shared" si="156"/>
        <v>65.203488485057747</v>
      </c>
      <c r="AP66">
        <f t="shared" si="157"/>
        <v>6100</v>
      </c>
      <c r="AQ66">
        <f t="shared" si="158"/>
        <v>65.203488485057747</v>
      </c>
      <c r="AS66" s="5">
        <f t="shared" si="101"/>
        <v>15.336602737584561</v>
      </c>
      <c r="AT66" s="5">
        <f t="shared" si="159"/>
        <v>3.2305872220031833</v>
      </c>
      <c r="AU66" s="5">
        <f t="shared" si="102"/>
        <v>12.106015515581378</v>
      </c>
      <c r="AV66" s="5">
        <f t="shared" si="160"/>
        <v>11.906015515581378</v>
      </c>
      <c r="AW66" s="173">
        <f t="shared" si="103"/>
        <v>0.21064555672985924</v>
      </c>
      <c r="AX66" s="173">
        <f t="shared" si="161"/>
        <v>94.113930731019096</v>
      </c>
      <c r="AY66" s="173">
        <f t="shared" si="162"/>
        <v>6.1215017419157585</v>
      </c>
      <c r="AZ66" s="173">
        <f t="shared" si="104"/>
        <v>15.374320664910178</v>
      </c>
      <c r="BA66" s="460">
        <f t="shared" si="163"/>
        <v>131.37721369479613</v>
      </c>
      <c r="BB66" s="5">
        <f t="shared" si="164"/>
        <v>6.6299252535308639</v>
      </c>
      <c r="BC66" s="5"/>
      <c r="BD66" s="173">
        <f t="shared" si="105"/>
        <v>4.1099017427571116</v>
      </c>
      <c r="BE66" s="173">
        <f t="shared" si="165"/>
        <v>7.9559366571345382</v>
      </c>
      <c r="BF66" s="173"/>
      <c r="BG66" s="528">
        <f t="shared" si="166"/>
        <v>0.33782584670235888</v>
      </c>
      <c r="BH66" s="528">
        <f t="shared" si="167"/>
        <v>1.3962334843138486</v>
      </c>
      <c r="BI66" s="528">
        <f t="shared" si="168"/>
        <v>9.3913176577088184E-2</v>
      </c>
      <c r="BJ66" s="528">
        <f t="shared" si="169"/>
        <v>3.5351747926489541E-2</v>
      </c>
      <c r="BK66">
        <f t="shared" si="170"/>
        <v>2.5925563457773797E-2</v>
      </c>
      <c r="BL66" s="460">
        <f t="shared" si="106"/>
        <v>119.83874003486197</v>
      </c>
      <c r="BM66" s="528">
        <f t="shared" si="171"/>
        <v>2.0230054913705029</v>
      </c>
      <c r="BN66" s="460">
        <f t="shared" si="107"/>
        <v>2023.0054913705028</v>
      </c>
      <c r="BO66" s="528">
        <f t="shared" si="172"/>
        <v>3.7896249999999996</v>
      </c>
      <c r="BP66" s="528"/>
      <c r="BR66" s="460">
        <f t="shared" si="109"/>
        <v>3789.6249999999995</v>
      </c>
      <c r="BS66" s="528">
        <f t="shared" si="173"/>
        <v>0.50673877005353829</v>
      </c>
      <c r="BT66" s="528">
        <f t="shared" si="174"/>
        <v>1.8989078427701127</v>
      </c>
      <c r="BU66" s="528">
        <f t="shared" si="175"/>
        <v>1.3725000000000001</v>
      </c>
      <c r="BV66" s="528">
        <f t="shared" si="176"/>
        <v>5.3934878650009219</v>
      </c>
      <c r="BW66" s="528">
        <f t="shared" si="177"/>
        <v>1.5685655121836513E-2</v>
      </c>
      <c r="BX66" s="460">
        <f t="shared" si="110"/>
        <v>5409.1735201227584</v>
      </c>
      <c r="BY66" s="173">
        <f t="shared" si="45"/>
        <v>11.341642751528122</v>
      </c>
      <c r="BZ66" s="5">
        <f t="shared" si="111"/>
        <v>91.5</v>
      </c>
      <c r="CA66" s="173">
        <f t="shared" si="112"/>
        <v>0.88971740971767388</v>
      </c>
      <c r="CB66" s="5">
        <f t="shared" si="113"/>
        <v>88.971740971767389</v>
      </c>
      <c r="CE66" s="562">
        <f t="shared" si="178"/>
        <v>-50</v>
      </c>
      <c r="CF66">
        <f t="shared" si="179"/>
        <v>-50</v>
      </c>
      <c r="CG66" s="173">
        <f t="shared" si="180"/>
        <v>0.78681908187573879</v>
      </c>
      <c r="CI66" s="170">
        <v>61</v>
      </c>
      <c r="CJ66" s="217">
        <f t="shared" si="114"/>
        <v>6.1</v>
      </c>
      <c r="CK66" s="217"/>
      <c r="CL66" s="217">
        <f t="shared" si="49"/>
        <v>91.5</v>
      </c>
      <c r="CM66" s="541">
        <f t="shared" si="50"/>
        <v>58</v>
      </c>
      <c r="CN66" s="172">
        <f t="shared" si="51"/>
        <v>15.4</v>
      </c>
      <c r="CO66" s="443">
        <f t="shared" si="52"/>
        <v>73.400000000000006</v>
      </c>
      <c r="CP66" s="443"/>
      <c r="CQ66" s="217">
        <f t="shared" si="53"/>
        <v>0.2098092643051771</v>
      </c>
      <c r="CR66" s="172">
        <f t="shared" si="54"/>
        <v>305.10568119891008</v>
      </c>
      <c r="CS66" s="172">
        <f t="shared" si="115"/>
        <v>91.5</v>
      </c>
      <c r="CT66" s="217">
        <f t="shared" si="55"/>
        <v>20.340378746594006</v>
      </c>
      <c r="CU66" s="217">
        <f t="shared" si="56"/>
        <v>15</v>
      </c>
      <c r="CV66" s="217">
        <f t="shared" si="57"/>
        <v>20.281562216167121</v>
      </c>
      <c r="CW66" s="172">
        <f t="shared" si="58"/>
        <v>179.83363984088265</v>
      </c>
      <c r="CX66" s="172">
        <f t="shared" si="59"/>
        <v>15</v>
      </c>
      <c r="CY66" s="217">
        <f t="shared" si="60"/>
        <v>15.038289296909987</v>
      </c>
      <c r="CZ66" s="217">
        <f t="shared" si="61"/>
        <v>3.111370199360687</v>
      </c>
      <c r="DA66" s="217">
        <f t="shared" si="62"/>
        <v>11.718147504085705</v>
      </c>
      <c r="DB66" s="197">
        <f t="shared" si="63"/>
        <v>101.4078110808356</v>
      </c>
      <c r="DC66" s="443">
        <f t="shared" si="116"/>
        <v>67.433076381681602</v>
      </c>
      <c r="DE66" s="217">
        <f t="shared" si="64"/>
        <v>10</v>
      </c>
      <c r="DF66" s="173">
        <f t="shared" si="65"/>
        <v>7.7922077922077913</v>
      </c>
      <c r="DG66" s="173">
        <f t="shared" si="66"/>
        <v>3.9509536784741139</v>
      </c>
      <c r="DH66" s="173"/>
      <c r="DI66" s="173">
        <f t="shared" si="67"/>
        <v>7.7922077922077913</v>
      </c>
      <c r="DJ66" s="545">
        <f t="shared" si="117"/>
        <v>156.56666666666666</v>
      </c>
      <c r="DK66" s="528">
        <f t="shared" si="68"/>
        <v>3.9509536784741139</v>
      </c>
      <c r="DM66" s="173">
        <f t="shared" si="69"/>
        <v>6.688298238964328</v>
      </c>
      <c r="DN66" s="173">
        <f t="shared" si="70"/>
        <v>15.038289296909987</v>
      </c>
      <c r="DO66" s="173">
        <f t="shared" si="71"/>
        <v>4.9320661458592499</v>
      </c>
      <c r="DQ66" s="545">
        <f t="shared" si="72"/>
        <v>6100</v>
      </c>
      <c r="DR66" s="460">
        <f t="shared" si="73"/>
        <v>67.433076381681602</v>
      </c>
      <c r="DT66">
        <f t="shared" si="74"/>
        <v>6100</v>
      </c>
      <c r="DU66">
        <f t="shared" si="75"/>
        <v>67.433076381681602</v>
      </c>
      <c r="DW66" s="5">
        <f t="shared" si="118"/>
        <v>14.82951770344639</v>
      </c>
      <c r="DX66" s="5">
        <f t="shared" si="76"/>
        <v>3.111370199360687</v>
      </c>
      <c r="DY66" s="5">
        <f t="shared" si="119"/>
        <v>11.718147504085703</v>
      </c>
      <c r="DZ66" s="5">
        <f t="shared" si="77"/>
        <v>11.718147504085705</v>
      </c>
      <c r="EA66" s="173">
        <f t="shared" si="120"/>
        <v>0.20980926430517713</v>
      </c>
      <c r="EB66" s="173">
        <f t="shared" si="78"/>
        <v>91.5</v>
      </c>
      <c r="EC66" s="173">
        <f t="shared" si="79"/>
        <v>5.9415584415584419</v>
      </c>
      <c r="ED66" s="173">
        <f t="shared" si="121"/>
        <v>15.399999999999999</v>
      </c>
      <c r="EE66" s="460">
        <f t="shared" si="80"/>
        <v>126.52905477400128</v>
      </c>
      <c r="EF66" s="5">
        <f t="shared" si="81"/>
        <v>6.3746165078706403</v>
      </c>
      <c r="EG66" s="5"/>
      <c r="EH66" s="173">
        <f t="shared" si="122"/>
        <v>3.9769500684255714</v>
      </c>
      <c r="EI66" s="173">
        <f t="shared" si="82"/>
        <v>7.7179822371158417</v>
      </c>
      <c r="EJ66" s="173"/>
      <c r="EK66" s="528">
        <f t="shared" si="83"/>
        <v>0.31632263693500312</v>
      </c>
      <c r="EL66" s="528">
        <f t="shared" si="84"/>
        <v>1.4886666666666668</v>
      </c>
      <c r="EM66" s="528">
        <f t="shared" si="85"/>
        <v>8.4291345477101997E-3</v>
      </c>
      <c r="EN66" s="528">
        <f t="shared" si="86"/>
        <v>3.6329974499089257E-2</v>
      </c>
      <c r="EO66">
        <f t="shared" si="87"/>
        <v>2.6099999999999998E-2</v>
      </c>
      <c r="EP66" s="460">
        <f t="shared" si="123"/>
        <v>34.5291345477102</v>
      </c>
      <c r="EQ66" s="528">
        <f t="shared" si="88"/>
        <v>2.1206390636259438</v>
      </c>
      <c r="ER66" s="460">
        <f t="shared" si="124"/>
        <v>2120.6390636259439</v>
      </c>
      <c r="ES66" s="528">
        <f t="shared" si="125"/>
        <v>3.7896249999999996</v>
      </c>
      <c r="ET66" s="528"/>
      <c r="EV66" s="460">
        <f t="shared" si="126"/>
        <v>3789.6249999999995</v>
      </c>
      <c r="EW66" s="528">
        <f t="shared" si="89"/>
        <v>0.47448395540250465</v>
      </c>
      <c r="EX66" s="528">
        <f t="shared" si="90"/>
        <v>1.7870174943730697</v>
      </c>
      <c r="EY66" s="528">
        <f t="shared" si="91"/>
        <v>1.6373763960187142</v>
      </c>
      <c r="EZ66" s="528">
        <f t="shared" si="92"/>
        <v>5.422716734236225</v>
      </c>
      <c r="FA66" s="528">
        <f t="shared" si="93"/>
        <v>1.5250000000000001E-2</v>
      </c>
      <c r="FB66" s="460">
        <f t="shared" si="127"/>
        <v>5437.9667342362254</v>
      </c>
      <c r="FC66" s="173">
        <f t="shared" si="128"/>
        <v>11.348230797862168</v>
      </c>
      <c r="FD66" s="5">
        <f t="shared" si="129"/>
        <v>91.5</v>
      </c>
      <c r="FE66" s="173">
        <f t="shared" si="130"/>
        <v>0.88966041797874018</v>
      </c>
      <c r="FF66" s="5">
        <f t="shared" si="131"/>
        <v>88.966041797874013</v>
      </c>
      <c r="FI66" s="562">
        <f t="shared" si="94"/>
        <v>-50</v>
      </c>
      <c r="FJ66">
        <f t="shared" si="95"/>
        <v>-50</v>
      </c>
      <c r="FL66">
        <f t="shared" si="181"/>
        <v>0.7901907356948229</v>
      </c>
    </row>
    <row r="67" spans="5:168">
      <c r="E67" s="170">
        <v>62</v>
      </c>
      <c r="F67" s="217">
        <f t="shared" si="182"/>
        <v>6.2</v>
      </c>
      <c r="G67" s="217"/>
      <c r="H67" s="217">
        <f t="shared" si="132"/>
        <v>93</v>
      </c>
      <c r="I67" s="541">
        <f t="shared" si="133"/>
        <v>57.606035767599948</v>
      </c>
      <c r="J67" s="172">
        <f t="shared" si="134"/>
        <v>15.636378539440033</v>
      </c>
      <c r="K67" s="172">
        <f t="shared" si="135"/>
        <v>73.636378539440031</v>
      </c>
      <c r="L67" s="443"/>
      <c r="M67" s="217">
        <f t="shared" si="136"/>
        <v>0.21347737093827823</v>
      </c>
      <c r="N67" s="172">
        <f t="shared" si="137"/>
        <v>308.33120156336514</v>
      </c>
      <c r="O67" s="172">
        <f t="shared" si="98"/>
        <v>93</v>
      </c>
      <c r="P67" s="217">
        <f t="shared" si="138"/>
        <v>20.555413437557675</v>
      </c>
      <c r="Q67" s="217">
        <f t="shared" si="139"/>
        <v>15</v>
      </c>
      <c r="R67" s="217">
        <f t="shared" si="140"/>
        <v>20.49597510973943</v>
      </c>
      <c r="S67" s="172">
        <f t="shared" si="141"/>
        <v>174.80788123462963</v>
      </c>
      <c r="T67" s="172">
        <f t="shared" si="142"/>
        <v>15</v>
      </c>
      <c r="U67" s="217">
        <f t="shared" si="143"/>
        <v>15.765598524218584</v>
      </c>
      <c r="V67" s="217">
        <f t="shared" si="11"/>
        <v>3.2841555536621359</v>
      </c>
      <c r="W67" s="217">
        <f t="shared" si="144"/>
        <v>12.099168731009639</v>
      </c>
      <c r="X67" s="197">
        <f t="shared" si="145"/>
        <v>102.48499110122586</v>
      </c>
      <c r="Y67" s="443">
        <f t="shared" si="14"/>
        <v>64.171160256456318</v>
      </c>
      <c r="AA67" s="217">
        <f t="shared" si="146"/>
        <v>10</v>
      </c>
      <c r="AB67" s="173">
        <f t="shared" si="147"/>
        <v>7.6744112901411912</v>
      </c>
      <c r="AC67" s="173">
        <f t="shared" si="148"/>
        <v>3.9325598638863362</v>
      </c>
      <c r="AD67" s="173"/>
      <c r="AE67" s="173">
        <f t="shared" si="149"/>
        <v>7.6744112901411912</v>
      </c>
      <c r="AF67" s="545">
        <f t="shared" si="150"/>
        <v>161.57591157421365</v>
      </c>
      <c r="AG67" s="528">
        <f t="shared" si="151"/>
        <v>3.9325598638863362</v>
      </c>
      <c r="AI67" s="173">
        <f t="shared" si="152"/>
        <v>6.7944496586597101</v>
      </c>
      <c r="AJ67" s="173">
        <f t="shared" si="153"/>
        <v>15.765598524218584</v>
      </c>
      <c r="AK67" s="173">
        <f t="shared" si="154"/>
        <v>5.4708137216433954</v>
      </c>
      <c r="AM67" s="545">
        <f t="shared" si="155"/>
        <v>6200</v>
      </c>
      <c r="AN67" s="460">
        <f t="shared" si="156"/>
        <v>64.171160256456318</v>
      </c>
      <c r="AP67">
        <f t="shared" si="157"/>
        <v>6200</v>
      </c>
      <c r="AQ67">
        <f t="shared" si="158"/>
        <v>64.171160256456318</v>
      </c>
      <c r="AS67" s="5">
        <f t="shared" si="101"/>
        <v>15.583324284671775</v>
      </c>
      <c r="AT67" s="5">
        <f t="shared" si="159"/>
        <v>3.2841555536621359</v>
      </c>
      <c r="AU67" s="5">
        <f t="shared" si="102"/>
        <v>12.29916873100964</v>
      </c>
      <c r="AV67" s="5">
        <f t="shared" si="160"/>
        <v>12.099168731009639</v>
      </c>
      <c r="AW67" s="173">
        <f t="shared" si="103"/>
        <v>0.21074807234118395</v>
      </c>
      <c r="AX67" s="173">
        <f t="shared" si="161"/>
        <v>95.700028679244696</v>
      </c>
      <c r="AY67" s="173">
        <f t="shared" si="162"/>
        <v>6.2215145129672509</v>
      </c>
      <c r="AZ67" s="173">
        <f t="shared" si="104"/>
        <v>15.382111297784647</v>
      </c>
      <c r="BA67" s="460">
        <f t="shared" si="163"/>
        <v>135.74509621803497</v>
      </c>
      <c r="BB67" s="5">
        <f t="shared" si="164"/>
        <v>6.8468800650802777</v>
      </c>
      <c r="BC67" s="5"/>
      <c r="BD67" s="173">
        <f t="shared" si="105"/>
        <v>4.1786080927649092</v>
      </c>
      <c r="BE67" s="173">
        <f t="shared" si="165"/>
        <v>8.0864454500124676</v>
      </c>
      <c r="BF67" s="173"/>
      <c r="BG67" s="528">
        <f t="shared" si="166"/>
        <v>0.34921531185840787</v>
      </c>
      <c r="BH67" s="528">
        <f t="shared" si="167"/>
        <v>1.3968315901618718</v>
      </c>
      <c r="BI67" s="528">
        <f t="shared" si="168"/>
        <v>9.2416153824545266E-2</v>
      </c>
      <c r="BJ67" s="528">
        <f t="shared" si="169"/>
        <v>3.4795632468081643E-2</v>
      </c>
      <c r="BK67">
        <f t="shared" si="170"/>
        <v>2.5922716095419976E-2</v>
      </c>
      <c r="BL67" s="460">
        <f t="shared" si="106"/>
        <v>118.33886991996525</v>
      </c>
      <c r="BM67" s="528">
        <f t="shared" si="171"/>
        <v>2.0447945479085941</v>
      </c>
      <c r="BN67" s="460">
        <f t="shared" si="107"/>
        <v>2044.794547908594</v>
      </c>
      <c r="BO67" s="528">
        <f t="shared" si="172"/>
        <v>3.8517499999999996</v>
      </c>
      <c r="BP67" s="528"/>
      <c r="BR67" s="460">
        <f t="shared" si="109"/>
        <v>3851.7499999999995</v>
      </c>
      <c r="BS67" s="528">
        <f t="shared" si="173"/>
        <v>0.52382296778761173</v>
      </c>
      <c r="BT67" s="528">
        <f t="shared" si="174"/>
        <v>1.9617180004808199</v>
      </c>
      <c r="BU67" s="528">
        <f t="shared" si="175"/>
        <v>1.395</v>
      </c>
      <c r="BV67" s="528">
        <f t="shared" si="176"/>
        <v>5.5882584202338332</v>
      </c>
      <c r="BW67" s="528">
        <f t="shared" si="177"/>
        <v>1.5950004779874117E-2</v>
      </c>
      <c r="BX67" s="460">
        <f t="shared" si="110"/>
        <v>5604.2084250137077</v>
      </c>
      <c r="BY67" s="173">
        <f t="shared" si="45"/>
        <v>11.619091842842268</v>
      </c>
      <c r="BZ67" s="5">
        <f t="shared" si="111"/>
        <v>93</v>
      </c>
      <c r="CA67" s="173">
        <f t="shared" si="112"/>
        <v>0.8889390871381645</v>
      </c>
      <c r="CB67" s="5">
        <f t="shared" si="113"/>
        <v>88.893908713816444</v>
      </c>
      <c r="CE67" s="562">
        <f t="shared" si="178"/>
        <v>-50</v>
      </c>
      <c r="CF67">
        <f t="shared" si="179"/>
        <v>-50</v>
      </c>
      <c r="CG67" s="173">
        <f t="shared" si="180"/>
        <v>0.78687346338894981</v>
      </c>
      <c r="CI67" s="170">
        <v>62</v>
      </c>
      <c r="CJ67" s="217">
        <f t="shared" si="114"/>
        <v>6.2</v>
      </c>
      <c r="CK67" s="217"/>
      <c r="CL67" s="217">
        <f t="shared" si="49"/>
        <v>93</v>
      </c>
      <c r="CM67" s="541">
        <f t="shared" si="50"/>
        <v>58</v>
      </c>
      <c r="CN67" s="172">
        <f t="shared" si="51"/>
        <v>15.4</v>
      </c>
      <c r="CO67" s="443">
        <f t="shared" si="52"/>
        <v>73.400000000000006</v>
      </c>
      <c r="CP67" s="443"/>
      <c r="CQ67" s="217">
        <f t="shared" si="53"/>
        <v>0.2098092643051771</v>
      </c>
      <c r="CR67" s="172">
        <f t="shared" si="54"/>
        <v>305.10568119891008</v>
      </c>
      <c r="CS67" s="172">
        <f t="shared" si="115"/>
        <v>93</v>
      </c>
      <c r="CT67" s="217">
        <f t="shared" si="55"/>
        <v>20.340378746594006</v>
      </c>
      <c r="CU67" s="217">
        <f t="shared" si="56"/>
        <v>15</v>
      </c>
      <c r="CV67" s="217">
        <f t="shared" si="57"/>
        <v>20.281562216167121</v>
      </c>
      <c r="CW67" s="172">
        <f t="shared" si="58"/>
        <v>176.00248516346443</v>
      </c>
      <c r="CX67" s="172">
        <f t="shared" si="59"/>
        <v>15</v>
      </c>
      <c r="CY67" s="217">
        <f t="shared" si="60"/>
        <v>15.284818629646216</v>
      </c>
      <c r="CZ67" s="217">
        <f t="shared" si="61"/>
        <v>3.162376268202665</v>
      </c>
      <c r="DA67" s="217">
        <f t="shared" si="62"/>
        <v>11.910248282841206</v>
      </c>
      <c r="DB67" s="197">
        <f t="shared" si="63"/>
        <v>101.4078110808356</v>
      </c>
      <c r="DC67" s="443">
        <f t="shared" si="116"/>
        <v>66.345446117460938</v>
      </c>
      <c r="DE67" s="217">
        <f t="shared" si="64"/>
        <v>10</v>
      </c>
      <c r="DF67" s="173">
        <f t="shared" si="65"/>
        <v>7.7922077922077913</v>
      </c>
      <c r="DG67" s="173">
        <f t="shared" si="66"/>
        <v>3.9509536784741139</v>
      </c>
      <c r="DH67" s="173"/>
      <c r="DI67" s="173">
        <f t="shared" si="67"/>
        <v>7.7922077922077913</v>
      </c>
      <c r="DJ67" s="545">
        <f t="shared" si="117"/>
        <v>159.13333333333335</v>
      </c>
      <c r="DK67" s="528">
        <f t="shared" si="68"/>
        <v>3.9509536784741139</v>
      </c>
      <c r="DM67" s="173">
        <f t="shared" si="69"/>
        <v>6.7428974978614846</v>
      </c>
      <c r="DN67" s="173">
        <f t="shared" si="70"/>
        <v>15.284818629646216</v>
      </c>
      <c r="DO67" s="173">
        <f t="shared" si="71"/>
        <v>5.1146804664046037</v>
      </c>
      <c r="DQ67" s="545">
        <f t="shared" si="72"/>
        <v>6200</v>
      </c>
      <c r="DR67" s="460">
        <f t="shared" si="73"/>
        <v>66.345446117460938</v>
      </c>
      <c r="DT67">
        <f t="shared" si="74"/>
        <v>6200</v>
      </c>
      <c r="DU67">
        <f t="shared" si="75"/>
        <v>66.345446117460938</v>
      </c>
      <c r="DW67" s="5">
        <f t="shared" si="118"/>
        <v>15.072624551043871</v>
      </c>
      <c r="DX67" s="5">
        <f t="shared" si="76"/>
        <v>3.162376268202665</v>
      </c>
      <c r="DY67" s="5">
        <f t="shared" si="119"/>
        <v>11.910248282841206</v>
      </c>
      <c r="DZ67" s="5">
        <f t="shared" si="77"/>
        <v>11.910248282841206</v>
      </c>
      <c r="EA67" s="173">
        <f t="shared" si="120"/>
        <v>0.2098092643051771</v>
      </c>
      <c r="EB67" s="173">
        <f t="shared" si="78"/>
        <v>93</v>
      </c>
      <c r="EC67" s="173">
        <f t="shared" si="79"/>
        <v>6.0389610389610393</v>
      </c>
      <c r="ED67" s="173">
        <f t="shared" si="121"/>
        <v>15.399999999999999</v>
      </c>
      <c r="EE67" s="460">
        <f t="shared" si="80"/>
        <v>130.7115524190435</v>
      </c>
      <c r="EF67" s="5">
        <f t="shared" si="81"/>
        <v>6.585333473865826</v>
      </c>
      <c r="EG67" s="5"/>
      <c r="EH67" s="173">
        <f t="shared" si="122"/>
        <v>4.0421459711866463</v>
      </c>
      <c r="EI67" s="173">
        <f t="shared" si="82"/>
        <v>7.8445065360849533</v>
      </c>
      <c r="EJ67" s="173"/>
      <c r="EK67" s="528">
        <f t="shared" si="83"/>
        <v>0.32677888104760877</v>
      </c>
      <c r="EL67" s="528">
        <f t="shared" si="84"/>
        <v>1.4886666666666668</v>
      </c>
      <c r="EM67" s="528">
        <f t="shared" si="85"/>
        <v>8.2931807646826183E-3</v>
      </c>
      <c r="EN67" s="528">
        <f t="shared" si="86"/>
        <v>3.574400716845879E-2</v>
      </c>
      <c r="EO67">
        <f t="shared" si="87"/>
        <v>2.6099999999999998E-2</v>
      </c>
      <c r="EP67" s="460">
        <f t="shared" si="123"/>
        <v>34.393180764682619</v>
      </c>
      <c r="EQ67" s="528">
        <f t="shared" si="88"/>
        <v>2.1399656646123608</v>
      </c>
      <c r="ER67" s="460">
        <f t="shared" si="124"/>
        <v>2139.9656646123608</v>
      </c>
      <c r="ES67" s="528">
        <f t="shared" si="125"/>
        <v>3.8517499999999996</v>
      </c>
      <c r="ET67" s="528"/>
      <c r="EV67" s="460">
        <f t="shared" si="126"/>
        <v>3851.7499999999995</v>
      </c>
      <c r="EW67" s="528">
        <f t="shared" si="89"/>
        <v>0.4901683215714131</v>
      </c>
      <c r="EX67" s="528">
        <f t="shared" si="90"/>
        <v>1.8460884838403864</v>
      </c>
      <c r="EY67" s="528">
        <f t="shared" si="91"/>
        <v>1.637376396018714</v>
      </c>
      <c r="EZ67" s="528">
        <f t="shared" si="92"/>
        <v>5.5766054246919872</v>
      </c>
      <c r="FA67" s="528">
        <f t="shared" si="93"/>
        <v>1.55E-2</v>
      </c>
      <c r="FB67" s="460">
        <f t="shared" si="127"/>
        <v>5592.1054246919875</v>
      </c>
      <c r="FC67" s="173">
        <f t="shared" si="128"/>
        <v>11.583821089304347</v>
      </c>
      <c r="FD67" s="5">
        <f t="shared" si="129"/>
        <v>93</v>
      </c>
      <c r="FE67" s="173">
        <f t="shared" si="130"/>
        <v>0.88923888065427537</v>
      </c>
      <c r="FF67" s="5">
        <f t="shared" si="131"/>
        <v>88.923888065427533</v>
      </c>
      <c r="FI67" s="562">
        <f t="shared" si="94"/>
        <v>-50</v>
      </c>
      <c r="FJ67">
        <f t="shared" si="95"/>
        <v>-50</v>
      </c>
      <c r="FL67">
        <f t="shared" si="181"/>
        <v>0.7901907356948229</v>
      </c>
    </row>
    <row r="68" spans="5:168">
      <c r="E68" s="170">
        <v>63</v>
      </c>
      <c r="F68" s="217">
        <f t="shared" si="182"/>
        <v>6.3</v>
      </c>
      <c r="G68" s="217"/>
      <c r="H68" s="217">
        <f t="shared" si="132"/>
        <v>94.5</v>
      </c>
      <c r="I68" s="541">
        <f t="shared" si="133"/>
        <v>57.599708292058637</v>
      </c>
      <c r="J68" s="172">
        <f t="shared" si="134"/>
        <v>15.640175024764819</v>
      </c>
      <c r="K68" s="172">
        <f t="shared" si="135"/>
        <v>73.640175024764815</v>
      </c>
      <c r="L68" s="443"/>
      <c r="M68" s="217">
        <f t="shared" si="136"/>
        <v>0.21353658601683084</v>
      </c>
      <c r="N68" s="172">
        <f t="shared" si="137"/>
        <v>308.38285087344684</v>
      </c>
      <c r="O68" s="172">
        <f t="shared" si="98"/>
        <v>94.5</v>
      </c>
      <c r="P68" s="217">
        <f t="shared" si="138"/>
        <v>20.558856724896454</v>
      </c>
      <c r="Q68" s="217">
        <f t="shared" si="139"/>
        <v>15</v>
      </c>
      <c r="R68" s="217">
        <f t="shared" si="140"/>
        <v>20.499408440419245</v>
      </c>
      <c r="S68" s="172">
        <f t="shared" si="141"/>
        <v>171.10490221112576</v>
      </c>
      <c r="T68" s="172">
        <f t="shared" si="142"/>
        <v>15</v>
      </c>
      <c r="U68" s="217">
        <f t="shared" si="143"/>
        <v>16.021088554120141</v>
      </c>
      <c r="V68" s="217">
        <f t="shared" si="11"/>
        <v>3.3377436856906431</v>
      </c>
      <c r="W68" s="217">
        <f t="shared" si="144"/>
        <v>12.2922577493555</v>
      </c>
      <c r="X68" s="197">
        <f t="shared" si="145"/>
        <v>102.50215664214262</v>
      </c>
      <c r="Y68" s="443">
        <f t="shared" si="14"/>
        <v>63.171188208871129</v>
      </c>
      <c r="AA68" s="217">
        <f t="shared" si="146"/>
        <v>10</v>
      </c>
      <c r="AB68" s="173">
        <f t="shared" si="147"/>
        <v>7.6725484088247562</v>
      </c>
      <c r="AC68" s="173">
        <f t="shared" si="148"/>
        <v>3.9322637942288861</v>
      </c>
      <c r="AD68" s="173"/>
      <c r="AE68" s="173">
        <f t="shared" si="149"/>
        <v>7.6725484088247562</v>
      </c>
      <c r="AF68" s="545">
        <f t="shared" si="150"/>
        <v>164.22183776003058</v>
      </c>
      <c r="AG68" s="528">
        <f t="shared" si="151"/>
        <v>3.9322637942288869</v>
      </c>
      <c r="AI68" s="173">
        <f t="shared" si="152"/>
        <v>6.849855843322139</v>
      </c>
      <c r="AJ68" s="173">
        <f t="shared" si="153"/>
        <v>16.021088554120141</v>
      </c>
      <c r="AK68" s="173">
        <f t="shared" si="154"/>
        <v>5.6600655956445491</v>
      </c>
      <c r="AM68" s="545">
        <f t="shared" si="155"/>
        <v>6300</v>
      </c>
      <c r="AN68" s="460">
        <f t="shared" si="156"/>
        <v>63.171188208871129</v>
      </c>
      <c r="AP68">
        <f t="shared" si="157"/>
        <v>6300</v>
      </c>
      <c r="AQ68">
        <f t="shared" si="158"/>
        <v>63.171188208871129</v>
      </c>
      <c r="AS68" s="5">
        <f t="shared" si="101"/>
        <v>15.830001435046144</v>
      </c>
      <c r="AT68" s="5">
        <f t="shared" si="159"/>
        <v>3.3377436856906431</v>
      </c>
      <c r="AU68" s="5">
        <f t="shared" si="102"/>
        <v>12.492257749355501</v>
      </c>
      <c r="AV68" s="5">
        <f t="shared" si="160"/>
        <v>12.2922577493555</v>
      </c>
      <c r="AW68" s="173">
        <f t="shared" si="103"/>
        <v>0.21084923456173479</v>
      </c>
      <c r="AX68" s="173">
        <f t="shared" si="161"/>
        <v>97.286893944571972</v>
      </c>
      <c r="AY68" s="173">
        <f t="shared" si="162"/>
        <v>6.3215271478190695</v>
      </c>
      <c r="AZ68" s="173">
        <f t="shared" si="104"/>
        <v>15.389777132909412</v>
      </c>
      <c r="BA68" s="460">
        <f t="shared" si="163"/>
        <v>140.18523479900702</v>
      </c>
      <c r="BB68" s="5">
        <f t="shared" si="164"/>
        <v>7.0673152294709451</v>
      </c>
      <c r="BC68" s="5"/>
      <c r="BD68" s="173">
        <f t="shared" si="105"/>
        <v>4.2473437186862926</v>
      </c>
      <c r="BE68" s="173">
        <f t="shared" si="165"/>
        <v>8.2169640067559353</v>
      </c>
      <c r="BF68" s="173"/>
      <c r="BG68" s="528">
        <f t="shared" si="166"/>
        <v>0.36079857329327808</v>
      </c>
      <c r="BH68" s="528">
        <f t="shared" si="167"/>
        <v>1.397420631230218</v>
      </c>
      <c r="BI68" s="528">
        <f t="shared" si="168"/>
        <v>9.0966050332342785E-2</v>
      </c>
      <c r="BJ68" s="528">
        <f t="shared" si="169"/>
        <v>3.4256948111654972E-2</v>
      </c>
      <c r="BK68">
        <f t="shared" si="170"/>
        <v>2.5919868731426387E-2</v>
      </c>
      <c r="BL68" s="460">
        <f t="shared" si="106"/>
        <v>116.88591906376918</v>
      </c>
      <c r="BM68" s="528">
        <f t="shared" si="171"/>
        <v>2.0670950197387907</v>
      </c>
      <c r="BN68" s="460">
        <f t="shared" si="107"/>
        <v>2067.0950197387906</v>
      </c>
      <c r="BO68" s="528">
        <f t="shared" si="172"/>
        <v>3.9138749999999991</v>
      </c>
      <c r="BP68" s="528"/>
      <c r="BR68" s="460">
        <f t="shared" si="109"/>
        <v>3913.8749999999991</v>
      </c>
      <c r="BS68" s="528">
        <f t="shared" si="173"/>
        <v>0.54119785993991709</v>
      </c>
      <c r="BT68" s="528">
        <f t="shared" si="174"/>
        <v>2.0255549246496765</v>
      </c>
      <c r="BU68" s="528">
        <f t="shared" si="175"/>
        <v>1.4175</v>
      </c>
      <c r="BV68" s="528">
        <f t="shared" si="176"/>
        <v>5.7889849023316451</v>
      </c>
      <c r="BW68" s="528">
        <f t="shared" si="177"/>
        <v>1.6214482324095329E-2</v>
      </c>
      <c r="BX68" s="460">
        <f t="shared" si="110"/>
        <v>5805.1993846557398</v>
      </c>
      <c r="BY68" s="173">
        <f t="shared" si="45"/>
        <v>11.903055323458299</v>
      </c>
      <c r="BZ68" s="5">
        <f t="shared" si="111"/>
        <v>94.5</v>
      </c>
      <c r="CA68" s="173">
        <f t="shared" si="112"/>
        <v>0.88813239161907709</v>
      </c>
      <c r="CB68" s="5">
        <f t="shared" si="113"/>
        <v>88.813239161907703</v>
      </c>
      <c r="CE68" s="562">
        <f t="shared" si="178"/>
        <v>-50</v>
      </c>
      <c r="CF68">
        <f t="shared" si="179"/>
        <v>-50</v>
      </c>
      <c r="CG68" s="173">
        <f t="shared" si="180"/>
        <v>0.78692611850491612</v>
      </c>
      <c r="CI68" s="170">
        <v>63</v>
      </c>
      <c r="CJ68" s="217">
        <f t="shared" si="114"/>
        <v>6.3</v>
      </c>
      <c r="CK68" s="217"/>
      <c r="CL68" s="217">
        <f t="shared" si="49"/>
        <v>94.5</v>
      </c>
      <c r="CM68" s="541">
        <f t="shared" si="50"/>
        <v>58</v>
      </c>
      <c r="CN68" s="172">
        <f t="shared" si="51"/>
        <v>15.4</v>
      </c>
      <c r="CO68" s="443">
        <f t="shared" si="52"/>
        <v>73.400000000000006</v>
      </c>
      <c r="CP68" s="443"/>
      <c r="CQ68" s="217">
        <f t="shared" si="53"/>
        <v>0.2098092643051771</v>
      </c>
      <c r="CR68" s="172">
        <f t="shared" si="54"/>
        <v>305.10568119891008</v>
      </c>
      <c r="CS68" s="172">
        <f t="shared" si="115"/>
        <v>94.5</v>
      </c>
      <c r="CT68" s="217">
        <f t="shared" si="55"/>
        <v>20.340378746594006</v>
      </c>
      <c r="CU68" s="217">
        <f t="shared" si="56"/>
        <v>15</v>
      </c>
      <c r="CV68" s="217">
        <f t="shared" si="57"/>
        <v>20.281562216167121</v>
      </c>
      <c r="CW68" s="172">
        <f t="shared" si="58"/>
        <v>172.29307254813628</v>
      </c>
      <c r="CX68" s="172">
        <f t="shared" si="59"/>
        <v>15</v>
      </c>
      <c r="CY68" s="217">
        <f t="shared" si="60"/>
        <v>15.531347962382446</v>
      </c>
      <c r="CZ68" s="217">
        <f t="shared" si="61"/>
        <v>3.2133823370446439</v>
      </c>
      <c r="DA68" s="217">
        <f t="shared" si="62"/>
        <v>12.10234906159671</v>
      </c>
      <c r="DB68" s="197">
        <f t="shared" si="63"/>
        <v>101.4078110808356</v>
      </c>
      <c r="DC68" s="443">
        <f t="shared" si="116"/>
        <v>65.292343798136159</v>
      </c>
      <c r="DE68" s="217">
        <f t="shared" si="64"/>
        <v>10</v>
      </c>
      <c r="DF68" s="173">
        <f t="shared" si="65"/>
        <v>7.7922077922077913</v>
      </c>
      <c r="DG68" s="173">
        <f t="shared" si="66"/>
        <v>3.9509536784741139</v>
      </c>
      <c r="DH68" s="173"/>
      <c r="DI68" s="173">
        <f t="shared" si="67"/>
        <v>7.7922077922077913</v>
      </c>
      <c r="DJ68" s="545">
        <f t="shared" si="117"/>
        <v>161.69999999999999</v>
      </c>
      <c r="DK68" s="528">
        <f t="shared" si="68"/>
        <v>3.9509536784741139</v>
      </c>
      <c r="DM68" s="173">
        <f t="shared" si="69"/>
        <v>6.7970581871865718</v>
      </c>
      <c r="DN68" s="173">
        <f t="shared" si="70"/>
        <v>15.531347962382446</v>
      </c>
      <c r="DO68" s="173">
        <f t="shared" si="71"/>
        <v>5.2972947869499603</v>
      </c>
      <c r="DQ68" s="545">
        <f t="shared" si="72"/>
        <v>6300</v>
      </c>
      <c r="DR68" s="460">
        <f t="shared" si="73"/>
        <v>65.292343798136159</v>
      </c>
      <c r="DT68">
        <f t="shared" si="74"/>
        <v>6300</v>
      </c>
      <c r="DU68">
        <f t="shared" si="75"/>
        <v>65.292343798136159</v>
      </c>
      <c r="DW68" s="5">
        <f t="shared" si="118"/>
        <v>15.315731398641354</v>
      </c>
      <c r="DX68" s="5">
        <f t="shared" si="76"/>
        <v>3.2133823370446439</v>
      </c>
      <c r="DY68" s="5">
        <f t="shared" si="119"/>
        <v>12.10234906159671</v>
      </c>
      <c r="DZ68" s="5">
        <f t="shared" si="77"/>
        <v>12.10234906159671</v>
      </c>
      <c r="EA68" s="173">
        <f t="shared" si="120"/>
        <v>0.20980926430517713</v>
      </c>
      <c r="EB68" s="173">
        <f t="shared" si="78"/>
        <v>94.500000000000014</v>
      </c>
      <c r="EC68" s="173">
        <f t="shared" si="79"/>
        <v>6.1363636363636367</v>
      </c>
      <c r="ED68" s="173">
        <f t="shared" si="121"/>
        <v>15.400000000000002</v>
      </c>
      <c r="EE68" s="460">
        <f t="shared" si="80"/>
        <v>134.96205815587504</v>
      </c>
      <c r="EF68" s="5">
        <f t="shared" si="81"/>
        <v>6.7994767319910165</v>
      </c>
      <c r="EG68" s="5"/>
      <c r="EH68" s="173">
        <f t="shared" si="122"/>
        <v>4.1073418739477212</v>
      </c>
      <c r="EI68" s="173">
        <f t="shared" si="82"/>
        <v>7.9710308350540666</v>
      </c>
      <c r="EJ68" s="173"/>
      <c r="EK68" s="528">
        <f t="shared" si="83"/>
        <v>0.33740514538968752</v>
      </c>
      <c r="EL68" s="528">
        <f t="shared" si="84"/>
        <v>1.4886666666666668</v>
      </c>
      <c r="EM68" s="528">
        <f t="shared" si="85"/>
        <v>8.1615429747670196E-3</v>
      </c>
      <c r="EN68" s="528">
        <f t="shared" si="86"/>
        <v>3.5176641975308648E-2</v>
      </c>
      <c r="EO68">
        <f t="shared" si="87"/>
        <v>2.6099999999999998E-2</v>
      </c>
      <c r="EP68" s="460">
        <f t="shared" si="123"/>
        <v>34.261542974767018</v>
      </c>
      <c r="EQ68" s="528">
        <f t="shared" si="88"/>
        <v>2.1597511561803699</v>
      </c>
      <c r="ER68" s="460">
        <f t="shared" si="124"/>
        <v>2159.7511561803699</v>
      </c>
      <c r="ES68" s="528">
        <f t="shared" si="125"/>
        <v>3.9138749999999991</v>
      </c>
      <c r="ET68" s="528"/>
      <c r="EV68" s="460">
        <f t="shared" si="126"/>
        <v>3913.8749999999991</v>
      </c>
      <c r="EW68" s="528">
        <f t="shared" si="89"/>
        <v>0.50610771808453126</v>
      </c>
      <c r="EX68" s="528">
        <f t="shared" si="90"/>
        <v>1.9061199772014819</v>
      </c>
      <c r="EY68" s="528">
        <f t="shared" si="91"/>
        <v>1.6373763960187155</v>
      </c>
      <c r="EZ68" s="528">
        <f t="shared" si="92"/>
        <v>5.7353330824220592</v>
      </c>
      <c r="FA68" s="528">
        <f t="shared" si="93"/>
        <v>1.5750000000000004E-2</v>
      </c>
      <c r="FB68" s="460">
        <f t="shared" si="127"/>
        <v>5751.0830824220593</v>
      </c>
      <c r="FC68" s="173">
        <f t="shared" si="128"/>
        <v>11.824709238602429</v>
      </c>
      <c r="FD68" s="5">
        <f t="shared" si="129"/>
        <v>94.5</v>
      </c>
      <c r="FE68" s="173">
        <f t="shared" si="130"/>
        <v>0.88878681800985049</v>
      </c>
      <c r="FF68" s="5">
        <f t="shared" si="131"/>
        <v>88.878681800985049</v>
      </c>
      <c r="FI68" s="562">
        <f t="shared" si="94"/>
        <v>-50</v>
      </c>
      <c r="FJ68">
        <f t="shared" si="95"/>
        <v>-50</v>
      </c>
      <c r="FL68">
        <f t="shared" si="181"/>
        <v>0.7901907356948229</v>
      </c>
    </row>
    <row r="69" spans="5:168">
      <c r="E69" s="170">
        <v>64</v>
      </c>
      <c r="F69" s="217">
        <f t="shared" si="182"/>
        <v>6.4</v>
      </c>
      <c r="G69" s="217"/>
      <c r="H69" s="217">
        <f t="shared" ref="H69:H100" si="183">F69*Vout</f>
        <v>96</v>
      </c>
      <c r="I69" s="541">
        <f t="shared" ref="I69:I105" si="184">Vin-F69*(Rdcr_pri+RON/1000)/CG69/Nps</f>
        <v>57.593380813044909</v>
      </c>
      <c r="J69" s="172">
        <f t="shared" ref="J69:J105" si="185">(T69+Vfwd1+F69/CG69*Rdcr_sec)*Nps</f>
        <v>15.643971512173056</v>
      </c>
      <c r="K69" s="172">
        <f t="shared" ref="K69:K105" si="186">(Vout+Vfwd1+F69/CG69*Rdcr_sec)*Nps+VIN_nom</f>
        <v>73.643971512173053</v>
      </c>
      <c r="L69" s="443"/>
      <c r="M69" s="217">
        <f t="shared" ref="M69:M105" si="187">(Vout+Vfwd1+F69/FL69*Rdcr_sec)*Nps/((Vout+Vfwd1+F69/FL69*Rdcr_sec)*Nps+I69)</f>
        <v>0.2135958051982553</v>
      </c>
      <c r="N69" s="172">
        <f t="shared" ref="N69:N100" si="188">M69*I69*(Isw_max+VIN_nom/Lmag*ILIM_delay)*0.5*Efficiency</f>
        <v>308.43448730109367</v>
      </c>
      <c r="O69" s="172">
        <f t="shared" si="98"/>
        <v>96</v>
      </c>
      <c r="P69" s="217">
        <f t="shared" ref="P69:P100" si="189">N69/Vout</f>
        <v>20.562299153406244</v>
      </c>
      <c r="Q69" s="217">
        <f t="shared" ref="Q69:Q105" si="190">MIN(Vout,N69/F69)</f>
        <v>15</v>
      </c>
      <c r="R69" s="217">
        <f t="shared" ref="R69:R100" si="191">Isw_max/2*I69*Nps*(Q69+Vfwd1+F69/FL69*Rdcr_sec)/Q69/(I69+Nps*(Q69+Vfwd1+F69/FL69*Rdcr_sec))</f>
        <v>20.502840914753456</v>
      </c>
      <c r="S69" s="172">
        <f t="shared" ref="S69:S105" si="192">(SQRT(Isw_max^2*Nps^2*I69^2+4*Isw_max*F69/Efficiency*(Nps^2*Vfwd1*I69-Nps*I69^2)+4*(F69/Efficiency)^2*Nps^2*Vfwd1^2+8*(F69/Efficiency)^2*Nps*Vfwd1*I69+4*(F69/Efficiency)^2*I69^2)-2*F69/Efficiency*I69-2*F69/Efficiency*Nps*Vfwd1+Isw_max*Nps*I69)/(4*F69/Efficiency*Nps)</f>
        <v>167.51795708391725</v>
      </c>
      <c r="T69" s="172">
        <f t="shared" ref="T69:T100" si="193">MIN(Vout, S69)</f>
        <v>15</v>
      </c>
      <c r="U69" s="217">
        <f t="shared" ref="U69:U105" si="194">MIN(2*(Vout+Vfwd1+F69/FL69*Rdcr_sec)*F69/(I69*M69), Isw_max)</f>
        <v>16.276617144987288</v>
      </c>
      <c r="V69" s="217">
        <f t="shared" ref="V69:V104" si="195">L*U69/I69*1000000</f>
        <v>3.3913516272621309</v>
      </c>
      <c r="W69" s="217">
        <f t="shared" ref="W69:W105" si="196">L*U69/J69*1000000</f>
        <v>12.485282627104212</v>
      </c>
      <c r="X69" s="197">
        <f t="shared" ref="X69:X105" si="197">IF(1/((350000*L)*(1/I69+1/J69))&gt;Isw_min, 350, 0.001/((Isw_min*L)*(1/I69+1/J69)))</f>
        <v>102.51931791217615</v>
      </c>
      <c r="Y69" s="443">
        <f t="shared" ref="Y69:Y104" si="198">MIN(1/(V69+W69+0.2)*1000, 350)</f>
        <v>62.202074400517283</v>
      </c>
      <c r="AA69" s="217">
        <f t="shared" ref="AA69:AA105" si="199">1/((X69*1000*L)*(1/I69+1/J69))</f>
        <v>10</v>
      </c>
      <c r="AB69" s="173">
        <f t="shared" ref="AB69:AB100" si="200">L*AA69/J69*1000000</f>
        <v>7.6706864306563274</v>
      </c>
      <c r="AC69" s="173">
        <f t="shared" ref="AC69:AC100" si="201">0.5*AB69*AA69*Nps*X69/1000</f>
        <v>3.9319677039453591</v>
      </c>
      <c r="AD69" s="173"/>
      <c r="AE69" s="173">
        <f t="shared" ref="AE69:AE105" si="202">L*Isw_min/J69*1000000</f>
        <v>7.6706864306563274</v>
      </c>
      <c r="AF69" s="545">
        <f t="shared" ref="AF69:AF100" si="203">MAX(12, F69/(0.5*AE69/1000000*Isw_min*Nps)/1000)</f>
        <v>166.86902946317926</v>
      </c>
      <c r="AG69" s="528">
        <f t="shared" ref="AG69:AG105" si="204">0.5*AE69/1000000*Isw_min*Nps*X69*1000</f>
        <v>3.9319677039453582</v>
      </c>
      <c r="AI69" s="173">
        <f t="shared" ref="AI69:AI105" si="205">SQRT(F69/Efficiency/(0.5*L/J69*Fsw_DCM*Nps))</f>
        <v>6.9048436304458312</v>
      </c>
      <c r="AJ69" s="173">
        <f t="shared" ref="AJ69:AJ100" si="206">MAX(IF(F69&gt;AC69,U69,AI69),Isw_min)</f>
        <v>16.276617144987288</v>
      </c>
      <c r="AK69" s="173">
        <f t="shared" ref="AK69:AK100" si="207">IF(F69&gt;AG69, (AJ69-Isw_min)/1.08*0.8+1.2, AF69*0.2/350+1)</f>
        <v>5.8493460333239167</v>
      </c>
      <c r="AM69" s="545">
        <f t="shared" ref="AM69:AM105" si="208">F69*1000</f>
        <v>6400</v>
      </c>
      <c r="AN69" s="460">
        <f t="shared" ref="AN69:AN105" si="209">IF(F69&gt;AG69, Y69, AF69)</f>
        <v>62.202074400517283</v>
      </c>
      <c r="AP69">
        <f t="shared" ref="AP69:AP105" si="210">IF(H69&gt;N69, "",AM69)</f>
        <v>6400</v>
      </c>
      <c r="AQ69">
        <f t="shared" ref="AQ69:AQ105" si="211">IF(H69&gt;N69, "",AN69)</f>
        <v>62.202074400517283</v>
      </c>
      <c r="AS69" s="5">
        <f t="shared" si="101"/>
        <v>16.076634254366343</v>
      </c>
      <c r="AT69" s="5">
        <f t="shared" ref="AT69:AT105" si="212">L*AJ69/I69*1000000</f>
        <v>3.3913516272621309</v>
      </c>
      <c r="AU69" s="5">
        <f t="shared" si="102"/>
        <v>12.685282627104213</v>
      </c>
      <c r="AV69" s="5">
        <f t="shared" ref="AV69:AV105" si="213">L*AJ69/J69*1000000</f>
        <v>12.485282627104212</v>
      </c>
      <c r="AW69" s="173">
        <f t="shared" si="103"/>
        <v>0.21094910623727442</v>
      </c>
      <c r="AX69" s="173">
        <f t="shared" ref="AX69:AX132" si="214">0.5*L*AJ69^2*AN69*1000</f>
        <v>98.874526157441494</v>
      </c>
      <c r="AY69" s="173">
        <f t="shared" ref="AY69:AY132" si="215">AJ69*Nps/2*(1-AW69)</f>
        <v>6.4215396528429611</v>
      </c>
      <c r="AZ69" s="173">
        <f t="shared" si="104"/>
        <v>15.397323928953316</v>
      </c>
      <c r="BA69" s="460">
        <f t="shared" ref="BA69:BA105" si="216">F69*AT69/Vout_ripple*1000</f>
        <v>144.69766942985095</v>
      </c>
      <c r="BB69" s="5">
        <f t="shared" ref="BB69:BB105" si="217">H69/Efficiency/I69*AU69/Vinripple1</f>
        <v>7.2912301966465316</v>
      </c>
      <c r="BC69" s="5"/>
      <c r="BD69" s="173">
        <f t="shared" si="105"/>
        <v>4.316108620162967</v>
      </c>
      <c r="BE69" s="173">
        <f t="shared" ref="BE69:BE132" si="218">AJ69*Nps*SQRT((1-AW69)/3)</f>
        <v>8.3474923344550795</v>
      </c>
      <c r="BF69" s="173"/>
      <c r="BG69" s="528">
        <f t="shared" ref="BG69:BG105" si="219">Rdson*BD69^2</f>
        <v>0.3725758724209014</v>
      </c>
      <c r="BH69" s="528">
        <f t="shared" ref="BH69:BH105" si="220">0.5*K69*AJ69*AN69*1000*Tfall</f>
        <v>1.3980010255579887</v>
      </c>
      <c r="BI69" s="528">
        <f t="shared" ref="BI69:BI105" si="221">Qg*Vdd*AN69*1000*0+Qg*I69*AN69*1000</f>
        <v>8.9560693957758591E-2</v>
      </c>
      <c r="BJ69" s="528">
        <f t="shared" ref="BJ69:BJ105" si="222">0.5*(Coss+Csw)*K69^2*AN69*1000</f>
        <v>3.3734887876874946E-2</v>
      </c>
      <c r="BK69">
        <f t="shared" ref="BK69:BK105" si="223">I69*IQ</f>
        <v>2.5917021365870208E-2</v>
      </c>
      <c r="BL69" s="460">
        <f t="shared" si="106"/>
        <v>115.4777153236288</v>
      </c>
      <c r="BM69" s="528">
        <f t="shared" ref="BM69:BM105" si="224">(BH69+BI69*0+BJ69+BK69*0+BG69*(1+RdsonTC*(Ta-25)))/(1-BG69*RdsonTC*ThetaJA)</f>
        <v>2.0899149603910021</v>
      </c>
      <c r="BN69" s="460">
        <f t="shared" si="107"/>
        <v>2089.9149603910023</v>
      </c>
      <c r="BO69" s="528">
        <f t="shared" ref="BO69:BO105" si="225">Vfwd2*F69*(1+Diode_TC/1000*(Ta-25))</f>
        <v>3.9759999999999995</v>
      </c>
      <c r="BP69" s="528"/>
      <c r="BR69" s="460">
        <f t="shared" si="109"/>
        <v>3975.9999999999995</v>
      </c>
      <c r="BS69" s="528">
        <f t="shared" ref="BS69:BS105" si="226">Rdcr_pri*BD69^2</f>
        <v>0.5588638086313521</v>
      </c>
      <c r="BT69" s="528">
        <f t="shared" ref="BT69:BT105" si="227">Rdcr_sec*BE69^2</f>
        <v>2.0904188482135893</v>
      </c>
      <c r="BU69" s="528">
        <f t="shared" ref="BU69:BU105" si="228">AJ69^2.5*AN69^2.5*k_core*0+BZ69*0.015</f>
        <v>1.44</v>
      </c>
      <c r="BV69" s="528">
        <f t="shared" ref="BV69:BV100" si="229">(BU69+(BS69+BT69)*(1+Ltc*(Ta-25)))/(1-(BS69+BT69)*Ltc*ThetaCa)</f>
        <v>5.9958964533824695</v>
      </c>
      <c r="BW69" s="528">
        <f t="shared" ref="BW69:BW105" si="230">0.5*Lleak*0.000000001*AJ69^2*AN69*1000</f>
        <v>1.6479087692906916E-2</v>
      </c>
      <c r="BX69" s="460">
        <f t="shared" si="110"/>
        <v>6012.3755410753765</v>
      </c>
      <c r="BY69" s="173">
        <f t="shared" ref="BY69:BY104" si="231">SUM(BM69,BO69:BQ69,BV69, BW69)+BK69+BI69</f>
        <v>12.193768216790009</v>
      </c>
      <c r="BZ69" s="5">
        <f t="shared" si="111"/>
        <v>96</v>
      </c>
      <c r="CA69" s="173">
        <f t="shared" si="112"/>
        <v>0.88729694493718803</v>
      </c>
      <c r="CB69" s="5">
        <f t="shared" si="113"/>
        <v>88.729694493718796</v>
      </c>
      <c r="CE69" s="562">
        <f t="shared" ref="CE69:CE105" si="232">IF(ABS(F69-Ioutmax_Vinnom)&lt;Iout/200, AN69, -50)</f>
        <v>-50</v>
      </c>
      <c r="CF69">
        <f t="shared" ref="CF69:CF105" si="233">IF(ABS(F69-Ioutmax_Vinnom)&lt;Iout/200, N69*CA69, -50)</f>
        <v>-50</v>
      </c>
      <c r="CG69" s="173">
        <f t="shared" ref="CG69:CG105" si="234">MIN(SQRT(2*DU69*1000*Ls1_*CL69)/CU69,1-EA69-0.00000005*DU69*1000)</f>
        <v>0.7869771281485084</v>
      </c>
      <c r="CI69" s="170">
        <v>64</v>
      </c>
      <c r="CJ69" s="217">
        <f t="shared" si="114"/>
        <v>6.4</v>
      </c>
      <c r="CK69" s="217"/>
      <c r="CL69" s="217">
        <f t="shared" ref="CL69:CL105" si="235">CJ69*Vout</f>
        <v>96</v>
      </c>
      <c r="CM69" s="541">
        <f t="shared" ref="CM69:CM105" si="236">Vin</f>
        <v>58</v>
      </c>
      <c r="CN69" s="172">
        <f t="shared" ref="CN69:CN105" si="237">(CX69+Vfwd1)*Nps</f>
        <v>15.4</v>
      </c>
      <c r="CO69" s="443">
        <f t="shared" ref="CO69:CO105" si="238">(Vout+Vfwd1)*Nps+CM69</f>
        <v>73.400000000000006</v>
      </c>
      <c r="CP69" s="443"/>
      <c r="CQ69" s="217">
        <f t="shared" ref="CQ69:CQ105" si="239">(Vout+Vfwd1)*Nps/((Vout+Vfwd1)*Nps+CM69)</f>
        <v>0.2098092643051771</v>
      </c>
      <c r="CR69" s="172">
        <f t="shared" ref="CR69:CR105" si="240">CQ69*CM69*(Isw_max+VIN_nom/Lmag*ILIM_delay)*0.5*Efficiency</f>
        <v>305.10568119891008</v>
      </c>
      <c r="CS69" s="172">
        <f t="shared" si="115"/>
        <v>96</v>
      </c>
      <c r="CT69" s="217">
        <f t="shared" ref="CT69:CT105" si="241">CR69/Vout</f>
        <v>20.340378746594006</v>
      </c>
      <c r="CU69" s="217">
        <f t="shared" ref="CU69:CU105" si="242">MIN(Vout,CR69/CJ69)</f>
        <v>15</v>
      </c>
      <c r="CV69" s="217">
        <f t="shared" ref="CV69:CV105" si="243">Isw_max/2*CM69*Nps*(CU69+Vfwd1)/CU69/(CM69+Nps*(CU69+Vfwd1))</f>
        <v>20.281562216167121</v>
      </c>
      <c r="CW69" s="172">
        <f t="shared" ref="CW69:CW105" si="244">(SQRT(Isw_max^2*Nps^2*CM69^2+4*Isw_max*CJ69/Efficiency*(Nps^2*Vfwd1*CM69-Nps*CM69^2)+4*(CJ69/Efficiency)^2*Nps^2*Vfwd1^2+8*(CJ69/Efficiency)^2*Nps*Vfwd1*CM69+4*(CJ69/Efficiency)^2*CM69^2)-2*CJ69/Efficiency*CM69-2*CJ69/Efficiency*Nps*Vfwd1+Isw_max*Nps*CM69)/(4*CJ69/Efficiency*Nps)</f>
        <v>168.69969717059334</v>
      </c>
      <c r="CX69" s="172">
        <f t="shared" ref="CX69:CX105" si="245">MIN(Vout, CW69)</f>
        <v>15</v>
      </c>
      <c r="CY69" s="217">
        <f t="shared" ref="CY69:CY105" si="246">MIN(2*Vout*CJ69/(CM69*CQ69), Isw_max)</f>
        <v>15.777877295118675</v>
      </c>
      <c r="CZ69" s="217">
        <f t="shared" ref="CZ69:CZ105" si="247">L*CY69/CM69*1000000</f>
        <v>3.2643884058866228</v>
      </c>
      <c r="DA69" s="217">
        <f t="shared" ref="DA69:DA105" si="248">L*CY69/CN69*1000000</f>
        <v>12.294449840352215</v>
      </c>
      <c r="DB69" s="197">
        <f t="shared" ref="DB69:DB105" si="249">IF(1/((350000*L)*(1/CM69+1/CN69))&gt;Isw_min, 350, 0.001/((Isw_min*L)*(1/CM69+1/CN69)))</f>
        <v>101.4078110808356</v>
      </c>
      <c r="DC69" s="443">
        <f t="shared" si="116"/>
        <v>64.272150926290266</v>
      </c>
      <c r="DE69" s="217">
        <f t="shared" ref="DE69:DE105" si="250">1/((DB69*1000*L)*(1/CM69+1/CN69))</f>
        <v>10</v>
      </c>
      <c r="DF69" s="173">
        <f t="shared" ref="DF69:DF105" si="251">L*DE69/CN69*1000000</f>
        <v>7.7922077922077913</v>
      </c>
      <c r="DG69" s="173">
        <f t="shared" ref="DG69:DG105" si="252">0.5*DF69*DE69*Nps*DB69/1000</f>
        <v>3.9509536784741139</v>
      </c>
      <c r="DH69" s="173"/>
      <c r="DI69" s="173">
        <f t="shared" ref="DI69:DI105" si="253">L*Isw_min/CN69*1000000</f>
        <v>7.7922077922077913</v>
      </c>
      <c r="DJ69" s="545">
        <f t="shared" si="117"/>
        <v>164.26666666666668</v>
      </c>
      <c r="DK69" s="528">
        <f t="shared" ref="DK69:DK105" si="254">0.5*DI69/1000000*Isw_min*Nps*DB69*1000</f>
        <v>3.9509536784741139</v>
      </c>
      <c r="DM69" s="173">
        <f t="shared" ref="DM69:DM105" si="255">SQRT(CJ69/Efficiency/(0.5*L/CN69*Fsw_DCM*Nps))</f>
        <v>6.8507907086214024</v>
      </c>
      <c r="DN69" s="173">
        <f t="shared" ref="DN69:DN105" si="256">MAX(IF(CJ69&gt;DG69,CY69,DM69),Isw_min)</f>
        <v>15.777877295118675</v>
      </c>
      <c r="DO69" s="173">
        <f t="shared" ref="DO69:DO105" si="257">IF(CJ69&gt;DK69, (DN69-Isw_min)/1.08*0.8+1.2, DJ69*0.2/350+1)</f>
        <v>5.4799091074953141</v>
      </c>
      <c r="DQ69" s="545">
        <f t="shared" ref="DQ69:DQ105" si="258">CJ69*1000</f>
        <v>6400</v>
      </c>
      <c r="DR69" s="460">
        <f t="shared" ref="DR69:DR105" si="259">IF(CJ69&gt;DK69, DC69, DJ69)</f>
        <v>64.272150926290266</v>
      </c>
      <c r="DT69">
        <f t="shared" ref="DT69:DT105" si="260">IF(CL69&gt;CR69, "",DQ69)</f>
        <v>6400</v>
      </c>
      <c r="DU69">
        <f t="shared" ref="DU69:DU105" si="261">IF(CL69&gt;CR69, "",DR69)</f>
        <v>64.272150926290266</v>
      </c>
      <c r="DW69" s="5">
        <f t="shared" si="118"/>
        <v>15.558838246238839</v>
      </c>
      <c r="DX69" s="5">
        <f t="shared" ref="DX69:DX105" si="262">L*DN69/CM69*1000000</f>
        <v>3.2643884058866228</v>
      </c>
      <c r="DY69" s="5">
        <f t="shared" si="119"/>
        <v>12.294449840352216</v>
      </c>
      <c r="DZ69" s="5">
        <f t="shared" ref="DZ69:DZ105" si="263">L*DN69/CN69*1000000</f>
        <v>12.294449840352215</v>
      </c>
      <c r="EA69" s="173">
        <f t="shared" si="120"/>
        <v>0.2098092643051771</v>
      </c>
      <c r="EB69" s="173">
        <f t="shared" ref="EB69:EB105" si="264">0.5*L*DN69^2*DR69*1000</f>
        <v>95.999999999999986</v>
      </c>
      <c r="EC69" s="173">
        <f t="shared" ref="EC69:EC105" si="265">DN69*Nps/2*(1-EA69)</f>
        <v>6.2337662337662341</v>
      </c>
      <c r="ED69" s="173">
        <f t="shared" si="121"/>
        <v>15.399999999999997</v>
      </c>
      <c r="EE69" s="460">
        <f t="shared" ref="EE69:EE105" si="266">CJ69*DX69/Vout_ripple*1000</f>
        <v>139.28057198449591</v>
      </c>
      <c r="EF69" s="5">
        <f t="shared" ref="EF69:EF105" si="267">CL69/Efficiency/CM69*DY69/Vinripple1</f>
        <v>7.0170462822462101</v>
      </c>
      <c r="EG69" s="5"/>
      <c r="EH69" s="173">
        <f t="shared" si="122"/>
        <v>4.1725377767087961</v>
      </c>
      <c r="EI69" s="173">
        <f t="shared" ref="EI69:EI105" si="268">DN69*Nps*SQRT((1-EA69)/3)</f>
        <v>8.0975551340231782</v>
      </c>
      <c r="EJ69" s="173"/>
      <c r="EK69" s="528">
        <f t="shared" ref="EK69:EK105" si="269">Rdson*EH69^2</f>
        <v>0.34820142996123971</v>
      </c>
      <c r="EL69" s="528">
        <f t="shared" ref="EL69:EL105" si="270">0.5*CO69*DN69*DR69*1000*Trise</f>
        <v>1.4886666666666666</v>
      </c>
      <c r="EM69" s="528">
        <f t="shared" ref="EM69:EM105" si="271">Qg*Vdd*DR69*1000</f>
        <v>8.0340188657862834E-3</v>
      </c>
      <c r="EN69" s="528">
        <f t="shared" ref="EN69:EN105" si="272">0.5*(Coss+Csw)*CO69^2*DR69*1000</f>
        <v>3.4627006944444441E-2</v>
      </c>
      <c r="EO69">
        <f t="shared" ref="EO69:EO105" si="273">CM69*IQ</f>
        <v>2.6099999999999998E-2</v>
      </c>
      <c r="EP69" s="460">
        <f t="shared" si="123"/>
        <v>34.134018865786281</v>
      </c>
      <c r="EQ69" s="528">
        <f t="shared" ref="EQ69:EQ105" si="274">(EL69+EM69+EN69+EO69+EK69*(1+RdsonTC*(Ta-25)))/(1-EK69*RdsonTC*ThetaJA)</f>
        <v>2.18000077055162</v>
      </c>
      <c r="ER69" s="460">
        <f t="shared" si="124"/>
        <v>2180.00077055162</v>
      </c>
      <c r="ES69" s="528">
        <f t="shared" si="125"/>
        <v>3.9759999999999995</v>
      </c>
      <c r="ET69" s="528"/>
      <c r="EV69" s="460">
        <f t="shared" si="126"/>
        <v>3975.9999999999995</v>
      </c>
      <c r="EW69" s="528">
        <f t="shared" ref="EW69:EW105" si="275">Rdcr_pri*EH69^2</f>
        <v>0.52230214494185956</v>
      </c>
      <c r="EX69" s="528">
        <f t="shared" ref="EX69:EX105" si="276">Rdcr_sec*EI69^2</f>
        <v>1.9671119744563539</v>
      </c>
      <c r="EY69" s="528">
        <f t="shared" ref="EY69:EY105" si="277">DN69^2.5*DR69^2.5*k_core</f>
        <v>1.6373763960187127</v>
      </c>
      <c r="EZ69" s="528">
        <f t="shared" ref="EZ69:EZ105" si="278">(EY69+(EW69+EX69)*(1+Ltc*(Ta-25)))/(1-(EW69+EX69)*Ltc*ThetaCa)</f>
        <v>5.8990676974599054</v>
      </c>
      <c r="FA69" s="528">
        <f t="shared" ref="FA69:FA105" si="279">0.5*Lleak*0.000000001*DN69^2*DR69*1000</f>
        <v>1.6E-2</v>
      </c>
      <c r="FB69" s="460">
        <f t="shared" si="127"/>
        <v>5915.0676974599055</v>
      </c>
      <c r="FC69" s="173">
        <f t="shared" si="128"/>
        <v>12.071068468011525</v>
      </c>
      <c r="FD69" s="5">
        <f t="shared" si="129"/>
        <v>96</v>
      </c>
      <c r="FE69" s="173">
        <f t="shared" si="130"/>
        <v>0.88830434787841017</v>
      </c>
      <c r="FF69" s="5">
        <f t="shared" si="131"/>
        <v>88.830434787841014</v>
      </c>
      <c r="FI69" s="562">
        <f t="shared" ref="FI69:FI105" si="280">IF(ABS(CJ69-Ioutmax_Vinnom)&lt;Iout/200, DR69, -50)</f>
        <v>-50</v>
      </c>
      <c r="FJ69">
        <f t="shared" ref="FJ69:FJ105" si="281">IF(ABS(CJ69-Ioutmax_Vinnom)&lt;Iout/200, CR69*FE69, -50)</f>
        <v>-50</v>
      </c>
      <c r="FL69">
        <f t="shared" ref="FL69:FL105" si="282">MIN(SQRT(2*L*DR69*1000*CJ69*(CX69+Vfwd1))/(Nps*(CX69+Vfwd1)), 1-EA69)</f>
        <v>0.7901907356948229</v>
      </c>
    </row>
    <row r="70" spans="5:168">
      <c r="E70" s="170">
        <v>65</v>
      </c>
      <c r="F70" s="217">
        <f t="shared" ref="F70:F101" si="283">IF(PLOT_TYPE=1, E70/100*Iout_max, min_I*EXP(N70*rr/100))</f>
        <v>6.5</v>
      </c>
      <c r="G70" s="217"/>
      <c r="H70" s="217">
        <f t="shared" si="183"/>
        <v>97.5</v>
      </c>
      <c r="I70" s="541">
        <f t="shared" si="184"/>
        <v>57.587053330719669</v>
      </c>
      <c r="J70" s="172">
        <f t="shared" si="185"/>
        <v>15.647768001568201</v>
      </c>
      <c r="K70" s="172">
        <f t="shared" si="186"/>
        <v>73.647768001568195</v>
      </c>
      <c r="L70" s="443"/>
      <c r="M70" s="217">
        <f t="shared" si="187"/>
        <v>0.21365502848251597</v>
      </c>
      <c r="N70" s="172">
        <f t="shared" si="188"/>
        <v>308.48611084514789</v>
      </c>
      <c r="O70" s="172">
        <f t="shared" ref="O70:O133" si="284">T70*F70</f>
        <v>97.5</v>
      </c>
      <c r="P70" s="217">
        <f t="shared" si="189"/>
        <v>20.56574072300986</v>
      </c>
      <c r="Q70" s="217">
        <f t="shared" si="190"/>
        <v>15</v>
      </c>
      <c r="R70" s="217">
        <f t="shared" si="191"/>
        <v>20.506272532665129</v>
      </c>
      <c r="S70" s="172">
        <f t="shared" si="192"/>
        <v>164.04169228647922</v>
      </c>
      <c r="T70" s="172">
        <f t="shared" si="193"/>
        <v>15</v>
      </c>
      <c r="U70" s="217">
        <f t="shared" si="194"/>
        <v>16.532184309531061</v>
      </c>
      <c r="V70" s="217">
        <f t="shared" si="195"/>
        <v>3.4449793875552253</v>
      </c>
      <c r="W70" s="217">
        <f t="shared" si="196"/>
        <v>12.67824342069046</v>
      </c>
      <c r="X70" s="197">
        <f t="shared" si="197"/>
        <v>102.5364749104393</v>
      </c>
      <c r="Y70" s="443">
        <f t="shared" si="198"/>
        <v>61.262411948138663</v>
      </c>
      <c r="AA70" s="217">
        <f t="shared" si="199"/>
        <v>9.9999999999999982</v>
      </c>
      <c r="AB70" s="173">
        <f t="shared" si="200"/>
        <v>7.6688253550265912</v>
      </c>
      <c r="AC70" s="173">
        <f t="shared" si="201"/>
        <v>3.9316715930411235</v>
      </c>
      <c r="AD70" s="173"/>
      <c r="AE70" s="173">
        <f t="shared" si="202"/>
        <v>7.6688253550265921</v>
      </c>
      <c r="AF70" s="545">
        <f t="shared" si="203"/>
        <v>169.51748668365548</v>
      </c>
      <c r="AG70" s="528">
        <f t="shared" si="204"/>
        <v>3.9316715930411252</v>
      </c>
      <c r="AI70" s="173">
        <f t="shared" si="205"/>
        <v>6.9594229375646925</v>
      </c>
      <c r="AJ70" s="173">
        <f t="shared" si="153"/>
        <v>16.532184309531061</v>
      </c>
      <c r="AK70" s="173">
        <f t="shared" si="207"/>
        <v>6.0386550440970828</v>
      </c>
      <c r="AM70" s="545">
        <f t="shared" si="208"/>
        <v>6500</v>
      </c>
      <c r="AN70" s="460">
        <f t="shared" si="209"/>
        <v>61.262411948138663</v>
      </c>
      <c r="AP70">
        <f t="shared" si="210"/>
        <v>6500</v>
      </c>
      <c r="AQ70">
        <f t="shared" si="211"/>
        <v>61.262411948138663</v>
      </c>
      <c r="AS70" s="5">
        <f t="shared" ref="AS70:AS133" si="285">1/AN70*1000</f>
        <v>16.323222808245685</v>
      </c>
      <c r="AT70" s="5">
        <f t="shared" si="212"/>
        <v>3.4449793875552253</v>
      </c>
      <c r="AU70" s="5">
        <f t="shared" ref="AU70:AU105" si="286">AS70-AT70</f>
        <v>12.87824342069046</v>
      </c>
      <c r="AV70" s="5">
        <f t="shared" si="213"/>
        <v>12.67824342069046</v>
      </c>
      <c r="AW70" s="173">
        <f t="shared" ref="AW70:AW105" si="287">AT70/AS70</f>
        <v>0.21104774639325466</v>
      </c>
      <c r="AX70" s="173">
        <f t="shared" si="214"/>
        <v>100.46292497076277</v>
      </c>
      <c r="AY70" s="173">
        <f t="shared" si="215"/>
        <v>6.5215520340233031</v>
      </c>
      <c r="AZ70" s="173">
        <f t="shared" ref="AZ70:AZ133" si="288">AX70/AY70</f>
        <v>15.404757095648712</v>
      </c>
      <c r="BA70" s="460">
        <f t="shared" si="216"/>
        <v>149.28244012739307</v>
      </c>
      <c r="BB70" s="5">
        <f t="shared" si="217"/>
        <v>7.5186244183087974</v>
      </c>
      <c r="BC70" s="5"/>
      <c r="BD70" s="173">
        <f t="shared" ref="BD70:BD133" si="289">AJ70*SQRT(AW70/3)</f>
        <v>4.3849027972109083</v>
      </c>
      <c r="BE70" s="173">
        <f t="shared" si="218"/>
        <v>8.4780304399339688</v>
      </c>
      <c r="BF70" s="173"/>
      <c r="BG70" s="528">
        <f t="shared" si="219"/>
        <v>0.38454745081976094</v>
      </c>
      <c r="BH70" s="528">
        <f t="shared" si="220"/>
        <v>1.3985731657711371</v>
      </c>
      <c r="BI70" s="528">
        <f t="shared" si="221"/>
        <v>8.8198044600649464E-2</v>
      </c>
      <c r="BJ70" s="528">
        <f t="shared" si="222"/>
        <v>3.3228693839018594E-2</v>
      </c>
      <c r="BK70">
        <f t="shared" si="223"/>
        <v>2.5914173998823852E-2</v>
      </c>
      <c r="BL70" s="460">
        <f t="shared" ref="BL70:BL105" si="290">(BK70+BI70)*1000</f>
        <v>114.11221859947332</v>
      </c>
      <c r="BM70" s="528">
        <f t="shared" si="224"/>
        <v>2.1132627119702807</v>
      </c>
      <c r="BN70" s="460">
        <f t="shared" ref="BN70:BN105" si="291">BM70*1000</f>
        <v>2113.2627119702806</v>
      </c>
      <c r="BO70" s="528">
        <f t="shared" si="225"/>
        <v>4.038125</v>
      </c>
      <c r="BP70" s="528"/>
      <c r="BR70" s="460">
        <f t="shared" ref="BR70:BR105" si="292">SUM(BO70:BQ70)*1000</f>
        <v>4038.125</v>
      </c>
      <c r="BS70" s="528">
        <f t="shared" si="226"/>
        <v>0.57682117622964135</v>
      </c>
      <c r="BT70" s="528">
        <f t="shared" si="227"/>
        <v>2.1563100042134091</v>
      </c>
      <c r="BU70" s="528">
        <f t="shared" si="228"/>
        <v>1.4624999999999999</v>
      </c>
      <c r="BV70" s="528">
        <f t="shared" si="229"/>
        <v>6.2092349572089667</v>
      </c>
      <c r="BW70" s="528">
        <f t="shared" si="230"/>
        <v>1.6743820828460463E-2</v>
      </c>
      <c r="BX70" s="460">
        <f t="shared" ref="BX70:BX105" si="293">1000*(BV70+BW70)</f>
        <v>6225.9787780374272</v>
      </c>
      <c r="BY70" s="173">
        <f t="shared" si="231"/>
        <v>12.491478708607181</v>
      </c>
      <c r="BZ70" s="5">
        <f t="shared" ref="BZ70:BZ105" si="294">MIN(H70,O70)</f>
        <v>97.5</v>
      </c>
      <c r="CA70" s="173">
        <f t="shared" ref="CA70:CA104" si="295">BZ70/(BZ70+BY70)</f>
        <v>0.88643230498155234</v>
      </c>
      <c r="CB70" s="5">
        <f t="shared" ref="CB70:CB104" si="296">CA70*100</f>
        <v>88.643230498155233</v>
      </c>
      <c r="CE70" s="562">
        <f t="shared" si="232"/>
        <v>-50</v>
      </c>
      <c r="CF70">
        <f t="shared" si="233"/>
        <v>-50</v>
      </c>
      <c r="CG70" s="173">
        <f t="shared" si="234"/>
        <v>0.78702656826460549</v>
      </c>
      <c r="CI70" s="170">
        <v>65</v>
      </c>
      <c r="CJ70" s="217">
        <f t="shared" ref="CJ70:CJ105" si="297">IF(PLOT_TYPE=1, CI70/100*Iout_max, min_I*EXP(CR70*rr/100))</f>
        <v>6.5</v>
      </c>
      <c r="CK70" s="217"/>
      <c r="CL70" s="217">
        <f t="shared" si="235"/>
        <v>97.5</v>
      </c>
      <c r="CM70" s="541">
        <f t="shared" si="236"/>
        <v>58</v>
      </c>
      <c r="CN70" s="172">
        <f t="shared" si="237"/>
        <v>15.4</v>
      </c>
      <c r="CO70" s="443">
        <f t="shared" si="238"/>
        <v>73.400000000000006</v>
      </c>
      <c r="CP70" s="443"/>
      <c r="CQ70" s="217">
        <f t="shared" si="239"/>
        <v>0.2098092643051771</v>
      </c>
      <c r="CR70" s="172">
        <f t="shared" si="240"/>
        <v>305.10568119891008</v>
      </c>
      <c r="CS70" s="172">
        <f t="shared" ref="CS70:CS105" si="298">CX70*CJ70</f>
        <v>97.5</v>
      </c>
      <c r="CT70" s="217">
        <f t="shared" si="241"/>
        <v>20.340378746594006</v>
      </c>
      <c r="CU70" s="217">
        <f t="shared" si="242"/>
        <v>15</v>
      </c>
      <c r="CV70" s="217">
        <f t="shared" si="243"/>
        <v>20.281562216167121</v>
      </c>
      <c r="CW70" s="172">
        <f t="shared" si="244"/>
        <v>165.21700531036598</v>
      </c>
      <c r="CX70" s="172">
        <f t="shared" si="245"/>
        <v>15</v>
      </c>
      <c r="CY70" s="217">
        <f t="shared" si="246"/>
        <v>16.024406627854905</v>
      </c>
      <c r="CZ70" s="217">
        <f t="shared" si="247"/>
        <v>3.3153944747286013</v>
      </c>
      <c r="DA70" s="217">
        <f t="shared" si="248"/>
        <v>12.486550619107717</v>
      </c>
      <c r="DB70" s="197">
        <f t="shared" si="249"/>
        <v>101.4078110808356</v>
      </c>
      <c r="DC70" s="443">
        <f t="shared" ref="DC70:DC105" si="299">MIN(1/(CZ70+DA70)*1000, 350)</f>
        <v>63.283348604347353</v>
      </c>
      <c r="DE70" s="217">
        <f t="shared" si="250"/>
        <v>10</v>
      </c>
      <c r="DF70" s="173">
        <f t="shared" si="251"/>
        <v>7.7922077922077913</v>
      </c>
      <c r="DG70" s="173">
        <f t="shared" si="252"/>
        <v>3.9509536784741139</v>
      </c>
      <c r="DH70" s="173"/>
      <c r="DI70" s="173">
        <f t="shared" si="253"/>
        <v>7.7922077922077913</v>
      </c>
      <c r="DJ70" s="545">
        <f t="shared" ref="DJ70:DJ105" si="300">MAX(12, CJ70/(0.5*DI70/1000000*Isw_min*Nps)/1000)</f>
        <v>166.83333333333334</v>
      </c>
      <c r="DK70" s="528">
        <f t="shared" si="254"/>
        <v>3.9509536784741139</v>
      </c>
      <c r="DM70" s="173">
        <f t="shared" si="255"/>
        <v>6.9041050590693267</v>
      </c>
      <c r="DN70" s="173">
        <f t="shared" si="256"/>
        <v>16.024406627854905</v>
      </c>
      <c r="DO70" s="173">
        <f t="shared" si="257"/>
        <v>5.6625234280406707</v>
      </c>
      <c r="DQ70" s="545">
        <f t="shared" si="258"/>
        <v>6500</v>
      </c>
      <c r="DR70" s="460">
        <f t="shared" si="259"/>
        <v>63.283348604347353</v>
      </c>
      <c r="DT70">
        <f t="shared" si="260"/>
        <v>6500</v>
      </c>
      <c r="DU70">
        <f t="shared" si="261"/>
        <v>63.283348604347353</v>
      </c>
      <c r="DW70" s="5">
        <f t="shared" ref="DW70:DW105" si="301">1/DR70*1000</f>
        <v>15.801945093836318</v>
      </c>
      <c r="DX70" s="5">
        <f t="shared" si="262"/>
        <v>3.3153944747286013</v>
      </c>
      <c r="DY70" s="5">
        <f t="shared" ref="DY70:DY105" si="302">DW70-DX70</f>
        <v>12.486550619107717</v>
      </c>
      <c r="DZ70" s="5">
        <f t="shared" si="263"/>
        <v>12.486550619107717</v>
      </c>
      <c r="EA70" s="173">
        <f t="shared" ref="EA70:EA105" si="303">DX70/DW70</f>
        <v>0.20980926430517713</v>
      </c>
      <c r="EB70" s="173">
        <f t="shared" si="264"/>
        <v>97.500000000000014</v>
      </c>
      <c r="EC70" s="173">
        <f t="shared" si="265"/>
        <v>6.3311688311688314</v>
      </c>
      <c r="ED70" s="173">
        <f t="shared" ref="ED70:ED105" si="304">EB70/EC70</f>
        <v>15.400000000000002</v>
      </c>
      <c r="EE70" s="460">
        <f t="shared" si="266"/>
        <v>143.66709390490607</v>
      </c>
      <c r="EF70" s="5">
        <f t="shared" si="267"/>
        <v>7.2380421246314048</v>
      </c>
      <c r="EG70" s="5"/>
      <c r="EH70" s="173">
        <f t="shared" ref="EH70:EH105" si="305">DN70*SQRT(EA70/3)</f>
        <v>4.2377336794698719</v>
      </c>
      <c r="EI70" s="173">
        <f t="shared" si="268"/>
        <v>8.2240794329922906</v>
      </c>
      <c r="EJ70" s="173"/>
      <c r="EK70" s="528">
        <f t="shared" si="269"/>
        <v>0.35916773476226516</v>
      </c>
      <c r="EL70" s="528">
        <f t="shared" si="270"/>
        <v>1.4886666666666672</v>
      </c>
      <c r="EM70" s="528">
        <f t="shared" si="271"/>
        <v>7.9104185755434174E-3</v>
      </c>
      <c r="EN70" s="528">
        <f t="shared" si="272"/>
        <v>3.4094283760683769E-2</v>
      </c>
      <c r="EO70">
        <f t="shared" si="273"/>
        <v>2.6099999999999998E-2</v>
      </c>
      <c r="EP70" s="460">
        <f t="shared" ref="EP70:EP105" si="306">(EO70+EM70)*1000</f>
        <v>34.010418575543419</v>
      </c>
      <c r="EQ70" s="528">
        <f t="shared" si="274"/>
        <v>2.200719993449626</v>
      </c>
      <c r="ER70" s="460">
        <f t="shared" ref="ER70:ER105" si="307">EQ70*1000</f>
        <v>2200.7199934496261</v>
      </c>
      <c r="ES70" s="528">
        <f t="shared" ref="ES70:ES105" si="308">Vfwd2*CJ70*(1+Diode_TC/1000*(Ta-25))</f>
        <v>4.038125</v>
      </c>
      <c r="ET70" s="528"/>
      <c r="EV70" s="460">
        <f t="shared" ref="EV70:EV105" si="309">SUM(ES70:EU70)*1000</f>
        <v>4038.125</v>
      </c>
      <c r="EW70" s="528">
        <f t="shared" si="275"/>
        <v>0.53875160214339779</v>
      </c>
      <c r="EX70" s="528">
        <f t="shared" si="276"/>
        <v>2.0290644756050038</v>
      </c>
      <c r="EY70" s="528">
        <f t="shared" si="277"/>
        <v>1.6373763960187169</v>
      </c>
      <c r="EZ70" s="528">
        <f t="shared" si="278"/>
        <v>6.0679861173645593</v>
      </c>
      <c r="FA70" s="528">
        <f t="shared" si="279"/>
        <v>1.6250000000000004E-2</v>
      </c>
      <c r="FB70" s="460">
        <f t="shared" ref="FB70:FB105" si="310">1000*(EZ70+FA70)</f>
        <v>6084.2361173645595</v>
      </c>
      <c r="FC70" s="173">
        <f t="shared" ref="FC70:FC105" si="311">SUM(EQ70,ES70:EU70,EZ70, FA70)</f>
        <v>12.323081110814185</v>
      </c>
      <c r="FD70" s="5">
        <f t="shared" ref="FD70:FD105" si="312">MIN(CL70,CS70)</f>
        <v>97.5</v>
      </c>
      <c r="FE70" s="173">
        <f t="shared" ref="FE70:FE105" si="313">FD70/(FD70+FC70)</f>
        <v>0.88779151899426412</v>
      </c>
      <c r="FF70" s="5">
        <f t="shared" ref="FF70:FF105" si="314">FE70*100</f>
        <v>88.779151899426409</v>
      </c>
      <c r="FI70" s="562">
        <f t="shared" si="280"/>
        <v>-50</v>
      </c>
      <c r="FJ70">
        <f t="shared" si="281"/>
        <v>-50</v>
      </c>
      <c r="FL70">
        <f t="shared" si="282"/>
        <v>0.7901907356948229</v>
      </c>
    </row>
    <row r="71" spans="5:168">
      <c r="E71" s="170">
        <v>66</v>
      </c>
      <c r="F71" s="217">
        <f t="shared" si="283"/>
        <v>6.6000000000000005</v>
      </c>
      <c r="G71" s="217"/>
      <c r="H71" s="217">
        <f t="shared" si="183"/>
        <v>99.000000000000014</v>
      </c>
      <c r="I71" s="541">
        <f t="shared" si="184"/>
        <v>57.580725845234035</v>
      </c>
      <c r="J71" s="172">
        <f t="shared" si="185"/>
        <v>15.651564492859581</v>
      </c>
      <c r="K71" s="172">
        <f t="shared" si="186"/>
        <v>73.651564492859578</v>
      </c>
      <c r="L71" s="443"/>
      <c r="M71" s="217">
        <f t="shared" si="187"/>
        <v>0.21371425586960524</v>
      </c>
      <c r="N71" s="172">
        <f t="shared" si="188"/>
        <v>308.53772150444081</v>
      </c>
      <c r="O71" s="172">
        <f t="shared" si="284"/>
        <v>99.000000000000014</v>
      </c>
      <c r="P71" s="217">
        <f t="shared" si="189"/>
        <v>20.569181433629389</v>
      </c>
      <c r="Q71" s="217">
        <f t="shared" si="190"/>
        <v>15</v>
      </c>
      <c r="R71" s="217">
        <f t="shared" si="191"/>
        <v>20.509703294076566</v>
      </c>
      <c r="S71" s="172">
        <f t="shared" si="192"/>
        <v>160.67107874889402</v>
      </c>
      <c r="T71" s="172">
        <f t="shared" si="193"/>
        <v>15</v>
      </c>
      <c r="U71" s="217">
        <f t="shared" si="194"/>
        <v>16.787790060468097</v>
      </c>
      <c r="V71" s="217">
        <f t="shared" si="195"/>
        <v>3.498626975753754</v>
      </c>
      <c r="W71" s="217">
        <f t="shared" si="196"/>
        <v>12.871140186498449</v>
      </c>
      <c r="X71" s="197">
        <f t="shared" si="197"/>
        <v>102.55362763607189</v>
      </c>
      <c r="Y71" s="443">
        <f t="shared" si="198"/>
        <v>60.350878211379623</v>
      </c>
      <c r="AA71" s="217">
        <f t="shared" si="199"/>
        <v>10</v>
      </c>
      <c r="AB71" s="173">
        <f t="shared" si="200"/>
        <v>7.6669651813239081</v>
      </c>
      <c r="AC71" s="173">
        <f t="shared" si="201"/>
        <v>3.9313754615211027</v>
      </c>
      <c r="AD71" s="173"/>
      <c r="AE71" s="173">
        <f t="shared" si="202"/>
        <v>7.6669651813239081</v>
      </c>
      <c r="AF71" s="545">
        <f t="shared" si="203"/>
        <v>172.16720942145542</v>
      </c>
      <c r="AG71" s="528">
        <f t="shared" si="204"/>
        <v>3.9313754615211027</v>
      </c>
      <c r="AI71" s="173">
        <f t="shared" si="205"/>
        <v>7.013603300962564</v>
      </c>
      <c r="AJ71" s="173">
        <f t="shared" si="153"/>
        <v>16.787790060468097</v>
      </c>
      <c r="AK71" s="173">
        <f t="shared" si="207"/>
        <v>6.2279926373837755</v>
      </c>
      <c r="AM71" s="545">
        <f t="shared" si="208"/>
        <v>6600.0000000000009</v>
      </c>
      <c r="AN71" s="460">
        <f t="shared" si="209"/>
        <v>60.350878211379623</v>
      </c>
      <c r="AP71">
        <f t="shared" si="210"/>
        <v>6600.0000000000009</v>
      </c>
      <c r="AQ71">
        <f t="shared" si="211"/>
        <v>60.350878211379623</v>
      </c>
      <c r="AS71" s="5">
        <f t="shared" si="285"/>
        <v>16.569767162252205</v>
      </c>
      <c r="AT71" s="5">
        <f t="shared" si="212"/>
        <v>3.498626975753754</v>
      </c>
      <c r="AU71" s="5">
        <f t="shared" si="286"/>
        <v>13.07114018649845</v>
      </c>
      <c r="AV71" s="5">
        <f t="shared" si="213"/>
        <v>12.871140186498449</v>
      </c>
      <c r="AW71" s="173">
        <f t="shared" si="287"/>
        <v>0.21114521052076218</v>
      </c>
      <c r="AX71" s="173">
        <f t="shared" si="214"/>
        <v>102.05209005823272</v>
      </c>
      <c r="AY71" s="173">
        <f t="shared" si="215"/>
        <v>6.6215642969861008</v>
      </c>
      <c r="AZ71" s="173">
        <f t="shared" si="288"/>
        <v>15.412081719826112</v>
      </c>
      <c r="BA71" s="460">
        <f t="shared" si="216"/>
        <v>153.93958693316517</v>
      </c>
      <c r="BB71" s="5">
        <f t="shared" si="217"/>
        <v>7.7494973479163605</v>
      </c>
      <c r="BC71" s="5"/>
      <c r="BD71" s="173">
        <f t="shared" si="289"/>
        <v>4.4537262501926049</v>
      </c>
      <c r="BE71" s="173">
        <f t="shared" si="218"/>
        <v>8.6085783297705891</v>
      </c>
      <c r="BF71" s="173"/>
      <c r="BG71" s="528">
        <f t="shared" si="219"/>
        <v>0.39671355023309368</v>
      </c>
      <c r="BH71" s="528">
        <f t="shared" si="220"/>
        <v>1.3991374209846155</v>
      </c>
      <c r="BI71" s="528">
        <f t="shared" si="221"/>
        <v>8.6876184320213962E-2</v>
      </c>
      <c r="BJ71" s="528">
        <f t="shared" si="222"/>
        <v>3.2737653457216936E-2</v>
      </c>
      <c r="BK71">
        <f t="shared" si="223"/>
        <v>2.5911326630355315E-2</v>
      </c>
      <c r="BL71" s="460">
        <f t="shared" si="290"/>
        <v>112.78751095056927</v>
      </c>
      <c r="BM71" s="528">
        <f t="shared" si="224"/>
        <v>2.1371469122469606</v>
      </c>
      <c r="BN71" s="460">
        <f t="shared" si="291"/>
        <v>2137.1469122469607</v>
      </c>
      <c r="BO71" s="528">
        <f t="shared" si="225"/>
        <v>4.10025</v>
      </c>
      <c r="BP71" s="528"/>
      <c r="BR71" s="460">
        <f t="shared" si="292"/>
        <v>4100.25</v>
      </c>
      <c r="BS71" s="528">
        <f t="shared" si="226"/>
        <v>0.59507032534964044</v>
      </c>
      <c r="BT71" s="528">
        <f t="shared" si="227"/>
        <v>2.2232286257938734</v>
      </c>
      <c r="BU71" s="528">
        <f t="shared" si="228"/>
        <v>1.4850000000000001</v>
      </c>
      <c r="BV71" s="528">
        <f t="shared" si="229"/>
        <v>6.4292559157335685</v>
      </c>
      <c r="BW71" s="528">
        <f t="shared" si="230"/>
        <v>1.7008681676372119E-2</v>
      </c>
      <c r="BX71" s="460">
        <f t="shared" si="293"/>
        <v>6446.2645974099405</v>
      </c>
      <c r="BY71" s="173">
        <f t="shared" si="231"/>
        <v>12.796449020607472</v>
      </c>
      <c r="BZ71" s="5">
        <f t="shared" si="294"/>
        <v>99.000000000000014</v>
      </c>
      <c r="CA71" s="173">
        <f t="shared" si="295"/>
        <v>0.8855379653583747</v>
      </c>
      <c r="CB71" s="5">
        <f t="shared" si="296"/>
        <v>88.553796535837463</v>
      </c>
      <c r="CE71" s="562">
        <f t="shared" si="232"/>
        <v>-50</v>
      </c>
      <c r="CF71">
        <f t="shared" si="233"/>
        <v>-50</v>
      </c>
      <c r="CG71" s="173">
        <f t="shared" si="234"/>
        <v>0.78707451019536645</v>
      </c>
      <c r="CI71" s="170">
        <v>66</v>
      </c>
      <c r="CJ71" s="217">
        <f t="shared" si="297"/>
        <v>6.6000000000000005</v>
      </c>
      <c r="CK71" s="217"/>
      <c r="CL71" s="217">
        <f t="shared" si="235"/>
        <v>99.000000000000014</v>
      </c>
      <c r="CM71" s="541">
        <f t="shared" si="236"/>
        <v>58</v>
      </c>
      <c r="CN71" s="172">
        <f t="shared" si="237"/>
        <v>15.4</v>
      </c>
      <c r="CO71" s="443">
        <f t="shared" si="238"/>
        <v>73.400000000000006</v>
      </c>
      <c r="CP71" s="443"/>
      <c r="CQ71" s="217">
        <f t="shared" si="239"/>
        <v>0.2098092643051771</v>
      </c>
      <c r="CR71" s="172">
        <f t="shared" si="240"/>
        <v>305.10568119891008</v>
      </c>
      <c r="CS71" s="172">
        <f t="shared" si="298"/>
        <v>99.000000000000014</v>
      </c>
      <c r="CT71" s="217">
        <f t="shared" si="241"/>
        <v>20.340378746594006</v>
      </c>
      <c r="CU71" s="217">
        <f t="shared" si="242"/>
        <v>15</v>
      </c>
      <c r="CV71" s="217">
        <f t="shared" si="243"/>
        <v>20.281562216167121</v>
      </c>
      <c r="CW71" s="172">
        <f t="shared" si="244"/>
        <v>161.83996775300557</v>
      </c>
      <c r="CX71" s="172">
        <f t="shared" si="245"/>
        <v>15</v>
      </c>
      <c r="CY71" s="217">
        <f t="shared" si="246"/>
        <v>16.270935960591135</v>
      </c>
      <c r="CZ71" s="217">
        <f t="shared" si="247"/>
        <v>3.3664005435705797</v>
      </c>
      <c r="DA71" s="217">
        <f t="shared" si="248"/>
        <v>12.678651397863222</v>
      </c>
      <c r="DB71" s="197">
        <f t="shared" si="249"/>
        <v>101.4078110808356</v>
      </c>
      <c r="DC71" s="443">
        <f t="shared" si="299"/>
        <v>62.324509989129957</v>
      </c>
      <c r="DE71" s="217">
        <f t="shared" si="250"/>
        <v>10</v>
      </c>
      <c r="DF71" s="173">
        <f t="shared" si="251"/>
        <v>7.7922077922077913</v>
      </c>
      <c r="DG71" s="173">
        <f t="shared" si="252"/>
        <v>3.9509536784741139</v>
      </c>
      <c r="DH71" s="173"/>
      <c r="DI71" s="173">
        <f t="shared" si="253"/>
        <v>7.7922077922077913</v>
      </c>
      <c r="DJ71" s="545">
        <f t="shared" si="300"/>
        <v>169.40000000000003</v>
      </c>
      <c r="DK71" s="528">
        <f t="shared" si="254"/>
        <v>3.9509536784741139</v>
      </c>
      <c r="DM71" s="173">
        <f t="shared" si="255"/>
        <v>6.957010852370435</v>
      </c>
      <c r="DN71" s="173">
        <f t="shared" si="256"/>
        <v>16.270935960591135</v>
      </c>
      <c r="DO71" s="173">
        <f t="shared" si="257"/>
        <v>5.8451377485860263</v>
      </c>
      <c r="DQ71" s="545">
        <f t="shared" si="258"/>
        <v>6600.0000000000009</v>
      </c>
      <c r="DR71" s="460">
        <f t="shared" si="259"/>
        <v>62.324509989129957</v>
      </c>
      <c r="DT71">
        <f t="shared" si="260"/>
        <v>6600.0000000000009</v>
      </c>
      <c r="DU71">
        <f t="shared" si="261"/>
        <v>62.324509989129957</v>
      </c>
      <c r="DW71" s="5">
        <f t="shared" si="301"/>
        <v>16.045051941433801</v>
      </c>
      <c r="DX71" s="5">
        <f t="shared" si="262"/>
        <v>3.3664005435705797</v>
      </c>
      <c r="DY71" s="5">
        <f t="shared" si="302"/>
        <v>12.678651397863222</v>
      </c>
      <c r="DZ71" s="5">
        <f t="shared" si="263"/>
        <v>12.678651397863222</v>
      </c>
      <c r="EA71" s="173">
        <f t="shared" si="303"/>
        <v>0.20980926430517713</v>
      </c>
      <c r="EB71" s="173">
        <f t="shared" si="264"/>
        <v>99.000000000000014</v>
      </c>
      <c r="EC71" s="173">
        <f t="shared" si="265"/>
        <v>6.4285714285714297</v>
      </c>
      <c r="ED71" s="173">
        <f t="shared" si="304"/>
        <v>15.4</v>
      </c>
      <c r="EE71" s="460">
        <f t="shared" si="266"/>
        <v>148.12162391710552</v>
      </c>
      <c r="EF71" s="5">
        <f t="shared" si="267"/>
        <v>7.4624642591466053</v>
      </c>
      <c r="EG71" s="5"/>
      <c r="EH71" s="173">
        <f t="shared" si="305"/>
        <v>4.3029295822309468</v>
      </c>
      <c r="EI71" s="173">
        <f t="shared" si="268"/>
        <v>8.350603731961403</v>
      </c>
      <c r="EJ71" s="173"/>
      <c r="EK71" s="528">
        <f t="shared" si="269"/>
        <v>0.37030405979276382</v>
      </c>
      <c r="EL71" s="528">
        <f t="shared" si="270"/>
        <v>1.4886666666666668</v>
      </c>
      <c r="EM71" s="528">
        <f t="shared" si="271"/>
        <v>7.790563748641244E-3</v>
      </c>
      <c r="EN71" s="528">
        <f t="shared" si="272"/>
        <v>3.3577703703703707E-2</v>
      </c>
      <c r="EO71">
        <f t="shared" si="273"/>
        <v>2.6099999999999998E-2</v>
      </c>
      <c r="EP71" s="460">
        <f t="shared" si="306"/>
        <v>33.890563748641242</v>
      </c>
      <c r="EQ71" s="528">
        <f t="shared" si="274"/>
        <v>2.2219145646031935</v>
      </c>
      <c r="ER71" s="460">
        <f t="shared" si="307"/>
        <v>2221.9145646031934</v>
      </c>
      <c r="ES71" s="528">
        <f t="shared" si="308"/>
        <v>4.10025</v>
      </c>
      <c r="ET71" s="528"/>
      <c r="EV71" s="460">
        <f t="shared" si="309"/>
        <v>4100.25</v>
      </c>
      <c r="EW71" s="528">
        <f t="shared" si="275"/>
        <v>0.55545608968914573</v>
      </c>
      <c r="EX71" s="528">
        <f t="shared" si="276"/>
        <v>2.0919774806474316</v>
      </c>
      <c r="EY71" s="528">
        <f t="shared" si="277"/>
        <v>1.6373763960187142</v>
      </c>
      <c r="EZ71" s="528">
        <f t="shared" si="278"/>
        <v>6.2422746123572077</v>
      </c>
      <c r="FA71" s="528">
        <f t="shared" si="279"/>
        <v>1.6500000000000004E-2</v>
      </c>
      <c r="FB71" s="460">
        <f t="shared" si="310"/>
        <v>6258.7746123572078</v>
      </c>
      <c r="FC71" s="173">
        <f t="shared" si="311"/>
        <v>12.580939176960403</v>
      </c>
      <c r="FD71" s="5">
        <f t="shared" si="312"/>
        <v>99.000000000000014</v>
      </c>
      <c r="FE71" s="173">
        <f t="shared" si="313"/>
        <v>0.88724831257238468</v>
      </c>
      <c r="FF71" s="5">
        <f t="shared" si="314"/>
        <v>88.724831257238463</v>
      </c>
      <c r="FI71" s="562">
        <f t="shared" si="280"/>
        <v>-50</v>
      </c>
      <c r="FJ71">
        <f t="shared" si="281"/>
        <v>-50</v>
      </c>
      <c r="FL71">
        <f t="shared" si="282"/>
        <v>0.7901907356948229</v>
      </c>
    </row>
    <row r="72" spans="5:168">
      <c r="E72" s="170">
        <v>67</v>
      </c>
      <c r="F72" s="217">
        <f t="shared" si="283"/>
        <v>6.7</v>
      </c>
      <c r="G72" s="217"/>
      <c r="H72" s="217">
        <f t="shared" si="183"/>
        <v>100.5</v>
      </c>
      <c r="I72" s="541">
        <f t="shared" si="184"/>
        <v>57.574398356730072</v>
      </c>
      <c r="J72" s="172">
        <f t="shared" si="185"/>
        <v>15.655360985961959</v>
      </c>
      <c r="K72" s="172">
        <f t="shared" si="186"/>
        <v>73.655360985961963</v>
      </c>
      <c r="L72" s="443"/>
      <c r="M72" s="217">
        <f t="shared" si="187"/>
        <v>0.21377348735954152</v>
      </c>
      <c r="N72" s="172">
        <f t="shared" si="188"/>
        <v>308.58931927779372</v>
      </c>
      <c r="O72" s="172">
        <f t="shared" si="284"/>
        <v>100.5</v>
      </c>
      <c r="P72" s="217">
        <f t="shared" si="189"/>
        <v>20.572621285186248</v>
      </c>
      <c r="Q72" s="217">
        <f t="shared" si="190"/>
        <v>15</v>
      </c>
      <c r="R72" s="217">
        <f t="shared" si="191"/>
        <v>20.513133198909404</v>
      </c>
      <c r="S72" s="172">
        <f t="shared" si="192"/>
        <v>157.40138768266382</v>
      </c>
      <c r="T72" s="172">
        <f t="shared" si="193"/>
        <v>15</v>
      </c>
      <c r="U72" s="217">
        <f t="shared" si="194"/>
        <v>17.043434410520597</v>
      </c>
      <c r="V72" s="217">
        <f t="shared" si="195"/>
        <v>3.552294401046745</v>
      </c>
      <c r="W72" s="217">
        <f t="shared" si="196"/>
        <v>13.063972980861937</v>
      </c>
      <c r="X72" s="197">
        <f t="shared" si="197"/>
        <v>102.57077608823867</v>
      </c>
      <c r="Y72" s="443">
        <f t="shared" si="198"/>
        <v>59.466228580298534</v>
      </c>
      <c r="AA72" s="217">
        <f t="shared" si="199"/>
        <v>10</v>
      </c>
      <c r="AB72" s="173">
        <f t="shared" si="200"/>
        <v>7.6651059089345228</v>
      </c>
      <c r="AC72" s="173">
        <f t="shared" si="201"/>
        <v>3.9310793093897907</v>
      </c>
      <c r="AD72" s="173"/>
      <c r="AE72" s="173">
        <f t="shared" si="202"/>
        <v>7.6651059089345228</v>
      </c>
      <c r="AF72" s="545">
        <f t="shared" si="203"/>
        <v>174.81819767657518</v>
      </c>
      <c r="AG72" s="528">
        <f t="shared" si="204"/>
        <v>3.9310793093897902</v>
      </c>
      <c r="AI72" s="173">
        <f t="shared" si="205"/>
        <v>7.0673938958445985</v>
      </c>
      <c r="AJ72" s="173">
        <f t="shared" si="206"/>
        <v>17.043434410520597</v>
      </c>
      <c r="AK72" s="173">
        <f t="shared" si="207"/>
        <v>6.4173588226078495</v>
      </c>
      <c r="AM72" s="545">
        <f t="shared" si="208"/>
        <v>6700</v>
      </c>
      <c r="AN72" s="460">
        <f t="shared" si="209"/>
        <v>59.466228580298534</v>
      </c>
      <c r="AP72">
        <f t="shared" si="210"/>
        <v>6700</v>
      </c>
      <c r="AQ72">
        <f t="shared" si="211"/>
        <v>59.466228580298534</v>
      </c>
      <c r="AS72" s="5">
        <f t="shared" si="285"/>
        <v>16.816267381908681</v>
      </c>
      <c r="AT72" s="5">
        <f t="shared" si="212"/>
        <v>3.552294401046745</v>
      </c>
      <c r="AU72" s="5">
        <f t="shared" si="286"/>
        <v>13.263972980861936</v>
      </c>
      <c r="AV72" s="5">
        <f t="shared" si="213"/>
        <v>13.063972980861937</v>
      </c>
      <c r="AW72" s="173">
        <f t="shared" si="287"/>
        <v>0.21124155083716042</v>
      </c>
      <c r="AX72" s="173">
        <f t="shared" si="214"/>
        <v>103.64202111280211</v>
      </c>
      <c r="AY72" s="173">
        <f t="shared" si="215"/>
        <v>6.7215764470254005</v>
      </c>
      <c r="AZ72" s="173">
        <f t="shared" si="288"/>
        <v>15.419302589152037</v>
      </c>
      <c r="BA72" s="460">
        <f t="shared" si="216"/>
        <v>158.66914991342128</v>
      </c>
      <c r="BB72" s="5">
        <f t="shared" si="217"/>
        <v>7.9838484406833876</v>
      </c>
      <c r="BC72" s="5"/>
      <c r="BD72" s="173">
        <f t="shared" si="289"/>
        <v>4.5225789797917511</v>
      </c>
      <c r="BE72" s="173">
        <f t="shared" si="218"/>
        <v>8.7391360103150362</v>
      </c>
      <c r="BF72" s="173"/>
      <c r="BG72" s="528">
        <f t="shared" si="219"/>
        <v>0.40907441256908395</v>
      </c>
      <c r="BH72" s="528">
        <f t="shared" si="220"/>
        <v>1.399694138536189</v>
      </c>
      <c r="BI72" s="528">
        <f t="shared" si="221"/>
        <v>8.5593308326361861E-2</v>
      </c>
      <c r="BJ72" s="528">
        <f t="shared" si="222"/>
        <v>3.226109622762556E-2</v>
      </c>
      <c r="BK72">
        <f t="shared" si="223"/>
        <v>2.5908479260528531E-2</v>
      </c>
      <c r="BL72" s="460">
        <f t="shared" si="290"/>
        <v>111.50178758689039</v>
      </c>
      <c r="BM72" s="528">
        <f t="shared" si="224"/>
        <v>2.1615765022910827</v>
      </c>
      <c r="BN72" s="460">
        <f t="shared" si="291"/>
        <v>2161.5765022910828</v>
      </c>
      <c r="BO72" s="528">
        <f t="shared" si="225"/>
        <v>4.162374999999999</v>
      </c>
      <c r="BP72" s="528"/>
      <c r="BR72" s="460">
        <f t="shared" si="292"/>
        <v>4162.3749999999991</v>
      </c>
      <c r="BS72" s="528">
        <f t="shared" si="226"/>
        <v>0.61361161885362581</v>
      </c>
      <c r="BT72" s="528">
        <f t="shared" si="227"/>
        <v>2.2911749462035504</v>
      </c>
      <c r="BU72" s="528">
        <f t="shared" si="228"/>
        <v>1.5074999999999998</v>
      </c>
      <c r="BV72" s="528">
        <f t="shared" si="229"/>
        <v>6.6562293993168291</v>
      </c>
      <c r="BW72" s="528">
        <f t="shared" si="230"/>
        <v>1.7273670185467025E-2</v>
      </c>
      <c r="BX72" s="460">
        <f t="shared" si="293"/>
        <v>6673.503069502297</v>
      </c>
      <c r="BY72" s="173">
        <f t="shared" si="231"/>
        <v>13.108956359380269</v>
      </c>
      <c r="BZ72" s="5">
        <f t="shared" si="294"/>
        <v>100.5</v>
      </c>
      <c r="CA72" s="173">
        <f t="shared" si="295"/>
        <v>0.88461335462045276</v>
      </c>
      <c r="CB72" s="5">
        <f t="shared" si="296"/>
        <v>88.46133546204527</v>
      </c>
      <c r="CE72" s="562">
        <f t="shared" si="232"/>
        <v>-50</v>
      </c>
      <c r="CF72">
        <f t="shared" si="233"/>
        <v>-50</v>
      </c>
      <c r="CG72" s="173">
        <f t="shared" si="234"/>
        <v>0.78712102102371639</v>
      </c>
      <c r="CI72" s="170">
        <v>67</v>
      </c>
      <c r="CJ72" s="217">
        <f t="shared" si="297"/>
        <v>6.7</v>
      </c>
      <c r="CK72" s="217"/>
      <c r="CL72" s="217">
        <f t="shared" si="235"/>
        <v>100.5</v>
      </c>
      <c r="CM72" s="541">
        <f t="shared" si="236"/>
        <v>58</v>
      </c>
      <c r="CN72" s="172">
        <f t="shared" si="237"/>
        <v>15.4</v>
      </c>
      <c r="CO72" s="443">
        <f t="shared" si="238"/>
        <v>73.400000000000006</v>
      </c>
      <c r="CP72" s="443"/>
      <c r="CQ72" s="217">
        <f t="shared" si="239"/>
        <v>0.2098092643051771</v>
      </c>
      <c r="CR72" s="172">
        <f t="shared" si="240"/>
        <v>305.10568119891008</v>
      </c>
      <c r="CS72" s="172">
        <f t="shared" si="298"/>
        <v>100.5</v>
      </c>
      <c r="CT72" s="217">
        <f t="shared" si="241"/>
        <v>20.340378746594006</v>
      </c>
      <c r="CU72" s="217">
        <f t="shared" si="242"/>
        <v>15</v>
      </c>
      <c r="CV72" s="217">
        <f t="shared" si="243"/>
        <v>20.281562216167121</v>
      </c>
      <c r="CW72" s="172">
        <f t="shared" si="244"/>
        <v>158.56385557419384</v>
      </c>
      <c r="CX72" s="172">
        <f t="shared" si="245"/>
        <v>15</v>
      </c>
      <c r="CY72" s="217">
        <f t="shared" si="246"/>
        <v>16.517465293327362</v>
      </c>
      <c r="CZ72" s="217">
        <f t="shared" si="247"/>
        <v>3.4174066124125577</v>
      </c>
      <c r="DA72" s="217">
        <f t="shared" si="248"/>
        <v>12.870752176618723</v>
      </c>
      <c r="DB72" s="197">
        <f t="shared" si="249"/>
        <v>101.4078110808356</v>
      </c>
      <c r="DC72" s="443">
        <f t="shared" si="299"/>
        <v>61.394293422128037</v>
      </c>
      <c r="DE72" s="217">
        <f t="shared" si="250"/>
        <v>10</v>
      </c>
      <c r="DF72" s="173">
        <f t="shared" si="251"/>
        <v>7.7922077922077913</v>
      </c>
      <c r="DG72" s="173">
        <f t="shared" si="252"/>
        <v>3.9509536784741139</v>
      </c>
      <c r="DH72" s="173"/>
      <c r="DI72" s="173">
        <f t="shared" si="253"/>
        <v>7.7922077922077913</v>
      </c>
      <c r="DJ72" s="545">
        <f t="shared" si="300"/>
        <v>171.9666666666667</v>
      </c>
      <c r="DK72" s="528">
        <f t="shared" si="254"/>
        <v>3.9509536784741139</v>
      </c>
      <c r="DM72" s="173">
        <f t="shared" si="255"/>
        <v>7.009517339541528</v>
      </c>
      <c r="DN72" s="173">
        <f t="shared" si="256"/>
        <v>16.517465293327362</v>
      </c>
      <c r="DO72" s="173">
        <f t="shared" si="257"/>
        <v>6.0277520691313793</v>
      </c>
      <c r="DQ72" s="545">
        <f t="shared" si="258"/>
        <v>6700</v>
      </c>
      <c r="DR72" s="460">
        <f t="shared" si="259"/>
        <v>61.394293422128037</v>
      </c>
      <c r="DT72">
        <f t="shared" si="260"/>
        <v>6700</v>
      </c>
      <c r="DU72">
        <f t="shared" si="261"/>
        <v>61.394293422128037</v>
      </c>
      <c r="DW72" s="5">
        <f t="shared" si="301"/>
        <v>16.288158789031279</v>
      </c>
      <c r="DX72" s="5">
        <f t="shared" si="262"/>
        <v>3.4174066124125577</v>
      </c>
      <c r="DY72" s="5">
        <f t="shared" si="302"/>
        <v>12.870752176618721</v>
      </c>
      <c r="DZ72" s="5">
        <f t="shared" si="263"/>
        <v>12.870752176618723</v>
      </c>
      <c r="EA72" s="173">
        <f t="shared" si="303"/>
        <v>0.20980926430517716</v>
      </c>
      <c r="EB72" s="173">
        <f t="shared" si="264"/>
        <v>100.50000000000001</v>
      </c>
      <c r="EC72" s="173">
        <f t="shared" si="265"/>
        <v>6.5259740259740253</v>
      </c>
      <c r="ED72" s="173">
        <f t="shared" si="304"/>
        <v>15.400000000000004</v>
      </c>
      <c r="EE72" s="460">
        <f t="shared" si="266"/>
        <v>152.64416202109427</v>
      </c>
      <c r="EF72" s="5">
        <f t="shared" si="267"/>
        <v>7.6903126857918043</v>
      </c>
      <c r="EG72" s="5"/>
      <c r="EH72" s="173">
        <f t="shared" si="305"/>
        <v>4.3681254849920217</v>
      </c>
      <c r="EI72" s="173">
        <f t="shared" si="268"/>
        <v>8.4771280309305137</v>
      </c>
      <c r="EJ72" s="173"/>
      <c r="EK72" s="528">
        <f t="shared" si="269"/>
        <v>0.38161040505273569</v>
      </c>
      <c r="EL72" s="528">
        <f t="shared" si="270"/>
        <v>1.4886666666666672</v>
      </c>
      <c r="EM72" s="528">
        <f t="shared" si="271"/>
        <v>7.6742866777660037E-3</v>
      </c>
      <c r="EN72" s="528">
        <f t="shared" si="272"/>
        <v>3.3076543946932019E-2</v>
      </c>
      <c r="EO72">
        <f t="shared" si="273"/>
        <v>2.6099999999999998E-2</v>
      </c>
      <c r="EP72" s="460">
        <f t="shared" si="306"/>
        <v>33.774286677766007</v>
      </c>
      <c r="EQ72" s="528">
        <f t="shared" si="274"/>
        <v>2.2435904789209338</v>
      </c>
      <c r="ER72" s="460">
        <f t="shared" si="307"/>
        <v>2243.5904789209339</v>
      </c>
      <c r="ES72" s="528">
        <f t="shared" si="308"/>
        <v>4.162374999999999</v>
      </c>
      <c r="ET72" s="528"/>
      <c r="EV72" s="460">
        <f t="shared" si="309"/>
        <v>4162.3749999999991</v>
      </c>
      <c r="EW72" s="528">
        <f t="shared" si="275"/>
        <v>0.57241560757910348</v>
      </c>
      <c r="EX72" s="528">
        <f t="shared" si="276"/>
        <v>2.1558509895836355</v>
      </c>
      <c r="EY72" s="528">
        <f t="shared" si="277"/>
        <v>1.6373763960187171</v>
      </c>
      <c r="EZ72" s="528">
        <f t="shared" si="278"/>
        <v>6.42212948503437</v>
      </c>
      <c r="FA72" s="528">
        <f t="shared" si="279"/>
        <v>1.6750000000000004E-2</v>
      </c>
      <c r="FB72" s="460">
        <f t="shared" si="310"/>
        <v>6438.8794850343702</v>
      </c>
      <c r="FC72" s="173">
        <f t="shared" si="311"/>
        <v>12.844844963955303</v>
      </c>
      <c r="FD72" s="5">
        <f t="shared" si="312"/>
        <v>100.5</v>
      </c>
      <c r="FE72" s="173">
        <f t="shared" si="313"/>
        <v>0.88667464349137293</v>
      </c>
      <c r="FF72" s="5">
        <f t="shared" si="314"/>
        <v>88.66746434913729</v>
      </c>
      <c r="FI72" s="562">
        <f t="shared" si="280"/>
        <v>-50</v>
      </c>
      <c r="FJ72">
        <f t="shared" si="281"/>
        <v>-50</v>
      </c>
      <c r="FL72">
        <f t="shared" si="282"/>
        <v>0.79019073569482279</v>
      </c>
    </row>
    <row r="73" spans="5:168">
      <c r="E73" s="170">
        <v>68</v>
      </c>
      <c r="F73" s="217">
        <f t="shared" si="283"/>
        <v>6.8000000000000007</v>
      </c>
      <c r="G73" s="217"/>
      <c r="H73" s="217">
        <f t="shared" si="183"/>
        <v>102.00000000000001</v>
      </c>
      <c r="I73" s="541">
        <f t="shared" si="184"/>
        <v>57.568070865341447</v>
      </c>
      <c r="J73" s="172">
        <f t="shared" si="185"/>
        <v>15.659157480795132</v>
      </c>
      <c r="K73" s="172">
        <f t="shared" si="186"/>
        <v>73.65915748079513</v>
      </c>
      <c r="L73" s="443"/>
      <c r="M73" s="217">
        <f t="shared" si="187"/>
        <v>0.21383272295236713</v>
      </c>
      <c r="N73" s="172">
        <f t="shared" si="188"/>
        <v>308.64090416401808</v>
      </c>
      <c r="O73" s="172">
        <f t="shared" si="284"/>
        <v>102.00000000000001</v>
      </c>
      <c r="P73" s="217">
        <f t="shared" si="189"/>
        <v>20.576060277601204</v>
      </c>
      <c r="Q73" s="217">
        <f t="shared" si="190"/>
        <v>15</v>
      </c>
      <c r="R73" s="217">
        <f t="shared" si="191"/>
        <v>20.516562247084661</v>
      </c>
      <c r="S73" s="172">
        <f t="shared" si="192"/>
        <v>154.22816850218555</v>
      </c>
      <c r="T73" s="172">
        <f t="shared" si="193"/>
        <v>15</v>
      </c>
      <c r="U73" s="217">
        <f t="shared" si="194"/>
        <v>17.299117372416401</v>
      </c>
      <c r="V73" s="217">
        <f t="shared" si="195"/>
        <v>3.6059816726284453</v>
      </c>
      <c r="W73" s="217">
        <f t="shared" si="196"/>
        <v>13.256741860064361</v>
      </c>
      <c r="X73" s="197">
        <f t="shared" si="197"/>
        <v>102.58792026612743</v>
      </c>
      <c r="Y73" s="443">
        <f t="shared" si="198"/>
        <v>58.607290804657495</v>
      </c>
      <c r="AA73" s="217">
        <f t="shared" si="199"/>
        <v>10</v>
      </c>
      <c r="AB73" s="173">
        <f t="shared" si="200"/>
        <v>7.6632475372427713</v>
      </c>
      <c r="AC73" s="173">
        <f t="shared" si="201"/>
        <v>3.9307831366512938</v>
      </c>
      <c r="AD73" s="173"/>
      <c r="AE73" s="173">
        <f t="shared" si="202"/>
        <v>7.6632475372427713</v>
      </c>
      <c r="AF73" s="545">
        <f t="shared" si="203"/>
        <v>177.47045144901151</v>
      </c>
      <c r="AG73" s="528">
        <f t="shared" si="204"/>
        <v>3.9307831366512938</v>
      </c>
      <c r="AI73" s="173">
        <f t="shared" si="205"/>
        <v>7.1208035551576723</v>
      </c>
      <c r="AJ73" s="173">
        <f t="shared" si="206"/>
        <v>17.299117372416401</v>
      </c>
      <c r="AK73" s="173">
        <f t="shared" si="207"/>
        <v>6.6067536091973347</v>
      </c>
      <c r="AM73" s="545">
        <f t="shared" si="208"/>
        <v>6800.0000000000009</v>
      </c>
      <c r="AN73" s="460">
        <f t="shared" si="209"/>
        <v>58.607290804657495</v>
      </c>
      <c r="AP73">
        <f t="shared" si="210"/>
        <v>6800.0000000000009</v>
      </c>
      <c r="AQ73">
        <f t="shared" si="211"/>
        <v>58.607290804657495</v>
      </c>
      <c r="AS73" s="5">
        <f t="shared" si="285"/>
        <v>17.062723532692804</v>
      </c>
      <c r="AT73" s="5">
        <f t="shared" si="212"/>
        <v>3.6059816726284453</v>
      </c>
      <c r="AU73" s="5">
        <f t="shared" si="286"/>
        <v>13.456741860064358</v>
      </c>
      <c r="AV73" s="5">
        <f t="shared" si="213"/>
        <v>13.256741860064361</v>
      </c>
      <c r="AW73" s="173">
        <f t="shared" si="287"/>
        <v>0.21133681652400052</v>
      </c>
      <c r="AX73" s="173">
        <f t="shared" si="214"/>
        <v>105.23271784527722</v>
      </c>
      <c r="AY73" s="173">
        <f t="shared" si="215"/>
        <v>6.8215884891274428</v>
      </c>
      <c r="AZ73" s="173">
        <f t="shared" si="288"/>
        <v>15.426424213803266</v>
      </c>
      <c r="BA73" s="460">
        <f t="shared" si="216"/>
        <v>163.4711691591562</v>
      </c>
      <c r="BB73" s="5">
        <f t="shared" si="217"/>
        <v>8.2216771535784012</v>
      </c>
      <c r="BC73" s="5"/>
      <c r="BD73" s="173">
        <f t="shared" si="289"/>
        <v>4.5914609869901737</v>
      </c>
      <c r="BE73" s="173">
        <f t="shared" si="218"/>
        <v>8.8697034877061629</v>
      </c>
      <c r="BF73" s="173"/>
      <c r="BG73" s="528">
        <f t="shared" si="219"/>
        <v>0.42163027990105562</v>
      </c>
      <c r="BH73" s="528">
        <f t="shared" si="220"/>
        <v>1.4002436455690501</v>
      </c>
      <c r="BI73" s="528">
        <f t="shared" si="221"/>
        <v>8.434771675670491E-2</v>
      </c>
      <c r="BJ73" s="528">
        <f t="shared" si="222"/>
        <v>3.1798390628464394E-2</v>
      </c>
      <c r="BK73">
        <f t="shared" si="223"/>
        <v>2.590563188940365E-2</v>
      </c>
      <c r="BL73" s="460">
        <f t="shared" si="290"/>
        <v>110.25334864610856</v>
      </c>
      <c r="BM73" s="528">
        <f t="shared" si="224"/>
        <v>2.1865607346543983</v>
      </c>
      <c r="BN73" s="460">
        <f t="shared" si="291"/>
        <v>2186.5607346543984</v>
      </c>
      <c r="BO73" s="528">
        <f t="shared" si="225"/>
        <v>4.2244999999999999</v>
      </c>
      <c r="BP73" s="528"/>
      <c r="BR73" s="460">
        <f t="shared" si="292"/>
        <v>4224.5</v>
      </c>
      <c r="BS73" s="528">
        <f t="shared" si="226"/>
        <v>0.63244541985158342</v>
      </c>
      <c r="BT73" s="528">
        <f t="shared" si="227"/>
        <v>2.3601491987948062</v>
      </c>
      <c r="BU73" s="528">
        <f t="shared" si="228"/>
        <v>1.5300000000000002</v>
      </c>
      <c r="BV73" s="528">
        <f t="shared" si="229"/>
        <v>6.8904410784356465</v>
      </c>
      <c r="BW73" s="528">
        <f t="shared" si="230"/>
        <v>1.7538786307546204E-2</v>
      </c>
      <c r="BX73" s="460">
        <f t="shared" si="293"/>
        <v>6907.9798647431926</v>
      </c>
      <c r="BY73" s="173">
        <f t="shared" si="231"/>
        <v>13.429293948043698</v>
      </c>
      <c r="BZ73" s="5">
        <f t="shared" si="294"/>
        <v>102.00000000000001</v>
      </c>
      <c r="CA73" s="173">
        <f t="shared" si="295"/>
        <v>0.88365783512382567</v>
      </c>
      <c r="CB73" s="5">
        <f t="shared" si="296"/>
        <v>88.365783512382563</v>
      </c>
      <c r="CE73" s="562">
        <f t="shared" si="232"/>
        <v>-50</v>
      </c>
      <c r="CF73">
        <f t="shared" si="233"/>
        <v>-50</v>
      </c>
      <c r="CG73" s="173">
        <f t="shared" si="234"/>
        <v>0.78716616388652694</v>
      </c>
      <c r="CI73" s="170">
        <v>68</v>
      </c>
      <c r="CJ73" s="217">
        <f t="shared" si="297"/>
        <v>6.8000000000000007</v>
      </c>
      <c r="CK73" s="217"/>
      <c r="CL73" s="217">
        <f t="shared" si="235"/>
        <v>102.00000000000001</v>
      </c>
      <c r="CM73" s="541">
        <f t="shared" si="236"/>
        <v>58</v>
      </c>
      <c r="CN73" s="172">
        <f t="shared" si="237"/>
        <v>15.4</v>
      </c>
      <c r="CO73" s="443">
        <f t="shared" si="238"/>
        <v>73.400000000000006</v>
      </c>
      <c r="CP73" s="443"/>
      <c r="CQ73" s="217">
        <f t="shared" si="239"/>
        <v>0.2098092643051771</v>
      </c>
      <c r="CR73" s="172">
        <f t="shared" si="240"/>
        <v>305.10568119891008</v>
      </c>
      <c r="CS73" s="172">
        <f t="shared" si="298"/>
        <v>102.00000000000001</v>
      </c>
      <c r="CT73" s="217">
        <f t="shared" si="241"/>
        <v>20.340378746594006</v>
      </c>
      <c r="CU73" s="217">
        <f t="shared" si="242"/>
        <v>15</v>
      </c>
      <c r="CV73" s="217">
        <f t="shared" si="243"/>
        <v>20.281562216167121</v>
      </c>
      <c r="CW73" s="172">
        <f t="shared" si="244"/>
        <v>155.38421806057798</v>
      </c>
      <c r="CX73" s="172">
        <f t="shared" si="245"/>
        <v>15</v>
      </c>
      <c r="CY73" s="217">
        <f t="shared" si="246"/>
        <v>16.763994626063596</v>
      </c>
      <c r="CZ73" s="217">
        <f t="shared" si="247"/>
        <v>3.4684126812545371</v>
      </c>
      <c r="DA73" s="217">
        <f t="shared" si="248"/>
        <v>13.062852955374229</v>
      </c>
      <c r="DB73" s="197">
        <f t="shared" si="249"/>
        <v>101.4078110808356</v>
      </c>
      <c r="DC73" s="443">
        <f t="shared" si="299"/>
        <v>60.491436165920248</v>
      </c>
      <c r="DE73" s="217">
        <f t="shared" si="250"/>
        <v>10</v>
      </c>
      <c r="DF73" s="173">
        <f t="shared" si="251"/>
        <v>7.7922077922077913</v>
      </c>
      <c r="DG73" s="173">
        <f t="shared" si="252"/>
        <v>3.9509536784741139</v>
      </c>
      <c r="DH73" s="173"/>
      <c r="DI73" s="173">
        <f t="shared" si="253"/>
        <v>7.7922077922077913</v>
      </c>
      <c r="DJ73" s="545">
        <f t="shared" si="300"/>
        <v>174.53333333333336</v>
      </c>
      <c r="DK73" s="528">
        <f t="shared" si="254"/>
        <v>3.9509536784741139</v>
      </c>
      <c r="DM73" s="173">
        <f t="shared" si="255"/>
        <v>7.0616334276615262</v>
      </c>
      <c r="DN73" s="173">
        <f t="shared" si="256"/>
        <v>16.763994626063596</v>
      </c>
      <c r="DO73" s="173">
        <f t="shared" si="257"/>
        <v>6.2103663896767376</v>
      </c>
      <c r="DQ73" s="545">
        <f t="shared" si="258"/>
        <v>6800.0000000000009</v>
      </c>
      <c r="DR73" s="460">
        <f t="shared" si="259"/>
        <v>60.491436165920248</v>
      </c>
      <c r="DT73">
        <f t="shared" si="260"/>
        <v>6800.0000000000009</v>
      </c>
      <c r="DU73">
        <f t="shared" si="261"/>
        <v>60.491436165920248</v>
      </c>
      <c r="DW73" s="5">
        <f t="shared" si="301"/>
        <v>16.531265636628767</v>
      </c>
      <c r="DX73" s="5">
        <f t="shared" si="262"/>
        <v>3.4684126812545371</v>
      </c>
      <c r="DY73" s="5">
        <f t="shared" si="302"/>
        <v>13.062852955374229</v>
      </c>
      <c r="DZ73" s="5">
        <f t="shared" si="263"/>
        <v>13.062852955374229</v>
      </c>
      <c r="EA73" s="173">
        <f t="shared" si="303"/>
        <v>0.20980926430517713</v>
      </c>
      <c r="EB73" s="173">
        <f t="shared" si="264"/>
        <v>102.00000000000003</v>
      </c>
      <c r="EC73" s="173">
        <f t="shared" si="265"/>
        <v>6.6233766233766254</v>
      </c>
      <c r="ED73" s="173">
        <f t="shared" si="304"/>
        <v>15.4</v>
      </c>
      <c r="EE73" s="460">
        <f t="shared" si="266"/>
        <v>157.23470821687235</v>
      </c>
      <c r="EF73" s="5">
        <f t="shared" si="267"/>
        <v>7.9215874045670116</v>
      </c>
      <c r="EG73" s="5"/>
      <c r="EH73" s="173">
        <f t="shared" si="305"/>
        <v>4.4333213877530975</v>
      </c>
      <c r="EI73" s="173">
        <f t="shared" si="268"/>
        <v>8.6036523298996297</v>
      </c>
      <c r="EJ73" s="173"/>
      <c r="EK73" s="528">
        <f t="shared" si="269"/>
        <v>0.393086770542181</v>
      </c>
      <c r="EL73" s="528">
        <f t="shared" si="270"/>
        <v>1.4886666666666668</v>
      </c>
      <c r="EM73" s="528">
        <f t="shared" si="271"/>
        <v>7.5614295207400307E-3</v>
      </c>
      <c r="EN73" s="528">
        <f t="shared" si="272"/>
        <v>3.2590124183006532E-2</v>
      </c>
      <c r="EO73">
        <f t="shared" si="273"/>
        <v>2.6099999999999998E-2</v>
      </c>
      <c r="EP73" s="460">
        <f t="shared" si="306"/>
        <v>33.661429520740029</v>
      </c>
      <c r="EQ73" s="528">
        <f t="shared" si="274"/>
        <v>2.2657539883005215</v>
      </c>
      <c r="ER73" s="460">
        <f t="shared" si="307"/>
        <v>2265.7539883005215</v>
      </c>
      <c r="ES73" s="528">
        <f t="shared" si="308"/>
        <v>4.2244999999999999</v>
      </c>
      <c r="ET73" s="528"/>
      <c r="EV73" s="460">
        <f t="shared" si="309"/>
        <v>4224.5</v>
      </c>
      <c r="EW73" s="528">
        <f t="shared" si="275"/>
        <v>0.58963015581327149</v>
      </c>
      <c r="EX73" s="528">
        <f t="shared" si="276"/>
        <v>2.2206850024136195</v>
      </c>
      <c r="EY73" s="528">
        <f t="shared" si="277"/>
        <v>1.6373763960187171</v>
      </c>
      <c r="EZ73" s="528">
        <f t="shared" si="278"/>
        <v>6.6077577287884743</v>
      </c>
      <c r="FA73" s="528">
        <f t="shared" si="279"/>
        <v>1.7000000000000008E-2</v>
      </c>
      <c r="FB73" s="460">
        <f t="shared" si="310"/>
        <v>6624.7577287884751</v>
      </c>
      <c r="FC73" s="173">
        <f t="shared" si="311"/>
        <v>13.115011717088995</v>
      </c>
      <c r="FD73" s="5">
        <f t="shared" si="312"/>
        <v>102.00000000000001</v>
      </c>
      <c r="FE73" s="173">
        <f t="shared" si="313"/>
        <v>0.88607036109833415</v>
      </c>
      <c r="FF73" s="5">
        <f t="shared" si="314"/>
        <v>88.607036109833416</v>
      </c>
      <c r="FI73" s="562">
        <f t="shared" si="280"/>
        <v>-50</v>
      </c>
      <c r="FJ73">
        <f t="shared" si="281"/>
        <v>-50</v>
      </c>
      <c r="FL73">
        <f t="shared" si="282"/>
        <v>0.7901907356948229</v>
      </c>
    </row>
    <row r="74" spans="5:168">
      <c r="E74" s="170">
        <v>69</v>
      </c>
      <c r="F74" s="217">
        <f t="shared" si="283"/>
        <v>6.8999999999999995</v>
      </c>
      <c r="G74" s="217"/>
      <c r="H74" s="217">
        <f t="shared" si="183"/>
        <v>103.49999999999999</v>
      </c>
      <c r="I74" s="541">
        <f t="shared" si="184"/>
        <v>57.561743371194062</v>
      </c>
      <c r="J74" s="172">
        <f t="shared" si="185"/>
        <v>15.662953977283562</v>
      </c>
      <c r="K74" s="172">
        <f t="shared" si="186"/>
        <v>73.662953977283564</v>
      </c>
      <c r="L74" s="443"/>
      <c r="M74" s="217">
        <f t="shared" si="187"/>
        <v>0.21389196264814681</v>
      </c>
      <c r="N74" s="172">
        <f t="shared" si="188"/>
        <v>308.69247616191706</v>
      </c>
      <c r="O74" s="172">
        <f t="shared" si="284"/>
        <v>103.49999999999999</v>
      </c>
      <c r="P74" s="217">
        <f t="shared" si="189"/>
        <v>20.579498410794471</v>
      </c>
      <c r="Q74" s="217">
        <f t="shared" si="190"/>
        <v>15</v>
      </c>
      <c r="R74" s="217">
        <f t="shared" si="191"/>
        <v>20.519990438522754</v>
      </c>
      <c r="S74" s="172">
        <f t="shared" si="192"/>
        <v>151.14722866612891</v>
      </c>
      <c r="T74" s="172">
        <f t="shared" si="193"/>
        <v>15</v>
      </c>
      <c r="U74" s="217">
        <f t="shared" si="194"/>
        <v>17.554838958888897</v>
      </c>
      <c r="V74" s="217">
        <f t="shared" si="195"/>
        <v>3.6596887996983001</v>
      </c>
      <c r="W74" s="217">
        <f t="shared" si="196"/>
        <v>13.449446880338812</v>
      </c>
      <c r="X74" s="197">
        <f t="shared" si="197"/>
        <v>102.60506016894722</v>
      </c>
      <c r="Y74" s="443">
        <f t="shared" si="198"/>
        <v>57.772959810657397</v>
      </c>
      <c r="AA74" s="217">
        <f t="shared" si="199"/>
        <v>10</v>
      </c>
      <c r="AB74" s="173">
        <f t="shared" si="200"/>
        <v>7.6613900656312657</v>
      </c>
      <c r="AC74" s="173">
        <f t="shared" si="201"/>
        <v>3.9304869433093521</v>
      </c>
      <c r="AD74" s="173"/>
      <c r="AE74" s="173">
        <f t="shared" si="202"/>
        <v>7.6613900656312657</v>
      </c>
      <c r="AF74" s="545">
        <f t="shared" si="203"/>
        <v>180.12397073876096</v>
      </c>
      <c r="AG74" s="528">
        <f t="shared" si="204"/>
        <v>3.9304869433093521</v>
      </c>
      <c r="AI74" s="173">
        <f t="shared" si="205"/>
        <v>7.1738407871687526</v>
      </c>
      <c r="AJ74" s="173">
        <f t="shared" si="206"/>
        <v>17.554838958888897</v>
      </c>
      <c r="AK74" s="173">
        <f t="shared" si="207"/>
        <v>6.7961770065843687</v>
      </c>
      <c r="AM74" s="545">
        <f t="shared" si="208"/>
        <v>6899.9999999999991</v>
      </c>
      <c r="AN74" s="460">
        <f t="shared" si="209"/>
        <v>57.772959810657397</v>
      </c>
      <c r="AP74">
        <f t="shared" si="210"/>
        <v>6899.9999999999991</v>
      </c>
      <c r="AQ74">
        <f t="shared" si="211"/>
        <v>57.772959810657397</v>
      </c>
      <c r="AS74" s="5">
        <f t="shared" si="285"/>
        <v>17.309135680037109</v>
      </c>
      <c r="AT74" s="5">
        <f t="shared" si="212"/>
        <v>3.6596887996983001</v>
      </c>
      <c r="AU74" s="5">
        <f t="shared" si="286"/>
        <v>13.649446880338809</v>
      </c>
      <c r="AV74" s="5">
        <f t="shared" si="213"/>
        <v>13.449446880338812</v>
      </c>
      <c r="AW74" s="173">
        <f t="shared" si="287"/>
        <v>0.21143105394448292</v>
      </c>
      <c r="AX74" s="173">
        <f t="shared" si="214"/>
        <v>106.82417998303981</v>
      </c>
      <c r="AY74" s="173">
        <f t="shared" si="215"/>
        <v>6.9216004279926739</v>
      </c>
      <c r="AZ74" s="173">
        <f t="shared" si="288"/>
        <v>15.433450846283506</v>
      </c>
      <c r="BA74" s="460">
        <f t="shared" si="216"/>
        <v>168.34568478612181</v>
      </c>
      <c r="BB74" s="5">
        <f t="shared" si="217"/>
        <v>8.4629829453229419</v>
      </c>
      <c r="BC74" s="5"/>
      <c r="BD74" s="173">
        <f t="shared" si="289"/>
        <v>4.6603722730467112</v>
      </c>
      <c r="BE74" s="173">
        <f t="shared" si="218"/>
        <v>9.0002807678867374</v>
      </c>
      <c r="BF74" s="173"/>
      <c r="BG74" s="528">
        <f t="shared" si="219"/>
        <v>0.43438139446765145</v>
      </c>
      <c r="BH74" s="528">
        <f t="shared" si="220"/>
        <v>1.4007862504783999</v>
      </c>
      <c r="BI74" s="528">
        <f t="shared" si="221"/>
        <v>8.3137807160384228E-2</v>
      </c>
      <c r="BJ74" s="528">
        <f t="shared" si="222"/>
        <v>3.1348941327657108E-2</v>
      </c>
      <c r="BK74">
        <f t="shared" si="223"/>
        <v>2.5902784517037328E-2</v>
      </c>
      <c r="BL74" s="460">
        <f t="shared" si="290"/>
        <v>109.04059167742156</v>
      </c>
      <c r="BM74" s="528">
        <f t="shared" si="224"/>
        <v>2.2121091821061105</v>
      </c>
      <c r="BN74" s="460">
        <f t="shared" si="291"/>
        <v>2212.1091821061104</v>
      </c>
      <c r="BO74" s="528">
        <f t="shared" si="225"/>
        <v>4.286624999999999</v>
      </c>
      <c r="BP74" s="528"/>
      <c r="BR74" s="460">
        <f t="shared" si="292"/>
        <v>4286.6249999999991</v>
      </c>
      <c r="BS74" s="528">
        <f t="shared" si="226"/>
        <v>0.65157209170147712</v>
      </c>
      <c r="BT74" s="528">
        <f t="shared" si="227"/>
        <v>2.4301516170237565</v>
      </c>
      <c r="BU74" s="528">
        <f t="shared" si="228"/>
        <v>1.5524999999999998</v>
      </c>
      <c r="BV74" s="528">
        <f t="shared" si="229"/>
        <v>7.1321933449192993</v>
      </c>
      <c r="BW74" s="528">
        <f t="shared" si="230"/>
        <v>1.7804029997173301E-2</v>
      </c>
      <c r="BX74" s="460">
        <f t="shared" si="293"/>
        <v>7149.9973749164728</v>
      </c>
      <c r="BY74" s="173">
        <f t="shared" si="231"/>
        <v>13.757772148700003</v>
      </c>
      <c r="BZ74" s="5">
        <f t="shared" si="294"/>
        <v>103.49999999999999</v>
      </c>
      <c r="CA74" s="173">
        <f t="shared" si="295"/>
        <v>0.88267070151006166</v>
      </c>
      <c r="CB74" s="5">
        <f t="shared" si="296"/>
        <v>88.267070151006166</v>
      </c>
      <c r="CE74" s="562">
        <f t="shared" si="232"/>
        <v>-50</v>
      </c>
      <c r="CF74">
        <f t="shared" si="233"/>
        <v>-50</v>
      </c>
      <c r="CG74" s="173">
        <f t="shared" si="234"/>
        <v>0.78720999826056015</v>
      </c>
      <c r="CI74" s="170">
        <v>69</v>
      </c>
      <c r="CJ74" s="217">
        <f t="shared" si="297"/>
        <v>6.8999999999999995</v>
      </c>
      <c r="CK74" s="217"/>
      <c r="CL74" s="217">
        <f t="shared" si="235"/>
        <v>103.49999999999999</v>
      </c>
      <c r="CM74" s="541">
        <f t="shared" si="236"/>
        <v>58</v>
      </c>
      <c r="CN74" s="172">
        <f t="shared" si="237"/>
        <v>15.4</v>
      </c>
      <c r="CO74" s="443">
        <f t="shared" si="238"/>
        <v>73.400000000000006</v>
      </c>
      <c r="CP74" s="443"/>
      <c r="CQ74" s="217">
        <f t="shared" si="239"/>
        <v>0.2098092643051771</v>
      </c>
      <c r="CR74" s="172">
        <f t="shared" si="240"/>
        <v>305.10568119891008</v>
      </c>
      <c r="CS74" s="172">
        <f t="shared" si="298"/>
        <v>103.49999999999999</v>
      </c>
      <c r="CT74" s="217">
        <f t="shared" si="241"/>
        <v>20.340378746594006</v>
      </c>
      <c r="CU74" s="217">
        <f t="shared" si="242"/>
        <v>15</v>
      </c>
      <c r="CV74" s="217">
        <f t="shared" si="243"/>
        <v>20.281562216167121</v>
      </c>
      <c r="CW74" s="172">
        <f t="shared" si="244"/>
        <v>152.29686255056342</v>
      </c>
      <c r="CX74" s="172">
        <f t="shared" si="245"/>
        <v>15</v>
      </c>
      <c r="CY74" s="217">
        <f t="shared" si="246"/>
        <v>17.010523958799819</v>
      </c>
      <c r="CZ74" s="217">
        <f t="shared" si="247"/>
        <v>3.5194187500965146</v>
      </c>
      <c r="DA74" s="217">
        <f t="shared" si="248"/>
        <v>13.25495373412973</v>
      </c>
      <c r="DB74" s="197">
        <f t="shared" si="249"/>
        <v>101.4078110808356</v>
      </c>
      <c r="DC74" s="443">
        <f t="shared" si="299"/>
        <v>59.614748685254753</v>
      </c>
      <c r="DE74" s="217">
        <f t="shared" si="250"/>
        <v>10</v>
      </c>
      <c r="DF74" s="173">
        <f t="shared" si="251"/>
        <v>7.7922077922077913</v>
      </c>
      <c r="DG74" s="173">
        <f t="shared" si="252"/>
        <v>3.9509536784741139</v>
      </c>
      <c r="DH74" s="173"/>
      <c r="DI74" s="173">
        <f t="shared" si="253"/>
        <v>7.7922077922077913</v>
      </c>
      <c r="DJ74" s="545">
        <f t="shared" si="300"/>
        <v>177.1</v>
      </c>
      <c r="DK74" s="528">
        <f t="shared" si="254"/>
        <v>3.9509536784741139</v>
      </c>
      <c r="DM74" s="173">
        <f t="shared" si="255"/>
        <v>7.1133676975114959</v>
      </c>
      <c r="DN74" s="173">
        <f t="shared" si="256"/>
        <v>17.010523958799819</v>
      </c>
      <c r="DO74" s="173">
        <f t="shared" si="257"/>
        <v>6.3929807102220879</v>
      </c>
      <c r="DQ74" s="545">
        <f t="shared" si="258"/>
        <v>6899.9999999999991</v>
      </c>
      <c r="DR74" s="460">
        <f t="shared" si="259"/>
        <v>59.614748685254753</v>
      </c>
      <c r="DT74">
        <f t="shared" si="260"/>
        <v>6899.9999999999991</v>
      </c>
      <c r="DU74">
        <f t="shared" si="261"/>
        <v>59.614748685254753</v>
      </c>
      <c r="DW74" s="5">
        <f t="shared" si="301"/>
        <v>16.774372484226244</v>
      </c>
      <c r="DX74" s="5">
        <f t="shared" si="262"/>
        <v>3.5194187500965146</v>
      </c>
      <c r="DY74" s="5">
        <f t="shared" si="302"/>
        <v>13.25495373412973</v>
      </c>
      <c r="DZ74" s="5">
        <f t="shared" si="263"/>
        <v>13.25495373412973</v>
      </c>
      <c r="EA74" s="173">
        <f t="shared" si="303"/>
        <v>0.20980926430517713</v>
      </c>
      <c r="EB74" s="173">
        <f t="shared" si="264"/>
        <v>103.49999999999999</v>
      </c>
      <c r="EC74" s="173">
        <f t="shared" si="265"/>
        <v>6.7207792207792201</v>
      </c>
      <c r="ED74" s="173">
        <f t="shared" si="304"/>
        <v>15.4</v>
      </c>
      <c r="EE74" s="460">
        <f t="shared" si="266"/>
        <v>161.89326250443966</v>
      </c>
      <c r="EF74" s="5">
        <f t="shared" si="267"/>
        <v>8.1562884154722148</v>
      </c>
      <c r="EG74" s="5"/>
      <c r="EH74" s="173">
        <f t="shared" si="305"/>
        <v>4.4985172905141706</v>
      </c>
      <c r="EI74" s="173">
        <f t="shared" si="268"/>
        <v>8.7301766288687386</v>
      </c>
      <c r="EJ74" s="173"/>
      <c r="EK74" s="528">
        <f t="shared" si="269"/>
        <v>0.40473315626109907</v>
      </c>
      <c r="EL74" s="528">
        <f t="shared" si="270"/>
        <v>1.4886666666666668</v>
      </c>
      <c r="EM74" s="528">
        <f t="shared" si="271"/>
        <v>7.4518435856568439E-3</v>
      </c>
      <c r="EN74" s="528">
        <f t="shared" si="272"/>
        <v>3.2117803542673115E-2</v>
      </c>
      <c r="EO74">
        <f t="shared" si="273"/>
        <v>2.6099999999999998E-2</v>
      </c>
      <c r="EP74" s="460">
        <f t="shared" si="306"/>
        <v>33.55184358565684</v>
      </c>
      <c r="EQ74" s="528">
        <f t="shared" si="274"/>
        <v>2.2884116040422549</v>
      </c>
      <c r="ER74" s="460">
        <f t="shared" si="307"/>
        <v>2288.411604042255</v>
      </c>
      <c r="ES74" s="528">
        <f t="shared" si="308"/>
        <v>4.286624999999999</v>
      </c>
      <c r="ET74" s="528"/>
      <c r="EV74" s="460">
        <f t="shared" si="309"/>
        <v>4286.6249999999991</v>
      </c>
      <c r="EW74" s="528">
        <f t="shared" si="275"/>
        <v>0.60709973439164855</v>
      </c>
      <c r="EX74" s="528">
        <f t="shared" si="276"/>
        <v>2.2864795191373779</v>
      </c>
      <c r="EY74" s="528">
        <f t="shared" si="277"/>
        <v>1.637376396018714</v>
      </c>
      <c r="EZ74" s="528">
        <f t="shared" si="278"/>
        <v>6.7993777395112573</v>
      </c>
      <c r="FA74" s="528">
        <f t="shared" si="279"/>
        <v>1.7249999999999998E-2</v>
      </c>
      <c r="FB74" s="460">
        <f t="shared" si="310"/>
        <v>6816.6277395112575</v>
      </c>
      <c r="FC74" s="173">
        <f t="shared" si="311"/>
        <v>13.391664343553511</v>
      </c>
      <c r="FD74" s="5">
        <f t="shared" si="312"/>
        <v>103.49999999999999</v>
      </c>
      <c r="FE74" s="173">
        <f t="shared" si="313"/>
        <v>0.88543524964967224</v>
      </c>
      <c r="FF74" s="5">
        <f t="shared" si="314"/>
        <v>88.543524964967219</v>
      </c>
      <c r="FI74" s="562">
        <f t="shared" si="280"/>
        <v>-50</v>
      </c>
      <c r="FJ74">
        <f t="shared" si="281"/>
        <v>-50</v>
      </c>
      <c r="FL74">
        <f t="shared" si="282"/>
        <v>0.7901907356948229</v>
      </c>
    </row>
    <row r="75" spans="5:168">
      <c r="E75" s="170">
        <v>70</v>
      </c>
      <c r="F75" s="217">
        <f t="shared" si="283"/>
        <v>7</v>
      </c>
      <c r="G75" s="217"/>
      <c r="H75" s="217">
        <f t="shared" si="183"/>
        <v>105</v>
      </c>
      <c r="I75" s="541">
        <f t="shared" si="184"/>
        <v>57.555415874406592</v>
      </c>
      <c r="J75" s="172">
        <f t="shared" si="185"/>
        <v>15.666750475356045</v>
      </c>
      <c r="K75" s="172">
        <f t="shared" si="186"/>
        <v>73.666750475356039</v>
      </c>
      <c r="L75" s="443"/>
      <c r="M75" s="217">
        <f t="shared" si="187"/>
        <v>0.21395120644696594</v>
      </c>
      <c r="N75" s="172">
        <f t="shared" si="188"/>
        <v>308.74403527028539</v>
      </c>
      <c r="O75" s="172">
        <f t="shared" si="284"/>
        <v>105</v>
      </c>
      <c r="P75" s="217">
        <f t="shared" si="189"/>
        <v>20.582935684685694</v>
      </c>
      <c r="Q75" s="217">
        <f t="shared" si="190"/>
        <v>15</v>
      </c>
      <c r="R75" s="217">
        <f t="shared" si="191"/>
        <v>20.523417773143574</v>
      </c>
      <c r="S75" s="172">
        <f t="shared" si="192"/>
        <v>148.1546152467256</v>
      </c>
      <c r="T75" s="172">
        <f t="shared" si="193"/>
        <v>15</v>
      </c>
      <c r="U75" s="217">
        <f t="shared" si="194"/>
        <v>17.810599182677112</v>
      </c>
      <c r="V75" s="217">
        <f t="shared" si="195"/>
        <v>3.7134157914609793</v>
      </c>
      <c r="W75" s="217">
        <f t="shared" si="196"/>
        <v>13.64208809786818</v>
      </c>
      <c r="X75" s="197">
        <f t="shared" si="197"/>
        <v>102.62219579592708</v>
      </c>
      <c r="Y75" s="443">
        <f t="shared" si="198"/>
        <v>56.962192956924156</v>
      </c>
      <c r="AA75" s="217">
        <f t="shared" si="199"/>
        <v>10</v>
      </c>
      <c r="AB75" s="173">
        <f t="shared" si="200"/>
        <v>7.6595334934810637</v>
      </c>
      <c r="AC75" s="173">
        <f t="shared" si="201"/>
        <v>3.9301907293673759</v>
      </c>
      <c r="AD75" s="173"/>
      <c r="AE75" s="173">
        <f t="shared" si="202"/>
        <v>7.6595334934810637</v>
      </c>
      <c r="AF75" s="545">
        <f t="shared" si="203"/>
        <v>182.77875554582053</v>
      </c>
      <c r="AG75" s="528">
        <f t="shared" si="204"/>
        <v>3.9301907293673755</v>
      </c>
      <c r="AI75" s="173">
        <f t="shared" si="205"/>
        <v>7.2265137918999462</v>
      </c>
      <c r="AJ75" s="173">
        <f t="shared" si="206"/>
        <v>17.810599182677112</v>
      </c>
      <c r="AK75" s="173">
        <f t="shared" si="207"/>
        <v>6.9856290242052683</v>
      </c>
      <c r="AM75" s="545">
        <f t="shared" si="208"/>
        <v>7000</v>
      </c>
      <c r="AN75" s="460">
        <f t="shared" si="209"/>
        <v>56.962192956924156</v>
      </c>
      <c r="AP75">
        <f t="shared" si="210"/>
        <v>7000</v>
      </c>
      <c r="AQ75">
        <f t="shared" si="211"/>
        <v>56.962192956924156</v>
      </c>
      <c r="AS75" s="5">
        <f t="shared" si="285"/>
        <v>17.55550388932916</v>
      </c>
      <c r="AT75" s="5">
        <f t="shared" si="212"/>
        <v>3.7134157914609793</v>
      </c>
      <c r="AU75" s="5">
        <f t="shared" si="286"/>
        <v>13.84208809786818</v>
      </c>
      <c r="AV75" s="5">
        <f t="shared" si="213"/>
        <v>13.64208809786818</v>
      </c>
      <c r="AW75" s="173">
        <f t="shared" si="287"/>
        <v>0.21152430684248952</v>
      </c>
      <c r="AX75" s="173">
        <f t="shared" si="214"/>
        <v>108.41640726887744</v>
      </c>
      <c r="AY75" s="173">
        <f t="shared" si="215"/>
        <v>7.0216122680559634</v>
      </c>
      <c r="AZ75" s="173">
        <f t="shared" si="288"/>
        <v>15.440386499565877</v>
      </c>
      <c r="BA75" s="460">
        <f t="shared" si="216"/>
        <v>173.29273693484569</v>
      </c>
      <c r="BB75" s="5">
        <f t="shared" si="217"/>
        <v>8.7077652763903739</v>
      </c>
      <c r="BC75" s="5"/>
      <c r="BD75" s="173">
        <f t="shared" si="289"/>
        <v>4.7293128394779291</v>
      </c>
      <c r="BE75" s="173">
        <f t="shared" si="218"/>
        <v>9.130867856617396</v>
      </c>
      <c r="BF75" s="173"/>
      <c r="BG75" s="528">
        <f t="shared" si="219"/>
        <v>0.44732799867301587</v>
      </c>
      <c r="BH75" s="528">
        <f t="shared" si="220"/>
        <v>1.4013222442354285</v>
      </c>
      <c r="BI75" s="528">
        <f t="shared" si="221"/>
        <v>8.1962067618849097E-2</v>
      </c>
      <c r="BJ75" s="528">
        <f t="shared" si="222"/>
        <v>3.0912186627106493E-2</v>
      </c>
      <c r="BK75">
        <f t="shared" si="223"/>
        <v>2.5899937143482966E-2</v>
      </c>
      <c r="BL75" s="460">
        <f t="shared" si="290"/>
        <v>107.86200476233206</v>
      </c>
      <c r="BM75" s="528">
        <f t="shared" si="224"/>
        <v>2.2382317469313437</v>
      </c>
      <c r="BN75" s="460">
        <f t="shared" si="291"/>
        <v>2238.2317469313439</v>
      </c>
      <c r="BO75" s="528">
        <f t="shared" si="225"/>
        <v>4.348749999999999</v>
      </c>
      <c r="BP75" s="528"/>
      <c r="BR75" s="460">
        <f t="shared" si="292"/>
        <v>4348.7499999999991</v>
      </c>
      <c r="BS75" s="528">
        <f t="shared" si="226"/>
        <v>0.6709919980095238</v>
      </c>
      <c r="BT75" s="528">
        <f t="shared" si="227"/>
        <v>2.5011824344502629</v>
      </c>
      <c r="BU75" s="528">
        <f t="shared" si="228"/>
        <v>1.575</v>
      </c>
      <c r="BV75" s="528">
        <f t="shared" si="229"/>
        <v>7.3818065319251431</v>
      </c>
      <c r="BW75" s="528">
        <f t="shared" si="230"/>
        <v>1.8069401211479572E-2</v>
      </c>
      <c r="BX75" s="460">
        <f t="shared" si="293"/>
        <v>7399.8759331366227</v>
      </c>
      <c r="BY75" s="173">
        <f t="shared" si="231"/>
        <v>14.094719684830299</v>
      </c>
      <c r="BZ75" s="5">
        <f t="shared" si="294"/>
        <v>105</v>
      </c>
      <c r="CA75" s="173">
        <f t="shared" si="295"/>
        <v>0.88165117880851263</v>
      </c>
      <c r="CB75" s="5">
        <f t="shared" si="296"/>
        <v>88.165117880851255</v>
      </c>
      <c r="CE75" s="562">
        <f t="shared" si="232"/>
        <v>-50</v>
      </c>
      <c r="CF75">
        <f t="shared" si="233"/>
        <v>-50</v>
      </c>
      <c r="CG75" s="173">
        <f t="shared" si="234"/>
        <v>0.78725258022390676</v>
      </c>
      <c r="CI75" s="170">
        <v>70</v>
      </c>
      <c r="CJ75" s="217">
        <f t="shared" si="297"/>
        <v>7</v>
      </c>
      <c r="CK75" s="217"/>
      <c r="CL75" s="217">
        <f t="shared" si="235"/>
        <v>105</v>
      </c>
      <c r="CM75" s="541">
        <f t="shared" si="236"/>
        <v>58</v>
      </c>
      <c r="CN75" s="172">
        <f t="shared" si="237"/>
        <v>15.4</v>
      </c>
      <c r="CO75" s="443">
        <f t="shared" si="238"/>
        <v>73.400000000000006</v>
      </c>
      <c r="CP75" s="443"/>
      <c r="CQ75" s="217">
        <f t="shared" si="239"/>
        <v>0.2098092643051771</v>
      </c>
      <c r="CR75" s="172">
        <f t="shared" si="240"/>
        <v>305.10568119891008</v>
      </c>
      <c r="CS75" s="172">
        <f t="shared" si="298"/>
        <v>105</v>
      </c>
      <c r="CT75" s="217">
        <f t="shared" si="241"/>
        <v>20.340378746594006</v>
      </c>
      <c r="CU75" s="217">
        <f t="shared" si="242"/>
        <v>15</v>
      </c>
      <c r="CV75" s="217">
        <f t="shared" si="243"/>
        <v>20.281562216167121</v>
      </c>
      <c r="CW75" s="172">
        <f t="shared" si="244"/>
        <v>149.29783600306942</v>
      </c>
      <c r="CX75" s="172">
        <f t="shared" si="245"/>
        <v>15</v>
      </c>
      <c r="CY75" s="217">
        <f t="shared" si="246"/>
        <v>17.257053291536049</v>
      </c>
      <c r="CZ75" s="217">
        <f t="shared" si="247"/>
        <v>3.5704248189384931</v>
      </c>
      <c r="DA75" s="217">
        <f t="shared" si="248"/>
        <v>13.447054512885234</v>
      </c>
      <c r="DB75" s="197">
        <f t="shared" si="249"/>
        <v>101.4078110808356</v>
      </c>
      <c r="DC75" s="443">
        <f t="shared" si="299"/>
        <v>58.763109418322529</v>
      </c>
      <c r="DE75" s="217">
        <f t="shared" si="250"/>
        <v>10</v>
      </c>
      <c r="DF75" s="173">
        <f t="shared" si="251"/>
        <v>7.7922077922077913</v>
      </c>
      <c r="DG75" s="173">
        <f t="shared" si="252"/>
        <v>3.9509536784741139</v>
      </c>
      <c r="DH75" s="173"/>
      <c r="DI75" s="173">
        <f t="shared" si="253"/>
        <v>7.7922077922077913</v>
      </c>
      <c r="DJ75" s="545">
        <f t="shared" si="300"/>
        <v>179.66666666666669</v>
      </c>
      <c r="DK75" s="528">
        <f t="shared" si="254"/>
        <v>3.9509536784741139</v>
      </c>
      <c r="DM75" s="173">
        <f t="shared" si="255"/>
        <v>7.1647284200682257</v>
      </c>
      <c r="DN75" s="173">
        <f t="shared" si="256"/>
        <v>17.257053291536049</v>
      </c>
      <c r="DO75" s="173">
        <f t="shared" si="257"/>
        <v>6.5755950307674444</v>
      </c>
      <c r="DQ75" s="545">
        <f t="shared" si="258"/>
        <v>7000</v>
      </c>
      <c r="DR75" s="460">
        <f t="shared" si="259"/>
        <v>58.763109418322529</v>
      </c>
      <c r="DT75">
        <f t="shared" si="260"/>
        <v>7000</v>
      </c>
      <c r="DU75">
        <f t="shared" si="261"/>
        <v>58.763109418322529</v>
      </c>
      <c r="DW75" s="5">
        <f t="shared" si="301"/>
        <v>17.017479331823729</v>
      </c>
      <c r="DX75" s="5">
        <f t="shared" si="262"/>
        <v>3.5704248189384931</v>
      </c>
      <c r="DY75" s="5">
        <f t="shared" si="302"/>
        <v>13.447054512885236</v>
      </c>
      <c r="DZ75" s="5">
        <f t="shared" si="263"/>
        <v>13.447054512885234</v>
      </c>
      <c r="EA75" s="173">
        <f t="shared" si="303"/>
        <v>0.20980926430517707</v>
      </c>
      <c r="EB75" s="173">
        <f t="shared" si="264"/>
        <v>104.99999999999999</v>
      </c>
      <c r="EC75" s="173">
        <f t="shared" si="265"/>
        <v>6.8181818181818183</v>
      </c>
      <c r="ED75" s="173">
        <f t="shared" si="304"/>
        <v>15.399999999999997</v>
      </c>
      <c r="EE75" s="460">
        <f t="shared" si="266"/>
        <v>166.61982488379635</v>
      </c>
      <c r="EF75" s="5">
        <f t="shared" si="267"/>
        <v>8.3944157185074282</v>
      </c>
      <c r="EG75" s="5"/>
      <c r="EH75" s="173">
        <f t="shared" si="305"/>
        <v>4.5637131932752455</v>
      </c>
      <c r="EI75" s="173">
        <f t="shared" si="268"/>
        <v>8.856700927837851</v>
      </c>
      <c r="EJ75" s="173"/>
      <c r="EK75" s="528">
        <f t="shared" si="269"/>
        <v>0.41654956220949074</v>
      </c>
      <c r="EL75" s="528">
        <f t="shared" si="270"/>
        <v>1.4886666666666666</v>
      </c>
      <c r="EM75" s="528">
        <f t="shared" si="271"/>
        <v>7.3453886772903154E-3</v>
      </c>
      <c r="EN75" s="528">
        <f t="shared" si="272"/>
        <v>3.1658977777777778E-2</v>
      </c>
      <c r="EO75">
        <f t="shared" si="273"/>
        <v>2.6099999999999998E-2</v>
      </c>
      <c r="EP75" s="460">
        <f t="shared" si="306"/>
        <v>33.44538867729031</v>
      </c>
      <c r="EQ75" s="528">
        <f t="shared" si="274"/>
        <v>2.3115700998416782</v>
      </c>
      <c r="ER75" s="460">
        <f t="shared" si="307"/>
        <v>2311.5700998416783</v>
      </c>
      <c r="ES75" s="528">
        <f t="shared" si="308"/>
        <v>4.348749999999999</v>
      </c>
      <c r="ET75" s="528"/>
      <c r="EV75" s="460">
        <f t="shared" si="309"/>
        <v>4348.7499999999991</v>
      </c>
      <c r="EW75" s="528">
        <f t="shared" si="275"/>
        <v>0.62482434331423609</v>
      </c>
      <c r="EX75" s="528">
        <f t="shared" si="276"/>
        <v>2.353234539754915</v>
      </c>
      <c r="EY75" s="528">
        <f t="shared" si="277"/>
        <v>1.6373763960187142</v>
      </c>
      <c r="EZ75" s="528">
        <f t="shared" si="278"/>
        <v>6.9972200856542672</v>
      </c>
      <c r="FA75" s="528">
        <f t="shared" si="279"/>
        <v>1.7499999999999998E-2</v>
      </c>
      <c r="FB75" s="460">
        <f t="shared" si="310"/>
        <v>7014.7200856542677</v>
      </c>
      <c r="FC75" s="173">
        <f t="shared" si="311"/>
        <v>13.675040185495943</v>
      </c>
      <c r="FD75" s="5">
        <f t="shared" si="312"/>
        <v>105</v>
      </c>
      <c r="FE75" s="173">
        <f t="shared" si="313"/>
        <v>0.88476902839787486</v>
      </c>
      <c r="FF75" s="5">
        <f t="shared" si="314"/>
        <v>88.476902839787485</v>
      </c>
      <c r="FI75" s="562">
        <f t="shared" si="280"/>
        <v>-50</v>
      </c>
      <c r="FJ75">
        <f t="shared" si="281"/>
        <v>-50</v>
      </c>
      <c r="FL75">
        <f t="shared" si="282"/>
        <v>0.7901907356948229</v>
      </c>
    </row>
    <row r="76" spans="5:168">
      <c r="E76" s="170">
        <v>71</v>
      </c>
      <c r="F76" s="217">
        <f t="shared" si="283"/>
        <v>7.1</v>
      </c>
      <c r="G76" s="217"/>
      <c r="H76" s="217">
        <f t="shared" si="183"/>
        <v>106.5</v>
      </c>
      <c r="I76" s="541">
        <f t="shared" si="184"/>
        <v>57.549088375090996</v>
      </c>
      <c r="J76" s="172">
        <f t="shared" si="185"/>
        <v>15.670546974945402</v>
      </c>
      <c r="K76" s="172">
        <f t="shared" si="186"/>
        <v>73.67054697494541</v>
      </c>
      <c r="L76" s="443"/>
      <c r="M76" s="217">
        <f t="shared" si="187"/>
        <v>0.21401045434892918</v>
      </c>
      <c r="N76" s="172">
        <f t="shared" si="188"/>
        <v>308.79558148791028</v>
      </c>
      <c r="O76" s="172">
        <f t="shared" si="284"/>
        <v>106.5</v>
      </c>
      <c r="P76" s="217">
        <f t="shared" si="189"/>
        <v>20.586372099194019</v>
      </c>
      <c r="Q76" s="217">
        <f t="shared" si="190"/>
        <v>15</v>
      </c>
      <c r="R76" s="217">
        <f t="shared" si="191"/>
        <v>20.526844250866507</v>
      </c>
      <c r="S76" s="172">
        <f t="shared" si="192"/>
        <v>145.24659805661605</v>
      </c>
      <c r="T76" s="172">
        <f t="shared" si="193"/>
        <v>15</v>
      </c>
      <c r="U76" s="217">
        <f t="shared" si="194"/>
        <v>18.066398056525671</v>
      </c>
      <c r="V76" s="217">
        <f t="shared" si="195"/>
        <v>3.7671626571263692</v>
      </c>
      <c r="W76" s="217">
        <f t="shared" si="196"/>
        <v>13.834665568785187</v>
      </c>
      <c r="X76" s="197">
        <f t="shared" si="197"/>
        <v>102.63932714631441</v>
      </c>
      <c r="Y76" s="443">
        <f t="shared" si="198"/>
        <v>56.174005686924005</v>
      </c>
      <c r="AA76" s="217">
        <f t="shared" si="199"/>
        <v>9.9999999999999982</v>
      </c>
      <c r="AB76" s="173">
        <f t="shared" si="200"/>
        <v>7.6576778201718181</v>
      </c>
      <c r="AC76" s="173">
        <f t="shared" si="201"/>
        <v>3.9298944948284547</v>
      </c>
      <c r="AD76" s="173"/>
      <c r="AE76" s="173">
        <f t="shared" si="202"/>
        <v>7.6576778201718199</v>
      </c>
      <c r="AF76" s="545">
        <f t="shared" si="203"/>
        <v>185.43480587018723</v>
      </c>
      <c r="AG76" s="528">
        <f t="shared" si="204"/>
        <v>3.9298944948284564</v>
      </c>
      <c r="AI76" s="173">
        <f t="shared" si="205"/>
        <v>7.2788304765097935</v>
      </c>
      <c r="AJ76" s="173">
        <f t="shared" si="206"/>
        <v>18.066398056525671</v>
      </c>
      <c r="AK76" s="173">
        <f t="shared" si="207"/>
        <v>7.1751096715004969</v>
      </c>
      <c r="AM76" s="545">
        <f t="shared" si="208"/>
        <v>7100</v>
      </c>
      <c r="AN76" s="460">
        <f t="shared" si="209"/>
        <v>56.174005686924005</v>
      </c>
      <c r="AP76">
        <f t="shared" si="210"/>
        <v>7100</v>
      </c>
      <c r="AQ76">
        <f t="shared" si="211"/>
        <v>56.174005686924005</v>
      </c>
      <c r="AS76" s="5">
        <f t="shared" si="285"/>
        <v>17.801828225911557</v>
      </c>
      <c r="AT76" s="5">
        <f t="shared" si="212"/>
        <v>3.7671626571263692</v>
      </c>
      <c r="AU76" s="5">
        <f t="shared" si="286"/>
        <v>14.034665568785186</v>
      </c>
      <c r="AV76" s="5">
        <f t="shared" si="213"/>
        <v>13.834665568785187</v>
      </c>
      <c r="AW76" s="173">
        <f t="shared" si="287"/>
        <v>0.2116166165249844</v>
      </c>
      <c r="AX76" s="173">
        <f t="shared" si="214"/>
        <v>110.0093994599101</v>
      </c>
      <c r="AY76" s="173">
        <f t="shared" si="215"/>
        <v>7.1216240135050768</v>
      </c>
      <c r="AZ76" s="173">
        <f t="shared" si="288"/>
        <v>15.447234963723725</v>
      </c>
      <c r="BA76" s="460">
        <f t="shared" si="216"/>
        <v>178.31236577064814</v>
      </c>
      <c r="BB76" s="5">
        <f t="shared" si="217"/>
        <v>8.9560236090046086</v>
      </c>
      <c r="BC76" s="5"/>
      <c r="BD76" s="173">
        <f t="shared" si="289"/>
        <v>4.7982826880404197</v>
      </c>
      <c r="BE76" s="173">
        <f t="shared" si="218"/>
        <v>9.2614647594893498</v>
      </c>
      <c r="BF76" s="173"/>
      <c r="BG76" s="528">
        <f t="shared" si="219"/>
        <v>0.46047033508696794</v>
      </c>
      <c r="BH76" s="528">
        <f t="shared" si="220"/>
        <v>1.4018519016006681</v>
      </c>
      <c r="BI76" s="528">
        <f t="shared" si="221"/>
        <v>8.081907044149135E-2</v>
      </c>
      <c r="BJ76" s="528">
        <f t="shared" si="222"/>
        <v>3.0487596120536812E-2</v>
      </c>
      <c r="BK76">
        <f t="shared" si="223"/>
        <v>2.5897089768790946E-2</v>
      </c>
      <c r="BL76" s="460">
        <f t="shared" si="290"/>
        <v>106.7161602102823</v>
      </c>
      <c r="BM76" s="528">
        <f t="shared" si="224"/>
        <v>2.2649386708039487</v>
      </c>
      <c r="BN76" s="460">
        <f t="shared" si="291"/>
        <v>2264.9386708039488</v>
      </c>
      <c r="BO76" s="528">
        <f t="shared" si="225"/>
        <v>4.4108749999999999</v>
      </c>
      <c r="BP76" s="528"/>
      <c r="BR76" s="460">
        <f t="shared" si="292"/>
        <v>4410.875</v>
      </c>
      <c r="BS76" s="528">
        <f t="shared" si="226"/>
        <v>0.69070550263045183</v>
      </c>
      <c r="BT76" s="528">
        <f t="shared" si="227"/>
        <v>2.5732418847378935</v>
      </c>
      <c r="BU76" s="528">
        <f t="shared" si="228"/>
        <v>1.5974999999999999</v>
      </c>
      <c r="BV76" s="528">
        <f t="shared" si="229"/>
        <v>7.6396202429280571</v>
      </c>
      <c r="BW76" s="528">
        <f t="shared" si="230"/>
        <v>1.833489990998502E-2</v>
      </c>
      <c r="BX76" s="460">
        <f t="shared" si="293"/>
        <v>7657.9551428380419</v>
      </c>
      <c r="BY76" s="173">
        <f t="shared" si="231"/>
        <v>14.440484973852271</v>
      </c>
      <c r="BZ76" s="5">
        <f t="shared" si="294"/>
        <v>106.5</v>
      </c>
      <c r="CA76" s="173">
        <f t="shared" si="295"/>
        <v>0.88059842014876688</v>
      </c>
      <c r="CB76" s="5">
        <f t="shared" si="296"/>
        <v>88.059842014876693</v>
      </c>
      <c r="CE76" s="562">
        <f t="shared" si="232"/>
        <v>-50</v>
      </c>
      <c r="CF76">
        <f t="shared" si="233"/>
        <v>-50</v>
      </c>
      <c r="CG76" s="173">
        <f t="shared" si="234"/>
        <v>0.78729396269532814</v>
      </c>
      <c r="CI76" s="170">
        <v>71</v>
      </c>
      <c r="CJ76" s="217">
        <f t="shared" si="297"/>
        <v>7.1</v>
      </c>
      <c r="CK76" s="217"/>
      <c r="CL76" s="217">
        <f t="shared" si="235"/>
        <v>106.5</v>
      </c>
      <c r="CM76" s="541">
        <f t="shared" si="236"/>
        <v>58</v>
      </c>
      <c r="CN76" s="172">
        <f t="shared" si="237"/>
        <v>15.4</v>
      </c>
      <c r="CO76" s="443">
        <f t="shared" si="238"/>
        <v>73.400000000000006</v>
      </c>
      <c r="CP76" s="443"/>
      <c r="CQ76" s="217">
        <f t="shared" si="239"/>
        <v>0.2098092643051771</v>
      </c>
      <c r="CR76" s="172">
        <f t="shared" si="240"/>
        <v>305.10568119891008</v>
      </c>
      <c r="CS76" s="172">
        <f t="shared" si="298"/>
        <v>106.5</v>
      </c>
      <c r="CT76" s="217">
        <f t="shared" si="241"/>
        <v>20.340378746594006</v>
      </c>
      <c r="CU76" s="217">
        <f t="shared" si="242"/>
        <v>15</v>
      </c>
      <c r="CV76" s="217">
        <f t="shared" si="243"/>
        <v>20.281562216167121</v>
      </c>
      <c r="CW76" s="172">
        <f t="shared" si="244"/>
        <v>146.38340812388694</v>
      </c>
      <c r="CX76" s="172">
        <f t="shared" si="245"/>
        <v>15</v>
      </c>
      <c r="CY76" s="217">
        <f t="shared" si="246"/>
        <v>17.50358262427228</v>
      </c>
      <c r="CZ76" s="217">
        <f t="shared" si="247"/>
        <v>3.621430887780472</v>
      </c>
      <c r="DA76" s="217">
        <f t="shared" si="248"/>
        <v>13.639155291640737</v>
      </c>
      <c r="DB76" s="197">
        <f t="shared" si="249"/>
        <v>101.4078110808356</v>
      </c>
      <c r="DC76" s="443">
        <f t="shared" si="299"/>
        <v>57.935459989895456</v>
      </c>
      <c r="DE76" s="217">
        <f t="shared" si="250"/>
        <v>10</v>
      </c>
      <c r="DF76" s="173">
        <f t="shared" si="251"/>
        <v>7.7922077922077913</v>
      </c>
      <c r="DG76" s="173">
        <f t="shared" si="252"/>
        <v>3.9509536784741139</v>
      </c>
      <c r="DH76" s="173"/>
      <c r="DI76" s="173">
        <f t="shared" si="253"/>
        <v>7.7922077922077913</v>
      </c>
      <c r="DJ76" s="545">
        <f t="shared" si="300"/>
        <v>182.23333333333335</v>
      </c>
      <c r="DK76" s="528">
        <f t="shared" si="254"/>
        <v>3.9509536784741139</v>
      </c>
      <c r="DM76" s="173">
        <f t="shared" si="255"/>
        <v>7.2157235719411172</v>
      </c>
      <c r="DN76" s="173">
        <f t="shared" si="256"/>
        <v>17.50358262427228</v>
      </c>
      <c r="DO76" s="173">
        <f t="shared" si="257"/>
        <v>6.7582093513128001</v>
      </c>
      <c r="DQ76" s="545">
        <f t="shared" si="258"/>
        <v>7100</v>
      </c>
      <c r="DR76" s="460">
        <f t="shared" si="259"/>
        <v>57.935459989895456</v>
      </c>
      <c r="DT76">
        <f t="shared" si="260"/>
        <v>7100</v>
      </c>
      <c r="DU76">
        <f t="shared" si="261"/>
        <v>57.935459989895456</v>
      </c>
      <c r="DW76" s="5">
        <f t="shared" si="301"/>
        <v>17.26058617942121</v>
      </c>
      <c r="DX76" s="5">
        <f t="shared" si="262"/>
        <v>3.621430887780472</v>
      </c>
      <c r="DY76" s="5">
        <f t="shared" si="302"/>
        <v>13.639155291640739</v>
      </c>
      <c r="DZ76" s="5">
        <f t="shared" si="263"/>
        <v>13.639155291640737</v>
      </c>
      <c r="EA76" s="173">
        <f t="shared" si="303"/>
        <v>0.2098092643051771</v>
      </c>
      <c r="EB76" s="173">
        <f t="shared" si="264"/>
        <v>106.5</v>
      </c>
      <c r="EC76" s="173">
        <f t="shared" si="265"/>
        <v>6.9155844155844157</v>
      </c>
      <c r="ED76" s="173">
        <f t="shared" si="304"/>
        <v>15.4</v>
      </c>
      <c r="EE76" s="460">
        <f t="shared" si="266"/>
        <v>171.41439535494231</v>
      </c>
      <c r="EF76" s="5">
        <f t="shared" si="267"/>
        <v>8.6359693136726428</v>
      </c>
      <c r="EG76" s="5"/>
      <c r="EH76" s="173">
        <f t="shared" si="305"/>
        <v>4.6289090960363213</v>
      </c>
      <c r="EI76" s="173">
        <f t="shared" si="268"/>
        <v>8.9832252268069634</v>
      </c>
      <c r="EJ76" s="173"/>
      <c r="EK76" s="528">
        <f t="shared" si="269"/>
        <v>0.42853598838735585</v>
      </c>
      <c r="EL76" s="528">
        <f t="shared" si="270"/>
        <v>1.4886666666666668</v>
      </c>
      <c r="EM76" s="528">
        <f t="shared" si="271"/>
        <v>7.2419324987369315E-3</v>
      </c>
      <c r="EN76" s="528">
        <f t="shared" si="272"/>
        <v>3.1213076682316123E-2</v>
      </c>
      <c r="EO76">
        <f t="shared" si="273"/>
        <v>2.6099999999999998E-2</v>
      </c>
      <c r="EP76" s="460">
        <f t="shared" si="306"/>
        <v>33.341932498736931</v>
      </c>
      <c r="EQ76" s="528">
        <f t="shared" si="274"/>
        <v>2.3352365153406773</v>
      </c>
      <c r="ER76" s="460">
        <f t="shared" si="307"/>
        <v>2335.2365153406772</v>
      </c>
      <c r="ES76" s="528">
        <f t="shared" si="308"/>
        <v>4.4108749999999999</v>
      </c>
      <c r="ET76" s="528"/>
      <c r="EV76" s="460">
        <f t="shared" si="309"/>
        <v>4410.875</v>
      </c>
      <c r="EW76" s="528">
        <f t="shared" si="275"/>
        <v>0.64280398258103377</v>
      </c>
      <c r="EX76" s="528">
        <f t="shared" si="276"/>
        <v>2.4209500642662305</v>
      </c>
      <c r="EY76" s="528">
        <f t="shared" si="277"/>
        <v>1.637376396018714</v>
      </c>
      <c r="EZ76" s="528">
        <f t="shared" si="278"/>
        <v>7.2015283422812866</v>
      </c>
      <c r="FA76" s="528">
        <f t="shared" si="279"/>
        <v>1.7750000000000002E-2</v>
      </c>
      <c r="FB76" s="460">
        <f t="shared" si="310"/>
        <v>7219.2783422812872</v>
      </c>
      <c r="FC76" s="173">
        <f t="shared" si="311"/>
        <v>13.965389857621965</v>
      </c>
      <c r="FD76" s="5">
        <f t="shared" si="312"/>
        <v>106.5</v>
      </c>
      <c r="FE76" s="173">
        <f t="shared" si="313"/>
        <v>0.88407135133063808</v>
      </c>
      <c r="FF76" s="5">
        <f t="shared" si="314"/>
        <v>88.407135133063804</v>
      </c>
      <c r="FI76" s="562">
        <f t="shared" si="280"/>
        <v>-50</v>
      </c>
      <c r="FJ76">
        <f t="shared" si="281"/>
        <v>-50</v>
      </c>
      <c r="FL76">
        <f t="shared" si="282"/>
        <v>0.7901907356948229</v>
      </c>
    </row>
    <row r="77" spans="5:168">
      <c r="E77" s="170">
        <v>72</v>
      </c>
      <c r="F77" s="217">
        <f t="shared" si="283"/>
        <v>7.1999999999999993</v>
      </c>
      <c r="G77" s="217"/>
      <c r="H77" s="217">
        <f t="shared" si="183"/>
        <v>107.99999999999999</v>
      </c>
      <c r="I77" s="541">
        <f t="shared" si="184"/>
        <v>57.542760873352996</v>
      </c>
      <c r="J77" s="172">
        <f t="shared" si="185"/>
        <v>15.674343475988204</v>
      </c>
      <c r="K77" s="172">
        <f t="shared" si="186"/>
        <v>73.674343475988209</v>
      </c>
      <c r="L77" s="443"/>
      <c r="M77" s="217">
        <f t="shared" si="187"/>
        <v>0.21406970635415909</v>
      </c>
      <c r="N77" s="172">
        <f t="shared" si="188"/>
        <v>308.84711481357181</v>
      </c>
      <c r="O77" s="172">
        <f t="shared" si="284"/>
        <v>107.99999999999999</v>
      </c>
      <c r="P77" s="217">
        <f t="shared" si="189"/>
        <v>20.589807654238122</v>
      </c>
      <c r="Q77" s="217">
        <f t="shared" si="190"/>
        <v>15</v>
      </c>
      <c r="R77" s="217">
        <f t="shared" si="191"/>
        <v>20.530269871610454</v>
      </c>
      <c r="S77" s="172">
        <f t="shared" si="192"/>
        <v>142.41965418182329</v>
      </c>
      <c r="T77" s="172">
        <f t="shared" si="193"/>
        <v>15</v>
      </c>
      <c r="U77" s="217">
        <f t="shared" si="194"/>
        <v>18.322235593184789</v>
      </c>
      <c r="V77" s="217">
        <f t="shared" si="195"/>
        <v>3.8209294059095762</v>
      </c>
      <c r="W77" s="217">
        <f t="shared" si="196"/>
        <v>14.027179349172441</v>
      </c>
      <c r="X77" s="197">
        <f t="shared" si="197"/>
        <v>102.65645421937366</v>
      </c>
      <c r="Y77" s="443">
        <f t="shared" si="198"/>
        <v>55.407467539689904</v>
      </c>
      <c r="AA77" s="217">
        <f t="shared" si="199"/>
        <v>10</v>
      </c>
      <c r="AB77" s="173">
        <f t="shared" si="200"/>
        <v>7.6558230450819247</v>
      </c>
      <c r="AC77" s="173">
        <f t="shared" si="201"/>
        <v>3.9295982396953923</v>
      </c>
      <c r="AD77" s="173"/>
      <c r="AE77" s="173">
        <f t="shared" si="202"/>
        <v>7.6558230450819247</v>
      </c>
      <c r="AF77" s="545">
        <f t="shared" si="203"/>
        <v>188.09212171185843</v>
      </c>
      <c r="AG77" s="528">
        <f t="shared" si="204"/>
        <v>3.9295982396953923</v>
      </c>
      <c r="AI77" s="173">
        <f t="shared" si="205"/>
        <v>7.3307984697021995</v>
      </c>
      <c r="AJ77" s="173">
        <f t="shared" si="206"/>
        <v>18.322235593184789</v>
      </c>
      <c r="AK77" s="173">
        <f t="shared" si="207"/>
        <v>7.3646189579146588</v>
      </c>
      <c r="AM77" s="545">
        <f t="shared" si="208"/>
        <v>7199.9999999999991</v>
      </c>
      <c r="AN77" s="460">
        <f t="shared" si="209"/>
        <v>55.407467539689904</v>
      </c>
      <c r="AP77">
        <f t="shared" si="210"/>
        <v>7199.9999999999991</v>
      </c>
      <c r="AQ77">
        <f t="shared" si="211"/>
        <v>55.407467539689904</v>
      </c>
      <c r="AS77" s="5">
        <f t="shared" si="285"/>
        <v>18.048108755082019</v>
      </c>
      <c r="AT77" s="5">
        <f t="shared" si="212"/>
        <v>3.8209294059095762</v>
      </c>
      <c r="AU77" s="5">
        <f t="shared" si="286"/>
        <v>14.227179349172443</v>
      </c>
      <c r="AV77" s="5">
        <f t="shared" si="213"/>
        <v>14.027179349172441</v>
      </c>
      <c r="AW77" s="173">
        <f t="shared" si="287"/>
        <v>0.21170802202938144</v>
      </c>
      <c r="AX77" s="173">
        <f t="shared" si="214"/>
        <v>111.60315632660604</v>
      </c>
      <c r="AY77" s="173">
        <f t="shared" si="215"/>
        <v>7.2216356682976537</v>
      </c>
      <c r="AZ77" s="173">
        <f t="shared" si="288"/>
        <v>15.453999821194815</v>
      </c>
      <c r="BA77" s="460">
        <f t="shared" si="216"/>
        <v>183.40461148365964</v>
      </c>
      <c r="BB77" s="5">
        <f t="shared" si="217"/>
        <v>9.2077574071388515</v>
      </c>
      <c r="BC77" s="5"/>
      <c r="BD77" s="173">
        <f t="shared" si="289"/>
        <v>4.8672818207145614</v>
      </c>
      <c r="BE77" s="173">
        <f t="shared" si="218"/>
        <v>9.3920714819361013</v>
      </c>
      <c r="BF77" s="173"/>
      <c r="BG77" s="528">
        <f t="shared" si="219"/>
        <v>0.47380864644516912</v>
      </c>
      <c r="BH77" s="528">
        <f t="shared" si="220"/>
        <v>1.4023754822373407</v>
      </c>
      <c r="BI77" s="528">
        <f t="shared" si="221"/>
        <v>7.9707466380861111E-2</v>
      </c>
      <c r="BJ77" s="528">
        <f t="shared" si="222"/>
        <v>3.0074668544367491E-2</v>
      </c>
      <c r="BK77">
        <f t="shared" si="223"/>
        <v>2.5894242393008849E-2</v>
      </c>
      <c r="BL77" s="460">
        <f t="shared" si="290"/>
        <v>105.60170877386996</v>
      </c>
      <c r="BM77" s="528">
        <f t="shared" si="224"/>
        <v>2.2922405452478527</v>
      </c>
      <c r="BN77" s="460">
        <f t="shared" si="291"/>
        <v>2292.2405452478529</v>
      </c>
      <c r="BO77" s="528">
        <f t="shared" si="225"/>
        <v>4.472999999999999</v>
      </c>
      <c r="BP77" s="528"/>
      <c r="BR77" s="460">
        <f t="shared" si="292"/>
        <v>4472.9999999999991</v>
      </c>
      <c r="BS77" s="528">
        <f t="shared" si="226"/>
        <v>0.71071296966775366</v>
      </c>
      <c r="BT77" s="528">
        <f t="shared" si="227"/>
        <v>2.6463302016539214</v>
      </c>
      <c r="BU77" s="528">
        <f t="shared" si="228"/>
        <v>1.6199999999999997</v>
      </c>
      <c r="BV77" s="528">
        <f t="shared" si="229"/>
        <v>7.9059948012392747</v>
      </c>
      <c r="BW77" s="528">
        <f t="shared" si="230"/>
        <v>1.8600526054434342E-2</v>
      </c>
      <c r="BX77" s="460">
        <f t="shared" si="293"/>
        <v>7924.5953272937086</v>
      </c>
      <c r="BY77" s="173">
        <f t="shared" si="231"/>
        <v>14.795437581315431</v>
      </c>
      <c r="BZ77" s="5">
        <f t="shared" si="294"/>
        <v>107.99999999999999</v>
      </c>
      <c r="CA77" s="173">
        <f t="shared" si="295"/>
        <v>0.87951150406937673</v>
      </c>
      <c r="CB77" s="5">
        <f t="shared" si="296"/>
        <v>87.951150406937671</v>
      </c>
      <c r="CE77" s="562">
        <f t="shared" si="232"/>
        <v>-50</v>
      </c>
      <c r="CF77">
        <f t="shared" si="233"/>
        <v>-50</v>
      </c>
      <c r="CG77" s="173">
        <f t="shared" si="234"/>
        <v>0.78733419565365448</v>
      </c>
      <c r="CI77" s="170">
        <v>72</v>
      </c>
      <c r="CJ77" s="217">
        <f t="shared" si="297"/>
        <v>7.1999999999999993</v>
      </c>
      <c r="CK77" s="217"/>
      <c r="CL77" s="217">
        <f t="shared" si="235"/>
        <v>107.99999999999999</v>
      </c>
      <c r="CM77" s="541">
        <f t="shared" si="236"/>
        <v>58</v>
      </c>
      <c r="CN77" s="172">
        <f t="shared" si="237"/>
        <v>15.4</v>
      </c>
      <c r="CO77" s="443">
        <f t="shared" si="238"/>
        <v>73.400000000000006</v>
      </c>
      <c r="CP77" s="443"/>
      <c r="CQ77" s="217">
        <f t="shared" si="239"/>
        <v>0.2098092643051771</v>
      </c>
      <c r="CR77" s="172">
        <f t="shared" si="240"/>
        <v>305.10568119891008</v>
      </c>
      <c r="CS77" s="172">
        <f t="shared" si="298"/>
        <v>107.99999999999999</v>
      </c>
      <c r="CT77" s="217">
        <f t="shared" si="241"/>
        <v>20.340378746594006</v>
      </c>
      <c r="CU77" s="217">
        <f t="shared" si="242"/>
        <v>15</v>
      </c>
      <c r="CV77" s="217">
        <f t="shared" si="243"/>
        <v>20.281562216167121</v>
      </c>
      <c r="CW77" s="172">
        <f t="shared" si="244"/>
        <v>143.55005589820502</v>
      </c>
      <c r="CX77" s="172">
        <f t="shared" si="245"/>
        <v>15</v>
      </c>
      <c r="CY77" s="217">
        <f t="shared" si="246"/>
        <v>17.750111957008507</v>
      </c>
      <c r="CZ77" s="217">
        <f t="shared" si="247"/>
        <v>3.67243695662245</v>
      </c>
      <c r="DA77" s="217">
        <f t="shared" si="248"/>
        <v>13.83125607039624</v>
      </c>
      <c r="DB77" s="197">
        <f t="shared" si="249"/>
        <v>101.4078110808356</v>
      </c>
      <c r="DC77" s="443">
        <f t="shared" si="299"/>
        <v>57.130800823369135</v>
      </c>
      <c r="DE77" s="217">
        <f t="shared" si="250"/>
        <v>10</v>
      </c>
      <c r="DF77" s="173">
        <f t="shared" si="251"/>
        <v>7.7922077922077913</v>
      </c>
      <c r="DG77" s="173">
        <f t="shared" si="252"/>
        <v>3.9509536784741139</v>
      </c>
      <c r="DH77" s="173"/>
      <c r="DI77" s="173">
        <f t="shared" si="253"/>
        <v>7.7922077922077913</v>
      </c>
      <c r="DJ77" s="545">
        <f t="shared" si="300"/>
        <v>184.8</v>
      </c>
      <c r="DK77" s="528">
        <f t="shared" si="254"/>
        <v>3.9509536784741139</v>
      </c>
      <c r="DM77" s="173">
        <f t="shared" si="255"/>
        <v>7.2663608498339798</v>
      </c>
      <c r="DN77" s="173">
        <f t="shared" si="256"/>
        <v>17.750111957008507</v>
      </c>
      <c r="DO77" s="173">
        <f t="shared" si="257"/>
        <v>6.9408236718581531</v>
      </c>
      <c r="DQ77" s="545">
        <f t="shared" si="258"/>
        <v>7199.9999999999991</v>
      </c>
      <c r="DR77" s="460">
        <f t="shared" si="259"/>
        <v>57.130800823369135</v>
      </c>
      <c r="DT77">
        <f t="shared" si="260"/>
        <v>7199.9999999999991</v>
      </c>
      <c r="DU77">
        <f t="shared" si="261"/>
        <v>57.130800823369135</v>
      </c>
      <c r="DW77" s="5">
        <f t="shared" si="301"/>
        <v>17.503693027018691</v>
      </c>
      <c r="DX77" s="5">
        <f t="shared" si="262"/>
        <v>3.67243695662245</v>
      </c>
      <c r="DY77" s="5">
        <f t="shared" si="302"/>
        <v>13.831256070396241</v>
      </c>
      <c r="DZ77" s="5">
        <f t="shared" si="263"/>
        <v>13.83125607039624</v>
      </c>
      <c r="EA77" s="173">
        <f t="shared" si="303"/>
        <v>0.2098092643051771</v>
      </c>
      <c r="EB77" s="173">
        <f t="shared" si="264"/>
        <v>107.99999999999997</v>
      </c>
      <c r="EC77" s="173">
        <f t="shared" si="265"/>
        <v>7.0129870129870122</v>
      </c>
      <c r="ED77" s="173">
        <f t="shared" si="304"/>
        <v>15.399999999999997</v>
      </c>
      <c r="EE77" s="460">
        <f t="shared" si="266"/>
        <v>176.27697391787757</v>
      </c>
      <c r="EF77" s="5">
        <f t="shared" si="267"/>
        <v>8.8809492009678586</v>
      </c>
      <c r="EG77" s="5"/>
      <c r="EH77" s="173">
        <f t="shared" si="305"/>
        <v>4.6941049987973953</v>
      </c>
      <c r="EI77" s="173">
        <f t="shared" si="268"/>
        <v>9.1097495257760741</v>
      </c>
      <c r="EJ77" s="173"/>
      <c r="EK77" s="528">
        <f t="shared" si="269"/>
        <v>0.44069243479469394</v>
      </c>
      <c r="EL77" s="528">
        <f t="shared" si="270"/>
        <v>1.4886666666666666</v>
      </c>
      <c r="EM77" s="528">
        <f t="shared" si="271"/>
        <v>7.1413501029211415E-3</v>
      </c>
      <c r="EN77" s="528">
        <f t="shared" si="272"/>
        <v>3.0779561728395067E-2</v>
      </c>
      <c r="EO77">
        <f t="shared" si="273"/>
        <v>2.6099999999999998E-2</v>
      </c>
      <c r="EP77" s="460">
        <f t="shared" si="306"/>
        <v>33.241350102921139</v>
      </c>
      <c r="EQ77" s="528">
        <f t="shared" si="274"/>
        <v>2.3594181602206499</v>
      </c>
      <c r="ER77" s="460">
        <f t="shared" si="307"/>
        <v>2359.41816022065</v>
      </c>
      <c r="ES77" s="528">
        <f t="shared" si="308"/>
        <v>4.472999999999999</v>
      </c>
      <c r="ET77" s="528"/>
      <c r="EV77" s="460">
        <f t="shared" si="309"/>
        <v>4472.9999999999991</v>
      </c>
      <c r="EW77" s="528">
        <f t="shared" si="275"/>
        <v>0.66103865219204083</v>
      </c>
      <c r="EX77" s="528">
        <f t="shared" si="276"/>
        <v>2.4896260926713221</v>
      </c>
      <c r="EY77" s="528">
        <f t="shared" si="277"/>
        <v>1.6373763960187142</v>
      </c>
      <c r="EZ77" s="528">
        <f t="shared" si="278"/>
        <v>7.4125599953793957</v>
      </c>
      <c r="FA77" s="528">
        <f t="shared" si="279"/>
        <v>1.7999999999999999E-2</v>
      </c>
      <c r="FB77" s="460">
        <f t="shared" si="310"/>
        <v>7430.5599953793953</v>
      </c>
      <c r="FC77" s="173">
        <f t="shared" si="311"/>
        <v>14.262978155600045</v>
      </c>
      <c r="FD77" s="5">
        <f t="shared" si="312"/>
        <v>107.99999999999999</v>
      </c>
      <c r="FE77" s="173">
        <f t="shared" si="313"/>
        <v>0.88334180656512373</v>
      </c>
      <c r="FF77" s="5">
        <f t="shared" si="314"/>
        <v>88.334180656512373</v>
      </c>
      <c r="FI77" s="562">
        <f t="shared" si="280"/>
        <v>-50</v>
      </c>
      <c r="FJ77">
        <f t="shared" si="281"/>
        <v>-50</v>
      </c>
      <c r="FL77">
        <f t="shared" si="282"/>
        <v>0.7901907356948229</v>
      </c>
    </row>
    <row r="78" spans="5:168">
      <c r="E78" s="170">
        <v>73</v>
      </c>
      <c r="F78" s="217">
        <f t="shared" si="283"/>
        <v>7.3</v>
      </c>
      <c r="G78" s="217"/>
      <c r="H78" s="217">
        <f t="shared" si="183"/>
        <v>109.5</v>
      </c>
      <c r="I78" s="541">
        <f t="shared" si="184"/>
        <v>57.536433369292496</v>
      </c>
      <c r="J78" s="172">
        <f t="shared" si="185"/>
        <v>15.678139978424502</v>
      </c>
      <c r="K78" s="172">
        <f t="shared" si="186"/>
        <v>73.678139978424497</v>
      </c>
      <c r="L78" s="443"/>
      <c r="M78" s="217">
        <f t="shared" si="187"/>
        <v>0.21412896246279489</v>
      </c>
      <c r="N78" s="172">
        <f t="shared" si="188"/>
        <v>308.89863524604363</v>
      </c>
      <c r="O78" s="172">
        <f t="shared" si="284"/>
        <v>109.5</v>
      </c>
      <c r="P78" s="217">
        <f t="shared" si="189"/>
        <v>20.59324234973624</v>
      </c>
      <c r="Q78" s="217">
        <f t="shared" si="190"/>
        <v>15</v>
      </c>
      <c r="R78" s="217">
        <f t="shared" si="191"/>
        <v>20.533694635293887</v>
      </c>
      <c r="S78" s="172">
        <f t="shared" si="192"/>
        <v>139.67045378602253</v>
      </c>
      <c r="T78" s="172">
        <f t="shared" si="193"/>
        <v>15</v>
      </c>
      <c r="U78" s="217">
        <f t="shared" si="194"/>
        <v>18.578111805410309</v>
      </c>
      <c r="V78" s="217">
        <f t="shared" si="195"/>
        <v>3.8747160470309336</v>
      </c>
      <c r="W78" s="217">
        <f t="shared" si="196"/>
        <v>14.219629495062508</v>
      </c>
      <c r="X78" s="197">
        <f t="shared" si="197"/>
        <v>102.67357701438534</v>
      </c>
      <c r="Y78" s="443">
        <f t="shared" si="198"/>
        <v>54.661698484873426</v>
      </c>
      <c r="AA78" s="217">
        <f t="shared" si="199"/>
        <v>10</v>
      </c>
      <c r="AB78" s="173">
        <f t="shared" si="200"/>
        <v>7.6539691675886417</v>
      </c>
      <c r="AC78" s="173">
        <f t="shared" si="201"/>
        <v>3.9293019639707163</v>
      </c>
      <c r="AD78" s="173"/>
      <c r="AE78" s="173">
        <f t="shared" si="202"/>
        <v>7.6539691675886417</v>
      </c>
      <c r="AF78" s="545">
        <f t="shared" si="203"/>
        <v>190.75070307083146</v>
      </c>
      <c r="AG78" s="528">
        <f t="shared" si="204"/>
        <v>3.9293019639707163</v>
      </c>
      <c r="AI78" s="173">
        <f t="shared" si="205"/>
        <v>7.3824251352370931</v>
      </c>
      <c r="AJ78" s="173">
        <f t="shared" si="206"/>
        <v>18.578111805410309</v>
      </c>
      <c r="AK78" s="173">
        <f t="shared" si="207"/>
        <v>7.5541568928965255</v>
      </c>
      <c r="AM78" s="545">
        <f t="shared" si="208"/>
        <v>7300</v>
      </c>
      <c r="AN78" s="460">
        <f t="shared" si="209"/>
        <v>54.661698484873426</v>
      </c>
      <c r="AP78">
        <f t="shared" si="210"/>
        <v>7300</v>
      </c>
      <c r="AQ78">
        <f t="shared" si="211"/>
        <v>54.661698484873426</v>
      </c>
      <c r="AS78" s="5">
        <f t="shared" si="285"/>
        <v>18.294345542093442</v>
      </c>
      <c r="AT78" s="5">
        <f t="shared" si="212"/>
        <v>3.8747160470309336</v>
      </c>
      <c r="AU78" s="5">
        <f t="shared" si="286"/>
        <v>14.419629495062509</v>
      </c>
      <c r="AV78" s="5">
        <f t="shared" si="213"/>
        <v>14.219629495062508</v>
      </c>
      <c r="AW78" s="173">
        <f t="shared" si="287"/>
        <v>0.21179856027730554</v>
      </c>
      <c r="AX78" s="173">
        <f t="shared" si="214"/>
        <v>113.19767765187751</v>
      </c>
      <c r="AY78" s="173">
        <f t="shared" si="215"/>
        <v>7.3216472361767959</v>
      </c>
      <c r="AZ78" s="173">
        <f t="shared" si="288"/>
        <v>15.460684460808148</v>
      </c>
      <c r="BA78" s="460">
        <f t="shared" si="216"/>
        <v>188.56951428883877</v>
      </c>
      <c r="BB78" s="5">
        <f t="shared" si="217"/>
        <v>9.4629661365143498</v>
      </c>
      <c r="BC78" s="5"/>
      <c r="BD78" s="173">
        <f t="shared" si="289"/>
        <v>4.9363102396896306</v>
      </c>
      <c r="BE78" s="173">
        <f t="shared" si="218"/>
        <v>9.5226880292441898</v>
      </c>
      <c r="BF78" s="173"/>
      <c r="BG78" s="528">
        <f t="shared" si="219"/>
        <v>0.48734317564929397</v>
      </c>
      <c r="BH78" s="528">
        <f t="shared" si="220"/>
        <v>1.4028932317341947</v>
      </c>
      <c r="BI78" s="528">
        <f t="shared" si="221"/>
        <v>7.8625979318181896E-2</v>
      </c>
      <c r="BJ78" s="528">
        <f t="shared" si="222"/>
        <v>2.9672929803309756E-2</v>
      </c>
      <c r="BK78">
        <f t="shared" si="223"/>
        <v>2.5891395016181623E-2</v>
      </c>
      <c r="BL78" s="460">
        <f t="shared" si="290"/>
        <v>104.51737433436352</v>
      </c>
      <c r="BM78" s="528">
        <f t="shared" si="224"/>
        <v>2.320148322703663</v>
      </c>
      <c r="BN78" s="460">
        <f t="shared" si="291"/>
        <v>2320.1483227036629</v>
      </c>
      <c r="BO78" s="528">
        <f t="shared" si="225"/>
        <v>4.535124999999999</v>
      </c>
      <c r="BP78" s="528"/>
      <c r="BR78" s="460">
        <f t="shared" si="292"/>
        <v>4535.1249999999991</v>
      </c>
      <c r="BS78" s="528">
        <f t="shared" si="226"/>
        <v>0.7310147634739409</v>
      </c>
      <c r="BT78" s="528">
        <f t="shared" si="227"/>
        <v>2.7204476190693176</v>
      </c>
      <c r="BU78" s="528">
        <f t="shared" si="228"/>
        <v>1.6424999999999998</v>
      </c>
      <c r="BV78" s="528">
        <f t="shared" si="229"/>
        <v>8.1813128329821421</v>
      </c>
      <c r="BW78" s="528">
        <f t="shared" si="230"/>
        <v>1.8866279608646251E-2</v>
      </c>
      <c r="BX78" s="460">
        <f t="shared" si="293"/>
        <v>8200.1791125907894</v>
      </c>
      <c r="BY78" s="173">
        <f t="shared" si="231"/>
        <v>15.159969809628814</v>
      </c>
      <c r="BZ78" s="5">
        <f t="shared" si="294"/>
        <v>109.5</v>
      </c>
      <c r="CA78" s="173">
        <f t="shared" si="295"/>
        <v>0.87838943140464443</v>
      </c>
      <c r="CB78" s="5">
        <f t="shared" si="296"/>
        <v>87.838943140464437</v>
      </c>
      <c r="CE78" s="562">
        <f t="shared" si="232"/>
        <v>-50</v>
      </c>
      <c r="CF78">
        <f t="shared" si="233"/>
        <v>-50</v>
      </c>
      <c r="CG78" s="173">
        <f t="shared" si="234"/>
        <v>0.78737332633914991</v>
      </c>
      <c r="CI78" s="170">
        <v>73</v>
      </c>
      <c r="CJ78" s="217">
        <f t="shared" si="297"/>
        <v>7.3</v>
      </c>
      <c r="CK78" s="217"/>
      <c r="CL78" s="217">
        <f t="shared" si="235"/>
        <v>109.5</v>
      </c>
      <c r="CM78" s="541">
        <f t="shared" si="236"/>
        <v>58</v>
      </c>
      <c r="CN78" s="172">
        <f t="shared" si="237"/>
        <v>15.4</v>
      </c>
      <c r="CO78" s="443">
        <f t="shared" si="238"/>
        <v>73.400000000000006</v>
      </c>
      <c r="CP78" s="443"/>
      <c r="CQ78" s="217">
        <f t="shared" si="239"/>
        <v>0.2098092643051771</v>
      </c>
      <c r="CR78" s="172">
        <f t="shared" si="240"/>
        <v>305.10568119891008</v>
      </c>
      <c r="CS78" s="172">
        <f t="shared" si="298"/>
        <v>109.5</v>
      </c>
      <c r="CT78" s="217">
        <f t="shared" si="241"/>
        <v>20.340378746594006</v>
      </c>
      <c r="CU78" s="217">
        <f t="shared" si="242"/>
        <v>15</v>
      </c>
      <c r="CV78" s="217">
        <f t="shared" si="243"/>
        <v>20.281562216167121</v>
      </c>
      <c r="CW78" s="172">
        <f t="shared" si="244"/>
        <v>140.79444939446964</v>
      </c>
      <c r="CX78" s="172">
        <f t="shared" si="245"/>
        <v>15</v>
      </c>
      <c r="CY78" s="217">
        <f t="shared" si="246"/>
        <v>17.996641289744737</v>
      </c>
      <c r="CZ78" s="217">
        <f t="shared" si="247"/>
        <v>3.7234430254644284</v>
      </c>
      <c r="DA78" s="217">
        <f t="shared" si="248"/>
        <v>14.023356849151744</v>
      </c>
      <c r="DB78" s="197">
        <f t="shared" si="249"/>
        <v>101.4078110808356</v>
      </c>
      <c r="DC78" s="443">
        <f t="shared" si="299"/>
        <v>56.348187113459971</v>
      </c>
      <c r="DE78" s="217">
        <f t="shared" si="250"/>
        <v>10</v>
      </c>
      <c r="DF78" s="173">
        <f t="shared" si="251"/>
        <v>7.7922077922077913</v>
      </c>
      <c r="DG78" s="173">
        <f t="shared" si="252"/>
        <v>3.9509536784741139</v>
      </c>
      <c r="DH78" s="173"/>
      <c r="DI78" s="173">
        <f t="shared" si="253"/>
        <v>7.7922077922077913</v>
      </c>
      <c r="DJ78" s="545">
        <f t="shared" si="300"/>
        <v>187.36666666666665</v>
      </c>
      <c r="DK78" s="528">
        <f t="shared" si="254"/>
        <v>3.9509536784741139</v>
      </c>
      <c r="DM78" s="173">
        <f t="shared" si="255"/>
        <v>7.316647684105976</v>
      </c>
      <c r="DN78" s="173">
        <f t="shared" si="256"/>
        <v>17.996641289744737</v>
      </c>
      <c r="DO78" s="173">
        <f t="shared" si="257"/>
        <v>7.1234379924035087</v>
      </c>
      <c r="DQ78" s="545">
        <f t="shared" si="258"/>
        <v>7300</v>
      </c>
      <c r="DR78" s="460">
        <f t="shared" si="259"/>
        <v>56.348187113459971</v>
      </c>
      <c r="DT78">
        <f t="shared" si="260"/>
        <v>7300</v>
      </c>
      <c r="DU78">
        <f t="shared" si="261"/>
        <v>56.348187113459971</v>
      </c>
      <c r="DW78" s="5">
        <f t="shared" si="301"/>
        <v>17.746799874616173</v>
      </c>
      <c r="DX78" s="5">
        <f t="shared" si="262"/>
        <v>3.7234430254644284</v>
      </c>
      <c r="DY78" s="5">
        <f t="shared" si="302"/>
        <v>14.023356849151744</v>
      </c>
      <c r="DZ78" s="5">
        <f t="shared" si="263"/>
        <v>14.023356849151744</v>
      </c>
      <c r="EA78" s="173">
        <f t="shared" si="303"/>
        <v>0.2098092643051771</v>
      </c>
      <c r="EB78" s="173">
        <f t="shared" si="264"/>
        <v>109.49999999999999</v>
      </c>
      <c r="EC78" s="173">
        <f t="shared" si="265"/>
        <v>7.1103896103896105</v>
      </c>
      <c r="ED78" s="173">
        <f t="shared" si="304"/>
        <v>15.399999999999999</v>
      </c>
      <c r="EE78" s="460">
        <f t="shared" si="266"/>
        <v>181.20756057260218</v>
      </c>
      <c r="EF78" s="5">
        <f t="shared" si="267"/>
        <v>9.1293553803930791</v>
      </c>
      <c r="EG78" s="5"/>
      <c r="EH78" s="173">
        <f t="shared" si="305"/>
        <v>4.7593009015584702</v>
      </c>
      <c r="EI78" s="173">
        <f t="shared" si="268"/>
        <v>9.2362738247451865</v>
      </c>
      <c r="EJ78" s="173"/>
      <c r="EK78" s="528">
        <f t="shared" si="269"/>
        <v>0.45301890143150536</v>
      </c>
      <c r="EL78" s="528">
        <f t="shared" si="270"/>
        <v>1.4886666666666668</v>
      </c>
      <c r="EM78" s="528">
        <f t="shared" si="271"/>
        <v>7.0435233891824964E-3</v>
      </c>
      <c r="EN78" s="528">
        <f t="shared" si="272"/>
        <v>3.0357923896499248E-2</v>
      </c>
      <c r="EO78">
        <f t="shared" si="273"/>
        <v>2.6099999999999998E-2</v>
      </c>
      <c r="EP78" s="460">
        <f t="shared" si="306"/>
        <v>33.143523389182491</v>
      </c>
      <c r="EQ78" s="528">
        <f t="shared" si="274"/>
        <v>2.3841226188251414</v>
      </c>
      <c r="ER78" s="460">
        <f t="shared" si="307"/>
        <v>2384.1226188251412</v>
      </c>
      <c r="ES78" s="528">
        <f t="shared" si="308"/>
        <v>4.535124999999999</v>
      </c>
      <c r="ET78" s="528"/>
      <c r="EV78" s="460">
        <f t="shared" si="309"/>
        <v>4535.1249999999991</v>
      </c>
      <c r="EW78" s="528">
        <f t="shared" si="275"/>
        <v>0.67952835214725804</v>
      </c>
      <c r="EX78" s="528">
        <f t="shared" si="276"/>
        <v>2.5592626249701924</v>
      </c>
      <c r="EY78" s="528">
        <f t="shared" si="277"/>
        <v>1.6373763960187171</v>
      </c>
      <c r="EZ78" s="528">
        <f t="shared" si="278"/>
        <v>7.6305874234073707</v>
      </c>
      <c r="FA78" s="528">
        <f t="shared" si="279"/>
        <v>1.8249999999999999E-2</v>
      </c>
      <c r="FB78" s="460">
        <f t="shared" si="310"/>
        <v>7648.8374234073708</v>
      </c>
      <c r="FC78" s="173">
        <f t="shared" si="311"/>
        <v>14.568085042232513</v>
      </c>
      <c r="FD78" s="5">
        <f t="shared" si="312"/>
        <v>109.5</v>
      </c>
      <c r="FE78" s="173">
        <f t="shared" si="313"/>
        <v>0.88257991539666658</v>
      </c>
      <c r="FF78" s="5">
        <f t="shared" si="314"/>
        <v>88.257991539666662</v>
      </c>
      <c r="FI78" s="562">
        <f t="shared" si="280"/>
        <v>-50</v>
      </c>
      <c r="FJ78">
        <f t="shared" si="281"/>
        <v>-50</v>
      </c>
      <c r="FL78">
        <f t="shared" si="282"/>
        <v>0.7901907356948229</v>
      </c>
    </row>
    <row r="79" spans="5:168">
      <c r="E79" s="170">
        <v>74</v>
      </c>
      <c r="F79" s="217">
        <f t="shared" si="283"/>
        <v>7.4</v>
      </c>
      <c r="G79" s="217"/>
      <c r="H79" s="217">
        <f t="shared" si="183"/>
        <v>111</v>
      </c>
      <c r="I79" s="541">
        <f t="shared" si="184"/>
        <v>57.530105863003989</v>
      </c>
      <c r="J79" s="172">
        <f t="shared" si="185"/>
        <v>15.681936482197608</v>
      </c>
      <c r="K79" s="172">
        <f t="shared" si="186"/>
        <v>73.681936482197614</v>
      </c>
      <c r="L79" s="443"/>
      <c r="M79" s="217">
        <f t="shared" si="187"/>
        <v>0.2141882226749913</v>
      </c>
      <c r="N79" s="172">
        <f t="shared" si="188"/>
        <v>308.95014278409286</v>
      </c>
      <c r="O79" s="172">
        <f t="shared" si="284"/>
        <v>111</v>
      </c>
      <c r="P79" s="217">
        <f t="shared" si="189"/>
        <v>20.596676185606192</v>
      </c>
      <c r="Q79" s="217">
        <f t="shared" si="190"/>
        <v>15</v>
      </c>
      <c r="R79" s="217">
        <f t="shared" si="191"/>
        <v>20.537118541834868</v>
      </c>
      <c r="S79" s="172">
        <f t="shared" si="192"/>
        <v>136.99584706584938</v>
      </c>
      <c r="T79" s="172">
        <f t="shared" si="193"/>
        <v>15</v>
      </c>
      <c r="U79" s="217">
        <f t="shared" si="194"/>
        <v>18.834026705963684</v>
      </c>
      <c r="V79" s="217">
        <f t="shared" si="195"/>
        <v>3.9285225897160023</v>
      </c>
      <c r="W79" s="217">
        <f t="shared" si="196"/>
        <v>14.412016062437987</v>
      </c>
      <c r="X79" s="197">
        <f t="shared" si="197"/>
        <v>102.69069553064483</v>
      </c>
      <c r="Y79" s="443">
        <f t="shared" si="198"/>
        <v>53.935865551771492</v>
      </c>
      <c r="AA79" s="217">
        <f t="shared" si="199"/>
        <v>9.9999999999999982</v>
      </c>
      <c r="AB79" s="173">
        <f t="shared" si="200"/>
        <v>7.6521161870682199</v>
      </c>
      <c r="AC79" s="173">
        <f t="shared" si="201"/>
        <v>3.9290056676567069</v>
      </c>
      <c r="AD79" s="173"/>
      <c r="AE79" s="173">
        <f t="shared" si="202"/>
        <v>7.6521161870682217</v>
      </c>
      <c r="AF79" s="545">
        <f t="shared" si="203"/>
        <v>193.41054994710385</v>
      </c>
      <c r="AG79" s="528">
        <f t="shared" si="204"/>
        <v>3.9290056676567078</v>
      </c>
      <c r="AI79" s="173">
        <f t="shared" si="205"/>
        <v>7.4337175846102701</v>
      </c>
      <c r="AJ79" s="173">
        <f t="shared" si="206"/>
        <v>18.834026705963684</v>
      </c>
      <c r="AK79" s="173">
        <f t="shared" si="207"/>
        <v>7.743723485899026</v>
      </c>
      <c r="AM79" s="545">
        <f t="shared" si="208"/>
        <v>7400</v>
      </c>
      <c r="AN79" s="460">
        <f t="shared" si="209"/>
        <v>53.935865551771492</v>
      </c>
      <c r="AP79">
        <f t="shared" si="210"/>
        <v>7400</v>
      </c>
      <c r="AQ79">
        <f t="shared" si="211"/>
        <v>53.935865551771492</v>
      </c>
      <c r="AS79" s="5">
        <f t="shared" si="285"/>
        <v>18.540538652153987</v>
      </c>
      <c r="AT79" s="5">
        <f t="shared" si="212"/>
        <v>3.9285225897160023</v>
      </c>
      <c r="AU79" s="5">
        <f t="shared" si="286"/>
        <v>14.612016062437984</v>
      </c>
      <c r="AV79" s="5">
        <f t="shared" si="213"/>
        <v>14.412016062437987</v>
      </c>
      <c r="AW79" s="173">
        <f t="shared" si="287"/>
        <v>0.21188826621601944</v>
      </c>
      <c r="AX79" s="173">
        <f t="shared" si="214"/>
        <v>114.79296323024882</v>
      </c>
      <c r="AY79" s="173">
        <f t="shared" si="215"/>
        <v>7.4216587206854161</v>
      </c>
      <c r="AZ79" s="173">
        <f t="shared" si="288"/>
        <v>15.467292090688762</v>
      </c>
      <c r="BA79" s="460">
        <f t="shared" si="216"/>
        <v>193.80711442598948</v>
      </c>
      <c r="BB79" s="5">
        <f t="shared" si="217"/>
        <v>9.721649264599165</v>
      </c>
      <c r="BC79" s="5"/>
      <c r="BD79" s="173">
        <f t="shared" si="289"/>
        <v>5.0053679473500736</v>
      </c>
      <c r="BE79" s="173">
        <f t="shared" si="218"/>
        <v>9.6533144065630765</v>
      </c>
      <c r="BF79" s="173"/>
      <c r="BG79" s="528">
        <f t="shared" si="219"/>
        <v>0.50107416576718977</v>
      </c>
      <c r="BH79" s="528">
        <f t="shared" si="220"/>
        <v>1.4034053825462962</v>
      </c>
      <c r="BI79" s="528">
        <f t="shared" si="221"/>
        <v>7.7573401375154102E-2</v>
      </c>
      <c r="BJ79" s="528">
        <f t="shared" si="222"/>
        <v>2.9281931154335025E-2</v>
      </c>
      <c r="BK79">
        <f t="shared" si="223"/>
        <v>2.5888547638351793E-2</v>
      </c>
      <c r="BL79" s="460">
        <f t="shared" si="290"/>
        <v>103.46194901350589</v>
      </c>
      <c r="BM79" s="528">
        <f t="shared" si="224"/>
        <v>2.3486733282196877</v>
      </c>
      <c r="BN79" s="460">
        <f t="shared" si="291"/>
        <v>2348.6733282196878</v>
      </c>
      <c r="BO79" s="528">
        <f t="shared" si="225"/>
        <v>4.5972499999999998</v>
      </c>
      <c r="BP79" s="528"/>
      <c r="BR79" s="460">
        <f t="shared" si="292"/>
        <v>4597.25</v>
      </c>
      <c r="BS79" s="528">
        <f t="shared" si="226"/>
        <v>0.75161124865078466</v>
      </c>
      <c r="BT79" s="528">
        <f t="shared" si="227"/>
        <v>2.7955943709587472</v>
      </c>
      <c r="BU79" s="528">
        <f t="shared" si="228"/>
        <v>1.665</v>
      </c>
      <c r="BV79" s="528">
        <f t="shared" si="229"/>
        <v>8.4659809980626441</v>
      </c>
      <c r="BW79" s="528">
        <f t="shared" si="230"/>
        <v>1.9132160538374805E-2</v>
      </c>
      <c r="BX79" s="460">
        <f t="shared" si="293"/>
        <v>8485.1131586010179</v>
      </c>
      <c r="BY79" s="173">
        <f t="shared" si="231"/>
        <v>15.534498435834214</v>
      </c>
      <c r="BZ79" s="5">
        <f t="shared" si="294"/>
        <v>111</v>
      </c>
      <c r="CA79" s="173">
        <f t="shared" si="295"/>
        <v>0.87723112172676154</v>
      </c>
      <c r="CB79" s="5">
        <f t="shared" si="296"/>
        <v>87.723112172676153</v>
      </c>
      <c r="CE79" s="562">
        <f t="shared" si="232"/>
        <v>-50</v>
      </c>
      <c r="CF79">
        <f t="shared" si="233"/>
        <v>-50</v>
      </c>
      <c r="CG79" s="173">
        <f t="shared" si="234"/>
        <v>0.78741139943855087</v>
      </c>
      <c r="CI79" s="170">
        <v>74</v>
      </c>
      <c r="CJ79" s="217">
        <f t="shared" si="297"/>
        <v>7.4</v>
      </c>
      <c r="CK79" s="217"/>
      <c r="CL79" s="217">
        <f t="shared" si="235"/>
        <v>111</v>
      </c>
      <c r="CM79" s="541">
        <f t="shared" si="236"/>
        <v>58</v>
      </c>
      <c r="CN79" s="172">
        <f t="shared" si="237"/>
        <v>15.4</v>
      </c>
      <c r="CO79" s="443">
        <f t="shared" si="238"/>
        <v>73.400000000000006</v>
      </c>
      <c r="CP79" s="443"/>
      <c r="CQ79" s="217">
        <f t="shared" si="239"/>
        <v>0.2098092643051771</v>
      </c>
      <c r="CR79" s="172">
        <f t="shared" si="240"/>
        <v>305.10568119891008</v>
      </c>
      <c r="CS79" s="172">
        <f t="shared" si="298"/>
        <v>111</v>
      </c>
      <c r="CT79" s="217">
        <f t="shared" si="241"/>
        <v>20.340378746594006</v>
      </c>
      <c r="CU79" s="217">
        <f t="shared" si="242"/>
        <v>15</v>
      </c>
      <c r="CV79" s="217">
        <f t="shared" si="243"/>
        <v>20.281562216167121</v>
      </c>
      <c r="CW79" s="172">
        <f t="shared" si="244"/>
        <v>138.11343871931513</v>
      </c>
      <c r="CX79" s="172">
        <f t="shared" si="245"/>
        <v>15</v>
      </c>
      <c r="CY79" s="217">
        <f t="shared" si="246"/>
        <v>18.243170622480967</v>
      </c>
      <c r="CZ79" s="217">
        <f t="shared" si="247"/>
        <v>3.7744490943064073</v>
      </c>
      <c r="DA79" s="217">
        <f t="shared" si="248"/>
        <v>14.215457627907249</v>
      </c>
      <c r="DB79" s="197">
        <f t="shared" si="249"/>
        <v>101.4078110808356</v>
      </c>
      <c r="DC79" s="443">
        <f t="shared" si="299"/>
        <v>55.586725125440232</v>
      </c>
      <c r="DE79" s="217">
        <f t="shared" si="250"/>
        <v>10</v>
      </c>
      <c r="DF79" s="173">
        <f t="shared" si="251"/>
        <v>7.7922077922077913</v>
      </c>
      <c r="DG79" s="173">
        <f t="shared" si="252"/>
        <v>3.9509536784741139</v>
      </c>
      <c r="DH79" s="173"/>
      <c r="DI79" s="173">
        <f t="shared" si="253"/>
        <v>7.7922077922077913</v>
      </c>
      <c r="DJ79" s="545">
        <f t="shared" si="300"/>
        <v>189.93333333333334</v>
      </c>
      <c r="DK79" s="528">
        <f t="shared" si="254"/>
        <v>3.9509536784741139</v>
      </c>
      <c r="DM79" s="173">
        <f t="shared" si="255"/>
        <v>7.3665912514993437</v>
      </c>
      <c r="DN79" s="173">
        <f t="shared" si="256"/>
        <v>18.243170622480967</v>
      </c>
      <c r="DO79" s="173">
        <f t="shared" si="257"/>
        <v>7.3060523129488653</v>
      </c>
      <c r="DQ79" s="545">
        <f t="shared" si="258"/>
        <v>7400</v>
      </c>
      <c r="DR79" s="460">
        <f t="shared" si="259"/>
        <v>55.586725125440232</v>
      </c>
      <c r="DT79">
        <f t="shared" si="260"/>
        <v>7400</v>
      </c>
      <c r="DU79">
        <f t="shared" si="261"/>
        <v>55.586725125440232</v>
      </c>
      <c r="DW79" s="5">
        <f t="shared" si="301"/>
        <v>17.989906722213657</v>
      </c>
      <c r="DX79" s="5">
        <f t="shared" si="262"/>
        <v>3.7744490943064073</v>
      </c>
      <c r="DY79" s="5">
        <f t="shared" si="302"/>
        <v>14.21545762790725</v>
      </c>
      <c r="DZ79" s="5">
        <f t="shared" si="263"/>
        <v>14.215457627907249</v>
      </c>
      <c r="EA79" s="173">
        <f t="shared" si="303"/>
        <v>0.2098092643051771</v>
      </c>
      <c r="EB79" s="173">
        <f t="shared" si="264"/>
        <v>110.99999999999999</v>
      </c>
      <c r="EC79" s="173">
        <f t="shared" si="265"/>
        <v>7.2077922077922079</v>
      </c>
      <c r="ED79" s="173">
        <f t="shared" si="304"/>
        <v>15.399999999999999</v>
      </c>
      <c r="EE79" s="460">
        <f t="shared" si="266"/>
        <v>186.20615531911611</v>
      </c>
      <c r="EF79" s="5">
        <f t="shared" si="267"/>
        <v>9.3811878519483027</v>
      </c>
      <c r="EG79" s="5"/>
      <c r="EH79" s="173">
        <f t="shared" si="305"/>
        <v>4.824496804319546</v>
      </c>
      <c r="EI79" s="173">
        <f t="shared" si="268"/>
        <v>9.362798123714299</v>
      </c>
      <c r="EJ79" s="173"/>
      <c r="EK79" s="528">
        <f t="shared" si="269"/>
        <v>0.46551538829779021</v>
      </c>
      <c r="EL79" s="528">
        <f t="shared" si="270"/>
        <v>1.4886666666666666</v>
      </c>
      <c r="EM79" s="528">
        <f t="shared" si="271"/>
        <v>6.9483406406800289E-3</v>
      </c>
      <c r="EN79" s="528">
        <f t="shared" si="272"/>
        <v>2.9947681681681684E-2</v>
      </c>
      <c r="EO79">
        <f t="shared" si="273"/>
        <v>2.6099999999999998E-2</v>
      </c>
      <c r="EP79" s="460">
        <f t="shared" si="306"/>
        <v>33.048340640680024</v>
      </c>
      <c r="EQ79" s="528">
        <f t="shared" si="274"/>
        <v>2.4093577553027337</v>
      </c>
      <c r="ER79" s="460">
        <f t="shared" si="307"/>
        <v>2409.3577553027335</v>
      </c>
      <c r="ES79" s="528">
        <f t="shared" si="308"/>
        <v>4.5972499999999998</v>
      </c>
      <c r="ET79" s="528"/>
      <c r="EV79" s="460">
        <f t="shared" si="309"/>
        <v>4597.25</v>
      </c>
      <c r="EW79" s="528">
        <f t="shared" si="275"/>
        <v>0.69827308244668529</v>
      </c>
      <c r="EX79" s="528">
        <f t="shared" si="276"/>
        <v>2.6298596611628398</v>
      </c>
      <c r="EY79" s="528">
        <f t="shared" si="277"/>
        <v>1.6373763960187142</v>
      </c>
      <c r="EZ79" s="528">
        <f t="shared" si="278"/>
        <v>7.8558989638645977</v>
      </c>
      <c r="FA79" s="528">
        <f t="shared" si="279"/>
        <v>1.8499999999999999E-2</v>
      </c>
      <c r="FB79" s="460">
        <f t="shared" si="310"/>
        <v>7874.398963864598</v>
      </c>
      <c r="FC79" s="173">
        <f t="shared" si="311"/>
        <v>14.881006719167331</v>
      </c>
      <c r="FD79" s="5">
        <f t="shared" si="312"/>
        <v>111</v>
      </c>
      <c r="FE79" s="173">
        <f t="shared" si="313"/>
        <v>0.88178513099783251</v>
      </c>
      <c r="FF79" s="5">
        <f t="shared" si="314"/>
        <v>88.178513099783245</v>
      </c>
      <c r="FI79" s="562">
        <f t="shared" si="280"/>
        <v>-50</v>
      </c>
      <c r="FJ79">
        <f t="shared" si="281"/>
        <v>-50</v>
      </c>
      <c r="FL79">
        <f t="shared" si="282"/>
        <v>0.7901907356948229</v>
      </c>
    </row>
    <row r="80" spans="5:168">
      <c r="E80" s="170">
        <v>75</v>
      </c>
      <c r="F80" s="217">
        <f t="shared" si="283"/>
        <v>7.5</v>
      </c>
      <c r="G80" s="217"/>
      <c r="H80" s="217">
        <f t="shared" si="183"/>
        <v>112.5</v>
      </c>
      <c r="I80" s="541">
        <f t="shared" si="184"/>
        <v>57.523778354576905</v>
      </c>
      <c r="J80" s="172">
        <f t="shared" si="185"/>
        <v>15.685732987253859</v>
      </c>
      <c r="K80" s="172">
        <f t="shared" si="186"/>
        <v>73.685732987253857</v>
      </c>
      <c r="L80" s="443"/>
      <c r="M80" s="217">
        <f t="shared" si="187"/>
        <v>0.21424748699091767</v>
      </c>
      <c r="N80" s="172">
        <f t="shared" si="188"/>
        <v>309.0016374264813</v>
      </c>
      <c r="O80" s="172">
        <f t="shared" si="284"/>
        <v>112.5</v>
      </c>
      <c r="P80" s="217">
        <f t="shared" si="189"/>
        <v>20.60010916176542</v>
      </c>
      <c r="Q80" s="217">
        <f t="shared" si="190"/>
        <v>15</v>
      </c>
      <c r="R80" s="217">
        <f t="shared" si="191"/>
        <v>20.540541591151076</v>
      </c>
      <c r="S80" s="172">
        <f t="shared" si="192"/>
        <v>134.39285224981757</v>
      </c>
      <c r="T80" s="172">
        <f t="shared" si="193"/>
        <v>15</v>
      </c>
      <c r="U80" s="217">
        <f t="shared" si="194"/>
        <v>19.089980307611967</v>
      </c>
      <c r="V80" s="217">
        <f t="shared" si="195"/>
        <v>3.9823490431955739</v>
      </c>
      <c r="W80" s="217">
        <f t="shared" si="196"/>
        <v>14.604339107231556</v>
      </c>
      <c r="X80" s="197">
        <f t="shared" si="197"/>
        <v>102.70780976746127</v>
      </c>
      <c r="Y80" s="443">
        <f t="shared" si="198"/>
        <v>53.229179725180266</v>
      </c>
      <c r="AA80" s="217">
        <f t="shared" si="199"/>
        <v>10</v>
      </c>
      <c r="AB80" s="173">
        <f t="shared" si="200"/>
        <v>7.6502641028960108</v>
      </c>
      <c r="AC80" s="173">
        <f t="shared" si="201"/>
        <v>3.9287093507554065</v>
      </c>
      <c r="AD80" s="173"/>
      <c r="AE80" s="173">
        <f t="shared" si="202"/>
        <v>7.6502641028960108</v>
      </c>
      <c r="AF80" s="545">
        <f t="shared" si="203"/>
        <v>196.07166234067324</v>
      </c>
      <c r="AG80" s="528">
        <f t="shared" si="204"/>
        <v>3.9287093507554065</v>
      </c>
      <c r="AI80" s="173">
        <f t="shared" si="205"/>
        <v>7.4846826889640461</v>
      </c>
      <c r="AJ80" s="173">
        <f t="shared" si="206"/>
        <v>19.089980307611967</v>
      </c>
      <c r="AK80" s="173">
        <f t="shared" si="207"/>
        <v>7.9333187463792347</v>
      </c>
      <c r="AM80" s="545">
        <f t="shared" si="208"/>
        <v>7500</v>
      </c>
      <c r="AN80" s="460">
        <f t="shared" si="209"/>
        <v>53.229179725180266</v>
      </c>
      <c r="AP80">
        <f t="shared" si="210"/>
        <v>7500</v>
      </c>
      <c r="AQ80">
        <f t="shared" si="211"/>
        <v>53.229179725180266</v>
      </c>
      <c r="AS80" s="5">
        <f t="shared" si="285"/>
        <v>18.786688150427128</v>
      </c>
      <c r="AT80" s="5">
        <f t="shared" si="212"/>
        <v>3.9823490431955739</v>
      </c>
      <c r="AU80" s="5">
        <f t="shared" si="286"/>
        <v>14.804339107231554</v>
      </c>
      <c r="AV80" s="5">
        <f t="shared" si="213"/>
        <v>14.604339107231556</v>
      </c>
      <c r="AW80" s="173">
        <f t="shared" si="287"/>
        <v>0.21197717294865687</v>
      </c>
      <c r="AX80" s="173">
        <f t="shared" si="214"/>
        <v>116.38901286709032</v>
      </c>
      <c r="AY80" s="173">
        <f t="shared" si="215"/>
        <v>7.5216701251794262</v>
      </c>
      <c r="AZ80" s="173">
        <f t="shared" si="288"/>
        <v>15.473825750144009</v>
      </c>
      <c r="BA80" s="460">
        <f t="shared" si="216"/>
        <v>199.11745215977868</v>
      </c>
      <c r="BB80" s="5">
        <f t="shared" si="217"/>
        <v>9.9838062606069169</v>
      </c>
      <c r="BC80" s="5"/>
      <c r="BD80" s="173">
        <f t="shared" si="289"/>
        <v>5.0744549462628896</v>
      </c>
      <c r="BE80" s="173">
        <f t="shared" si="218"/>
        <v>9.7839506189142398</v>
      </c>
      <c r="BF80" s="173"/>
      <c r="BG80" s="528">
        <f t="shared" si="219"/>
        <v>0.51500186003303816</v>
      </c>
      <c r="BH80" s="528">
        <f t="shared" si="220"/>
        <v>1.4039121548613482</v>
      </c>
      <c r="BI80" s="528">
        <f t="shared" si="221"/>
        <v>7.654858841268021E-2</v>
      </c>
      <c r="BJ80" s="528">
        <f t="shared" si="222"/>
        <v>2.8901247534390065E-2</v>
      </c>
      <c r="BK80">
        <f t="shared" si="223"/>
        <v>2.5885700259559608E-2</v>
      </c>
      <c r="BL80" s="460">
        <f t="shared" si="290"/>
        <v>102.43428867223982</v>
      </c>
      <c r="BM80" s="528">
        <f t="shared" si="224"/>
        <v>2.3778272717890281</v>
      </c>
      <c r="BN80" s="460">
        <f t="shared" si="291"/>
        <v>2377.8272717890281</v>
      </c>
      <c r="BO80" s="528">
        <f t="shared" si="225"/>
        <v>4.6593749999999998</v>
      </c>
      <c r="BP80" s="528"/>
      <c r="BR80" s="460">
        <f t="shared" si="292"/>
        <v>4659.375</v>
      </c>
      <c r="BS80" s="528">
        <f t="shared" si="226"/>
        <v>0.77250279004955713</v>
      </c>
      <c r="BT80" s="528">
        <f t="shared" si="227"/>
        <v>2.8717706914005698</v>
      </c>
      <c r="BU80" s="528">
        <f t="shared" si="228"/>
        <v>1.6875</v>
      </c>
      <c r="BV80" s="528">
        <f t="shared" si="229"/>
        <v>8.7604318855118297</v>
      </c>
      <c r="BW80" s="528">
        <f t="shared" si="230"/>
        <v>1.9398168811181719E-2</v>
      </c>
      <c r="BX80" s="460">
        <f t="shared" si="293"/>
        <v>8779.8300543230107</v>
      </c>
      <c r="BY80" s="173">
        <f t="shared" si="231"/>
        <v>15.919466614784278</v>
      </c>
      <c r="BZ80" s="5">
        <f t="shared" si="294"/>
        <v>112.5</v>
      </c>
      <c r="CA80" s="173">
        <f t="shared" si="295"/>
        <v>0.8760354093158057</v>
      </c>
      <c r="CB80" s="5">
        <f t="shared" si="296"/>
        <v>87.603540931580568</v>
      </c>
      <c r="CE80" s="562">
        <f t="shared" si="232"/>
        <v>-50</v>
      </c>
      <c r="CF80">
        <f t="shared" si="233"/>
        <v>-50</v>
      </c>
      <c r="CG80" s="173">
        <f t="shared" si="234"/>
        <v>0.78744845725530122</v>
      </c>
      <c r="CI80" s="170">
        <v>75</v>
      </c>
      <c r="CJ80" s="217">
        <f t="shared" si="297"/>
        <v>7.5</v>
      </c>
      <c r="CK80" s="217"/>
      <c r="CL80" s="217">
        <f t="shared" si="235"/>
        <v>112.5</v>
      </c>
      <c r="CM80" s="541">
        <f t="shared" si="236"/>
        <v>58</v>
      </c>
      <c r="CN80" s="172">
        <f t="shared" si="237"/>
        <v>15.4</v>
      </c>
      <c r="CO80" s="443">
        <f t="shared" si="238"/>
        <v>73.400000000000006</v>
      </c>
      <c r="CP80" s="443"/>
      <c r="CQ80" s="217">
        <f t="shared" si="239"/>
        <v>0.2098092643051771</v>
      </c>
      <c r="CR80" s="172">
        <f t="shared" si="240"/>
        <v>305.10568119891008</v>
      </c>
      <c r="CS80" s="172">
        <f t="shared" si="298"/>
        <v>112.5</v>
      </c>
      <c r="CT80" s="217">
        <f t="shared" si="241"/>
        <v>20.340378746594006</v>
      </c>
      <c r="CU80" s="217">
        <f t="shared" si="242"/>
        <v>15</v>
      </c>
      <c r="CV80" s="217">
        <f t="shared" si="243"/>
        <v>20.281562216167121</v>
      </c>
      <c r="CW80" s="172">
        <f t="shared" si="244"/>
        <v>135.50404201613503</v>
      </c>
      <c r="CX80" s="172">
        <f t="shared" si="245"/>
        <v>15</v>
      </c>
      <c r="CY80" s="217">
        <f t="shared" si="246"/>
        <v>18.489699955217198</v>
      </c>
      <c r="CZ80" s="217">
        <f t="shared" si="247"/>
        <v>3.8254551631483857</v>
      </c>
      <c r="DA80" s="217">
        <f t="shared" si="248"/>
        <v>14.407558406662751</v>
      </c>
      <c r="DB80" s="197">
        <f t="shared" si="249"/>
        <v>101.4078110808356</v>
      </c>
      <c r="DC80" s="443">
        <f t="shared" si="299"/>
        <v>54.845568790434363</v>
      </c>
      <c r="DE80" s="217">
        <f t="shared" si="250"/>
        <v>10</v>
      </c>
      <c r="DF80" s="173">
        <f t="shared" si="251"/>
        <v>7.7922077922077913</v>
      </c>
      <c r="DG80" s="173">
        <f t="shared" si="252"/>
        <v>3.9509536784741139</v>
      </c>
      <c r="DH80" s="173"/>
      <c r="DI80" s="173">
        <f t="shared" si="253"/>
        <v>7.7922077922077913</v>
      </c>
      <c r="DJ80" s="545">
        <f t="shared" si="300"/>
        <v>192.5</v>
      </c>
      <c r="DK80" s="528">
        <f t="shared" si="254"/>
        <v>3.9509536784741139</v>
      </c>
      <c r="DM80" s="173">
        <f t="shared" si="255"/>
        <v>7.4161984870956639</v>
      </c>
      <c r="DN80" s="173">
        <f t="shared" si="256"/>
        <v>18.489699955217198</v>
      </c>
      <c r="DO80" s="173">
        <f t="shared" si="257"/>
        <v>7.48866663349422</v>
      </c>
      <c r="DQ80" s="545">
        <f t="shared" si="258"/>
        <v>7500</v>
      </c>
      <c r="DR80" s="460">
        <f t="shared" si="259"/>
        <v>54.845568790434363</v>
      </c>
      <c r="DT80">
        <f t="shared" si="260"/>
        <v>7500</v>
      </c>
      <c r="DU80">
        <f t="shared" si="261"/>
        <v>54.845568790434363</v>
      </c>
      <c r="DW80" s="5">
        <f t="shared" si="301"/>
        <v>18.233013569811138</v>
      </c>
      <c r="DX80" s="5">
        <f t="shared" si="262"/>
        <v>3.8254551631483857</v>
      </c>
      <c r="DY80" s="5">
        <f t="shared" si="302"/>
        <v>14.407558406662753</v>
      </c>
      <c r="DZ80" s="5">
        <f t="shared" si="263"/>
        <v>14.407558406662751</v>
      </c>
      <c r="EA80" s="173">
        <f t="shared" si="303"/>
        <v>0.2098092643051771</v>
      </c>
      <c r="EB80" s="173">
        <f t="shared" si="264"/>
        <v>112.5</v>
      </c>
      <c r="EC80" s="173">
        <f t="shared" si="265"/>
        <v>7.3051948051948061</v>
      </c>
      <c r="ED80" s="173">
        <f t="shared" si="304"/>
        <v>15.399999999999999</v>
      </c>
      <c r="EE80" s="460">
        <f t="shared" si="266"/>
        <v>191.27275815741928</v>
      </c>
      <c r="EF80" s="5">
        <f t="shared" si="267"/>
        <v>9.6364466156335293</v>
      </c>
      <c r="EG80" s="5"/>
      <c r="EH80" s="173">
        <f t="shared" si="305"/>
        <v>4.8896927070806209</v>
      </c>
      <c r="EI80" s="173">
        <f t="shared" si="268"/>
        <v>9.4893224226834114</v>
      </c>
      <c r="EJ80" s="173"/>
      <c r="EK80" s="528">
        <f t="shared" si="269"/>
        <v>0.47818189539354822</v>
      </c>
      <c r="EL80" s="528">
        <f t="shared" si="270"/>
        <v>1.4886666666666668</v>
      </c>
      <c r="EM80" s="528">
        <f t="shared" si="271"/>
        <v>6.8556960988042951E-3</v>
      </c>
      <c r="EN80" s="528">
        <f t="shared" si="272"/>
        <v>2.954837925925926E-2</v>
      </c>
      <c r="EO80">
        <f t="shared" si="273"/>
        <v>2.6099999999999998E-2</v>
      </c>
      <c r="EP80" s="460">
        <f t="shared" si="306"/>
        <v>32.955696098804289</v>
      </c>
      <c r="EQ80" s="528">
        <f t="shared" si="274"/>
        <v>2.4351317192641821</v>
      </c>
      <c r="ER80" s="460">
        <f t="shared" si="307"/>
        <v>2435.1317192641823</v>
      </c>
      <c r="ES80" s="528">
        <f t="shared" si="308"/>
        <v>4.6593749999999998</v>
      </c>
      <c r="ET80" s="528"/>
      <c r="EV80" s="460">
        <f t="shared" si="309"/>
        <v>4659.375</v>
      </c>
      <c r="EW80" s="528">
        <f t="shared" si="275"/>
        <v>0.71727284309032224</v>
      </c>
      <c r="EX80" s="528">
        <f t="shared" si="276"/>
        <v>2.701417201249265</v>
      </c>
      <c r="EY80" s="528">
        <f t="shared" si="277"/>
        <v>1.6373763960187124</v>
      </c>
      <c r="EZ80" s="528">
        <f t="shared" si="278"/>
        <v>8.0888000735743599</v>
      </c>
      <c r="FA80" s="528">
        <f t="shared" si="279"/>
        <v>1.8749999999999999E-2</v>
      </c>
      <c r="FB80" s="460">
        <f t="shared" si="310"/>
        <v>8107.5500735743608</v>
      </c>
      <c r="FC80" s="173">
        <f t="shared" si="311"/>
        <v>15.202056792838542</v>
      </c>
      <c r="FD80" s="5">
        <f t="shared" si="312"/>
        <v>112.5</v>
      </c>
      <c r="FE80" s="173">
        <f t="shared" si="313"/>
        <v>0.8809568367602747</v>
      </c>
      <c r="FF80" s="5">
        <f t="shared" si="314"/>
        <v>88.095683676027477</v>
      </c>
      <c r="FI80" s="562">
        <f t="shared" si="280"/>
        <v>-50</v>
      </c>
      <c r="FJ80">
        <f t="shared" si="281"/>
        <v>-50</v>
      </c>
      <c r="FL80">
        <f t="shared" si="282"/>
        <v>0.7901907356948229</v>
      </c>
    </row>
    <row r="81" spans="5:168">
      <c r="E81" s="170">
        <v>76</v>
      </c>
      <c r="F81" s="217">
        <f t="shared" si="283"/>
        <v>7.6</v>
      </c>
      <c r="G81" s="217"/>
      <c r="H81" s="217">
        <f t="shared" si="183"/>
        <v>114</v>
      </c>
      <c r="I81" s="541">
        <f t="shared" si="184"/>
        <v>57.517450844095947</v>
      </c>
      <c r="J81" s="172">
        <f t="shared" si="185"/>
        <v>15.689529493542434</v>
      </c>
      <c r="K81" s="172">
        <f t="shared" si="186"/>
        <v>73.689529493542437</v>
      </c>
      <c r="L81" s="443"/>
      <c r="M81" s="217">
        <f t="shared" si="187"/>
        <v>0.21430675541075678</v>
      </c>
      <c r="N81" s="172">
        <f t="shared" si="188"/>
        <v>309.05311917196485</v>
      </c>
      <c r="O81" s="172">
        <f t="shared" si="284"/>
        <v>114</v>
      </c>
      <c r="P81" s="217">
        <f t="shared" si="189"/>
        <v>20.60354127813099</v>
      </c>
      <c r="Q81" s="217">
        <f t="shared" si="190"/>
        <v>15</v>
      </c>
      <c r="R81" s="217">
        <f t="shared" si="191"/>
        <v>20.543963783159825</v>
      </c>
      <c r="S81" s="172">
        <f t="shared" si="192"/>
        <v>131.85864454472571</v>
      </c>
      <c r="T81" s="172">
        <f t="shared" si="193"/>
        <v>15</v>
      </c>
      <c r="U81" s="217">
        <f t="shared" si="194"/>
        <v>19.345972623127857</v>
      </c>
      <c r="V81" s="217">
        <f t="shared" si="195"/>
        <v>4.0361954167056799</v>
      </c>
      <c r="W81" s="217">
        <f t="shared" si="196"/>
        <v>14.796598685326053</v>
      </c>
      <c r="X81" s="197">
        <f t="shared" si="197"/>
        <v>102.72491972415693</v>
      </c>
      <c r="Y81" s="443">
        <f t="shared" si="198"/>
        <v>52.540893083756465</v>
      </c>
      <c r="AA81" s="217">
        <f t="shared" si="199"/>
        <v>10</v>
      </c>
      <c r="AB81" s="173">
        <f t="shared" si="200"/>
        <v>7.64841291444655</v>
      </c>
      <c r="AC81" s="173">
        <f t="shared" si="201"/>
        <v>3.928413013268635</v>
      </c>
      <c r="AD81" s="173"/>
      <c r="AE81" s="173">
        <f t="shared" si="202"/>
        <v>7.64841291444655</v>
      </c>
      <c r="AF81" s="545">
        <f t="shared" si="203"/>
        <v>198.73404025153749</v>
      </c>
      <c r="AG81" s="528">
        <f t="shared" si="204"/>
        <v>3.928413013268635</v>
      </c>
      <c r="AI81" s="173">
        <f t="shared" si="205"/>
        <v>7.5353270902849427</v>
      </c>
      <c r="AJ81" s="173">
        <f t="shared" si="206"/>
        <v>19.345972623127857</v>
      </c>
      <c r="AK81" s="173">
        <f t="shared" si="207"/>
        <v>8.1229426837984118</v>
      </c>
      <c r="AM81" s="545">
        <f t="shared" si="208"/>
        <v>7600</v>
      </c>
      <c r="AN81" s="460">
        <f t="shared" si="209"/>
        <v>52.540893083756465</v>
      </c>
      <c r="AP81">
        <f t="shared" si="210"/>
        <v>7600</v>
      </c>
      <c r="AQ81">
        <f t="shared" si="211"/>
        <v>52.540893083756465</v>
      </c>
      <c r="AS81" s="5">
        <f t="shared" si="285"/>
        <v>19.032794102031737</v>
      </c>
      <c r="AT81" s="5">
        <f t="shared" si="212"/>
        <v>4.0361954167056799</v>
      </c>
      <c r="AU81" s="5">
        <f t="shared" si="286"/>
        <v>14.996598685326056</v>
      </c>
      <c r="AV81" s="5">
        <f t="shared" si="213"/>
        <v>14.796598685326053</v>
      </c>
      <c r="AW81" s="173">
        <f t="shared" si="287"/>
        <v>0.21206531185428099</v>
      </c>
      <c r="AX81" s="173">
        <f t="shared" si="214"/>
        <v>117.98582637791259</v>
      </c>
      <c r="AY81" s="173">
        <f t="shared" si="215"/>
        <v>7.6216814528399324</v>
      </c>
      <c r="AZ81" s="173">
        <f t="shared" si="288"/>
        <v>15.480288320623741</v>
      </c>
      <c r="BA81" s="460">
        <f t="shared" si="216"/>
        <v>204.50056777975442</v>
      </c>
      <c r="BB81" s="5">
        <f t="shared" si="217"/>
        <v>10.249436595495546</v>
      </c>
      <c r="BC81" s="5"/>
      <c r="BD81" s="173">
        <f t="shared" si="289"/>
        <v>5.1435712391660049</v>
      </c>
      <c r="BE81" s="173">
        <f t="shared" si="218"/>
        <v>9.9145966711995808</v>
      </c>
      <c r="BF81" s="173"/>
      <c r="BG81" s="528">
        <f t="shared" si="219"/>
        <v>0.5291265018475142</v>
      </c>
      <c r="BH81" s="528">
        <f t="shared" si="220"/>
        <v>1.4044137573983391</v>
      </c>
      <c r="BI81" s="528">
        <f t="shared" si="221"/>
        <v>7.5550455881246578E-2</v>
      </c>
      <c r="BJ81" s="528">
        <f t="shared" si="222"/>
        <v>2.8530476018757526E-2</v>
      </c>
      <c r="BK81">
        <f t="shared" si="223"/>
        <v>2.5882852879843175E-2</v>
      </c>
      <c r="BL81" s="460">
        <f t="shared" si="290"/>
        <v>101.43330876108975</v>
      </c>
      <c r="BM81" s="528">
        <f t="shared" si="224"/>
        <v>2.4076222613569018</v>
      </c>
      <c r="BN81" s="460">
        <f t="shared" si="291"/>
        <v>2407.6222613569016</v>
      </c>
      <c r="BO81" s="528">
        <f t="shared" si="225"/>
        <v>4.7214999999999989</v>
      </c>
      <c r="BP81" s="528"/>
      <c r="BR81" s="460">
        <f t="shared" si="292"/>
        <v>4721.4999999999991</v>
      </c>
      <c r="BS81" s="528">
        <f t="shared" si="226"/>
        <v>0.7936897527712713</v>
      </c>
      <c r="BT81" s="528">
        <f t="shared" si="227"/>
        <v>2.9489768145768545</v>
      </c>
      <c r="BU81" s="528">
        <f t="shared" si="228"/>
        <v>1.71</v>
      </c>
      <c r="BV81" s="528">
        <f t="shared" si="229"/>
        <v>9.0651260916824974</v>
      </c>
      <c r="BW81" s="528">
        <f t="shared" si="230"/>
        <v>1.9664304396318767E-2</v>
      </c>
      <c r="BX81" s="460">
        <f t="shared" si="293"/>
        <v>9084.7903960788153</v>
      </c>
      <c r="BY81" s="173">
        <f t="shared" si="231"/>
        <v>16.315345966196805</v>
      </c>
      <c r="BZ81" s="5">
        <f t="shared" si="294"/>
        <v>114</v>
      </c>
      <c r="CA81" s="173">
        <f t="shared" si="295"/>
        <v>0.87480103862496028</v>
      </c>
      <c r="CB81" s="5">
        <f t="shared" si="296"/>
        <v>87.480103862496023</v>
      </c>
      <c r="CE81" s="562">
        <f t="shared" si="232"/>
        <v>-50</v>
      </c>
      <c r="CF81">
        <f t="shared" si="233"/>
        <v>-50</v>
      </c>
      <c r="CG81" s="173">
        <f t="shared" si="234"/>
        <v>0.78748453986634737</v>
      </c>
      <c r="CI81" s="170">
        <v>76</v>
      </c>
      <c r="CJ81" s="217">
        <f t="shared" si="297"/>
        <v>7.6</v>
      </c>
      <c r="CK81" s="217"/>
      <c r="CL81" s="217">
        <f t="shared" si="235"/>
        <v>114</v>
      </c>
      <c r="CM81" s="541">
        <f t="shared" si="236"/>
        <v>58</v>
      </c>
      <c r="CN81" s="172">
        <f t="shared" si="237"/>
        <v>15.4</v>
      </c>
      <c r="CO81" s="443">
        <f t="shared" si="238"/>
        <v>73.400000000000006</v>
      </c>
      <c r="CP81" s="443"/>
      <c r="CQ81" s="217">
        <f t="shared" si="239"/>
        <v>0.2098092643051771</v>
      </c>
      <c r="CR81" s="172">
        <f t="shared" si="240"/>
        <v>305.10568119891008</v>
      </c>
      <c r="CS81" s="172">
        <f t="shared" si="298"/>
        <v>114</v>
      </c>
      <c r="CT81" s="217">
        <f t="shared" si="241"/>
        <v>20.340378746594006</v>
      </c>
      <c r="CU81" s="217">
        <f t="shared" si="242"/>
        <v>15</v>
      </c>
      <c r="CV81" s="217">
        <f t="shared" si="243"/>
        <v>20.281562216167121</v>
      </c>
      <c r="CW81" s="172">
        <f t="shared" si="244"/>
        <v>132.96343441117017</v>
      </c>
      <c r="CX81" s="172">
        <f t="shared" si="245"/>
        <v>15</v>
      </c>
      <c r="CY81" s="217">
        <f t="shared" si="246"/>
        <v>18.736229287953428</v>
      </c>
      <c r="CZ81" s="217">
        <f t="shared" si="247"/>
        <v>3.8764612319903651</v>
      </c>
      <c r="DA81" s="217">
        <f t="shared" si="248"/>
        <v>14.599659185418256</v>
      </c>
      <c r="DB81" s="197">
        <f t="shared" si="249"/>
        <v>101.4078110808356</v>
      </c>
      <c r="DC81" s="443">
        <f t="shared" si="299"/>
        <v>54.123916569507593</v>
      </c>
      <c r="DE81" s="217">
        <f t="shared" si="250"/>
        <v>10</v>
      </c>
      <c r="DF81" s="173">
        <f t="shared" si="251"/>
        <v>7.7922077922077913</v>
      </c>
      <c r="DG81" s="173">
        <f t="shared" si="252"/>
        <v>3.9509536784741139</v>
      </c>
      <c r="DH81" s="173"/>
      <c r="DI81" s="173">
        <f t="shared" si="253"/>
        <v>7.7922077922077913</v>
      </c>
      <c r="DJ81" s="545">
        <f t="shared" si="300"/>
        <v>195.06666666666666</v>
      </c>
      <c r="DK81" s="528">
        <f t="shared" si="254"/>
        <v>3.9509536784741139</v>
      </c>
      <c r="DM81" s="173">
        <f t="shared" si="255"/>
        <v>7.4654760955570234</v>
      </c>
      <c r="DN81" s="173">
        <f t="shared" si="256"/>
        <v>18.736229287953428</v>
      </c>
      <c r="DO81" s="173">
        <f t="shared" si="257"/>
        <v>7.6712809540395757</v>
      </c>
      <c r="DQ81" s="545">
        <f t="shared" si="258"/>
        <v>7600</v>
      </c>
      <c r="DR81" s="460">
        <f t="shared" si="259"/>
        <v>54.123916569507593</v>
      </c>
      <c r="DT81">
        <f t="shared" si="260"/>
        <v>7600</v>
      </c>
      <c r="DU81">
        <f t="shared" si="261"/>
        <v>54.123916569507593</v>
      </c>
      <c r="DW81" s="5">
        <f t="shared" si="301"/>
        <v>18.47612041740862</v>
      </c>
      <c r="DX81" s="5">
        <f t="shared" si="262"/>
        <v>3.8764612319903651</v>
      </c>
      <c r="DY81" s="5">
        <f t="shared" si="302"/>
        <v>14.599659185418254</v>
      </c>
      <c r="DZ81" s="5">
        <f t="shared" si="263"/>
        <v>14.599659185418256</v>
      </c>
      <c r="EA81" s="173">
        <f t="shared" si="303"/>
        <v>0.20980926430517716</v>
      </c>
      <c r="EB81" s="173">
        <f t="shared" si="264"/>
        <v>114.00000000000001</v>
      </c>
      <c r="EC81" s="173">
        <f t="shared" si="265"/>
        <v>7.4025974025974026</v>
      </c>
      <c r="ED81" s="173">
        <f t="shared" si="304"/>
        <v>15.400000000000002</v>
      </c>
      <c r="EE81" s="460">
        <f t="shared" si="266"/>
        <v>196.40736908751182</v>
      </c>
      <c r="EF81" s="5">
        <f t="shared" si="267"/>
        <v>9.8951316714487554</v>
      </c>
      <c r="EG81" s="5"/>
      <c r="EH81" s="173">
        <f t="shared" si="305"/>
        <v>4.9548886098416975</v>
      </c>
      <c r="EI81" s="173">
        <f t="shared" si="268"/>
        <v>9.6158467216525256</v>
      </c>
      <c r="EJ81" s="173"/>
      <c r="EK81" s="528">
        <f t="shared" si="269"/>
        <v>0.49101842271877977</v>
      </c>
      <c r="EL81" s="528">
        <f t="shared" si="270"/>
        <v>1.4886666666666666</v>
      </c>
      <c r="EM81" s="528">
        <f t="shared" si="271"/>
        <v>6.7654895711884494E-3</v>
      </c>
      <c r="EN81" s="528">
        <f t="shared" si="272"/>
        <v>2.9159584795321637E-2</v>
      </c>
      <c r="EO81">
        <f t="shared" si="273"/>
        <v>2.6099999999999998E-2</v>
      </c>
      <c r="EP81" s="460">
        <f t="shared" si="306"/>
        <v>32.865489571188448</v>
      </c>
      <c r="EQ81" s="528">
        <f t="shared" si="274"/>
        <v>2.4614529519506672</v>
      </c>
      <c r="ER81" s="460">
        <f t="shared" si="307"/>
        <v>2461.4529519506673</v>
      </c>
      <c r="ES81" s="528">
        <f t="shared" si="308"/>
        <v>4.7214999999999989</v>
      </c>
      <c r="ET81" s="528"/>
      <c r="EV81" s="460">
        <f t="shared" si="309"/>
        <v>4721.4999999999991</v>
      </c>
      <c r="EW81" s="528">
        <f t="shared" si="275"/>
        <v>0.73652763407816968</v>
      </c>
      <c r="EX81" s="528">
        <f t="shared" si="276"/>
        <v>2.7739352452294685</v>
      </c>
      <c r="EY81" s="528">
        <f t="shared" si="277"/>
        <v>1.637376396018714</v>
      </c>
      <c r="EZ81" s="528">
        <f t="shared" si="278"/>
        <v>8.3296145924068696</v>
      </c>
      <c r="FA81" s="528">
        <f t="shared" si="279"/>
        <v>1.9E-2</v>
      </c>
      <c r="FB81" s="460">
        <f t="shared" si="310"/>
        <v>8348.6145924068696</v>
      </c>
      <c r="FC81" s="173">
        <f t="shared" si="311"/>
        <v>15.531567544357536</v>
      </c>
      <c r="FD81" s="5">
        <f t="shared" si="312"/>
        <v>114</v>
      </c>
      <c r="FE81" s="173">
        <f t="shared" si="313"/>
        <v>0.88009434426832822</v>
      </c>
      <c r="FF81" s="5">
        <f t="shared" si="314"/>
        <v>88.009434426832826</v>
      </c>
      <c r="FI81" s="562">
        <f t="shared" si="280"/>
        <v>-50</v>
      </c>
      <c r="FJ81">
        <f t="shared" si="281"/>
        <v>-50</v>
      </c>
      <c r="FL81">
        <f t="shared" si="282"/>
        <v>0.79019073569482279</v>
      </c>
    </row>
    <row r="82" spans="5:168">
      <c r="E82" s="170">
        <v>77</v>
      </c>
      <c r="F82" s="217">
        <f t="shared" si="283"/>
        <v>7.7</v>
      </c>
      <c r="G82" s="217"/>
      <c r="H82" s="217">
        <f t="shared" si="183"/>
        <v>115.5</v>
      </c>
      <c r="I82" s="541">
        <f t="shared" si="184"/>
        <v>57.511123331641407</v>
      </c>
      <c r="J82" s="172">
        <f t="shared" si="185"/>
        <v>15.693326001015155</v>
      </c>
      <c r="K82" s="172">
        <f t="shared" si="186"/>
        <v>73.693326001015151</v>
      </c>
      <c r="L82" s="443"/>
      <c r="M82" s="217">
        <f t="shared" si="187"/>
        <v>0.21436602793470427</v>
      </c>
      <c r="N82" s="172">
        <f t="shared" si="188"/>
        <v>309.10458801929497</v>
      </c>
      <c r="O82" s="172">
        <f t="shared" si="284"/>
        <v>115.5</v>
      </c>
      <c r="P82" s="217">
        <f t="shared" si="189"/>
        <v>20.606972534619665</v>
      </c>
      <c r="Q82" s="217">
        <f t="shared" si="190"/>
        <v>15</v>
      </c>
      <c r="R82" s="217">
        <f t="shared" si="191"/>
        <v>20.547385117778109</v>
      </c>
      <c r="S82" s="172">
        <f t="shared" si="192"/>
        <v>129.39054594341897</v>
      </c>
      <c r="T82" s="172">
        <f t="shared" si="193"/>
        <v>15</v>
      </c>
      <c r="U82" s="217">
        <f t="shared" si="194"/>
        <v>19.602003665289658</v>
      </c>
      <c r="V82" s="217">
        <f t="shared" si="195"/>
        <v>4.0900617194875863</v>
      </c>
      <c r="W82" s="217">
        <f t="shared" si="196"/>
        <v>14.988794852554516</v>
      </c>
      <c r="X82" s="197">
        <f t="shared" si="197"/>
        <v>102.74202540006598</v>
      </c>
      <c r="Y82" s="443">
        <f t="shared" si="198"/>
        <v>51.870296159067045</v>
      </c>
      <c r="AA82" s="217">
        <f t="shared" si="199"/>
        <v>10</v>
      </c>
      <c r="AB82" s="173">
        <f t="shared" si="200"/>
        <v>7.6465626210936781</v>
      </c>
      <c r="AC82" s="173">
        <f t="shared" si="201"/>
        <v>3.9281166551980085</v>
      </c>
      <c r="AD82" s="173"/>
      <c r="AE82" s="173">
        <f t="shared" si="202"/>
        <v>7.6465626210936781</v>
      </c>
      <c r="AF82" s="545">
        <f t="shared" si="203"/>
        <v>201.3976836796945</v>
      </c>
      <c r="AG82" s="528">
        <f t="shared" si="204"/>
        <v>3.9281166551980085</v>
      </c>
      <c r="AI82" s="173">
        <f t="shared" si="205"/>
        <v>7.5856572119398837</v>
      </c>
      <c r="AJ82" s="173">
        <f t="shared" si="206"/>
        <v>19.602003665289658</v>
      </c>
      <c r="AK82" s="173">
        <f t="shared" si="207"/>
        <v>8.3125953076219687</v>
      </c>
      <c r="AM82" s="545">
        <f t="shared" si="208"/>
        <v>7700</v>
      </c>
      <c r="AN82" s="460">
        <f t="shared" si="209"/>
        <v>51.870296159067045</v>
      </c>
      <c r="AP82">
        <f t="shared" si="210"/>
        <v>7700</v>
      </c>
      <c r="AQ82">
        <f t="shared" si="211"/>
        <v>51.870296159067045</v>
      </c>
      <c r="AS82" s="5">
        <f t="shared" si="285"/>
        <v>19.278856572042105</v>
      </c>
      <c r="AT82" s="5">
        <f t="shared" si="212"/>
        <v>4.0900617194875863</v>
      </c>
      <c r="AU82" s="5">
        <f t="shared" si="286"/>
        <v>15.188794852554519</v>
      </c>
      <c r="AV82" s="5">
        <f t="shared" si="213"/>
        <v>14.988794852554516</v>
      </c>
      <c r="AW82" s="173">
        <f t="shared" si="287"/>
        <v>0.21215271269868408</v>
      </c>
      <c r="AX82" s="173">
        <f t="shared" si="214"/>
        <v>119.58340358771463</v>
      </c>
      <c r="AY82" s="173">
        <f t="shared" si="215"/>
        <v>7.7216927066844541</v>
      </c>
      <c r="AZ82" s="173">
        <f t="shared" si="288"/>
        <v>15.486682535837589</v>
      </c>
      <c r="BA82" s="460">
        <f t="shared" si="216"/>
        <v>209.95650160036277</v>
      </c>
      <c r="BB82" s="5">
        <f t="shared" si="217"/>
        <v>10.518539741966059</v>
      </c>
      <c r="BC82" s="5"/>
      <c r="BD82" s="173">
        <f t="shared" si="289"/>
        <v>5.2127168289575252</v>
      </c>
      <c r="BE82" s="173">
        <f t="shared" si="218"/>
        <v>10.045252568209159</v>
      </c>
      <c r="BF82" s="173"/>
      <c r="BG82" s="528">
        <f t="shared" si="219"/>
        <v>0.54344833477793997</v>
      </c>
      <c r="BH82" s="528">
        <f t="shared" si="220"/>
        <v>1.4049103881445917</v>
      </c>
      <c r="BI82" s="528">
        <f t="shared" si="221"/>
        <v>7.4577974991321752E-2</v>
      </c>
      <c r="BJ82" s="528">
        <f t="shared" si="222"/>
        <v>2.8169234398306698E-2</v>
      </c>
      <c r="BK82">
        <f t="shared" si="223"/>
        <v>2.5880005499238634E-2</v>
      </c>
      <c r="BL82" s="460">
        <f t="shared" si="290"/>
        <v>100.45798049056039</v>
      </c>
      <c r="BM82" s="528">
        <f t="shared" si="224"/>
        <v>2.4380708165247982</v>
      </c>
      <c r="BN82" s="460">
        <f t="shared" si="291"/>
        <v>2438.0708165247984</v>
      </c>
      <c r="BO82" s="528">
        <f t="shared" si="225"/>
        <v>4.7836249999999998</v>
      </c>
      <c r="BP82" s="528"/>
      <c r="BR82" s="460">
        <f t="shared" si="292"/>
        <v>4783.625</v>
      </c>
      <c r="BS82" s="528">
        <f t="shared" si="226"/>
        <v>0.81517250216690984</v>
      </c>
      <c r="BT82" s="528">
        <f t="shared" si="227"/>
        <v>3.0272129747733816</v>
      </c>
      <c r="BU82" s="528">
        <f t="shared" si="228"/>
        <v>1.7324999999999999</v>
      </c>
      <c r="BV82" s="528">
        <f t="shared" si="229"/>
        <v>9.3805545021970733</v>
      </c>
      <c r="BW82" s="528">
        <f t="shared" si="230"/>
        <v>1.9930567264619104E-2</v>
      </c>
      <c r="BX82" s="460">
        <f t="shared" si="293"/>
        <v>9400.4850694616925</v>
      </c>
      <c r="BY82" s="173">
        <f t="shared" si="231"/>
        <v>16.722638866477052</v>
      </c>
      <c r="BZ82" s="5">
        <f t="shared" si="294"/>
        <v>115.5</v>
      </c>
      <c r="CA82" s="173">
        <f t="shared" si="295"/>
        <v>0.87352665920270933</v>
      </c>
      <c r="CB82" s="5">
        <f t="shared" si="296"/>
        <v>87.352665920270937</v>
      </c>
      <c r="CE82" s="562">
        <f t="shared" si="232"/>
        <v>-50</v>
      </c>
      <c r="CF82">
        <f t="shared" si="233"/>
        <v>-50</v>
      </c>
      <c r="CG82" s="173">
        <f t="shared" si="234"/>
        <v>0.78751968526671734</v>
      </c>
      <c r="CI82" s="170">
        <v>77</v>
      </c>
      <c r="CJ82" s="217">
        <f t="shared" si="297"/>
        <v>7.7</v>
      </c>
      <c r="CK82" s="217"/>
      <c r="CL82" s="217">
        <f t="shared" si="235"/>
        <v>115.5</v>
      </c>
      <c r="CM82" s="541">
        <f t="shared" si="236"/>
        <v>58</v>
      </c>
      <c r="CN82" s="172">
        <f t="shared" si="237"/>
        <v>15.4</v>
      </c>
      <c r="CO82" s="443">
        <f t="shared" si="238"/>
        <v>73.400000000000006</v>
      </c>
      <c r="CP82" s="443"/>
      <c r="CQ82" s="217">
        <f t="shared" si="239"/>
        <v>0.2098092643051771</v>
      </c>
      <c r="CR82" s="172">
        <f t="shared" si="240"/>
        <v>305.10568119891008</v>
      </c>
      <c r="CS82" s="172">
        <f t="shared" si="298"/>
        <v>115.5</v>
      </c>
      <c r="CT82" s="217">
        <f t="shared" si="241"/>
        <v>20.340378746594006</v>
      </c>
      <c r="CU82" s="217">
        <f t="shared" si="242"/>
        <v>15</v>
      </c>
      <c r="CV82" s="217">
        <f t="shared" si="243"/>
        <v>20.281562216167121</v>
      </c>
      <c r="CW82" s="172">
        <f t="shared" si="244"/>
        <v>130.48893782097633</v>
      </c>
      <c r="CX82" s="172">
        <f t="shared" si="245"/>
        <v>15</v>
      </c>
      <c r="CY82" s="217">
        <f t="shared" si="246"/>
        <v>18.982758620689655</v>
      </c>
      <c r="CZ82" s="217">
        <f t="shared" si="247"/>
        <v>3.9274673008323426</v>
      </c>
      <c r="DA82" s="217">
        <f t="shared" si="248"/>
        <v>14.791759964173757</v>
      </c>
      <c r="DB82" s="197">
        <f t="shared" si="249"/>
        <v>101.4078110808356</v>
      </c>
      <c r="DC82" s="443">
        <f t="shared" si="299"/>
        <v>53.421008562111396</v>
      </c>
      <c r="DE82" s="217">
        <f t="shared" si="250"/>
        <v>10</v>
      </c>
      <c r="DF82" s="173">
        <f t="shared" si="251"/>
        <v>7.7922077922077913</v>
      </c>
      <c r="DG82" s="173">
        <f t="shared" si="252"/>
        <v>3.9509536784741139</v>
      </c>
      <c r="DH82" s="173"/>
      <c r="DI82" s="173">
        <f t="shared" si="253"/>
        <v>7.7922077922077913</v>
      </c>
      <c r="DJ82" s="545">
        <f t="shared" si="300"/>
        <v>197.63333333333335</v>
      </c>
      <c r="DK82" s="528">
        <f t="shared" si="254"/>
        <v>3.9509536784741139</v>
      </c>
      <c r="DM82" s="173">
        <f t="shared" si="255"/>
        <v>7.5144305617037057</v>
      </c>
      <c r="DN82" s="173">
        <f t="shared" si="256"/>
        <v>18.982758620689655</v>
      </c>
      <c r="DO82" s="173">
        <f t="shared" si="257"/>
        <v>7.8538952745849295</v>
      </c>
      <c r="DQ82" s="545">
        <f t="shared" si="258"/>
        <v>7700</v>
      </c>
      <c r="DR82" s="460">
        <f t="shared" si="259"/>
        <v>53.421008562111396</v>
      </c>
      <c r="DT82">
        <f t="shared" si="260"/>
        <v>7700</v>
      </c>
      <c r="DU82">
        <f t="shared" si="261"/>
        <v>53.421008562111396</v>
      </c>
      <c r="DW82" s="5">
        <f t="shared" si="301"/>
        <v>18.719227265006101</v>
      </c>
      <c r="DX82" s="5">
        <f t="shared" si="262"/>
        <v>3.9274673008323426</v>
      </c>
      <c r="DY82" s="5">
        <f t="shared" si="302"/>
        <v>14.791759964173758</v>
      </c>
      <c r="DZ82" s="5">
        <f t="shared" si="263"/>
        <v>14.791759964173757</v>
      </c>
      <c r="EA82" s="173">
        <f t="shared" si="303"/>
        <v>0.2098092643051771</v>
      </c>
      <c r="EB82" s="173">
        <f t="shared" si="264"/>
        <v>115.49999999999999</v>
      </c>
      <c r="EC82" s="173">
        <f t="shared" si="265"/>
        <v>7.5</v>
      </c>
      <c r="ED82" s="173">
        <f t="shared" si="304"/>
        <v>15.399999999999999</v>
      </c>
      <c r="EE82" s="460">
        <f t="shared" si="266"/>
        <v>201.60998810939358</v>
      </c>
      <c r="EF82" s="5">
        <f t="shared" si="267"/>
        <v>10.157243019393988</v>
      </c>
      <c r="EG82" s="5"/>
      <c r="EH82" s="173">
        <f t="shared" si="305"/>
        <v>5.0200845126027707</v>
      </c>
      <c r="EI82" s="173">
        <f t="shared" si="268"/>
        <v>9.7423710206216363</v>
      </c>
      <c r="EJ82" s="173"/>
      <c r="EK82" s="528">
        <f t="shared" si="269"/>
        <v>0.50402497027348392</v>
      </c>
      <c r="EL82" s="528">
        <f t="shared" si="270"/>
        <v>1.4886666666666668</v>
      </c>
      <c r="EM82" s="528">
        <f t="shared" si="271"/>
        <v>6.6776260702639248E-3</v>
      </c>
      <c r="EN82" s="528">
        <f t="shared" si="272"/>
        <v>2.8780888888888891E-2</v>
      </c>
      <c r="EO82">
        <f t="shared" si="273"/>
        <v>2.6099999999999998E-2</v>
      </c>
      <c r="EP82" s="460">
        <f t="shared" si="306"/>
        <v>32.777626070263921</v>
      </c>
      <c r="EQ82" s="528">
        <f t="shared" si="274"/>
        <v>2.4883301929127417</v>
      </c>
      <c r="ER82" s="460">
        <f t="shared" si="307"/>
        <v>2488.3301929127415</v>
      </c>
      <c r="ES82" s="528">
        <f t="shared" si="308"/>
        <v>4.7836249999999998</v>
      </c>
      <c r="ET82" s="528"/>
      <c r="EV82" s="460">
        <f t="shared" si="309"/>
        <v>4783.625</v>
      </c>
      <c r="EW82" s="528">
        <f t="shared" si="275"/>
        <v>0.75603745541022593</v>
      </c>
      <c r="EX82" s="528">
        <f t="shared" si="276"/>
        <v>2.8474137931034478</v>
      </c>
      <c r="EY82" s="528">
        <f t="shared" si="277"/>
        <v>1.637376396018714</v>
      </c>
      <c r="EZ82" s="528">
        <f t="shared" si="278"/>
        <v>8.5786861213394854</v>
      </c>
      <c r="FA82" s="528">
        <f t="shared" si="279"/>
        <v>1.925E-2</v>
      </c>
      <c r="FB82" s="460">
        <f t="shared" si="310"/>
        <v>8597.9361213394841</v>
      </c>
      <c r="FC82" s="173">
        <f t="shared" si="311"/>
        <v>15.869891314252227</v>
      </c>
      <c r="FD82" s="5">
        <f t="shared" si="312"/>
        <v>115.5</v>
      </c>
      <c r="FE82" s="173">
        <f t="shared" si="313"/>
        <v>0.87919689088963637</v>
      </c>
      <c r="FF82" s="5">
        <f t="shared" si="314"/>
        <v>87.919689088963636</v>
      </c>
      <c r="FI82" s="562">
        <f t="shared" si="280"/>
        <v>-50</v>
      </c>
      <c r="FJ82">
        <f t="shared" si="281"/>
        <v>-50</v>
      </c>
      <c r="FL82">
        <f t="shared" si="282"/>
        <v>0.7901907356948229</v>
      </c>
    </row>
    <row r="83" spans="5:168">
      <c r="E83" s="170">
        <v>78</v>
      </c>
      <c r="F83" s="217">
        <f t="shared" si="283"/>
        <v>7.8000000000000007</v>
      </c>
      <c r="G83" s="217"/>
      <c r="H83" s="217">
        <f t="shared" si="183"/>
        <v>117.00000000000001</v>
      </c>
      <c r="I83" s="541">
        <f t="shared" si="184"/>
        <v>57.504795817289455</v>
      </c>
      <c r="J83" s="172">
        <f t="shared" si="185"/>
        <v>15.697122509626329</v>
      </c>
      <c r="K83" s="172">
        <f t="shared" si="186"/>
        <v>73.697122509626325</v>
      </c>
      <c r="L83" s="443"/>
      <c r="M83" s="217">
        <f t="shared" si="187"/>
        <v>0.21442530456296746</v>
      </c>
      <c r="N83" s="172">
        <f t="shared" si="188"/>
        <v>309.15604396721784</v>
      </c>
      <c r="O83" s="172">
        <f t="shared" si="284"/>
        <v>117.00000000000001</v>
      </c>
      <c r="P83" s="217">
        <f t="shared" si="189"/>
        <v>20.610402931147856</v>
      </c>
      <c r="Q83" s="217">
        <f t="shared" si="190"/>
        <v>15</v>
      </c>
      <c r="R83" s="217">
        <f t="shared" si="191"/>
        <v>20.550805594922583</v>
      </c>
      <c r="S83" s="172">
        <f t="shared" si="192"/>
        <v>126.98601581660597</v>
      </c>
      <c r="T83" s="172">
        <f t="shared" si="193"/>
        <v>15</v>
      </c>
      <c r="U83" s="217">
        <f t="shared" si="194"/>
        <v>19.858073446881303</v>
      </c>
      <c r="V83" s="217">
        <f t="shared" si="195"/>
        <v>4.1439479607878038</v>
      </c>
      <c r="W83" s="217">
        <f t="shared" si="196"/>
        <v>15.180927664700269</v>
      </c>
      <c r="X83" s="197">
        <f t="shared" si="197"/>
        <v>102.75912679453411</v>
      </c>
      <c r="Y83" s="443">
        <f t="shared" si="198"/>
        <v>51.216715495723044</v>
      </c>
      <c r="AA83" s="217">
        <f t="shared" si="199"/>
        <v>9.9999999999999982</v>
      </c>
      <c r="AB83" s="173">
        <f t="shared" si="200"/>
        <v>7.6447132222105969</v>
      </c>
      <c r="AC83" s="173">
        <f t="shared" si="201"/>
        <v>3.9278202765449497</v>
      </c>
      <c r="AD83" s="173"/>
      <c r="AE83" s="173">
        <f t="shared" si="202"/>
        <v>7.6447132222105987</v>
      </c>
      <c r="AF83" s="545">
        <f t="shared" si="203"/>
        <v>204.06259262514229</v>
      </c>
      <c r="AG83" s="528">
        <f t="shared" si="204"/>
        <v>3.9278202765449515</v>
      </c>
      <c r="AI83" s="173">
        <f t="shared" si="205"/>
        <v>7.6356792685980333</v>
      </c>
      <c r="AJ83" s="173">
        <f t="shared" si="206"/>
        <v>19.858073446881303</v>
      </c>
      <c r="AK83" s="173">
        <f t="shared" si="207"/>
        <v>8.5022766273194836</v>
      </c>
      <c r="AM83" s="545">
        <f t="shared" si="208"/>
        <v>7800.0000000000009</v>
      </c>
      <c r="AN83" s="460">
        <f t="shared" si="209"/>
        <v>51.216715495723044</v>
      </c>
      <c r="AP83">
        <f t="shared" si="210"/>
        <v>7800.0000000000009</v>
      </c>
      <c r="AQ83">
        <f t="shared" si="211"/>
        <v>51.216715495723044</v>
      </c>
      <c r="AS83" s="5">
        <f t="shared" si="285"/>
        <v>19.524875625488072</v>
      </c>
      <c r="AT83" s="5">
        <f t="shared" si="212"/>
        <v>4.1439479607878038</v>
      </c>
      <c r="AU83" s="5">
        <f t="shared" si="286"/>
        <v>15.380927664700268</v>
      </c>
      <c r="AV83" s="5">
        <f t="shared" si="213"/>
        <v>15.180927664700269</v>
      </c>
      <c r="AW83" s="173">
        <f t="shared" si="287"/>
        <v>0.2122394037367506</v>
      </c>
      <c r="AX83" s="173">
        <f t="shared" si="214"/>
        <v>121.18174433038153</v>
      </c>
      <c r="AY83" s="173">
        <f t="shared" si="215"/>
        <v>7.8217038895773081</v>
      </c>
      <c r="AZ83" s="173">
        <f t="shared" si="288"/>
        <v>15.493010991103922</v>
      </c>
      <c r="BA83" s="460">
        <f t="shared" si="216"/>
        <v>215.48529396096583</v>
      </c>
      <c r="BB83" s="5">
        <f t="shared" si="217"/>
        <v>10.791115174461321</v>
      </c>
      <c r="BC83" s="5"/>
      <c r="BD83" s="173">
        <f t="shared" si="289"/>
        <v>5.2818917186858219</v>
      </c>
      <c r="BE83" s="173">
        <f t="shared" si="218"/>
        <v>10.17591831462836</v>
      </c>
      <c r="BF83" s="173"/>
      <c r="BG83" s="528">
        <f t="shared" si="219"/>
        <v>0.55796760255843736</v>
      </c>
      <c r="BH83" s="528">
        <f t="shared" si="220"/>
        <v>1.4054022350366946</v>
      </c>
      <c r="BI83" s="528">
        <f t="shared" si="221"/>
        <v>7.3630169175343971E-2</v>
      </c>
      <c r="BJ83" s="528">
        <f t="shared" si="222"/>
        <v>2.7817159865073944E-2</v>
      </c>
      <c r="BK83">
        <f t="shared" si="223"/>
        <v>2.5877158117780255E-2</v>
      </c>
      <c r="BL83" s="460">
        <f t="shared" si="290"/>
        <v>99.50732729312422</v>
      </c>
      <c r="BM83" s="528">
        <f t="shared" si="224"/>
        <v>2.4691858829807236</v>
      </c>
      <c r="BN83" s="460">
        <f t="shared" si="291"/>
        <v>2469.1858829807238</v>
      </c>
      <c r="BO83" s="528">
        <f t="shared" si="225"/>
        <v>4.8457499999999998</v>
      </c>
      <c r="BP83" s="528"/>
      <c r="BR83" s="460">
        <f t="shared" si="292"/>
        <v>4845.75</v>
      </c>
      <c r="BS83" s="528">
        <f t="shared" si="226"/>
        <v>0.83695140383765587</v>
      </c>
      <c r="BT83" s="528">
        <f t="shared" si="227"/>
        <v>3.1064794063796661</v>
      </c>
      <c r="BU83" s="528">
        <f t="shared" si="228"/>
        <v>1.7550000000000001</v>
      </c>
      <c r="BV83" s="528">
        <f t="shared" si="229"/>
        <v>9.7072408013191183</v>
      </c>
      <c r="BW83" s="528">
        <f t="shared" si="230"/>
        <v>2.019695738839692E-2</v>
      </c>
      <c r="BX83" s="460">
        <f t="shared" si="293"/>
        <v>9727.4377587075141</v>
      </c>
      <c r="BY83" s="173">
        <f t="shared" si="231"/>
        <v>17.141880968981365</v>
      </c>
      <c r="BZ83" s="5">
        <f t="shared" si="294"/>
        <v>117.00000000000001</v>
      </c>
      <c r="CA83" s="173">
        <f t="shared" si="295"/>
        <v>0.87221082002760042</v>
      </c>
      <c r="CB83" s="5">
        <f t="shared" si="296"/>
        <v>87.221082002760042</v>
      </c>
      <c r="CE83" s="562">
        <f t="shared" si="232"/>
        <v>-50</v>
      </c>
      <c r="CF83">
        <f t="shared" si="233"/>
        <v>-50</v>
      </c>
      <c r="CG83" s="173">
        <f t="shared" si="234"/>
        <v>0.78755392950297509</v>
      </c>
      <c r="CI83" s="170">
        <v>78</v>
      </c>
      <c r="CJ83" s="217">
        <f t="shared" si="297"/>
        <v>7.8000000000000007</v>
      </c>
      <c r="CK83" s="217"/>
      <c r="CL83" s="217">
        <f t="shared" si="235"/>
        <v>117.00000000000001</v>
      </c>
      <c r="CM83" s="541">
        <f t="shared" si="236"/>
        <v>58</v>
      </c>
      <c r="CN83" s="172">
        <f t="shared" si="237"/>
        <v>15.4</v>
      </c>
      <c r="CO83" s="443">
        <f t="shared" si="238"/>
        <v>73.400000000000006</v>
      </c>
      <c r="CP83" s="443"/>
      <c r="CQ83" s="217">
        <f t="shared" si="239"/>
        <v>0.2098092643051771</v>
      </c>
      <c r="CR83" s="172">
        <f t="shared" si="240"/>
        <v>305.10568119891008</v>
      </c>
      <c r="CS83" s="172">
        <f t="shared" si="298"/>
        <v>117.00000000000001</v>
      </c>
      <c r="CT83" s="217">
        <f t="shared" si="241"/>
        <v>20.340378746594006</v>
      </c>
      <c r="CU83" s="217">
        <f t="shared" si="242"/>
        <v>15</v>
      </c>
      <c r="CV83" s="217">
        <f t="shared" si="243"/>
        <v>20.281562216167121</v>
      </c>
      <c r="CW83" s="172">
        <f t="shared" si="244"/>
        <v>128.07801154397023</v>
      </c>
      <c r="CX83" s="172">
        <f t="shared" si="245"/>
        <v>15</v>
      </c>
      <c r="CY83" s="217">
        <f t="shared" si="246"/>
        <v>19.229287953425889</v>
      </c>
      <c r="CZ83" s="217">
        <f t="shared" si="247"/>
        <v>3.9784733696743215</v>
      </c>
      <c r="DA83" s="217">
        <f t="shared" si="248"/>
        <v>14.983860742929263</v>
      </c>
      <c r="DB83" s="197">
        <f t="shared" si="249"/>
        <v>101.4078110808356</v>
      </c>
      <c r="DC83" s="443">
        <f t="shared" si="299"/>
        <v>52.736123836956111</v>
      </c>
      <c r="DE83" s="217">
        <f t="shared" si="250"/>
        <v>10</v>
      </c>
      <c r="DF83" s="173">
        <f t="shared" si="251"/>
        <v>7.7922077922077913</v>
      </c>
      <c r="DG83" s="173">
        <f t="shared" si="252"/>
        <v>3.9509536784741139</v>
      </c>
      <c r="DH83" s="173"/>
      <c r="DI83" s="173">
        <f t="shared" si="253"/>
        <v>7.7922077922077913</v>
      </c>
      <c r="DJ83" s="545">
        <f t="shared" si="300"/>
        <v>200.20000000000002</v>
      </c>
      <c r="DK83" s="528">
        <f t="shared" si="254"/>
        <v>3.9509536784741139</v>
      </c>
      <c r="DM83" s="173">
        <f t="shared" si="255"/>
        <v>7.5630681604756154</v>
      </c>
      <c r="DN83" s="173">
        <f t="shared" si="256"/>
        <v>19.229287953425889</v>
      </c>
      <c r="DO83" s="173">
        <f t="shared" si="257"/>
        <v>8.036509595130287</v>
      </c>
      <c r="DQ83" s="545">
        <f t="shared" si="258"/>
        <v>7800.0000000000009</v>
      </c>
      <c r="DR83" s="460">
        <f t="shared" si="259"/>
        <v>52.736123836956111</v>
      </c>
      <c r="DT83">
        <f t="shared" si="260"/>
        <v>7800.0000000000009</v>
      </c>
      <c r="DU83">
        <f t="shared" si="261"/>
        <v>52.736123836956111</v>
      </c>
      <c r="DW83" s="5">
        <f t="shared" si="301"/>
        <v>18.962334112603585</v>
      </c>
      <c r="DX83" s="5">
        <f t="shared" si="262"/>
        <v>3.9784733696743215</v>
      </c>
      <c r="DY83" s="5">
        <f t="shared" si="302"/>
        <v>14.983860742929263</v>
      </c>
      <c r="DZ83" s="5">
        <f t="shared" si="263"/>
        <v>14.983860742929263</v>
      </c>
      <c r="EA83" s="173">
        <f t="shared" si="303"/>
        <v>0.2098092643051771</v>
      </c>
      <c r="EB83" s="173">
        <f t="shared" si="264"/>
        <v>117.00000000000001</v>
      </c>
      <c r="EC83" s="173">
        <f t="shared" si="265"/>
        <v>7.5974025974025992</v>
      </c>
      <c r="ED83" s="173">
        <f t="shared" si="304"/>
        <v>15.399999999999999</v>
      </c>
      <c r="EE83" s="460">
        <f t="shared" si="266"/>
        <v>206.88061522306475</v>
      </c>
      <c r="EF83" s="5">
        <f t="shared" si="267"/>
        <v>10.422780659469225</v>
      </c>
      <c r="EG83" s="5"/>
      <c r="EH83" s="173">
        <f t="shared" si="305"/>
        <v>5.0852804153638465</v>
      </c>
      <c r="EI83" s="173">
        <f t="shared" si="268"/>
        <v>9.8688953195907505</v>
      </c>
      <c r="EJ83" s="173"/>
      <c r="EK83" s="528">
        <f t="shared" si="269"/>
        <v>0.51720153805766189</v>
      </c>
      <c r="EL83" s="528">
        <f t="shared" si="270"/>
        <v>1.4886666666666666</v>
      </c>
      <c r="EM83" s="528">
        <f t="shared" si="271"/>
        <v>6.5920154796195139E-3</v>
      </c>
      <c r="EN83" s="528">
        <f t="shared" si="272"/>
        <v>2.841190313390313E-2</v>
      </c>
      <c r="EO83">
        <f t="shared" si="273"/>
        <v>2.6099999999999998E-2</v>
      </c>
      <c r="EP83" s="460">
        <f t="shared" si="306"/>
        <v>32.692015479619513</v>
      </c>
      <c r="EQ83" s="528">
        <f t="shared" si="274"/>
        <v>2.5157724872021188</v>
      </c>
      <c r="ER83" s="460">
        <f t="shared" si="307"/>
        <v>2515.7724872021186</v>
      </c>
      <c r="ES83" s="528">
        <f t="shared" si="308"/>
        <v>4.8457499999999998</v>
      </c>
      <c r="ET83" s="528"/>
      <c r="EV83" s="460">
        <f t="shared" si="309"/>
        <v>4845.75</v>
      </c>
      <c r="EW83" s="528">
        <f t="shared" si="275"/>
        <v>0.77580230708649278</v>
      </c>
      <c r="EX83" s="528">
        <f t="shared" si="276"/>
        <v>2.9218528448712062</v>
      </c>
      <c r="EY83" s="528">
        <f t="shared" si="277"/>
        <v>1.637376396018714</v>
      </c>
      <c r="EZ83" s="528">
        <f t="shared" si="278"/>
        <v>8.8363795270844481</v>
      </c>
      <c r="FA83" s="528">
        <f t="shared" si="279"/>
        <v>1.9500000000000003E-2</v>
      </c>
      <c r="FB83" s="460">
        <f t="shared" si="310"/>
        <v>8855.8795270844494</v>
      </c>
      <c r="FC83" s="173">
        <f t="shared" si="311"/>
        <v>16.217402014286566</v>
      </c>
      <c r="FD83" s="5">
        <f t="shared" si="312"/>
        <v>117.00000000000001</v>
      </c>
      <c r="FE83" s="173">
        <f t="shared" si="313"/>
        <v>0.87826363696428056</v>
      </c>
      <c r="FF83" s="5">
        <f t="shared" si="314"/>
        <v>87.826363696428061</v>
      </c>
      <c r="FI83" s="562">
        <f t="shared" si="280"/>
        <v>-50</v>
      </c>
      <c r="FJ83">
        <f t="shared" si="281"/>
        <v>-50</v>
      </c>
      <c r="FL83">
        <f t="shared" si="282"/>
        <v>0.7901907356948229</v>
      </c>
    </row>
    <row r="84" spans="5:168">
      <c r="E84" s="170">
        <v>79</v>
      </c>
      <c r="F84" s="217">
        <f t="shared" si="283"/>
        <v>7.9</v>
      </c>
      <c r="G84" s="217"/>
      <c r="H84" s="217">
        <f t="shared" si="183"/>
        <v>118.5</v>
      </c>
      <c r="I84" s="541">
        <f t="shared" si="184"/>
        <v>57.498468301112375</v>
      </c>
      <c r="J84" s="172">
        <f t="shared" si="185"/>
        <v>15.700919019332575</v>
      </c>
      <c r="K84" s="172">
        <f t="shared" si="186"/>
        <v>73.700919019332574</v>
      </c>
      <c r="L84" s="443"/>
      <c r="M84" s="217">
        <f t="shared" si="187"/>
        <v>0.21448458529576492</v>
      </c>
      <c r="N84" s="172">
        <f t="shared" si="188"/>
        <v>309.20748701447553</v>
      </c>
      <c r="O84" s="172">
        <f t="shared" si="284"/>
        <v>118.5</v>
      </c>
      <c r="P84" s="217">
        <f t="shared" si="189"/>
        <v>20.613832467631703</v>
      </c>
      <c r="Q84" s="217">
        <f t="shared" si="190"/>
        <v>15</v>
      </c>
      <c r="R84" s="217">
        <f t="shared" si="191"/>
        <v>20.554225214509618</v>
      </c>
      <c r="S84" s="172">
        <f t="shared" si="192"/>
        <v>124.64264221925875</v>
      </c>
      <c r="T84" s="172">
        <f t="shared" si="193"/>
        <v>15</v>
      </c>
      <c r="U84" s="217">
        <f t="shared" si="194"/>
        <v>20.114181980692344</v>
      </c>
      <c r="V84" s="217">
        <f t="shared" si="195"/>
        <v>4.1978541498580846</v>
      </c>
      <c r="W84" s="217">
        <f t="shared" si="196"/>
        <v>15.372997177496968</v>
      </c>
      <c r="X84" s="197">
        <f t="shared" si="197"/>
        <v>102.77622390691738</v>
      </c>
      <c r="Y84" s="443">
        <f t="shared" si="198"/>
        <v>50.579511394959255</v>
      </c>
      <c r="AA84" s="217">
        <f t="shared" si="199"/>
        <v>10</v>
      </c>
      <c r="AB84" s="173">
        <f t="shared" si="200"/>
        <v>7.642864717169978</v>
      </c>
      <c r="AC84" s="173">
        <f t="shared" si="201"/>
        <v>3.9275238773107022</v>
      </c>
      <c r="AD84" s="173"/>
      <c r="AE84" s="173">
        <f t="shared" si="202"/>
        <v>7.642864717169978</v>
      </c>
      <c r="AF84" s="545">
        <f t="shared" si="203"/>
        <v>206.72876708787891</v>
      </c>
      <c r="AG84" s="528">
        <f t="shared" si="204"/>
        <v>3.9275238773107022</v>
      </c>
      <c r="AI84" s="173">
        <f t="shared" si="205"/>
        <v>7.6853992755814744</v>
      </c>
      <c r="AJ84" s="173">
        <f t="shared" si="206"/>
        <v>20.114181980692344</v>
      </c>
      <c r="AK84" s="173">
        <f t="shared" si="207"/>
        <v>8.6919866523646991</v>
      </c>
      <c r="AM84" s="545">
        <f t="shared" si="208"/>
        <v>7900</v>
      </c>
      <c r="AN84" s="460">
        <f t="shared" si="209"/>
        <v>50.579511394959255</v>
      </c>
      <c r="AP84">
        <f t="shared" si="210"/>
        <v>7900</v>
      </c>
      <c r="AQ84">
        <f t="shared" si="211"/>
        <v>50.579511394959255</v>
      </c>
      <c r="AS84" s="5">
        <f t="shared" si="285"/>
        <v>19.770851327355047</v>
      </c>
      <c r="AT84" s="5">
        <f t="shared" si="212"/>
        <v>4.1978541498580846</v>
      </c>
      <c r="AU84" s="5">
        <f t="shared" si="286"/>
        <v>15.572997177496962</v>
      </c>
      <c r="AV84" s="5">
        <f t="shared" si="213"/>
        <v>15.372997177496968</v>
      </c>
      <c r="AW84" s="173">
        <f t="shared" si="287"/>
        <v>0.212325411807124</v>
      </c>
      <c r="AX84" s="173">
        <f t="shared" si="214"/>
        <v>122.78084844812805</v>
      </c>
      <c r="AY84" s="173">
        <f t="shared" si="215"/>
        <v>7.9217150042392035</v>
      </c>
      <c r="AZ84" s="173">
        <f t="shared" si="288"/>
        <v>15.499276151997828</v>
      </c>
      <c r="BA84" s="460">
        <f t="shared" si="216"/>
        <v>221.08698522585911</v>
      </c>
      <c r="BB84" s="5">
        <f t="shared" si="217"/>
        <v>11.067162369164803</v>
      </c>
      <c r="BC84" s="5"/>
      <c r="BD84" s="173">
        <f t="shared" si="289"/>
        <v>5.3510959115403587</v>
      </c>
      <c r="BE84" s="173">
        <f t="shared" si="218"/>
        <v>10.306593915044497</v>
      </c>
      <c r="BF84" s="173"/>
      <c r="BG84" s="528">
        <f t="shared" si="219"/>
        <v>0.57268454909007882</v>
      </c>
      <c r="BH84" s="528">
        <f t="shared" si="220"/>
        <v>1.4058894765902372</v>
      </c>
      <c r="BI84" s="528">
        <f t="shared" si="221"/>
        <v>7.2706110815720412E-2</v>
      </c>
      <c r="BJ84" s="528">
        <f t="shared" si="222"/>
        <v>2.747390779666992E-2</v>
      </c>
      <c r="BK84">
        <f t="shared" si="223"/>
        <v>2.5874310735500568E-2</v>
      </c>
      <c r="BL84" s="460">
        <f t="shared" si="290"/>
        <v>98.580421551220994</v>
      </c>
      <c r="BM84" s="528">
        <f t="shared" si="224"/>
        <v>2.5009808476873965</v>
      </c>
      <c r="BN84" s="460">
        <f t="shared" si="291"/>
        <v>2500.9808476873964</v>
      </c>
      <c r="BO84" s="528">
        <f t="shared" si="225"/>
        <v>4.9078749999999998</v>
      </c>
      <c r="BP84" s="528"/>
      <c r="BR84" s="460">
        <f t="shared" si="292"/>
        <v>4907.875</v>
      </c>
      <c r="BS84" s="528">
        <f t="shared" si="226"/>
        <v>0.85902682363511829</v>
      </c>
      <c r="BT84" s="528">
        <f t="shared" si="227"/>
        <v>3.1867763438889671</v>
      </c>
      <c r="BU84" s="528">
        <f t="shared" si="228"/>
        <v>1.7774999999999999</v>
      </c>
      <c r="BV84" s="528">
        <f t="shared" si="229"/>
        <v>10.045744235617818</v>
      </c>
      <c r="BW84" s="528">
        <f t="shared" si="230"/>
        <v>2.0463474741354674E-2</v>
      </c>
      <c r="BX84" s="460">
        <f t="shared" si="293"/>
        <v>10066.207710359173</v>
      </c>
      <c r="BY84" s="173">
        <f t="shared" si="231"/>
        <v>17.57364397959779</v>
      </c>
      <c r="BZ84" s="5">
        <f t="shared" si="294"/>
        <v>118.5</v>
      </c>
      <c r="CA84" s="173">
        <f t="shared" si="295"/>
        <v>0.87085196320433156</v>
      </c>
      <c r="CB84" s="5">
        <f t="shared" si="296"/>
        <v>87.085196320433155</v>
      </c>
      <c r="CE84" s="562">
        <f t="shared" si="232"/>
        <v>-50</v>
      </c>
      <c r="CF84">
        <f t="shared" si="233"/>
        <v>-50</v>
      </c>
      <c r="CG84" s="173">
        <f t="shared" si="234"/>
        <v>0.78758730679654276</v>
      </c>
      <c r="CI84" s="170">
        <v>79</v>
      </c>
      <c r="CJ84" s="217">
        <f t="shared" si="297"/>
        <v>7.9</v>
      </c>
      <c r="CK84" s="217"/>
      <c r="CL84" s="217">
        <f t="shared" si="235"/>
        <v>118.5</v>
      </c>
      <c r="CM84" s="541">
        <f t="shared" si="236"/>
        <v>58</v>
      </c>
      <c r="CN84" s="172">
        <f t="shared" si="237"/>
        <v>15.4</v>
      </c>
      <c r="CO84" s="443">
        <f t="shared" si="238"/>
        <v>73.400000000000006</v>
      </c>
      <c r="CP84" s="443"/>
      <c r="CQ84" s="217">
        <f t="shared" si="239"/>
        <v>0.2098092643051771</v>
      </c>
      <c r="CR84" s="172">
        <f t="shared" si="240"/>
        <v>305.10568119891008</v>
      </c>
      <c r="CS84" s="172">
        <f t="shared" si="298"/>
        <v>118.5</v>
      </c>
      <c r="CT84" s="217">
        <f t="shared" si="241"/>
        <v>20.340378746594006</v>
      </c>
      <c r="CU84" s="217">
        <f t="shared" si="242"/>
        <v>15</v>
      </c>
      <c r="CV84" s="217">
        <f t="shared" si="243"/>
        <v>20.281562216167121</v>
      </c>
      <c r="CW84" s="172">
        <f t="shared" si="244"/>
        <v>125.72824356657925</v>
      </c>
      <c r="CX84" s="172">
        <f t="shared" si="245"/>
        <v>15</v>
      </c>
      <c r="CY84" s="217">
        <f t="shared" si="246"/>
        <v>19.475817286162115</v>
      </c>
      <c r="CZ84" s="217">
        <f t="shared" si="247"/>
        <v>4.0294794385163</v>
      </c>
      <c r="DA84" s="217">
        <f t="shared" si="248"/>
        <v>15.175961521684766</v>
      </c>
      <c r="DB84" s="197">
        <f t="shared" si="249"/>
        <v>101.4078110808356</v>
      </c>
      <c r="DC84" s="443">
        <f t="shared" si="299"/>
        <v>52.068577965602245</v>
      </c>
      <c r="DE84" s="217">
        <f t="shared" si="250"/>
        <v>10</v>
      </c>
      <c r="DF84" s="173">
        <f t="shared" si="251"/>
        <v>7.7922077922077913</v>
      </c>
      <c r="DG84" s="173">
        <f t="shared" si="252"/>
        <v>3.9509536784741139</v>
      </c>
      <c r="DH84" s="173"/>
      <c r="DI84" s="173">
        <f t="shared" si="253"/>
        <v>7.7922077922077913</v>
      </c>
      <c r="DJ84" s="545">
        <f t="shared" si="300"/>
        <v>202.76666666666668</v>
      </c>
      <c r="DK84" s="528">
        <f t="shared" si="254"/>
        <v>3.9509536784741139</v>
      </c>
      <c r="DM84" s="173">
        <f t="shared" si="255"/>
        <v>7.6113949663207823</v>
      </c>
      <c r="DN84" s="173">
        <f t="shared" si="256"/>
        <v>19.475817286162115</v>
      </c>
      <c r="DO84" s="173">
        <f t="shared" si="257"/>
        <v>8.2191239156756417</v>
      </c>
      <c r="DQ84" s="545">
        <f t="shared" si="258"/>
        <v>7900</v>
      </c>
      <c r="DR84" s="460">
        <f t="shared" si="259"/>
        <v>52.068577965602245</v>
      </c>
      <c r="DT84">
        <f t="shared" si="260"/>
        <v>7900</v>
      </c>
      <c r="DU84">
        <f t="shared" si="261"/>
        <v>52.068577965602245</v>
      </c>
      <c r="DW84" s="5">
        <f t="shared" si="301"/>
        <v>19.205440960201067</v>
      </c>
      <c r="DX84" s="5">
        <f t="shared" si="262"/>
        <v>4.0294794385163</v>
      </c>
      <c r="DY84" s="5">
        <f t="shared" si="302"/>
        <v>15.175961521684766</v>
      </c>
      <c r="DZ84" s="5">
        <f t="shared" si="263"/>
        <v>15.175961521684766</v>
      </c>
      <c r="EA84" s="173">
        <f t="shared" si="303"/>
        <v>0.2098092643051771</v>
      </c>
      <c r="EB84" s="173">
        <f t="shared" si="264"/>
        <v>118.5</v>
      </c>
      <c r="EC84" s="173">
        <f t="shared" si="265"/>
        <v>7.6948051948051956</v>
      </c>
      <c r="ED84" s="173">
        <f t="shared" si="304"/>
        <v>15.399999999999999</v>
      </c>
      <c r="EE84" s="460">
        <f t="shared" si="266"/>
        <v>212.21925042852513</v>
      </c>
      <c r="EF84" s="5">
        <f t="shared" si="267"/>
        <v>10.691744591674462</v>
      </c>
      <c r="EG84" s="5"/>
      <c r="EH84" s="173">
        <f t="shared" si="305"/>
        <v>5.1504763181249213</v>
      </c>
      <c r="EI84" s="173">
        <f t="shared" si="268"/>
        <v>9.9954196185598612</v>
      </c>
      <c r="EJ84" s="173"/>
      <c r="EK84" s="528">
        <f t="shared" si="269"/>
        <v>0.53054812607131285</v>
      </c>
      <c r="EL84" s="528">
        <f t="shared" si="270"/>
        <v>1.4886666666666668</v>
      </c>
      <c r="EM84" s="528">
        <f t="shared" si="271"/>
        <v>6.5085722457002802E-3</v>
      </c>
      <c r="EN84" s="528">
        <f t="shared" si="272"/>
        <v>2.8052258790436008E-2</v>
      </c>
      <c r="EO84">
        <f t="shared" si="273"/>
        <v>2.6099999999999998E-2</v>
      </c>
      <c r="EP84" s="460">
        <f t="shared" si="306"/>
        <v>32.60857224570028</v>
      </c>
      <c r="EQ84" s="528">
        <f t="shared" si="274"/>
        <v>2.543789193080825</v>
      </c>
      <c r="ER84" s="460">
        <f t="shared" si="307"/>
        <v>2543.789193080825</v>
      </c>
      <c r="ES84" s="528">
        <f t="shared" si="308"/>
        <v>4.9078749999999998</v>
      </c>
      <c r="ET84" s="528"/>
      <c r="EV84" s="460">
        <f t="shared" si="309"/>
        <v>4907.875</v>
      </c>
      <c r="EW84" s="528">
        <f t="shared" si="275"/>
        <v>0.79582218910696934</v>
      </c>
      <c r="EX84" s="528">
        <f t="shared" si="276"/>
        <v>2.9972524005327403</v>
      </c>
      <c r="EY84" s="528">
        <f t="shared" si="277"/>
        <v>1.6373763960187155</v>
      </c>
      <c r="EZ84" s="528">
        <f t="shared" si="278"/>
        <v>9.1030825870334056</v>
      </c>
      <c r="FA84" s="528">
        <f t="shared" si="279"/>
        <v>1.9750000000000004E-2</v>
      </c>
      <c r="FB84" s="460">
        <f t="shared" si="310"/>
        <v>9122.8325870334065</v>
      </c>
      <c r="FC84" s="173">
        <f t="shared" si="311"/>
        <v>16.574496780114227</v>
      </c>
      <c r="FD84" s="5">
        <f t="shared" si="312"/>
        <v>118.5</v>
      </c>
      <c r="FE84" s="173">
        <f t="shared" si="313"/>
        <v>0.8772936625698069</v>
      </c>
      <c r="FF84" s="5">
        <f t="shared" si="314"/>
        <v>87.729366256980683</v>
      </c>
      <c r="FI84" s="562">
        <f t="shared" si="280"/>
        <v>-50</v>
      </c>
      <c r="FJ84">
        <f t="shared" si="281"/>
        <v>-50</v>
      </c>
      <c r="FL84">
        <f t="shared" si="282"/>
        <v>0.7901907356948229</v>
      </c>
    </row>
    <row r="85" spans="5:168">
      <c r="E85" s="170">
        <v>80</v>
      </c>
      <c r="F85" s="217">
        <f t="shared" si="283"/>
        <v>8</v>
      </c>
      <c r="G85" s="217"/>
      <c r="H85" s="217">
        <f t="shared" si="183"/>
        <v>120</v>
      </c>
      <c r="I85" s="541">
        <f t="shared" si="184"/>
        <v>57.492140783178833</v>
      </c>
      <c r="J85" s="172">
        <f t="shared" si="185"/>
        <v>15.704715530092699</v>
      </c>
      <c r="K85" s="172">
        <f t="shared" si="186"/>
        <v>73.704715530092699</v>
      </c>
      <c r="L85" s="443"/>
      <c r="M85" s="217">
        <f t="shared" si="187"/>
        <v>0.21454387013332554</v>
      </c>
      <c r="N85" s="172">
        <f t="shared" si="188"/>
        <v>309.25891715980555</v>
      </c>
      <c r="O85" s="172">
        <f t="shared" si="284"/>
        <v>120</v>
      </c>
      <c r="P85" s="217">
        <f t="shared" si="189"/>
        <v>20.617261143987037</v>
      </c>
      <c r="Q85" s="217">
        <f t="shared" si="190"/>
        <v>15</v>
      </c>
      <c r="R85" s="217">
        <f t="shared" si="191"/>
        <v>20.557643976455314</v>
      </c>
      <c r="S85" s="172">
        <f t="shared" si="192"/>
        <v>122.35813384907146</v>
      </c>
      <c r="T85" s="172">
        <f t="shared" si="193"/>
        <v>15</v>
      </c>
      <c r="U85" s="217">
        <f t="shared" si="194"/>
        <v>20.370329279517986</v>
      </c>
      <c r="V85" s="217">
        <f t="shared" si="195"/>
        <v>4.2517802959554389</v>
      </c>
      <c r="W85" s="217">
        <f t="shared" si="196"/>
        <v>15.565003446628682</v>
      </c>
      <c r="X85" s="197">
        <f t="shared" si="197"/>
        <v>102.79331673658203</v>
      </c>
      <c r="Y85" s="443">
        <f t="shared" si="198"/>
        <v>49.958075825767118</v>
      </c>
      <c r="AA85" s="217">
        <f t="shared" si="199"/>
        <v>10</v>
      </c>
      <c r="AB85" s="173">
        <f t="shared" si="200"/>
        <v>7.6410171053440088</v>
      </c>
      <c r="AC85" s="173">
        <f t="shared" si="201"/>
        <v>3.9272274574963388</v>
      </c>
      <c r="AD85" s="173"/>
      <c r="AE85" s="173">
        <f t="shared" si="202"/>
        <v>7.6410171053440088</v>
      </c>
      <c r="AF85" s="545">
        <f t="shared" si="203"/>
        <v>209.39620706790262</v>
      </c>
      <c r="AG85" s="528">
        <f t="shared" si="204"/>
        <v>3.9272274574963388</v>
      </c>
      <c r="AI85" s="173">
        <f t="shared" si="205"/>
        <v>7.7348230576844141</v>
      </c>
      <c r="AJ85" s="173">
        <f t="shared" si="206"/>
        <v>20.370329279517986</v>
      </c>
      <c r="AK85" s="173">
        <f t="shared" si="207"/>
        <v>8.8817253922355448</v>
      </c>
      <c r="AM85" s="545">
        <f t="shared" si="208"/>
        <v>8000</v>
      </c>
      <c r="AN85" s="460">
        <f t="shared" si="209"/>
        <v>49.958075825767118</v>
      </c>
      <c r="AP85">
        <f t="shared" si="210"/>
        <v>8000</v>
      </c>
      <c r="AQ85">
        <f t="shared" si="211"/>
        <v>49.958075825767118</v>
      </c>
      <c r="AS85" s="5">
        <f t="shared" si="285"/>
        <v>20.016783742584121</v>
      </c>
      <c r="AT85" s="5">
        <f t="shared" si="212"/>
        <v>4.2517802959554389</v>
      </c>
      <c r="AU85" s="5">
        <f t="shared" si="286"/>
        <v>15.765003446628683</v>
      </c>
      <c r="AV85" s="5">
        <f t="shared" si="213"/>
        <v>15.565003446628682</v>
      </c>
      <c r="AW85" s="173">
        <f t="shared" si="287"/>
        <v>0.21241076241984438</v>
      </c>
      <c r="AX85" s="173">
        <f t="shared" si="214"/>
        <v>124.3807157909831</v>
      </c>
      <c r="AY85" s="173">
        <f t="shared" si="215"/>
        <v>8.0217260532561454</v>
      </c>
      <c r="AZ85" s="173">
        <f t="shared" si="288"/>
        <v>15.505480362358549</v>
      </c>
      <c r="BA85" s="460">
        <f t="shared" si="216"/>
        <v>226.76161578429009</v>
      </c>
      <c r="BB85" s="5">
        <f t="shared" si="217"/>
        <v>11.346680803999371</v>
      </c>
      <c r="BC85" s="5"/>
      <c r="BD85" s="173">
        <f t="shared" si="289"/>
        <v>5.420329410843217</v>
      </c>
      <c r="BE85" s="173">
        <f t="shared" si="218"/>
        <v>10.437279373952965</v>
      </c>
      <c r="BF85" s="173"/>
      <c r="BG85" s="528">
        <f t="shared" si="219"/>
        <v>0.58759941844103947</v>
      </c>
      <c r="BH85" s="528">
        <f t="shared" si="220"/>
        <v>1.4063722824827851</v>
      </c>
      <c r="BI85" s="528">
        <f t="shared" si="221"/>
        <v>7.1804918215793156E-2</v>
      </c>
      <c r="BJ85" s="528">
        <f t="shared" si="222"/>
        <v>2.7139150630952361E-2</v>
      </c>
      <c r="BK85">
        <f t="shared" si="223"/>
        <v>2.5871463352430474E-2</v>
      </c>
      <c r="BL85" s="460">
        <f t="shared" si="290"/>
        <v>97.676381568223633</v>
      </c>
      <c r="BM85" s="528">
        <f t="shared" si="224"/>
        <v>2.5334695548630175</v>
      </c>
      <c r="BN85" s="460">
        <f t="shared" si="291"/>
        <v>2533.4695548630175</v>
      </c>
      <c r="BO85" s="528">
        <f t="shared" si="225"/>
        <v>4.97</v>
      </c>
      <c r="BP85" s="528"/>
      <c r="BR85" s="460">
        <f t="shared" si="292"/>
        <v>4970</v>
      </c>
      <c r="BS85" s="528">
        <f t="shared" si="226"/>
        <v>0.88139912766155926</v>
      </c>
      <c r="BT85" s="528">
        <f t="shared" si="227"/>
        <v>3.2681040218983197</v>
      </c>
      <c r="BU85" s="528">
        <f t="shared" si="228"/>
        <v>1.7999999999999998</v>
      </c>
      <c r="BV85" s="528">
        <f t="shared" si="229"/>
        <v>10.396662662486046</v>
      </c>
      <c r="BW85" s="528">
        <f t="shared" si="230"/>
        <v>2.0730119298497184E-2</v>
      </c>
      <c r="BX85" s="460">
        <f t="shared" si="293"/>
        <v>10417.392781784543</v>
      </c>
      <c r="BY85" s="173">
        <f t="shared" si="231"/>
        <v>18.018538718215783</v>
      </c>
      <c r="BZ85" s="5">
        <f t="shared" si="294"/>
        <v>120</v>
      </c>
      <c r="CA85" s="173">
        <f t="shared" si="295"/>
        <v>0.86944841696228103</v>
      </c>
      <c r="CB85" s="5">
        <f t="shared" si="296"/>
        <v>86.94484169622811</v>
      </c>
      <c r="CE85" s="562">
        <f t="shared" si="232"/>
        <v>-50</v>
      </c>
      <c r="CF85">
        <f t="shared" si="233"/>
        <v>-50</v>
      </c>
      <c r="CG85" s="173">
        <f t="shared" si="234"/>
        <v>0.78761984965777132</v>
      </c>
      <c r="CI85" s="170">
        <v>80</v>
      </c>
      <c r="CJ85" s="217">
        <f t="shared" si="297"/>
        <v>8</v>
      </c>
      <c r="CK85" s="217"/>
      <c r="CL85" s="217">
        <f t="shared" si="235"/>
        <v>120</v>
      </c>
      <c r="CM85" s="541">
        <f t="shared" si="236"/>
        <v>58</v>
      </c>
      <c r="CN85" s="172">
        <f t="shared" si="237"/>
        <v>15.4</v>
      </c>
      <c r="CO85" s="443">
        <f t="shared" si="238"/>
        <v>73.400000000000006</v>
      </c>
      <c r="CP85" s="443"/>
      <c r="CQ85" s="217">
        <f t="shared" si="239"/>
        <v>0.2098092643051771</v>
      </c>
      <c r="CR85" s="172">
        <f t="shared" si="240"/>
        <v>305.10568119891008</v>
      </c>
      <c r="CS85" s="172">
        <f t="shared" si="298"/>
        <v>120</v>
      </c>
      <c r="CT85" s="217">
        <f t="shared" si="241"/>
        <v>20.340378746594006</v>
      </c>
      <c r="CU85" s="217">
        <f t="shared" si="242"/>
        <v>15</v>
      </c>
      <c r="CV85" s="217">
        <f t="shared" si="243"/>
        <v>20.281562216167121</v>
      </c>
      <c r="CW85" s="172">
        <f t="shared" si="244"/>
        <v>123.43734252146905</v>
      </c>
      <c r="CX85" s="172">
        <f t="shared" si="245"/>
        <v>15</v>
      </c>
      <c r="CY85" s="217">
        <f t="shared" si="246"/>
        <v>19.722346618898342</v>
      </c>
      <c r="CZ85" s="217">
        <f t="shared" si="247"/>
        <v>4.0804855073582784</v>
      </c>
      <c r="DA85" s="217">
        <f t="shared" si="248"/>
        <v>15.368062300440268</v>
      </c>
      <c r="DB85" s="197">
        <f t="shared" si="249"/>
        <v>101.4078110808356</v>
      </c>
      <c r="DC85" s="443">
        <f t="shared" si="299"/>
        <v>51.417720741032213</v>
      </c>
      <c r="DE85" s="217">
        <f t="shared" si="250"/>
        <v>10</v>
      </c>
      <c r="DF85" s="173">
        <f t="shared" si="251"/>
        <v>7.7922077922077913</v>
      </c>
      <c r="DG85" s="173">
        <f t="shared" si="252"/>
        <v>3.9509536784741139</v>
      </c>
      <c r="DH85" s="173"/>
      <c r="DI85" s="173">
        <f t="shared" si="253"/>
        <v>7.7922077922077913</v>
      </c>
      <c r="DJ85" s="545">
        <f t="shared" si="300"/>
        <v>205.33333333333334</v>
      </c>
      <c r="DK85" s="528">
        <f t="shared" si="254"/>
        <v>3.9509536784741139</v>
      </c>
      <c r="DM85" s="173">
        <f t="shared" si="255"/>
        <v>7.6594168620507048</v>
      </c>
      <c r="DN85" s="173">
        <f t="shared" si="256"/>
        <v>19.722346618898342</v>
      </c>
      <c r="DO85" s="173">
        <f t="shared" si="257"/>
        <v>8.4017382362209947</v>
      </c>
      <c r="DQ85" s="545">
        <f t="shared" si="258"/>
        <v>8000</v>
      </c>
      <c r="DR85" s="460">
        <f t="shared" si="259"/>
        <v>51.417720741032213</v>
      </c>
      <c r="DT85">
        <f t="shared" si="260"/>
        <v>8000</v>
      </c>
      <c r="DU85">
        <f t="shared" si="261"/>
        <v>51.417720741032213</v>
      </c>
      <c r="DW85" s="5">
        <f t="shared" si="301"/>
        <v>19.448547807798548</v>
      </c>
      <c r="DX85" s="5">
        <f t="shared" si="262"/>
        <v>4.0804855073582784</v>
      </c>
      <c r="DY85" s="5">
        <f t="shared" si="302"/>
        <v>15.368062300440268</v>
      </c>
      <c r="DZ85" s="5">
        <f t="shared" si="263"/>
        <v>15.368062300440268</v>
      </c>
      <c r="EA85" s="173">
        <f t="shared" si="303"/>
        <v>0.2098092643051771</v>
      </c>
      <c r="EB85" s="173">
        <f t="shared" si="264"/>
        <v>119.99999999999999</v>
      </c>
      <c r="EC85" s="173">
        <f t="shared" si="265"/>
        <v>7.7922077922077921</v>
      </c>
      <c r="ED85" s="173">
        <f t="shared" si="304"/>
        <v>15.399999999999999</v>
      </c>
      <c r="EE85" s="460">
        <f t="shared" si="266"/>
        <v>217.62589372577483</v>
      </c>
      <c r="EF85" s="5">
        <f t="shared" si="267"/>
        <v>10.964134816009704</v>
      </c>
      <c r="EG85" s="5"/>
      <c r="EH85" s="173">
        <f t="shared" si="305"/>
        <v>5.2156722208859954</v>
      </c>
      <c r="EI85" s="173">
        <f t="shared" si="268"/>
        <v>10.121943917528972</v>
      </c>
      <c r="EJ85" s="173"/>
      <c r="EK85" s="528">
        <f t="shared" si="269"/>
        <v>0.54406473431443703</v>
      </c>
      <c r="EL85" s="528">
        <f t="shared" si="270"/>
        <v>1.4886666666666666</v>
      </c>
      <c r="EM85" s="528">
        <f t="shared" si="271"/>
        <v>6.427215092629026E-3</v>
      </c>
      <c r="EN85" s="528">
        <f t="shared" si="272"/>
        <v>2.7701605555555557E-2</v>
      </c>
      <c r="EO85">
        <f t="shared" si="273"/>
        <v>2.6099999999999998E-2</v>
      </c>
      <c r="EP85" s="460">
        <f t="shared" si="306"/>
        <v>32.527215092629028</v>
      </c>
      <c r="EQ85" s="528">
        <f t="shared" si="274"/>
        <v>2.5723899902545773</v>
      </c>
      <c r="ER85" s="460">
        <f t="shared" si="307"/>
        <v>2572.3899902545772</v>
      </c>
      <c r="ES85" s="528">
        <f t="shared" si="308"/>
        <v>4.97</v>
      </c>
      <c r="ET85" s="528"/>
      <c r="EV85" s="460">
        <f t="shared" si="309"/>
        <v>4970</v>
      </c>
      <c r="EW85" s="528">
        <f t="shared" si="275"/>
        <v>0.81609710147165548</v>
      </c>
      <c r="EX85" s="528">
        <f t="shared" si="276"/>
        <v>3.0736124600880523</v>
      </c>
      <c r="EY85" s="528">
        <f t="shared" si="277"/>
        <v>1.6373763960187127</v>
      </c>
      <c r="EZ85" s="528">
        <f t="shared" si="278"/>
        <v>9.379207790003214</v>
      </c>
      <c r="FA85" s="528">
        <f t="shared" si="279"/>
        <v>1.9999999999999993E-2</v>
      </c>
      <c r="FB85" s="460">
        <f t="shared" si="310"/>
        <v>9399.2077900032127</v>
      </c>
      <c r="FC85" s="173">
        <f t="shared" si="311"/>
        <v>16.941597780257791</v>
      </c>
      <c r="FD85" s="5">
        <f t="shared" si="312"/>
        <v>120</v>
      </c>
      <c r="FE85" s="173">
        <f t="shared" si="313"/>
        <v>0.87628596383516</v>
      </c>
      <c r="FF85" s="5">
        <f t="shared" si="314"/>
        <v>87.628596383515998</v>
      </c>
      <c r="FI85" s="562">
        <f t="shared" si="280"/>
        <v>-50</v>
      </c>
      <c r="FJ85">
        <f t="shared" si="281"/>
        <v>-50</v>
      </c>
      <c r="FL85">
        <f t="shared" si="282"/>
        <v>0.7901907356948229</v>
      </c>
    </row>
    <row r="86" spans="5:168">
      <c r="E86" s="170">
        <v>81</v>
      </c>
      <c r="F86" s="217">
        <f t="shared" si="283"/>
        <v>8.1000000000000014</v>
      </c>
      <c r="G86" s="217"/>
      <c r="H86" s="217">
        <f t="shared" si="183"/>
        <v>121.50000000000003</v>
      </c>
      <c r="I86" s="541">
        <f t="shared" si="184"/>
        <v>57.4858132635541</v>
      </c>
      <c r="J86" s="172">
        <f t="shared" si="185"/>
        <v>15.708512041867541</v>
      </c>
      <c r="K86" s="172">
        <f t="shared" si="186"/>
        <v>73.708512041867536</v>
      </c>
      <c r="L86" s="443"/>
      <c r="M86" s="217">
        <f t="shared" si="187"/>
        <v>0.21460315907588812</v>
      </c>
      <c r="N86" s="172">
        <f t="shared" si="188"/>
        <v>309.31033440194193</v>
      </c>
      <c r="O86" s="172">
        <f t="shared" si="284"/>
        <v>121.50000000000003</v>
      </c>
      <c r="P86" s="217">
        <f t="shared" si="189"/>
        <v>20.620688960129463</v>
      </c>
      <c r="Q86" s="217">
        <f t="shared" si="190"/>
        <v>15</v>
      </c>
      <c r="R86" s="217">
        <f t="shared" si="191"/>
        <v>20.561061880675496</v>
      </c>
      <c r="S86" s="172">
        <f t="shared" si="192"/>
        <v>120.13031260062839</v>
      </c>
      <c r="T86" s="172">
        <f t="shared" si="193"/>
        <v>15</v>
      </c>
      <c r="U86" s="217">
        <f t="shared" si="194"/>
        <v>20.62651535615905</v>
      </c>
      <c r="V86" s="217">
        <f t="shared" si="195"/>
        <v>4.3057264083421201</v>
      </c>
      <c r="W86" s="217">
        <f t="shared" si="196"/>
        <v>15.756946527729934</v>
      </c>
      <c r="X86" s="197">
        <f t="shared" si="197"/>
        <v>102.81040528290339</v>
      </c>
      <c r="Y86" s="443">
        <f t="shared" si="198"/>
        <v>49.351830489243014</v>
      </c>
      <c r="AA86" s="217">
        <f t="shared" si="199"/>
        <v>9.9999999999999982</v>
      </c>
      <c r="AB86" s="173">
        <f t="shared" si="200"/>
        <v>7.6391703861044693</v>
      </c>
      <c r="AC86" s="173">
        <f t="shared" si="201"/>
        <v>3.9269310171027692</v>
      </c>
      <c r="AD86" s="173"/>
      <c r="AE86" s="173">
        <f t="shared" si="202"/>
        <v>7.6391703861044711</v>
      </c>
      <c r="AF86" s="545">
        <f t="shared" si="203"/>
        <v>212.06491256521184</v>
      </c>
      <c r="AG86" s="528">
        <f t="shared" si="204"/>
        <v>3.9269310171027714</v>
      </c>
      <c r="AI86" s="173">
        <f t="shared" si="205"/>
        <v>7.783956257497338</v>
      </c>
      <c r="AJ86" s="173">
        <f t="shared" si="206"/>
        <v>20.62651535615905</v>
      </c>
      <c r="AK86" s="173">
        <f t="shared" si="207"/>
        <v>9.0714928564141104</v>
      </c>
      <c r="AM86" s="545">
        <f t="shared" si="208"/>
        <v>8100.0000000000018</v>
      </c>
      <c r="AN86" s="460">
        <f t="shared" si="209"/>
        <v>49.351830489243014</v>
      </c>
      <c r="AP86">
        <f t="shared" si="210"/>
        <v>8100.0000000000018</v>
      </c>
      <c r="AQ86">
        <f t="shared" si="211"/>
        <v>49.351830489243014</v>
      </c>
      <c r="AS86" s="5">
        <f t="shared" si="285"/>
        <v>20.262672936072054</v>
      </c>
      <c r="AT86" s="5">
        <f t="shared" si="212"/>
        <v>4.3057264083421201</v>
      </c>
      <c r="AU86" s="5">
        <f t="shared" si="286"/>
        <v>15.956946527729933</v>
      </c>
      <c r="AV86" s="5">
        <f t="shared" si="213"/>
        <v>15.756946527729934</v>
      </c>
      <c r="AW86" s="173">
        <f t="shared" si="287"/>
        <v>0.21249547983755745</v>
      </c>
      <c r="AX86" s="173">
        <f t="shared" si="214"/>
        <v>125.98134621631213</v>
      </c>
      <c r="AY86" s="173">
        <f t="shared" si="215"/>
        <v>8.1217370390876429</v>
      </c>
      <c r="AZ86" s="173">
        <f t="shared" si="288"/>
        <v>15.511625851711184</v>
      </c>
      <c r="BA86" s="460">
        <f t="shared" si="216"/>
        <v>232.50922605047455</v>
      </c>
      <c r="BB86" s="5">
        <f t="shared" si="217"/>
        <v>11.629669958626021</v>
      </c>
      <c r="BC86" s="5"/>
      <c r="BD86" s="173">
        <f t="shared" si="289"/>
        <v>5.4895922200412146</v>
      </c>
      <c r="BE86" s="173">
        <f t="shared" si="218"/>
        <v>10.567974695762885</v>
      </c>
      <c r="BF86" s="173"/>
      <c r="BG86" s="528">
        <f t="shared" si="219"/>
        <v>0.60271245484674063</v>
      </c>
      <c r="BH86" s="528">
        <f t="shared" si="220"/>
        <v>1.4068508140940914</v>
      </c>
      <c r="BI86" s="528">
        <f t="shared" si="221"/>
        <v>7.0925752792979982E-2</v>
      </c>
      <c r="BJ86" s="528">
        <f t="shared" si="222"/>
        <v>2.6812576823239766E-2</v>
      </c>
      <c r="BK86">
        <f t="shared" si="223"/>
        <v>2.5868615968599344E-2</v>
      </c>
      <c r="BL86" s="460">
        <f t="shared" si="290"/>
        <v>96.794368761579321</v>
      </c>
      <c r="BM86" s="528">
        <f t="shared" si="224"/>
        <v>2.5666663227920412</v>
      </c>
      <c r="BN86" s="460">
        <f t="shared" si="291"/>
        <v>2566.6663227920412</v>
      </c>
      <c r="BO86" s="528">
        <f t="shared" si="225"/>
        <v>5.0321250000000006</v>
      </c>
      <c r="BP86" s="528"/>
      <c r="BR86" s="460">
        <f t="shared" si="292"/>
        <v>5032.1250000000009</v>
      </c>
      <c r="BS86" s="528">
        <f t="shared" si="226"/>
        <v>0.90406868227011083</v>
      </c>
      <c r="BT86" s="528">
        <f t="shared" si="227"/>
        <v>3.3504626751085391</v>
      </c>
      <c r="BU86" s="528">
        <f t="shared" si="228"/>
        <v>1.8225000000000005</v>
      </c>
      <c r="BV86" s="528">
        <f t="shared" si="229"/>
        <v>10.760635918343837</v>
      </c>
      <c r="BW86" s="528">
        <f t="shared" si="230"/>
        <v>2.0996891036052019E-2</v>
      </c>
      <c r="BX86" s="460">
        <f t="shared" si="293"/>
        <v>10781.632809379889</v>
      </c>
      <c r="BY86" s="173">
        <f t="shared" si="231"/>
        <v>18.47721850093351</v>
      </c>
      <c r="BZ86" s="5">
        <f t="shared" si="294"/>
        <v>121.50000000000003</v>
      </c>
      <c r="CA86" s="173">
        <f t="shared" si="295"/>
        <v>0.86799838788902439</v>
      </c>
      <c r="CB86" s="5">
        <f t="shared" si="296"/>
        <v>86.799838788902434</v>
      </c>
      <c r="CE86" s="562">
        <f t="shared" si="232"/>
        <v>-50</v>
      </c>
      <c r="CF86">
        <f t="shared" si="233"/>
        <v>-50</v>
      </c>
      <c r="CG86" s="173">
        <f t="shared" si="234"/>
        <v>0.78765158899156207</v>
      </c>
      <c r="CI86" s="170">
        <v>81</v>
      </c>
      <c r="CJ86" s="217">
        <f t="shared" si="297"/>
        <v>8.1000000000000014</v>
      </c>
      <c r="CK86" s="217"/>
      <c r="CL86" s="217">
        <f t="shared" si="235"/>
        <v>121.50000000000003</v>
      </c>
      <c r="CM86" s="541">
        <f t="shared" si="236"/>
        <v>58</v>
      </c>
      <c r="CN86" s="172">
        <f t="shared" si="237"/>
        <v>15.4</v>
      </c>
      <c r="CO86" s="443">
        <f t="shared" si="238"/>
        <v>73.400000000000006</v>
      </c>
      <c r="CP86" s="443"/>
      <c r="CQ86" s="217">
        <f t="shared" si="239"/>
        <v>0.2098092643051771</v>
      </c>
      <c r="CR86" s="172">
        <f t="shared" si="240"/>
        <v>305.10568119891008</v>
      </c>
      <c r="CS86" s="172">
        <f t="shared" si="298"/>
        <v>121.50000000000003</v>
      </c>
      <c r="CT86" s="217">
        <f t="shared" si="241"/>
        <v>20.340378746594006</v>
      </c>
      <c r="CU86" s="217">
        <f t="shared" si="242"/>
        <v>15</v>
      </c>
      <c r="CV86" s="217">
        <f t="shared" si="243"/>
        <v>20.281562216167121</v>
      </c>
      <c r="CW86" s="172">
        <f t="shared" si="244"/>
        <v>121.20313024149789</v>
      </c>
      <c r="CX86" s="172">
        <f t="shared" si="245"/>
        <v>15</v>
      </c>
      <c r="CY86" s="217">
        <f t="shared" si="246"/>
        <v>19.968875951634576</v>
      </c>
      <c r="CZ86" s="217">
        <f t="shared" si="247"/>
        <v>4.1314915762002578</v>
      </c>
      <c r="DA86" s="217">
        <f t="shared" si="248"/>
        <v>15.560163079195775</v>
      </c>
      <c r="DB86" s="197">
        <f t="shared" si="249"/>
        <v>101.4078110808356</v>
      </c>
      <c r="DC86" s="443">
        <f t="shared" si="299"/>
        <v>50.782934065216992</v>
      </c>
      <c r="DE86" s="217">
        <f t="shared" si="250"/>
        <v>10</v>
      </c>
      <c r="DF86" s="173">
        <f t="shared" si="251"/>
        <v>7.7922077922077913</v>
      </c>
      <c r="DG86" s="173">
        <f t="shared" si="252"/>
        <v>3.9509536784741139</v>
      </c>
      <c r="DH86" s="173"/>
      <c r="DI86" s="173">
        <f t="shared" si="253"/>
        <v>7.7922077922077913</v>
      </c>
      <c r="DJ86" s="545">
        <f t="shared" si="300"/>
        <v>207.90000000000006</v>
      </c>
      <c r="DK86" s="528">
        <f t="shared" si="254"/>
        <v>3.9509536784741139</v>
      </c>
      <c r="DM86" s="173">
        <f t="shared" si="255"/>
        <v>7.7071395471990787</v>
      </c>
      <c r="DN86" s="173">
        <f t="shared" si="256"/>
        <v>19.968875951634576</v>
      </c>
      <c r="DO86" s="173">
        <f t="shared" si="257"/>
        <v>8.5843525567663512</v>
      </c>
      <c r="DQ86" s="545">
        <f t="shared" si="258"/>
        <v>8100.0000000000018</v>
      </c>
      <c r="DR86" s="460">
        <f t="shared" si="259"/>
        <v>50.782934065216992</v>
      </c>
      <c r="DT86">
        <f t="shared" si="260"/>
        <v>8100.0000000000018</v>
      </c>
      <c r="DU86">
        <f t="shared" si="261"/>
        <v>50.782934065216992</v>
      </c>
      <c r="DW86" s="5">
        <f t="shared" si="301"/>
        <v>19.691654655396032</v>
      </c>
      <c r="DX86" s="5">
        <f t="shared" si="262"/>
        <v>4.1314915762002578</v>
      </c>
      <c r="DY86" s="5">
        <f t="shared" si="302"/>
        <v>15.560163079195775</v>
      </c>
      <c r="DZ86" s="5">
        <f t="shared" si="263"/>
        <v>15.560163079195775</v>
      </c>
      <c r="EA86" s="173">
        <f t="shared" si="303"/>
        <v>0.20980926430517713</v>
      </c>
      <c r="EB86" s="173">
        <f t="shared" si="264"/>
        <v>121.50000000000003</v>
      </c>
      <c r="EC86" s="173">
        <f t="shared" si="265"/>
        <v>7.8896103896103913</v>
      </c>
      <c r="ED86" s="173">
        <f t="shared" si="304"/>
        <v>15.4</v>
      </c>
      <c r="EE86" s="460">
        <f t="shared" si="266"/>
        <v>223.10054511481397</v>
      </c>
      <c r="EF86" s="5">
        <f t="shared" si="267"/>
        <v>11.239951332474952</v>
      </c>
      <c r="EG86" s="5"/>
      <c r="EH86" s="173">
        <f t="shared" si="305"/>
        <v>5.2808681236470711</v>
      </c>
      <c r="EI86" s="173">
        <f t="shared" si="268"/>
        <v>10.248468216498086</v>
      </c>
      <c r="EJ86" s="173"/>
      <c r="EK86" s="528">
        <f t="shared" si="269"/>
        <v>0.55775136278703474</v>
      </c>
      <c r="EL86" s="528">
        <f t="shared" si="270"/>
        <v>1.4886666666666666</v>
      </c>
      <c r="EM86" s="528">
        <f t="shared" si="271"/>
        <v>6.3478667581521233E-3</v>
      </c>
      <c r="EN86" s="528">
        <f t="shared" si="272"/>
        <v>2.7359610425240048E-2</v>
      </c>
      <c r="EO86">
        <f t="shared" si="273"/>
        <v>2.6099999999999998E-2</v>
      </c>
      <c r="EP86" s="460">
        <f t="shared" si="306"/>
        <v>32.447866758152124</v>
      </c>
      <c r="EQ86" s="528">
        <f t="shared" si="274"/>
        <v>2.6015848886394379</v>
      </c>
      <c r="ER86" s="460">
        <f t="shared" si="307"/>
        <v>2601.5848886394378</v>
      </c>
      <c r="ES86" s="528">
        <f t="shared" si="308"/>
        <v>5.0321250000000006</v>
      </c>
      <c r="ET86" s="528"/>
      <c r="EV86" s="460">
        <f t="shared" si="309"/>
        <v>5032.1250000000009</v>
      </c>
      <c r="EW86" s="528">
        <f t="shared" si="275"/>
        <v>0.83662704418055212</v>
      </c>
      <c r="EX86" s="528">
        <f t="shared" si="276"/>
        <v>3.150933023537144</v>
      </c>
      <c r="EY86" s="528">
        <f t="shared" si="277"/>
        <v>1.6373763960187142</v>
      </c>
      <c r="EZ86" s="528">
        <f t="shared" si="278"/>
        <v>9.6651943102521631</v>
      </c>
      <c r="FA86" s="528">
        <f t="shared" si="279"/>
        <v>2.0250000000000004E-2</v>
      </c>
      <c r="FB86" s="460">
        <f t="shared" si="310"/>
        <v>9685.4443102521636</v>
      </c>
      <c r="FC86" s="173">
        <f t="shared" si="311"/>
        <v>17.319154198891603</v>
      </c>
      <c r="FD86" s="5">
        <f t="shared" si="312"/>
        <v>121.50000000000003</v>
      </c>
      <c r="FE86" s="173">
        <f t="shared" si="313"/>
        <v>0.87523944877176119</v>
      </c>
      <c r="FF86" s="5">
        <f t="shared" si="314"/>
        <v>87.52394487717612</v>
      </c>
      <c r="FI86" s="562">
        <f t="shared" si="280"/>
        <v>-50</v>
      </c>
      <c r="FJ86">
        <f t="shared" si="281"/>
        <v>-50</v>
      </c>
      <c r="FL86">
        <f t="shared" si="282"/>
        <v>0.7901907356948229</v>
      </c>
    </row>
    <row r="87" spans="5:168">
      <c r="E87" s="170">
        <v>82</v>
      </c>
      <c r="F87" s="217">
        <f t="shared" si="283"/>
        <v>8.1999999999999993</v>
      </c>
      <c r="G87" s="217"/>
      <c r="H87" s="217">
        <f t="shared" si="183"/>
        <v>122.99999999999999</v>
      </c>
      <c r="I87" s="541">
        <f t="shared" si="184"/>
        <v>57.479485742300234</v>
      </c>
      <c r="J87" s="172">
        <f t="shared" si="185"/>
        <v>15.71230855461986</v>
      </c>
      <c r="K87" s="172">
        <f t="shared" si="186"/>
        <v>73.712308554619852</v>
      </c>
      <c r="L87" s="443"/>
      <c r="M87" s="217">
        <f t="shared" si="187"/>
        <v>0.21466245212370055</v>
      </c>
      <c r="N87" s="172">
        <f t="shared" si="188"/>
        <v>309.36173873961457</v>
      </c>
      <c r="O87" s="172">
        <f t="shared" si="284"/>
        <v>122.99999999999999</v>
      </c>
      <c r="P87" s="217">
        <f t="shared" si="189"/>
        <v>20.624115915974304</v>
      </c>
      <c r="Q87" s="217">
        <f t="shared" si="190"/>
        <v>15</v>
      </c>
      <c r="R87" s="217">
        <f t="shared" si="191"/>
        <v>20.564478927085755</v>
      </c>
      <c r="S87" s="172">
        <f t="shared" si="192"/>
        <v>117.95710666442955</v>
      </c>
      <c r="T87" s="172">
        <f t="shared" si="193"/>
        <v>15</v>
      </c>
      <c r="U87" s="217">
        <f t="shared" si="194"/>
        <v>20.882740223421997</v>
      </c>
      <c r="V87" s="217">
        <f t="shared" si="195"/>
        <v>4.3596924962856436</v>
      </c>
      <c r="W87" s="217">
        <f t="shared" si="196"/>
        <v>15.948826476385779</v>
      </c>
      <c r="X87" s="197">
        <f t="shared" si="197"/>
        <v>102.82748954526566</v>
      </c>
      <c r="Y87" s="443">
        <f t="shared" si="198"/>
        <v>48.760225023198778</v>
      </c>
      <c r="AA87" s="217">
        <f t="shared" si="199"/>
        <v>10</v>
      </c>
      <c r="AB87" s="173">
        <f t="shared" si="200"/>
        <v>7.6373245588228125</v>
      </c>
      <c r="AC87" s="173">
        <f t="shared" si="201"/>
        <v>3.9266345561307676</v>
      </c>
      <c r="AD87" s="173"/>
      <c r="AE87" s="173">
        <f t="shared" si="202"/>
        <v>7.6373245588228125</v>
      </c>
      <c r="AF87" s="545">
        <f t="shared" si="203"/>
        <v>214.73488357980472</v>
      </c>
      <c r="AG87" s="528">
        <f t="shared" si="204"/>
        <v>3.9266345561307672</v>
      </c>
      <c r="AI87" s="173">
        <f t="shared" si="205"/>
        <v>7.8328043432696699</v>
      </c>
      <c r="AJ87" s="173">
        <f t="shared" si="206"/>
        <v>20.882740223421997</v>
      </c>
      <c r="AK87" s="173">
        <f t="shared" si="207"/>
        <v>9.2612890543866637</v>
      </c>
      <c r="AM87" s="545">
        <f t="shared" si="208"/>
        <v>8200</v>
      </c>
      <c r="AN87" s="460">
        <f t="shared" si="209"/>
        <v>48.760225023198778</v>
      </c>
      <c r="AP87">
        <f t="shared" si="210"/>
        <v>8200</v>
      </c>
      <c r="AQ87">
        <f t="shared" si="211"/>
        <v>48.760225023198778</v>
      </c>
      <c r="AS87" s="5">
        <f t="shared" si="285"/>
        <v>20.508518972671421</v>
      </c>
      <c r="AT87" s="5">
        <f t="shared" si="212"/>
        <v>4.3596924962856436</v>
      </c>
      <c r="AU87" s="5">
        <f t="shared" si="286"/>
        <v>16.148826476385779</v>
      </c>
      <c r="AV87" s="5">
        <f t="shared" si="213"/>
        <v>15.948826476385779</v>
      </c>
      <c r="AW87" s="173">
        <f t="shared" si="287"/>
        <v>0.21257958715083919</v>
      </c>
      <c r="AX87" s="173">
        <f t="shared" si="214"/>
        <v>127.58273958837383</v>
      </c>
      <c r="AY87" s="173">
        <f t="shared" si="215"/>
        <v>8.221747964074364</v>
      </c>
      <c r="AZ87" s="173">
        <f t="shared" si="288"/>
        <v>15.517714742151863</v>
      </c>
      <c r="BA87" s="460">
        <f t="shared" si="216"/>
        <v>238.32985646361519</v>
      </c>
      <c r="BB87" s="5">
        <f t="shared" si="217"/>
        <v>11.916129314442681</v>
      </c>
      <c r="BC87" s="5"/>
      <c r="BD87" s="173">
        <f t="shared" si="289"/>
        <v>5.5588843426986259</v>
      </c>
      <c r="BE87" s="173">
        <f t="shared" si="218"/>
        <v>10.698679884802413</v>
      </c>
      <c r="BF87" s="173"/>
      <c r="BG87" s="528">
        <f t="shared" si="219"/>
        <v>0.61802390270999863</v>
      </c>
      <c r="BH87" s="528">
        <f t="shared" si="220"/>
        <v>1.4073252250071642</v>
      </c>
      <c r="BI87" s="528">
        <f t="shared" si="221"/>
        <v>7.0067816475307632E-2</v>
      </c>
      <c r="BJ87" s="528">
        <f t="shared" si="222"/>
        <v>2.6493889879088229E-2</v>
      </c>
      <c r="BK87">
        <f t="shared" si="223"/>
        <v>2.5865768584035106E-2</v>
      </c>
      <c r="BL87" s="460">
        <f t="shared" si="290"/>
        <v>95.933585059342747</v>
      </c>
      <c r="BM87" s="528">
        <f t="shared" si="224"/>
        <v>2.6005859615064515</v>
      </c>
      <c r="BN87" s="460">
        <f t="shared" si="291"/>
        <v>2600.5859615064514</v>
      </c>
      <c r="BO87" s="528">
        <f t="shared" si="225"/>
        <v>5.0942499999999988</v>
      </c>
      <c r="BP87" s="528"/>
      <c r="BR87" s="460">
        <f t="shared" si="292"/>
        <v>5094.2499999999991</v>
      </c>
      <c r="BS87" s="528">
        <f t="shared" si="226"/>
        <v>0.92703585406499789</v>
      </c>
      <c r="BT87" s="528">
        <f t="shared" si="227"/>
        <v>3.4338525383242731</v>
      </c>
      <c r="BU87" s="528">
        <f t="shared" si="228"/>
        <v>1.8449999999999998</v>
      </c>
      <c r="BV87" s="528">
        <f t="shared" si="229"/>
        <v>11.138349546314455</v>
      </c>
      <c r="BW87" s="528">
        <f t="shared" si="230"/>
        <v>2.1263789931395639E-2</v>
      </c>
      <c r="BX87" s="460">
        <f t="shared" si="293"/>
        <v>11159.613336245851</v>
      </c>
      <c r="BY87" s="173">
        <f t="shared" si="231"/>
        <v>18.950382882811645</v>
      </c>
      <c r="BZ87" s="5">
        <f t="shared" si="294"/>
        <v>122.99999999999999</v>
      </c>
      <c r="CA87" s="173">
        <f t="shared" si="295"/>
        <v>0.86649995232167643</v>
      </c>
      <c r="CB87" s="5">
        <f t="shared" si="296"/>
        <v>86.64999523216764</v>
      </c>
      <c r="CE87" s="562">
        <f t="shared" si="232"/>
        <v>-50</v>
      </c>
      <c r="CF87">
        <f t="shared" si="233"/>
        <v>-50</v>
      </c>
      <c r="CG87" s="173">
        <f t="shared" si="234"/>
        <v>0.78768255419526034</v>
      </c>
      <c r="CI87" s="170">
        <v>82</v>
      </c>
      <c r="CJ87" s="217">
        <f t="shared" si="297"/>
        <v>8.1999999999999993</v>
      </c>
      <c r="CK87" s="217"/>
      <c r="CL87" s="217">
        <f t="shared" si="235"/>
        <v>122.99999999999999</v>
      </c>
      <c r="CM87" s="541">
        <f t="shared" si="236"/>
        <v>58</v>
      </c>
      <c r="CN87" s="172">
        <f t="shared" si="237"/>
        <v>15.4</v>
      </c>
      <c r="CO87" s="443">
        <f t="shared" si="238"/>
        <v>73.400000000000006</v>
      </c>
      <c r="CP87" s="443"/>
      <c r="CQ87" s="217">
        <f t="shared" si="239"/>
        <v>0.2098092643051771</v>
      </c>
      <c r="CR87" s="172">
        <f t="shared" si="240"/>
        <v>305.10568119891008</v>
      </c>
      <c r="CS87" s="172">
        <f t="shared" si="298"/>
        <v>122.99999999999999</v>
      </c>
      <c r="CT87" s="217">
        <f t="shared" si="241"/>
        <v>20.340378746594006</v>
      </c>
      <c r="CU87" s="217">
        <f t="shared" si="242"/>
        <v>15</v>
      </c>
      <c r="CV87" s="217">
        <f t="shared" si="243"/>
        <v>20.281562216167121</v>
      </c>
      <c r="CW87" s="172">
        <f t="shared" si="244"/>
        <v>119.02353485854435</v>
      </c>
      <c r="CX87" s="172">
        <f t="shared" si="245"/>
        <v>15</v>
      </c>
      <c r="CY87" s="217">
        <f t="shared" si="246"/>
        <v>20.215405284370799</v>
      </c>
      <c r="CZ87" s="217">
        <f t="shared" si="247"/>
        <v>4.1824976450422335</v>
      </c>
      <c r="DA87" s="217">
        <f t="shared" si="248"/>
        <v>15.75226385795127</v>
      </c>
      <c r="DB87" s="197">
        <f t="shared" si="249"/>
        <v>101.4078110808356</v>
      </c>
      <c r="DC87" s="443">
        <f t="shared" si="299"/>
        <v>50.163629991250964</v>
      </c>
      <c r="DE87" s="217">
        <f t="shared" si="250"/>
        <v>10</v>
      </c>
      <c r="DF87" s="173">
        <f t="shared" si="251"/>
        <v>7.7922077922077913</v>
      </c>
      <c r="DG87" s="173">
        <f t="shared" si="252"/>
        <v>3.9509536784741139</v>
      </c>
      <c r="DH87" s="173"/>
      <c r="DI87" s="173">
        <f t="shared" si="253"/>
        <v>7.7922077922077913</v>
      </c>
      <c r="DJ87" s="545">
        <f t="shared" si="300"/>
        <v>210.46666666666667</v>
      </c>
      <c r="DK87" s="528">
        <f t="shared" si="254"/>
        <v>3.9509536784741139</v>
      </c>
      <c r="DM87" s="173">
        <f t="shared" si="255"/>
        <v>7.7545685459175182</v>
      </c>
      <c r="DN87" s="173">
        <f t="shared" si="256"/>
        <v>20.215405284370799</v>
      </c>
      <c r="DO87" s="173">
        <f t="shared" si="257"/>
        <v>8.7669668773117024</v>
      </c>
      <c r="DQ87" s="545">
        <f t="shared" si="258"/>
        <v>8200</v>
      </c>
      <c r="DR87" s="460">
        <f t="shared" si="259"/>
        <v>50.163629991250964</v>
      </c>
      <c r="DT87">
        <f t="shared" si="260"/>
        <v>8200</v>
      </c>
      <c r="DU87">
        <f t="shared" si="261"/>
        <v>50.163629991250964</v>
      </c>
      <c r="DW87" s="5">
        <f t="shared" si="301"/>
        <v>19.934761502993503</v>
      </c>
      <c r="DX87" s="5">
        <f t="shared" si="262"/>
        <v>4.1824976450422335</v>
      </c>
      <c r="DY87" s="5">
        <f t="shared" si="302"/>
        <v>15.75226385795127</v>
      </c>
      <c r="DZ87" s="5">
        <f t="shared" si="263"/>
        <v>15.75226385795127</v>
      </c>
      <c r="EA87" s="173">
        <f t="shared" si="303"/>
        <v>0.2098092643051771</v>
      </c>
      <c r="EB87" s="173">
        <f t="shared" si="264"/>
        <v>123.00000000000003</v>
      </c>
      <c r="EC87" s="173">
        <f t="shared" si="265"/>
        <v>7.987012987012986</v>
      </c>
      <c r="ED87" s="173">
        <f t="shared" si="304"/>
        <v>15.400000000000006</v>
      </c>
      <c r="EE87" s="460">
        <f t="shared" si="266"/>
        <v>228.64320459564209</v>
      </c>
      <c r="EF87" s="5">
        <f t="shared" si="267"/>
        <v>11.519194141070191</v>
      </c>
      <c r="EG87" s="5"/>
      <c r="EH87" s="173">
        <f t="shared" si="305"/>
        <v>5.3460640264081443</v>
      </c>
      <c r="EI87" s="173">
        <f t="shared" si="268"/>
        <v>10.374992515467195</v>
      </c>
      <c r="EJ87" s="173"/>
      <c r="EK87" s="528">
        <f t="shared" si="269"/>
        <v>0.57160801148910523</v>
      </c>
      <c r="EL87" s="528">
        <f t="shared" si="270"/>
        <v>1.4886666666666672</v>
      </c>
      <c r="EM87" s="528">
        <f t="shared" si="271"/>
        <v>6.2704537489063697E-3</v>
      </c>
      <c r="EN87" s="528">
        <f t="shared" si="272"/>
        <v>2.7025956639566407E-2</v>
      </c>
      <c r="EO87">
        <f t="shared" si="273"/>
        <v>2.6099999999999998E-2</v>
      </c>
      <c r="EP87" s="460">
        <f t="shared" si="306"/>
        <v>32.370453748906371</v>
      </c>
      <c r="EQ87" s="528">
        <f t="shared" si="274"/>
        <v>2.6313842376729637</v>
      </c>
      <c r="ER87" s="460">
        <f t="shared" si="307"/>
        <v>2631.3842376729635</v>
      </c>
      <c r="ES87" s="528">
        <f t="shared" si="308"/>
        <v>5.0942499999999988</v>
      </c>
      <c r="ET87" s="528"/>
      <c r="EV87" s="460">
        <f t="shared" si="309"/>
        <v>5094.2499999999991</v>
      </c>
      <c r="EW87" s="528">
        <f t="shared" si="275"/>
        <v>0.85741201723365779</v>
      </c>
      <c r="EX87" s="528">
        <f t="shared" si="276"/>
        <v>3.2292140908800091</v>
      </c>
      <c r="EY87" s="528">
        <f t="shared" si="277"/>
        <v>1.637376396018714</v>
      </c>
      <c r="EZ87" s="528">
        <f t="shared" si="278"/>
        <v>9.9615101745115773</v>
      </c>
      <c r="FA87" s="528">
        <f t="shared" si="279"/>
        <v>2.0500000000000004E-2</v>
      </c>
      <c r="FB87" s="460">
        <f t="shared" si="310"/>
        <v>9982.0101745115771</v>
      </c>
      <c r="FC87" s="173">
        <f t="shared" si="311"/>
        <v>17.707644412184539</v>
      </c>
      <c r="FD87" s="5">
        <f t="shared" si="312"/>
        <v>122.99999999999999</v>
      </c>
      <c r="FE87" s="173">
        <f t="shared" si="313"/>
        <v>0.87415293258472637</v>
      </c>
      <c r="FF87" s="5">
        <f t="shared" si="314"/>
        <v>87.415293258472644</v>
      </c>
      <c r="FI87" s="562">
        <f t="shared" si="280"/>
        <v>-50</v>
      </c>
      <c r="FJ87">
        <f t="shared" si="281"/>
        <v>-50</v>
      </c>
      <c r="FL87">
        <f t="shared" si="282"/>
        <v>0.7901907356948229</v>
      </c>
    </row>
    <row r="88" spans="5:168">
      <c r="E88" s="170">
        <v>83</v>
      </c>
      <c r="F88" s="217">
        <f t="shared" si="283"/>
        <v>8.2999999999999989</v>
      </c>
      <c r="G88" s="217"/>
      <c r="H88" s="217">
        <f t="shared" si="183"/>
        <v>124.49999999999999</v>
      </c>
      <c r="I88" s="541">
        <f t="shared" si="184"/>
        <v>57.473158219476318</v>
      </c>
      <c r="J88" s="172">
        <f t="shared" si="185"/>
        <v>15.71610506831421</v>
      </c>
      <c r="K88" s="172">
        <f t="shared" si="186"/>
        <v>73.716105068314207</v>
      </c>
      <c r="L88" s="443"/>
      <c r="M88" s="217">
        <f t="shared" si="187"/>
        <v>0.21472174927701937</v>
      </c>
      <c r="N88" s="172">
        <f t="shared" si="188"/>
        <v>309.41313017155016</v>
      </c>
      <c r="O88" s="172">
        <f t="shared" si="284"/>
        <v>124.49999999999999</v>
      </c>
      <c r="P88" s="217">
        <f t="shared" si="189"/>
        <v>20.627542011436677</v>
      </c>
      <c r="Q88" s="217">
        <f t="shared" si="190"/>
        <v>15</v>
      </c>
      <c r="R88" s="217">
        <f t="shared" si="191"/>
        <v>20.567895115601431</v>
      </c>
      <c r="S88" s="172">
        <f t="shared" si="192"/>
        <v>115.83654412482339</v>
      </c>
      <c r="T88" s="172">
        <f t="shared" si="193"/>
        <v>15</v>
      </c>
      <c r="U88" s="217">
        <f t="shared" si="194"/>
        <v>21.139003894118947</v>
      </c>
      <c r="V88" s="217">
        <f t="shared" si="195"/>
        <v>4.413678569058785</v>
      </c>
      <c r="W88" s="217">
        <f t="shared" si="196"/>
        <v>16.140643348131874</v>
      </c>
      <c r="X88" s="197">
        <f t="shared" si="197"/>
        <v>102.84456952306117</v>
      </c>
      <c r="Y88" s="443">
        <f t="shared" si="198"/>
        <v>48.182735335318618</v>
      </c>
      <c r="AA88" s="217">
        <f t="shared" si="199"/>
        <v>9.9999999999999982</v>
      </c>
      <c r="AB88" s="173">
        <f t="shared" si="200"/>
        <v>7.6354796228701849</v>
      </c>
      <c r="AC88" s="173">
        <f t="shared" si="201"/>
        <v>3.9263380745809466</v>
      </c>
      <c r="AD88" s="173"/>
      <c r="AE88" s="173">
        <f t="shared" si="202"/>
        <v>7.6354796228701867</v>
      </c>
      <c r="AF88" s="545">
        <f t="shared" si="203"/>
        <v>217.40612011167985</v>
      </c>
      <c r="AG88" s="528">
        <f t="shared" si="204"/>
        <v>3.9263380745809489</v>
      </c>
      <c r="AI88" s="173">
        <f t="shared" si="205"/>
        <v>7.8813726163418272</v>
      </c>
      <c r="AJ88" s="173">
        <f t="shared" si="206"/>
        <v>21.139003894118947</v>
      </c>
      <c r="AK88" s="173">
        <f t="shared" si="207"/>
        <v>9.4511139956436629</v>
      </c>
      <c r="AM88" s="545">
        <f t="shared" si="208"/>
        <v>8299.9999999999982</v>
      </c>
      <c r="AN88" s="460">
        <f t="shared" si="209"/>
        <v>48.182735335318618</v>
      </c>
      <c r="AP88">
        <f t="shared" si="210"/>
        <v>8299.9999999999982</v>
      </c>
      <c r="AQ88">
        <f t="shared" si="211"/>
        <v>48.182735335318618</v>
      </c>
      <c r="AS88" s="5">
        <f t="shared" si="285"/>
        <v>20.754321917190659</v>
      </c>
      <c r="AT88" s="5">
        <f t="shared" si="212"/>
        <v>4.413678569058785</v>
      </c>
      <c r="AU88" s="5">
        <f t="shared" si="286"/>
        <v>16.340643348131874</v>
      </c>
      <c r="AV88" s="5">
        <f t="shared" si="213"/>
        <v>16.140643348131874</v>
      </c>
      <c r="AW88" s="173">
        <f t="shared" si="287"/>
        <v>0.21266310634812724</v>
      </c>
      <c r="AX88" s="173">
        <f t="shared" si="214"/>
        <v>129.18489577790939</v>
      </c>
      <c r="AY88" s="173">
        <f t="shared" si="215"/>
        <v>8.3217588304452264</v>
      </c>
      <c r="AZ88" s="173">
        <f t="shared" si="288"/>
        <v>15.523749054741328</v>
      </c>
      <c r="BA88" s="460">
        <f t="shared" si="216"/>
        <v>244.2235474879194</v>
      </c>
      <c r="BB88" s="5">
        <f t="shared" si="217"/>
        <v>12.206058354583</v>
      </c>
      <c r="BC88" s="5"/>
      <c r="BD88" s="173">
        <f t="shared" si="289"/>
        <v>5.6282057824904035</v>
      </c>
      <c r="BE88" s="173">
        <f t="shared" si="218"/>
        <v>10.829394945323596</v>
      </c>
      <c r="BF88" s="173"/>
      <c r="BG88" s="528">
        <f t="shared" si="219"/>
        <v>0.63353400660116832</v>
      </c>
      <c r="BH88" s="528">
        <f t="shared" si="220"/>
        <v>1.4077956614734595</v>
      </c>
      <c r="BI88" s="528">
        <f t="shared" si="221"/>
        <v>6.9230349284347972E-2</v>
      </c>
      <c r="BJ88" s="528">
        <f t="shared" si="222"/>
        <v>2.618280745631946E-2</v>
      </c>
      <c r="BK88">
        <f t="shared" si="223"/>
        <v>2.5862921198764342E-2</v>
      </c>
      <c r="BL88" s="460">
        <f t="shared" si="290"/>
        <v>95.093270483112306</v>
      </c>
      <c r="BM88" s="528">
        <f t="shared" si="224"/>
        <v>2.6352437913810873</v>
      </c>
      <c r="BN88" s="460">
        <f t="shared" si="291"/>
        <v>2635.2437913810872</v>
      </c>
      <c r="BO88" s="528">
        <f t="shared" si="225"/>
        <v>5.1563749999999988</v>
      </c>
      <c r="BP88" s="528"/>
      <c r="BR88" s="460">
        <f t="shared" si="292"/>
        <v>5156.3749999999991</v>
      </c>
      <c r="BS88" s="528">
        <f t="shared" si="226"/>
        <v>0.95030100990175248</v>
      </c>
      <c r="BT88" s="528">
        <f t="shared" si="227"/>
        <v>3.5182738464540075</v>
      </c>
      <c r="BU88" s="528">
        <f t="shared" si="228"/>
        <v>1.8674999999999997</v>
      </c>
      <c r="BV88" s="528">
        <f t="shared" si="229"/>
        <v>11.530538928922175</v>
      </c>
      <c r="BW88" s="528">
        <f t="shared" si="230"/>
        <v>2.1530815962984898E-2</v>
      </c>
      <c r="BX88" s="460">
        <f t="shared" si="293"/>
        <v>11552.069744885159</v>
      </c>
      <c r="BY88" s="173">
        <f t="shared" si="231"/>
        <v>19.438781806749358</v>
      </c>
      <c r="BZ88" s="5">
        <f t="shared" si="294"/>
        <v>124.49999999999999</v>
      </c>
      <c r="CA88" s="173">
        <f t="shared" si="295"/>
        <v>0.8649510468078877</v>
      </c>
      <c r="CB88" s="5">
        <f t="shared" si="296"/>
        <v>86.495104680788771</v>
      </c>
      <c r="CE88" s="562">
        <f t="shared" si="232"/>
        <v>-50</v>
      </c>
      <c r="CF88">
        <f t="shared" si="233"/>
        <v>-50</v>
      </c>
      <c r="CG88" s="173">
        <f t="shared" si="234"/>
        <v>0.78771277324947198</v>
      </c>
      <c r="CI88" s="170">
        <v>83</v>
      </c>
      <c r="CJ88" s="217">
        <f t="shared" si="297"/>
        <v>8.2999999999999989</v>
      </c>
      <c r="CK88" s="217"/>
      <c r="CL88" s="217">
        <f t="shared" si="235"/>
        <v>124.49999999999999</v>
      </c>
      <c r="CM88" s="541">
        <f t="shared" si="236"/>
        <v>58</v>
      </c>
      <c r="CN88" s="172">
        <f t="shared" si="237"/>
        <v>15.4</v>
      </c>
      <c r="CO88" s="443">
        <f t="shared" si="238"/>
        <v>73.400000000000006</v>
      </c>
      <c r="CP88" s="443"/>
      <c r="CQ88" s="217">
        <f t="shared" si="239"/>
        <v>0.2098092643051771</v>
      </c>
      <c r="CR88" s="172">
        <f t="shared" si="240"/>
        <v>305.10568119891008</v>
      </c>
      <c r="CS88" s="172">
        <f t="shared" si="298"/>
        <v>124.49999999999999</v>
      </c>
      <c r="CT88" s="217">
        <f t="shared" si="241"/>
        <v>20.340378746594006</v>
      </c>
      <c r="CU88" s="217">
        <f t="shared" si="242"/>
        <v>15</v>
      </c>
      <c r="CV88" s="217">
        <f t="shared" si="243"/>
        <v>20.281562216167121</v>
      </c>
      <c r="CW88" s="172">
        <f t="shared" si="244"/>
        <v>116.89658440125669</v>
      </c>
      <c r="CX88" s="172">
        <f t="shared" si="245"/>
        <v>15</v>
      </c>
      <c r="CY88" s="217">
        <f t="shared" si="246"/>
        <v>20.46193461710703</v>
      </c>
      <c r="CZ88" s="217">
        <f t="shared" si="247"/>
        <v>4.2335037138842129</v>
      </c>
      <c r="DA88" s="217">
        <f t="shared" si="248"/>
        <v>15.944364636706776</v>
      </c>
      <c r="DB88" s="197">
        <f t="shared" si="249"/>
        <v>101.4078110808356</v>
      </c>
      <c r="DC88" s="443">
        <f t="shared" si="299"/>
        <v>49.559248907019011</v>
      </c>
      <c r="DE88" s="217">
        <f t="shared" si="250"/>
        <v>10</v>
      </c>
      <c r="DF88" s="173">
        <f t="shared" si="251"/>
        <v>7.7922077922077913</v>
      </c>
      <c r="DG88" s="173">
        <f t="shared" si="252"/>
        <v>3.9509536784741139</v>
      </c>
      <c r="DH88" s="173"/>
      <c r="DI88" s="173">
        <f t="shared" si="253"/>
        <v>7.7922077922077913</v>
      </c>
      <c r="DJ88" s="545">
        <f t="shared" si="300"/>
        <v>213.0333333333333</v>
      </c>
      <c r="DK88" s="528">
        <f t="shared" si="254"/>
        <v>3.9509536784741139</v>
      </c>
      <c r="DM88" s="173">
        <f t="shared" si="255"/>
        <v>7.8017092144392732</v>
      </c>
      <c r="DN88" s="173">
        <f t="shared" si="256"/>
        <v>20.46193461710703</v>
      </c>
      <c r="DO88" s="173">
        <f t="shared" si="257"/>
        <v>8.949581197857059</v>
      </c>
      <c r="DQ88" s="545">
        <f t="shared" si="258"/>
        <v>8299.9999999999982</v>
      </c>
      <c r="DR88" s="460">
        <f t="shared" si="259"/>
        <v>49.559248907019011</v>
      </c>
      <c r="DT88">
        <f t="shared" si="260"/>
        <v>8299.9999999999982</v>
      </c>
      <c r="DU88">
        <f t="shared" si="261"/>
        <v>49.559248907019011</v>
      </c>
      <c r="DW88" s="5">
        <f t="shared" si="301"/>
        <v>20.177868350590987</v>
      </c>
      <c r="DX88" s="5">
        <f t="shared" si="262"/>
        <v>4.2335037138842129</v>
      </c>
      <c r="DY88" s="5">
        <f t="shared" si="302"/>
        <v>15.944364636706775</v>
      </c>
      <c r="DZ88" s="5">
        <f t="shared" si="263"/>
        <v>15.944364636706776</v>
      </c>
      <c r="EA88" s="173">
        <f t="shared" si="303"/>
        <v>0.20980926430517713</v>
      </c>
      <c r="EB88" s="173">
        <f t="shared" si="264"/>
        <v>124.5</v>
      </c>
      <c r="EC88" s="173">
        <f t="shared" si="265"/>
        <v>8.0844155844155843</v>
      </c>
      <c r="ED88" s="173">
        <f t="shared" si="304"/>
        <v>15.4</v>
      </c>
      <c r="EE88" s="460">
        <f t="shared" si="266"/>
        <v>234.25387216825976</v>
      </c>
      <c r="EF88" s="5">
        <f t="shared" si="267"/>
        <v>11.801863241795438</v>
      </c>
      <c r="EG88" s="5"/>
      <c r="EH88" s="173">
        <f t="shared" si="305"/>
        <v>5.4112599291692201</v>
      </c>
      <c r="EI88" s="173">
        <f t="shared" si="268"/>
        <v>10.501516814436309</v>
      </c>
      <c r="EJ88" s="173"/>
      <c r="EK88" s="528">
        <f t="shared" si="269"/>
        <v>0.58563468042064948</v>
      </c>
      <c r="EL88" s="528">
        <f t="shared" si="270"/>
        <v>1.4886666666666666</v>
      </c>
      <c r="EM88" s="528">
        <f t="shared" si="271"/>
        <v>6.1949061133773761E-3</v>
      </c>
      <c r="EN88" s="528">
        <f t="shared" si="272"/>
        <v>2.6700342704149938E-2</v>
      </c>
      <c r="EO88">
        <f t="shared" si="273"/>
        <v>2.6099999999999998E-2</v>
      </c>
      <c r="EP88" s="460">
        <f t="shared" si="306"/>
        <v>32.294906113377372</v>
      </c>
      <c r="EQ88" s="528">
        <f t="shared" si="274"/>
        <v>2.6617987361832167</v>
      </c>
      <c r="ER88" s="460">
        <f t="shared" si="307"/>
        <v>2661.7987361832165</v>
      </c>
      <c r="ES88" s="528">
        <f t="shared" si="308"/>
        <v>5.1563749999999988</v>
      </c>
      <c r="ET88" s="528"/>
      <c r="EV88" s="460">
        <f t="shared" si="309"/>
        <v>5156.3749999999991</v>
      </c>
      <c r="EW88" s="528">
        <f t="shared" si="275"/>
        <v>0.87845202063097416</v>
      </c>
      <c r="EX88" s="528">
        <f t="shared" si="276"/>
        <v>3.3084556621166556</v>
      </c>
      <c r="EY88" s="528">
        <f t="shared" si="277"/>
        <v>1.6373763960187155</v>
      </c>
      <c r="EZ88" s="528">
        <f t="shared" si="278"/>
        <v>10.268654644393104</v>
      </c>
      <c r="FA88" s="528">
        <f t="shared" si="279"/>
        <v>2.0750000000000001E-2</v>
      </c>
      <c r="FB88" s="460">
        <f t="shared" si="310"/>
        <v>10289.404644393104</v>
      </c>
      <c r="FC88" s="173">
        <f t="shared" si="311"/>
        <v>18.107578380576321</v>
      </c>
      <c r="FD88" s="5">
        <f t="shared" si="312"/>
        <v>124.49999999999999</v>
      </c>
      <c r="FE88" s="173">
        <f t="shared" si="313"/>
        <v>0.87302513242141522</v>
      </c>
      <c r="FF88" s="5">
        <f t="shared" si="314"/>
        <v>87.302513242141515</v>
      </c>
      <c r="FI88" s="562">
        <f t="shared" si="280"/>
        <v>-50</v>
      </c>
      <c r="FJ88">
        <f t="shared" si="281"/>
        <v>-50</v>
      </c>
      <c r="FL88">
        <f t="shared" si="282"/>
        <v>0.7901907356948229</v>
      </c>
    </row>
    <row r="89" spans="5:168">
      <c r="E89" s="170">
        <v>84</v>
      </c>
      <c r="F89" s="217">
        <f t="shared" si="283"/>
        <v>8.4</v>
      </c>
      <c r="G89" s="217"/>
      <c r="H89" s="217">
        <f t="shared" si="183"/>
        <v>126</v>
      </c>
      <c r="I89" s="541">
        <f t="shared" si="184"/>
        <v>57.46683069513859</v>
      </c>
      <c r="J89" s="172">
        <f t="shared" si="185"/>
        <v>15.719901582916847</v>
      </c>
      <c r="K89" s="172">
        <f t="shared" si="186"/>
        <v>73.719901582916847</v>
      </c>
      <c r="L89" s="443"/>
      <c r="M89" s="217">
        <f t="shared" si="187"/>
        <v>0.21478105053610935</v>
      </c>
      <c r="N89" s="172">
        <f t="shared" si="188"/>
        <v>309.46450869647202</v>
      </c>
      <c r="O89" s="172">
        <f t="shared" si="284"/>
        <v>126</v>
      </c>
      <c r="P89" s="217">
        <f t="shared" si="189"/>
        <v>20.630967246431467</v>
      </c>
      <c r="Q89" s="217">
        <f t="shared" si="190"/>
        <v>15</v>
      </c>
      <c r="R89" s="217">
        <f t="shared" si="191"/>
        <v>20.571310446137666</v>
      </c>
      <c r="S89" s="172">
        <f t="shared" si="192"/>
        <v>113.76674701527291</v>
      </c>
      <c r="T89" s="172">
        <f t="shared" si="193"/>
        <v>15</v>
      </c>
      <c r="U89" s="217">
        <f t="shared" si="194"/>
        <v>21.395306381067627</v>
      </c>
      <c r="V89" s="217">
        <f t="shared" si="195"/>
        <v>4.4676846359395759</v>
      </c>
      <c r="W89" s="217">
        <f t="shared" si="196"/>
        <v>16.332397198454498</v>
      </c>
      <c r="X89" s="197">
        <f t="shared" si="197"/>
        <v>102.86164521569005</v>
      </c>
      <c r="Y89" s="443">
        <f t="shared" si="198"/>
        <v>47.618862054251302</v>
      </c>
      <c r="AA89" s="217">
        <f t="shared" si="199"/>
        <v>10</v>
      </c>
      <c r="AB89" s="173">
        <f t="shared" si="200"/>
        <v>7.63363557761752</v>
      </c>
      <c r="AC89" s="173">
        <f t="shared" si="201"/>
        <v>3.9260415724538125</v>
      </c>
      <c r="AD89" s="173"/>
      <c r="AE89" s="173">
        <f t="shared" si="202"/>
        <v>7.63363557761752</v>
      </c>
      <c r="AF89" s="545">
        <f t="shared" si="203"/>
        <v>220.07862216083586</v>
      </c>
      <c r="AG89" s="528">
        <f t="shared" si="204"/>
        <v>3.9260415724538125</v>
      </c>
      <c r="AI89" s="173">
        <f t="shared" si="205"/>
        <v>7.9296662181750994</v>
      </c>
      <c r="AJ89" s="173">
        <f t="shared" si="206"/>
        <v>21.395306381067627</v>
      </c>
      <c r="AK89" s="173">
        <f t="shared" si="207"/>
        <v>9.640967689679723</v>
      </c>
      <c r="AM89" s="545">
        <f t="shared" si="208"/>
        <v>8400</v>
      </c>
      <c r="AN89" s="460">
        <f t="shared" si="209"/>
        <v>47.618862054251302</v>
      </c>
      <c r="AP89">
        <f t="shared" si="210"/>
        <v>8400</v>
      </c>
      <c r="AQ89">
        <f t="shared" si="211"/>
        <v>47.618862054251302</v>
      </c>
      <c r="AS89" s="5">
        <f t="shared" si="285"/>
        <v>21.00008183439407</v>
      </c>
      <c r="AT89" s="5">
        <f t="shared" si="212"/>
        <v>4.4676846359395759</v>
      </c>
      <c r="AU89" s="5">
        <f t="shared" si="286"/>
        <v>16.532397198454493</v>
      </c>
      <c r="AV89" s="5">
        <f t="shared" si="213"/>
        <v>16.332397198454498</v>
      </c>
      <c r="AW89" s="173">
        <f t="shared" si="287"/>
        <v>0.21274605838070465</v>
      </c>
      <c r="AX89" s="173">
        <f t="shared" si="214"/>
        <v>130.78781466175971</v>
      </c>
      <c r="AY89" s="173">
        <f t="shared" si="215"/>
        <v>8.4217696403239763</v>
      </c>
      <c r="AZ89" s="173">
        <f t="shared" si="288"/>
        <v>15.529730715447169</v>
      </c>
      <c r="BA89" s="460">
        <f t="shared" si="216"/>
        <v>250.19033961261627</v>
      </c>
      <c r="BB89" s="5">
        <f t="shared" si="217"/>
        <v>12.499456563915082</v>
      </c>
      <c r="BC89" s="5"/>
      <c r="BD89" s="173">
        <f t="shared" si="289"/>
        <v>5.697556543195887</v>
      </c>
      <c r="BE89" s="173">
        <f t="shared" si="218"/>
        <v>10.960119881506927</v>
      </c>
      <c r="BF89" s="173"/>
      <c r="BG89" s="528">
        <f t="shared" si="219"/>
        <v>0.64924301125828532</v>
      </c>
      <c r="BH89" s="528">
        <f t="shared" si="220"/>
        <v>1.4082622628451604</v>
      </c>
      <c r="BI89" s="528">
        <f t="shared" si="221"/>
        <v>6.841262708917048E-2</v>
      </c>
      <c r="BJ89" s="528">
        <f t="shared" si="222"/>
        <v>2.5879060530583666E-2</v>
      </c>
      <c r="BK89">
        <f t="shared" si="223"/>
        <v>2.5860073812812363E-2</v>
      </c>
      <c r="BL89" s="460">
        <f t="shared" si="290"/>
        <v>94.27270090198283</v>
      </c>
      <c r="BM89" s="528">
        <f t="shared" si="224"/>
        <v>2.6706556626899296</v>
      </c>
      <c r="BN89" s="460">
        <f t="shared" si="291"/>
        <v>2670.6556626899296</v>
      </c>
      <c r="BO89" s="528">
        <f t="shared" si="225"/>
        <v>5.2184999999999997</v>
      </c>
      <c r="BP89" s="528"/>
      <c r="BR89" s="460">
        <f t="shared" si="292"/>
        <v>5218.5</v>
      </c>
      <c r="BS89" s="528">
        <f t="shared" si="226"/>
        <v>0.97386451688742803</v>
      </c>
      <c r="BT89" s="528">
        <f t="shared" si="227"/>
        <v>3.6037268345101023</v>
      </c>
      <c r="BU89" s="528">
        <f t="shared" si="228"/>
        <v>1.89</v>
      </c>
      <c r="BV89" s="528">
        <f t="shared" si="229"/>
        <v>11.937993878079672</v>
      </c>
      <c r="BW89" s="528">
        <f t="shared" si="230"/>
        <v>2.1797969110293289E-2</v>
      </c>
      <c r="BX89" s="460">
        <f t="shared" si="293"/>
        <v>11959.791847189965</v>
      </c>
      <c r="BY89" s="173">
        <f t="shared" si="231"/>
        <v>19.943220210781874</v>
      </c>
      <c r="BZ89" s="5">
        <f t="shared" si="294"/>
        <v>126</v>
      </c>
      <c r="CA89" s="173">
        <f t="shared" si="295"/>
        <v>0.86334945753575665</v>
      </c>
      <c r="CB89" s="5">
        <f t="shared" si="296"/>
        <v>86.334945753575667</v>
      </c>
      <c r="CE89" s="562">
        <f t="shared" si="232"/>
        <v>-50</v>
      </c>
      <c r="CF89">
        <f t="shared" si="233"/>
        <v>-50</v>
      </c>
      <c r="CG89" s="173">
        <f t="shared" si="234"/>
        <v>0.78774227280239284</v>
      </c>
      <c r="CI89" s="170">
        <v>84</v>
      </c>
      <c r="CJ89" s="217">
        <f t="shared" si="297"/>
        <v>8.4</v>
      </c>
      <c r="CK89" s="217"/>
      <c r="CL89" s="217">
        <f t="shared" si="235"/>
        <v>126</v>
      </c>
      <c r="CM89" s="541">
        <f t="shared" si="236"/>
        <v>58</v>
      </c>
      <c r="CN89" s="172">
        <f t="shared" si="237"/>
        <v>15.4</v>
      </c>
      <c r="CO89" s="443">
        <f t="shared" si="238"/>
        <v>73.400000000000006</v>
      </c>
      <c r="CP89" s="443"/>
      <c r="CQ89" s="217">
        <f t="shared" si="239"/>
        <v>0.2098092643051771</v>
      </c>
      <c r="CR89" s="172">
        <f t="shared" si="240"/>
        <v>305.10568119891008</v>
      </c>
      <c r="CS89" s="172">
        <f t="shared" si="298"/>
        <v>126</v>
      </c>
      <c r="CT89" s="217">
        <f t="shared" si="241"/>
        <v>20.340378746594006</v>
      </c>
      <c r="CU89" s="217">
        <f t="shared" si="242"/>
        <v>15</v>
      </c>
      <c r="CV89" s="217">
        <f t="shared" si="243"/>
        <v>20.281562216167121</v>
      </c>
      <c r="CW89" s="172">
        <f t="shared" si="244"/>
        <v>114.82040085014921</v>
      </c>
      <c r="CX89" s="172">
        <f t="shared" si="245"/>
        <v>15</v>
      </c>
      <c r="CY89" s="217">
        <f t="shared" si="246"/>
        <v>20.70846394984326</v>
      </c>
      <c r="CZ89" s="217">
        <f t="shared" si="247"/>
        <v>4.2845097827261922</v>
      </c>
      <c r="DA89" s="217">
        <f t="shared" si="248"/>
        <v>16.136465415462283</v>
      </c>
      <c r="DB89" s="197">
        <f t="shared" si="249"/>
        <v>101.4078110808356</v>
      </c>
      <c r="DC89" s="443">
        <f t="shared" si="299"/>
        <v>48.969257848602105</v>
      </c>
      <c r="DE89" s="217">
        <f t="shared" si="250"/>
        <v>10</v>
      </c>
      <c r="DF89" s="173">
        <f t="shared" si="251"/>
        <v>7.7922077922077913</v>
      </c>
      <c r="DG89" s="173">
        <f t="shared" si="252"/>
        <v>3.9509536784741139</v>
      </c>
      <c r="DH89" s="173"/>
      <c r="DI89" s="173">
        <f t="shared" si="253"/>
        <v>7.7922077922077913</v>
      </c>
      <c r="DJ89" s="545">
        <f t="shared" si="300"/>
        <v>215.60000000000002</v>
      </c>
      <c r="DK89" s="528">
        <f t="shared" si="254"/>
        <v>3.9509536784741139</v>
      </c>
      <c r="DM89" s="173">
        <f t="shared" si="255"/>
        <v>7.8485667481394339</v>
      </c>
      <c r="DN89" s="173">
        <f t="shared" si="256"/>
        <v>20.70846394984326</v>
      </c>
      <c r="DO89" s="173">
        <f t="shared" si="257"/>
        <v>9.1321955184024155</v>
      </c>
      <c r="DQ89" s="545">
        <f t="shared" si="258"/>
        <v>8400</v>
      </c>
      <c r="DR89" s="460">
        <f t="shared" si="259"/>
        <v>48.969257848602105</v>
      </c>
      <c r="DT89">
        <f t="shared" si="260"/>
        <v>8400</v>
      </c>
      <c r="DU89">
        <f t="shared" si="261"/>
        <v>48.969257848602105</v>
      </c>
      <c r="DW89" s="5">
        <f t="shared" si="301"/>
        <v>20.420975198188476</v>
      </c>
      <c r="DX89" s="5">
        <f t="shared" si="262"/>
        <v>4.2845097827261922</v>
      </c>
      <c r="DY89" s="5">
        <f t="shared" si="302"/>
        <v>16.136465415462283</v>
      </c>
      <c r="DZ89" s="5">
        <f t="shared" si="263"/>
        <v>16.136465415462283</v>
      </c>
      <c r="EA89" s="173">
        <f t="shared" si="303"/>
        <v>0.2098092643051771</v>
      </c>
      <c r="EB89" s="173">
        <f t="shared" si="264"/>
        <v>125.99999999999997</v>
      </c>
      <c r="EC89" s="173">
        <f t="shared" si="265"/>
        <v>8.1818181818181817</v>
      </c>
      <c r="ED89" s="173">
        <f t="shared" si="304"/>
        <v>15.399999999999997</v>
      </c>
      <c r="EE89" s="460">
        <f t="shared" si="266"/>
        <v>239.93254783266678</v>
      </c>
      <c r="EF89" s="5">
        <f t="shared" si="267"/>
        <v>12.087958634650697</v>
      </c>
      <c r="EG89" s="5"/>
      <c r="EH89" s="173">
        <f t="shared" si="305"/>
        <v>5.4764558319302949</v>
      </c>
      <c r="EI89" s="173">
        <f t="shared" si="268"/>
        <v>10.628041113405422</v>
      </c>
      <c r="EJ89" s="173"/>
      <c r="EK89" s="528">
        <f t="shared" si="269"/>
        <v>0.59983136958166672</v>
      </c>
      <c r="EL89" s="528">
        <f t="shared" si="270"/>
        <v>1.4886666666666666</v>
      </c>
      <c r="EM89" s="528">
        <f t="shared" si="271"/>
        <v>6.1211572310752626E-3</v>
      </c>
      <c r="EN89" s="528">
        <f t="shared" si="272"/>
        <v>2.6382481481481482E-2</v>
      </c>
      <c r="EO89">
        <f t="shared" si="273"/>
        <v>2.6099999999999998E-2</v>
      </c>
      <c r="EP89" s="460">
        <f t="shared" si="306"/>
        <v>32.22115723107526</v>
      </c>
      <c r="EQ89" s="528">
        <f t="shared" si="274"/>
        <v>2.6928394428310551</v>
      </c>
      <c r="ER89" s="460">
        <f t="shared" si="307"/>
        <v>2692.8394428310553</v>
      </c>
      <c r="ES89" s="528">
        <f t="shared" si="308"/>
        <v>5.2184999999999997</v>
      </c>
      <c r="ET89" s="528"/>
      <c r="EV89" s="460">
        <f t="shared" si="309"/>
        <v>5218.5</v>
      </c>
      <c r="EW89" s="528">
        <f t="shared" si="275"/>
        <v>0.89974705437250013</v>
      </c>
      <c r="EX89" s="528">
        <f t="shared" si="276"/>
        <v>3.3886577372470783</v>
      </c>
      <c r="EY89" s="528">
        <f t="shared" si="277"/>
        <v>1.6373763960187127</v>
      </c>
      <c r="EZ89" s="528">
        <f t="shared" si="278"/>
        <v>10.587160839542177</v>
      </c>
      <c r="FA89" s="528">
        <f t="shared" si="279"/>
        <v>2.0999999999999994E-2</v>
      </c>
      <c r="FB89" s="460">
        <f t="shared" si="310"/>
        <v>10608.160839542177</v>
      </c>
      <c r="FC89" s="173">
        <f t="shared" si="311"/>
        <v>18.519500282373233</v>
      </c>
      <c r="FD89" s="5">
        <f t="shared" si="312"/>
        <v>126</v>
      </c>
      <c r="FE89" s="173">
        <f t="shared" si="313"/>
        <v>0.87185466150804269</v>
      </c>
      <c r="FF89" s="5">
        <f t="shared" si="314"/>
        <v>87.185466150804274</v>
      </c>
      <c r="FI89" s="562">
        <f t="shared" si="280"/>
        <v>-50</v>
      </c>
      <c r="FJ89">
        <f t="shared" si="281"/>
        <v>-50</v>
      </c>
      <c r="FL89">
        <f t="shared" si="282"/>
        <v>0.7901907356948229</v>
      </c>
    </row>
    <row r="90" spans="5:168">
      <c r="E90" s="170">
        <v>85</v>
      </c>
      <c r="F90" s="217">
        <f t="shared" si="283"/>
        <v>8.5</v>
      </c>
      <c r="G90" s="217"/>
      <c r="H90" s="217">
        <f t="shared" si="183"/>
        <v>127.5</v>
      </c>
      <c r="I90" s="541">
        <f t="shared" si="184"/>
        <v>57.46050316934064</v>
      </c>
      <c r="J90" s="172">
        <f t="shared" si="185"/>
        <v>15.723698098395614</v>
      </c>
      <c r="K90" s="172">
        <f t="shared" si="186"/>
        <v>73.723698098395616</v>
      </c>
      <c r="L90" s="443"/>
      <c r="M90" s="217">
        <f t="shared" si="187"/>
        <v>0.2148403559012427</v>
      </c>
      <c r="N90" s="172">
        <f t="shared" si="188"/>
        <v>309.5158743131002</v>
      </c>
      <c r="O90" s="172">
        <f t="shared" si="284"/>
        <v>127.5</v>
      </c>
      <c r="P90" s="217">
        <f t="shared" si="189"/>
        <v>20.634391620873348</v>
      </c>
      <c r="Q90" s="217">
        <f t="shared" si="190"/>
        <v>15</v>
      </c>
      <c r="R90" s="217">
        <f t="shared" si="191"/>
        <v>20.57472491860938</v>
      </c>
      <c r="S90" s="172">
        <f t="shared" si="192"/>
        <v>111.74592579329388</v>
      </c>
      <c r="T90" s="172">
        <f t="shared" si="193"/>
        <v>15</v>
      </c>
      <c r="U90" s="217">
        <f t="shared" si="194"/>
        <v>21.651647697091448</v>
      </c>
      <c r="V90" s="217">
        <f t="shared" si="195"/>
        <v>4.5217107062113264</v>
      </c>
      <c r="W90" s="217">
        <f t="shared" si="196"/>
        <v>16.524088082790676</v>
      </c>
      <c r="X90" s="197">
        <f t="shared" si="197"/>
        <v>102.87871662255959</v>
      </c>
      <c r="Y90" s="443">
        <f t="shared" si="198"/>
        <v>47.06812908901572</v>
      </c>
      <c r="AA90" s="217">
        <f t="shared" si="199"/>
        <v>10</v>
      </c>
      <c r="AB90" s="173">
        <f t="shared" si="200"/>
        <v>7.6317924224355567</v>
      </c>
      <c r="AC90" s="173">
        <f t="shared" si="201"/>
        <v>3.9257450497497262</v>
      </c>
      <c r="AD90" s="173"/>
      <c r="AE90" s="173">
        <f t="shared" si="202"/>
        <v>7.6317924224355567</v>
      </c>
      <c r="AF90" s="545">
        <f t="shared" si="203"/>
        <v>222.75238972727118</v>
      </c>
      <c r="AG90" s="528">
        <f t="shared" si="204"/>
        <v>3.9257450497497257</v>
      </c>
      <c r="AI90" s="173">
        <f t="shared" si="205"/>
        <v>7.9776901370056663</v>
      </c>
      <c r="AJ90" s="173">
        <f t="shared" si="206"/>
        <v>21.651647697091448</v>
      </c>
      <c r="AK90" s="173">
        <f t="shared" si="207"/>
        <v>9.830850145993665</v>
      </c>
      <c r="AM90" s="545">
        <f t="shared" si="208"/>
        <v>8500</v>
      </c>
      <c r="AN90" s="460">
        <f t="shared" si="209"/>
        <v>47.06812908901572</v>
      </c>
      <c r="AP90">
        <f t="shared" si="210"/>
        <v>8500</v>
      </c>
      <c r="AQ90">
        <f t="shared" si="211"/>
        <v>47.06812908901572</v>
      </c>
      <c r="AS90" s="5">
        <f t="shared" si="285"/>
        <v>21.245798789001999</v>
      </c>
      <c r="AT90" s="5">
        <f t="shared" si="212"/>
        <v>4.5217107062113264</v>
      </c>
      <c r="AU90" s="5">
        <f t="shared" si="286"/>
        <v>16.724088082790672</v>
      </c>
      <c r="AV90" s="5">
        <f t="shared" si="213"/>
        <v>16.524088082790676</v>
      </c>
      <c r="AW90" s="173">
        <f t="shared" si="287"/>
        <v>0.21282846322313917</v>
      </c>
      <c r="AX90" s="173">
        <f t="shared" si="214"/>
        <v>132.39149612251032</v>
      </c>
      <c r="AY90" s="173">
        <f t="shared" si="215"/>
        <v>8.5217803957353269</v>
      </c>
      <c r="AZ90" s="173">
        <f t="shared" si="288"/>
        <v>15.535661560671622</v>
      </c>
      <c r="BA90" s="460">
        <f t="shared" si="216"/>
        <v>256.2302733519752</v>
      </c>
      <c r="BB90" s="5">
        <f t="shared" si="217"/>
        <v>12.796323429040324</v>
      </c>
      <c r="BC90" s="5"/>
      <c r="BD90" s="173">
        <f t="shared" si="289"/>
        <v>5.7669366286929638</v>
      </c>
      <c r="BE90" s="173">
        <f t="shared" si="218"/>
        <v>11.090854697465591</v>
      </c>
      <c r="BF90" s="173"/>
      <c r="BG90" s="528">
        <f t="shared" si="219"/>
        <v>0.66515116158721133</v>
      </c>
      <c r="BH90" s="528">
        <f t="shared" si="220"/>
        <v>1.4087251619772243</v>
      </c>
      <c r="BI90" s="528">
        <f t="shared" si="221"/>
        <v>6.7613959517358047E-2</v>
      </c>
      <c r="BJ90" s="528">
        <f t="shared" si="222"/>
        <v>2.5582392619273663E-2</v>
      </c>
      <c r="BK90">
        <f t="shared" si="223"/>
        <v>2.5857226426203288E-2</v>
      </c>
      <c r="BL90" s="460">
        <f t="shared" si="290"/>
        <v>93.471185943561338</v>
      </c>
      <c r="BM90" s="528">
        <f t="shared" si="224"/>
        <v>2.706837976173746</v>
      </c>
      <c r="BN90" s="460">
        <f t="shared" si="291"/>
        <v>2706.837976173746</v>
      </c>
      <c r="BO90" s="528">
        <f t="shared" si="225"/>
        <v>5.2806249999999988</v>
      </c>
      <c r="BP90" s="528"/>
      <c r="BR90" s="460">
        <f t="shared" si="292"/>
        <v>5280.6249999999991</v>
      </c>
      <c r="BS90" s="528">
        <f t="shared" si="226"/>
        <v>0.99772674238081693</v>
      </c>
      <c r="BT90" s="528">
        <f t="shared" si="227"/>
        <v>3.6902117376088368</v>
      </c>
      <c r="BU90" s="528">
        <f t="shared" si="228"/>
        <v>1.9124999999999999</v>
      </c>
      <c r="BV90" s="528">
        <f t="shared" si="229"/>
        <v>12.361563742487236</v>
      </c>
      <c r="BW90" s="528">
        <f t="shared" si="230"/>
        <v>2.2065249353751721E-2</v>
      </c>
      <c r="BX90" s="460">
        <f t="shared" si="293"/>
        <v>12383.628991840988</v>
      </c>
      <c r="BY90" s="173">
        <f t="shared" si="231"/>
        <v>20.464563153958295</v>
      </c>
      <c r="BZ90" s="5">
        <f t="shared" si="294"/>
        <v>127.5</v>
      </c>
      <c r="CA90" s="173">
        <f t="shared" si="295"/>
        <v>0.86169280861752851</v>
      </c>
      <c r="CB90" s="5">
        <f t="shared" si="296"/>
        <v>86.169280861752853</v>
      </c>
      <c r="CE90" s="562">
        <f t="shared" si="232"/>
        <v>-50</v>
      </c>
      <c r="CF90">
        <f t="shared" si="233"/>
        <v>-50</v>
      </c>
      <c r="CG90" s="173">
        <f t="shared" si="234"/>
        <v>0.78777107824818604</v>
      </c>
      <c r="CI90" s="170">
        <v>85</v>
      </c>
      <c r="CJ90" s="217">
        <f t="shared" si="297"/>
        <v>8.5</v>
      </c>
      <c r="CK90" s="217"/>
      <c r="CL90" s="217">
        <f t="shared" si="235"/>
        <v>127.5</v>
      </c>
      <c r="CM90" s="541">
        <f t="shared" si="236"/>
        <v>58</v>
      </c>
      <c r="CN90" s="172">
        <f t="shared" si="237"/>
        <v>15.4</v>
      </c>
      <c r="CO90" s="443">
        <f t="shared" si="238"/>
        <v>73.400000000000006</v>
      </c>
      <c r="CP90" s="443"/>
      <c r="CQ90" s="217">
        <f t="shared" si="239"/>
        <v>0.2098092643051771</v>
      </c>
      <c r="CR90" s="172">
        <f t="shared" si="240"/>
        <v>305.10568119891008</v>
      </c>
      <c r="CS90" s="172">
        <f t="shared" si="298"/>
        <v>127.5</v>
      </c>
      <c r="CT90" s="217">
        <f t="shared" si="241"/>
        <v>20.340378746594006</v>
      </c>
      <c r="CU90" s="217">
        <f t="shared" si="242"/>
        <v>15</v>
      </c>
      <c r="CV90" s="217">
        <f t="shared" si="243"/>
        <v>20.281562216167121</v>
      </c>
      <c r="CW90" s="172">
        <f t="shared" si="244"/>
        <v>112.79319461238273</v>
      </c>
      <c r="CX90" s="172">
        <f t="shared" si="245"/>
        <v>15</v>
      </c>
      <c r="CY90" s="217">
        <f t="shared" si="246"/>
        <v>20.95499328257949</v>
      </c>
      <c r="CZ90" s="217">
        <f t="shared" si="247"/>
        <v>4.3355158515681707</v>
      </c>
      <c r="DA90" s="217">
        <f t="shared" si="248"/>
        <v>16.328566194217785</v>
      </c>
      <c r="DB90" s="197">
        <f t="shared" si="249"/>
        <v>101.4078110808356</v>
      </c>
      <c r="DC90" s="443">
        <f t="shared" si="299"/>
        <v>48.393148932736203</v>
      </c>
      <c r="DE90" s="217">
        <f t="shared" si="250"/>
        <v>10</v>
      </c>
      <c r="DF90" s="173">
        <f t="shared" si="251"/>
        <v>7.7922077922077913</v>
      </c>
      <c r="DG90" s="173">
        <f t="shared" si="252"/>
        <v>3.9509536784741139</v>
      </c>
      <c r="DH90" s="173"/>
      <c r="DI90" s="173">
        <f t="shared" si="253"/>
        <v>7.7922077922077913</v>
      </c>
      <c r="DJ90" s="545">
        <f t="shared" si="300"/>
        <v>218.16666666666669</v>
      </c>
      <c r="DK90" s="528">
        <f t="shared" si="254"/>
        <v>3.9509536784741139</v>
      </c>
      <c r="DM90" s="173">
        <f t="shared" si="255"/>
        <v>7.8951461882180078</v>
      </c>
      <c r="DN90" s="173">
        <f t="shared" si="256"/>
        <v>20.95499328257949</v>
      </c>
      <c r="DO90" s="173">
        <f t="shared" si="257"/>
        <v>9.3148098389477685</v>
      </c>
      <c r="DQ90" s="545">
        <f t="shared" si="258"/>
        <v>8500</v>
      </c>
      <c r="DR90" s="460">
        <f t="shared" si="259"/>
        <v>48.393148932736203</v>
      </c>
      <c r="DT90">
        <f t="shared" si="260"/>
        <v>8500</v>
      </c>
      <c r="DU90">
        <f t="shared" si="261"/>
        <v>48.393148932736203</v>
      </c>
      <c r="DW90" s="5">
        <f t="shared" si="301"/>
        <v>20.664082045785957</v>
      </c>
      <c r="DX90" s="5">
        <f t="shared" si="262"/>
        <v>4.3355158515681707</v>
      </c>
      <c r="DY90" s="5">
        <f t="shared" si="302"/>
        <v>16.328566194217785</v>
      </c>
      <c r="DZ90" s="5">
        <f t="shared" si="263"/>
        <v>16.328566194217785</v>
      </c>
      <c r="EA90" s="173">
        <f t="shared" si="303"/>
        <v>0.2098092643051771</v>
      </c>
      <c r="EB90" s="173">
        <f t="shared" si="264"/>
        <v>127.5</v>
      </c>
      <c r="EC90" s="173">
        <f t="shared" si="265"/>
        <v>8.279220779220779</v>
      </c>
      <c r="ED90" s="173">
        <f t="shared" si="304"/>
        <v>15.4</v>
      </c>
      <c r="EE90" s="460">
        <f t="shared" si="266"/>
        <v>245.67923158886302</v>
      </c>
      <c r="EF90" s="5">
        <f t="shared" si="267"/>
        <v>12.377480319635952</v>
      </c>
      <c r="EG90" s="5"/>
      <c r="EH90" s="173">
        <f t="shared" si="305"/>
        <v>5.5416517346913707</v>
      </c>
      <c r="EI90" s="173">
        <f t="shared" si="268"/>
        <v>10.754565412374534</v>
      </c>
      <c r="EJ90" s="173"/>
      <c r="EK90" s="528">
        <f t="shared" si="269"/>
        <v>0.61419807897215761</v>
      </c>
      <c r="EL90" s="528">
        <f t="shared" si="270"/>
        <v>1.4886666666666666</v>
      </c>
      <c r="EM90" s="528">
        <f t="shared" si="271"/>
        <v>6.0491436165920256E-3</v>
      </c>
      <c r="EN90" s="528">
        <f t="shared" si="272"/>
        <v>2.6072099346405232E-2</v>
      </c>
      <c r="EO90">
        <f t="shared" si="273"/>
        <v>2.6099999999999998E-2</v>
      </c>
      <c r="EP90" s="460">
        <f t="shared" si="306"/>
        <v>32.149143616592028</v>
      </c>
      <c r="EQ90" s="528">
        <f t="shared" si="274"/>
        <v>2.7245177871432578</v>
      </c>
      <c r="ER90" s="460">
        <f t="shared" si="307"/>
        <v>2724.5177871432579</v>
      </c>
      <c r="ES90" s="528">
        <f t="shared" si="308"/>
        <v>5.2806249999999988</v>
      </c>
      <c r="ET90" s="528"/>
      <c r="EV90" s="460">
        <f t="shared" si="309"/>
        <v>5280.6249999999991</v>
      </c>
      <c r="EW90" s="528">
        <f t="shared" si="275"/>
        <v>0.92129711845823625</v>
      </c>
      <c r="EX90" s="528">
        <f t="shared" si="276"/>
        <v>3.4698203162712788</v>
      </c>
      <c r="EY90" s="528">
        <f t="shared" si="277"/>
        <v>1.6373763960187127</v>
      </c>
      <c r="EZ90" s="528">
        <f t="shared" si="278"/>
        <v>10.917598630383958</v>
      </c>
      <c r="FA90" s="528">
        <f t="shared" si="279"/>
        <v>2.1250000000000002E-2</v>
      </c>
      <c r="FB90" s="460">
        <f t="shared" si="310"/>
        <v>10938.848630383958</v>
      </c>
      <c r="FC90" s="173">
        <f t="shared" si="311"/>
        <v>18.943991417527211</v>
      </c>
      <c r="FD90" s="5">
        <f t="shared" si="312"/>
        <v>127.5</v>
      </c>
      <c r="FE90" s="173">
        <f t="shared" si="313"/>
        <v>0.87064002261782192</v>
      </c>
      <c r="FF90" s="5">
        <f t="shared" si="314"/>
        <v>87.064002261782193</v>
      </c>
      <c r="FI90" s="562">
        <f t="shared" si="280"/>
        <v>-50</v>
      </c>
      <c r="FJ90">
        <f t="shared" si="281"/>
        <v>-50</v>
      </c>
      <c r="FL90">
        <f t="shared" si="282"/>
        <v>0.7901907356948229</v>
      </c>
    </row>
    <row r="91" spans="5:168">
      <c r="E91" s="170">
        <v>86</v>
      </c>
      <c r="F91" s="217">
        <f t="shared" si="283"/>
        <v>8.6</v>
      </c>
      <c r="G91" s="217"/>
      <c r="H91" s="217">
        <f t="shared" si="183"/>
        <v>129</v>
      </c>
      <c r="I91" s="541">
        <f t="shared" si="184"/>
        <v>57.454175642133578</v>
      </c>
      <c r="J91" s="172">
        <f t="shared" si="185"/>
        <v>15.727494614719856</v>
      </c>
      <c r="K91" s="172">
        <f t="shared" si="186"/>
        <v>73.727494614719859</v>
      </c>
      <c r="L91" s="443"/>
      <c r="M91" s="217">
        <f t="shared" si="187"/>
        <v>0.21489966537269903</v>
      </c>
      <c r="N91" s="172">
        <f t="shared" si="188"/>
        <v>309.56722702015207</v>
      </c>
      <c r="O91" s="172">
        <f t="shared" si="284"/>
        <v>129</v>
      </c>
      <c r="P91" s="217">
        <f t="shared" si="189"/>
        <v>20.637815134676806</v>
      </c>
      <c r="Q91" s="217">
        <f t="shared" si="190"/>
        <v>15</v>
      </c>
      <c r="R91" s="217">
        <f t="shared" si="191"/>
        <v>20.578138532931298</v>
      </c>
      <c r="S91" s="172">
        <f t="shared" si="192"/>
        <v>109.77237420090717</v>
      </c>
      <c r="T91" s="172">
        <f t="shared" si="193"/>
        <v>15</v>
      </c>
      <c r="U91" s="217">
        <f t="shared" si="194"/>
        <v>21.908027855019451</v>
      </c>
      <c r="V91" s="217">
        <f t="shared" si="195"/>
        <v>4.575756789162603</v>
      </c>
      <c r="W91" s="217">
        <f t="shared" si="196"/>
        <v>16.715716056528194</v>
      </c>
      <c r="X91" s="197">
        <f t="shared" si="197"/>
        <v>102.89578374308397</v>
      </c>
      <c r="Y91" s="443">
        <f t="shared" si="198"/>
        <v>46.530082287985557</v>
      </c>
      <c r="AA91" s="217">
        <f t="shared" si="199"/>
        <v>9.9999999999999982</v>
      </c>
      <c r="AB91" s="173">
        <f t="shared" si="200"/>
        <v>7.6299501566949015</v>
      </c>
      <c r="AC91" s="173">
        <f t="shared" si="201"/>
        <v>3.9254485064689408</v>
      </c>
      <c r="AD91" s="173"/>
      <c r="AE91" s="173">
        <f t="shared" si="202"/>
        <v>7.6299501566949033</v>
      </c>
      <c r="AF91" s="545">
        <f t="shared" si="203"/>
        <v>225.42742281098458</v>
      </c>
      <c r="AG91" s="528">
        <f t="shared" si="204"/>
        <v>3.9254485064689422</v>
      </c>
      <c r="AI91" s="173">
        <f t="shared" si="205"/>
        <v>8.0254492141470024</v>
      </c>
      <c r="AJ91" s="173">
        <f t="shared" si="206"/>
        <v>21.908027855019451</v>
      </c>
      <c r="AK91" s="173">
        <f t="shared" si="207"/>
        <v>10.020761374088481</v>
      </c>
      <c r="AM91" s="545">
        <f t="shared" si="208"/>
        <v>8600</v>
      </c>
      <c r="AN91" s="460">
        <f t="shared" si="209"/>
        <v>46.530082287985557</v>
      </c>
      <c r="AP91">
        <f t="shared" si="210"/>
        <v>8600</v>
      </c>
      <c r="AQ91">
        <f t="shared" si="211"/>
        <v>46.530082287985557</v>
      </c>
      <c r="AS91" s="5">
        <f t="shared" si="285"/>
        <v>21.491472845690801</v>
      </c>
      <c r="AT91" s="5">
        <f t="shared" si="212"/>
        <v>4.575756789162603</v>
      </c>
      <c r="AU91" s="5">
        <f t="shared" si="286"/>
        <v>16.915716056528197</v>
      </c>
      <c r="AV91" s="5">
        <f t="shared" si="213"/>
        <v>16.715716056528194</v>
      </c>
      <c r="AW91" s="173">
        <f t="shared" si="287"/>
        <v>0.21291033992954447</v>
      </c>
      <c r="AX91" s="173">
        <f t="shared" si="214"/>
        <v>133.99594004816029</v>
      </c>
      <c r="AY91" s="173">
        <f t="shared" si="215"/>
        <v>8.6217910986106663</v>
      </c>
      <c r="AZ91" s="173">
        <f t="shared" si="288"/>
        <v>15.541543342398157</v>
      </c>
      <c r="BA91" s="460">
        <f t="shared" si="216"/>
        <v>262.34338924532256</v>
      </c>
      <c r="BB91" s="5">
        <f t="shared" si="217"/>
        <v>13.096658438292151</v>
      </c>
      <c r="BC91" s="5"/>
      <c r="BD91" s="173">
        <f t="shared" si="289"/>
        <v>5.8363460429526102</v>
      </c>
      <c r="BE91" s="173">
        <f t="shared" si="218"/>
        <v>11.221599397249371</v>
      </c>
      <c r="BF91" s="173"/>
      <c r="BG91" s="528">
        <f t="shared" si="219"/>
        <v>0.68125870266177191</v>
      </c>
      <c r="BH91" s="528">
        <f t="shared" si="220"/>
        <v>1.4091844856016438</v>
      </c>
      <c r="BI91" s="528">
        <f t="shared" si="221"/>
        <v>6.6833688010421263E-2</v>
      </c>
      <c r="BJ91" s="528">
        <f t="shared" si="222"/>
        <v>2.5292559059084934E-2</v>
      </c>
      <c r="BK91">
        <f t="shared" si="223"/>
        <v>2.585437903896011E-2</v>
      </c>
      <c r="BL91" s="460">
        <f t="shared" si="290"/>
        <v>92.688067049381374</v>
      </c>
      <c r="BM91" s="528">
        <f t="shared" si="224"/>
        <v>2.7438077046731695</v>
      </c>
      <c r="BN91" s="460">
        <f t="shared" si="291"/>
        <v>2743.8077046731696</v>
      </c>
      <c r="BO91" s="528">
        <f t="shared" si="225"/>
        <v>5.3427499999999997</v>
      </c>
      <c r="BP91" s="528"/>
      <c r="BR91" s="460">
        <f t="shared" si="292"/>
        <v>5342.75</v>
      </c>
      <c r="BS91" s="528">
        <f t="shared" si="226"/>
        <v>1.0218880539926578</v>
      </c>
      <c r="BT91" s="528">
        <f t="shared" si="227"/>
        <v>3.7777287909704231</v>
      </c>
      <c r="BU91" s="528">
        <f t="shared" si="228"/>
        <v>1.9349999999999998</v>
      </c>
      <c r="BV91" s="528">
        <f t="shared" si="229"/>
        <v>12.802163101772967</v>
      </c>
      <c r="BW91" s="528">
        <f t="shared" si="230"/>
        <v>2.2332656674693384E-2</v>
      </c>
      <c r="BX91" s="460">
        <f t="shared" si="293"/>
        <v>12824.495758447662</v>
      </c>
      <c r="BY91" s="173">
        <f t="shared" si="231"/>
        <v>21.003741530170213</v>
      </c>
      <c r="BZ91" s="5">
        <f t="shared" si="294"/>
        <v>129</v>
      </c>
      <c r="CA91" s="173">
        <f t="shared" si="295"/>
        <v>0.85997854909541893</v>
      </c>
      <c r="CB91" s="5">
        <f t="shared" si="296"/>
        <v>85.9978549095419</v>
      </c>
      <c r="CE91" s="562">
        <f t="shared" si="232"/>
        <v>-50</v>
      </c>
      <c r="CF91">
        <f t="shared" si="233"/>
        <v>-50</v>
      </c>
      <c r="CG91" s="173">
        <f t="shared" si="234"/>
        <v>0.78779921379989104</v>
      </c>
      <c r="CI91" s="170">
        <v>86</v>
      </c>
      <c r="CJ91" s="217">
        <f t="shared" si="297"/>
        <v>8.6</v>
      </c>
      <c r="CK91" s="217"/>
      <c r="CL91" s="217">
        <f t="shared" si="235"/>
        <v>129</v>
      </c>
      <c r="CM91" s="541">
        <f t="shared" si="236"/>
        <v>58</v>
      </c>
      <c r="CN91" s="172">
        <f t="shared" si="237"/>
        <v>15.4</v>
      </c>
      <c r="CO91" s="443">
        <f t="shared" si="238"/>
        <v>73.400000000000006</v>
      </c>
      <c r="CP91" s="443"/>
      <c r="CQ91" s="217">
        <f t="shared" si="239"/>
        <v>0.2098092643051771</v>
      </c>
      <c r="CR91" s="172">
        <f t="shared" si="240"/>
        <v>305.10568119891008</v>
      </c>
      <c r="CS91" s="172">
        <f t="shared" si="298"/>
        <v>129</v>
      </c>
      <c r="CT91" s="217">
        <f t="shared" si="241"/>
        <v>20.340378746594006</v>
      </c>
      <c r="CU91" s="217">
        <f t="shared" si="242"/>
        <v>15</v>
      </c>
      <c r="CV91" s="217">
        <f t="shared" si="243"/>
        <v>20.281562216167121</v>
      </c>
      <c r="CW91" s="172">
        <f t="shared" si="244"/>
        <v>110.81325938207054</v>
      </c>
      <c r="CX91" s="172">
        <f t="shared" si="245"/>
        <v>15</v>
      </c>
      <c r="CY91" s="217">
        <f t="shared" si="246"/>
        <v>21.201522615315721</v>
      </c>
      <c r="CZ91" s="217">
        <f t="shared" si="247"/>
        <v>4.38652192041015</v>
      </c>
      <c r="DA91" s="217">
        <f t="shared" si="248"/>
        <v>16.520666972973288</v>
      </c>
      <c r="DB91" s="197">
        <f t="shared" si="249"/>
        <v>101.4078110808356</v>
      </c>
      <c r="DC91" s="443">
        <f t="shared" si="299"/>
        <v>47.830437898634621</v>
      </c>
      <c r="DE91" s="217">
        <f t="shared" si="250"/>
        <v>10</v>
      </c>
      <c r="DF91" s="173">
        <f t="shared" si="251"/>
        <v>7.7922077922077913</v>
      </c>
      <c r="DG91" s="173">
        <f t="shared" si="252"/>
        <v>3.9509536784741139</v>
      </c>
      <c r="DH91" s="173"/>
      <c r="DI91" s="173">
        <f t="shared" si="253"/>
        <v>7.7922077922077913</v>
      </c>
      <c r="DJ91" s="545">
        <f t="shared" si="300"/>
        <v>220.73333333333335</v>
      </c>
      <c r="DK91" s="528">
        <f t="shared" si="254"/>
        <v>3.9509536784741139</v>
      </c>
      <c r="DM91" s="173">
        <f t="shared" si="255"/>
        <v>7.9414524280301944</v>
      </c>
      <c r="DN91" s="173">
        <f t="shared" si="256"/>
        <v>21.201522615315721</v>
      </c>
      <c r="DO91" s="173">
        <f t="shared" si="257"/>
        <v>9.497424159493125</v>
      </c>
      <c r="DQ91" s="545">
        <f t="shared" si="258"/>
        <v>8600</v>
      </c>
      <c r="DR91" s="460">
        <f t="shared" si="259"/>
        <v>47.830437898634621</v>
      </c>
      <c r="DT91">
        <f t="shared" si="260"/>
        <v>8600</v>
      </c>
      <c r="DU91">
        <f t="shared" si="261"/>
        <v>47.830437898634621</v>
      </c>
      <c r="DW91" s="5">
        <f t="shared" si="301"/>
        <v>20.907188893383438</v>
      </c>
      <c r="DX91" s="5">
        <f t="shared" si="262"/>
        <v>4.38652192041015</v>
      </c>
      <c r="DY91" s="5">
        <f t="shared" si="302"/>
        <v>16.520666972973288</v>
      </c>
      <c r="DZ91" s="5">
        <f t="shared" si="263"/>
        <v>16.520666972973288</v>
      </c>
      <c r="EA91" s="173">
        <f t="shared" si="303"/>
        <v>0.20980926430517716</v>
      </c>
      <c r="EB91" s="173">
        <f t="shared" si="264"/>
        <v>129.00000000000003</v>
      </c>
      <c r="EC91" s="173">
        <f t="shared" si="265"/>
        <v>8.3766233766233764</v>
      </c>
      <c r="ED91" s="173">
        <f t="shared" si="304"/>
        <v>15.400000000000004</v>
      </c>
      <c r="EE91" s="460">
        <f t="shared" si="266"/>
        <v>251.49392343684858</v>
      </c>
      <c r="EF91" s="5">
        <f t="shared" si="267"/>
        <v>12.670428296751213</v>
      </c>
      <c r="EG91" s="5"/>
      <c r="EH91" s="173">
        <f t="shared" si="305"/>
        <v>5.6068476374524465</v>
      </c>
      <c r="EI91" s="173">
        <f t="shared" si="268"/>
        <v>10.881089711343646</v>
      </c>
      <c r="EJ91" s="173"/>
      <c r="EK91" s="528">
        <f t="shared" si="269"/>
        <v>0.62873480859212172</v>
      </c>
      <c r="EL91" s="528">
        <f t="shared" si="270"/>
        <v>1.4886666666666668</v>
      </c>
      <c r="EM91" s="528">
        <f t="shared" si="271"/>
        <v>5.9788047373293268E-3</v>
      </c>
      <c r="EN91" s="528">
        <f t="shared" si="272"/>
        <v>2.5768935400516797E-2</v>
      </c>
      <c r="EO91">
        <f t="shared" si="273"/>
        <v>2.6099999999999998E-2</v>
      </c>
      <c r="EP91" s="460">
        <f t="shared" si="306"/>
        <v>32.078804737329328</v>
      </c>
      <c r="EQ91" s="528">
        <f t="shared" si="274"/>
        <v>2.756845581156115</v>
      </c>
      <c r="ER91" s="460">
        <f t="shared" si="307"/>
        <v>2756.8455811561148</v>
      </c>
      <c r="ES91" s="528">
        <f t="shared" si="308"/>
        <v>5.3427499999999997</v>
      </c>
      <c r="ET91" s="528"/>
      <c r="EV91" s="460">
        <f t="shared" si="309"/>
        <v>5342.75</v>
      </c>
      <c r="EW91" s="528">
        <f t="shared" si="275"/>
        <v>0.94310221288818241</v>
      </c>
      <c r="EX91" s="528">
        <f t="shared" si="276"/>
        <v>3.5519433991892568</v>
      </c>
      <c r="EY91" s="528">
        <f t="shared" si="277"/>
        <v>1.6373763960187171</v>
      </c>
      <c r="EZ91" s="528">
        <f t="shared" si="278"/>
        <v>11.260577833326973</v>
      </c>
      <c r="FA91" s="528">
        <f t="shared" si="279"/>
        <v>2.1500000000000005E-2</v>
      </c>
      <c r="FB91" s="460">
        <f t="shared" si="310"/>
        <v>11282.077833326974</v>
      </c>
      <c r="FC91" s="173">
        <f t="shared" si="311"/>
        <v>19.381673414483085</v>
      </c>
      <c r="FD91" s="5">
        <f t="shared" si="312"/>
        <v>129</v>
      </c>
      <c r="FE91" s="173">
        <f t="shared" si="313"/>
        <v>0.86937960080593546</v>
      </c>
      <c r="FF91" s="5">
        <f t="shared" si="314"/>
        <v>86.937960080593541</v>
      </c>
      <c r="FI91" s="562">
        <f t="shared" si="280"/>
        <v>-50</v>
      </c>
      <c r="FJ91">
        <f t="shared" si="281"/>
        <v>-50</v>
      </c>
      <c r="FL91">
        <f t="shared" si="282"/>
        <v>0.79019073569482279</v>
      </c>
    </row>
    <row r="92" spans="5:168">
      <c r="E92" s="170">
        <v>87</v>
      </c>
      <c r="F92" s="217">
        <f t="shared" si="283"/>
        <v>8.6999999999999993</v>
      </c>
      <c r="G92" s="217"/>
      <c r="H92" s="217">
        <f t="shared" si="183"/>
        <v>130.5</v>
      </c>
      <c r="I92" s="541">
        <f t="shared" si="184"/>
        <v>57.447848113566117</v>
      </c>
      <c r="J92" s="172">
        <f t="shared" si="185"/>
        <v>15.731291131860329</v>
      </c>
      <c r="K92" s="172">
        <f t="shared" si="186"/>
        <v>73.731291131860331</v>
      </c>
      <c r="L92" s="443"/>
      <c r="M92" s="217">
        <f t="shared" si="187"/>
        <v>0.21495897895076466</v>
      </c>
      <c r="N92" s="172">
        <f t="shared" si="188"/>
        <v>309.61856681634191</v>
      </c>
      <c r="O92" s="172">
        <f t="shared" si="284"/>
        <v>130.5</v>
      </c>
      <c r="P92" s="217">
        <f t="shared" si="189"/>
        <v>20.641237787756129</v>
      </c>
      <c r="Q92" s="217">
        <f t="shared" si="190"/>
        <v>15</v>
      </c>
      <c r="R92" s="217">
        <f t="shared" si="191"/>
        <v>20.581551289017973</v>
      </c>
      <c r="S92" s="172">
        <f t="shared" si="192"/>
        <v>107.84446447958908</v>
      </c>
      <c r="T92" s="172">
        <f t="shared" si="193"/>
        <v>15</v>
      </c>
      <c r="U92" s="217">
        <f t="shared" si="194"/>
        <v>22.16444686768633</v>
      </c>
      <c r="V92" s="217">
        <f t="shared" si="195"/>
        <v>4.6298228940872592</v>
      </c>
      <c r="W92" s="217">
        <f t="shared" si="196"/>
        <v>16.907281175005682</v>
      </c>
      <c r="X92" s="197">
        <f t="shared" si="197"/>
        <v>102.91284657668373</v>
      </c>
      <c r="Y92" s="443">
        <f t="shared" si="198"/>
        <v>46.004288189513581</v>
      </c>
      <c r="AA92" s="217">
        <f t="shared" si="199"/>
        <v>10</v>
      </c>
      <c r="AB92" s="173">
        <f t="shared" si="200"/>
        <v>7.6281087797660767</v>
      </c>
      <c r="AC92" s="173">
        <f t="shared" si="201"/>
        <v>3.9251519426116026</v>
      </c>
      <c r="AD92" s="173"/>
      <c r="AE92" s="173">
        <f t="shared" si="202"/>
        <v>7.6281087797660767</v>
      </c>
      <c r="AF92" s="545">
        <f t="shared" si="203"/>
        <v>228.10372141197476</v>
      </c>
      <c r="AG92" s="528">
        <f t="shared" si="204"/>
        <v>3.9251519426116026</v>
      </c>
      <c r="AI92" s="173">
        <f t="shared" si="205"/>
        <v>8.0729481499631088</v>
      </c>
      <c r="AJ92" s="173">
        <f t="shared" si="206"/>
        <v>22.16444686768633</v>
      </c>
      <c r="AK92" s="173">
        <f t="shared" si="207"/>
        <v>10.210701383471354</v>
      </c>
      <c r="AM92" s="545">
        <f t="shared" si="208"/>
        <v>8700</v>
      </c>
      <c r="AN92" s="460">
        <f t="shared" si="209"/>
        <v>46.004288189513581</v>
      </c>
      <c r="AP92">
        <f t="shared" si="210"/>
        <v>8700</v>
      </c>
      <c r="AQ92">
        <f t="shared" si="211"/>
        <v>46.004288189513581</v>
      </c>
      <c r="AS92" s="5">
        <f t="shared" si="285"/>
        <v>21.73710406909294</v>
      </c>
      <c r="AT92" s="5">
        <f t="shared" si="212"/>
        <v>4.6298228940872592</v>
      </c>
      <c r="AU92" s="5">
        <f t="shared" si="286"/>
        <v>17.107281175005681</v>
      </c>
      <c r="AV92" s="5">
        <f t="shared" si="213"/>
        <v>16.907281175005682</v>
      </c>
      <c r="AW92" s="173">
        <f t="shared" si="287"/>
        <v>0.21299170668599809</v>
      </c>
      <c r="AX92" s="173">
        <f t="shared" si="214"/>
        <v>135.60114633181402</v>
      </c>
      <c r="AY92" s="173">
        <f t="shared" si="215"/>
        <v>8.7218017507933467</v>
      </c>
      <c r="AZ92" s="173">
        <f t="shared" si="288"/>
        <v>15.547377732987288</v>
      </c>
      <c r="BA92" s="460">
        <f t="shared" si="216"/>
        <v>268.529727857061</v>
      </c>
      <c r="BB92" s="5">
        <f t="shared" si="217"/>
        <v>13.400461081734814</v>
      </c>
      <c r="BC92" s="5"/>
      <c r="BD92" s="173">
        <f t="shared" si="289"/>
        <v>5.9057847900338318</v>
      </c>
      <c r="BE92" s="173">
        <f t="shared" si="218"/>
        <v>11.352353984848333</v>
      </c>
      <c r="BF92" s="173"/>
      <c r="BG92" s="528">
        <f t="shared" si="219"/>
        <v>0.69756587972389905</v>
      </c>
      <c r="BH92" s="528">
        <f t="shared" si="220"/>
        <v>1.4096403546761278</v>
      </c>
      <c r="BI92" s="528">
        <f t="shared" si="221"/>
        <v>6.6071184012097495E-2</v>
      </c>
      <c r="BJ92" s="528">
        <f t="shared" si="222"/>
        <v>2.5009326332944198E-2</v>
      </c>
      <c r="BK92">
        <f t="shared" si="223"/>
        <v>2.585153165110475E-2</v>
      </c>
      <c r="BL92" s="460">
        <f t="shared" si="290"/>
        <v>91.92271566320224</v>
      </c>
      <c r="BM92" s="528">
        <f t="shared" si="224"/>
        <v>2.7815824158852882</v>
      </c>
      <c r="BN92" s="460">
        <f t="shared" si="291"/>
        <v>2781.5824158852884</v>
      </c>
      <c r="BO92" s="528">
        <f t="shared" si="225"/>
        <v>5.4048749999999988</v>
      </c>
      <c r="BP92" s="528"/>
      <c r="BR92" s="460">
        <f t="shared" si="292"/>
        <v>5404.8749999999991</v>
      </c>
      <c r="BS92" s="528">
        <f t="shared" si="226"/>
        <v>1.0463488195858486</v>
      </c>
      <c r="BT92" s="528">
        <f t="shared" si="227"/>
        <v>3.8662782299190548</v>
      </c>
      <c r="BU92" s="528">
        <f t="shared" si="228"/>
        <v>1.9575</v>
      </c>
      <c r="BV92" s="528">
        <f t="shared" si="229"/>
        <v>13.260778127528399</v>
      </c>
      <c r="BW92" s="528">
        <f t="shared" si="230"/>
        <v>2.2600191055302341E-2</v>
      </c>
      <c r="BX92" s="460">
        <f t="shared" si="293"/>
        <v>13283.3783185837</v>
      </c>
      <c r="BY92" s="173">
        <f t="shared" si="231"/>
        <v>21.561758450132189</v>
      </c>
      <c r="BZ92" s="5">
        <f t="shared" si="294"/>
        <v>130.5</v>
      </c>
      <c r="CA92" s="173">
        <f t="shared" si="295"/>
        <v>0.85820393851881416</v>
      </c>
      <c r="CB92" s="5">
        <f t="shared" si="296"/>
        <v>85.82039385188142</v>
      </c>
      <c r="CE92" s="562">
        <f t="shared" si="232"/>
        <v>-50</v>
      </c>
      <c r="CF92">
        <f t="shared" si="233"/>
        <v>-50</v>
      </c>
      <c r="CG92" s="173">
        <f t="shared" si="234"/>
        <v>0.78782670255730414</v>
      </c>
      <c r="CI92" s="170">
        <v>87</v>
      </c>
      <c r="CJ92" s="217">
        <f t="shared" si="297"/>
        <v>8.6999999999999993</v>
      </c>
      <c r="CK92" s="217"/>
      <c r="CL92" s="217">
        <f t="shared" si="235"/>
        <v>130.5</v>
      </c>
      <c r="CM92" s="541">
        <f t="shared" si="236"/>
        <v>58</v>
      </c>
      <c r="CN92" s="172">
        <f t="shared" si="237"/>
        <v>15.4</v>
      </c>
      <c r="CO92" s="443">
        <f t="shared" si="238"/>
        <v>73.400000000000006</v>
      </c>
      <c r="CP92" s="443"/>
      <c r="CQ92" s="217">
        <f t="shared" si="239"/>
        <v>0.2098092643051771</v>
      </c>
      <c r="CR92" s="172">
        <f t="shared" si="240"/>
        <v>305.10568119891008</v>
      </c>
      <c r="CS92" s="172">
        <f t="shared" si="298"/>
        <v>130.5</v>
      </c>
      <c r="CT92" s="217">
        <f t="shared" si="241"/>
        <v>20.340378746594006</v>
      </c>
      <c r="CU92" s="217">
        <f t="shared" si="242"/>
        <v>15</v>
      </c>
      <c r="CV92" s="217">
        <f t="shared" si="243"/>
        <v>20.281562216167121</v>
      </c>
      <c r="CW92" s="172">
        <f t="shared" si="244"/>
        <v>108.87896735509297</v>
      </c>
      <c r="CX92" s="172">
        <f t="shared" si="245"/>
        <v>15</v>
      </c>
      <c r="CY92" s="217">
        <f t="shared" si="246"/>
        <v>21.448051948051948</v>
      </c>
      <c r="CZ92" s="217">
        <f t="shared" si="247"/>
        <v>4.4375279892521275</v>
      </c>
      <c r="DA92" s="217">
        <f t="shared" si="248"/>
        <v>16.712767751728791</v>
      </c>
      <c r="DB92" s="197">
        <f t="shared" si="249"/>
        <v>101.4078110808356</v>
      </c>
      <c r="DC92" s="443">
        <f t="shared" si="299"/>
        <v>47.280662750374454</v>
      </c>
      <c r="DE92" s="217">
        <f t="shared" si="250"/>
        <v>10</v>
      </c>
      <c r="DF92" s="173">
        <f t="shared" si="251"/>
        <v>7.7922077922077913</v>
      </c>
      <c r="DG92" s="173">
        <f t="shared" si="252"/>
        <v>3.9509536784741139</v>
      </c>
      <c r="DH92" s="173"/>
      <c r="DI92" s="173">
        <f t="shared" si="253"/>
        <v>7.7922077922077913</v>
      </c>
      <c r="DJ92" s="545">
        <f t="shared" si="300"/>
        <v>223.3</v>
      </c>
      <c r="DK92" s="528">
        <f t="shared" si="254"/>
        <v>3.9509536784741139</v>
      </c>
      <c r="DM92" s="173">
        <f t="shared" si="255"/>
        <v>7.987490219086343</v>
      </c>
      <c r="DN92" s="173">
        <f t="shared" si="256"/>
        <v>21.448051948051948</v>
      </c>
      <c r="DO92" s="173">
        <f t="shared" si="257"/>
        <v>9.680038480038478</v>
      </c>
      <c r="DQ92" s="545">
        <f t="shared" si="258"/>
        <v>8700</v>
      </c>
      <c r="DR92" s="460">
        <f t="shared" si="259"/>
        <v>47.280662750374454</v>
      </c>
      <c r="DT92">
        <f t="shared" si="260"/>
        <v>8700</v>
      </c>
      <c r="DU92">
        <f t="shared" si="261"/>
        <v>47.280662750374454</v>
      </c>
      <c r="DW92" s="5">
        <f t="shared" si="301"/>
        <v>21.150295740980919</v>
      </c>
      <c r="DX92" s="5">
        <f t="shared" si="262"/>
        <v>4.4375279892521275</v>
      </c>
      <c r="DY92" s="5">
        <f t="shared" si="302"/>
        <v>16.712767751728791</v>
      </c>
      <c r="DZ92" s="5">
        <f t="shared" si="263"/>
        <v>16.712767751728791</v>
      </c>
      <c r="EA92" s="173">
        <f t="shared" si="303"/>
        <v>0.20980926430517713</v>
      </c>
      <c r="EB92" s="173">
        <f t="shared" si="264"/>
        <v>130.49999999999997</v>
      </c>
      <c r="EC92" s="173">
        <f t="shared" si="265"/>
        <v>8.4740259740259738</v>
      </c>
      <c r="ED92" s="173">
        <f t="shared" si="304"/>
        <v>15.399999999999997</v>
      </c>
      <c r="EE92" s="460">
        <f t="shared" si="266"/>
        <v>257.37662337662334</v>
      </c>
      <c r="EF92" s="5">
        <f t="shared" si="267"/>
        <v>12.966802565996474</v>
      </c>
      <c r="EG92" s="5"/>
      <c r="EH92" s="173">
        <f t="shared" si="305"/>
        <v>5.6720435402135196</v>
      </c>
      <c r="EI92" s="173">
        <f t="shared" si="268"/>
        <v>11.007614010312757</v>
      </c>
      <c r="EJ92" s="173"/>
      <c r="EK92" s="528">
        <f t="shared" si="269"/>
        <v>0.64344155844155837</v>
      </c>
      <c r="EL92" s="528">
        <f t="shared" si="270"/>
        <v>1.4886666666666666</v>
      </c>
      <c r="EM92" s="528">
        <f t="shared" si="271"/>
        <v>5.9100828437968064E-3</v>
      </c>
      <c r="EN92" s="528">
        <f t="shared" si="272"/>
        <v>2.5472740740740744E-2</v>
      </c>
      <c r="EO92">
        <f t="shared" si="273"/>
        <v>2.6099999999999998E-2</v>
      </c>
      <c r="EP92" s="460">
        <f t="shared" si="306"/>
        <v>32.010082843796809</v>
      </c>
      <c r="EQ92" s="528">
        <f t="shared" si="274"/>
        <v>2.7898350316912874</v>
      </c>
      <c r="ER92" s="460">
        <f t="shared" si="307"/>
        <v>2789.8350316912874</v>
      </c>
      <c r="ES92" s="528">
        <f t="shared" si="308"/>
        <v>5.4048749999999988</v>
      </c>
      <c r="ET92" s="528"/>
      <c r="EV92" s="460">
        <f t="shared" si="309"/>
        <v>5404.8749999999991</v>
      </c>
      <c r="EW92" s="528">
        <f t="shared" si="275"/>
        <v>0.9651623376623375</v>
      </c>
      <c r="EX92" s="528">
        <f t="shared" si="276"/>
        <v>3.6350269860010109</v>
      </c>
      <c r="EY92" s="528">
        <f t="shared" si="277"/>
        <v>1.6373763960187138</v>
      </c>
      <c r="EZ92" s="528">
        <f t="shared" si="278"/>
        <v>11.61675174595096</v>
      </c>
      <c r="FA92" s="528">
        <f t="shared" si="279"/>
        <v>2.1749999999999999E-2</v>
      </c>
      <c r="FB92" s="460">
        <f t="shared" si="310"/>
        <v>11638.501745950962</v>
      </c>
      <c r="FC92" s="173">
        <f t="shared" si="311"/>
        <v>19.833211777642248</v>
      </c>
      <c r="FD92" s="5">
        <f t="shared" si="312"/>
        <v>130.5</v>
      </c>
      <c r="FE92" s="173">
        <f t="shared" si="313"/>
        <v>0.8680716553373613</v>
      </c>
      <c r="FF92" s="5">
        <f t="shared" si="314"/>
        <v>86.807165533736125</v>
      </c>
      <c r="FI92" s="562">
        <f t="shared" si="280"/>
        <v>-50</v>
      </c>
      <c r="FJ92">
        <f t="shared" si="281"/>
        <v>-50</v>
      </c>
      <c r="FL92">
        <f t="shared" si="282"/>
        <v>0.7901907356948229</v>
      </c>
    </row>
    <row r="93" spans="5:168">
      <c r="E93" s="170">
        <v>88</v>
      </c>
      <c r="F93" s="217">
        <f t="shared" si="283"/>
        <v>8.8000000000000007</v>
      </c>
      <c r="G93" s="217"/>
      <c r="H93" s="217">
        <f t="shared" si="183"/>
        <v>132</v>
      </c>
      <c r="I93" s="541">
        <f t="shared" si="184"/>
        <v>57.441520583684792</v>
      </c>
      <c r="J93" s="172">
        <f t="shared" si="185"/>
        <v>15.735087649789127</v>
      </c>
      <c r="K93" s="172">
        <f t="shared" si="186"/>
        <v>73.735087649789122</v>
      </c>
      <c r="L93" s="443"/>
      <c r="M93" s="217">
        <f t="shared" si="187"/>
        <v>0.21501829663573238</v>
      </c>
      <c r="N93" s="172">
        <f t="shared" si="188"/>
        <v>309.66989370038169</v>
      </c>
      <c r="O93" s="172">
        <f t="shared" si="284"/>
        <v>132</v>
      </c>
      <c r="P93" s="217">
        <f t="shared" si="189"/>
        <v>20.644659580025447</v>
      </c>
      <c r="Q93" s="217">
        <f t="shared" si="190"/>
        <v>15</v>
      </c>
      <c r="R93" s="217">
        <f t="shared" si="191"/>
        <v>20.584963186783774</v>
      </c>
      <c r="S93" s="172">
        <f t="shared" si="192"/>
        <v>105.96064291152241</v>
      </c>
      <c r="T93" s="172">
        <f t="shared" si="193"/>
        <v>15</v>
      </c>
      <c r="U93" s="217">
        <f t="shared" si="194"/>
        <v>22.420904747932436</v>
      </c>
      <c r="V93" s="217">
        <f t="shared" si="195"/>
        <v>4.6839090302844131</v>
      </c>
      <c r="W93" s="217">
        <f t="shared" si="196"/>
        <v>17.098783493512656</v>
      </c>
      <c r="X93" s="197">
        <f t="shared" si="197"/>
        <v>102.92990512278557</v>
      </c>
      <c r="Y93" s="443">
        <f t="shared" si="198"/>
        <v>45.490332856972074</v>
      </c>
      <c r="AA93" s="217">
        <f t="shared" si="199"/>
        <v>10</v>
      </c>
      <c r="AB93" s="173">
        <f t="shared" si="200"/>
        <v>7.6262682910195405</v>
      </c>
      <c r="AC93" s="173">
        <f t="shared" si="201"/>
        <v>3.924855358177747</v>
      </c>
      <c r="AD93" s="173"/>
      <c r="AE93" s="173">
        <f t="shared" si="202"/>
        <v>7.6262682910195405</v>
      </c>
      <c r="AF93" s="545">
        <f t="shared" si="203"/>
        <v>230.78128553024052</v>
      </c>
      <c r="AG93" s="528">
        <f t="shared" si="204"/>
        <v>3.9248553581777466</v>
      </c>
      <c r="AI93" s="173">
        <f t="shared" si="205"/>
        <v>8.1201915095333383</v>
      </c>
      <c r="AJ93" s="173">
        <f t="shared" si="206"/>
        <v>22.420904747932436</v>
      </c>
      <c r="AK93" s="173">
        <f t="shared" si="207"/>
        <v>10.400670183653656</v>
      </c>
      <c r="AM93" s="545">
        <f t="shared" si="208"/>
        <v>8800</v>
      </c>
      <c r="AN93" s="460">
        <f t="shared" si="209"/>
        <v>45.490332856972074</v>
      </c>
      <c r="AP93">
        <f t="shared" si="210"/>
        <v>8800</v>
      </c>
      <c r="AQ93">
        <f t="shared" si="211"/>
        <v>45.490332856972074</v>
      </c>
      <c r="AS93" s="5">
        <f t="shared" si="285"/>
        <v>21.982692523797066</v>
      </c>
      <c r="AT93" s="5">
        <f t="shared" si="212"/>
        <v>4.6839090302844131</v>
      </c>
      <c r="AU93" s="5">
        <f t="shared" si="286"/>
        <v>17.298783493512651</v>
      </c>
      <c r="AV93" s="5">
        <f t="shared" si="213"/>
        <v>17.098783493512656</v>
      </c>
      <c r="AW93" s="173">
        <f t="shared" si="287"/>
        <v>0.21307258085941522</v>
      </c>
      <c r="AX93" s="173">
        <f t="shared" si="214"/>
        <v>137.20711487139388</v>
      </c>
      <c r="AY93" s="173">
        <f t="shared" si="215"/>
        <v>8.8218123540436792</v>
      </c>
      <c r="AZ93" s="173">
        <f t="shared" si="288"/>
        <v>15.553166329649017</v>
      </c>
      <c r="BA93" s="460">
        <f t="shared" si="216"/>
        <v>274.78932977668558</v>
      </c>
      <c r="BB93" s="5">
        <f t="shared" si="217"/>
        <v>13.707730851162205</v>
      </c>
      <c r="BC93" s="5"/>
      <c r="BD93" s="173">
        <f t="shared" si="289"/>
        <v>5.9752528740789268</v>
      </c>
      <c r="BE93" s="173">
        <f t="shared" si="218"/>
        <v>11.483118464196238</v>
      </c>
      <c r="BF93" s="173"/>
      <c r="BG93" s="528">
        <f t="shared" si="219"/>
        <v>0.7140729381837696</v>
      </c>
      <c r="BH93" s="528">
        <f t="shared" si="220"/>
        <v>1.4100928847092269</v>
      </c>
      <c r="BI93" s="528">
        <f t="shared" si="221"/>
        <v>6.532584727906085E-2</v>
      </c>
      <c r="BJ93" s="528">
        <f t="shared" si="222"/>
        <v>2.473247144241536E-2</v>
      </c>
      <c r="BK93">
        <f t="shared" si="223"/>
        <v>2.5848684262658156E-2</v>
      </c>
      <c r="BL93" s="460">
        <f t="shared" si="290"/>
        <v>91.174531541719006</v>
      </c>
      <c r="BM93" s="528">
        <f t="shared" si="224"/>
        <v>2.8201802963059741</v>
      </c>
      <c r="BN93" s="460">
        <f t="shared" si="291"/>
        <v>2820.180296305974</v>
      </c>
      <c r="BO93" s="528">
        <f t="shared" si="225"/>
        <v>5.4669999999999996</v>
      </c>
      <c r="BP93" s="528"/>
      <c r="BR93" s="460">
        <f t="shared" si="292"/>
        <v>5467</v>
      </c>
      <c r="BS93" s="528">
        <f t="shared" si="226"/>
        <v>1.0711094072756544</v>
      </c>
      <c r="BT93" s="528">
        <f t="shared" si="227"/>
        <v>3.9558602898829367</v>
      </c>
      <c r="BU93" s="528">
        <f t="shared" si="228"/>
        <v>1.98</v>
      </c>
      <c r="BV93" s="528">
        <f t="shared" si="229"/>
        <v>13.738473704157409</v>
      </c>
      <c r="BW93" s="528">
        <f t="shared" si="230"/>
        <v>2.286785247856565E-2</v>
      </c>
      <c r="BX93" s="460">
        <f t="shared" si="293"/>
        <v>13761.341556635974</v>
      </c>
      <c r="BY93" s="173">
        <f t="shared" si="231"/>
        <v>22.13969638448367</v>
      </c>
      <c r="BZ93" s="5">
        <f t="shared" si="294"/>
        <v>132</v>
      </c>
      <c r="CA93" s="173">
        <f t="shared" si="295"/>
        <v>0.85636603092003794</v>
      </c>
      <c r="CB93" s="5">
        <f t="shared" si="296"/>
        <v>85.636603092003796</v>
      </c>
      <c r="CE93" s="562">
        <f t="shared" si="232"/>
        <v>-50</v>
      </c>
      <c r="CF93">
        <f t="shared" si="233"/>
        <v>-50</v>
      </c>
      <c r="CG93" s="173">
        <f t="shared" si="234"/>
        <v>0.78785356657023053</v>
      </c>
      <c r="CI93" s="170">
        <v>88</v>
      </c>
      <c r="CJ93" s="217">
        <f t="shared" si="297"/>
        <v>8.8000000000000007</v>
      </c>
      <c r="CK93" s="217"/>
      <c r="CL93" s="217">
        <f t="shared" si="235"/>
        <v>132</v>
      </c>
      <c r="CM93" s="541">
        <f t="shared" si="236"/>
        <v>58</v>
      </c>
      <c r="CN93" s="172">
        <f t="shared" si="237"/>
        <v>15.4</v>
      </c>
      <c r="CO93" s="443">
        <f t="shared" si="238"/>
        <v>73.400000000000006</v>
      </c>
      <c r="CP93" s="443"/>
      <c r="CQ93" s="217">
        <f t="shared" si="239"/>
        <v>0.2098092643051771</v>
      </c>
      <c r="CR93" s="172">
        <f t="shared" si="240"/>
        <v>305.10568119891008</v>
      </c>
      <c r="CS93" s="172">
        <f t="shared" si="298"/>
        <v>132</v>
      </c>
      <c r="CT93" s="217">
        <f t="shared" si="241"/>
        <v>20.340378746594006</v>
      </c>
      <c r="CU93" s="217">
        <f t="shared" si="242"/>
        <v>15</v>
      </c>
      <c r="CV93" s="217">
        <f t="shared" si="243"/>
        <v>20.281562216167121</v>
      </c>
      <c r="CW93" s="172">
        <f t="shared" si="244"/>
        <v>106.98876477022191</v>
      </c>
      <c r="CX93" s="172">
        <f t="shared" si="245"/>
        <v>15</v>
      </c>
      <c r="CY93" s="217">
        <f t="shared" si="246"/>
        <v>21.694581280788178</v>
      </c>
      <c r="CZ93" s="217">
        <f t="shared" si="247"/>
        <v>4.488534058094106</v>
      </c>
      <c r="DA93" s="217">
        <f t="shared" si="248"/>
        <v>16.904868530484293</v>
      </c>
      <c r="DB93" s="197">
        <f t="shared" si="249"/>
        <v>101.4078110808356</v>
      </c>
      <c r="DC93" s="443">
        <f t="shared" si="299"/>
        <v>46.74338249184747</v>
      </c>
      <c r="DE93" s="217">
        <f t="shared" si="250"/>
        <v>10</v>
      </c>
      <c r="DF93" s="173">
        <f t="shared" si="251"/>
        <v>7.7922077922077913</v>
      </c>
      <c r="DG93" s="173">
        <f t="shared" si="252"/>
        <v>3.9509536784741139</v>
      </c>
      <c r="DH93" s="173"/>
      <c r="DI93" s="173">
        <f t="shared" si="253"/>
        <v>7.7922077922077913</v>
      </c>
      <c r="DJ93" s="545">
        <f t="shared" si="300"/>
        <v>225.86666666666667</v>
      </c>
      <c r="DK93" s="528">
        <f t="shared" si="254"/>
        <v>3.9509536784741139</v>
      </c>
      <c r="DM93" s="173">
        <f t="shared" si="255"/>
        <v>8.0332641767424366</v>
      </c>
      <c r="DN93" s="173">
        <f t="shared" si="256"/>
        <v>21.694581280788178</v>
      </c>
      <c r="DO93" s="173">
        <f t="shared" si="257"/>
        <v>9.8626528005838345</v>
      </c>
      <c r="DQ93" s="545">
        <f t="shared" si="258"/>
        <v>8800</v>
      </c>
      <c r="DR93" s="460">
        <f t="shared" si="259"/>
        <v>46.74338249184747</v>
      </c>
      <c r="DT93">
        <f t="shared" si="260"/>
        <v>8800</v>
      </c>
      <c r="DU93">
        <f t="shared" si="261"/>
        <v>46.74338249184747</v>
      </c>
      <c r="DW93" s="5">
        <f t="shared" si="301"/>
        <v>21.3934025885784</v>
      </c>
      <c r="DX93" s="5">
        <f t="shared" si="262"/>
        <v>4.488534058094106</v>
      </c>
      <c r="DY93" s="5">
        <f t="shared" si="302"/>
        <v>16.904868530484293</v>
      </c>
      <c r="DZ93" s="5">
        <f t="shared" si="263"/>
        <v>16.904868530484293</v>
      </c>
      <c r="EA93" s="173">
        <f t="shared" si="303"/>
        <v>0.20980926430517713</v>
      </c>
      <c r="EB93" s="173">
        <f t="shared" si="264"/>
        <v>132</v>
      </c>
      <c r="EC93" s="173">
        <f t="shared" si="265"/>
        <v>8.5714285714285712</v>
      </c>
      <c r="ED93" s="173">
        <f t="shared" si="304"/>
        <v>15.4</v>
      </c>
      <c r="EE93" s="460">
        <f t="shared" si="266"/>
        <v>263.32733140818755</v>
      </c>
      <c r="EF93" s="5">
        <f t="shared" si="267"/>
        <v>13.266603127371738</v>
      </c>
      <c r="EG93" s="5"/>
      <c r="EH93" s="173">
        <f t="shared" si="305"/>
        <v>5.7372394429745954</v>
      </c>
      <c r="EI93" s="173">
        <f t="shared" si="268"/>
        <v>11.13413830928187</v>
      </c>
      <c r="EJ93" s="173"/>
      <c r="EK93" s="528">
        <f t="shared" si="269"/>
        <v>0.6583183285204689</v>
      </c>
      <c r="EL93" s="528">
        <f t="shared" si="270"/>
        <v>1.4886666666666666</v>
      </c>
      <c r="EM93" s="528">
        <f t="shared" si="271"/>
        <v>5.8429228114809341E-3</v>
      </c>
      <c r="EN93" s="528">
        <f t="shared" si="272"/>
        <v>2.518327777777778E-2</v>
      </c>
      <c r="EO93">
        <f t="shared" si="273"/>
        <v>2.6099999999999998E-2</v>
      </c>
      <c r="EP93" s="460">
        <f t="shared" si="306"/>
        <v>31.94292281148093</v>
      </c>
      <c r="EQ93" s="528">
        <f t="shared" si="274"/>
        <v>2.8234987532878799</v>
      </c>
      <c r="ER93" s="460">
        <f t="shared" si="307"/>
        <v>2823.4987532878799</v>
      </c>
      <c r="ES93" s="528">
        <f t="shared" si="308"/>
        <v>5.4669999999999996</v>
      </c>
      <c r="ET93" s="528"/>
      <c r="EV93" s="460">
        <f t="shared" si="309"/>
        <v>5467</v>
      </c>
      <c r="EW93" s="528">
        <f t="shared" si="275"/>
        <v>0.98747749278070329</v>
      </c>
      <c r="EX93" s="528">
        <f t="shared" si="276"/>
        <v>3.7190710767065434</v>
      </c>
      <c r="EY93" s="528">
        <f t="shared" si="277"/>
        <v>1.6373763960187171</v>
      </c>
      <c r="EZ93" s="528">
        <f t="shared" si="278"/>
        <v>11.986821065123388</v>
      </c>
      <c r="FA93" s="528">
        <f t="shared" si="279"/>
        <v>2.1999999999999999E-2</v>
      </c>
      <c r="FB93" s="460">
        <f t="shared" si="310"/>
        <v>12008.821065123389</v>
      </c>
      <c r="FC93" s="173">
        <f t="shared" si="311"/>
        <v>20.299319818411266</v>
      </c>
      <c r="FD93" s="5">
        <f t="shared" si="312"/>
        <v>132</v>
      </c>
      <c r="FE93" s="173">
        <f t="shared" si="313"/>
        <v>0.86671431072302585</v>
      </c>
      <c r="FF93" s="5">
        <f t="shared" si="314"/>
        <v>86.671431072302582</v>
      </c>
      <c r="FI93" s="562">
        <f t="shared" si="280"/>
        <v>-50</v>
      </c>
      <c r="FJ93">
        <f t="shared" si="281"/>
        <v>-50</v>
      </c>
      <c r="FL93">
        <f t="shared" si="282"/>
        <v>0.7901907356948229</v>
      </c>
    </row>
    <row r="94" spans="5:168">
      <c r="E94" s="170">
        <v>89</v>
      </c>
      <c r="F94" s="217">
        <f t="shared" si="283"/>
        <v>8.9</v>
      </c>
      <c r="G94" s="217"/>
      <c r="H94" s="217">
        <f t="shared" si="183"/>
        <v>133.5</v>
      </c>
      <c r="I94" s="541">
        <f t="shared" si="184"/>
        <v>57.435193052534004</v>
      </c>
      <c r="J94" s="172">
        <f t="shared" si="185"/>
        <v>15.738884168479599</v>
      </c>
      <c r="K94" s="172">
        <f t="shared" si="186"/>
        <v>73.738884168479601</v>
      </c>
      <c r="L94" s="443"/>
      <c r="M94" s="217">
        <f t="shared" si="187"/>
        <v>0.21507761842790094</v>
      </c>
      <c r="N94" s="172">
        <f t="shared" si="188"/>
        <v>309.72120767098062</v>
      </c>
      <c r="O94" s="172">
        <f t="shared" si="284"/>
        <v>133.5</v>
      </c>
      <c r="P94" s="217">
        <f t="shared" si="189"/>
        <v>20.648080511398707</v>
      </c>
      <c r="Q94" s="217">
        <f t="shared" si="190"/>
        <v>15</v>
      </c>
      <c r="R94" s="217">
        <f t="shared" si="191"/>
        <v>20.588374226142889</v>
      </c>
      <c r="S94" s="172">
        <f t="shared" si="192"/>
        <v>104.11942566148606</v>
      </c>
      <c r="T94" s="172">
        <f t="shared" si="193"/>
        <v>15</v>
      </c>
      <c r="U94" s="217">
        <f t="shared" si="194"/>
        <v>22.67740150860379</v>
      </c>
      <c r="V94" s="217">
        <f t="shared" si="195"/>
        <v>4.7380152070584769</v>
      </c>
      <c r="W94" s="217">
        <f t="shared" si="196"/>
        <v>17.290223067289627</v>
      </c>
      <c r="X94" s="197">
        <f t="shared" si="197"/>
        <v>102.94695938082182</v>
      </c>
      <c r="Y94" s="443">
        <f t="shared" si="198"/>
        <v>44.987820791628948</v>
      </c>
      <c r="AA94" s="217">
        <f t="shared" si="199"/>
        <v>10</v>
      </c>
      <c r="AB94" s="173">
        <f t="shared" si="200"/>
        <v>7.6244286898257405</v>
      </c>
      <c r="AC94" s="173">
        <f t="shared" si="201"/>
        <v>3.924558753167315</v>
      </c>
      <c r="AD94" s="173"/>
      <c r="AE94" s="173">
        <f t="shared" si="202"/>
        <v>7.6244286898257405</v>
      </c>
      <c r="AF94" s="545">
        <f t="shared" si="203"/>
        <v>233.46011516578073</v>
      </c>
      <c r="AG94" s="528">
        <f t="shared" si="204"/>
        <v>3.924558753167315</v>
      </c>
      <c r="AI94" s="173">
        <f t="shared" si="205"/>
        <v>8.1671837280280357</v>
      </c>
      <c r="AJ94" s="173">
        <f t="shared" si="206"/>
        <v>22.67740150860379</v>
      </c>
      <c r="AK94" s="173">
        <f t="shared" si="207"/>
        <v>10.590667784150954</v>
      </c>
      <c r="AM94" s="545">
        <f t="shared" si="208"/>
        <v>8900</v>
      </c>
      <c r="AN94" s="460">
        <f t="shared" si="209"/>
        <v>44.987820791628948</v>
      </c>
      <c r="AP94">
        <f t="shared" si="210"/>
        <v>8900</v>
      </c>
      <c r="AQ94">
        <f t="shared" si="211"/>
        <v>44.987820791628948</v>
      </c>
      <c r="AS94" s="5">
        <f t="shared" si="285"/>
        <v>22.228238274348104</v>
      </c>
      <c r="AT94" s="5">
        <f t="shared" si="212"/>
        <v>4.7380152070584769</v>
      </c>
      <c r="AU94" s="5">
        <f t="shared" si="286"/>
        <v>17.490223067289627</v>
      </c>
      <c r="AV94" s="5">
        <f t="shared" si="213"/>
        <v>17.290223067289627</v>
      </c>
      <c r="AW94" s="173">
        <f t="shared" si="287"/>
        <v>0.21315297904315947</v>
      </c>
      <c r="AX94" s="173">
        <f t="shared" si="214"/>
        <v>138.81384556937161</v>
      </c>
      <c r="AY94" s="173">
        <f t="shared" si="215"/>
        <v>8.9218229100435273</v>
      </c>
      <c r="AZ94" s="173">
        <f t="shared" si="288"/>
        <v>15.558910658617227</v>
      </c>
      <c r="BA94" s="460">
        <f t="shared" si="216"/>
        <v>281.12223561880302</v>
      </c>
      <c r="BB94" s="5">
        <f t="shared" si="217"/>
        <v>14.018467240096641</v>
      </c>
      <c r="BC94" s="5"/>
      <c r="BD94" s="173">
        <f t="shared" si="289"/>
        <v>6.0447502993090785</v>
      </c>
      <c r="BE94" s="173">
        <f t="shared" si="218"/>
        <v>11.613892839173751</v>
      </c>
      <c r="BF94" s="173"/>
      <c r="BG94" s="528">
        <f t="shared" si="219"/>
        <v>0.73078012361994382</v>
      </c>
      <c r="BH94" s="528">
        <f t="shared" si="220"/>
        <v>1.4105421860637315</v>
      </c>
      <c r="BI94" s="528">
        <f t="shared" si="221"/>
        <v>6.4597104304500289E-2</v>
      </c>
      <c r="BJ94" s="528">
        <f t="shared" si="222"/>
        <v>2.4461781322037395E-2</v>
      </c>
      <c r="BK94">
        <f t="shared" si="223"/>
        <v>2.5845836873640299E-2</v>
      </c>
      <c r="BL94" s="460">
        <f t="shared" si="290"/>
        <v>90.442941178140586</v>
      </c>
      <c r="BM94" s="528">
        <f t="shared" si="224"/>
        <v>2.859620176424714</v>
      </c>
      <c r="BN94" s="460">
        <f t="shared" si="291"/>
        <v>2859.6201764247139</v>
      </c>
      <c r="BO94" s="528">
        <f t="shared" si="225"/>
        <v>5.5291249999999996</v>
      </c>
      <c r="BP94" s="528"/>
      <c r="BR94" s="460">
        <f t="shared" si="292"/>
        <v>5529.125</v>
      </c>
      <c r="BS94" s="528">
        <f t="shared" si="226"/>
        <v>1.0961701854299157</v>
      </c>
      <c r="BT94" s="528">
        <f t="shared" si="227"/>
        <v>4.0464752063943399</v>
      </c>
      <c r="BU94" s="528">
        <f t="shared" si="228"/>
        <v>2.0024999999999999</v>
      </c>
      <c r="BV94" s="528">
        <f t="shared" si="229"/>
        <v>14.236401417553365</v>
      </c>
      <c r="BW94" s="528">
        <f t="shared" si="230"/>
        <v>2.3135640928228604E-2</v>
      </c>
      <c r="BX94" s="460">
        <f t="shared" si="293"/>
        <v>14259.537058481594</v>
      </c>
      <c r="BY94" s="173">
        <f t="shared" si="231"/>
        <v>22.738725176084447</v>
      </c>
      <c r="BZ94" s="5">
        <f t="shared" si="294"/>
        <v>133.5</v>
      </c>
      <c r="CA94" s="173">
        <f t="shared" si="295"/>
        <v>0.85446165699024101</v>
      </c>
      <c r="CB94" s="5">
        <f t="shared" si="296"/>
        <v>85.446165699024107</v>
      </c>
      <c r="CE94" s="562">
        <f t="shared" si="232"/>
        <v>-50</v>
      </c>
      <c r="CF94">
        <f t="shared" si="233"/>
        <v>-50</v>
      </c>
      <c r="CG94" s="173">
        <f t="shared" si="234"/>
        <v>0.78787982689747316</v>
      </c>
      <c r="CI94" s="170">
        <v>89</v>
      </c>
      <c r="CJ94" s="217">
        <f t="shared" si="297"/>
        <v>8.9</v>
      </c>
      <c r="CK94" s="217"/>
      <c r="CL94" s="217">
        <f t="shared" si="235"/>
        <v>133.5</v>
      </c>
      <c r="CM94" s="541">
        <f t="shared" si="236"/>
        <v>58</v>
      </c>
      <c r="CN94" s="172">
        <f t="shared" si="237"/>
        <v>15.4</v>
      </c>
      <c r="CO94" s="443">
        <f t="shared" si="238"/>
        <v>73.400000000000006</v>
      </c>
      <c r="CP94" s="443"/>
      <c r="CQ94" s="217">
        <f t="shared" si="239"/>
        <v>0.2098092643051771</v>
      </c>
      <c r="CR94" s="172">
        <f t="shared" si="240"/>
        <v>305.10568119891008</v>
      </c>
      <c r="CS94" s="172">
        <f t="shared" si="298"/>
        <v>133.5</v>
      </c>
      <c r="CT94" s="217">
        <f t="shared" si="241"/>
        <v>20.340378746594006</v>
      </c>
      <c r="CU94" s="217">
        <f t="shared" si="242"/>
        <v>15</v>
      </c>
      <c r="CV94" s="217">
        <f t="shared" si="243"/>
        <v>20.281562216167121</v>
      </c>
      <c r="CW94" s="172">
        <f t="shared" si="244"/>
        <v>105.14116775089305</v>
      </c>
      <c r="CX94" s="172">
        <f t="shared" si="245"/>
        <v>15</v>
      </c>
      <c r="CY94" s="217">
        <f t="shared" si="246"/>
        <v>21.941110613524408</v>
      </c>
      <c r="CZ94" s="217">
        <f t="shared" si="247"/>
        <v>4.5395401269360853</v>
      </c>
      <c r="DA94" s="217">
        <f t="shared" si="248"/>
        <v>17.0969693092398</v>
      </c>
      <c r="DB94" s="197">
        <f t="shared" si="249"/>
        <v>101.4078110808356</v>
      </c>
      <c r="DC94" s="443">
        <f t="shared" si="299"/>
        <v>46.218175946995245</v>
      </c>
      <c r="DE94" s="217">
        <f t="shared" si="250"/>
        <v>10</v>
      </c>
      <c r="DF94" s="173">
        <f t="shared" si="251"/>
        <v>7.7922077922077913</v>
      </c>
      <c r="DG94" s="173">
        <f t="shared" si="252"/>
        <v>3.9509536784741139</v>
      </c>
      <c r="DH94" s="173"/>
      <c r="DI94" s="173">
        <f t="shared" si="253"/>
        <v>7.7922077922077913</v>
      </c>
      <c r="DJ94" s="545">
        <f t="shared" si="300"/>
        <v>228.43333333333334</v>
      </c>
      <c r="DK94" s="528">
        <f t="shared" si="254"/>
        <v>3.9509536784741139</v>
      </c>
      <c r="DM94" s="173">
        <f t="shared" si="255"/>
        <v>8.0787787856003757</v>
      </c>
      <c r="DN94" s="173">
        <f t="shared" si="256"/>
        <v>21.941110613524408</v>
      </c>
      <c r="DO94" s="173">
        <f t="shared" si="257"/>
        <v>10.045267121129191</v>
      </c>
      <c r="DQ94" s="545">
        <f t="shared" si="258"/>
        <v>8900</v>
      </c>
      <c r="DR94" s="460">
        <f t="shared" si="259"/>
        <v>46.218175946995245</v>
      </c>
      <c r="DT94">
        <f t="shared" si="260"/>
        <v>8900</v>
      </c>
      <c r="DU94">
        <f t="shared" si="261"/>
        <v>46.218175946995245</v>
      </c>
      <c r="DW94" s="5">
        <f t="shared" si="301"/>
        <v>21.636509436175885</v>
      </c>
      <c r="DX94" s="5">
        <f t="shared" si="262"/>
        <v>4.5395401269360853</v>
      </c>
      <c r="DY94" s="5">
        <f t="shared" si="302"/>
        <v>17.0969693092398</v>
      </c>
      <c r="DZ94" s="5">
        <f t="shared" si="263"/>
        <v>17.0969693092398</v>
      </c>
      <c r="EA94" s="173">
        <f t="shared" si="303"/>
        <v>0.20980926430517713</v>
      </c>
      <c r="EB94" s="173">
        <f t="shared" si="264"/>
        <v>133.49999999999997</v>
      </c>
      <c r="EC94" s="173">
        <f t="shared" si="265"/>
        <v>8.6688311688311703</v>
      </c>
      <c r="ED94" s="173">
        <f t="shared" si="304"/>
        <v>15.399999999999993</v>
      </c>
      <c r="EE94" s="460">
        <f t="shared" si="266"/>
        <v>269.34604753154105</v>
      </c>
      <c r="EF94" s="5">
        <f t="shared" si="267"/>
        <v>13.56982998087701</v>
      </c>
      <c r="EG94" s="5"/>
      <c r="EH94" s="173">
        <f t="shared" si="305"/>
        <v>5.8024353457356703</v>
      </c>
      <c r="EI94" s="173">
        <f t="shared" si="268"/>
        <v>11.260662608250982</v>
      </c>
      <c r="EJ94" s="173"/>
      <c r="EK94" s="528">
        <f t="shared" si="269"/>
        <v>0.67336511882885264</v>
      </c>
      <c r="EL94" s="528">
        <f t="shared" si="270"/>
        <v>1.4886666666666666</v>
      </c>
      <c r="EM94" s="528">
        <f t="shared" si="271"/>
        <v>5.7772719933744058E-3</v>
      </c>
      <c r="EN94" s="528">
        <f t="shared" si="272"/>
        <v>2.4900319600499373E-2</v>
      </c>
      <c r="EO94">
        <f t="shared" si="273"/>
        <v>2.6099999999999998E-2</v>
      </c>
      <c r="EP94" s="460">
        <f t="shared" si="306"/>
        <v>31.877271993374404</v>
      </c>
      <c r="EQ94" s="528">
        <f t="shared" si="274"/>
        <v>2.8578497818169128</v>
      </c>
      <c r="ER94" s="460">
        <f t="shared" si="307"/>
        <v>2857.849781816913</v>
      </c>
      <c r="ES94" s="528">
        <f t="shared" si="308"/>
        <v>5.5291249999999996</v>
      </c>
      <c r="ET94" s="528"/>
      <c r="EV94" s="460">
        <f t="shared" si="309"/>
        <v>5529.125</v>
      </c>
      <c r="EW94" s="528">
        <f t="shared" si="275"/>
        <v>1.0100476782432788</v>
      </c>
      <c r="EX94" s="528">
        <f t="shared" si="276"/>
        <v>3.8040756713058541</v>
      </c>
      <c r="EY94" s="528">
        <f t="shared" si="277"/>
        <v>1.6373763960187144</v>
      </c>
      <c r="EZ94" s="528">
        <f t="shared" si="278"/>
        <v>12.371538237302778</v>
      </c>
      <c r="FA94" s="528">
        <f t="shared" si="279"/>
        <v>2.2250000000000002E-2</v>
      </c>
      <c r="FB94" s="460">
        <f t="shared" si="310"/>
        <v>12393.788237302777</v>
      </c>
      <c r="FC94" s="173">
        <f t="shared" si="311"/>
        <v>20.780763019119689</v>
      </c>
      <c r="FD94" s="5">
        <f t="shared" si="312"/>
        <v>133.5</v>
      </c>
      <c r="FE94" s="173">
        <f t="shared" si="313"/>
        <v>0.86530554676771743</v>
      </c>
      <c r="FF94" s="5">
        <f t="shared" si="314"/>
        <v>86.530554676771743</v>
      </c>
      <c r="FI94" s="562">
        <f t="shared" si="280"/>
        <v>-50</v>
      </c>
      <c r="FJ94">
        <f t="shared" si="281"/>
        <v>-50</v>
      </c>
      <c r="FL94">
        <f t="shared" si="282"/>
        <v>0.7901907356948229</v>
      </c>
    </row>
    <row r="95" spans="5:168">
      <c r="E95" s="170">
        <v>90</v>
      </c>
      <c r="F95" s="217">
        <f t="shared" si="283"/>
        <v>9</v>
      </c>
      <c r="G95" s="217"/>
      <c r="H95" s="217">
        <f t="shared" si="183"/>
        <v>135</v>
      </c>
      <c r="I95" s="541">
        <f t="shared" si="184"/>
        <v>57.428865520156201</v>
      </c>
      <c r="J95" s="172">
        <f t="shared" si="185"/>
        <v>15.742680687906281</v>
      </c>
      <c r="K95" s="172">
        <f t="shared" si="186"/>
        <v>73.742680687906287</v>
      </c>
      <c r="L95" s="443"/>
      <c r="M95" s="217">
        <f t="shared" si="187"/>
        <v>0.21513694432757482</v>
      </c>
      <c r="N95" s="172">
        <f t="shared" si="188"/>
        <v>309.77250872684556</v>
      </c>
      <c r="O95" s="172">
        <f t="shared" si="284"/>
        <v>135</v>
      </c>
      <c r="P95" s="217">
        <f t="shared" si="189"/>
        <v>20.651500581789705</v>
      </c>
      <c r="Q95" s="217">
        <f t="shared" si="190"/>
        <v>15</v>
      </c>
      <c r="R95" s="217">
        <f t="shared" si="191"/>
        <v>20.591784407009378</v>
      </c>
      <c r="S95" s="172">
        <f t="shared" si="192"/>
        <v>102.31939489600205</v>
      </c>
      <c r="T95" s="172">
        <f t="shared" si="193"/>
        <v>15</v>
      </c>
      <c r="U95" s="217">
        <f t="shared" si="194"/>
        <v>22.933937162552066</v>
      </c>
      <c r="V95" s="217">
        <f t="shared" si="195"/>
        <v>4.7921414337191361</v>
      </c>
      <c r="W95" s="217">
        <f t="shared" si="196"/>
        <v>17.4815999515281</v>
      </c>
      <c r="X95" s="197">
        <f t="shared" si="197"/>
        <v>102.96400935023026</v>
      </c>
      <c r="Y95" s="443">
        <f t="shared" si="198"/>
        <v>44.496373917359598</v>
      </c>
      <c r="AA95" s="217">
        <f t="shared" si="199"/>
        <v>10</v>
      </c>
      <c r="AB95" s="173">
        <f t="shared" si="200"/>
        <v>7.6225899755551456</v>
      </c>
      <c r="AC95" s="173">
        <f t="shared" si="201"/>
        <v>3.9242621275801572</v>
      </c>
      <c r="AD95" s="173"/>
      <c r="AE95" s="173">
        <f t="shared" si="202"/>
        <v>7.6225899755551456</v>
      </c>
      <c r="AF95" s="545">
        <f t="shared" si="203"/>
        <v>236.1402103185942</v>
      </c>
      <c r="AG95" s="528">
        <f t="shared" si="204"/>
        <v>3.9242621275801577</v>
      </c>
      <c r="AI95" s="173">
        <f t="shared" si="205"/>
        <v>8.2139291158128653</v>
      </c>
      <c r="AJ95" s="173">
        <f t="shared" si="206"/>
        <v>22.933937162552066</v>
      </c>
      <c r="AK95" s="173">
        <f t="shared" si="207"/>
        <v>10.780694194483011</v>
      </c>
      <c r="AM95" s="545">
        <f t="shared" si="208"/>
        <v>9000</v>
      </c>
      <c r="AN95" s="460">
        <f t="shared" si="209"/>
        <v>44.496373917359598</v>
      </c>
      <c r="AP95">
        <f t="shared" si="210"/>
        <v>9000</v>
      </c>
      <c r="AQ95">
        <f t="shared" si="211"/>
        <v>44.496373917359598</v>
      </c>
      <c r="AS95" s="5">
        <f t="shared" si="285"/>
        <v>22.473741385247234</v>
      </c>
      <c r="AT95" s="5">
        <f t="shared" si="212"/>
        <v>4.7921414337191361</v>
      </c>
      <c r="AU95" s="5">
        <f t="shared" si="286"/>
        <v>17.681599951528099</v>
      </c>
      <c r="AV95" s="5">
        <f t="shared" si="213"/>
        <v>17.4815999515281</v>
      </c>
      <c r="AW95" s="173">
        <f t="shared" si="287"/>
        <v>0.2132329170996384</v>
      </c>
      <c r="AX95" s="173">
        <f t="shared" si="214"/>
        <v>140.4213383325183</v>
      </c>
      <c r="AY95" s="173">
        <f t="shared" si="215"/>
        <v>9.0218334204006414</v>
      </c>
      <c r="AZ95" s="173">
        <f t="shared" si="288"/>
        <v>15.564612179048909</v>
      </c>
      <c r="BA95" s="460">
        <f t="shared" si="216"/>
        <v>287.52848602314816</v>
      </c>
      <c r="BB95" s="5">
        <f t="shared" si="217"/>
        <v>14.332669743787617</v>
      </c>
      <c r="BC95" s="5"/>
      <c r="BD95" s="173">
        <f t="shared" si="289"/>
        <v>6.1142770700202353</v>
      </c>
      <c r="BE95" s="173">
        <f t="shared" si="218"/>
        <v>11.744677113611383</v>
      </c>
      <c r="BF95" s="173"/>
      <c r="BG95" s="528">
        <f t="shared" si="219"/>
        <v>0.74768768177950462</v>
      </c>
      <c r="BH95" s="528">
        <f t="shared" si="220"/>
        <v>1.41098836424003</v>
      </c>
      <c r="BI95" s="528">
        <f t="shared" si="221"/>
        <v>6.3884406845865757E-2</v>
      </c>
      <c r="BJ95" s="528">
        <f t="shared" si="222"/>
        <v>2.4197052292362152E-2</v>
      </c>
      <c r="BK95">
        <f t="shared" si="223"/>
        <v>2.5842989484070291E-2</v>
      </c>
      <c r="BL95" s="460">
        <f t="shared" si="290"/>
        <v>89.727396329936056</v>
      </c>
      <c r="BM95" s="528">
        <f t="shared" si="224"/>
        <v>2.8999215572434869</v>
      </c>
      <c r="BN95" s="460">
        <f t="shared" si="291"/>
        <v>2899.9215572434869</v>
      </c>
      <c r="BO95" s="528">
        <f t="shared" si="225"/>
        <v>5.5912499999999996</v>
      </c>
      <c r="BP95" s="528"/>
      <c r="BR95" s="460">
        <f t="shared" si="292"/>
        <v>5591.25</v>
      </c>
      <c r="BS95" s="528">
        <f t="shared" si="226"/>
        <v>1.1215315226692568</v>
      </c>
      <c r="BT95" s="528">
        <f t="shared" si="227"/>
        <v>4.1381232150896095</v>
      </c>
      <c r="BU95" s="528">
        <f t="shared" si="228"/>
        <v>2.0249999999999999</v>
      </c>
      <c r="BV95" s="528">
        <f t="shared" si="229"/>
        <v>14.755808537532742</v>
      </c>
      <c r="BW95" s="528">
        <f t="shared" si="230"/>
        <v>2.3403556388753053E-2</v>
      </c>
      <c r="BX95" s="460">
        <f t="shared" si="293"/>
        <v>14779.212093921496</v>
      </c>
      <c r="BY95" s="173">
        <f t="shared" si="231"/>
        <v>23.360111047494915</v>
      </c>
      <c r="BZ95" s="5">
        <f t="shared" si="294"/>
        <v>135</v>
      </c>
      <c r="CA95" s="173">
        <f t="shared" si="295"/>
        <v>0.85248740422713642</v>
      </c>
      <c r="CB95" s="5">
        <f t="shared" si="296"/>
        <v>85.248740422713638</v>
      </c>
      <c r="CE95" s="562">
        <f t="shared" si="232"/>
        <v>-50</v>
      </c>
      <c r="CF95">
        <f t="shared" si="233"/>
        <v>-50</v>
      </c>
      <c r="CG95" s="173">
        <f t="shared" si="234"/>
        <v>0.78790550366188816</v>
      </c>
      <c r="CI95" s="170">
        <v>90</v>
      </c>
      <c r="CJ95" s="217">
        <f t="shared" si="297"/>
        <v>9</v>
      </c>
      <c r="CK95" s="217"/>
      <c r="CL95" s="217">
        <f t="shared" si="235"/>
        <v>135</v>
      </c>
      <c r="CM95" s="541">
        <f t="shared" si="236"/>
        <v>58</v>
      </c>
      <c r="CN95" s="172">
        <f t="shared" si="237"/>
        <v>15.4</v>
      </c>
      <c r="CO95" s="443">
        <f t="shared" si="238"/>
        <v>73.400000000000006</v>
      </c>
      <c r="CP95" s="443"/>
      <c r="CQ95" s="217">
        <f t="shared" si="239"/>
        <v>0.2098092643051771</v>
      </c>
      <c r="CR95" s="172">
        <f t="shared" si="240"/>
        <v>305.10568119891008</v>
      </c>
      <c r="CS95" s="172">
        <f t="shared" si="298"/>
        <v>135</v>
      </c>
      <c r="CT95" s="217">
        <f t="shared" si="241"/>
        <v>20.340378746594006</v>
      </c>
      <c r="CU95" s="217">
        <f t="shared" si="242"/>
        <v>15</v>
      </c>
      <c r="CV95" s="217">
        <f t="shared" si="243"/>
        <v>20.281562216167121</v>
      </c>
      <c r="CW95" s="172">
        <f t="shared" si="244"/>
        <v>103.33475842424332</v>
      </c>
      <c r="CX95" s="172">
        <f t="shared" si="245"/>
        <v>15</v>
      </c>
      <c r="CY95" s="217">
        <f t="shared" si="246"/>
        <v>22.187639946260635</v>
      </c>
      <c r="CZ95" s="217">
        <f t="shared" si="247"/>
        <v>4.590546195778062</v>
      </c>
      <c r="DA95" s="217">
        <f t="shared" si="248"/>
        <v>17.289070087995299</v>
      </c>
      <c r="DB95" s="197">
        <f t="shared" si="249"/>
        <v>101.4078110808356</v>
      </c>
      <c r="DC95" s="443">
        <f t="shared" si="299"/>
        <v>45.704640658695318</v>
      </c>
      <c r="DE95" s="217">
        <f t="shared" si="250"/>
        <v>10</v>
      </c>
      <c r="DF95" s="173">
        <f t="shared" si="251"/>
        <v>7.7922077922077913</v>
      </c>
      <c r="DG95" s="173">
        <f t="shared" si="252"/>
        <v>3.9509536784741139</v>
      </c>
      <c r="DH95" s="173"/>
      <c r="DI95" s="173">
        <f t="shared" si="253"/>
        <v>7.7922077922077913</v>
      </c>
      <c r="DJ95" s="545">
        <f t="shared" si="300"/>
        <v>231</v>
      </c>
      <c r="DK95" s="528">
        <f t="shared" si="254"/>
        <v>3.9509536784741139</v>
      </c>
      <c r="DM95" s="173">
        <f t="shared" si="255"/>
        <v>8.1240384046359608</v>
      </c>
      <c r="DN95" s="173">
        <f t="shared" si="256"/>
        <v>22.187639946260635</v>
      </c>
      <c r="DO95" s="173">
        <f t="shared" si="257"/>
        <v>10.227881441674542</v>
      </c>
      <c r="DQ95" s="545">
        <f t="shared" si="258"/>
        <v>9000</v>
      </c>
      <c r="DR95" s="460">
        <f t="shared" si="259"/>
        <v>45.704640658695318</v>
      </c>
      <c r="DT95">
        <f t="shared" si="260"/>
        <v>9000</v>
      </c>
      <c r="DU95">
        <f t="shared" si="261"/>
        <v>45.704640658695318</v>
      </c>
      <c r="DW95" s="5">
        <f t="shared" si="301"/>
        <v>21.879616283773359</v>
      </c>
      <c r="DX95" s="5">
        <f t="shared" si="262"/>
        <v>4.590546195778062</v>
      </c>
      <c r="DY95" s="5">
        <f t="shared" si="302"/>
        <v>17.289070087995299</v>
      </c>
      <c r="DZ95" s="5">
        <f t="shared" si="263"/>
        <v>17.289070087995299</v>
      </c>
      <c r="EA95" s="173">
        <f t="shared" si="303"/>
        <v>0.20980926430517713</v>
      </c>
      <c r="EB95" s="173">
        <f t="shared" si="264"/>
        <v>135.00000000000003</v>
      </c>
      <c r="EC95" s="173">
        <f t="shared" si="265"/>
        <v>8.7662337662337659</v>
      </c>
      <c r="ED95" s="173">
        <f t="shared" si="304"/>
        <v>15.400000000000004</v>
      </c>
      <c r="EE95" s="460">
        <f t="shared" si="266"/>
        <v>275.43277174668373</v>
      </c>
      <c r="EF95" s="5">
        <f t="shared" si="267"/>
        <v>13.876483126512277</v>
      </c>
      <c r="EG95" s="5"/>
      <c r="EH95" s="173">
        <f t="shared" si="305"/>
        <v>5.8676312484967443</v>
      </c>
      <c r="EI95" s="173">
        <f t="shared" si="268"/>
        <v>11.387186907220094</v>
      </c>
      <c r="EJ95" s="173"/>
      <c r="EK95" s="528">
        <f t="shared" si="269"/>
        <v>0.68858192936670937</v>
      </c>
      <c r="EL95" s="528">
        <f t="shared" si="270"/>
        <v>1.4886666666666672</v>
      </c>
      <c r="EM95" s="528">
        <f t="shared" si="271"/>
        <v>5.7130800823369148E-3</v>
      </c>
      <c r="EN95" s="528">
        <f t="shared" si="272"/>
        <v>2.4623649382716058E-2</v>
      </c>
      <c r="EO95">
        <f t="shared" si="273"/>
        <v>2.6099999999999998E-2</v>
      </c>
      <c r="EP95" s="460">
        <f t="shared" si="306"/>
        <v>31.813080082336917</v>
      </c>
      <c r="EQ95" s="528">
        <f t="shared" si="274"/>
        <v>2.8929015888067204</v>
      </c>
      <c r="ER95" s="460">
        <f t="shared" si="307"/>
        <v>2892.9015888067206</v>
      </c>
      <c r="ES95" s="528">
        <f t="shared" si="308"/>
        <v>5.5912499999999996</v>
      </c>
      <c r="ET95" s="528"/>
      <c r="EV95" s="460">
        <f t="shared" si="309"/>
        <v>5591.25</v>
      </c>
      <c r="EW95" s="528">
        <f t="shared" si="275"/>
        <v>1.032872894050064</v>
      </c>
      <c r="EX95" s="528">
        <f t="shared" si="276"/>
        <v>3.8900407697989419</v>
      </c>
      <c r="EY95" s="528">
        <f t="shared" si="277"/>
        <v>1.6373763960187155</v>
      </c>
      <c r="EZ95" s="528">
        <f t="shared" si="278"/>
        <v>12.771712297665582</v>
      </c>
      <c r="FA95" s="528">
        <f t="shared" si="279"/>
        <v>2.250000000000001E-2</v>
      </c>
      <c r="FB95" s="460">
        <f t="shared" si="310"/>
        <v>12794.212297665583</v>
      </c>
      <c r="FC95" s="173">
        <f t="shared" si="311"/>
        <v>21.278363886472302</v>
      </c>
      <c r="FD95" s="5">
        <f t="shared" si="312"/>
        <v>135</v>
      </c>
      <c r="FE95" s="173">
        <f t="shared" si="313"/>
        <v>0.86384318751935574</v>
      </c>
      <c r="FF95" s="5">
        <f t="shared" si="314"/>
        <v>86.384318751935581</v>
      </c>
      <c r="FI95" s="562">
        <f t="shared" si="280"/>
        <v>-50</v>
      </c>
      <c r="FJ95">
        <f t="shared" si="281"/>
        <v>-50</v>
      </c>
      <c r="FL95">
        <f t="shared" si="282"/>
        <v>0.7901907356948229</v>
      </c>
    </row>
    <row r="96" spans="5:168">
      <c r="E96" s="170">
        <v>91</v>
      </c>
      <c r="F96" s="217">
        <f t="shared" si="283"/>
        <v>9.1</v>
      </c>
      <c r="G96" s="217"/>
      <c r="H96" s="217">
        <f t="shared" si="183"/>
        <v>136.5</v>
      </c>
      <c r="I96" s="541">
        <f t="shared" si="184"/>
        <v>57.422537986591948</v>
      </c>
      <c r="J96" s="172">
        <f t="shared" si="185"/>
        <v>15.746477208044833</v>
      </c>
      <c r="K96" s="172">
        <f t="shared" si="186"/>
        <v>73.746477208044837</v>
      </c>
      <c r="L96" s="443"/>
      <c r="M96" s="217">
        <f t="shared" si="187"/>
        <v>0.215196274335064</v>
      </c>
      <c r="N96" s="172">
        <f t="shared" si="188"/>
        <v>309.82379686668133</v>
      </c>
      <c r="O96" s="172">
        <f t="shared" si="284"/>
        <v>136.5</v>
      </c>
      <c r="P96" s="217">
        <f t="shared" si="189"/>
        <v>20.654919791112089</v>
      </c>
      <c r="Q96" s="217">
        <f t="shared" si="190"/>
        <v>15</v>
      </c>
      <c r="R96" s="217">
        <f t="shared" si="191"/>
        <v>20.595193729297126</v>
      </c>
      <c r="S96" s="172">
        <f t="shared" si="192"/>
        <v>100.55919515841433</v>
      </c>
      <c r="T96" s="217">
        <f t="shared" si="193"/>
        <v>15</v>
      </c>
      <c r="U96" s="217">
        <f t="shared" si="194"/>
        <v>23.190511722634593</v>
      </c>
      <c r="V96" s="217">
        <f t="shared" si="195"/>
        <v>4.8462877195813672</v>
      </c>
      <c r="W96" s="217">
        <f t="shared" si="196"/>
        <v>17.672914201370673</v>
      </c>
      <c r="X96" s="197">
        <f t="shared" si="197"/>
        <v>102.98105503045365</v>
      </c>
      <c r="Y96" s="443">
        <f t="shared" si="198"/>
        <v>44.0156306317161</v>
      </c>
      <c r="AA96" s="217">
        <f t="shared" si="199"/>
        <v>10</v>
      </c>
      <c r="AB96" s="173">
        <f t="shared" si="200"/>
        <v>7.6207521475782736</v>
      </c>
      <c r="AC96" s="173">
        <f t="shared" si="201"/>
        <v>3.9239654814160305</v>
      </c>
      <c r="AD96" s="173"/>
      <c r="AE96" s="173">
        <f t="shared" si="202"/>
        <v>7.6207521475782736</v>
      </c>
      <c r="AF96" s="545">
        <f t="shared" si="203"/>
        <v>238.82157098867998</v>
      </c>
      <c r="AG96" s="528">
        <f t="shared" si="204"/>
        <v>3.9239654814160301</v>
      </c>
      <c r="AI96" s="173">
        <f t="shared" si="205"/>
        <v>8.2604318632983276</v>
      </c>
      <c r="AJ96" s="173">
        <f t="shared" si="206"/>
        <v>23.190511722634593</v>
      </c>
      <c r="AK96" s="173">
        <f t="shared" si="207"/>
        <v>10.970749424173771</v>
      </c>
      <c r="AM96" s="545">
        <f t="shared" si="208"/>
        <v>9100</v>
      </c>
      <c r="AN96" s="460">
        <f t="shared" si="209"/>
        <v>44.0156306317161</v>
      </c>
      <c r="AP96">
        <f t="shared" si="210"/>
        <v>9100</v>
      </c>
      <c r="AQ96">
        <f t="shared" si="211"/>
        <v>44.0156306317161</v>
      </c>
      <c r="AS96" s="5">
        <f t="shared" si="285"/>
        <v>22.719201920952042</v>
      </c>
      <c r="AT96" s="5">
        <f t="shared" si="212"/>
        <v>4.8462877195813672</v>
      </c>
      <c r="AU96" s="5">
        <f t="shared" si="286"/>
        <v>17.872914201370676</v>
      </c>
      <c r="AV96" s="5">
        <f t="shared" si="213"/>
        <v>17.672914201370673</v>
      </c>
      <c r="AW96" s="173">
        <f t="shared" si="287"/>
        <v>0.21331241020011521</v>
      </c>
      <c r="AX96" s="173">
        <f t="shared" si="214"/>
        <v>142.02959307166967</v>
      </c>
      <c r="AY96" s="173">
        <f t="shared" si="215"/>
        <v>9.121843886652691</v>
      </c>
      <c r="AZ96" s="173">
        <f t="shared" si="288"/>
        <v>15.570272286669026</v>
      </c>
      <c r="BA96" s="460">
        <f t="shared" si="216"/>
        <v>294.00812165460292</v>
      </c>
      <c r="BB96" s="5">
        <f t="shared" si="217"/>
        <v>14.650337859210655</v>
      </c>
      <c r="BC96" s="5"/>
      <c r="BD96" s="173">
        <f t="shared" si="289"/>
        <v>6.1838331905792492</v>
      </c>
      <c r="BE96" s="173">
        <f t="shared" si="218"/>
        <v>11.875471291292316</v>
      </c>
      <c r="BF96" s="173"/>
      <c r="BG96" s="528">
        <f t="shared" si="219"/>
        <v>0.76479585857819077</v>
      </c>
      <c r="BH96" s="528">
        <f t="shared" si="220"/>
        <v>1.4114315201409335</v>
      </c>
      <c r="BI96" s="528">
        <f t="shared" si="221"/>
        <v>6.3187230548837944E-2</v>
      </c>
      <c r="BJ96" s="528">
        <f t="shared" si="222"/>
        <v>2.3938089548740521E-2</v>
      </c>
      <c r="BK96">
        <f t="shared" si="223"/>
        <v>2.5840142093966376E-2</v>
      </c>
      <c r="BL96" s="460">
        <f t="shared" si="290"/>
        <v>89.027372642804323</v>
      </c>
      <c r="BM96" s="528">
        <f t="shared" si="224"/>
        <v>2.9411046381963728</v>
      </c>
      <c r="BN96" s="460">
        <f t="shared" si="291"/>
        <v>2941.1046381963729</v>
      </c>
      <c r="BO96" s="528">
        <f t="shared" si="225"/>
        <v>5.6533749999999987</v>
      </c>
      <c r="BP96" s="528"/>
      <c r="BR96" s="460">
        <f t="shared" si="292"/>
        <v>5653.3749999999991</v>
      </c>
      <c r="BS96" s="528">
        <f t="shared" si="226"/>
        <v>1.147193787867286</v>
      </c>
      <c r="BT96" s="528">
        <f t="shared" si="227"/>
        <v>4.2308045517092401</v>
      </c>
      <c r="BU96" s="528">
        <f t="shared" si="228"/>
        <v>2.0474999999999999</v>
      </c>
      <c r="BV96" s="528">
        <f t="shared" si="229"/>
        <v>15.298048141280244</v>
      </c>
      <c r="BW96" s="528">
        <f t="shared" si="230"/>
        <v>2.367159884527828E-2</v>
      </c>
      <c r="BX96" s="460">
        <f t="shared" si="293"/>
        <v>15321.719740125522</v>
      </c>
      <c r="BY96" s="173">
        <f t="shared" si="231"/>
        <v>24.005226750964699</v>
      </c>
      <c r="BZ96" s="5">
        <f t="shared" si="294"/>
        <v>136.5</v>
      </c>
      <c r="CA96" s="173">
        <f t="shared" si="295"/>
        <v>0.85043959479144859</v>
      </c>
      <c r="CB96" s="5">
        <f t="shared" si="296"/>
        <v>85.04395947914486</v>
      </c>
      <c r="CE96" s="562">
        <f t="shared" si="232"/>
        <v>-50</v>
      </c>
      <c r="CF96">
        <f t="shared" si="233"/>
        <v>-50</v>
      </c>
      <c r="CG96" s="173">
        <f t="shared" si="234"/>
        <v>0.78793061610181048</v>
      </c>
      <c r="CI96" s="170">
        <v>91</v>
      </c>
      <c r="CJ96" s="217">
        <f t="shared" si="297"/>
        <v>9.1</v>
      </c>
      <c r="CK96" s="217"/>
      <c r="CL96" s="217">
        <f t="shared" si="235"/>
        <v>136.5</v>
      </c>
      <c r="CM96" s="541">
        <f t="shared" si="236"/>
        <v>58</v>
      </c>
      <c r="CN96" s="172">
        <f t="shared" si="237"/>
        <v>15.4</v>
      </c>
      <c r="CO96" s="443">
        <f t="shared" si="238"/>
        <v>73.400000000000006</v>
      </c>
      <c r="CP96" s="443"/>
      <c r="CQ96" s="217">
        <f t="shared" si="239"/>
        <v>0.2098092643051771</v>
      </c>
      <c r="CR96" s="172">
        <f t="shared" si="240"/>
        <v>305.10568119891008</v>
      </c>
      <c r="CS96" s="172">
        <f t="shared" si="298"/>
        <v>136.5</v>
      </c>
      <c r="CT96" s="217">
        <f t="shared" si="241"/>
        <v>20.340378746594006</v>
      </c>
      <c r="CU96" s="217">
        <f t="shared" si="242"/>
        <v>15</v>
      </c>
      <c r="CV96" s="217">
        <f t="shared" si="243"/>
        <v>20.281562216167121</v>
      </c>
      <c r="CW96" s="172">
        <f t="shared" si="244"/>
        <v>101.5681812960881</v>
      </c>
      <c r="CX96" s="217">
        <f t="shared" si="245"/>
        <v>15</v>
      </c>
      <c r="CY96" s="217">
        <f t="shared" si="246"/>
        <v>22.434169278996865</v>
      </c>
      <c r="CZ96" s="217">
        <f t="shared" si="247"/>
        <v>4.6415522646200413</v>
      </c>
      <c r="DA96" s="217">
        <f t="shared" si="248"/>
        <v>17.481170866750805</v>
      </c>
      <c r="DB96" s="197">
        <f t="shared" si="249"/>
        <v>101.4078110808356</v>
      </c>
      <c r="DC96" s="443">
        <f t="shared" si="299"/>
        <v>45.202391860248106</v>
      </c>
      <c r="DE96" s="217">
        <f t="shared" si="250"/>
        <v>10</v>
      </c>
      <c r="DF96" s="173">
        <f t="shared" si="251"/>
        <v>7.7922077922077913</v>
      </c>
      <c r="DG96" s="173">
        <f t="shared" si="252"/>
        <v>3.9509536784741139</v>
      </c>
      <c r="DH96" s="173"/>
      <c r="DI96" s="173">
        <f t="shared" si="253"/>
        <v>7.7922077922077913</v>
      </c>
      <c r="DJ96" s="545">
        <f t="shared" si="300"/>
        <v>233.56666666666666</v>
      </c>
      <c r="DK96" s="528">
        <f t="shared" si="254"/>
        <v>3.9509536784741139</v>
      </c>
      <c r="DM96" s="173">
        <f t="shared" si="255"/>
        <v>8.1690472720711647</v>
      </c>
      <c r="DN96" s="173">
        <f t="shared" si="256"/>
        <v>22.434169278996865</v>
      </c>
      <c r="DO96" s="173">
        <f t="shared" si="257"/>
        <v>10.410495762219899</v>
      </c>
      <c r="DQ96" s="545">
        <f t="shared" si="258"/>
        <v>9100</v>
      </c>
      <c r="DR96" s="460">
        <f t="shared" si="259"/>
        <v>45.202391860248106</v>
      </c>
      <c r="DT96">
        <f t="shared" si="260"/>
        <v>9100</v>
      </c>
      <c r="DU96">
        <f t="shared" si="261"/>
        <v>45.202391860248106</v>
      </c>
      <c r="DW96" s="5">
        <f t="shared" si="301"/>
        <v>22.122723131370844</v>
      </c>
      <c r="DX96" s="5">
        <f t="shared" si="262"/>
        <v>4.6415522646200413</v>
      </c>
      <c r="DY96" s="5">
        <f t="shared" si="302"/>
        <v>17.481170866750801</v>
      </c>
      <c r="DZ96" s="5">
        <f t="shared" si="263"/>
        <v>17.481170866750805</v>
      </c>
      <c r="EA96" s="173">
        <f t="shared" si="303"/>
        <v>0.20980926430517713</v>
      </c>
      <c r="EB96" s="173">
        <f t="shared" si="264"/>
        <v>136.5</v>
      </c>
      <c r="EC96" s="173">
        <f t="shared" si="265"/>
        <v>8.8636363636363633</v>
      </c>
      <c r="ED96" s="173">
        <f t="shared" si="304"/>
        <v>15.4</v>
      </c>
      <c r="EE96" s="460">
        <f t="shared" si="266"/>
        <v>281.58750405361582</v>
      </c>
      <c r="EF96" s="5">
        <f t="shared" si="267"/>
        <v>14.186562564277551</v>
      </c>
      <c r="EG96" s="5"/>
      <c r="EH96" s="173">
        <f t="shared" si="305"/>
        <v>5.9328271512578201</v>
      </c>
      <c r="EI96" s="173">
        <f t="shared" si="268"/>
        <v>11.513711206189207</v>
      </c>
      <c r="EJ96" s="173"/>
      <c r="EK96" s="528">
        <f t="shared" si="269"/>
        <v>0.70396876013403975</v>
      </c>
      <c r="EL96" s="528">
        <f t="shared" si="270"/>
        <v>1.4886666666666666</v>
      </c>
      <c r="EM96" s="528">
        <f t="shared" si="271"/>
        <v>5.6502989825310129E-3</v>
      </c>
      <c r="EN96" s="528">
        <f t="shared" si="272"/>
        <v>2.4353059829059834E-2</v>
      </c>
      <c r="EO96">
        <f t="shared" si="273"/>
        <v>2.6099999999999998E-2</v>
      </c>
      <c r="EP96" s="460">
        <f t="shared" si="306"/>
        <v>31.75029898253101</v>
      </c>
      <c r="EQ96" s="528">
        <f t="shared" si="274"/>
        <v>2.9286680965101501</v>
      </c>
      <c r="ER96" s="460">
        <f t="shared" si="307"/>
        <v>2928.66809651015</v>
      </c>
      <c r="ES96" s="528">
        <f t="shared" si="308"/>
        <v>5.6533749999999987</v>
      </c>
      <c r="ET96" s="528"/>
      <c r="EV96" s="460">
        <f t="shared" si="309"/>
        <v>5653.3749999999991</v>
      </c>
      <c r="EW96" s="528">
        <f t="shared" si="275"/>
        <v>1.0559531402010596</v>
      </c>
      <c r="EX96" s="528">
        <f t="shared" si="276"/>
        <v>3.9769663721858075</v>
      </c>
      <c r="EY96" s="528">
        <f t="shared" si="277"/>
        <v>1.6373763960187142</v>
      </c>
      <c r="EZ96" s="528">
        <f t="shared" si="278"/>
        <v>13.188214263337727</v>
      </c>
      <c r="FA96" s="528">
        <f t="shared" si="279"/>
        <v>2.2750000000000003E-2</v>
      </c>
      <c r="FB96" s="460">
        <f t="shared" si="310"/>
        <v>13210.964263337728</v>
      </c>
      <c r="FC96" s="173">
        <f t="shared" si="311"/>
        <v>21.793007359847874</v>
      </c>
      <c r="FD96" s="5">
        <f t="shared" si="312"/>
        <v>136.5</v>
      </c>
      <c r="FE96" s="173">
        <f t="shared" si="313"/>
        <v>0.86232488899332249</v>
      </c>
      <c r="FF96" s="5">
        <f t="shared" si="314"/>
        <v>86.232488899332253</v>
      </c>
      <c r="FI96" s="562">
        <f t="shared" si="280"/>
        <v>-50</v>
      </c>
      <c r="FJ96">
        <f t="shared" si="281"/>
        <v>-50</v>
      </c>
      <c r="FL96">
        <f t="shared" si="282"/>
        <v>0.7901907356948229</v>
      </c>
    </row>
    <row r="97" spans="5:168" ht="13">
      <c r="E97" s="170">
        <v>92</v>
      </c>
      <c r="F97" s="217">
        <f t="shared" si="283"/>
        <v>9.2000000000000011</v>
      </c>
      <c r="G97" s="217"/>
      <c r="H97" s="217">
        <f t="shared" si="183"/>
        <v>138.00000000000003</v>
      </c>
      <c r="I97" s="541">
        <f t="shared" si="184"/>
        <v>57.41621045188004</v>
      </c>
      <c r="J97" s="172">
        <f t="shared" si="185"/>
        <v>15.750273728871976</v>
      </c>
      <c r="K97" s="172">
        <f t="shared" si="186"/>
        <v>73.750273728871974</v>
      </c>
      <c r="L97" s="443"/>
      <c r="M97" s="217">
        <f t="shared" si="187"/>
        <v>0.21525560845068356</v>
      </c>
      <c r="N97" s="172">
        <f t="shared" si="188"/>
        <v>309.87507208919044</v>
      </c>
      <c r="O97" s="172">
        <f t="shared" si="284"/>
        <v>138.00000000000003</v>
      </c>
      <c r="P97" s="217">
        <f t="shared" si="189"/>
        <v>20.658338139279362</v>
      </c>
      <c r="Q97" s="217">
        <f t="shared" si="190"/>
        <v>15</v>
      </c>
      <c r="R97" s="217">
        <f t="shared" si="191"/>
        <v>20.598602192919891</v>
      </c>
      <c r="S97" s="172">
        <f t="shared" si="192"/>
        <v>98.837529980428471</v>
      </c>
      <c r="T97" s="532">
        <f t="shared" si="193"/>
        <v>15</v>
      </c>
      <c r="U97" s="217">
        <f t="shared" si="194"/>
        <v>23.447125201714389</v>
      </c>
      <c r="V97" s="217">
        <f t="shared" si="195"/>
        <v>4.9004540739654399</v>
      </c>
      <c r="W97" s="217">
        <f t="shared" si="196"/>
        <v>17.864165871911094</v>
      </c>
      <c r="X97" s="197">
        <f t="shared" si="197"/>
        <v>102.9980964209397</v>
      </c>
      <c r="Y97" s="443">
        <f t="shared" si="198"/>
        <v>43.545244918349169</v>
      </c>
      <c r="AA97" s="217">
        <f t="shared" si="199"/>
        <v>10</v>
      </c>
      <c r="AB97" s="173">
        <f t="shared" si="200"/>
        <v>7.6189152052657265</v>
      </c>
      <c r="AC97" s="173">
        <f t="shared" si="201"/>
        <v>3.9236688146746146</v>
      </c>
      <c r="AD97" s="173"/>
      <c r="AE97" s="173">
        <f t="shared" si="202"/>
        <v>7.6189152052657265</v>
      </c>
      <c r="AF97" s="545">
        <f t="shared" si="203"/>
        <v>241.50419717603697</v>
      </c>
      <c r="AG97" s="528">
        <f t="shared" si="204"/>
        <v>3.9236688146746141</v>
      </c>
      <c r="AI97" s="173">
        <f t="shared" si="205"/>
        <v>8.3066960455498453</v>
      </c>
      <c r="AJ97" s="173">
        <f t="shared" si="206"/>
        <v>23.447125201714389</v>
      </c>
      <c r="AK97" s="173">
        <f t="shared" si="207"/>
        <v>11.160833482751398</v>
      </c>
      <c r="AM97" s="545">
        <f t="shared" si="208"/>
        <v>9200.0000000000018</v>
      </c>
      <c r="AN97" s="460">
        <f t="shared" si="209"/>
        <v>43.545244918349169</v>
      </c>
      <c r="AP97">
        <f t="shared" si="210"/>
        <v>9200.0000000000018</v>
      </c>
      <c r="AQ97">
        <f t="shared" si="211"/>
        <v>43.545244918349169</v>
      </c>
      <c r="AS97" s="5">
        <f t="shared" si="285"/>
        <v>22.964619945876532</v>
      </c>
      <c r="AT97" s="5">
        <f t="shared" si="212"/>
        <v>4.9004540739654399</v>
      </c>
      <c r="AU97" s="5">
        <f t="shared" si="286"/>
        <v>18.064165871911094</v>
      </c>
      <c r="AV97" s="5">
        <f t="shared" si="213"/>
        <v>17.864165871911094</v>
      </c>
      <c r="AW97" s="173">
        <f t="shared" si="287"/>
        <v>0.21339147286194704</v>
      </c>
      <c r="AX97" s="173">
        <f t="shared" si="214"/>
        <v>143.63860970150776</v>
      </c>
      <c r="AY97" s="173">
        <f t="shared" si="215"/>
        <v>9.2218543102710395</v>
      </c>
      <c r="AZ97" s="173">
        <f t="shared" si="288"/>
        <v>15.575892317180413</v>
      </c>
      <c r="BA97" s="460">
        <f t="shared" si="216"/>
        <v>300.56118320321366</v>
      </c>
      <c r="BB97" s="5">
        <f t="shared" si="217"/>
        <v>14.971471085066065</v>
      </c>
      <c r="BC97" s="5"/>
      <c r="BD97" s="173">
        <f t="shared" si="289"/>
        <v>6.2534186654202975</v>
      </c>
      <c r="BE97" s="173">
        <f t="shared" si="218"/>
        <v>12.006275375954985</v>
      </c>
      <c r="BF97" s="173"/>
      <c r="BG97" s="528">
        <f t="shared" si="219"/>
        <v>0.78210490010053946</v>
      </c>
      <c r="BH97" s="528">
        <f t="shared" si="220"/>
        <v>1.4118717503193958</v>
      </c>
      <c r="BI97" s="528">
        <f t="shared" si="221"/>
        <v>6.2505073660264879E-2</v>
      </c>
      <c r="BJ97" s="528">
        <f t="shared" si="222"/>
        <v>2.3684706683161003E-2</v>
      </c>
      <c r="BK97">
        <f t="shared" si="223"/>
        <v>2.5837294703346017E-2</v>
      </c>
      <c r="BL97" s="460">
        <f t="shared" si="290"/>
        <v>88.342368363610902</v>
      </c>
      <c r="BM97" s="528">
        <f t="shared" si="224"/>
        <v>2.9831903465521701</v>
      </c>
      <c r="BN97" s="460">
        <f t="shared" si="291"/>
        <v>2983.19034655217</v>
      </c>
      <c r="BO97" s="528">
        <f t="shared" si="225"/>
        <v>5.7155000000000005</v>
      </c>
      <c r="BP97" s="528"/>
      <c r="BR97" s="460">
        <f t="shared" si="292"/>
        <v>5715.5000000000009</v>
      </c>
      <c r="BS97" s="528">
        <f t="shared" si="226"/>
        <v>1.1731573501508092</v>
      </c>
      <c r="BT97" s="528">
        <f t="shared" si="227"/>
        <v>4.3245194520978902</v>
      </c>
      <c r="BU97" s="528">
        <f t="shared" si="228"/>
        <v>2.0700000000000003</v>
      </c>
      <c r="BV97" s="528">
        <f t="shared" si="229"/>
        <v>15.864590550537505</v>
      </c>
      <c r="BW97" s="528">
        <f t="shared" si="230"/>
        <v>2.3939768283584635E-2</v>
      </c>
      <c r="BX97" s="460">
        <f t="shared" si="293"/>
        <v>15888.530318821089</v>
      </c>
      <c r="BY97" s="173">
        <f t="shared" si="231"/>
        <v>24.675563033736871</v>
      </c>
      <c r="BZ97" s="5">
        <f t="shared" si="294"/>
        <v>138.00000000000003</v>
      </c>
      <c r="CA97" s="173">
        <f t="shared" si="295"/>
        <v>0.84831426076810657</v>
      </c>
      <c r="CB97" s="5">
        <f t="shared" si="296"/>
        <v>84.831426076810658</v>
      </c>
      <c r="CE97" s="562">
        <f t="shared" si="232"/>
        <v>-50</v>
      </c>
      <c r="CF97">
        <f t="shared" si="233"/>
        <v>-50</v>
      </c>
      <c r="CG97" s="173">
        <f t="shared" si="234"/>
        <v>0.78795518261912589</v>
      </c>
      <c r="CI97" s="170">
        <v>92</v>
      </c>
      <c r="CJ97" s="217">
        <f t="shared" si="297"/>
        <v>9.2000000000000011</v>
      </c>
      <c r="CK97" s="217"/>
      <c r="CL97" s="217">
        <f t="shared" si="235"/>
        <v>138.00000000000003</v>
      </c>
      <c r="CM97" s="541">
        <f t="shared" si="236"/>
        <v>58</v>
      </c>
      <c r="CN97" s="172">
        <f t="shared" si="237"/>
        <v>15.4</v>
      </c>
      <c r="CO97" s="443">
        <f t="shared" si="238"/>
        <v>73.400000000000006</v>
      </c>
      <c r="CP97" s="443"/>
      <c r="CQ97" s="217">
        <f t="shared" si="239"/>
        <v>0.2098092643051771</v>
      </c>
      <c r="CR97" s="172">
        <f t="shared" si="240"/>
        <v>305.10568119891008</v>
      </c>
      <c r="CS97" s="172">
        <f t="shared" si="298"/>
        <v>138.00000000000003</v>
      </c>
      <c r="CT97" s="217">
        <f t="shared" si="241"/>
        <v>20.340378746594006</v>
      </c>
      <c r="CU97" s="217">
        <f t="shared" si="242"/>
        <v>15</v>
      </c>
      <c r="CV97" s="217">
        <f t="shared" si="243"/>
        <v>20.281562216167121</v>
      </c>
      <c r="CW97" s="172">
        <f t="shared" si="244"/>
        <v>99.840139862366087</v>
      </c>
      <c r="CX97" s="532">
        <f t="shared" si="245"/>
        <v>15</v>
      </c>
      <c r="CY97" s="217">
        <f t="shared" si="246"/>
        <v>22.680698611733099</v>
      </c>
      <c r="CZ97" s="217">
        <f t="shared" si="247"/>
        <v>4.6925583334620198</v>
      </c>
      <c r="DA97" s="217">
        <f t="shared" si="248"/>
        <v>17.673271645506308</v>
      </c>
      <c r="DB97" s="197">
        <f t="shared" si="249"/>
        <v>101.4078110808356</v>
      </c>
      <c r="DC97" s="443">
        <f t="shared" si="299"/>
        <v>44.711061513941061</v>
      </c>
      <c r="DE97" s="217">
        <f t="shared" si="250"/>
        <v>10</v>
      </c>
      <c r="DF97" s="173">
        <f t="shared" si="251"/>
        <v>7.7922077922077913</v>
      </c>
      <c r="DG97" s="173">
        <f t="shared" si="252"/>
        <v>3.9509536784741139</v>
      </c>
      <c r="DH97" s="173"/>
      <c r="DI97" s="173">
        <f t="shared" si="253"/>
        <v>7.7922077922077913</v>
      </c>
      <c r="DJ97" s="545">
        <f t="shared" si="300"/>
        <v>236.13333333333338</v>
      </c>
      <c r="DK97" s="528">
        <f t="shared" si="254"/>
        <v>3.9509536784741139</v>
      </c>
      <c r="DM97" s="173">
        <f t="shared" si="255"/>
        <v>8.2138095100061026</v>
      </c>
      <c r="DN97" s="173">
        <f t="shared" si="256"/>
        <v>22.680698611733099</v>
      </c>
      <c r="DO97" s="173">
        <f t="shared" si="257"/>
        <v>10.593110082765259</v>
      </c>
      <c r="DQ97" s="545">
        <f t="shared" si="258"/>
        <v>9200.0000000000018</v>
      </c>
      <c r="DR97" s="460">
        <f t="shared" si="259"/>
        <v>44.711061513941061</v>
      </c>
      <c r="DT97">
        <f t="shared" si="260"/>
        <v>9200.0000000000018</v>
      </c>
      <c r="DU97">
        <f t="shared" si="261"/>
        <v>44.711061513941061</v>
      </c>
      <c r="DW97" s="5">
        <f t="shared" si="301"/>
        <v>22.365829978968328</v>
      </c>
      <c r="DX97" s="5">
        <f t="shared" si="262"/>
        <v>4.6925583334620198</v>
      </c>
      <c r="DY97" s="5">
        <f t="shared" si="302"/>
        <v>17.673271645506308</v>
      </c>
      <c r="DZ97" s="5">
        <f t="shared" si="263"/>
        <v>17.673271645506308</v>
      </c>
      <c r="EA97" s="173">
        <f t="shared" si="303"/>
        <v>0.2098092643051771</v>
      </c>
      <c r="EB97" s="173">
        <f t="shared" si="264"/>
        <v>138.00000000000003</v>
      </c>
      <c r="EC97" s="173">
        <f t="shared" si="265"/>
        <v>8.9610389610389625</v>
      </c>
      <c r="ED97" s="173">
        <f t="shared" si="304"/>
        <v>15.4</v>
      </c>
      <c r="EE97" s="460">
        <f t="shared" si="266"/>
        <v>287.81024445233726</v>
      </c>
      <c r="EF97" s="5">
        <f t="shared" si="267"/>
        <v>14.500068294172834</v>
      </c>
      <c r="EG97" s="5"/>
      <c r="EH97" s="173">
        <f t="shared" si="305"/>
        <v>5.9980230540188959</v>
      </c>
      <c r="EI97" s="173">
        <f t="shared" si="268"/>
        <v>11.640235505158321</v>
      </c>
      <c r="EJ97" s="173"/>
      <c r="EK97" s="528">
        <f t="shared" si="269"/>
        <v>0.71952561113084335</v>
      </c>
      <c r="EL97" s="528">
        <f t="shared" si="270"/>
        <v>1.4886666666666672</v>
      </c>
      <c r="EM97" s="528">
        <f t="shared" si="271"/>
        <v>5.5888826892426325E-3</v>
      </c>
      <c r="EN97" s="528">
        <f t="shared" si="272"/>
        <v>2.4088352657004836E-2</v>
      </c>
      <c r="EO97">
        <f t="shared" si="273"/>
        <v>2.6099999999999998E-2</v>
      </c>
      <c r="EP97" s="460">
        <f t="shared" si="306"/>
        <v>31.688882689242629</v>
      </c>
      <c r="EQ97" s="528">
        <f t="shared" si="274"/>
        <v>2.9651636937469599</v>
      </c>
      <c r="ER97" s="460">
        <f t="shared" si="307"/>
        <v>2965.1636937469598</v>
      </c>
      <c r="ES97" s="528">
        <f t="shared" si="308"/>
        <v>5.7155000000000005</v>
      </c>
      <c r="ET97" s="528"/>
      <c r="EV97" s="460">
        <f t="shared" si="309"/>
        <v>5715.5000000000009</v>
      </c>
      <c r="EW97" s="528">
        <f t="shared" si="275"/>
        <v>1.0792884166962649</v>
      </c>
      <c r="EX97" s="528">
        <f t="shared" si="276"/>
        <v>4.0648524784664515</v>
      </c>
      <c r="EY97" s="528">
        <f t="shared" si="277"/>
        <v>1.6373763960187155</v>
      </c>
      <c r="EZ97" s="528">
        <f t="shared" si="278"/>
        <v>13.621983156170383</v>
      </c>
      <c r="FA97" s="528">
        <f t="shared" si="279"/>
        <v>2.300000000000001E-2</v>
      </c>
      <c r="FB97" s="460">
        <f t="shared" si="310"/>
        <v>13644.983156170383</v>
      </c>
      <c r="FC97" s="173">
        <f t="shared" si="311"/>
        <v>22.325646849917344</v>
      </c>
      <c r="FD97" s="5">
        <f t="shared" si="312"/>
        <v>138.00000000000003</v>
      </c>
      <c r="FE97" s="173">
        <f t="shared" si="313"/>
        <v>0.86074812552718638</v>
      </c>
      <c r="FF97" s="5">
        <f t="shared" si="314"/>
        <v>86.07481255271864</v>
      </c>
      <c r="FI97" s="562">
        <f t="shared" si="280"/>
        <v>-50</v>
      </c>
      <c r="FJ97">
        <f t="shared" si="281"/>
        <v>-50</v>
      </c>
      <c r="FL97">
        <f t="shared" si="282"/>
        <v>0.7901907356948229</v>
      </c>
    </row>
    <row r="98" spans="5:168" ht="13">
      <c r="E98" s="170">
        <v>93</v>
      </c>
      <c r="F98" s="217">
        <f t="shared" si="283"/>
        <v>9.3000000000000007</v>
      </c>
      <c r="G98" s="217"/>
      <c r="H98" s="217">
        <f t="shared" si="183"/>
        <v>139.5</v>
      </c>
      <c r="I98" s="541">
        <f t="shared" si="184"/>
        <v>57.409882916057605</v>
      </c>
      <c r="J98" s="172">
        <f t="shared" si="185"/>
        <v>15.754070250365436</v>
      </c>
      <c r="K98" s="172">
        <f t="shared" si="186"/>
        <v>73.75407025036543</v>
      </c>
      <c r="L98" s="443"/>
      <c r="M98" s="217">
        <f t="shared" si="187"/>
        <v>0.21531494667475329</v>
      </c>
      <c r="N98" s="172">
        <f t="shared" si="188"/>
        <v>309.92633439307326</v>
      </c>
      <c r="O98" s="172">
        <f t="shared" si="284"/>
        <v>139.5</v>
      </c>
      <c r="P98" s="217">
        <f t="shared" si="189"/>
        <v>20.661755626204883</v>
      </c>
      <c r="Q98" s="217">
        <f t="shared" si="190"/>
        <v>15</v>
      </c>
      <c r="R98" s="217">
        <f t="shared" si="191"/>
        <v>20.602009797791286</v>
      </c>
      <c r="S98" s="172">
        <f t="shared" si="192"/>
        <v>97.153158712316269</v>
      </c>
      <c r="T98" s="532">
        <f t="shared" si="193"/>
        <v>15</v>
      </c>
      <c r="U98" s="217">
        <f t="shared" si="194"/>
        <v>23.703777612660126</v>
      </c>
      <c r="V98" s="217">
        <f t="shared" si="195"/>
        <v>4.9546405061969194</v>
      </c>
      <c r="W98" s="217">
        <f t="shared" si="196"/>
        <v>18.055355018194327</v>
      </c>
      <c r="X98" s="197">
        <f t="shared" si="197"/>
        <v>103.01513352114064</v>
      </c>
      <c r="Y98" s="443">
        <f t="shared" si="198"/>
        <v>43.084885516203826</v>
      </c>
      <c r="AA98" s="217">
        <f t="shared" si="199"/>
        <v>9.9999999999999982</v>
      </c>
      <c r="AB98" s="173">
        <f t="shared" si="200"/>
        <v>7.6170791479882114</v>
      </c>
      <c r="AC98" s="173">
        <f t="shared" si="201"/>
        <v>3.923372127355508</v>
      </c>
      <c r="AD98" s="173"/>
      <c r="AE98" s="173">
        <f t="shared" si="202"/>
        <v>7.6170791479882132</v>
      </c>
      <c r="AF98" s="545">
        <f t="shared" si="203"/>
        <v>244.18808888066425</v>
      </c>
      <c r="AG98" s="528">
        <f t="shared" si="204"/>
        <v>3.9233721273555102</v>
      </c>
      <c r="AI98" s="173">
        <f t="shared" si="205"/>
        <v>8.3527256266727399</v>
      </c>
      <c r="AJ98" s="173">
        <f t="shared" si="206"/>
        <v>23.703777612660126</v>
      </c>
      <c r="AK98" s="173">
        <f t="shared" si="207"/>
        <v>11.35094637974824</v>
      </c>
      <c r="AM98" s="545">
        <f t="shared" si="208"/>
        <v>9300</v>
      </c>
      <c r="AN98" s="460">
        <f t="shared" si="209"/>
        <v>43.084885516203826</v>
      </c>
      <c r="AP98">
        <f t="shared" si="210"/>
        <v>9300</v>
      </c>
      <c r="AQ98">
        <f t="shared" si="211"/>
        <v>43.084885516203826</v>
      </c>
      <c r="AS98" s="5">
        <f t="shared" si="285"/>
        <v>23.209995524391246</v>
      </c>
      <c r="AT98" s="5">
        <f t="shared" si="212"/>
        <v>4.9546405061969194</v>
      </c>
      <c r="AU98" s="5">
        <f t="shared" si="286"/>
        <v>18.255355018194326</v>
      </c>
      <c r="AV98" s="5">
        <f t="shared" si="213"/>
        <v>18.055355018194327</v>
      </c>
      <c r="AW98" s="173">
        <f t="shared" si="287"/>
        <v>0.21347011898344045</v>
      </c>
      <c r="AX98" s="173">
        <f t="shared" si="214"/>
        <v>145.24838814035513</v>
      </c>
      <c r="AY98" s="173">
        <f t="shared" si="215"/>
        <v>9.3218646926642776</v>
      </c>
      <c r="AZ98" s="173">
        <f t="shared" si="288"/>
        <v>15.581473549455882</v>
      </c>
      <c r="BA98" s="460">
        <f t="shared" si="216"/>
        <v>307.18771138420902</v>
      </c>
      <c r="BB98" s="5">
        <f t="shared" si="217"/>
        <v>15.296068921777778</v>
      </c>
      <c r="BC98" s="5"/>
      <c r="BD98" s="173">
        <f t="shared" si="289"/>
        <v>6.3230334990414896</v>
      </c>
      <c r="BE98" s="173">
        <f t="shared" si="218"/>
        <v>12.137089371295531</v>
      </c>
      <c r="BF98" s="173"/>
      <c r="BG98" s="528">
        <f t="shared" si="219"/>
        <v>0.79961505260001731</v>
      </c>
      <c r="BH98" s="528">
        <f t="shared" si="220"/>
        <v>1.4123091472103706</v>
      </c>
      <c r="BI98" s="528">
        <f t="shared" si="221"/>
        <v>6.1837455823425203E-2</v>
      </c>
      <c r="BJ98" s="528">
        <f t="shared" si="222"/>
        <v>2.34367252366737E-2</v>
      </c>
      <c r="BK98">
        <f t="shared" si="223"/>
        <v>2.5834447312225922E-2</v>
      </c>
      <c r="BL98" s="460">
        <f t="shared" si="290"/>
        <v>87.671903135651121</v>
      </c>
      <c r="BM98" s="528">
        <f t="shared" si="224"/>
        <v>3.0262003683881193</v>
      </c>
      <c r="BN98" s="460">
        <f t="shared" si="291"/>
        <v>3026.2003683881194</v>
      </c>
      <c r="BO98" s="528">
        <f t="shared" si="225"/>
        <v>5.7776249999999996</v>
      </c>
      <c r="BP98" s="528"/>
      <c r="BR98" s="460">
        <f t="shared" si="292"/>
        <v>5777.625</v>
      </c>
      <c r="BS98" s="528">
        <f t="shared" si="226"/>
        <v>1.1994225789000259</v>
      </c>
      <c r="BT98" s="528">
        <f t="shared" si="227"/>
        <v>4.4192681522044479</v>
      </c>
      <c r="BU98" s="528">
        <f t="shared" si="228"/>
        <v>2.0924999999999998</v>
      </c>
      <c r="BV98" s="528">
        <f t="shared" si="229"/>
        <v>16.457036285813629</v>
      </c>
      <c r="BW98" s="528">
        <f t="shared" si="230"/>
        <v>2.4208064690059181E-2</v>
      </c>
      <c r="BX98" s="460">
        <f t="shared" si="293"/>
        <v>16481.244350503686</v>
      </c>
      <c r="BY98" s="173">
        <f t="shared" si="231"/>
        <v>25.372741622027455</v>
      </c>
      <c r="BZ98" s="5">
        <f t="shared" si="294"/>
        <v>139.5</v>
      </c>
      <c r="CA98" s="173">
        <f t="shared" si="295"/>
        <v>0.84610711648020787</v>
      </c>
      <c r="CB98" s="5">
        <f t="shared" si="296"/>
        <v>84.610711648020782</v>
      </c>
      <c r="CE98" s="562">
        <f t="shared" si="232"/>
        <v>-50</v>
      </c>
      <c r="CF98">
        <f t="shared" si="233"/>
        <v>-50</v>
      </c>
      <c r="CG98" s="173">
        <f t="shared" si="234"/>
        <v>0.78797922082424088</v>
      </c>
      <c r="CI98" s="170">
        <v>93</v>
      </c>
      <c r="CJ98" s="217">
        <f t="shared" si="297"/>
        <v>9.3000000000000007</v>
      </c>
      <c r="CK98" s="217"/>
      <c r="CL98" s="217">
        <f t="shared" si="235"/>
        <v>139.5</v>
      </c>
      <c r="CM98" s="541">
        <f t="shared" si="236"/>
        <v>58</v>
      </c>
      <c r="CN98" s="172">
        <f t="shared" si="237"/>
        <v>15.4</v>
      </c>
      <c r="CO98" s="443">
        <f t="shared" si="238"/>
        <v>73.400000000000006</v>
      </c>
      <c r="CP98" s="443"/>
      <c r="CQ98" s="217">
        <f t="shared" si="239"/>
        <v>0.2098092643051771</v>
      </c>
      <c r="CR98" s="172">
        <f t="shared" si="240"/>
        <v>305.10568119891008</v>
      </c>
      <c r="CS98" s="172">
        <f t="shared" si="298"/>
        <v>139.5</v>
      </c>
      <c r="CT98" s="217">
        <f t="shared" si="241"/>
        <v>20.340378746594006</v>
      </c>
      <c r="CU98" s="217">
        <f t="shared" si="242"/>
        <v>15</v>
      </c>
      <c r="CV98" s="217">
        <f t="shared" si="243"/>
        <v>20.281562216167121</v>
      </c>
      <c r="CW98" s="172">
        <f t="shared" si="244"/>
        <v>98.149393439255434</v>
      </c>
      <c r="CX98" s="532">
        <f t="shared" si="245"/>
        <v>15</v>
      </c>
      <c r="CY98" s="217">
        <f t="shared" si="246"/>
        <v>22.927227944469326</v>
      </c>
      <c r="CZ98" s="217">
        <f t="shared" si="247"/>
        <v>4.7435644023039982</v>
      </c>
      <c r="DA98" s="217">
        <f t="shared" si="248"/>
        <v>17.86537242426181</v>
      </c>
      <c r="DB98" s="197">
        <f t="shared" si="249"/>
        <v>101.4078110808356</v>
      </c>
      <c r="DC98" s="443">
        <f t="shared" si="299"/>
        <v>44.23029741164062</v>
      </c>
      <c r="DE98" s="217">
        <f t="shared" si="250"/>
        <v>10</v>
      </c>
      <c r="DF98" s="173">
        <f t="shared" si="251"/>
        <v>7.7922077922077913</v>
      </c>
      <c r="DG98" s="173">
        <f t="shared" si="252"/>
        <v>3.9509536784741139</v>
      </c>
      <c r="DH98" s="173"/>
      <c r="DI98" s="173">
        <f t="shared" si="253"/>
        <v>7.7922077922077913</v>
      </c>
      <c r="DJ98" s="545">
        <f t="shared" si="300"/>
        <v>238.70000000000002</v>
      </c>
      <c r="DK98" s="528">
        <f t="shared" si="254"/>
        <v>3.9509536784741139</v>
      </c>
      <c r="DM98" s="173">
        <f t="shared" si="255"/>
        <v>8.2583291288250322</v>
      </c>
      <c r="DN98" s="173">
        <f t="shared" si="256"/>
        <v>22.927227944469326</v>
      </c>
      <c r="DO98" s="173">
        <f t="shared" si="257"/>
        <v>10.775724403310612</v>
      </c>
      <c r="DQ98" s="545">
        <f t="shared" si="258"/>
        <v>9300</v>
      </c>
      <c r="DR98" s="460">
        <f t="shared" si="259"/>
        <v>44.23029741164062</v>
      </c>
      <c r="DT98">
        <f t="shared" si="260"/>
        <v>9300</v>
      </c>
      <c r="DU98">
        <f t="shared" si="261"/>
        <v>44.23029741164062</v>
      </c>
      <c r="DW98" s="5">
        <f t="shared" si="301"/>
        <v>22.608936826565809</v>
      </c>
      <c r="DX98" s="5">
        <f t="shared" si="262"/>
        <v>4.7435644023039982</v>
      </c>
      <c r="DY98" s="5">
        <f t="shared" si="302"/>
        <v>17.86537242426181</v>
      </c>
      <c r="DZ98" s="5">
        <f t="shared" si="263"/>
        <v>17.86537242426181</v>
      </c>
      <c r="EA98" s="173">
        <f t="shared" si="303"/>
        <v>0.2098092643051771</v>
      </c>
      <c r="EB98" s="173">
        <f t="shared" si="264"/>
        <v>139.5</v>
      </c>
      <c r="EC98" s="173">
        <f t="shared" si="265"/>
        <v>9.0584415584415598</v>
      </c>
      <c r="ED98" s="173">
        <f t="shared" si="304"/>
        <v>15.399999999999997</v>
      </c>
      <c r="EE98" s="460">
        <f t="shared" si="266"/>
        <v>294.10099294284794</v>
      </c>
      <c r="EF98" s="5">
        <f t="shared" si="267"/>
        <v>14.817000316198113</v>
      </c>
      <c r="EG98" s="5"/>
      <c r="EH98" s="173">
        <f t="shared" si="305"/>
        <v>6.0632189567799699</v>
      </c>
      <c r="EI98" s="173">
        <f t="shared" si="268"/>
        <v>11.766759804127432</v>
      </c>
      <c r="EJ98" s="173"/>
      <c r="EK98" s="528">
        <f t="shared" si="269"/>
        <v>0.73525248235711971</v>
      </c>
      <c r="EL98" s="528">
        <f t="shared" si="270"/>
        <v>1.4886666666666668</v>
      </c>
      <c r="EM98" s="528">
        <f t="shared" si="271"/>
        <v>5.5287871764550774E-3</v>
      </c>
      <c r="EN98" s="528">
        <f t="shared" si="272"/>
        <v>2.3829338112305858E-2</v>
      </c>
      <c r="EO98">
        <f t="shared" si="273"/>
        <v>2.6099999999999998E-2</v>
      </c>
      <c r="EP98" s="460">
        <f t="shared" si="306"/>
        <v>31.628787176455077</v>
      </c>
      <c r="EQ98" s="528">
        <f t="shared" si="274"/>
        <v>3.0024032525573978</v>
      </c>
      <c r="ER98" s="460">
        <f t="shared" si="307"/>
        <v>3002.403252557398</v>
      </c>
      <c r="ES98" s="528">
        <f t="shared" si="308"/>
        <v>5.7776249999999996</v>
      </c>
      <c r="ET98" s="528"/>
      <c r="EV98" s="460">
        <f t="shared" si="309"/>
        <v>5777.625</v>
      </c>
      <c r="EW98" s="528">
        <f t="shared" si="275"/>
        <v>1.1028787235356796</v>
      </c>
      <c r="EX98" s="528">
        <f t="shared" si="276"/>
        <v>4.1536990886408711</v>
      </c>
      <c r="EY98" s="528">
        <f t="shared" si="277"/>
        <v>1.6373763960187171</v>
      </c>
      <c r="EZ98" s="528">
        <f t="shared" si="278"/>
        <v>14.074032742471324</v>
      </c>
      <c r="FA98" s="528">
        <f t="shared" si="279"/>
        <v>2.325000000000001E-2</v>
      </c>
      <c r="FB98" s="460">
        <f t="shared" si="310"/>
        <v>14097.282742471325</v>
      </c>
      <c r="FC98" s="173">
        <f t="shared" si="311"/>
        <v>22.877310995028722</v>
      </c>
      <c r="FD98" s="5">
        <f t="shared" si="312"/>
        <v>139.5</v>
      </c>
      <c r="FE98" s="173">
        <f t="shared" si="313"/>
        <v>0.85911017459989147</v>
      </c>
      <c r="FF98" s="5">
        <f t="shared" si="314"/>
        <v>85.911017459989154</v>
      </c>
      <c r="FI98" s="562">
        <f t="shared" si="280"/>
        <v>-50</v>
      </c>
      <c r="FJ98">
        <f t="shared" si="281"/>
        <v>-50</v>
      </c>
      <c r="FL98">
        <f t="shared" si="282"/>
        <v>0.7901907356948229</v>
      </c>
    </row>
    <row r="99" spans="5:168" ht="13">
      <c r="E99" s="170">
        <v>94</v>
      </c>
      <c r="F99" s="217">
        <f t="shared" si="283"/>
        <v>9.3999999999999986</v>
      </c>
      <c r="G99" s="217"/>
      <c r="H99" s="217">
        <f t="shared" si="183"/>
        <v>140.99999999999997</v>
      </c>
      <c r="I99" s="541">
        <f t="shared" si="184"/>
        <v>57.403555379160188</v>
      </c>
      <c r="J99" s="172">
        <f t="shared" si="185"/>
        <v>15.757866772503888</v>
      </c>
      <c r="K99" s="172">
        <f t="shared" si="186"/>
        <v>73.757866772503888</v>
      </c>
      <c r="L99" s="443"/>
      <c r="M99" s="217">
        <f t="shared" si="187"/>
        <v>0.21537428900759767</v>
      </c>
      <c r="N99" s="172">
        <f t="shared" si="188"/>
        <v>309.97758377702849</v>
      </c>
      <c r="O99" s="172">
        <f t="shared" si="284"/>
        <v>140.99999999999997</v>
      </c>
      <c r="P99" s="217">
        <f t="shared" si="189"/>
        <v>20.665172251801899</v>
      </c>
      <c r="Q99" s="217">
        <f t="shared" si="190"/>
        <v>15</v>
      </c>
      <c r="R99" s="217">
        <f t="shared" si="191"/>
        <v>20.605416543824806</v>
      </c>
      <c r="S99" s="172">
        <f t="shared" si="192"/>
        <v>95.504893555503344</v>
      </c>
      <c r="T99" s="532">
        <f t="shared" si="193"/>
        <v>15</v>
      </c>
      <c r="U99" s="217">
        <f t="shared" si="194"/>
        <v>23.960468968346159</v>
      </c>
      <c r="V99" s="217">
        <f t="shared" si="195"/>
        <v>5.0088470256066646</v>
      </c>
      <c r="W99" s="217">
        <f t="shared" si="196"/>
        <v>18.246481695216591</v>
      </c>
      <c r="X99" s="197">
        <f t="shared" si="197"/>
        <v>103.03216633051292</v>
      </c>
      <c r="Y99" s="443">
        <f t="shared" si="198"/>
        <v>42.634235141297182</v>
      </c>
      <c r="AA99" s="217">
        <f t="shared" si="199"/>
        <v>10</v>
      </c>
      <c r="AB99" s="173">
        <f t="shared" si="200"/>
        <v>7.6152439751165808</v>
      </c>
      <c r="AC99" s="173">
        <f t="shared" si="201"/>
        <v>3.92307541945824</v>
      </c>
      <c r="AD99" s="173"/>
      <c r="AE99" s="173">
        <f t="shared" si="202"/>
        <v>7.6152439751165808</v>
      </c>
      <c r="AF99" s="545">
        <f t="shared" si="203"/>
        <v>246.8732461025609</v>
      </c>
      <c r="AG99" s="528">
        <f t="shared" si="204"/>
        <v>3.9230754194582396</v>
      </c>
      <c r="AI99" s="173">
        <f t="shared" si="205"/>
        <v>8.3985244639853409</v>
      </c>
      <c r="AJ99" s="173">
        <f t="shared" si="206"/>
        <v>23.960468968346159</v>
      </c>
      <c r="AK99" s="173">
        <f t="shared" si="207"/>
        <v>11.541088124700858</v>
      </c>
      <c r="AM99" s="545">
        <f t="shared" si="208"/>
        <v>9399.9999999999982</v>
      </c>
      <c r="AN99" s="460">
        <f t="shared" si="209"/>
        <v>42.634235141297182</v>
      </c>
      <c r="AP99">
        <f t="shared" si="210"/>
        <v>9399.9999999999982</v>
      </c>
      <c r="AQ99">
        <f t="shared" si="211"/>
        <v>42.634235141297182</v>
      </c>
      <c r="AS99" s="5">
        <f t="shared" si="285"/>
        <v>23.455328720823257</v>
      </c>
      <c r="AT99" s="5">
        <f t="shared" si="212"/>
        <v>5.0088470256066646</v>
      </c>
      <c r="AU99" s="5">
        <f t="shared" si="286"/>
        <v>18.44648169521659</v>
      </c>
      <c r="AV99" s="5">
        <f t="shared" si="213"/>
        <v>18.246481695216591</v>
      </c>
      <c r="AW99" s="173">
        <f t="shared" si="287"/>
        <v>0.21354836187650153</v>
      </c>
      <c r="AX99" s="173">
        <f t="shared" si="214"/>
        <v>146.85892830998336</v>
      </c>
      <c r="AY99" s="173">
        <f t="shared" si="215"/>
        <v>9.4218750351815448</v>
      </c>
      <c r="AZ99" s="173">
        <f t="shared" si="288"/>
        <v>15.587017208528877</v>
      </c>
      <c r="BA99" s="460">
        <f t="shared" si="216"/>
        <v>313.88774693801759</v>
      </c>
      <c r="BB99" s="5">
        <f t="shared" si="217"/>
        <v>15.624130871492122</v>
      </c>
      <c r="BC99" s="5"/>
      <c r="BD99" s="173">
        <f t="shared" si="289"/>
        <v>6.3926776960017238</v>
      </c>
      <c r="BE99" s="173">
        <f t="shared" si="218"/>
        <v>12.267913280970072</v>
      </c>
      <c r="BF99" s="173"/>
      <c r="BG99" s="528">
        <f t="shared" si="219"/>
        <v>0.81732656249915825</v>
      </c>
      <c r="BH99" s="528">
        <f t="shared" si="220"/>
        <v>1.4127437993480081</v>
      </c>
      <c r="BI99" s="528">
        <f t="shared" si="221"/>
        <v>6.118391694953975E-2</v>
      </c>
      <c r="BJ99" s="528">
        <f t="shared" si="222"/>
        <v>2.3193974280141687E-2</v>
      </c>
      <c r="BK99">
        <f t="shared" si="223"/>
        <v>2.5831599920622086E-2</v>
      </c>
      <c r="BL99" s="460">
        <f t="shared" si="290"/>
        <v>87.015516870161832</v>
      </c>
      <c r="BM99" s="528">
        <f t="shared" si="224"/>
        <v>3.0701571812293511</v>
      </c>
      <c r="BN99" s="460">
        <f t="shared" si="291"/>
        <v>3070.157181229351</v>
      </c>
      <c r="BO99" s="528">
        <f t="shared" si="225"/>
        <v>5.8397499999999978</v>
      </c>
      <c r="BP99" s="528"/>
      <c r="BR99" s="460">
        <f t="shared" si="292"/>
        <v>5839.7499999999982</v>
      </c>
      <c r="BS99" s="528">
        <f t="shared" si="226"/>
        <v>1.2259898437487373</v>
      </c>
      <c r="BT99" s="528">
        <f t="shared" si="227"/>
        <v>4.5150508880820563</v>
      </c>
      <c r="BU99" s="528">
        <f t="shared" si="228"/>
        <v>2.1149999999999993</v>
      </c>
      <c r="BV99" s="528">
        <f t="shared" si="229"/>
        <v>17.077130777656244</v>
      </c>
      <c r="BW99" s="528">
        <f t="shared" si="230"/>
        <v>2.4476488051663893E-2</v>
      </c>
      <c r="BX99" s="460">
        <f t="shared" si="293"/>
        <v>17101.607265707909</v>
      </c>
      <c r="BY99" s="173">
        <f t="shared" si="231"/>
        <v>26.098529963807419</v>
      </c>
      <c r="BZ99" s="5">
        <f t="shared" si="294"/>
        <v>140.99999999999997</v>
      </c>
      <c r="CA99" s="173">
        <f t="shared" si="295"/>
        <v>0.84381352744718818</v>
      </c>
      <c r="CB99" s="5">
        <f t="shared" si="296"/>
        <v>84.381352744718825</v>
      </c>
      <c r="CE99" s="562">
        <f t="shared" si="232"/>
        <v>-50</v>
      </c>
      <c r="CF99">
        <f t="shared" si="233"/>
        <v>-50</v>
      </c>
      <c r="CG99" s="173">
        <f t="shared" si="234"/>
        <v>0.78800274757818323</v>
      </c>
      <c r="CI99" s="170">
        <v>94</v>
      </c>
      <c r="CJ99" s="217">
        <f t="shared" si="297"/>
        <v>9.3999999999999986</v>
      </c>
      <c r="CK99" s="217"/>
      <c r="CL99" s="217">
        <f t="shared" si="235"/>
        <v>140.99999999999997</v>
      </c>
      <c r="CM99" s="541">
        <f t="shared" si="236"/>
        <v>58</v>
      </c>
      <c r="CN99" s="172">
        <f t="shared" si="237"/>
        <v>15.4</v>
      </c>
      <c r="CO99" s="443">
        <f t="shared" si="238"/>
        <v>73.400000000000006</v>
      </c>
      <c r="CP99" s="443"/>
      <c r="CQ99" s="217">
        <f t="shared" si="239"/>
        <v>0.2098092643051771</v>
      </c>
      <c r="CR99" s="172">
        <f t="shared" si="240"/>
        <v>305.10568119891008</v>
      </c>
      <c r="CS99" s="172">
        <f t="shared" si="298"/>
        <v>140.99999999999997</v>
      </c>
      <c r="CT99" s="217">
        <f t="shared" si="241"/>
        <v>20.340378746594006</v>
      </c>
      <c r="CU99" s="217">
        <f t="shared" si="242"/>
        <v>15</v>
      </c>
      <c r="CV99" s="217">
        <f t="shared" si="243"/>
        <v>20.281562216167121</v>
      </c>
      <c r="CW99" s="172">
        <f t="shared" si="244"/>
        <v>96.494754195679249</v>
      </c>
      <c r="CX99" s="532">
        <f t="shared" si="245"/>
        <v>15</v>
      </c>
      <c r="CY99" s="217">
        <f t="shared" si="246"/>
        <v>23.173757277205549</v>
      </c>
      <c r="CZ99" s="217">
        <f t="shared" si="247"/>
        <v>4.7945704711459758</v>
      </c>
      <c r="DA99" s="217">
        <f t="shared" si="248"/>
        <v>18.057473203017313</v>
      </c>
      <c r="DB99" s="197">
        <f t="shared" si="249"/>
        <v>101.4078110808356</v>
      </c>
      <c r="DC99" s="443">
        <f t="shared" si="299"/>
        <v>43.759762332793379</v>
      </c>
      <c r="DE99" s="217">
        <f t="shared" si="250"/>
        <v>10</v>
      </c>
      <c r="DF99" s="173">
        <f t="shared" si="251"/>
        <v>7.7922077922077913</v>
      </c>
      <c r="DG99" s="173">
        <f t="shared" si="252"/>
        <v>3.9509536784741139</v>
      </c>
      <c r="DH99" s="173"/>
      <c r="DI99" s="173">
        <f t="shared" si="253"/>
        <v>7.7922077922077913</v>
      </c>
      <c r="DJ99" s="545">
        <f t="shared" si="300"/>
        <v>241.26666666666662</v>
      </c>
      <c r="DK99" s="528">
        <f t="shared" si="254"/>
        <v>3.9509536784741139</v>
      </c>
      <c r="DM99" s="173">
        <f t="shared" si="255"/>
        <v>8.3026100313897278</v>
      </c>
      <c r="DN99" s="173">
        <f t="shared" si="256"/>
        <v>23.173757277205549</v>
      </c>
      <c r="DO99" s="173">
        <f t="shared" si="257"/>
        <v>10.958338723855963</v>
      </c>
      <c r="DQ99" s="545">
        <f t="shared" si="258"/>
        <v>9399.9999999999982</v>
      </c>
      <c r="DR99" s="460">
        <f t="shared" si="259"/>
        <v>43.759762332793379</v>
      </c>
      <c r="DT99">
        <f t="shared" si="260"/>
        <v>9399.9999999999982</v>
      </c>
      <c r="DU99">
        <f t="shared" si="261"/>
        <v>43.759762332793379</v>
      </c>
      <c r="DW99" s="5">
        <f t="shared" si="301"/>
        <v>22.852043674163291</v>
      </c>
      <c r="DX99" s="5">
        <f t="shared" si="262"/>
        <v>4.7945704711459758</v>
      </c>
      <c r="DY99" s="5">
        <f t="shared" si="302"/>
        <v>18.057473203017317</v>
      </c>
      <c r="DZ99" s="5">
        <f t="shared" si="263"/>
        <v>18.057473203017313</v>
      </c>
      <c r="EA99" s="173">
        <f t="shared" si="303"/>
        <v>0.20980926430517707</v>
      </c>
      <c r="EB99" s="173">
        <f t="shared" si="264"/>
        <v>140.99999999999997</v>
      </c>
      <c r="EC99" s="173">
        <f t="shared" si="265"/>
        <v>9.1558441558441537</v>
      </c>
      <c r="ED99" s="173">
        <f t="shared" si="304"/>
        <v>15.4</v>
      </c>
      <c r="EE99" s="460">
        <f t="shared" si="266"/>
        <v>300.45974952514774</v>
      </c>
      <c r="EF99" s="5">
        <f t="shared" si="267"/>
        <v>15.137358630353393</v>
      </c>
      <c r="EG99" s="5"/>
      <c r="EH99" s="173">
        <f t="shared" si="305"/>
        <v>6.1284148595410439</v>
      </c>
      <c r="EI99" s="173">
        <f t="shared" si="268"/>
        <v>11.893284103096541</v>
      </c>
      <c r="EJ99" s="173"/>
      <c r="EK99" s="528">
        <f t="shared" si="269"/>
        <v>0.7511493738128695</v>
      </c>
      <c r="EL99" s="528">
        <f t="shared" si="270"/>
        <v>1.4886666666666666</v>
      </c>
      <c r="EM99" s="528">
        <f t="shared" si="271"/>
        <v>5.4699702915991721E-3</v>
      </c>
      <c r="EN99" s="528">
        <f t="shared" si="272"/>
        <v>2.3575834515366434E-2</v>
      </c>
      <c r="EO99">
        <f t="shared" si="273"/>
        <v>2.6099999999999998E-2</v>
      </c>
      <c r="EP99" s="460">
        <f t="shared" si="306"/>
        <v>31.569970291599173</v>
      </c>
      <c r="EQ99" s="528">
        <f t="shared" si="274"/>
        <v>3.0404021457057286</v>
      </c>
      <c r="ER99" s="460">
        <f t="shared" si="307"/>
        <v>3040.4021457057288</v>
      </c>
      <c r="ES99" s="528">
        <f t="shared" si="308"/>
        <v>5.8397499999999978</v>
      </c>
      <c r="ET99" s="528"/>
      <c r="EV99" s="460">
        <f t="shared" si="309"/>
        <v>5839.7499999999982</v>
      </c>
      <c r="EW99" s="528">
        <f t="shared" si="275"/>
        <v>1.1267240607193043</v>
      </c>
      <c r="EX99" s="528">
        <f t="shared" si="276"/>
        <v>4.2435062027090664</v>
      </c>
      <c r="EY99" s="528">
        <f t="shared" si="277"/>
        <v>1.637376396018714</v>
      </c>
      <c r="EZ99" s="528">
        <f t="shared" si="278"/>
        <v>14.545459091255436</v>
      </c>
      <c r="FA99" s="528">
        <f t="shared" si="279"/>
        <v>2.3499999999999997E-2</v>
      </c>
      <c r="FB99" s="460">
        <f t="shared" si="310"/>
        <v>14568.959091255436</v>
      </c>
      <c r="FC99" s="173">
        <f t="shared" si="311"/>
        <v>23.449111236961159</v>
      </c>
      <c r="FD99" s="5">
        <f t="shared" si="312"/>
        <v>140.99999999999997</v>
      </c>
      <c r="FE99" s="173">
        <f t="shared" si="313"/>
        <v>0.85740809992476996</v>
      </c>
      <c r="FF99" s="5">
        <f t="shared" si="314"/>
        <v>85.740809992476997</v>
      </c>
      <c r="FI99" s="562">
        <f t="shared" si="280"/>
        <v>-50</v>
      </c>
      <c r="FJ99">
        <f t="shared" si="281"/>
        <v>-50</v>
      </c>
      <c r="FL99">
        <f t="shared" si="282"/>
        <v>0.7901907356948229</v>
      </c>
    </row>
    <row r="100" spans="5:168" ht="13">
      <c r="E100" s="170">
        <v>95</v>
      </c>
      <c r="F100" s="217">
        <f t="shared" si="283"/>
        <v>9.5</v>
      </c>
      <c r="G100" s="217"/>
      <c r="H100" s="217">
        <f t="shared" si="183"/>
        <v>142.5</v>
      </c>
      <c r="I100" s="541">
        <f t="shared" si="184"/>
        <v>57.39722784122182</v>
      </c>
      <c r="J100" s="172">
        <f t="shared" si="185"/>
        <v>15.761663295266906</v>
      </c>
      <c r="K100" s="172">
        <f t="shared" si="186"/>
        <v>73.761663295266914</v>
      </c>
      <c r="L100" s="443"/>
      <c r="M100" s="217">
        <f t="shared" si="187"/>
        <v>0.21543363544954561</v>
      </c>
      <c r="N100" s="172">
        <f t="shared" si="188"/>
        <v>310.02882023975292</v>
      </c>
      <c r="O100" s="172">
        <f t="shared" si="284"/>
        <v>142.5</v>
      </c>
      <c r="P100" s="217">
        <f t="shared" si="189"/>
        <v>20.668588015983527</v>
      </c>
      <c r="Q100" s="217">
        <f t="shared" si="190"/>
        <v>15</v>
      </c>
      <c r="R100" s="217">
        <f t="shared" si="191"/>
        <v>20.60882243093382</v>
      </c>
      <c r="S100" s="172">
        <f t="shared" si="192"/>
        <v>93.891596782629975</v>
      </c>
      <c r="T100" s="532">
        <f t="shared" si="193"/>
        <v>15</v>
      </c>
      <c r="U100" s="217">
        <f t="shared" si="194"/>
        <v>24.217199281652526</v>
      </c>
      <c r="V100" s="217">
        <f t="shared" si="195"/>
        <v>5.0630736415308402</v>
      </c>
      <c r="W100" s="217">
        <f t="shared" si="196"/>
        <v>18.437545957925451</v>
      </c>
      <c r="X100" s="197">
        <f t="shared" si="197"/>
        <v>103.04919484851715</v>
      </c>
      <c r="Y100" s="443">
        <f t="shared" si="198"/>
        <v>42.192989757235736</v>
      </c>
      <c r="AA100" s="217">
        <f t="shared" si="199"/>
        <v>9.9999999999999982</v>
      </c>
      <c r="AB100" s="173">
        <f t="shared" si="200"/>
        <v>7.6134096860218392</v>
      </c>
      <c r="AC100" s="173">
        <f t="shared" si="201"/>
        <v>3.9227786909822608</v>
      </c>
      <c r="AD100" s="173"/>
      <c r="AE100" s="173">
        <f t="shared" si="202"/>
        <v>7.613409686021841</v>
      </c>
      <c r="AF100" s="545">
        <f t="shared" si="203"/>
        <v>249.55966884172602</v>
      </c>
      <c r="AG100" s="528">
        <f t="shared" si="204"/>
        <v>3.9227786909822626</v>
      </c>
      <c r="AI100" s="173">
        <f t="shared" si="205"/>
        <v>8.4440963119926238</v>
      </c>
      <c r="AJ100" s="173">
        <f t="shared" si="206"/>
        <v>24.217199281652526</v>
      </c>
      <c r="AK100" s="173">
        <f t="shared" si="207"/>
        <v>11.731258727150019</v>
      </c>
      <c r="AM100" s="545">
        <f t="shared" si="208"/>
        <v>9500</v>
      </c>
      <c r="AN100" s="460">
        <f t="shared" si="209"/>
        <v>42.192989757235736</v>
      </c>
      <c r="AP100">
        <f t="shared" si="210"/>
        <v>9500</v>
      </c>
      <c r="AQ100">
        <f t="shared" si="211"/>
        <v>42.192989757235736</v>
      </c>
      <c r="AS100" s="5">
        <f t="shared" si="285"/>
        <v>23.700619599456296</v>
      </c>
      <c r="AT100" s="5">
        <f t="shared" si="212"/>
        <v>5.0630736415308402</v>
      </c>
      <c r="AU100" s="5">
        <f t="shared" si="286"/>
        <v>18.637545957925454</v>
      </c>
      <c r="AV100" s="5">
        <f t="shared" si="213"/>
        <v>18.437545957925451</v>
      </c>
      <c r="AW100" s="173">
        <f t="shared" si="287"/>
        <v>0.21362621429724096</v>
      </c>
      <c r="AX100" s="173">
        <f t="shared" si="214"/>
        <v>148.47023013543298</v>
      </c>
      <c r="AY100" s="173">
        <f t="shared" si="215"/>
        <v>9.5218853391156166</v>
      </c>
      <c r="AZ100" s="173">
        <f t="shared" si="288"/>
        <v>15.592524468397217</v>
      </c>
      <c r="BA100" s="460">
        <f t="shared" si="216"/>
        <v>320.6613306302865</v>
      </c>
      <c r="BB100" s="5">
        <f t="shared" si="217"/>
        <v>15.955656438076657</v>
      </c>
      <c r="BC100" s="5"/>
      <c r="BD100" s="173">
        <f t="shared" si="289"/>
        <v>6.4623512609177265</v>
      </c>
      <c r="BE100" s="173">
        <f t="shared" si="218"/>
        <v>12.39874710859686</v>
      </c>
      <c r="BF100" s="173"/>
      <c r="BG100" s="528">
        <f t="shared" si="219"/>
        <v>0.83523967638969865</v>
      </c>
      <c r="BH100" s="528">
        <f t="shared" si="220"/>
        <v>1.4131757915692411</v>
      </c>
      <c r="BI100" s="528">
        <f t="shared" si="221"/>
        <v>6.0544016159959947E-2</v>
      </c>
      <c r="BJ100" s="528">
        <f t="shared" si="222"/>
        <v>2.2956290021249659E-2</v>
      </c>
      <c r="BK100">
        <f t="shared" si="223"/>
        <v>2.5828752528549818E-2</v>
      </c>
      <c r="BL100" s="460">
        <f t="shared" si="290"/>
        <v>86.372768688509765</v>
      </c>
      <c r="BM100" s="528">
        <f t="shared" si="224"/>
        <v>3.1150840884554611</v>
      </c>
      <c r="BN100" s="460">
        <f t="shared" si="291"/>
        <v>3115.0840884554609</v>
      </c>
      <c r="BO100" s="528">
        <f t="shared" si="225"/>
        <v>5.9018749999999995</v>
      </c>
      <c r="BP100" s="528"/>
      <c r="BR100" s="460">
        <f t="shared" si="292"/>
        <v>5901.8749999999991</v>
      </c>
      <c r="BS100" s="528">
        <f t="shared" si="226"/>
        <v>1.252859514584548</v>
      </c>
      <c r="BT100" s="528">
        <f t="shared" si="227"/>
        <v>4.61186789588817</v>
      </c>
      <c r="BU100" s="528">
        <f t="shared" si="228"/>
        <v>2.1374999999999997</v>
      </c>
      <c r="BV100" s="528">
        <f t="shared" si="229"/>
        <v>17.726781119433543</v>
      </c>
      <c r="BW100" s="528">
        <f t="shared" si="230"/>
        <v>2.47450383559055E-2</v>
      </c>
      <c r="BX100" s="460">
        <f t="shared" si="293"/>
        <v>17751.526157789449</v>
      </c>
      <c r="BY100" s="173">
        <f t="shared" si="231"/>
        <v>26.85485801493342</v>
      </c>
      <c r="BZ100" s="5">
        <f t="shared" si="294"/>
        <v>142.5</v>
      </c>
      <c r="CA100" s="173">
        <f t="shared" si="295"/>
        <v>0.84142847551166555</v>
      </c>
      <c r="CB100" s="5">
        <f t="shared" si="296"/>
        <v>84.142847551166554</v>
      </c>
      <c r="CE100" s="562">
        <f t="shared" si="232"/>
        <v>-50</v>
      </c>
      <c r="CF100">
        <f t="shared" si="233"/>
        <v>-50</v>
      </c>
      <c r="CG100" s="173">
        <f t="shared" si="234"/>
        <v>0.78802577903204274</v>
      </c>
      <c r="CI100" s="170">
        <v>95</v>
      </c>
      <c r="CJ100" s="217">
        <f t="shared" si="297"/>
        <v>9.5</v>
      </c>
      <c r="CK100" s="217"/>
      <c r="CL100" s="217">
        <f t="shared" si="235"/>
        <v>142.5</v>
      </c>
      <c r="CM100" s="541">
        <f t="shared" si="236"/>
        <v>58</v>
      </c>
      <c r="CN100" s="172">
        <f t="shared" si="237"/>
        <v>15.4</v>
      </c>
      <c r="CO100" s="443">
        <f t="shared" si="238"/>
        <v>73.400000000000006</v>
      </c>
      <c r="CP100" s="443"/>
      <c r="CQ100" s="217">
        <f t="shared" si="239"/>
        <v>0.2098092643051771</v>
      </c>
      <c r="CR100" s="172">
        <f t="shared" si="240"/>
        <v>305.10568119891008</v>
      </c>
      <c r="CS100" s="172">
        <f t="shared" si="298"/>
        <v>142.5</v>
      </c>
      <c r="CT100" s="217">
        <f t="shared" si="241"/>
        <v>20.340378746594006</v>
      </c>
      <c r="CU100" s="217">
        <f t="shared" si="242"/>
        <v>15</v>
      </c>
      <c r="CV100" s="217">
        <f t="shared" si="243"/>
        <v>20.281562216167121</v>
      </c>
      <c r="CW100" s="172">
        <f t="shared" si="244"/>
        <v>94.875084373289653</v>
      </c>
      <c r="CX100" s="532">
        <f t="shared" si="245"/>
        <v>15</v>
      </c>
      <c r="CY100" s="217">
        <f t="shared" si="246"/>
        <v>23.420286609941783</v>
      </c>
      <c r="CZ100" s="217">
        <f t="shared" si="247"/>
        <v>4.8455765399879551</v>
      </c>
      <c r="DA100" s="217">
        <f t="shared" si="248"/>
        <v>18.249573981772819</v>
      </c>
      <c r="DB100" s="197">
        <f t="shared" si="249"/>
        <v>101.4078110808356</v>
      </c>
      <c r="DC100" s="443">
        <f t="shared" si="299"/>
        <v>43.299133255606073</v>
      </c>
      <c r="DE100" s="217">
        <f t="shared" si="250"/>
        <v>10</v>
      </c>
      <c r="DF100" s="173">
        <f t="shared" si="251"/>
        <v>7.7922077922077913</v>
      </c>
      <c r="DG100" s="173">
        <f t="shared" si="252"/>
        <v>3.9509536784741139</v>
      </c>
      <c r="DH100" s="173"/>
      <c r="DI100" s="173">
        <f t="shared" si="253"/>
        <v>7.7922077922077913</v>
      </c>
      <c r="DJ100" s="545">
        <f t="shared" si="300"/>
        <v>243.83333333333334</v>
      </c>
      <c r="DK100" s="528">
        <f t="shared" si="254"/>
        <v>3.9509536784741139</v>
      </c>
      <c r="DM100" s="173">
        <f t="shared" si="255"/>
        <v>8.3466560170326094</v>
      </c>
      <c r="DN100" s="173">
        <f t="shared" si="256"/>
        <v>23.420286609941783</v>
      </c>
      <c r="DO100" s="173">
        <f t="shared" si="257"/>
        <v>11.14095304440132</v>
      </c>
      <c r="DQ100" s="545">
        <f t="shared" si="258"/>
        <v>9500</v>
      </c>
      <c r="DR100" s="460">
        <f t="shared" si="259"/>
        <v>43.299133255606073</v>
      </c>
      <c r="DT100">
        <f t="shared" si="260"/>
        <v>9500</v>
      </c>
      <c r="DU100">
        <f t="shared" si="261"/>
        <v>43.299133255606073</v>
      </c>
      <c r="DW100" s="5">
        <f t="shared" si="301"/>
        <v>23.095150521760779</v>
      </c>
      <c r="DX100" s="5">
        <f t="shared" si="262"/>
        <v>4.8455765399879551</v>
      </c>
      <c r="DY100" s="5">
        <f t="shared" si="302"/>
        <v>18.249573981772823</v>
      </c>
      <c r="DZ100" s="5">
        <f t="shared" si="263"/>
        <v>18.249573981772819</v>
      </c>
      <c r="EA100" s="173">
        <f t="shared" si="303"/>
        <v>0.20980926430517705</v>
      </c>
      <c r="EB100" s="173">
        <f t="shared" si="264"/>
        <v>142.5</v>
      </c>
      <c r="EC100" s="173">
        <f t="shared" si="265"/>
        <v>9.2532467532467546</v>
      </c>
      <c r="ED100" s="173">
        <f t="shared" si="304"/>
        <v>15.399999999999999</v>
      </c>
      <c r="EE100" s="460">
        <f t="shared" si="266"/>
        <v>306.88651419923718</v>
      </c>
      <c r="EF100" s="5">
        <f t="shared" si="267"/>
        <v>15.461143236638685</v>
      </c>
      <c r="EG100" s="5"/>
      <c r="EH100" s="173">
        <f t="shared" si="305"/>
        <v>6.1936107623021188</v>
      </c>
      <c r="EI100" s="173">
        <f t="shared" si="268"/>
        <v>12.019808402065658</v>
      </c>
      <c r="EJ100" s="173"/>
      <c r="EK100" s="528">
        <f t="shared" si="269"/>
        <v>0.76721628549809273</v>
      </c>
      <c r="EL100" s="528">
        <f t="shared" si="270"/>
        <v>1.4886666666666666</v>
      </c>
      <c r="EM100" s="528">
        <f t="shared" si="271"/>
        <v>5.4123916569507593E-3</v>
      </c>
      <c r="EN100" s="528">
        <f t="shared" si="272"/>
        <v>2.332766783625731E-2</v>
      </c>
      <c r="EO100">
        <f t="shared" si="273"/>
        <v>2.6099999999999998E-2</v>
      </c>
      <c r="EP100" s="460">
        <f t="shared" si="306"/>
        <v>31.512391656950758</v>
      </c>
      <c r="EQ100" s="528">
        <f t="shared" si="274"/>
        <v>3.0791762650752754</v>
      </c>
      <c r="ER100" s="460">
        <f t="shared" si="307"/>
        <v>3079.1762650752753</v>
      </c>
      <c r="ES100" s="528">
        <f t="shared" si="308"/>
        <v>5.9018749999999995</v>
      </c>
      <c r="ET100" s="528"/>
      <c r="EV100" s="460">
        <f t="shared" si="309"/>
        <v>5901.8749999999991</v>
      </c>
      <c r="EW100" s="528">
        <f t="shared" si="275"/>
        <v>1.1508244282471389</v>
      </c>
      <c r="EX100" s="528">
        <f t="shared" si="276"/>
        <v>4.3342738206710463</v>
      </c>
      <c r="EY100" s="528">
        <f t="shared" si="277"/>
        <v>1.6373763960187155</v>
      </c>
      <c r="EZ100" s="528">
        <f t="shared" si="278"/>
        <v>15.037449069361248</v>
      </c>
      <c r="FA100" s="528">
        <f t="shared" si="279"/>
        <v>2.3749999999999997E-2</v>
      </c>
      <c r="FB100" s="460">
        <f t="shared" si="310"/>
        <v>15061.199069361248</v>
      </c>
      <c r="FC100" s="173">
        <f t="shared" si="311"/>
        <v>24.042250334436524</v>
      </c>
      <c r="FD100" s="5">
        <f t="shared" si="312"/>
        <v>142.5</v>
      </c>
      <c r="FE100" s="173">
        <f t="shared" si="313"/>
        <v>0.85563873259694256</v>
      </c>
      <c r="FF100" s="5">
        <f t="shared" si="314"/>
        <v>85.563873259694262</v>
      </c>
      <c r="FI100" s="562">
        <f t="shared" si="280"/>
        <v>-50</v>
      </c>
      <c r="FJ100">
        <f t="shared" si="281"/>
        <v>-50</v>
      </c>
      <c r="FL100">
        <f t="shared" si="282"/>
        <v>0.79019073569482301</v>
      </c>
    </row>
    <row r="101" spans="5:168" ht="13">
      <c r="E101" s="170">
        <v>96</v>
      </c>
      <c r="F101" s="217">
        <f t="shared" si="283"/>
        <v>9.6</v>
      </c>
      <c r="G101" s="217"/>
      <c r="H101" s="217">
        <f>F101*Vout</f>
        <v>144</v>
      </c>
      <c r="I101" s="541">
        <f t="shared" si="184"/>
        <v>57.390900302275128</v>
      </c>
      <c r="J101" s="172">
        <f t="shared" si="185"/>
        <v>15.765459818634923</v>
      </c>
      <c r="K101" s="172">
        <f t="shared" si="186"/>
        <v>73.765459818634923</v>
      </c>
      <c r="L101" s="443"/>
      <c r="M101" s="217">
        <f t="shared" si="187"/>
        <v>0.21549298600092995</v>
      </c>
      <c r="N101" s="172">
        <f>M101*I101*(Isw_max+VIN_nom/Lmag*ILIM_delay)*0.5*Efficiency</f>
        <v>310.08004377994138</v>
      </c>
      <c r="O101" s="172">
        <f t="shared" si="284"/>
        <v>144</v>
      </c>
      <c r="P101" s="217">
        <f>N101/Vout</f>
        <v>20.672002918662759</v>
      </c>
      <c r="Q101" s="217">
        <f t="shared" si="190"/>
        <v>15</v>
      </c>
      <c r="R101" s="217">
        <f>Isw_max/2*I101*Nps*(Q101+Vfwd1+F101/FL101*Rdcr_sec)/Q101/(I101+Nps*(Q101+Vfwd1+F101/FL101*Rdcr_sec))</f>
        <v>20.612227459031569</v>
      </c>
      <c r="S101" s="172">
        <f t="shared" si="192"/>
        <v>92.312178131417809</v>
      </c>
      <c r="T101" s="532">
        <f>MIN(Vout, S101)</f>
        <v>15</v>
      </c>
      <c r="U101" s="217">
        <f t="shared" si="194"/>
        <v>24.473968565464936</v>
      </c>
      <c r="V101" s="217">
        <f t="shared" si="195"/>
        <v>5.1173203633109186</v>
      </c>
      <c r="W101" s="217">
        <f t="shared" si="196"/>
        <v>18.628547861219861</v>
      </c>
      <c r="X101" s="197">
        <f t="shared" si="197"/>
        <v>103.06621907461776</v>
      </c>
      <c r="Y101" s="443">
        <f t="shared" si="198"/>
        <v>41.760857890948117</v>
      </c>
      <c r="AA101" s="217">
        <f t="shared" si="199"/>
        <v>10</v>
      </c>
      <c r="AB101" s="173">
        <f>L*AA101/J101*1000000</f>
        <v>7.6115762800751847</v>
      </c>
      <c r="AC101" s="173">
        <f>0.5*AB101*AA101*Nps*X101/1000</f>
        <v>3.9224819419269656</v>
      </c>
      <c r="AD101" s="173"/>
      <c r="AE101" s="173">
        <f t="shared" si="202"/>
        <v>7.6115762800751847</v>
      </c>
      <c r="AF101" s="545">
        <f>MAX(12, F101/(0.5*AE101/1000000*Isw_min*Nps)/1000)</f>
        <v>252.24735709815877</v>
      </c>
      <c r="AG101" s="528">
        <f t="shared" si="204"/>
        <v>3.9224819419269656</v>
      </c>
      <c r="AI101" s="173">
        <f t="shared" si="205"/>
        <v>8.489444826171896</v>
      </c>
      <c r="AJ101" s="173">
        <f>MAX(IF(F101&gt;AC101,U101,AI101),Isw_min)</f>
        <v>24.473968565464936</v>
      </c>
      <c r="AK101" s="173">
        <f>IF(F101&gt;AG101, (AJ101-Isw_min)/1.08*0.8+1.2, AF101*0.2/350+1)</f>
        <v>11.921458196640693</v>
      </c>
      <c r="AM101" s="545">
        <f t="shared" si="208"/>
        <v>9600</v>
      </c>
      <c r="AN101" s="460">
        <f t="shared" si="209"/>
        <v>41.760857890948117</v>
      </c>
      <c r="AP101">
        <f t="shared" si="210"/>
        <v>9600</v>
      </c>
      <c r="AQ101">
        <f t="shared" si="211"/>
        <v>41.760857890948117</v>
      </c>
      <c r="AS101" s="5">
        <f t="shared" si="285"/>
        <v>23.945868224530781</v>
      </c>
      <c r="AT101" s="5">
        <f t="shared" si="212"/>
        <v>5.1173203633109186</v>
      </c>
      <c r="AU101" s="5">
        <f t="shared" si="286"/>
        <v>18.82854786121986</v>
      </c>
      <c r="AV101" s="5">
        <f t="shared" si="213"/>
        <v>18.628547861219861</v>
      </c>
      <c r="AW101" s="173">
        <f t="shared" si="287"/>
        <v>0.21370368847468224</v>
      </c>
      <c r="AX101" s="173">
        <f t="shared" si="214"/>
        <v>150.08229354484462</v>
      </c>
      <c r="AY101" s="173">
        <f t="shared" si="215"/>
        <v>9.6218956057058254</v>
      </c>
      <c r="AZ101" s="173">
        <f t="shared" si="288"/>
        <v>15.597996454653403</v>
      </c>
      <c r="BA101" s="460">
        <f t="shared" si="216"/>
        <v>327.50850325189879</v>
      </c>
      <c r="BB101" s="5">
        <f t="shared" si="217"/>
        <v>16.290645127118943</v>
      </c>
      <c r="BC101" s="5"/>
      <c r="BD101" s="173">
        <f t="shared" si="289"/>
        <v>6.5320541984612737</v>
      </c>
      <c r="BE101" s="173">
        <f t="shared" si="218"/>
        <v>12.529590857758276</v>
      </c>
      <c r="BF101" s="173"/>
      <c r="BG101" s="528">
        <f t="shared" si="219"/>
        <v>0.85335464103271108</v>
      </c>
      <c r="BH101" s="528">
        <f t="shared" si="220"/>
        <v>1.4136052052047541</v>
      </c>
      <c r="BI101" s="528">
        <f t="shared" si="221"/>
        <v>5.9917330793922072E-2</v>
      </c>
      <c r="BJ101" s="528">
        <f t="shared" si="222"/>
        <v>2.2723515435871259E-2</v>
      </c>
      <c r="BK101">
        <f t="shared" si="223"/>
        <v>2.5825905136023806E-2</v>
      </c>
      <c r="BL101" s="460">
        <f t="shared" si="290"/>
        <v>85.743235929945868</v>
      </c>
      <c r="BM101" s="528">
        <f t="shared" si="224"/>
        <v>3.1610052555830821</v>
      </c>
      <c r="BN101" s="460">
        <f t="shared" si="291"/>
        <v>3161.0052555830821</v>
      </c>
      <c r="BO101" s="528">
        <f t="shared" si="225"/>
        <v>5.9639999999999995</v>
      </c>
      <c r="BP101" s="528"/>
      <c r="BR101" s="460">
        <f t="shared" si="292"/>
        <v>5963.9999999999991</v>
      </c>
      <c r="BS101" s="528">
        <f t="shared" si="226"/>
        <v>1.2800319615490665</v>
      </c>
      <c r="BT101" s="528">
        <f t="shared" si="227"/>
        <v>4.7097194118845929</v>
      </c>
      <c r="BU101" s="528">
        <f t="shared" si="228"/>
        <v>2.16</v>
      </c>
      <c r="BV101" s="528">
        <f>(BU101+(BS101+BT101)*(1+Ltc*(Ta-25)))/(1-(BS101+BT101)*Ltc*ThetaCa)</f>
        <v>18.408075199952663</v>
      </c>
      <c r="BW101" s="528">
        <f t="shared" si="230"/>
        <v>2.5013715590807433E-2</v>
      </c>
      <c r="BX101" s="460">
        <f t="shared" si="293"/>
        <v>18433.088915543467</v>
      </c>
      <c r="BY101" s="173">
        <f t="shared" si="231"/>
        <v>27.643837407056498</v>
      </c>
      <c r="BZ101" s="5">
        <f t="shared" si="294"/>
        <v>144</v>
      </c>
      <c r="CA101" s="173">
        <f t="shared" si="295"/>
        <v>0.83894651957996813</v>
      </c>
      <c r="CB101" s="5">
        <f t="shared" si="296"/>
        <v>83.894651957996814</v>
      </c>
      <c r="CE101" s="562">
        <f t="shared" si="232"/>
        <v>-50</v>
      </c>
      <c r="CF101">
        <f t="shared" si="233"/>
        <v>-50</v>
      </c>
      <c r="CG101" s="173">
        <f t="shared" si="234"/>
        <v>0.78804833066394653</v>
      </c>
      <c r="CI101" s="170">
        <v>96</v>
      </c>
      <c r="CJ101" s="217">
        <f t="shared" si="297"/>
        <v>9.6</v>
      </c>
      <c r="CK101" s="217"/>
      <c r="CL101" s="217">
        <f t="shared" si="235"/>
        <v>144</v>
      </c>
      <c r="CM101" s="541">
        <f t="shared" si="236"/>
        <v>58</v>
      </c>
      <c r="CN101" s="172">
        <f t="shared" si="237"/>
        <v>15.4</v>
      </c>
      <c r="CO101" s="443">
        <f t="shared" si="238"/>
        <v>73.400000000000006</v>
      </c>
      <c r="CP101" s="443"/>
      <c r="CQ101" s="217">
        <f t="shared" si="239"/>
        <v>0.2098092643051771</v>
      </c>
      <c r="CR101" s="172">
        <f t="shared" si="240"/>
        <v>305.10568119891008</v>
      </c>
      <c r="CS101" s="172">
        <f t="shared" si="298"/>
        <v>144</v>
      </c>
      <c r="CT101" s="217">
        <f t="shared" si="241"/>
        <v>20.340378746594006</v>
      </c>
      <c r="CU101" s="217">
        <f t="shared" si="242"/>
        <v>15</v>
      </c>
      <c r="CV101" s="217">
        <f t="shared" si="243"/>
        <v>20.281562216167121</v>
      </c>
      <c r="CW101" s="172">
        <f t="shared" si="244"/>
        <v>93.289293680263071</v>
      </c>
      <c r="CX101" s="532">
        <f t="shared" si="245"/>
        <v>15</v>
      </c>
      <c r="CY101" s="217">
        <f t="shared" si="246"/>
        <v>23.666815942678014</v>
      </c>
      <c r="CZ101" s="217">
        <f t="shared" si="247"/>
        <v>4.8965826088299345</v>
      </c>
      <c r="DA101" s="217">
        <f t="shared" si="248"/>
        <v>18.441674760528326</v>
      </c>
      <c r="DB101" s="197">
        <f t="shared" si="249"/>
        <v>101.4078110808356</v>
      </c>
      <c r="DC101" s="443">
        <f t="shared" si="299"/>
        <v>42.848100617526839</v>
      </c>
      <c r="DE101" s="217">
        <f t="shared" si="250"/>
        <v>10</v>
      </c>
      <c r="DF101" s="173">
        <f t="shared" si="251"/>
        <v>7.7922077922077913</v>
      </c>
      <c r="DG101" s="173">
        <f t="shared" si="252"/>
        <v>3.9509536784741139</v>
      </c>
      <c r="DH101" s="173"/>
      <c r="DI101" s="173">
        <f t="shared" si="253"/>
        <v>7.7922077922077913</v>
      </c>
      <c r="DJ101" s="545">
        <f t="shared" si="300"/>
        <v>246.4</v>
      </c>
      <c r="DK101" s="528">
        <f t="shared" si="254"/>
        <v>3.9509536784741139</v>
      </c>
      <c r="DM101" s="173">
        <f t="shared" si="255"/>
        <v>8.390470785361213</v>
      </c>
      <c r="DN101" s="173">
        <f t="shared" si="256"/>
        <v>23.666815942678014</v>
      </c>
      <c r="DO101" s="173">
        <f t="shared" si="257"/>
        <v>11.323567364946676</v>
      </c>
      <c r="DQ101" s="545">
        <f t="shared" si="258"/>
        <v>9600</v>
      </c>
      <c r="DR101" s="460">
        <f t="shared" si="259"/>
        <v>42.848100617526839</v>
      </c>
      <c r="DT101">
        <f t="shared" si="260"/>
        <v>9600</v>
      </c>
      <c r="DU101">
        <f t="shared" si="261"/>
        <v>42.848100617526839</v>
      </c>
      <c r="DW101" s="5">
        <f t="shared" si="301"/>
        <v>23.33825736935826</v>
      </c>
      <c r="DX101" s="5">
        <f t="shared" si="262"/>
        <v>4.8965826088299345</v>
      </c>
      <c r="DY101" s="5">
        <f t="shared" si="302"/>
        <v>18.441674760528326</v>
      </c>
      <c r="DZ101" s="5">
        <f t="shared" si="263"/>
        <v>18.441674760528326</v>
      </c>
      <c r="EA101" s="173">
        <f t="shared" si="303"/>
        <v>0.2098092643051771</v>
      </c>
      <c r="EB101" s="173">
        <f t="shared" si="264"/>
        <v>144.00000000000003</v>
      </c>
      <c r="EC101" s="173">
        <f t="shared" si="265"/>
        <v>9.350649350649352</v>
      </c>
      <c r="ED101" s="173">
        <f t="shared" si="304"/>
        <v>15.4</v>
      </c>
      <c r="EE101" s="460">
        <f t="shared" si="266"/>
        <v>313.38128696511581</v>
      </c>
      <c r="EF101" s="5">
        <f t="shared" si="267"/>
        <v>15.788354135053975</v>
      </c>
      <c r="EG101" s="5"/>
      <c r="EH101" s="173">
        <f t="shared" si="305"/>
        <v>6.2588066650631946</v>
      </c>
      <c r="EI101" s="173">
        <f t="shared" si="268"/>
        <v>12.146332701034767</v>
      </c>
      <c r="EJ101" s="173"/>
      <c r="EK101" s="528">
        <f t="shared" si="269"/>
        <v>0.78345321741278939</v>
      </c>
      <c r="EL101" s="528">
        <f t="shared" si="270"/>
        <v>1.4886666666666666</v>
      </c>
      <c r="EM101" s="528">
        <f t="shared" si="271"/>
        <v>5.3560125771908544E-3</v>
      </c>
      <c r="EN101" s="528">
        <f t="shared" si="272"/>
        <v>2.3084671296296294E-2</v>
      </c>
      <c r="EO101">
        <f t="shared" si="273"/>
        <v>2.6099999999999998E-2</v>
      </c>
      <c r="EP101" s="460">
        <f t="shared" si="306"/>
        <v>31.456012577190855</v>
      </c>
      <c r="EQ101" s="528">
        <f t="shared" si="274"/>
        <v>3.1187420409996887</v>
      </c>
      <c r="ER101" s="460">
        <f t="shared" si="307"/>
        <v>3118.7420409996885</v>
      </c>
      <c r="ES101" s="528">
        <f t="shared" si="308"/>
        <v>5.9639999999999995</v>
      </c>
      <c r="ET101" s="528"/>
      <c r="EV101" s="460">
        <f t="shared" si="309"/>
        <v>5963.9999999999991</v>
      </c>
      <c r="EW101" s="528">
        <f t="shared" si="275"/>
        <v>1.1751798261191839</v>
      </c>
      <c r="EX101" s="528">
        <f t="shared" si="276"/>
        <v>4.4260019425267965</v>
      </c>
      <c r="EY101" s="528">
        <f t="shared" si="277"/>
        <v>1.6373763960187129</v>
      </c>
      <c r="EZ101" s="528">
        <f t="shared" si="278"/>
        <v>15.551289911749109</v>
      </c>
      <c r="FA101" s="528">
        <f t="shared" si="279"/>
        <v>2.4E-2</v>
      </c>
      <c r="FB101" s="460">
        <f t="shared" si="310"/>
        <v>15575.289911749109</v>
      </c>
      <c r="FC101" s="173">
        <f t="shared" si="311"/>
        <v>24.6580319527488</v>
      </c>
      <c r="FD101" s="5">
        <f t="shared" si="312"/>
        <v>144</v>
      </c>
      <c r="FE101" s="173">
        <f t="shared" si="313"/>
        <v>0.85379865004201538</v>
      </c>
      <c r="FF101" s="5">
        <f t="shared" si="314"/>
        <v>85.379865004201534</v>
      </c>
      <c r="FI101" s="562">
        <f t="shared" si="280"/>
        <v>-50</v>
      </c>
      <c r="FJ101">
        <f t="shared" si="281"/>
        <v>-50</v>
      </c>
      <c r="FL101">
        <f t="shared" si="282"/>
        <v>0.7901907356948229</v>
      </c>
    </row>
    <row r="102" spans="5:168" ht="13">
      <c r="E102" s="170">
        <v>97</v>
      </c>
      <c r="F102" s="217">
        <f>IF(PLOT_TYPE=1, E102/100*Iout_max, min_I*EXP(N102*rr/100))</f>
        <v>9.6999999999999993</v>
      </c>
      <c r="G102" s="217"/>
      <c r="H102" s="217">
        <f>F102*Vout</f>
        <v>145.5</v>
      </c>
      <c r="I102" s="541">
        <f t="shared" si="184"/>
        <v>57.384572762351375</v>
      </c>
      <c r="J102" s="172">
        <f t="shared" si="185"/>
        <v>15.769256342589175</v>
      </c>
      <c r="K102" s="172">
        <f t="shared" si="186"/>
        <v>73.769256342589173</v>
      </c>
      <c r="L102" s="443"/>
      <c r="M102" s="217">
        <f t="shared" si="187"/>
        <v>0.21555234066208759</v>
      </c>
      <c r="N102" s="172">
        <f>M102*I102*(Isw_max+VIN_nom/Lmag*ILIM_delay)*0.5*Efficiency</f>
        <v>310.13125439628726</v>
      </c>
      <c r="O102" s="172">
        <f t="shared" si="284"/>
        <v>145.5</v>
      </c>
      <c r="P102" s="217">
        <f>N102/Vout</f>
        <v>20.675416959752486</v>
      </c>
      <c r="Q102" s="217">
        <f t="shared" si="190"/>
        <v>15</v>
      </c>
      <c r="R102" s="217">
        <f>Isw_max/2*I102*Nps*(Q102+Vfwd1+F102/FL102*Rdcr_sec)/Q102/(I102+Nps*(Q102+Vfwd1+F102/FL102*Rdcr_sec))</f>
        <v>20.615631628031192</v>
      </c>
      <c r="S102" s="172">
        <f t="shared" si="192"/>
        <v>90.765592359801062</v>
      </c>
      <c r="T102" s="532">
        <f>MIN(Vout, S102)</f>
        <v>15</v>
      </c>
      <c r="U102" s="217">
        <f t="shared" si="194"/>
        <v>24.730776832674781</v>
      </c>
      <c r="V102" s="217">
        <f t="shared" si="195"/>
        <v>5.1715872002936738</v>
      </c>
      <c r="W102" s="217">
        <f t="shared" si="196"/>
        <v>18.819487459950217</v>
      </c>
      <c r="X102" s="197">
        <f t="shared" si="197"/>
        <v>103.0832390082828</v>
      </c>
      <c r="Y102" s="443">
        <f t="shared" si="198"/>
        <v>41.337559990396819</v>
      </c>
      <c r="AA102" s="217">
        <f t="shared" si="199"/>
        <v>10</v>
      </c>
      <c r="AB102" s="173">
        <f>L*AA102/J102*1000000</f>
        <v>7.6097437566480099</v>
      </c>
      <c r="AC102" s="173">
        <f>0.5*AB102*AA102*Nps*X102/1000</f>
        <v>3.9221851722916732</v>
      </c>
      <c r="AD102" s="173"/>
      <c r="AE102" s="173">
        <f t="shared" si="202"/>
        <v>7.6097437566480099</v>
      </c>
      <c r="AF102" s="545">
        <f>MAX(12, F102/(0.5*AE102/1000000*Isw_min*Nps)/1000)</f>
        <v>254.93631087185827</v>
      </c>
      <c r="AG102" s="528">
        <f t="shared" si="204"/>
        <v>3.9221851722916741</v>
      </c>
      <c r="AI102" s="173">
        <f t="shared" si="205"/>
        <v>8.5345735665812903</v>
      </c>
      <c r="AJ102" s="173">
        <f>MAX(IF(F102&gt;AC102,U102,AI102),Isw_min)</f>
        <v>24.730776832674781</v>
      </c>
      <c r="AK102" s="173">
        <f>IF(F102&gt;AG102, (AJ102-Isw_min)/1.08*0.8+1.2, AF102*0.2/350+1)</f>
        <v>12.111686542722058</v>
      </c>
      <c r="AM102" s="545">
        <f t="shared" si="208"/>
        <v>9700</v>
      </c>
      <c r="AN102" s="460">
        <f t="shared" si="209"/>
        <v>41.337559990396819</v>
      </c>
      <c r="AP102">
        <f t="shared" si="210"/>
        <v>9700</v>
      </c>
      <c r="AQ102">
        <f t="shared" si="211"/>
        <v>41.337559990396819</v>
      </c>
      <c r="AS102" s="5">
        <f t="shared" si="285"/>
        <v>24.191074660243888</v>
      </c>
      <c r="AT102" s="5">
        <f t="shared" si="212"/>
        <v>5.1715872002936738</v>
      </c>
      <c r="AU102" s="5">
        <f t="shared" si="286"/>
        <v>19.019487459950213</v>
      </c>
      <c r="AV102" s="5">
        <f t="shared" si="213"/>
        <v>18.819487459950217</v>
      </c>
      <c r="AW102" s="173">
        <f t="shared" si="287"/>
        <v>0.21378079613770806</v>
      </c>
      <c r="AX102" s="173">
        <f t="shared" si="214"/>
        <v>151.69511846930021</v>
      </c>
      <c r="AY102" s="173">
        <f t="shared" si="215"/>
        <v>9.72190583614079</v>
      </c>
      <c r="AZ102" s="173">
        <f t="shared" si="288"/>
        <v>15.603434246953903</v>
      </c>
      <c r="BA102" s="460">
        <f t="shared" si="216"/>
        <v>334.4293056189909</v>
      </c>
      <c r="BB102" s="5">
        <f t="shared" si="217"/>
        <v>16.629096445925388</v>
      </c>
      <c r="BC102" s="5"/>
      <c r="BD102" s="173">
        <f t="shared" si="289"/>
        <v>6.6017865133565898</v>
      </c>
      <c r="BE102" s="173">
        <f t="shared" si="218"/>
        <v>12.660444532002721</v>
      </c>
      <c r="BF102" s="173"/>
      <c r="BG102" s="528">
        <f t="shared" si="219"/>
        <v>0.87167170335873922</v>
      </c>
      <c r="BH102" s="528">
        <f t="shared" si="220"/>
        <v>1.4140321182582376</v>
      </c>
      <c r="BI102" s="528">
        <f t="shared" si="221"/>
        <v>5.9303455477174777E-2</v>
      </c>
      <c r="BJ102" s="528">
        <f t="shared" si="222"/>
        <v>2.2495499922051708E-2</v>
      </c>
      <c r="BK102">
        <f t="shared" si="223"/>
        <v>2.5823057743058118E-2</v>
      </c>
      <c r="BL102" s="460">
        <f t="shared" si="290"/>
        <v>85.126513220232908</v>
      </c>
      <c r="BM102" s="528">
        <f t="shared" si="224"/>
        <v>3.207945748541321</v>
      </c>
      <c r="BN102" s="460">
        <f t="shared" si="291"/>
        <v>3207.9457485413209</v>
      </c>
      <c r="BO102" s="528">
        <f t="shared" si="225"/>
        <v>6.0261249999999986</v>
      </c>
      <c r="BP102" s="528"/>
      <c r="BR102" s="460">
        <f t="shared" si="292"/>
        <v>6026.1249999999982</v>
      </c>
      <c r="BS102" s="528">
        <f t="shared" si="226"/>
        <v>1.3075075550381088</v>
      </c>
      <c r="BT102" s="528">
        <f t="shared" si="227"/>
        <v>4.8086056724375279</v>
      </c>
      <c r="BU102" s="528">
        <f t="shared" si="228"/>
        <v>2.1825000000000001</v>
      </c>
      <c r="BV102" s="528">
        <f>(BU102+(BS102+BT102)*(1+Ltc*(Ta-25)))/(1-(BS102+BT102)*Ltc*ThetaCa)</f>
        <v>19.123303619872662</v>
      </c>
      <c r="BW102" s="528">
        <f t="shared" si="230"/>
        <v>2.5282519744883367E-2</v>
      </c>
      <c r="BX102" s="460">
        <f t="shared" si="293"/>
        <v>19148.586139617546</v>
      </c>
      <c r="BY102" s="173">
        <f t="shared" si="231"/>
        <v>28.467783401379098</v>
      </c>
      <c r="BZ102" s="5">
        <f t="shared" si="294"/>
        <v>145.5</v>
      </c>
      <c r="CA102" s="173">
        <f t="shared" si="295"/>
        <v>0.83636175132669166</v>
      </c>
      <c r="CB102" s="5">
        <f t="shared" si="296"/>
        <v>83.636175132669166</v>
      </c>
      <c r="CE102" s="562">
        <f t="shared" si="232"/>
        <v>-50</v>
      </c>
      <c r="CF102">
        <f t="shared" si="233"/>
        <v>-50</v>
      </c>
      <c r="CG102" s="173">
        <f t="shared" si="234"/>
        <v>0.78807041731374938</v>
      </c>
      <c r="CI102" s="170">
        <v>97</v>
      </c>
      <c r="CJ102" s="217">
        <f t="shared" si="297"/>
        <v>9.6999999999999993</v>
      </c>
      <c r="CK102" s="217"/>
      <c r="CL102" s="217">
        <f t="shared" si="235"/>
        <v>145.5</v>
      </c>
      <c r="CM102" s="541">
        <f t="shared" si="236"/>
        <v>58</v>
      </c>
      <c r="CN102" s="172">
        <f t="shared" si="237"/>
        <v>15.4</v>
      </c>
      <c r="CO102" s="443">
        <f t="shared" si="238"/>
        <v>73.400000000000006</v>
      </c>
      <c r="CP102" s="443"/>
      <c r="CQ102" s="217">
        <f t="shared" si="239"/>
        <v>0.2098092643051771</v>
      </c>
      <c r="CR102" s="172">
        <f t="shared" si="240"/>
        <v>305.10568119891008</v>
      </c>
      <c r="CS102" s="172">
        <f t="shared" si="298"/>
        <v>145.5</v>
      </c>
      <c r="CT102" s="217">
        <f t="shared" si="241"/>
        <v>20.340378746594006</v>
      </c>
      <c r="CU102" s="217">
        <f t="shared" si="242"/>
        <v>15</v>
      </c>
      <c r="CV102" s="217">
        <f t="shared" si="243"/>
        <v>20.281562216167121</v>
      </c>
      <c r="CW102" s="172">
        <f t="shared" si="244"/>
        <v>91.736336846364878</v>
      </c>
      <c r="CX102" s="532">
        <f t="shared" si="245"/>
        <v>15</v>
      </c>
      <c r="CY102" s="217">
        <f t="shared" si="246"/>
        <v>23.91334527541424</v>
      </c>
      <c r="CZ102" s="217">
        <f t="shared" si="247"/>
        <v>4.947588677671912</v>
      </c>
      <c r="DA102" s="217">
        <f t="shared" si="248"/>
        <v>18.633775539283825</v>
      </c>
      <c r="DB102" s="197">
        <f t="shared" si="249"/>
        <v>101.4078110808356</v>
      </c>
      <c r="DC102" s="443">
        <f t="shared" si="299"/>
        <v>42.406367621469869</v>
      </c>
      <c r="DE102" s="217">
        <f t="shared" si="250"/>
        <v>10</v>
      </c>
      <c r="DF102" s="173">
        <f t="shared" si="251"/>
        <v>7.7922077922077913</v>
      </c>
      <c r="DG102" s="173">
        <f t="shared" si="252"/>
        <v>3.9509536784741139</v>
      </c>
      <c r="DH102" s="173"/>
      <c r="DI102" s="173">
        <f t="shared" si="253"/>
        <v>7.7922077922077913</v>
      </c>
      <c r="DJ102" s="545">
        <f t="shared" si="300"/>
        <v>248.96666666666667</v>
      </c>
      <c r="DK102" s="528">
        <f t="shared" si="254"/>
        <v>3.9509536784741139</v>
      </c>
      <c r="DM102" s="173">
        <f t="shared" si="255"/>
        <v>8.4340579398847701</v>
      </c>
      <c r="DN102" s="173">
        <f t="shared" si="256"/>
        <v>23.91334527541424</v>
      </c>
      <c r="DO102" s="173">
        <f t="shared" si="257"/>
        <v>11.506181685492029</v>
      </c>
      <c r="DQ102" s="545">
        <f t="shared" si="258"/>
        <v>9700</v>
      </c>
      <c r="DR102" s="460">
        <f t="shared" si="259"/>
        <v>42.406367621469869</v>
      </c>
      <c r="DT102">
        <f t="shared" si="260"/>
        <v>9700</v>
      </c>
      <c r="DU102">
        <f t="shared" si="261"/>
        <v>42.406367621469869</v>
      </c>
      <c r="DW102" s="5">
        <f t="shared" si="301"/>
        <v>23.581364216955738</v>
      </c>
      <c r="DX102" s="5">
        <f t="shared" si="262"/>
        <v>4.947588677671912</v>
      </c>
      <c r="DY102" s="5">
        <f t="shared" si="302"/>
        <v>18.633775539283825</v>
      </c>
      <c r="DZ102" s="5">
        <f t="shared" si="263"/>
        <v>18.633775539283825</v>
      </c>
      <c r="EA102" s="173">
        <f t="shared" si="303"/>
        <v>0.2098092643051771</v>
      </c>
      <c r="EB102" s="173">
        <f t="shared" si="264"/>
        <v>145.5</v>
      </c>
      <c r="EC102" s="173">
        <f t="shared" si="265"/>
        <v>9.4480519480519476</v>
      </c>
      <c r="ED102" s="173">
        <f t="shared" si="304"/>
        <v>15.4</v>
      </c>
      <c r="EE102" s="460">
        <f t="shared" si="266"/>
        <v>319.94406782278361</v>
      </c>
      <c r="EF102" s="5">
        <f t="shared" si="267"/>
        <v>16.118991325599264</v>
      </c>
      <c r="EG102" s="5"/>
      <c r="EH102" s="173">
        <f t="shared" si="305"/>
        <v>6.3240025678242695</v>
      </c>
      <c r="EI102" s="173">
        <f t="shared" si="268"/>
        <v>12.27285700000388</v>
      </c>
      <c r="EJ102" s="173"/>
      <c r="EK102" s="528">
        <f t="shared" si="269"/>
        <v>0.79986016955695904</v>
      </c>
      <c r="EL102" s="528">
        <f t="shared" si="270"/>
        <v>1.4886666666666666</v>
      </c>
      <c r="EM102" s="528">
        <f t="shared" si="271"/>
        <v>5.3007959526837336E-3</v>
      </c>
      <c r="EN102" s="528">
        <f t="shared" si="272"/>
        <v>2.2846684994272625E-2</v>
      </c>
      <c r="EO102">
        <f t="shared" si="273"/>
        <v>2.6099999999999998E-2</v>
      </c>
      <c r="EP102" s="460">
        <f t="shared" si="306"/>
        <v>31.400795952683733</v>
      </c>
      <c r="EQ102" s="528">
        <f t="shared" si="274"/>
        <v>3.1591164625783201</v>
      </c>
      <c r="ER102" s="460">
        <f t="shared" si="307"/>
        <v>3159.1164625783204</v>
      </c>
      <c r="ES102" s="528">
        <f t="shared" si="308"/>
        <v>6.0261249999999986</v>
      </c>
      <c r="ET102" s="528"/>
      <c r="EV102" s="460">
        <f t="shared" si="309"/>
        <v>6026.1249999999982</v>
      </c>
      <c r="EW102" s="528">
        <f t="shared" si="275"/>
        <v>1.1997902543354384</v>
      </c>
      <c r="EX102" s="528">
        <f t="shared" si="276"/>
        <v>4.5186905682763268</v>
      </c>
      <c r="EY102" s="528">
        <f t="shared" si="277"/>
        <v>1.6373763960187142</v>
      </c>
      <c r="EZ102" s="528">
        <f t="shared" si="278"/>
        <v>16.088380029139039</v>
      </c>
      <c r="FA102" s="528">
        <f t="shared" si="279"/>
        <v>2.4250000000000001E-2</v>
      </c>
      <c r="FB102" s="460">
        <f t="shared" si="310"/>
        <v>16112.630029139038</v>
      </c>
      <c r="FC102" s="173">
        <f t="shared" si="311"/>
        <v>25.297871491717355</v>
      </c>
      <c r="FD102" s="5">
        <f t="shared" si="312"/>
        <v>145.5</v>
      </c>
      <c r="FE102" s="173">
        <f t="shared" si="313"/>
        <v>0.85188415247350346</v>
      </c>
      <c r="FF102" s="5">
        <f t="shared" si="314"/>
        <v>85.188415247350349</v>
      </c>
      <c r="FI102" s="562">
        <f t="shared" si="280"/>
        <v>-50</v>
      </c>
      <c r="FJ102">
        <f t="shared" si="281"/>
        <v>-50</v>
      </c>
      <c r="FL102">
        <f t="shared" si="282"/>
        <v>0.7901907356948229</v>
      </c>
    </row>
    <row r="103" spans="5:168" ht="13">
      <c r="E103" s="170">
        <v>98</v>
      </c>
      <c r="F103" s="217">
        <f>IF(PLOT_TYPE=1, E103/100*Iout_max, min_I*EXP(N103*rr/100))</f>
        <v>9.8000000000000007</v>
      </c>
      <c r="G103" s="217"/>
      <c r="H103" s="217">
        <f>F103*Vout</f>
        <v>147</v>
      </c>
      <c r="I103" s="541">
        <f t="shared" si="184"/>
        <v>57.378245221480555</v>
      </c>
      <c r="J103" s="172">
        <f t="shared" si="185"/>
        <v>15.773052867111669</v>
      </c>
      <c r="K103" s="172">
        <f t="shared" si="186"/>
        <v>73.773052867111673</v>
      </c>
      <c r="L103" s="443"/>
      <c r="M103" s="217">
        <f t="shared" si="187"/>
        <v>0.21561169943335912</v>
      </c>
      <c r="N103" s="172">
        <f>M103*I103*(Isw_max+VIN_nom/Lmag*ILIM_delay)*0.5*Efficiency</f>
        <v>310.18245208748232</v>
      </c>
      <c r="O103" s="172">
        <f t="shared" si="284"/>
        <v>147</v>
      </c>
      <c r="P103" s="217">
        <f>N103/Vout</f>
        <v>20.678830139165488</v>
      </c>
      <c r="Q103" s="217">
        <f t="shared" si="190"/>
        <v>15</v>
      </c>
      <c r="R103" s="217">
        <f>Isw_max/2*I103*Nps*(Q103+Vfwd1+F103/FL103*Rdcr_sec)/Q103/(I103+Nps*(Q103+Vfwd1+F103/FL103*Rdcr_sec))</f>
        <v>20.619034937845733</v>
      </c>
      <c r="S103" s="172">
        <f t="shared" si="192"/>
        <v>89.25083695080707</v>
      </c>
      <c r="T103" s="532">
        <f>MIN(Vout, S103)</f>
        <v>15</v>
      </c>
      <c r="U103" s="217">
        <f t="shared" si="194"/>
        <v>24.987624096179143</v>
      </c>
      <c r="V103" s="217">
        <f t="shared" si="195"/>
        <v>5.2258741618311992</v>
      </c>
      <c r="W103" s="217">
        <f t="shared" si="196"/>
        <v>19.010364808918435</v>
      </c>
      <c r="X103" s="197">
        <f t="shared" si="197"/>
        <v>103.10025464898386</v>
      </c>
      <c r="Y103" s="443">
        <f t="shared" si="198"/>
        <v>40.922827821294746</v>
      </c>
      <c r="AA103" s="217">
        <f t="shared" si="199"/>
        <v>10.000000000000002</v>
      </c>
      <c r="AB103" s="173">
        <f>L*AA103/J103*1000000</f>
        <v>7.6079121151119429</v>
      </c>
      <c r="AC103" s="173">
        <f>0.5*AB103*AA103*Nps*X103/1000</f>
        <v>3.9218883820756543</v>
      </c>
      <c r="AD103" s="173"/>
      <c r="AE103" s="173">
        <f t="shared" si="202"/>
        <v>7.6079121151119411</v>
      </c>
      <c r="AF103" s="545">
        <f>MAX(12, F103/(0.5*AE103/1000000*Isw_min*Nps)/1000)</f>
        <v>257.62653016282394</v>
      </c>
      <c r="AG103" s="528">
        <f t="shared" si="204"/>
        <v>3.9218883820756525</v>
      </c>
      <c r="AI103" s="173">
        <f t="shared" si="205"/>
        <v>8.5794860013010759</v>
      </c>
      <c r="AJ103" s="173">
        <f>MAX(IF(F103&gt;AC103,U103,AI103),Isw_min)</f>
        <v>24.987624096179143</v>
      </c>
      <c r="AK103" s="173">
        <f>IF(F103&gt;AG103, (AJ103-Isw_min)/1.08*0.8+1.2, AF103*0.2/350+1)</f>
        <v>12.301943774947514</v>
      </c>
      <c r="AM103" s="545">
        <f t="shared" si="208"/>
        <v>9800</v>
      </c>
      <c r="AN103" s="460">
        <f t="shared" si="209"/>
        <v>40.922827821294746</v>
      </c>
      <c r="AP103">
        <f t="shared" si="210"/>
        <v>9800</v>
      </c>
      <c r="AQ103">
        <f t="shared" si="211"/>
        <v>40.922827821294746</v>
      </c>
      <c r="AS103" s="5">
        <f t="shared" si="285"/>
        <v>24.436238970749631</v>
      </c>
      <c r="AT103" s="5">
        <f t="shared" si="212"/>
        <v>5.2258741618311992</v>
      </c>
      <c r="AU103" s="5">
        <f t="shared" si="286"/>
        <v>19.210364808918431</v>
      </c>
      <c r="AV103" s="5">
        <f t="shared" si="213"/>
        <v>19.010364808918435</v>
      </c>
      <c r="AW103" s="173">
        <f t="shared" si="287"/>
        <v>0.21385754854037117</v>
      </c>
      <c r="AX103" s="173">
        <f t="shared" si="214"/>
        <v>153.30870484267447</v>
      </c>
      <c r="AY103" s="173">
        <f t="shared" si="215"/>
        <v>9.8219160315609813</v>
      </c>
      <c r="AZ103" s="173">
        <f t="shared" si="288"/>
        <v>15.608838881338855</v>
      </c>
      <c r="BA103" s="460">
        <f t="shared" si="216"/>
        <v>341.42377857297174</v>
      </c>
      <c r="BB103" s="5">
        <f t="shared" si="217"/>
        <v>16.971009903520038</v>
      </c>
      <c r="BC103" s="5"/>
      <c r="BD103" s="173">
        <f t="shared" si="289"/>
        <v>6.6715482103779005</v>
      </c>
      <c r="BE103" s="173">
        <f t="shared" si="218"/>
        <v>12.791308134846396</v>
      </c>
      <c r="BF103" s="173"/>
      <c r="BG103" s="528">
        <f t="shared" si="219"/>
        <v>0.89019111046793131</v>
      </c>
      <c r="BH103" s="528">
        <f t="shared" si="220"/>
        <v>1.4144566055747554</v>
      </c>
      <c r="BI103" s="528">
        <f t="shared" si="221"/>
        <v>5.8702001247166923E-2</v>
      </c>
      <c r="BJ103" s="528">
        <f t="shared" si="222"/>
        <v>2.2272098975003166E-2</v>
      </c>
      <c r="BK103">
        <f t="shared" si="223"/>
        <v>2.5820210349666251E-2</v>
      </c>
      <c r="BL103" s="460">
        <f t="shared" si="290"/>
        <v>84.522211596833174</v>
      </c>
      <c r="BM103" s="528">
        <f t="shared" si="224"/>
        <v>3.2559315740655803</v>
      </c>
      <c r="BN103" s="460">
        <f t="shared" si="291"/>
        <v>3255.9315740655802</v>
      </c>
      <c r="BO103" s="528">
        <f t="shared" si="225"/>
        <v>6.0882500000000004</v>
      </c>
      <c r="BP103" s="528"/>
      <c r="BR103" s="460">
        <f t="shared" si="292"/>
        <v>6088.25</v>
      </c>
      <c r="BS103" s="528">
        <f t="shared" si="226"/>
        <v>1.3352866657018969</v>
      </c>
      <c r="BT103" s="528">
        <f t="shared" si="227"/>
        <v>4.9085269140176271</v>
      </c>
      <c r="BU103" s="528">
        <f t="shared" si="228"/>
        <v>2.2050000000000001</v>
      </c>
      <c r="BV103" s="528">
        <f>(BU103+(BS103+BT103)*(1+Ltc*(Ta-25)))/(1-(BS103+BT103)*Ltc*ThetaCa)</f>
        <v>19.87498487618247</v>
      </c>
      <c r="BW103" s="528">
        <f t="shared" si="230"/>
        <v>2.5551450807112415E-2</v>
      </c>
      <c r="BX103" s="460">
        <f t="shared" si="293"/>
        <v>19900.536326989582</v>
      </c>
      <c r="BY103" s="173">
        <f t="shared" si="231"/>
        <v>29.329240112651995</v>
      </c>
      <c r="BZ103" s="5">
        <f t="shared" si="294"/>
        <v>147</v>
      </c>
      <c r="CA103" s="173">
        <f t="shared" si="295"/>
        <v>0.83366774510050434</v>
      </c>
      <c r="CB103" s="5">
        <f t="shared" si="296"/>
        <v>83.366774510050433</v>
      </c>
      <c r="CE103" s="562">
        <f t="shared" si="232"/>
        <v>-50</v>
      </c>
      <c r="CF103">
        <f t="shared" si="233"/>
        <v>-50</v>
      </c>
      <c r="CG103" s="173">
        <f t="shared" si="234"/>
        <v>0.78809205321559705</v>
      </c>
      <c r="CI103" s="170">
        <v>98</v>
      </c>
      <c r="CJ103" s="217">
        <f t="shared" si="297"/>
        <v>9.8000000000000007</v>
      </c>
      <c r="CK103" s="217"/>
      <c r="CL103" s="217">
        <f t="shared" si="235"/>
        <v>147</v>
      </c>
      <c r="CM103" s="541">
        <f t="shared" si="236"/>
        <v>58</v>
      </c>
      <c r="CN103" s="172">
        <f t="shared" si="237"/>
        <v>15.4</v>
      </c>
      <c r="CO103" s="443">
        <f t="shared" si="238"/>
        <v>73.400000000000006</v>
      </c>
      <c r="CP103" s="443"/>
      <c r="CQ103" s="217">
        <f t="shared" si="239"/>
        <v>0.2098092643051771</v>
      </c>
      <c r="CR103" s="172">
        <f t="shared" si="240"/>
        <v>305.10568119891008</v>
      </c>
      <c r="CS103" s="172">
        <f t="shared" si="298"/>
        <v>147</v>
      </c>
      <c r="CT103" s="217">
        <f t="shared" si="241"/>
        <v>20.340378746594006</v>
      </c>
      <c r="CU103" s="217">
        <f t="shared" si="242"/>
        <v>15</v>
      </c>
      <c r="CV103" s="217">
        <f t="shared" si="243"/>
        <v>20.281562216167121</v>
      </c>
      <c r="CW103" s="172">
        <f t="shared" si="244"/>
        <v>90.215211327767747</v>
      </c>
      <c r="CX103" s="532">
        <f t="shared" si="245"/>
        <v>15</v>
      </c>
      <c r="CY103" s="217">
        <f t="shared" si="246"/>
        <v>24.159874608150471</v>
      </c>
      <c r="CZ103" s="217">
        <f t="shared" si="247"/>
        <v>4.9985947465138905</v>
      </c>
      <c r="DA103" s="217">
        <f t="shared" si="248"/>
        <v>18.825876318039327</v>
      </c>
      <c r="DB103" s="197">
        <f t="shared" si="249"/>
        <v>101.4078110808356</v>
      </c>
      <c r="DC103" s="443">
        <f t="shared" si="299"/>
        <v>41.973649584516096</v>
      </c>
      <c r="DE103" s="217">
        <f t="shared" si="250"/>
        <v>10</v>
      </c>
      <c r="DF103" s="173">
        <f t="shared" si="251"/>
        <v>7.7922077922077913</v>
      </c>
      <c r="DG103" s="173">
        <f t="shared" si="252"/>
        <v>3.9509536784741139</v>
      </c>
      <c r="DH103" s="173"/>
      <c r="DI103" s="173">
        <f t="shared" si="253"/>
        <v>7.7922077922077913</v>
      </c>
      <c r="DJ103" s="545">
        <f t="shared" si="300"/>
        <v>251.53333333333336</v>
      </c>
      <c r="DK103" s="528">
        <f t="shared" si="254"/>
        <v>3.9509536784741139</v>
      </c>
      <c r="DM103" s="173">
        <f t="shared" si="255"/>
        <v>8.477420991472977</v>
      </c>
      <c r="DN103" s="173">
        <f t="shared" si="256"/>
        <v>24.159874608150471</v>
      </c>
      <c r="DO103" s="173">
        <f t="shared" si="257"/>
        <v>11.688796006037386</v>
      </c>
      <c r="DQ103" s="545">
        <f t="shared" si="258"/>
        <v>9800</v>
      </c>
      <c r="DR103" s="460">
        <f t="shared" si="259"/>
        <v>41.973649584516096</v>
      </c>
      <c r="DT103">
        <f t="shared" si="260"/>
        <v>9800</v>
      </c>
      <c r="DU103">
        <f t="shared" si="261"/>
        <v>41.973649584516096</v>
      </c>
      <c r="DW103" s="5">
        <f t="shared" si="301"/>
        <v>23.824471064553219</v>
      </c>
      <c r="DX103" s="5">
        <f t="shared" si="262"/>
        <v>4.9985947465138905</v>
      </c>
      <c r="DY103" s="5">
        <f t="shared" si="302"/>
        <v>18.825876318039327</v>
      </c>
      <c r="DZ103" s="5">
        <f t="shared" si="263"/>
        <v>18.825876318039327</v>
      </c>
      <c r="EA103" s="173">
        <f t="shared" si="303"/>
        <v>0.2098092643051771</v>
      </c>
      <c r="EB103" s="173">
        <f t="shared" si="264"/>
        <v>147.00000000000003</v>
      </c>
      <c r="EC103" s="173">
        <f t="shared" si="265"/>
        <v>9.545454545454545</v>
      </c>
      <c r="ED103" s="173">
        <f t="shared" si="304"/>
        <v>15.400000000000004</v>
      </c>
      <c r="EE103" s="460">
        <f t="shared" si="266"/>
        <v>326.57485677224088</v>
      </c>
      <c r="EF103" s="5">
        <f t="shared" si="267"/>
        <v>16.453054808274558</v>
      </c>
      <c r="EG103" s="5"/>
      <c r="EH103" s="173">
        <f t="shared" si="305"/>
        <v>6.3891984705853444</v>
      </c>
      <c r="EI103" s="173">
        <f t="shared" si="268"/>
        <v>12.399381298972992</v>
      </c>
      <c r="EJ103" s="173"/>
      <c r="EK103" s="528">
        <f t="shared" si="269"/>
        <v>0.81643714193060202</v>
      </c>
      <c r="EL103" s="528">
        <f t="shared" si="270"/>
        <v>1.4886666666666668</v>
      </c>
      <c r="EM103" s="528">
        <f t="shared" si="271"/>
        <v>5.2467061980645113E-3</v>
      </c>
      <c r="EN103" s="528">
        <f t="shared" si="272"/>
        <v>2.2613555555555557E-2</v>
      </c>
      <c r="EO103">
        <f t="shared" si="273"/>
        <v>2.6099999999999998E-2</v>
      </c>
      <c r="EP103" s="460">
        <f t="shared" si="306"/>
        <v>31.34670619806451</v>
      </c>
      <c r="EQ103" s="528">
        <f t="shared" si="274"/>
        <v>3.2003170990270076</v>
      </c>
      <c r="ER103" s="460">
        <f t="shared" si="307"/>
        <v>3200.3170990270078</v>
      </c>
      <c r="ES103" s="528">
        <f t="shared" si="308"/>
        <v>6.0882500000000004</v>
      </c>
      <c r="ET103" s="528"/>
      <c r="EV103" s="460">
        <f t="shared" si="309"/>
        <v>6088.25</v>
      </c>
      <c r="EW103" s="528">
        <f t="shared" si="275"/>
        <v>1.224655712895903</v>
      </c>
      <c r="EX103" s="528">
        <f t="shared" si="276"/>
        <v>4.6123396979196345</v>
      </c>
      <c r="EY103" s="528">
        <f t="shared" si="277"/>
        <v>1.6373763960187158</v>
      </c>
      <c r="EZ103" s="528">
        <f t="shared" si="278"/>
        <v>16.650241243710997</v>
      </c>
      <c r="FA103" s="528">
        <f t="shared" si="279"/>
        <v>2.4500000000000001E-2</v>
      </c>
      <c r="FB103" s="460">
        <f t="shared" si="310"/>
        <v>16674.741243710996</v>
      </c>
      <c r="FC103" s="173">
        <f t="shared" si="311"/>
        <v>25.963308342738006</v>
      </c>
      <c r="FD103" s="5">
        <f t="shared" si="312"/>
        <v>147</v>
      </c>
      <c r="FE103" s="173">
        <f t="shared" si="313"/>
        <v>0.84989123652000209</v>
      </c>
      <c r="FF103" s="5">
        <f t="shared" si="314"/>
        <v>84.989123652000202</v>
      </c>
      <c r="FI103" s="562">
        <f t="shared" si="280"/>
        <v>-50</v>
      </c>
      <c r="FJ103">
        <f t="shared" si="281"/>
        <v>-50</v>
      </c>
      <c r="FL103">
        <f t="shared" si="282"/>
        <v>0.7901907356948229</v>
      </c>
    </row>
    <row r="104" spans="5:168" ht="13">
      <c r="E104" s="170">
        <v>99</v>
      </c>
      <c r="F104" s="217">
        <f>IF(PLOT_TYPE=1, E104/100*Iout_max, min_I*EXP(N104*rr/100))</f>
        <v>9.9</v>
      </c>
      <c r="G104" s="217"/>
      <c r="H104" s="217">
        <f>F104*Vout</f>
        <v>148.5</v>
      </c>
      <c r="I104" s="541">
        <f t="shared" si="184"/>
        <v>57.371917679691435</v>
      </c>
      <c r="J104" s="172">
        <f t="shared" si="185"/>
        <v>15.776849392185138</v>
      </c>
      <c r="K104" s="172">
        <f t="shared" si="186"/>
        <v>73.776849392185142</v>
      </c>
      <c r="L104" s="443"/>
      <c r="M104" s="217">
        <f t="shared" si="187"/>
        <v>0.21567106231508865</v>
      </c>
      <c r="N104" s="172">
        <f>M104*I104*(Isw_max+VIN_nom/Lmag*ILIM_delay)*0.5*Efficiency</f>
        <v>310.23363685221659</v>
      </c>
      <c r="O104" s="172">
        <f t="shared" si="284"/>
        <v>148.5</v>
      </c>
      <c r="P104" s="217">
        <f>N104/Vout</f>
        <v>20.682242456814439</v>
      </c>
      <c r="Q104" s="217">
        <f t="shared" si="190"/>
        <v>15</v>
      </c>
      <c r="R104" s="217">
        <f>Isw_max/2*I104*Nps*(Q104+Vfwd1+F104/FL104*Rdcr_sec)/Q104/(I104+Nps*(Q104+Vfwd1+F104/FL104*Rdcr_sec))</f>
        <v>20.622437388388111</v>
      </c>
      <c r="S104" s="172">
        <f t="shared" si="192"/>
        <v>87.766949956599404</v>
      </c>
      <c r="T104" s="532">
        <f>MIN(Vout, S104)</f>
        <v>15</v>
      </c>
      <c r="U104" s="217">
        <f t="shared" si="194"/>
        <v>25.244510368880793</v>
      </c>
      <c r="V104" s="217">
        <f t="shared" si="195"/>
        <v>5.2801812572809013</v>
      </c>
      <c r="W104" s="217">
        <f t="shared" si="196"/>
        <v>19.201179962878019</v>
      </c>
      <c r="X104" s="197">
        <f t="shared" si="197"/>
        <v>103.11726599619575</v>
      </c>
      <c r="Y104" s="443">
        <f t="shared" si="198"/>
        <v>40.516403900090928</v>
      </c>
      <c r="AA104" s="217">
        <f t="shared" si="199"/>
        <v>10</v>
      </c>
      <c r="AB104" s="173">
        <f>L*AA104/J104*1000000</f>
        <v>7.6060813548388486</v>
      </c>
      <c r="AC104" s="173">
        <f>0.5*AB104*AA104*Nps*X104/1000</f>
        <v>3.9215915712781126</v>
      </c>
      <c r="AD104" s="173"/>
      <c r="AE104" s="173">
        <f t="shared" si="202"/>
        <v>7.6060813548388486</v>
      </c>
      <c r="AF104" s="545">
        <f>MAX(12, F104/(0.5*AE104/1000000*Isw_min*Nps)/1000)</f>
        <v>260.31801497105477</v>
      </c>
      <c r="AG104" s="528">
        <f t="shared" si="204"/>
        <v>3.9215915712781126</v>
      </c>
      <c r="AI104" s="173">
        <f t="shared" si="205"/>
        <v>8.624185509717174</v>
      </c>
      <c r="AJ104" s="173">
        <f>MAX(IF(F104&gt;AC104,U104,AI104),Isw_min)</f>
        <v>25.244510368880793</v>
      </c>
      <c r="AK104" s="173">
        <f>IF(F104&gt;AG104, (AJ104-Isw_min)/1.08*0.8+1.2, AF104*0.2/350+1)</f>
        <v>12.49222990287466</v>
      </c>
      <c r="AM104" s="545">
        <f t="shared" si="208"/>
        <v>9900</v>
      </c>
      <c r="AN104" s="460">
        <f t="shared" si="209"/>
        <v>40.516403900090928</v>
      </c>
      <c r="AP104">
        <f t="shared" si="210"/>
        <v>9900</v>
      </c>
      <c r="AQ104">
        <f t="shared" si="211"/>
        <v>40.516403900090928</v>
      </c>
      <c r="AS104" s="5">
        <f t="shared" si="285"/>
        <v>24.681361220158923</v>
      </c>
      <c r="AT104" s="5">
        <f t="shared" si="212"/>
        <v>5.2801812572809013</v>
      </c>
      <c r="AU104" s="5">
        <f t="shared" si="286"/>
        <v>19.401179962878022</v>
      </c>
      <c r="AV104" s="5">
        <f t="shared" si="213"/>
        <v>19.201179962878019</v>
      </c>
      <c r="AW104" s="173">
        <f t="shared" si="287"/>
        <v>0.21393395648568295</v>
      </c>
      <c r="AX104" s="173">
        <f t="shared" si="214"/>
        <v>154.92305260149499</v>
      </c>
      <c r="AY104" s="173">
        <f t="shared" si="215"/>
        <v>9.9219261930611395</v>
      </c>
      <c r="AZ104" s="173">
        <f t="shared" si="288"/>
        <v>15.614211352412582</v>
      </c>
      <c r="BA104" s="460">
        <f t="shared" si="216"/>
        <v>348.49196298053948</v>
      </c>
      <c r="BB104" s="5">
        <f t="shared" si="217"/>
        <v>17.316385010643437</v>
      </c>
      <c r="BC104" s="5"/>
      <c r="BD104" s="173">
        <f t="shared" si="289"/>
        <v>6.7413392943471351</v>
      </c>
      <c r="BE104" s="173">
        <f t="shared" si="218"/>
        <v>12.922181669774956</v>
      </c>
      <c r="BF104" s="173"/>
      <c r="BG104" s="528">
        <f t="shared" si="219"/>
        <v>0.90891310963017458</v>
      </c>
      <c r="BH104" s="528">
        <f t="shared" si="220"/>
        <v>1.4148787389989892</v>
      </c>
      <c r="BI104" s="528">
        <f t="shared" si="221"/>
        <v>5.8112594730828637E-2</v>
      </c>
      <c r="BJ104" s="528">
        <f t="shared" si="222"/>
        <v>2.2053173881639423E-2</v>
      </c>
      <c r="BK104">
        <f t="shared" si="223"/>
        <v>2.5817362955861144E-2</v>
      </c>
      <c r="BL104" s="460">
        <f t="shared" si="290"/>
        <v>83.929957686689789</v>
      </c>
      <c r="BM104" s="528">
        <f t="shared" si="224"/>
        <v>3.3049897223446423</v>
      </c>
      <c r="BN104" s="460">
        <f t="shared" si="291"/>
        <v>3304.9897223446424</v>
      </c>
      <c r="BO104" s="528">
        <f t="shared" si="225"/>
        <v>6.1503749999999995</v>
      </c>
      <c r="BP104" s="528"/>
      <c r="BR104" s="460">
        <f t="shared" si="292"/>
        <v>6150.3749999999991</v>
      </c>
      <c r="BS104" s="528">
        <f t="shared" si="226"/>
        <v>1.3633696644452618</v>
      </c>
      <c r="BT104" s="528">
        <f t="shared" si="227"/>
        <v>5.0094833732000357</v>
      </c>
      <c r="BU104" s="528">
        <f t="shared" si="228"/>
        <v>2.2275</v>
      </c>
      <c r="BV104" s="528">
        <f>(BU104+(BS104+BT104)*(1+Ltc*(Ta-25)))/(1-(BS104+BT104)*Ltc*ThetaCa)</f>
        <v>20.665894397747575</v>
      </c>
      <c r="BW104" s="528">
        <f t="shared" si="230"/>
        <v>2.5820508766915832E-2</v>
      </c>
      <c r="BX104" s="460">
        <f t="shared" si="293"/>
        <v>20691.714906514491</v>
      </c>
      <c r="BY104" s="173">
        <f t="shared" si="231"/>
        <v>30.231009586545827</v>
      </c>
      <c r="BZ104" s="5">
        <f t="shared" si="294"/>
        <v>148.5</v>
      </c>
      <c r="CA104" s="173">
        <f t="shared" si="295"/>
        <v>0.83085750113268808</v>
      </c>
      <c r="CB104" s="5">
        <f t="shared" si="296"/>
        <v>83.085750113268801</v>
      </c>
      <c r="CE104" s="562">
        <f t="shared" si="232"/>
        <v>-50</v>
      </c>
      <c r="CF104">
        <f t="shared" si="233"/>
        <v>-50</v>
      </c>
      <c r="CG104" s="173">
        <f t="shared" si="234"/>
        <v>0.78811325202851856</v>
      </c>
      <c r="CI104" s="170">
        <v>99</v>
      </c>
      <c r="CJ104" s="217">
        <f t="shared" si="297"/>
        <v>9.9</v>
      </c>
      <c r="CK104" s="217"/>
      <c r="CL104" s="217">
        <f t="shared" si="235"/>
        <v>148.5</v>
      </c>
      <c r="CM104" s="541">
        <f t="shared" si="236"/>
        <v>58</v>
      </c>
      <c r="CN104" s="172">
        <f t="shared" si="237"/>
        <v>15.4</v>
      </c>
      <c r="CO104" s="443">
        <f t="shared" si="238"/>
        <v>73.400000000000006</v>
      </c>
      <c r="CP104" s="443"/>
      <c r="CQ104" s="217">
        <f t="shared" si="239"/>
        <v>0.2098092643051771</v>
      </c>
      <c r="CR104" s="172">
        <f t="shared" si="240"/>
        <v>305.10568119891008</v>
      </c>
      <c r="CS104" s="172">
        <f t="shared" si="298"/>
        <v>148.5</v>
      </c>
      <c r="CT104" s="217">
        <f t="shared" si="241"/>
        <v>20.340378746594006</v>
      </c>
      <c r="CU104" s="217">
        <f t="shared" si="242"/>
        <v>15</v>
      </c>
      <c r="CV104" s="217">
        <f t="shared" si="243"/>
        <v>20.281562216167121</v>
      </c>
      <c r="CW104" s="172">
        <f t="shared" si="244"/>
        <v>88.724955151037193</v>
      </c>
      <c r="CX104" s="532">
        <f t="shared" si="245"/>
        <v>15</v>
      </c>
      <c r="CY104" s="217">
        <f t="shared" si="246"/>
        <v>24.406403940886701</v>
      </c>
      <c r="CZ104" s="217">
        <f t="shared" si="247"/>
        <v>5.0496008153558698</v>
      </c>
      <c r="DA104" s="217">
        <f t="shared" si="248"/>
        <v>19.017977096794834</v>
      </c>
      <c r="DB104" s="197">
        <f t="shared" si="249"/>
        <v>101.4078110808356</v>
      </c>
      <c r="DC104" s="443">
        <f t="shared" si="299"/>
        <v>41.549673326086641</v>
      </c>
      <c r="DE104" s="217">
        <f t="shared" si="250"/>
        <v>10</v>
      </c>
      <c r="DF104" s="173">
        <f t="shared" si="251"/>
        <v>7.7922077922077913</v>
      </c>
      <c r="DG104" s="173">
        <f t="shared" si="252"/>
        <v>3.9509536784741139</v>
      </c>
      <c r="DH104" s="173"/>
      <c r="DI104" s="173">
        <f t="shared" si="253"/>
        <v>7.7922077922077913</v>
      </c>
      <c r="DJ104" s="545">
        <f t="shared" si="300"/>
        <v>254.10000000000002</v>
      </c>
      <c r="DK104" s="528">
        <f t="shared" si="254"/>
        <v>3.9509536784741139</v>
      </c>
      <c r="DM104" s="173">
        <f t="shared" si="255"/>
        <v>8.5205633616563183</v>
      </c>
      <c r="DN104" s="173">
        <f t="shared" si="256"/>
        <v>24.406403940886701</v>
      </c>
      <c r="DO104" s="173">
        <f t="shared" si="257"/>
        <v>11.87141032658274</v>
      </c>
      <c r="DQ104" s="545">
        <f t="shared" si="258"/>
        <v>9900</v>
      </c>
      <c r="DR104" s="460">
        <f t="shared" si="259"/>
        <v>41.549673326086641</v>
      </c>
      <c r="DT104">
        <f t="shared" si="260"/>
        <v>9900</v>
      </c>
      <c r="DU104">
        <f t="shared" si="261"/>
        <v>41.549673326086641</v>
      </c>
      <c r="DW104" s="5">
        <f t="shared" si="301"/>
        <v>24.067577912150703</v>
      </c>
      <c r="DX104" s="5">
        <f t="shared" si="262"/>
        <v>5.0496008153558698</v>
      </c>
      <c r="DY104" s="5">
        <f t="shared" si="302"/>
        <v>19.017977096794834</v>
      </c>
      <c r="DZ104" s="5">
        <f t="shared" si="263"/>
        <v>19.017977096794834</v>
      </c>
      <c r="EA104" s="173">
        <f t="shared" si="303"/>
        <v>0.20980926430517713</v>
      </c>
      <c r="EB104" s="173">
        <f t="shared" si="264"/>
        <v>148.5</v>
      </c>
      <c r="EC104" s="173">
        <f t="shared" si="265"/>
        <v>9.6428571428571441</v>
      </c>
      <c r="ED104" s="173">
        <f t="shared" si="304"/>
        <v>15.399999999999999</v>
      </c>
      <c r="EE104" s="460">
        <f t="shared" si="266"/>
        <v>333.27365381348739</v>
      </c>
      <c r="EF104" s="5">
        <f t="shared" si="267"/>
        <v>16.790544583079861</v>
      </c>
      <c r="EG104" s="5"/>
      <c r="EH104" s="173">
        <f t="shared" si="305"/>
        <v>6.4543943733464193</v>
      </c>
      <c r="EI104" s="173">
        <f t="shared" si="268"/>
        <v>12.525905597942105</v>
      </c>
      <c r="EJ104" s="173"/>
      <c r="EK104" s="528">
        <f t="shared" si="269"/>
        <v>0.83318413453371831</v>
      </c>
      <c r="EL104" s="528">
        <f t="shared" si="270"/>
        <v>1.4886666666666666</v>
      </c>
      <c r="EM104" s="528">
        <f t="shared" si="271"/>
        <v>5.1937091657608299E-3</v>
      </c>
      <c r="EN104" s="528">
        <f t="shared" si="272"/>
        <v>2.2385135802469137E-2</v>
      </c>
      <c r="EO104">
        <f t="shared" si="273"/>
        <v>2.6099999999999998E-2</v>
      </c>
      <c r="EP104" s="460">
        <f t="shared" si="306"/>
        <v>31.293709165760824</v>
      </c>
      <c r="EQ104" s="528">
        <f t="shared" si="274"/>
        <v>3.2423621221192489</v>
      </c>
      <c r="ER104" s="460">
        <f t="shared" si="307"/>
        <v>3242.3621221192489</v>
      </c>
      <c r="ES104" s="528">
        <f t="shared" si="308"/>
        <v>6.1503749999999995</v>
      </c>
      <c r="ET104" s="528"/>
      <c r="EV104" s="460">
        <f t="shared" si="309"/>
        <v>6150.3749999999991</v>
      </c>
      <c r="EW104" s="528">
        <f t="shared" si="275"/>
        <v>1.2497762018005774</v>
      </c>
      <c r="EX104" s="528">
        <f t="shared" si="276"/>
        <v>4.7069493314567206</v>
      </c>
      <c r="EY104" s="528">
        <f t="shared" si="277"/>
        <v>1.6373763960187158</v>
      </c>
      <c r="EZ104" s="528">
        <f t="shared" si="278"/>
        <v>17.238532677947269</v>
      </c>
      <c r="FA104" s="528">
        <f t="shared" si="279"/>
        <v>2.4749999999999998E-2</v>
      </c>
      <c r="FB104" s="460">
        <f t="shared" si="310"/>
        <v>17263.282677947271</v>
      </c>
      <c r="FC104" s="173">
        <f t="shared" si="311"/>
        <v>26.65601980006652</v>
      </c>
      <c r="FD104" s="5">
        <f t="shared" si="312"/>
        <v>148.5</v>
      </c>
      <c r="FE104" s="173">
        <f t="shared" si="313"/>
        <v>0.84781556562832783</v>
      </c>
      <c r="FF104" s="5">
        <f t="shared" si="314"/>
        <v>84.781556562832776</v>
      </c>
      <c r="FI104" s="562">
        <f t="shared" si="280"/>
        <v>-50</v>
      </c>
      <c r="FJ104">
        <f t="shared" si="281"/>
        <v>-50</v>
      </c>
      <c r="FL104">
        <f t="shared" si="282"/>
        <v>0.7901907356948229</v>
      </c>
    </row>
    <row r="105" spans="5:168" ht="13">
      <c r="E105" s="170">
        <v>100</v>
      </c>
      <c r="F105" s="217">
        <f>IF(PLOT_TYPE=1, E105/100*Iout_max, min_I*EXP(N105*rr/100))</f>
        <v>10</v>
      </c>
      <c r="G105" s="217"/>
      <c r="H105" s="217">
        <f>F105*Vout</f>
        <v>150</v>
      </c>
      <c r="I105" s="541">
        <f t="shared" si="184"/>
        <v>57.365590137011644</v>
      </c>
      <c r="J105" s="172">
        <f t="shared" si="185"/>
        <v>15.780645917793013</v>
      </c>
      <c r="K105" s="172">
        <f t="shared" si="186"/>
        <v>73.780645917793009</v>
      </c>
      <c r="L105" s="443"/>
      <c r="M105" s="217">
        <f t="shared" si="187"/>
        <v>0.21573042930762365</v>
      </c>
      <c r="N105" s="172">
        <f>M105*I105*(Isw_max+VIN_nom/Lmag*ILIM_delay)*0.5*Efficiency</f>
        <v>310.28480868917893</v>
      </c>
      <c r="O105" s="172">
        <f t="shared" si="284"/>
        <v>150</v>
      </c>
      <c r="P105" s="217">
        <f>N105/Vout</f>
        <v>20.685653912611929</v>
      </c>
      <c r="Q105" s="217">
        <f t="shared" si="190"/>
        <v>15</v>
      </c>
      <c r="R105" s="217">
        <f>Isw_max/2*I105*Nps*(Q105+Vfwd1+F105/FL105*Rdcr_sec)/Q105/(I105+Nps*(Q105+Vfwd1+F105/FL105*Rdcr_sec))</f>
        <v>20.625838979571171</v>
      </c>
      <c r="S105" s="172">
        <f t="shared" si="192"/>
        <v>86.313007971945169</v>
      </c>
      <c r="T105" s="532">
        <f>MIN(Vout, S105)</f>
        <v>15</v>
      </c>
      <c r="U105" s="217">
        <f t="shared" si="194"/>
        <v>25.501435663688198</v>
      </c>
      <c r="V105" s="217">
        <f>L*U105/I105*1000000</f>
        <v>5.3345084960055082</v>
      </c>
      <c r="W105" s="217">
        <f t="shared" si="196"/>
        <v>19.391932976534086</v>
      </c>
      <c r="X105" s="197">
        <f t="shared" si="197"/>
        <v>103.13427304939647</v>
      </c>
      <c r="Y105" s="443">
        <f>MIN(1/(V105+W105+0.2)*1000, 350)</f>
        <v>40.11804096070663</v>
      </c>
      <c r="AA105" s="217">
        <f t="shared" si="199"/>
        <v>10</v>
      </c>
      <c r="AB105" s="173">
        <f>L*AA105/J105*1000000</f>
        <v>7.6042514752008632</v>
      </c>
      <c r="AC105" s="173">
        <f>0.5*AB105*AA105*Nps*X105/1000</f>
        <v>3.9212947398982081</v>
      </c>
      <c r="AD105" s="173"/>
      <c r="AE105" s="173">
        <f t="shared" si="202"/>
        <v>7.6042514752008632</v>
      </c>
      <c r="AF105" s="545">
        <f>MAX(12, F105/(0.5*AE105/1000000*Isw_min*Nps)/1000)</f>
        <v>263.01076529655018</v>
      </c>
      <c r="AG105" s="528">
        <f t="shared" si="204"/>
        <v>3.921294739898209</v>
      </c>
      <c r="AI105" s="173">
        <f t="shared" si="205"/>
        <v>8.6686753856556127</v>
      </c>
      <c r="AJ105" s="173">
        <f>MAX(IF(F105&gt;AC105,U105,AI105),Isw_min)</f>
        <v>25.501435663688198</v>
      </c>
      <c r="AK105" s="173">
        <f>IF(F105&gt;AG105, (AJ105-Isw_min)/1.08*0.8+1.2, AF105*0.2/350+1)</f>
        <v>12.68254493606533</v>
      </c>
      <c r="AM105" s="545">
        <f t="shared" si="208"/>
        <v>10000</v>
      </c>
      <c r="AN105" s="460">
        <f t="shared" si="209"/>
        <v>40.11804096070663</v>
      </c>
      <c r="AP105">
        <f t="shared" si="210"/>
        <v>10000</v>
      </c>
      <c r="AQ105" s="3">
        <f t="shared" si="211"/>
        <v>40.11804096070663</v>
      </c>
      <c r="AS105" s="5">
        <f t="shared" si="285"/>
        <v>24.926441472539594</v>
      </c>
      <c r="AT105" s="5">
        <f t="shared" si="212"/>
        <v>5.3345084960055082</v>
      </c>
      <c r="AU105" s="5">
        <f t="shared" si="286"/>
        <v>19.591932976534085</v>
      </c>
      <c r="AV105" s="5">
        <f t="shared" si="213"/>
        <v>19.391932976534086</v>
      </c>
      <c r="AW105" s="173">
        <f t="shared" si="287"/>
        <v>0.21401003034798652</v>
      </c>
      <c r="AX105" s="173">
        <f t="shared" si="214"/>
        <v>156.53816168481055</v>
      </c>
      <c r="AY105" s="173">
        <f t="shared" si="215"/>
        <v>10.021936321692531</v>
      </c>
      <c r="AZ105" s="173">
        <f t="shared" si="288"/>
        <v>15.619552615394584</v>
      </c>
      <c r="BA105" s="460">
        <f t="shared" si="216"/>
        <v>355.63389973370056</v>
      </c>
      <c r="BB105" s="5">
        <f t="shared" si="217"/>
        <v>17.665221279751346</v>
      </c>
      <c r="BC105" s="5"/>
      <c r="BD105" s="173">
        <f t="shared" si="289"/>
        <v>6.8111597701317672</v>
      </c>
      <c r="BE105" s="173">
        <f t="shared" si="218"/>
        <v>13.053065140245081</v>
      </c>
      <c r="BF105" s="173"/>
      <c r="BG105" s="528">
        <f t="shared" si="219"/>
        <v>0.92783794828522859</v>
      </c>
      <c r="BH105" s="528">
        <f t="shared" si="220"/>
        <v>1.4152985875240705</v>
      </c>
      <c r="BI105" s="528">
        <f t="shared" si="221"/>
        <v>5.7534877371293529E-2</v>
      </c>
      <c r="BJ105" s="528">
        <f t="shared" si="222"/>
        <v>2.183859143329268E-2</v>
      </c>
      <c r="BK105">
        <f t="shared" si="223"/>
        <v>2.5814515561655239E-2</v>
      </c>
      <c r="BL105" s="460">
        <f t="shared" si="290"/>
        <v>83.349392932948774</v>
      </c>
      <c r="BM105" s="528">
        <f t="shared" si="224"/>
        <v>3.3551482120660272</v>
      </c>
      <c r="BN105" s="460">
        <f t="shared" si="291"/>
        <v>3355.1482120660271</v>
      </c>
      <c r="BO105" s="528">
        <f t="shared" si="225"/>
        <v>6.2124999999999995</v>
      </c>
      <c r="BP105" s="528"/>
      <c r="BR105" s="460">
        <f t="shared" si="292"/>
        <v>6212.4999999999991</v>
      </c>
      <c r="BS105" s="528">
        <f t="shared" si="226"/>
        <v>1.3917569224278428</v>
      </c>
      <c r="BT105" s="528">
        <f t="shared" si="227"/>
        <v>5.1114752866644402</v>
      </c>
      <c r="BU105" s="528">
        <f t="shared" si="228"/>
        <v>2.25</v>
      </c>
      <c r="BV105" s="528">
        <f>(BU105+(BS105+BT105)*(1+Ltc*(Ta-25)))/(1-(BS105+BT105)*Ltc*ThetaCa)</f>
        <v>21.499098136900727</v>
      </c>
      <c r="BW105" s="528">
        <f t="shared" si="230"/>
        <v>2.6089693614135087E-2</v>
      </c>
      <c r="BX105" s="460">
        <f t="shared" si="293"/>
        <v>21525.187830514864</v>
      </c>
      <c r="BY105" s="173">
        <f>SUM(BM105,BO105:BQ105,BV105, BW105)+BK105+BI105</f>
        <v>31.176185435513837</v>
      </c>
      <c r="BZ105" s="5">
        <f t="shared" si="294"/>
        <v>150</v>
      </c>
      <c r="CA105" s="173">
        <f>BZ105/(BZ105+BY105)</f>
        <v>0.82792338098645746</v>
      </c>
      <c r="CB105" s="5">
        <f>CA105*100</f>
        <v>82.792338098645743</v>
      </c>
      <c r="CE105" s="562">
        <f t="shared" si="232"/>
        <v>-50</v>
      </c>
      <c r="CF105">
        <f t="shared" si="233"/>
        <v>-50</v>
      </c>
      <c r="CG105" s="173">
        <f t="shared" si="234"/>
        <v>0.78813402686518164</v>
      </c>
      <c r="CI105" s="170">
        <v>100</v>
      </c>
      <c r="CJ105" s="217">
        <f t="shared" si="297"/>
        <v>10</v>
      </c>
      <c r="CK105" s="217"/>
      <c r="CL105" s="217">
        <f t="shared" si="235"/>
        <v>150</v>
      </c>
      <c r="CM105" s="541">
        <f t="shared" si="236"/>
        <v>58</v>
      </c>
      <c r="CN105" s="172">
        <f t="shared" si="237"/>
        <v>15.4</v>
      </c>
      <c r="CO105" s="443">
        <f t="shared" si="238"/>
        <v>73.400000000000006</v>
      </c>
      <c r="CP105" s="443"/>
      <c r="CQ105" s="217">
        <f t="shared" si="239"/>
        <v>0.2098092643051771</v>
      </c>
      <c r="CR105" s="172">
        <f t="shared" si="240"/>
        <v>305.10568119891008</v>
      </c>
      <c r="CS105" s="172">
        <f t="shared" si="298"/>
        <v>150</v>
      </c>
      <c r="CT105" s="217">
        <f t="shared" si="241"/>
        <v>20.340378746594006</v>
      </c>
      <c r="CU105" s="217">
        <f t="shared" si="242"/>
        <v>15</v>
      </c>
      <c r="CV105" s="217">
        <f t="shared" si="243"/>
        <v>20.281562216167121</v>
      </c>
      <c r="CW105" s="172">
        <f t="shared" si="244"/>
        <v>87.264644886544914</v>
      </c>
      <c r="CX105" s="532">
        <f t="shared" si="245"/>
        <v>15</v>
      </c>
      <c r="CY105" s="217">
        <f t="shared" si="246"/>
        <v>24.652933273622928</v>
      </c>
      <c r="CZ105" s="217">
        <f t="shared" si="247"/>
        <v>5.1006068841978474</v>
      </c>
      <c r="DA105" s="217">
        <f t="shared" si="248"/>
        <v>19.210077875550333</v>
      </c>
      <c r="DB105" s="197">
        <f t="shared" si="249"/>
        <v>101.4078110808356</v>
      </c>
      <c r="DC105" s="443">
        <f t="shared" si="299"/>
        <v>41.134176592825774</v>
      </c>
      <c r="DE105" s="217">
        <f t="shared" si="250"/>
        <v>10</v>
      </c>
      <c r="DF105" s="173">
        <f t="shared" si="251"/>
        <v>7.7922077922077913</v>
      </c>
      <c r="DG105" s="173">
        <f t="shared" si="252"/>
        <v>3.9509536784741139</v>
      </c>
      <c r="DH105" s="173"/>
      <c r="DI105" s="173">
        <f t="shared" si="253"/>
        <v>7.7922077922077913</v>
      </c>
      <c r="DJ105" s="545">
        <f t="shared" si="300"/>
        <v>256.66666666666669</v>
      </c>
      <c r="DK105" s="528">
        <f t="shared" si="254"/>
        <v>3.9509536784741139</v>
      </c>
      <c r="DM105" s="173">
        <f t="shared" si="255"/>
        <v>8.5634883857767541</v>
      </c>
      <c r="DN105" s="173">
        <f t="shared" si="256"/>
        <v>24.652933273622928</v>
      </c>
      <c r="DO105" s="173">
        <f t="shared" si="257"/>
        <v>12.054024647128093</v>
      </c>
      <c r="DQ105" s="545">
        <f t="shared" si="258"/>
        <v>10000</v>
      </c>
      <c r="DR105" s="460">
        <f t="shared" si="259"/>
        <v>41.134176592825774</v>
      </c>
      <c r="DT105">
        <f t="shared" si="260"/>
        <v>10000</v>
      </c>
      <c r="DU105" s="3">
        <f t="shared" si="261"/>
        <v>41.134176592825774</v>
      </c>
      <c r="DW105" s="5">
        <f t="shared" si="301"/>
        <v>24.310684759748185</v>
      </c>
      <c r="DX105" s="5">
        <f t="shared" si="262"/>
        <v>5.1006068841978474</v>
      </c>
      <c r="DY105" s="5">
        <f t="shared" si="302"/>
        <v>19.210077875550336</v>
      </c>
      <c r="DZ105" s="5">
        <f t="shared" si="263"/>
        <v>19.210077875550333</v>
      </c>
      <c r="EA105" s="173">
        <f t="shared" si="303"/>
        <v>0.20980926430517707</v>
      </c>
      <c r="EB105" s="173">
        <f t="shared" si="264"/>
        <v>149.99999999999997</v>
      </c>
      <c r="EC105" s="173">
        <f t="shared" si="265"/>
        <v>9.7402597402597397</v>
      </c>
      <c r="ED105" s="173">
        <f t="shared" si="304"/>
        <v>15.399999999999999</v>
      </c>
      <c r="EE105" s="460">
        <f t="shared" si="266"/>
        <v>340.04045894652319</v>
      </c>
      <c r="EF105" s="5">
        <f t="shared" si="267"/>
        <v>17.13146065001516</v>
      </c>
      <c r="EG105" s="5"/>
      <c r="EH105" s="173">
        <f t="shared" si="305"/>
        <v>6.5195902761074942</v>
      </c>
      <c r="EI105" s="173">
        <f t="shared" si="268"/>
        <v>12.652429896911215</v>
      </c>
      <c r="EJ105" s="173"/>
      <c r="EK105" s="528">
        <f t="shared" si="269"/>
        <v>0.85010114736630782</v>
      </c>
      <c r="EL105" s="528">
        <f t="shared" si="270"/>
        <v>1.4886666666666666</v>
      </c>
      <c r="EM105" s="528">
        <f t="shared" si="271"/>
        <v>5.141772074103222E-3</v>
      </c>
      <c r="EN105" s="528">
        <f t="shared" si="272"/>
        <v>2.2161284444444446E-2</v>
      </c>
      <c r="EO105">
        <f t="shared" si="273"/>
        <v>2.6099999999999998E-2</v>
      </c>
      <c r="EP105" s="460">
        <f t="shared" si="306"/>
        <v>31.241772074103221</v>
      </c>
      <c r="EQ105" s="528">
        <f t="shared" si="274"/>
        <v>3.2852703297765999</v>
      </c>
      <c r="ER105" s="460">
        <f t="shared" si="307"/>
        <v>3285.2703297765997</v>
      </c>
      <c r="ES105" s="528">
        <f t="shared" si="308"/>
        <v>6.2124999999999995</v>
      </c>
      <c r="ET105" s="528"/>
      <c r="EV105" s="460">
        <f t="shared" si="309"/>
        <v>6212.4999999999991</v>
      </c>
      <c r="EW105" s="528">
        <f t="shared" si="275"/>
        <v>1.2751517210494616</v>
      </c>
      <c r="EX105" s="528">
        <f t="shared" si="276"/>
        <v>4.8025194688875823</v>
      </c>
      <c r="EY105" s="528">
        <f t="shared" si="277"/>
        <v>1.6373763960187142</v>
      </c>
      <c r="EZ105" s="528">
        <f t="shared" si="278"/>
        <v>17.855066563173065</v>
      </c>
      <c r="FA105" s="528">
        <f t="shared" si="279"/>
        <v>2.4999999999999998E-2</v>
      </c>
      <c r="FB105" s="460">
        <f t="shared" si="310"/>
        <v>17880.066563173063</v>
      </c>
      <c r="FC105" s="173">
        <f t="shared" si="311"/>
        <v>27.377836892949663</v>
      </c>
      <c r="FD105" s="5">
        <f t="shared" si="312"/>
        <v>150</v>
      </c>
      <c r="FE105" s="173">
        <f t="shared" si="313"/>
        <v>0.84565243678401258</v>
      </c>
      <c r="FF105" s="5">
        <f t="shared" si="314"/>
        <v>84.565243678401259</v>
      </c>
      <c r="FI105" s="562">
        <f t="shared" si="280"/>
        <v>-50</v>
      </c>
      <c r="FJ105">
        <f t="shared" si="281"/>
        <v>-50</v>
      </c>
      <c r="FL105">
        <f t="shared" si="282"/>
        <v>0.7901907356948229</v>
      </c>
    </row>
    <row r="106" spans="5:168" ht="13">
      <c r="E106" s="170"/>
      <c r="F106" s="217"/>
      <c r="G106" s="217"/>
      <c r="H106" s="217"/>
      <c r="I106" s="541"/>
      <c r="J106" s="443"/>
      <c r="K106" s="443"/>
      <c r="L106" s="443"/>
      <c r="M106" s="217"/>
      <c r="N106" s="172"/>
      <c r="O106" s="172"/>
      <c r="P106" s="217"/>
      <c r="Q106" s="217"/>
      <c r="R106" s="217"/>
      <c r="S106" s="172"/>
      <c r="T106" s="172"/>
      <c r="U106" s="217"/>
      <c r="V106" s="217"/>
      <c r="W106" s="217"/>
      <c r="X106" s="197"/>
      <c r="Y106" s="443"/>
      <c r="AA106" s="217"/>
      <c r="AB106" s="173"/>
      <c r="AC106" s="173"/>
      <c r="AD106" s="173"/>
      <c r="AE106" s="173"/>
      <c r="AF106" s="545"/>
      <c r="AI106" s="173"/>
      <c r="AJ106" s="173"/>
      <c r="AK106" s="173"/>
      <c r="AM106" s="545"/>
      <c r="AN106" s="460"/>
      <c r="AQ106" s="3"/>
      <c r="AS106" s="5"/>
      <c r="AT106" s="5"/>
      <c r="AU106" s="5"/>
      <c r="AV106" s="5"/>
      <c r="AW106" s="173"/>
      <c r="AX106" s="173"/>
      <c r="AY106" s="173"/>
      <c r="AZ106" s="173"/>
      <c r="BA106" s="460"/>
      <c r="BB106" s="5"/>
      <c r="BC106" s="5"/>
      <c r="BD106" s="173"/>
      <c r="BE106" s="173"/>
      <c r="BF106" s="173"/>
      <c r="BG106" s="528"/>
      <c r="BH106" s="528"/>
      <c r="BI106" s="528"/>
      <c r="BJ106" s="528"/>
      <c r="BN106" s="460"/>
      <c r="BO106" s="528"/>
      <c r="BP106" s="528"/>
      <c r="BR106" s="460"/>
      <c r="BS106" s="528"/>
      <c r="BT106" s="528"/>
      <c r="BU106" s="528"/>
      <c r="BV106" s="528"/>
      <c r="BW106" s="528"/>
      <c r="BX106" s="460"/>
      <c r="BY106" s="173"/>
      <c r="BZ106" s="5"/>
      <c r="CA106" s="173"/>
      <c r="CB106" s="5"/>
      <c r="CE106" s="562"/>
      <c r="CI106" s="170"/>
      <c r="CJ106" s="217"/>
      <c r="CK106" s="217"/>
      <c r="CL106" s="217"/>
      <c r="CM106" s="541"/>
      <c r="CN106" s="443"/>
      <c r="CO106" s="443"/>
      <c r="CP106" s="443"/>
      <c r="CQ106" s="217"/>
      <c r="CR106" s="172"/>
      <c r="CS106" s="172"/>
      <c r="CT106" s="217"/>
      <c r="CU106" s="217"/>
      <c r="CV106" s="217"/>
      <c r="CW106" s="172"/>
      <c r="CX106" s="172"/>
      <c r="CY106" s="217"/>
      <c r="CZ106" s="217"/>
      <c r="DA106" s="217"/>
      <c r="DB106" s="197"/>
      <c r="DC106" s="443"/>
      <c r="DE106" s="217"/>
      <c r="DF106" s="173"/>
      <c r="DG106" s="173"/>
      <c r="DH106" s="173"/>
      <c r="DI106" s="173"/>
      <c r="DJ106" s="545"/>
      <c r="DM106" s="173"/>
      <c r="DN106" s="173"/>
      <c r="DO106" s="173"/>
      <c r="DQ106" s="545"/>
      <c r="DR106" s="460"/>
      <c r="DU106" s="3"/>
      <c r="DW106" s="5"/>
      <c r="DX106" s="5"/>
      <c r="DY106" s="5"/>
      <c r="DZ106" s="5"/>
      <c r="EA106" s="173"/>
      <c r="EB106" s="173"/>
      <c r="EC106" s="173"/>
      <c r="ED106" s="173"/>
      <c r="EE106" s="460"/>
      <c r="EF106" s="5"/>
      <c r="EG106" s="5"/>
      <c r="EH106" s="173"/>
      <c r="EI106" s="173"/>
      <c r="EJ106" s="173"/>
      <c r="EK106" s="528"/>
      <c r="EL106" s="528"/>
      <c r="EM106" s="528"/>
      <c r="EN106" s="528"/>
      <c r="ER106" s="460"/>
      <c r="ES106" s="528"/>
      <c r="ET106" s="528"/>
      <c r="EV106" s="460"/>
      <c r="EW106" s="528"/>
      <c r="EX106" s="528"/>
      <c r="EY106" s="528"/>
      <c r="EZ106" s="528"/>
      <c r="FA106" s="528"/>
      <c r="FB106" s="460"/>
      <c r="FC106" s="173"/>
      <c r="FD106" s="5"/>
      <c r="FE106" s="173"/>
      <c r="FF106" s="5"/>
      <c r="FI106" s="562"/>
      <c r="FL106" t="e">
        <f>MIN(SQRT(2*L*DJ106*1000*CJ106*CN106)/CM106, 1-EA106)</f>
        <v>#DIV/0!</v>
      </c>
    </row>
    <row r="107" spans="5:168">
      <c r="H107" s="217"/>
      <c r="I107" s="541"/>
      <c r="J107" s="443"/>
      <c r="K107" s="443"/>
      <c r="L107" s="443"/>
      <c r="M107" s="217"/>
      <c r="N107" s="172"/>
      <c r="O107" s="172"/>
      <c r="P107" s="217"/>
      <c r="Q107" s="736"/>
      <c r="R107" s="217"/>
      <c r="S107" s="172"/>
      <c r="T107" s="172"/>
      <c r="U107" s="217"/>
      <c r="V107" s="217"/>
      <c r="W107" s="217"/>
      <c r="X107" s="197"/>
      <c r="Y107" s="443"/>
      <c r="AA107" s="217"/>
      <c r="AB107" s="173"/>
      <c r="AC107" s="173"/>
      <c r="AD107" s="173"/>
      <c r="AE107" s="173"/>
      <c r="AF107" s="545"/>
      <c r="AI107" s="173"/>
      <c r="AJ107" s="173"/>
      <c r="AK107" s="173"/>
      <c r="AM107" s="545"/>
      <c r="AN107" s="460"/>
      <c r="AS107" s="5"/>
      <c r="AT107" s="5"/>
      <c r="AU107" s="5"/>
      <c r="AV107" s="5"/>
      <c r="AW107" s="173"/>
      <c r="AX107" s="173"/>
      <c r="AY107" s="173"/>
      <c r="AZ107" s="173"/>
      <c r="BA107" s="460"/>
      <c r="BB107" s="5"/>
      <c r="BD107" s="173"/>
      <c r="BE107" s="173"/>
      <c r="BG107" s="528"/>
      <c r="BH107" s="528"/>
      <c r="BI107" s="528"/>
      <c r="BJ107" s="528"/>
      <c r="BN107" s="460"/>
      <c r="BO107" s="528"/>
      <c r="BR107" s="460"/>
      <c r="BS107" s="528"/>
      <c r="BT107" s="528"/>
      <c r="BU107" s="528"/>
      <c r="BV107" s="528"/>
      <c r="BW107" s="528"/>
      <c r="BX107" s="460"/>
      <c r="BY107" s="173"/>
      <c r="BZ107" s="5"/>
      <c r="CA107" s="173"/>
      <c r="CB107" s="5"/>
      <c r="CE107" s="562"/>
      <c r="CL107" s="217"/>
      <c r="CM107" s="541"/>
      <c r="CN107" s="443"/>
      <c r="CO107" s="443"/>
      <c r="CP107" s="443"/>
      <c r="CQ107" s="217"/>
      <c r="CR107" s="172"/>
      <c r="CS107" s="172"/>
      <c r="CT107" s="217"/>
      <c r="CU107" s="736"/>
      <c r="CV107" s="217"/>
      <c r="CW107" s="172"/>
      <c r="CX107" s="172"/>
      <c r="CY107" s="217"/>
      <c r="CZ107" s="217"/>
      <c r="DA107" s="217"/>
      <c r="DB107" s="197"/>
      <c r="DC107" s="443"/>
      <c r="DE107" s="217"/>
      <c r="DF107" s="173"/>
      <c r="DG107" s="173"/>
      <c r="DH107" s="173"/>
      <c r="DI107" s="173"/>
      <c r="DJ107" s="545"/>
      <c r="DM107" s="173"/>
      <c r="DN107" s="173"/>
      <c r="DO107" s="173"/>
      <c r="DQ107" s="545"/>
      <c r="DR107" s="460"/>
      <c r="DW107" s="5"/>
      <c r="DX107" s="5"/>
      <c r="DY107" s="5"/>
      <c r="DZ107" s="5"/>
      <c r="EA107" s="173"/>
      <c r="EB107" s="173"/>
      <c r="EC107" s="173"/>
      <c r="ED107" s="173"/>
      <c r="EE107" s="460"/>
      <c r="EF107" s="5"/>
      <c r="EH107" s="173"/>
      <c r="EI107" s="173"/>
      <c r="EK107" s="528"/>
      <c r="EL107" s="528"/>
      <c r="EM107" s="528"/>
      <c r="EN107" s="528"/>
      <c r="ER107" s="460"/>
      <c r="ES107" s="528"/>
      <c r="EV107" s="460"/>
      <c r="EW107" s="528"/>
      <c r="EX107" s="528"/>
      <c r="EY107" s="528"/>
      <c r="EZ107" s="528"/>
      <c r="FA107" s="528"/>
      <c r="FB107" s="460"/>
      <c r="FC107" s="173"/>
      <c r="FD107" s="5"/>
      <c r="FE107" s="173"/>
      <c r="FF107" s="5"/>
      <c r="FI107" s="562"/>
      <c r="FL107" t="e">
        <f>MIN(SQRT(2*L*DJ107*1000*CJ107*CN107)/CM107, 1-EA107)</f>
        <v>#DIV/0!</v>
      </c>
    </row>
    <row r="108" spans="5:168" ht="13">
      <c r="E108" s="445" t="s">
        <v>434</v>
      </c>
      <c r="H108" s="217"/>
      <c r="I108" s="541"/>
      <c r="J108" s="443"/>
      <c r="K108" s="443"/>
      <c r="L108" s="443"/>
      <c r="M108" s="217"/>
      <c r="N108" s="172">
        <f>Efficiency</f>
        <v>1</v>
      </c>
      <c r="O108" s="172"/>
      <c r="P108" s="217"/>
      <c r="Q108" s="217"/>
      <c r="R108" s="217"/>
      <c r="S108" s="172"/>
      <c r="T108" s="172"/>
      <c r="U108" s="217"/>
      <c r="V108" s="217"/>
      <c r="W108" s="217"/>
      <c r="X108" s="197"/>
      <c r="Y108" s="443"/>
      <c r="AA108" s="217"/>
      <c r="AB108" s="173"/>
      <c r="AC108" s="173"/>
      <c r="AD108" s="173"/>
      <c r="AE108" s="173"/>
      <c r="AF108" s="545"/>
      <c r="AI108" s="173"/>
      <c r="AJ108" s="173"/>
      <c r="AK108" s="173"/>
      <c r="AM108" s="545"/>
      <c r="AN108" s="460"/>
      <c r="AS108" s="5"/>
      <c r="AT108" s="5"/>
      <c r="AU108" s="5"/>
      <c r="AV108" s="5"/>
      <c r="AW108" s="173"/>
      <c r="AX108" s="173"/>
      <c r="AY108" s="173"/>
      <c r="AZ108" s="173"/>
      <c r="BA108" s="460"/>
      <c r="BB108" s="5"/>
      <c r="BD108" s="173"/>
      <c r="BE108" s="173"/>
      <c r="BG108" s="528"/>
      <c r="BH108" s="528"/>
      <c r="BI108" s="528"/>
      <c r="BJ108" s="528"/>
      <c r="BN108" s="460"/>
      <c r="BO108" s="528"/>
      <c r="BR108" s="460"/>
      <c r="BS108" s="528"/>
      <c r="BT108" s="528"/>
      <c r="BU108" s="528"/>
      <c r="BV108" s="528"/>
      <c r="BW108" s="528"/>
      <c r="BX108" s="460"/>
      <c r="BY108" s="173"/>
      <c r="BZ108" s="5"/>
      <c r="CA108" s="173"/>
      <c r="CB108" s="5"/>
      <c r="CE108" s="562">
        <f>Ioutmax_Vinmin</f>
        <v>14.189823843315455</v>
      </c>
      <c r="CI108" s="445" t="s">
        <v>434</v>
      </c>
      <c r="CL108" s="217"/>
      <c r="CM108" s="541"/>
      <c r="CN108" s="443"/>
      <c r="CO108" s="443"/>
      <c r="CP108" s="443"/>
      <c r="CQ108" s="217"/>
      <c r="CR108" s="172">
        <f>Efficiency</f>
        <v>1</v>
      </c>
      <c r="CS108" s="172"/>
      <c r="CT108" s="217"/>
      <c r="CU108" s="217"/>
      <c r="CV108" s="217"/>
      <c r="CW108" s="172"/>
      <c r="CX108" s="172"/>
      <c r="CY108" s="217"/>
      <c r="CZ108" s="217"/>
      <c r="DA108" s="217"/>
      <c r="DB108" s="197"/>
      <c r="DC108" s="443"/>
      <c r="DE108" s="217"/>
      <c r="DF108" s="173"/>
      <c r="DG108" s="173"/>
      <c r="DH108" s="173"/>
      <c r="DI108" s="173"/>
      <c r="DJ108" s="545"/>
      <c r="DM108" s="173"/>
      <c r="DN108" s="173"/>
      <c r="DO108" s="173"/>
      <c r="DQ108" s="545"/>
      <c r="DR108" s="460"/>
      <c r="DW108" s="5"/>
      <c r="DX108" s="5"/>
      <c r="DY108" s="5"/>
      <c r="DZ108" s="5"/>
      <c r="EA108" s="173"/>
      <c r="EB108" s="173"/>
      <c r="EC108" s="173"/>
      <c r="ED108" s="173"/>
      <c r="EE108" s="460"/>
      <c r="EF108" s="5"/>
      <c r="EH108" s="173"/>
      <c r="EI108" s="173"/>
      <c r="EK108" s="528"/>
      <c r="EL108" s="528"/>
      <c r="EM108" s="528"/>
      <c r="EN108" s="528"/>
      <c r="ER108" s="460"/>
      <c r="ES108" s="528"/>
      <c r="EV108" s="460"/>
      <c r="EW108" s="528"/>
      <c r="EX108" s="528"/>
      <c r="EY108" s="528"/>
      <c r="EZ108" s="528"/>
      <c r="FA108" s="528"/>
      <c r="FB108" s="460"/>
      <c r="FC108" s="173"/>
      <c r="FD108" s="5"/>
      <c r="FE108" s="173"/>
      <c r="FF108" s="5"/>
      <c r="FI108" s="562">
        <f>Ioutmax_Vinmin</f>
        <v>14.189823843315455</v>
      </c>
      <c r="FL108" t="e">
        <f>MIN(SQRT(2*L*DJ108*1000*CJ108*CN108)/CM108, 1-EA108)</f>
        <v>#DIV/0!</v>
      </c>
    </row>
    <row r="109" spans="5:168" ht="45" customHeight="1" thickBot="1">
      <c r="E109" s="241" t="s">
        <v>25</v>
      </c>
      <c r="F109" s="444" t="s">
        <v>194</v>
      </c>
      <c r="G109" s="260"/>
      <c r="H109" s="527" t="s">
        <v>223</v>
      </c>
      <c r="I109" s="242" t="s">
        <v>412</v>
      </c>
      <c r="J109" s="243" t="s">
        <v>418</v>
      </c>
      <c r="K109" s="527" t="s">
        <v>413</v>
      </c>
      <c r="L109" s="527"/>
      <c r="M109" s="244" t="s">
        <v>48</v>
      </c>
      <c r="N109" s="527" t="s">
        <v>402</v>
      </c>
      <c r="O109" s="527" t="s">
        <v>656</v>
      </c>
      <c r="P109" s="527" t="s">
        <v>403</v>
      </c>
      <c r="Q109" s="527" t="s">
        <v>433</v>
      </c>
      <c r="R109" s="527" t="s">
        <v>654</v>
      </c>
      <c r="S109" s="527" t="s">
        <v>657</v>
      </c>
      <c r="T109" s="527" t="s">
        <v>655</v>
      </c>
      <c r="U109" s="527" t="s">
        <v>414</v>
      </c>
      <c r="V109" s="527" t="s">
        <v>466</v>
      </c>
      <c r="W109" s="527" t="s">
        <v>465</v>
      </c>
      <c r="X109" s="546" t="s">
        <v>420</v>
      </c>
      <c r="Y109" s="542" t="s">
        <v>425</v>
      </c>
      <c r="AA109" s="245" t="s">
        <v>417</v>
      </c>
      <c r="AB109" s="245" t="s">
        <v>464</v>
      </c>
      <c r="AC109" s="245" t="s">
        <v>423</v>
      </c>
      <c r="AD109" s="544"/>
      <c r="AE109" s="245" t="s">
        <v>463</v>
      </c>
      <c r="AF109" s="245" t="s">
        <v>681</v>
      </c>
      <c r="AG109" s="245" t="s">
        <v>427</v>
      </c>
      <c r="AH109" s="544"/>
      <c r="AI109" s="245" t="s">
        <v>429</v>
      </c>
      <c r="AJ109" s="547" t="s">
        <v>430</v>
      </c>
      <c r="AK109" s="547" t="s">
        <v>431</v>
      </c>
      <c r="AM109" s="543" t="s">
        <v>275</v>
      </c>
      <c r="AN109" s="543" t="s">
        <v>432</v>
      </c>
      <c r="AP109" s="245" t="s">
        <v>275</v>
      </c>
      <c r="AQ109" s="245" t="s">
        <v>432</v>
      </c>
      <c r="AR109" s="548"/>
      <c r="AS109" s="245" t="s">
        <v>467</v>
      </c>
      <c r="AT109" s="245" t="s">
        <v>461</v>
      </c>
      <c r="AU109" s="245" t="s">
        <v>462</v>
      </c>
      <c r="AV109" s="245" t="s">
        <v>653</v>
      </c>
      <c r="AW109" s="245" t="s">
        <v>48</v>
      </c>
      <c r="AX109" s="548" t="s">
        <v>651</v>
      </c>
      <c r="AY109" s="544" t="s">
        <v>650</v>
      </c>
      <c r="AZ109" s="544" t="s">
        <v>652</v>
      </c>
      <c r="BA109" s="245" t="s">
        <v>481</v>
      </c>
      <c r="BB109" s="245" t="s">
        <v>514</v>
      </c>
      <c r="BC109" s="544"/>
      <c r="BD109" s="557" t="s">
        <v>456</v>
      </c>
      <c r="BE109" s="245" t="s">
        <v>457</v>
      </c>
      <c r="BF109" s="544"/>
      <c r="BG109" s="557" t="s">
        <v>474</v>
      </c>
      <c r="BH109" s="245" t="s">
        <v>475</v>
      </c>
      <c r="BI109" s="245" t="s">
        <v>473</v>
      </c>
      <c r="BJ109" s="245" t="s">
        <v>469</v>
      </c>
      <c r="BK109" s="245" t="s">
        <v>478</v>
      </c>
      <c r="BL109" s="245" t="s">
        <v>777</v>
      </c>
      <c r="BM109" s="245" t="s">
        <v>776</v>
      </c>
      <c r="BN109" s="245" t="s">
        <v>491</v>
      </c>
      <c r="BO109" s="557" t="s">
        <v>476</v>
      </c>
      <c r="BP109" s="245" t="s">
        <v>477</v>
      </c>
      <c r="BQ109" s="245" t="s">
        <v>483</v>
      </c>
      <c r="BR109" s="245" t="s">
        <v>487</v>
      </c>
      <c r="BS109" s="557" t="s">
        <v>458</v>
      </c>
      <c r="BT109" s="245" t="s">
        <v>459</v>
      </c>
      <c r="BU109" s="245" t="s">
        <v>468</v>
      </c>
      <c r="BV109" s="245" t="s">
        <v>666</v>
      </c>
      <c r="BW109" s="245" t="s">
        <v>484</v>
      </c>
      <c r="BX109" s="245" t="s">
        <v>667</v>
      </c>
      <c r="BY109" s="557" t="s">
        <v>482</v>
      </c>
      <c r="BZ109" s="245" t="s">
        <v>223</v>
      </c>
      <c r="CA109" s="245" t="s">
        <v>47</v>
      </c>
      <c r="CB109" s="245" t="s">
        <v>485</v>
      </c>
      <c r="CC109" s="245"/>
      <c r="CE109" s="569" t="s">
        <v>664</v>
      </c>
      <c r="CF109" s="569" t="s">
        <v>665</v>
      </c>
      <c r="CG109" s="781" t="s">
        <v>828</v>
      </c>
      <c r="CI109" s="241" t="s">
        <v>25</v>
      </c>
      <c r="CJ109" s="444" t="s">
        <v>194</v>
      </c>
      <c r="CK109" s="260"/>
      <c r="CL109" s="527" t="s">
        <v>223</v>
      </c>
      <c r="CM109" s="242" t="s">
        <v>412</v>
      </c>
      <c r="CN109" s="243" t="s">
        <v>418</v>
      </c>
      <c r="CO109" s="527" t="s">
        <v>413</v>
      </c>
      <c r="CP109" s="527"/>
      <c r="CQ109" s="244" t="s">
        <v>48</v>
      </c>
      <c r="CR109" s="527" t="s">
        <v>402</v>
      </c>
      <c r="CS109" s="527" t="s">
        <v>656</v>
      </c>
      <c r="CT109" s="527" t="s">
        <v>403</v>
      </c>
      <c r="CU109" s="527" t="s">
        <v>433</v>
      </c>
      <c r="CV109" s="527" t="s">
        <v>654</v>
      </c>
      <c r="CW109" s="527" t="s">
        <v>657</v>
      </c>
      <c r="CX109" s="527" t="s">
        <v>655</v>
      </c>
      <c r="CY109" s="527" t="s">
        <v>414</v>
      </c>
      <c r="CZ109" s="527" t="s">
        <v>466</v>
      </c>
      <c r="DA109" s="527" t="s">
        <v>465</v>
      </c>
      <c r="DB109" s="546" t="s">
        <v>420</v>
      </c>
      <c r="DC109" s="542" t="s">
        <v>425</v>
      </c>
      <c r="DE109" s="245" t="s">
        <v>417</v>
      </c>
      <c r="DF109" s="245" t="s">
        <v>464</v>
      </c>
      <c r="DG109" s="245" t="s">
        <v>423</v>
      </c>
      <c r="DH109" s="544"/>
      <c r="DI109" s="245" t="s">
        <v>463</v>
      </c>
      <c r="DJ109" s="245" t="s">
        <v>681</v>
      </c>
      <c r="DK109" s="245" t="s">
        <v>427</v>
      </c>
      <c r="DL109" s="544"/>
      <c r="DM109" s="245" t="s">
        <v>429</v>
      </c>
      <c r="DN109" s="547" t="s">
        <v>430</v>
      </c>
      <c r="DO109" s="547" t="s">
        <v>431</v>
      </c>
      <c r="DQ109" s="543" t="s">
        <v>275</v>
      </c>
      <c r="DR109" s="543" t="s">
        <v>432</v>
      </c>
      <c r="DT109" s="245" t="s">
        <v>275</v>
      </c>
      <c r="DU109" s="245" t="s">
        <v>432</v>
      </c>
      <c r="DV109" s="548"/>
      <c r="DW109" s="245" t="s">
        <v>467</v>
      </c>
      <c r="DX109" s="245" t="s">
        <v>461</v>
      </c>
      <c r="DY109" s="245" t="s">
        <v>462</v>
      </c>
      <c r="DZ109" s="245" t="s">
        <v>653</v>
      </c>
      <c r="EA109" s="245" t="s">
        <v>48</v>
      </c>
      <c r="EB109" s="548" t="s">
        <v>651</v>
      </c>
      <c r="EC109" s="544" t="s">
        <v>650</v>
      </c>
      <c r="ED109" s="544" t="s">
        <v>652</v>
      </c>
      <c r="EE109" s="245" t="s">
        <v>481</v>
      </c>
      <c r="EF109" s="245" t="s">
        <v>514</v>
      </c>
      <c r="EG109" s="544"/>
      <c r="EH109" s="557" t="s">
        <v>456</v>
      </c>
      <c r="EI109" s="245" t="s">
        <v>457</v>
      </c>
      <c r="EJ109" s="544"/>
      <c r="EK109" s="557" t="s">
        <v>474</v>
      </c>
      <c r="EL109" s="245" t="s">
        <v>475</v>
      </c>
      <c r="EM109" s="245" t="s">
        <v>473</v>
      </c>
      <c r="EN109" s="245" t="s">
        <v>469</v>
      </c>
      <c r="EO109" s="245" t="s">
        <v>478</v>
      </c>
      <c r="EP109" s="245" t="s">
        <v>777</v>
      </c>
      <c r="EQ109" s="245" t="s">
        <v>776</v>
      </c>
      <c r="ER109" s="245" t="s">
        <v>491</v>
      </c>
      <c r="ES109" s="557" t="s">
        <v>476</v>
      </c>
      <c r="ET109" s="245" t="s">
        <v>477</v>
      </c>
      <c r="EU109" s="245" t="s">
        <v>483</v>
      </c>
      <c r="EV109" s="245" t="s">
        <v>487</v>
      </c>
      <c r="EW109" s="557" t="s">
        <v>458</v>
      </c>
      <c r="EX109" s="245" t="s">
        <v>459</v>
      </c>
      <c r="EY109" s="245" t="s">
        <v>468</v>
      </c>
      <c r="EZ109" s="245" t="s">
        <v>666</v>
      </c>
      <c r="FA109" s="245" t="s">
        <v>484</v>
      </c>
      <c r="FB109" s="245" t="s">
        <v>667</v>
      </c>
      <c r="FC109" s="557" t="s">
        <v>482</v>
      </c>
      <c r="FD109" s="245" t="s">
        <v>223</v>
      </c>
      <c r="FE109" s="245" t="s">
        <v>47</v>
      </c>
      <c r="FF109" s="245" t="s">
        <v>485</v>
      </c>
      <c r="FG109" s="245"/>
      <c r="FI109" s="569" t="s">
        <v>664</v>
      </c>
      <c r="FJ109" s="569" t="s">
        <v>665</v>
      </c>
      <c r="FL109" t="s">
        <v>825</v>
      </c>
    </row>
    <row r="110" spans="5:168">
      <c r="E110" s="170">
        <v>0.1</v>
      </c>
      <c r="F110" s="217">
        <v>1.0000000000000001E-9</v>
      </c>
      <c r="G110" s="217"/>
      <c r="H110" s="217">
        <f t="shared" ref="H110:H141" si="315">F110*Vout</f>
        <v>1.5000000000000002E-8</v>
      </c>
      <c r="I110" s="541">
        <f t="shared" ref="I110:I141" si="316">VIN_min-F110*(Rdcr_pri+RON/1000)/CG110/Nps</f>
        <v>18.999988589113386</v>
      </c>
      <c r="J110" s="172">
        <f t="shared" ref="J110:J141" si="317">(T110+Vfwd1+F110/CG110*Rdcr_sec)*Nps</f>
        <v>15.400006846531969</v>
      </c>
      <c r="K110" s="172">
        <f t="shared" ref="K110:K141" si="318">(Vout+Vfwd1+F110/CG110*Rdcr_sec)*Nps++I110</f>
        <v>34.399995435645351</v>
      </c>
      <c r="L110" s="443"/>
      <c r="M110" s="217">
        <f t="shared" ref="M110:M141" si="319">(Vout+Vfwd1+F110/FL110*Rdcr_sec)*Nps/((Vout+Vfwd1+F110/FL110*Rdcr_sec)*Nps+I110)</f>
        <v>0.44767467848739573</v>
      </c>
      <c r="N110" s="172">
        <f>M110*I110*(Isw_max+VIN_min/Lmag*ILIM_delay)*0.5*Efficiency</f>
        <v>212.84735764973183</v>
      </c>
      <c r="O110" s="172">
        <f t="shared" si="284"/>
        <v>1.5000000000000002E-8</v>
      </c>
      <c r="P110" s="217">
        <f t="shared" ref="P110:P141" si="320">N110/Vout</f>
        <v>14.189823843315455</v>
      </c>
      <c r="Q110" s="217">
        <f t="shared" ref="Q110:Q141" si="321">MIN(Vout,N110/F110)</f>
        <v>15</v>
      </c>
      <c r="R110" s="217"/>
      <c r="S110" s="172">
        <f t="shared" ref="S110:S141" si="322">(SQRT(Isw_max^2*Nps^2*I110^2+4*Isw_max*F110/Efficiency*(Nps^2*Vfwd1*I110-Nps*I110^2)+4*(F110/Efficiency)^2*Nps^2*Vfwd1^2+8*(F110/Efficiency)^2*Nps*Vfwd1*I110+4*(F110/Efficiency)^2*I110^2)-2*F110/Efficiency*I110-2*F110/Efficiency*Nps*Vfwd1+Isw_max*Nps*I110)/(4*F110/Efficiency*Nps)</f>
        <v>474999714708.83459</v>
      </c>
      <c r="T110" s="172">
        <f t="shared" ref="T110:T141" si="323">MIN(Vout, S110)</f>
        <v>15</v>
      </c>
      <c r="U110" s="217">
        <f t="shared" ref="U110:U141" si="324">MIN(2*(Vout+Vfwd1+F110/FL110*Rdcr_sec)*F110/(I110*M110), Isw_max)</f>
        <v>3.6210543353739022E-9</v>
      </c>
      <c r="V110" s="217">
        <f t="shared" ref="V110:V141" si="325">L*U110/I110*1000000</f>
        <v>2.2869830589995369E-9</v>
      </c>
      <c r="W110" s="217">
        <f t="shared" ref="W110:W141" si="326">L*U110/J110*1000000</f>
        <v>2.821599526384121E-9</v>
      </c>
      <c r="X110" s="197">
        <f t="shared" ref="X110:X141" si="327">IF(1/((350000*L)*(1/I110+1/J110))&gt;Isw_min, 350, 0.001/((Isw_min*L)*(1/I110+1/J110)))</f>
        <v>70.881781293586712</v>
      </c>
      <c r="Y110" s="443">
        <f t="shared" ref="Y110:Y173" si="328">MIN(1/(V110+W110+0.2)*1000, 350)</f>
        <v>350</v>
      </c>
      <c r="AA110" s="217">
        <f t="shared" ref="AA110:AA141" si="329">1/((X110*1000*L)*(1/I110+1/J110))</f>
        <v>10</v>
      </c>
      <c r="AB110" s="173">
        <f t="shared" ref="AB110:AB141" si="330">L*AA110/J110*1000000</f>
        <v>7.7922043279496078</v>
      </c>
      <c r="AC110" s="173">
        <f t="shared" ref="AC110:AC141" si="331">0.5*AB110*AA110*Nps*X110/1000</f>
        <v>2.7616266148433195</v>
      </c>
      <c r="AD110" s="173"/>
      <c r="AE110" s="173">
        <f t="shared" ref="AE110:AE141" si="332">L*Isw_min/J110*1000000</f>
        <v>7.7922043279496078</v>
      </c>
      <c r="AF110" s="545">
        <f t="shared" ref="AF110:AF141" si="333">MAX(12000,F110/(0.5*AE110/1000000*Isw_min*Nps))/1000</f>
        <v>12</v>
      </c>
      <c r="AG110" s="528">
        <f t="shared" ref="AG110:AG141" si="334">0.5*AE110/1000000*Isw_min*Nps*X110*1000</f>
        <v>2.7616266148433195</v>
      </c>
      <c r="AI110" s="173">
        <f t="shared" ref="AI110:AI141" si="335">SQRT(F110/(0.5*L/J110*Fsw_DCM*Nps))</f>
        <v>8.5634902893543663E-5</v>
      </c>
      <c r="AJ110" s="173">
        <f t="shared" ref="AJ110:AJ141" si="336">MAX(IF(F110&gt;AC110,U110,AI110),Isw_min)</f>
        <v>10</v>
      </c>
      <c r="AK110" s="173">
        <f t="shared" ref="AK110:AK141" si="337">IF(F110&gt;AG110, (AJ110-Isw_min)/1.08*0.8+1.2, AF110*0.2/350+1)</f>
        <v>1.0068571428571429</v>
      </c>
      <c r="AM110" s="545">
        <f t="shared" ref="AM110:AM141" si="338">F110*1000</f>
        <v>1.0000000000000002E-6</v>
      </c>
      <c r="AN110" s="460">
        <f t="shared" ref="AN110:AN141" si="339">IF(F110&gt;AG110, Y110, AF110)</f>
        <v>12</v>
      </c>
      <c r="AP110" s="460">
        <f t="shared" ref="AP110:AP141" si="340">IF(H110&gt;N110, "",AM110)</f>
        <v>1.0000000000000002E-6</v>
      </c>
      <c r="AQ110" s="460">
        <f t="shared" ref="AQ110:AQ141" si="341">IF(H110&gt;N110, "",AN110)</f>
        <v>12</v>
      </c>
      <c r="AS110" s="5">
        <f t="shared" si="285"/>
        <v>83.333333333333329</v>
      </c>
      <c r="AT110" s="5">
        <f t="shared" ref="AT110:AT141" si="342">L*AJ110/I110*1000000</f>
        <v>6.315793266778992</v>
      </c>
      <c r="AU110" s="5">
        <f t="shared" ref="AU110:AU169" si="343">AS110-AT110</f>
        <v>77.017540066554332</v>
      </c>
      <c r="AV110" s="5"/>
      <c r="AW110" s="173">
        <f t="shared" ref="AW110:AW169" si="344">AT110/AS110</f>
        <v>7.578951920134791E-2</v>
      </c>
      <c r="AX110" s="173">
        <f t="shared" si="214"/>
        <v>7.2000000000000011</v>
      </c>
      <c r="AY110" s="173">
        <f t="shared" si="215"/>
        <v>4.6210524039932608</v>
      </c>
      <c r="AZ110" s="173">
        <f t="shared" si="288"/>
        <v>1.5580866370998423</v>
      </c>
      <c r="BA110" s="460">
        <f t="shared" ref="BA110:BA116" si="345">F110*AT110/Vout_ripple*1000</f>
        <v>4.2105288445193282E-8</v>
      </c>
      <c r="BB110" s="5">
        <f t="shared" ref="BB110:BB116" si="346">H110/Efficiency/I110*AU110/Vinripple1</f>
        <v>2.0966675042078665E-8</v>
      </c>
      <c r="BD110" s="173">
        <f t="shared" si="289"/>
        <v>1.5894393057652743</v>
      </c>
      <c r="BE110" s="173">
        <f t="shared" si="218"/>
        <v>5.5504068343340141</v>
      </c>
      <c r="BG110" s="528">
        <f t="shared" ref="BG110:BG169" si="347">Rdson*BD110^2</f>
        <v>5.0526346134231945E-2</v>
      </c>
      <c r="BH110" s="528">
        <f t="shared" ref="BH110:BH141" si="348">0.5*K110*AJ110*AN110*1000*Tfall</f>
        <v>7.7399989730202026E-2</v>
      </c>
      <c r="BI110" s="528">
        <f t="shared" ref="BI110:BI141" si="349">Qg*Vdd*AN110*1000*0+Qg*I110*AN110*1000</f>
        <v>5.6999965767340162E-3</v>
      </c>
      <c r="BJ110" s="528">
        <f t="shared" ref="BJ110:BJ169" si="350">0.5*(Coss+Csw)*K110^2*AN110*1000</f>
        <v>1.420031623166905E-3</v>
      </c>
      <c r="BK110">
        <f t="shared" ref="BK110:BK169" si="351">I110*IQ</f>
        <v>8.5499948651010238E-3</v>
      </c>
      <c r="BL110" s="460">
        <f>(BK110+BI110)*1000</f>
        <v>14.249991441835041</v>
      </c>
      <c r="BM110" s="528">
        <f t="shared" ref="BM110:BM141" si="352">(BH110+BI110*0+BJ110+BK110*0+BG110*(1+RdsonTC*(Ta-25)))/(1-BG110*RdsonTC*ThetaJA)</f>
        <v>0.14472592432599249</v>
      </c>
      <c r="BN110" s="460">
        <f t="shared" ref="BN110:BN173" si="353">BM110*1000</f>
        <v>144.72592432599248</v>
      </c>
      <c r="BO110" s="528">
        <f t="shared" ref="BO110:BO169" si="354">Vfwd2*F110</f>
        <v>6.9999999999999996E-10</v>
      </c>
      <c r="BR110" s="460">
        <f t="shared" ref="BR110:BR169" si="355">SUM(BO110:BQ110)*1000</f>
        <v>6.9999999999999997E-7</v>
      </c>
      <c r="BS110" s="528">
        <f t="shared" ref="BS110:BS169" si="356">Rdcr_pri*BD110^2</f>
        <v>7.578951920134791E-2</v>
      </c>
      <c r="BT110" s="528">
        <f t="shared" ref="BT110:BT169" si="357">Rdcr_sec*BE110^2</f>
        <v>0.92421048079865187</v>
      </c>
      <c r="BU110" s="528">
        <f t="shared" ref="BU110:BU169" si="358">AJ110^2.5*AN110^2.5*k_core</f>
        <v>7.8872048280743991E-3</v>
      </c>
      <c r="BV110" s="528"/>
      <c r="BW110" s="528">
        <f t="shared" ref="BW110:BW169" si="359">0.5*Lleak*0.000000001*AJ110^2*AN110*1000</f>
        <v>1.2000000000000001E-3</v>
      </c>
      <c r="BX110" s="460">
        <f t="shared" ref="BX110:BX169" si="360">SUM(BS110:BW110)*1000</f>
        <v>1009.0872048280744</v>
      </c>
      <c r="BY110" s="173">
        <f t="shared" ref="BY110:BY169" si="361">SUM(BG110:BK110,BO110:BQ110,BS110:BW110)</f>
        <v>1.1526835644575102</v>
      </c>
      <c r="BZ110" s="5">
        <f t="shared" ref="BZ110:BZ169" si="362">MIN(H110,O110)</f>
        <v>1.5000000000000002E-8</v>
      </c>
      <c r="CA110" s="173">
        <f t="shared" ref="CA110:CA169" si="363">BZ110/(BZ110+BY110)</f>
        <v>1.3013111548842818E-8</v>
      </c>
      <c r="CB110" s="5">
        <f t="shared" ref="CB110:CB169" si="364">CA110*100</f>
        <v>1.3013111548842818E-6</v>
      </c>
      <c r="CE110" s="562">
        <f t="shared" ref="CE110:CE141" si="365">IF(ABS(F110-Ioutmax_Vinmin)&lt;Iout/200, AN110, -50)</f>
        <v>-50</v>
      </c>
      <c r="CF110">
        <f t="shared" ref="CF110:CF141" si="366">IF(ABS(F110-Ioutmax_Vinmin)&lt;Iout/200, N110*CA110, -50)</f>
        <v>-50</v>
      </c>
      <c r="CG110" s="173">
        <f t="shared" ref="CG110:CG141" si="367">MIN(SQRT(2*DU110*1000*Ls1_*CL110)/CU110,1-EA110-0.00000005*DU110*1000)</f>
        <v>4.3817804600413293E-6</v>
      </c>
      <c r="CI110" s="170">
        <v>0.1</v>
      </c>
      <c r="CJ110" s="217">
        <v>1.0000000000000001E-9</v>
      </c>
      <c r="CK110" s="217"/>
      <c r="CL110" s="217">
        <f t="shared" ref="CL110:CL173" si="368">CJ110*Vout</f>
        <v>1.5000000000000002E-8</v>
      </c>
      <c r="CM110" s="541">
        <f t="shared" ref="CM110:CM173" si="369">VIN_min</f>
        <v>19</v>
      </c>
      <c r="CN110" s="443">
        <f t="shared" ref="CN110:CN173" si="370">(CX110+Vfwd1)*Nps</f>
        <v>15.4</v>
      </c>
      <c r="CO110" s="443">
        <f t="shared" ref="CO110:CO173" si="371">(Vout+Vfwd1)*Nps+CM110</f>
        <v>34.4</v>
      </c>
      <c r="CP110" s="443"/>
      <c r="CQ110" s="217">
        <f t="shared" ref="CQ110:CQ173" si="372">(Vout+Vfwd1)*Nps/((Vout+Vfwd1)*Nps+CM110)</f>
        <v>0.44767441860465118</v>
      </c>
      <c r="CR110" s="172">
        <f>CQ110*CM110*(Isw_max+VIN_min/Lmag*ILIM_delay)*0.5*Efficiency</f>
        <v>212.84736191860466</v>
      </c>
      <c r="CS110" s="172">
        <f t="shared" ref="CS110:CS173" si="373">CX110*CJ110</f>
        <v>1.5000000000000002E-8</v>
      </c>
      <c r="CT110" s="217">
        <f t="shared" ref="CT110:CT173" si="374">CR110/Vout</f>
        <v>14.189824127906977</v>
      </c>
      <c r="CU110" s="217">
        <f t="shared" ref="CU110:CU173" si="375">MIN(Vout,CR110/CJ110)</f>
        <v>15</v>
      </c>
      <c r="CV110" s="217"/>
      <c r="CW110" s="172">
        <f t="shared" ref="CW110:CW173" si="376">(SQRT(Isw_max^2*Nps^2*CM110^2+4*Isw_max*CJ110/Efficiency*(Nps^2*Vfwd1*CM110-Nps*CM110^2)+4*(CJ110/Efficiency)^2*Nps^2*Vfwd1^2+8*(CJ110/Efficiency)^2*Nps*Vfwd1*CM110+4*(CJ110/Efficiency)^2*CM110^2)-2*CJ110/Efficiency*CM110-2*CJ110/Efficiency*Nps*Vfwd1+Isw_max*Nps*CM110)/(4*CJ110/Efficiency*Nps)</f>
        <v>474999999980.99994</v>
      </c>
      <c r="CX110" s="172">
        <f t="shared" ref="CX110:CX173" si="377">MIN(Vout, CW110)</f>
        <v>15</v>
      </c>
      <c r="CY110" s="217">
        <f t="shared" ref="CY110:CY173" si="378">MIN(2*Vout*CJ110/(Efficiency*CM110*CQ110), Isw_max)</f>
        <v>3.5269993164730009E-9</v>
      </c>
      <c r="CZ110" s="217">
        <f t="shared" ref="CZ110:CZ173" si="379">L*CY110/CM110*1000000</f>
        <v>2.2275785156671588E-9</v>
      </c>
      <c r="DA110" s="217">
        <f t="shared" ref="DA110:DA173" si="380">L*CY110/CN110*1000000</f>
        <v>2.7483111556932475E-9</v>
      </c>
      <c r="DB110" s="197">
        <f t="shared" ref="DB110:DB173" si="381">IF(1/((350000*L)*(1/CM110+1/CN110))&gt;Isw_min, 350, 0.001/((Isw_min*L)*(1/CM110+1/CN110)))</f>
        <v>70.881782945736433</v>
      </c>
      <c r="DC110" s="443">
        <f t="shared" ref="DC110:DC173" si="382">MIN(1/(CZ110+DA110)*1000, 350)</f>
        <v>350</v>
      </c>
      <c r="DE110" s="217">
        <f t="shared" ref="DE110:DE173" si="383">1/((DB110*1000*L)*(1/CM110+1/CN110))</f>
        <v>10.000000000000002</v>
      </c>
      <c r="DF110" s="173">
        <f t="shared" ref="DF110:DF173" si="384">L*DE110/CN110*1000000</f>
        <v>7.792207792207793</v>
      </c>
      <c r="DG110" s="173">
        <f t="shared" ref="DG110:DG173" si="385">0.5*DF110*DE110*Nps*DB110/1000</f>
        <v>2.7616279069767451</v>
      </c>
      <c r="DH110" s="173"/>
      <c r="DI110" s="173">
        <f t="shared" ref="DI110:DI173" si="386">L*Isw_min/CN110*1000000</f>
        <v>7.7922077922077913</v>
      </c>
      <c r="DJ110" s="545">
        <f t="shared" ref="DJ110:DJ173" si="387">MAX(12000,CJ110/(0.5*DI110/1000000*Isw_min*Nps))/1000</f>
        <v>12</v>
      </c>
      <c r="DK110" s="528">
        <f t="shared" ref="DK110:DK173" si="388">0.5*DI110/1000000*Isw_min*Nps*DB110*1000</f>
        <v>2.7616279069767442</v>
      </c>
      <c r="DM110" s="173">
        <f t="shared" ref="DM110:DM173" si="389">SQRT(CJ110/(0.5*L/CN110*Fsw_DCM*Nps))</f>
        <v>8.5634883857767534E-5</v>
      </c>
      <c r="DN110" s="173">
        <f t="shared" ref="DN110:DN173" si="390">MAX(IF(CJ110&gt;DG110,CY110,DM110),Isw_min)</f>
        <v>10</v>
      </c>
      <c r="DO110" s="173">
        <f t="shared" ref="DO110:DO173" si="391">IF(CJ110&gt;DK110, (DN110-Isw_min)/1.08*0.8+1.2, DJ110*0.2/350+1)</f>
        <v>1.0068571428571429</v>
      </c>
      <c r="DQ110" s="545">
        <f t="shared" ref="DQ110:DQ173" si="392">CJ110*1000</f>
        <v>1.0000000000000002E-6</v>
      </c>
      <c r="DR110" s="460">
        <f t="shared" ref="DR110:DR173" si="393">IF(CJ110&gt;DK110, DC110, DJ110)</f>
        <v>12</v>
      </c>
      <c r="DT110" s="460">
        <f>IF(CL110&gt;CR110, "",DQ110)</f>
        <v>1.0000000000000002E-6</v>
      </c>
      <c r="DU110" s="460">
        <f>IF(CL110&gt;CR110, "",DR110)</f>
        <v>12</v>
      </c>
      <c r="DW110" s="5">
        <f t="shared" ref="DW110:DW173" si="394">1/DR110*1000</f>
        <v>83.333333333333329</v>
      </c>
      <c r="DX110" s="5">
        <f t="shared" ref="DX110:DX173" si="395">L*DN110/CM110*1000000</f>
        <v>6.3157894736842106</v>
      </c>
      <c r="DY110" s="5">
        <f t="shared" ref="DY110:DY173" si="396">DW110-DX110</f>
        <v>77.017543859649123</v>
      </c>
      <c r="DZ110" s="5"/>
      <c r="EA110" s="173">
        <f t="shared" ref="EA110:EA173" si="397">DX110/DW110</f>
        <v>7.5789473684210532E-2</v>
      </c>
      <c r="EB110" s="173">
        <f t="shared" ref="EB110:EB173" si="398">0.5*L*DN110^2*DR110*1000</f>
        <v>7.2000000000000011</v>
      </c>
      <c r="EC110" s="173">
        <f t="shared" ref="EC110:EC173" si="399">DN110*Nps/2*(1-EA110)</f>
        <v>4.6210526315789471</v>
      </c>
      <c r="ED110" s="173">
        <f t="shared" ref="ED110:ED173" si="400">EB110/EC110</f>
        <v>1.5580865603644649</v>
      </c>
      <c r="EE110" s="460">
        <f t="shared" ref="EE110:EE173" si="401">CJ110*DX110/Vout_ripple*1000</f>
        <v>4.2105263157894737E-8</v>
      </c>
      <c r="EF110" s="5">
        <f t="shared" ref="EF110:EF173" si="402">CL110/Efficiency/CM110*DY110/Vinripple1</f>
        <v>2.0966663482663104E-8</v>
      </c>
      <c r="EH110" s="173">
        <f t="shared" ref="EH110:EH173" si="403">DN110*SQRT(EA110/3)</f>
        <v>1.5894388284780527</v>
      </c>
      <c r="EI110" s="173">
        <f t="shared" ref="EI110:EI173" si="404">DN110*Nps*SQRT((1-EA110)/3)</f>
        <v>5.5504069710120945</v>
      </c>
      <c r="EK110" s="528">
        <f t="shared" ref="EK110:EK173" si="405">Rdson*EH110^2</f>
        <v>5.0526315789473697E-2</v>
      </c>
      <c r="EL110" s="528">
        <f t="shared" ref="EL110:EL173" si="406">0.5*CO110*DN110*DR110*1000*Trise</f>
        <v>8.2560000000000008E-2</v>
      </c>
      <c r="EM110" s="528">
        <f t="shared" ref="EM110:EM173" si="407">Qg*Vdd*DR110*1000</f>
        <v>1.5E-3</v>
      </c>
      <c r="EN110" s="528">
        <f t="shared" ref="EN110:EN173" si="408">0.5*(Coss+Csw)*CO110^2*DR110*1000</f>
        <v>1.4200319999999999E-3</v>
      </c>
      <c r="EO110">
        <f t="shared" ref="EO110:EO173" si="409">CM110*IQ</f>
        <v>8.5500000000000003E-3</v>
      </c>
      <c r="EP110" s="460">
        <f t="shared" ref="EP110:EP173" si="410">(EO110+EM110)*1000</f>
        <v>10.050000000000001</v>
      </c>
      <c r="EQ110" s="460"/>
      <c r="ER110" s="460">
        <f>SUM(EK110:EO110)*1000</f>
        <v>144.5563477894737</v>
      </c>
      <c r="ES110" s="528">
        <f t="shared" ref="ES110:ES173" si="411">Vfwd2*CJ110</f>
        <v>6.9999999999999996E-10</v>
      </c>
      <c r="EV110" s="460">
        <f t="shared" ref="EV110:EV169" si="412">SUM(ES110:EU110)*1000</f>
        <v>6.9999999999999997E-7</v>
      </c>
      <c r="EW110" s="528">
        <f t="shared" ref="EW110:EW173" si="413">Rdcr_pri*EH110^2</f>
        <v>7.5789473684210545E-2</v>
      </c>
      <c r="EX110" s="528">
        <f t="shared" ref="EX110:EX173" si="414">Rdcr_sec*EI110^2</f>
        <v>0.92421052631578959</v>
      </c>
      <c r="EY110" s="528">
        <f t="shared" ref="EY110:EY173" si="415">DN110^2.5*DR110^2.5*k_core</f>
        <v>7.8872048280743991E-3</v>
      </c>
      <c r="EZ110" s="528"/>
      <c r="FA110" s="528">
        <f t="shared" ref="FA110:FA173" si="416">0.5*Lleak*0.000000001*DN110^2*DR110*1000</f>
        <v>1.2000000000000001E-3</v>
      </c>
      <c r="FB110" s="460">
        <f t="shared" ref="FB110:FB173" si="417">SUM(EW110:FA110)*1000</f>
        <v>1009.0872048280748</v>
      </c>
      <c r="FC110" s="173">
        <f t="shared" ref="FC110:FC173" si="418">SUM(EK110:EO110,ES110:EU110,EW110:FA110)</f>
        <v>1.1536435533175484</v>
      </c>
      <c r="FD110" s="5">
        <f t="shared" ref="FD110:FD173" si="419">MIN(CL110,CS110)</f>
        <v>1.5000000000000002E-8</v>
      </c>
      <c r="FE110" s="173">
        <f t="shared" ref="FE110:FE173" si="420">FD110/(FD110+FC110)</f>
        <v>1.3002282864434215E-8</v>
      </c>
      <c r="FF110" s="5">
        <f t="shared" ref="FF110:FF173" si="421">FE110*100</f>
        <v>1.3002282864434215E-6</v>
      </c>
      <c r="FI110" s="562">
        <f t="shared" ref="FI110:FI173" si="422">IF(ABS(CJ110-Ioutmax_Vinmin)&lt;Iout/200, DR110, -50)</f>
        <v>-50</v>
      </c>
      <c r="FJ110">
        <f t="shared" ref="FJ110:FJ173" si="423">IF(ABS(CJ110-Ioutmax_Vinmin)&lt;Iout/200, CR110*FE110, -50)</f>
        <v>-50</v>
      </c>
      <c r="FL110">
        <f t="shared" ref="FL110:FL141" si="424">MIN(SQRT(2*L*DR110*1000*CJ110*(CX110+Vfwd1))/(Nps*(CX110+Vfwd1)), 1-EA110)</f>
        <v>4.3244998209386832E-6</v>
      </c>
    </row>
    <row r="111" spans="5:168">
      <c r="E111" s="170">
        <v>1</v>
      </c>
      <c r="F111" s="217">
        <f t="shared" ref="F111:F142" si="425">IF(PLOT_TYPE=1, E111/100*Iout_max, min_I*EXP(N111*rr/100))</f>
        <v>0.1</v>
      </c>
      <c r="G111" s="217"/>
      <c r="H111" s="217">
        <f t="shared" si="315"/>
        <v>1.5</v>
      </c>
      <c r="I111" s="541">
        <f t="shared" si="316"/>
        <v>18.885891133853089</v>
      </c>
      <c r="J111" s="172">
        <f t="shared" si="317"/>
        <v>15.468465319688146</v>
      </c>
      <c r="K111" s="172">
        <f t="shared" si="318"/>
        <v>34.354356453541236</v>
      </c>
      <c r="L111" s="443"/>
      <c r="M111" s="217">
        <f t="shared" si="319"/>
        <v>0.45027662984920724</v>
      </c>
      <c r="N111" s="172">
        <f t="shared" ref="N111:N141" si="426">M111*I111*(Isw_max+VIN_min/Lmag*ILIM_delay)*0.5*Efficiency</f>
        <v>212.79885232728176</v>
      </c>
      <c r="O111" s="172">
        <f t="shared" si="284"/>
        <v>1.5</v>
      </c>
      <c r="P111" s="217">
        <f t="shared" si="320"/>
        <v>14.186590155152118</v>
      </c>
      <c r="Q111" s="217">
        <f t="shared" si="321"/>
        <v>15</v>
      </c>
      <c r="R111" s="217"/>
      <c r="S111" s="172">
        <f t="shared" si="322"/>
        <v>4702.5884986179426</v>
      </c>
      <c r="T111" s="172">
        <f t="shared" si="323"/>
        <v>15</v>
      </c>
      <c r="U111" s="217">
        <f t="shared" si="324"/>
        <v>0.3638193514405958</v>
      </c>
      <c r="V111" s="217">
        <f t="shared" si="325"/>
        <v>0.23116898145522849</v>
      </c>
      <c r="W111" s="217">
        <f t="shared" si="326"/>
        <v>0.28224081232740983</v>
      </c>
      <c r="X111" s="197">
        <f t="shared" si="327"/>
        <v>70.863344612125871</v>
      </c>
      <c r="Y111" s="443">
        <f t="shared" si="328"/>
        <v>350</v>
      </c>
      <c r="AA111" s="217">
        <f t="shared" si="329"/>
        <v>10</v>
      </c>
      <c r="AB111" s="173">
        <f t="shared" si="330"/>
        <v>7.757718527336058</v>
      </c>
      <c r="AC111" s="173">
        <f t="shared" si="331"/>
        <v>2.7486894070324439</v>
      </c>
      <c r="AD111" s="173"/>
      <c r="AE111" s="173">
        <f t="shared" si="332"/>
        <v>7.757718527336058</v>
      </c>
      <c r="AF111" s="545">
        <f t="shared" si="333"/>
        <v>12</v>
      </c>
      <c r="AG111" s="528">
        <f t="shared" si="334"/>
        <v>2.7486894070324435</v>
      </c>
      <c r="AI111" s="173">
        <f t="shared" si="335"/>
        <v>0.85825030536074765</v>
      </c>
      <c r="AJ111" s="173">
        <f t="shared" si="336"/>
        <v>10</v>
      </c>
      <c r="AK111" s="173">
        <f t="shared" si="337"/>
        <v>1.0068571428571429</v>
      </c>
      <c r="AM111" s="545">
        <f t="shared" si="338"/>
        <v>100</v>
      </c>
      <c r="AN111" s="460">
        <f t="shared" si="339"/>
        <v>12</v>
      </c>
      <c r="AP111" s="460">
        <f t="shared" si="340"/>
        <v>100</v>
      </c>
      <c r="AQ111" s="460">
        <f t="shared" si="341"/>
        <v>12</v>
      </c>
      <c r="AS111" s="5">
        <f t="shared" si="285"/>
        <v>83.333333333333329</v>
      </c>
      <c r="AT111" s="5">
        <f t="shared" si="342"/>
        <v>6.3539495779947162</v>
      </c>
      <c r="AU111" s="5">
        <f t="shared" si="343"/>
        <v>76.979383755338617</v>
      </c>
      <c r="AV111" s="5"/>
      <c r="AW111" s="173">
        <f t="shared" si="344"/>
        <v>7.6247394935936602E-2</v>
      </c>
      <c r="AX111" s="173">
        <f t="shared" si="214"/>
        <v>7.2000000000000011</v>
      </c>
      <c r="AY111" s="173">
        <f t="shared" si="215"/>
        <v>4.6187630253203169</v>
      </c>
      <c r="AZ111" s="173">
        <f t="shared" si="288"/>
        <v>1.558858932690246</v>
      </c>
      <c r="BA111" s="460">
        <f t="shared" si="345"/>
        <v>4.2359663853298111</v>
      </c>
      <c r="BB111" s="5">
        <f t="shared" si="346"/>
        <v>2.1082893229591684</v>
      </c>
      <c r="BD111" s="173">
        <f t="shared" si="289"/>
        <v>1.5942333051338147</v>
      </c>
      <c r="BE111" s="173">
        <f t="shared" si="218"/>
        <v>5.5490317625812393</v>
      </c>
      <c r="BG111" s="528">
        <f t="shared" si="347"/>
        <v>5.0831596623957732E-2</v>
      </c>
      <c r="BH111" s="528">
        <f t="shared" si="348"/>
        <v>7.7297302020467779E-2</v>
      </c>
      <c r="BI111" s="528">
        <f t="shared" si="349"/>
        <v>5.6657673401559264E-3</v>
      </c>
      <c r="BJ111" s="528">
        <f t="shared" si="350"/>
        <v>1.4162661688043646E-3</v>
      </c>
      <c r="BK111">
        <f t="shared" si="351"/>
        <v>8.4986510102338896E-3</v>
      </c>
      <c r="BL111" s="460">
        <f t="shared" ref="BL111:BL174" si="427">(BK111+BI111)*1000</f>
        <v>14.164418350389816</v>
      </c>
      <c r="BM111" s="528">
        <f t="shared" si="352"/>
        <v>0.14502120213927636</v>
      </c>
      <c r="BN111" s="460">
        <f t="shared" si="353"/>
        <v>145.02120213927637</v>
      </c>
      <c r="BO111" s="528">
        <f t="shared" si="354"/>
        <v>6.9999999999999993E-2</v>
      </c>
      <c r="BR111" s="460">
        <f t="shared" si="355"/>
        <v>69.999999999999986</v>
      </c>
      <c r="BS111" s="528">
        <f t="shared" si="356"/>
        <v>7.6247394935936588E-2</v>
      </c>
      <c r="BT111" s="528">
        <f t="shared" si="357"/>
        <v>0.92375260506406365</v>
      </c>
      <c r="BU111" s="528">
        <f t="shared" si="358"/>
        <v>7.8872048280743991E-3</v>
      </c>
      <c r="BV111" s="528"/>
      <c r="BW111" s="528">
        <f t="shared" si="359"/>
        <v>1.2000000000000001E-3</v>
      </c>
      <c r="BX111" s="460">
        <f t="shared" si="360"/>
        <v>1009.0872048280748</v>
      </c>
      <c r="BY111" s="173">
        <f t="shared" si="361"/>
        <v>1.2227967879916943</v>
      </c>
      <c r="BZ111" s="5">
        <f t="shared" si="362"/>
        <v>1.5</v>
      </c>
      <c r="CA111" s="173">
        <f t="shared" si="363"/>
        <v>0.55090413159565388</v>
      </c>
      <c r="CB111" s="5">
        <f t="shared" si="364"/>
        <v>55.090413159565387</v>
      </c>
      <c r="CE111" s="562">
        <f t="shared" si="365"/>
        <v>-50</v>
      </c>
      <c r="CF111">
        <f t="shared" si="366"/>
        <v>-50</v>
      </c>
      <c r="CG111" s="173">
        <f t="shared" si="367"/>
        <v>4.381780460041329E-2</v>
      </c>
      <c r="CI111" s="170">
        <v>1</v>
      </c>
      <c r="CJ111" s="217">
        <f t="shared" ref="CJ111:CJ174" si="428">IF(PLOT_TYPE=1, CI111/100*Iout_max, min_I*EXP(CR111*rr/100))</f>
        <v>0.1</v>
      </c>
      <c r="CK111" s="217"/>
      <c r="CL111" s="217">
        <f t="shared" si="368"/>
        <v>1.5</v>
      </c>
      <c r="CM111" s="541">
        <f t="shared" si="369"/>
        <v>19</v>
      </c>
      <c r="CN111" s="443">
        <f t="shared" si="370"/>
        <v>15.4</v>
      </c>
      <c r="CO111" s="443">
        <f t="shared" si="371"/>
        <v>34.4</v>
      </c>
      <c r="CP111" s="443"/>
      <c r="CQ111" s="217">
        <f t="shared" si="372"/>
        <v>0.44767441860465118</v>
      </c>
      <c r="CR111" s="172">
        <f t="shared" ref="CR111:CR174" si="429">CQ111*CM111*(Isw_max+VIN_min/Lmag*ILIM_delay)*0.5*Efficiency</f>
        <v>212.84736191860466</v>
      </c>
      <c r="CS111" s="172">
        <f t="shared" si="373"/>
        <v>1.5</v>
      </c>
      <c r="CT111" s="217">
        <f t="shared" si="374"/>
        <v>14.189824127906977</v>
      </c>
      <c r="CU111" s="217">
        <f t="shared" si="375"/>
        <v>15</v>
      </c>
      <c r="CV111" s="217"/>
      <c r="CW111" s="172">
        <f t="shared" si="376"/>
        <v>4731.0016062893474</v>
      </c>
      <c r="CX111" s="172">
        <f t="shared" si="377"/>
        <v>15</v>
      </c>
      <c r="CY111" s="217">
        <f t="shared" si="378"/>
        <v>0.35269993164730007</v>
      </c>
      <c r="CZ111" s="217">
        <f t="shared" si="379"/>
        <v>0.22275785156671585</v>
      </c>
      <c r="DA111" s="217">
        <f t="shared" si="380"/>
        <v>0.27483111556932471</v>
      </c>
      <c r="DB111" s="197">
        <f t="shared" si="381"/>
        <v>70.881782945736433</v>
      </c>
      <c r="DC111" s="443">
        <f t="shared" si="382"/>
        <v>350</v>
      </c>
      <c r="DE111" s="217">
        <f t="shared" si="383"/>
        <v>10.000000000000002</v>
      </c>
      <c r="DF111" s="173">
        <f t="shared" si="384"/>
        <v>7.792207792207793</v>
      </c>
      <c r="DG111" s="173">
        <f t="shared" si="385"/>
        <v>2.7616279069767451</v>
      </c>
      <c r="DH111" s="173"/>
      <c r="DI111" s="173">
        <f t="shared" si="386"/>
        <v>7.7922077922077913</v>
      </c>
      <c r="DJ111" s="545">
        <f t="shared" si="387"/>
        <v>12</v>
      </c>
      <c r="DK111" s="528">
        <f t="shared" si="388"/>
        <v>2.7616279069767442</v>
      </c>
      <c r="DM111" s="173">
        <f t="shared" si="389"/>
        <v>0.8563488385776753</v>
      </c>
      <c r="DN111" s="173">
        <f t="shared" si="390"/>
        <v>10</v>
      </c>
      <c r="DO111" s="173">
        <f t="shared" si="391"/>
        <v>1.0068571428571429</v>
      </c>
      <c r="DQ111" s="545">
        <f t="shared" si="392"/>
        <v>100</v>
      </c>
      <c r="DR111" s="460">
        <f t="shared" si="393"/>
        <v>12</v>
      </c>
      <c r="DT111">
        <f t="shared" ref="DT111:DT174" si="430">IF(CL111&gt;CR111, " ",DQ111)</f>
        <v>100</v>
      </c>
      <c r="DU111">
        <f t="shared" ref="DU111:DU174" si="431">IF(CL111&gt;CR111, " ",DR111)</f>
        <v>12</v>
      </c>
      <c r="DW111" s="5">
        <f t="shared" si="394"/>
        <v>83.333333333333329</v>
      </c>
      <c r="DX111" s="5">
        <f t="shared" si="395"/>
        <v>6.3157894736842106</v>
      </c>
      <c r="DY111" s="5">
        <f t="shared" si="396"/>
        <v>77.017543859649123</v>
      </c>
      <c r="DZ111" s="5"/>
      <c r="EA111" s="173">
        <f t="shared" si="397"/>
        <v>7.5789473684210532E-2</v>
      </c>
      <c r="EB111" s="173">
        <f t="shared" si="398"/>
        <v>7.2000000000000011</v>
      </c>
      <c r="EC111" s="173">
        <f t="shared" si="399"/>
        <v>4.6210526315789471</v>
      </c>
      <c r="ED111" s="173">
        <f t="shared" si="400"/>
        <v>1.5580865603644649</v>
      </c>
      <c r="EE111" s="460">
        <f t="shared" si="401"/>
        <v>4.2105263157894743</v>
      </c>
      <c r="EF111" s="5">
        <f t="shared" si="402"/>
        <v>2.0966663482663099</v>
      </c>
      <c r="EH111" s="173">
        <f t="shared" si="403"/>
        <v>1.5894388284780527</v>
      </c>
      <c r="EI111" s="173">
        <f t="shared" si="404"/>
        <v>5.5504069710120945</v>
      </c>
      <c r="EK111" s="528">
        <f t="shared" si="405"/>
        <v>5.0526315789473697E-2</v>
      </c>
      <c r="EL111" s="528">
        <f t="shared" si="406"/>
        <v>8.2560000000000008E-2</v>
      </c>
      <c r="EM111" s="528">
        <f t="shared" si="407"/>
        <v>1.5E-3</v>
      </c>
      <c r="EN111" s="528">
        <f t="shared" si="408"/>
        <v>1.4200319999999999E-3</v>
      </c>
      <c r="EO111">
        <f t="shared" si="409"/>
        <v>8.5500000000000003E-3</v>
      </c>
      <c r="EP111" s="460">
        <f t="shared" si="410"/>
        <v>10.050000000000001</v>
      </c>
      <c r="EQ111" s="460"/>
      <c r="ER111" s="460">
        <f t="shared" ref="ER111:ER174" si="432">SUM(EK111:EO111)*1000</f>
        <v>144.5563477894737</v>
      </c>
      <c r="ES111" s="528">
        <f t="shared" si="411"/>
        <v>6.9999999999999993E-2</v>
      </c>
      <c r="EV111" s="460">
        <f t="shared" si="412"/>
        <v>69.999999999999986</v>
      </c>
      <c r="EW111" s="528">
        <f t="shared" si="413"/>
        <v>7.5789473684210545E-2</v>
      </c>
      <c r="EX111" s="528">
        <f t="shared" si="414"/>
        <v>0.92421052631578959</v>
      </c>
      <c r="EY111" s="528">
        <f t="shared" si="415"/>
        <v>7.8872048280743991E-3</v>
      </c>
      <c r="EZ111" s="528"/>
      <c r="FA111" s="528">
        <f t="shared" si="416"/>
        <v>1.2000000000000001E-3</v>
      </c>
      <c r="FB111" s="460">
        <f t="shared" si="417"/>
        <v>1009.0872048280748</v>
      </c>
      <c r="FC111" s="173">
        <f t="shared" si="418"/>
        <v>1.2236435526175484</v>
      </c>
      <c r="FD111" s="5">
        <f t="shared" si="419"/>
        <v>1.5</v>
      </c>
      <c r="FE111" s="173">
        <f t="shared" si="420"/>
        <v>0.55073285876869982</v>
      </c>
      <c r="FF111" s="5">
        <f t="shared" si="421"/>
        <v>55.073285876869981</v>
      </c>
      <c r="FI111" s="562">
        <f t="shared" si="422"/>
        <v>-50</v>
      </c>
      <c r="FJ111">
        <f t="shared" si="423"/>
        <v>-50</v>
      </c>
      <c r="FL111">
        <f t="shared" si="424"/>
        <v>4.3244998209386834E-2</v>
      </c>
    </row>
    <row r="112" spans="5:168">
      <c r="E112" s="170">
        <v>2</v>
      </c>
      <c r="F112" s="217">
        <f t="shared" si="425"/>
        <v>0.2</v>
      </c>
      <c r="G112" s="217"/>
      <c r="H112" s="217">
        <f t="shared" si="315"/>
        <v>3</v>
      </c>
      <c r="I112" s="541">
        <f t="shared" si="316"/>
        <v>18.838625693908025</v>
      </c>
      <c r="J112" s="172">
        <f t="shared" si="317"/>
        <v>15.496824583655187</v>
      </c>
      <c r="K112" s="172">
        <f t="shared" si="318"/>
        <v>34.335450277563211</v>
      </c>
      <c r="L112" s="443"/>
      <c r="M112" s="217">
        <f t="shared" si="319"/>
        <v>0.45135648707276943</v>
      </c>
      <c r="N112" s="172">
        <f t="shared" si="426"/>
        <v>212.77534258999739</v>
      </c>
      <c r="O112" s="172">
        <f t="shared" si="284"/>
        <v>3</v>
      </c>
      <c r="P112" s="217">
        <f t="shared" si="320"/>
        <v>14.185022839333159</v>
      </c>
      <c r="Q112" s="217">
        <f t="shared" si="321"/>
        <v>15</v>
      </c>
      <c r="R112" s="217"/>
      <c r="S112" s="172">
        <f t="shared" si="322"/>
        <v>2335.9928112943226</v>
      </c>
      <c r="T112" s="172">
        <f t="shared" si="323"/>
        <v>15</v>
      </c>
      <c r="U112" s="217">
        <f t="shared" si="324"/>
        <v>0.72907086400391674</v>
      </c>
      <c r="V112" s="217">
        <f t="shared" si="325"/>
        <v>0.464410223452562</v>
      </c>
      <c r="W112" s="217">
        <f t="shared" si="326"/>
        <v>0.56455761764733348</v>
      </c>
      <c r="X112" s="197">
        <f t="shared" si="327"/>
        <v>70.854582124217842</v>
      </c>
      <c r="Y112" s="443">
        <f t="shared" si="328"/>
        <v>350</v>
      </c>
      <c r="AA112" s="217">
        <f t="shared" si="329"/>
        <v>10</v>
      </c>
      <c r="AB112" s="173">
        <f t="shared" si="330"/>
        <v>7.7435218648965307</v>
      </c>
      <c r="AC112" s="173">
        <f t="shared" si="331"/>
        <v>2.7433200295349383</v>
      </c>
      <c r="AD112" s="173"/>
      <c r="AE112" s="173">
        <f t="shared" si="332"/>
        <v>7.7435218648965307</v>
      </c>
      <c r="AF112" s="545">
        <f t="shared" si="333"/>
        <v>12</v>
      </c>
      <c r="AG112" s="528">
        <f t="shared" si="334"/>
        <v>2.7433200295349383</v>
      </c>
      <c r="AI112" s="173">
        <f t="shared" si="335"/>
        <v>1.2148613318342998</v>
      </c>
      <c r="AJ112" s="173">
        <f t="shared" si="336"/>
        <v>10</v>
      </c>
      <c r="AK112" s="173">
        <f t="shared" si="337"/>
        <v>1.0068571428571429</v>
      </c>
      <c r="AM112" s="545">
        <f t="shared" si="338"/>
        <v>200</v>
      </c>
      <c r="AN112" s="460">
        <f t="shared" si="339"/>
        <v>12</v>
      </c>
      <c r="AP112" s="460">
        <f t="shared" si="340"/>
        <v>200</v>
      </c>
      <c r="AQ112" s="460">
        <f t="shared" si="341"/>
        <v>12</v>
      </c>
      <c r="AS112" s="5">
        <f t="shared" si="285"/>
        <v>83.333333333333329</v>
      </c>
      <c r="AT112" s="5">
        <f t="shared" si="342"/>
        <v>6.369891410858342</v>
      </c>
      <c r="AU112" s="5">
        <f t="shared" si="343"/>
        <v>76.963441922474985</v>
      </c>
      <c r="AV112" s="5"/>
      <c r="AW112" s="173">
        <f t="shared" si="344"/>
        <v>7.6438696930300101E-2</v>
      </c>
      <c r="AX112" s="173">
        <f t="shared" si="214"/>
        <v>7.2000000000000011</v>
      </c>
      <c r="AY112" s="173">
        <f t="shared" si="215"/>
        <v>4.6178065153484997</v>
      </c>
      <c r="AZ112" s="173">
        <f t="shared" si="288"/>
        <v>1.5591818271443161</v>
      </c>
      <c r="BA112" s="460">
        <f t="shared" si="345"/>
        <v>8.4931885478111226</v>
      </c>
      <c r="BB112" s="5">
        <f t="shared" si="346"/>
        <v>4.2262824797592078</v>
      </c>
      <c r="BD112" s="173">
        <f t="shared" si="289"/>
        <v>1.5962319895125949</v>
      </c>
      <c r="BE112" s="173">
        <f t="shared" si="218"/>
        <v>5.5484571521270665</v>
      </c>
      <c r="BG112" s="528">
        <f t="shared" si="347"/>
        <v>5.0959131286866743E-2</v>
      </c>
      <c r="BH112" s="528">
        <f t="shared" si="348"/>
        <v>7.725476312451722E-2</v>
      </c>
      <c r="BI112" s="528">
        <f t="shared" si="349"/>
        <v>5.6515877081724066E-3</v>
      </c>
      <c r="BJ112" s="528">
        <f t="shared" si="350"/>
        <v>1.4147077749156187E-3</v>
      </c>
      <c r="BK112">
        <f t="shared" si="351"/>
        <v>8.4773815622586103E-3</v>
      </c>
      <c r="BL112" s="460">
        <f t="shared" si="427"/>
        <v>14.128969270431016</v>
      </c>
      <c r="BM112" s="528">
        <f t="shared" si="352"/>
        <v>0.14514496686767733</v>
      </c>
      <c r="BN112" s="460">
        <f t="shared" si="353"/>
        <v>145.14496686767734</v>
      </c>
      <c r="BO112" s="528">
        <f t="shared" si="354"/>
        <v>0.13999999999999999</v>
      </c>
      <c r="BR112" s="460">
        <f t="shared" si="355"/>
        <v>139.99999999999997</v>
      </c>
      <c r="BS112" s="528">
        <f t="shared" si="356"/>
        <v>7.6438696930300115E-2</v>
      </c>
      <c r="BT112" s="528">
        <f t="shared" si="357"/>
        <v>0.92356130306969986</v>
      </c>
      <c r="BU112" s="528">
        <f t="shared" si="358"/>
        <v>7.8872048280743991E-3</v>
      </c>
      <c r="BV112" s="528"/>
      <c r="BW112" s="528">
        <f t="shared" si="359"/>
        <v>1.2000000000000001E-3</v>
      </c>
      <c r="BX112" s="460">
        <f t="shared" si="360"/>
        <v>1009.0872048280746</v>
      </c>
      <c r="BY112" s="173">
        <f>SUM(BG112:BK112,BO112:BQ112,BS112:BW112)</f>
        <v>1.292844776284805</v>
      </c>
      <c r="BZ112" s="5">
        <f t="shared" si="362"/>
        <v>3</v>
      </c>
      <c r="CA112" s="173">
        <f t="shared" si="363"/>
        <v>0.69883728770559383</v>
      </c>
      <c r="CB112" s="5">
        <f t="shared" si="364"/>
        <v>69.883728770559387</v>
      </c>
      <c r="CE112" s="562">
        <f t="shared" si="365"/>
        <v>-50</v>
      </c>
      <c r="CF112">
        <f t="shared" si="366"/>
        <v>-50</v>
      </c>
      <c r="CG112" s="173">
        <f t="shared" si="367"/>
        <v>6.1967733539318677E-2</v>
      </c>
      <c r="CI112" s="170">
        <v>2</v>
      </c>
      <c r="CJ112" s="217">
        <f t="shared" si="428"/>
        <v>0.2</v>
      </c>
      <c r="CK112" s="217"/>
      <c r="CL112" s="217">
        <f t="shared" si="368"/>
        <v>3</v>
      </c>
      <c r="CM112" s="541">
        <f t="shared" si="369"/>
        <v>19</v>
      </c>
      <c r="CN112" s="443">
        <f t="shared" si="370"/>
        <v>15.4</v>
      </c>
      <c r="CO112" s="443">
        <f t="shared" si="371"/>
        <v>34.4</v>
      </c>
      <c r="CP112" s="443"/>
      <c r="CQ112" s="217">
        <f t="shared" si="372"/>
        <v>0.44767441860465118</v>
      </c>
      <c r="CR112" s="172">
        <f t="shared" si="429"/>
        <v>212.84736191860466</v>
      </c>
      <c r="CS112" s="172">
        <f t="shared" si="373"/>
        <v>3</v>
      </c>
      <c r="CT112" s="217">
        <f t="shared" si="374"/>
        <v>14.189824127906977</v>
      </c>
      <c r="CU112" s="217">
        <f t="shared" si="375"/>
        <v>15</v>
      </c>
      <c r="CV112" s="217"/>
      <c r="CW112" s="172">
        <f t="shared" si="376"/>
        <v>2356.0032252544547</v>
      </c>
      <c r="CX112" s="172">
        <f t="shared" si="377"/>
        <v>15</v>
      </c>
      <c r="CY112" s="217">
        <f t="shared" si="378"/>
        <v>0.70539986329460014</v>
      </c>
      <c r="CZ112" s="217">
        <f t="shared" si="379"/>
        <v>0.4455157031334317</v>
      </c>
      <c r="DA112" s="217">
        <f t="shared" si="380"/>
        <v>0.54966223113864943</v>
      </c>
      <c r="DB112" s="197">
        <f t="shared" si="381"/>
        <v>70.881782945736433</v>
      </c>
      <c r="DC112" s="443">
        <f t="shared" si="382"/>
        <v>350</v>
      </c>
      <c r="DE112" s="217">
        <f t="shared" si="383"/>
        <v>10.000000000000002</v>
      </c>
      <c r="DF112" s="173">
        <f t="shared" si="384"/>
        <v>7.792207792207793</v>
      </c>
      <c r="DG112" s="173">
        <f t="shared" si="385"/>
        <v>2.7616279069767451</v>
      </c>
      <c r="DH112" s="173"/>
      <c r="DI112" s="173">
        <f t="shared" si="386"/>
        <v>7.7922077922077913</v>
      </c>
      <c r="DJ112" s="545">
        <f t="shared" si="387"/>
        <v>12</v>
      </c>
      <c r="DK112" s="528">
        <f t="shared" si="388"/>
        <v>2.7616279069767442</v>
      </c>
      <c r="DM112" s="173">
        <f t="shared" si="389"/>
        <v>1.2110601416389968</v>
      </c>
      <c r="DN112" s="173">
        <f t="shared" si="390"/>
        <v>10</v>
      </c>
      <c r="DO112" s="173">
        <f t="shared" si="391"/>
        <v>1.0068571428571429</v>
      </c>
      <c r="DQ112" s="545">
        <f t="shared" si="392"/>
        <v>200</v>
      </c>
      <c r="DR112" s="460">
        <f t="shared" si="393"/>
        <v>12</v>
      </c>
      <c r="DT112">
        <f t="shared" si="430"/>
        <v>200</v>
      </c>
      <c r="DU112">
        <f t="shared" si="431"/>
        <v>12</v>
      </c>
      <c r="DW112" s="5">
        <f t="shared" si="394"/>
        <v>83.333333333333329</v>
      </c>
      <c r="DX112" s="5">
        <f t="shared" si="395"/>
        <v>6.3157894736842106</v>
      </c>
      <c r="DY112" s="5">
        <f t="shared" si="396"/>
        <v>77.017543859649123</v>
      </c>
      <c r="DZ112" s="5"/>
      <c r="EA112" s="173">
        <f t="shared" si="397"/>
        <v>7.5789473684210532E-2</v>
      </c>
      <c r="EB112" s="173">
        <f t="shared" si="398"/>
        <v>7.2000000000000011</v>
      </c>
      <c r="EC112" s="173">
        <f t="shared" si="399"/>
        <v>4.6210526315789471</v>
      </c>
      <c r="ED112" s="173">
        <f t="shared" si="400"/>
        <v>1.5580865603644649</v>
      </c>
      <c r="EE112" s="460">
        <f t="shared" si="401"/>
        <v>8.4210526315789487</v>
      </c>
      <c r="EF112" s="5">
        <f t="shared" si="402"/>
        <v>4.1933326965326199</v>
      </c>
      <c r="EH112" s="173">
        <f t="shared" si="403"/>
        <v>1.5894388284780527</v>
      </c>
      <c r="EI112" s="173">
        <f t="shared" si="404"/>
        <v>5.5504069710120945</v>
      </c>
      <c r="EK112" s="528">
        <f t="shared" si="405"/>
        <v>5.0526315789473697E-2</v>
      </c>
      <c r="EL112" s="528">
        <f t="shared" si="406"/>
        <v>8.2560000000000008E-2</v>
      </c>
      <c r="EM112" s="528">
        <f t="shared" si="407"/>
        <v>1.5E-3</v>
      </c>
      <c r="EN112" s="528">
        <f t="shared" si="408"/>
        <v>1.4200319999999999E-3</v>
      </c>
      <c r="EO112">
        <f t="shared" si="409"/>
        <v>8.5500000000000003E-3</v>
      </c>
      <c r="EP112" s="460">
        <f t="shared" si="410"/>
        <v>10.050000000000001</v>
      </c>
      <c r="EQ112" s="460"/>
      <c r="ER112" s="460">
        <f t="shared" si="432"/>
        <v>144.5563477894737</v>
      </c>
      <c r="ES112" s="528">
        <f t="shared" si="411"/>
        <v>0.13999999999999999</v>
      </c>
      <c r="EV112" s="460">
        <f t="shared" si="412"/>
        <v>139.99999999999997</v>
      </c>
      <c r="EW112" s="528">
        <f t="shared" si="413"/>
        <v>7.5789473684210545E-2</v>
      </c>
      <c r="EX112" s="528">
        <f t="shared" si="414"/>
        <v>0.92421052631578959</v>
      </c>
      <c r="EY112" s="528">
        <f t="shared" si="415"/>
        <v>7.8872048280743991E-3</v>
      </c>
      <c r="EZ112" s="528"/>
      <c r="FA112" s="528">
        <f t="shared" si="416"/>
        <v>1.2000000000000001E-3</v>
      </c>
      <c r="FB112" s="460">
        <f t="shared" si="417"/>
        <v>1009.0872048280748</v>
      </c>
      <c r="FC112" s="173">
        <f t="shared" si="418"/>
        <v>1.2936435526175485</v>
      </c>
      <c r="FD112" s="5">
        <f t="shared" si="419"/>
        <v>3</v>
      </c>
      <c r="FE112" s="173">
        <f t="shared" si="420"/>
        <v>0.69870727815100064</v>
      </c>
      <c r="FF112" s="5">
        <f t="shared" si="421"/>
        <v>69.870727815100068</v>
      </c>
      <c r="FI112" s="562">
        <f t="shared" si="422"/>
        <v>-50</v>
      </c>
      <c r="FJ112">
        <f t="shared" si="423"/>
        <v>-50</v>
      </c>
      <c r="FL112">
        <f t="shared" si="424"/>
        <v>6.115766297251507E-2</v>
      </c>
    </row>
    <row r="113" spans="5:168">
      <c r="E113" s="170">
        <v>3</v>
      </c>
      <c r="F113" s="217">
        <f t="shared" si="425"/>
        <v>0.3</v>
      </c>
      <c r="G113" s="217"/>
      <c r="H113" s="217">
        <f t="shared" si="315"/>
        <v>4.5</v>
      </c>
      <c r="I113" s="541">
        <f t="shared" si="316"/>
        <v>18.802357646239475</v>
      </c>
      <c r="J113" s="172">
        <f t="shared" si="317"/>
        <v>15.518585412256314</v>
      </c>
      <c r="K113" s="172">
        <f t="shared" si="318"/>
        <v>34.320943058495786</v>
      </c>
      <c r="L113" s="443"/>
      <c r="M113" s="217">
        <f t="shared" si="319"/>
        <v>0.45218588129252285</v>
      </c>
      <c r="N113" s="172">
        <f t="shared" si="426"/>
        <v>212.75594288178783</v>
      </c>
      <c r="O113" s="172">
        <f t="shared" si="284"/>
        <v>4.5</v>
      </c>
      <c r="P113" s="217">
        <f t="shared" si="320"/>
        <v>14.183729525452522</v>
      </c>
      <c r="Q113" s="217">
        <f t="shared" si="321"/>
        <v>15</v>
      </c>
      <c r="R113" s="217"/>
      <c r="S113" s="172">
        <f t="shared" si="322"/>
        <v>1548.0656365697425</v>
      </c>
      <c r="T113" s="172">
        <f t="shared" si="323"/>
        <v>15</v>
      </c>
      <c r="U113" s="217">
        <f t="shared" si="324"/>
        <v>1.0952620232126384</v>
      </c>
      <c r="V113" s="217">
        <f t="shared" si="325"/>
        <v>0.69901575780207159</v>
      </c>
      <c r="W113" s="217">
        <f t="shared" si="326"/>
        <v>0.8469292741187241</v>
      </c>
      <c r="X113" s="197">
        <f t="shared" si="327"/>
        <v>70.847410522210112</v>
      </c>
      <c r="Y113" s="443">
        <f t="shared" si="328"/>
        <v>350</v>
      </c>
      <c r="AA113" s="217">
        <f t="shared" si="329"/>
        <v>10</v>
      </c>
      <c r="AB113" s="173">
        <f t="shared" si="330"/>
        <v>7.7326635651485374</v>
      </c>
      <c r="AC113" s="173">
        <f t="shared" si="331"/>
        <v>2.7391959501510765</v>
      </c>
      <c r="AD113" s="173"/>
      <c r="AE113" s="173">
        <f t="shared" si="332"/>
        <v>7.7326635651485374</v>
      </c>
      <c r="AF113" s="545">
        <f t="shared" si="333"/>
        <v>12</v>
      </c>
      <c r="AG113" s="528">
        <f t="shared" si="334"/>
        <v>2.7391959501510761</v>
      </c>
      <c r="AI113" s="173">
        <f t="shared" si="335"/>
        <v>1.4889394793541721</v>
      </c>
      <c r="AJ113" s="173">
        <f t="shared" si="336"/>
        <v>10</v>
      </c>
      <c r="AK113" s="173">
        <f t="shared" si="337"/>
        <v>1.0068571428571429</v>
      </c>
      <c r="AM113" s="545">
        <f t="shared" si="338"/>
        <v>300</v>
      </c>
      <c r="AN113" s="460">
        <f t="shared" si="339"/>
        <v>12</v>
      </c>
      <c r="AP113" s="460">
        <f t="shared" si="340"/>
        <v>300</v>
      </c>
      <c r="AQ113" s="460">
        <f t="shared" si="341"/>
        <v>12</v>
      </c>
      <c r="AS113" s="5">
        <f t="shared" si="285"/>
        <v>83.333333333333329</v>
      </c>
      <c r="AT113" s="5">
        <f t="shared" si="342"/>
        <v>6.3821783553830196</v>
      </c>
      <c r="AU113" s="5">
        <f t="shared" si="343"/>
        <v>76.95115497795031</v>
      </c>
      <c r="AV113" s="5"/>
      <c r="AW113" s="173">
        <f t="shared" si="344"/>
        <v>7.6586140264596245E-2</v>
      </c>
      <c r="AX113" s="173">
        <f t="shared" si="214"/>
        <v>7.2000000000000011</v>
      </c>
      <c r="AY113" s="173">
        <f t="shared" si="215"/>
        <v>4.617069298677019</v>
      </c>
      <c r="AZ113" s="173">
        <f t="shared" si="288"/>
        <v>1.5594307848190838</v>
      </c>
      <c r="BA113" s="460">
        <f t="shared" si="345"/>
        <v>12.764356710766039</v>
      </c>
      <c r="BB113" s="5">
        <f t="shared" si="346"/>
        <v>6.3506378757155009</v>
      </c>
      <c r="BD113" s="173">
        <f t="shared" si="289"/>
        <v>1.5977707414248166</v>
      </c>
      <c r="BE113" s="173">
        <f t="shared" si="218"/>
        <v>5.5480142385523967</v>
      </c>
      <c r="BG113" s="528">
        <f t="shared" si="347"/>
        <v>5.1057426843064163E-2</v>
      </c>
      <c r="BH113" s="528">
        <f t="shared" si="348"/>
        <v>7.7222121881615535E-2</v>
      </c>
      <c r="BI113" s="528">
        <f t="shared" si="349"/>
        <v>5.6407072938718427E-3</v>
      </c>
      <c r="BJ113" s="528">
        <f t="shared" si="350"/>
        <v>1.4135125589094123E-3</v>
      </c>
      <c r="BK113">
        <f t="shared" si="351"/>
        <v>8.4610609408077627E-3</v>
      </c>
      <c r="BL113" s="460">
        <f t="shared" si="427"/>
        <v>14.101768234679605</v>
      </c>
      <c r="BM113" s="528">
        <f t="shared" si="352"/>
        <v>0.14524051474400745</v>
      </c>
      <c r="BN113" s="460">
        <f t="shared" si="353"/>
        <v>145.24051474400744</v>
      </c>
      <c r="BO113" s="528">
        <f t="shared" si="354"/>
        <v>0.21</v>
      </c>
      <c r="BR113" s="460">
        <f t="shared" si="355"/>
        <v>210</v>
      </c>
      <c r="BS113" s="528">
        <f t="shared" si="356"/>
        <v>7.6586140264596245E-2</v>
      </c>
      <c r="BT113" s="528">
        <f t="shared" si="357"/>
        <v>0.9234138597354038</v>
      </c>
      <c r="BU113" s="528">
        <f t="shared" si="358"/>
        <v>7.8872048280743991E-3</v>
      </c>
      <c r="BV113" s="528"/>
      <c r="BW113" s="528">
        <f t="shared" si="359"/>
        <v>1.2000000000000001E-3</v>
      </c>
      <c r="BX113" s="460">
        <f t="shared" si="360"/>
        <v>1009.0872048280746</v>
      </c>
      <c r="BY113" s="173">
        <f t="shared" si="361"/>
        <v>1.3628820343463433</v>
      </c>
      <c r="BZ113" s="5">
        <f t="shared" si="362"/>
        <v>4.5</v>
      </c>
      <c r="CA113" s="173">
        <f t="shared" si="363"/>
        <v>0.76754060096003751</v>
      </c>
      <c r="CB113" s="5">
        <f t="shared" si="364"/>
        <v>76.754060096003755</v>
      </c>
      <c r="CE113" s="562">
        <f t="shared" si="365"/>
        <v>-50</v>
      </c>
      <c r="CF113">
        <f t="shared" si="366"/>
        <v>-50</v>
      </c>
      <c r="CG113" s="173">
        <f t="shared" si="367"/>
        <v>7.5894663844041116E-2</v>
      </c>
      <c r="CI113" s="170">
        <v>3</v>
      </c>
      <c r="CJ113" s="217">
        <f t="shared" si="428"/>
        <v>0.3</v>
      </c>
      <c r="CK113" s="217"/>
      <c r="CL113" s="217">
        <f t="shared" si="368"/>
        <v>4.5</v>
      </c>
      <c r="CM113" s="541">
        <f t="shared" si="369"/>
        <v>19</v>
      </c>
      <c r="CN113" s="443">
        <f t="shared" si="370"/>
        <v>15.4</v>
      </c>
      <c r="CO113" s="443">
        <f t="shared" si="371"/>
        <v>34.4</v>
      </c>
      <c r="CP113" s="443"/>
      <c r="CQ113" s="217">
        <f t="shared" si="372"/>
        <v>0.44767441860465118</v>
      </c>
      <c r="CR113" s="172">
        <f t="shared" si="429"/>
        <v>212.84736191860466</v>
      </c>
      <c r="CS113" s="172">
        <f t="shared" si="373"/>
        <v>4.5</v>
      </c>
      <c r="CT113" s="217">
        <f t="shared" si="374"/>
        <v>14.189824127906977</v>
      </c>
      <c r="CU113" s="217">
        <f t="shared" si="375"/>
        <v>15</v>
      </c>
      <c r="CV113" s="217"/>
      <c r="CW113" s="172">
        <f t="shared" si="376"/>
        <v>1564.3381903759023</v>
      </c>
      <c r="CX113" s="172">
        <f t="shared" si="377"/>
        <v>15</v>
      </c>
      <c r="CY113" s="217">
        <f t="shared" si="378"/>
        <v>1.0580997949419002</v>
      </c>
      <c r="CZ113" s="217">
        <f t="shared" si="379"/>
        <v>0.66827355470014749</v>
      </c>
      <c r="DA113" s="217">
        <f t="shared" si="380"/>
        <v>0.82449334670797414</v>
      </c>
      <c r="DB113" s="197">
        <f t="shared" si="381"/>
        <v>70.881782945736433</v>
      </c>
      <c r="DC113" s="443">
        <f t="shared" si="382"/>
        <v>350</v>
      </c>
      <c r="DE113" s="217">
        <f t="shared" si="383"/>
        <v>10.000000000000002</v>
      </c>
      <c r="DF113" s="173">
        <f t="shared" si="384"/>
        <v>7.792207792207793</v>
      </c>
      <c r="DG113" s="173">
        <f t="shared" si="385"/>
        <v>2.7616279069767451</v>
      </c>
      <c r="DH113" s="173"/>
      <c r="DI113" s="173">
        <f t="shared" si="386"/>
        <v>7.7922077922077913</v>
      </c>
      <c r="DJ113" s="545">
        <f t="shared" si="387"/>
        <v>12</v>
      </c>
      <c r="DK113" s="528">
        <f t="shared" si="388"/>
        <v>2.7616279069767442</v>
      </c>
      <c r="DM113" s="173">
        <f t="shared" si="389"/>
        <v>1.4832396974191326</v>
      </c>
      <c r="DN113" s="173">
        <f t="shared" si="390"/>
        <v>10</v>
      </c>
      <c r="DO113" s="173">
        <f t="shared" si="391"/>
        <v>1.0068571428571429</v>
      </c>
      <c r="DQ113" s="545">
        <f t="shared" si="392"/>
        <v>300</v>
      </c>
      <c r="DR113" s="460">
        <f t="shared" si="393"/>
        <v>12</v>
      </c>
      <c r="DT113">
        <f t="shared" si="430"/>
        <v>300</v>
      </c>
      <c r="DU113">
        <f t="shared" si="431"/>
        <v>12</v>
      </c>
      <c r="DW113" s="5">
        <f t="shared" si="394"/>
        <v>83.333333333333329</v>
      </c>
      <c r="DX113" s="5">
        <f t="shared" si="395"/>
        <v>6.3157894736842106</v>
      </c>
      <c r="DY113" s="5">
        <f t="shared" si="396"/>
        <v>77.017543859649123</v>
      </c>
      <c r="DZ113" s="5"/>
      <c r="EA113" s="173">
        <f t="shared" si="397"/>
        <v>7.5789473684210532E-2</v>
      </c>
      <c r="EB113" s="173">
        <f t="shared" si="398"/>
        <v>7.2000000000000011</v>
      </c>
      <c r="EC113" s="173">
        <f t="shared" si="399"/>
        <v>4.6210526315789471</v>
      </c>
      <c r="ED113" s="173">
        <f t="shared" si="400"/>
        <v>1.5580865603644649</v>
      </c>
      <c r="EE113" s="460">
        <f t="shared" si="401"/>
        <v>12.631578947368421</v>
      </c>
      <c r="EF113" s="5">
        <f t="shared" si="402"/>
        <v>6.2899990447989289</v>
      </c>
      <c r="EH113" s="173">
        <f t="shared" si="403"/>
        <v>1.5894388284780527</v>
      </c>
      <c r="EI113" s="173">
        <f t="shared" si="404"/>
        <v>5.5504069710120945</v>
      </c>
      <c r="EK113" s="528">
        <f t="shared" si="405"/>
        <v>5.0526315789473697E-2</v>
      </c>
      <c r="EL113" s="528">
        <f t="shared" si="406"/>
        <v>8.2560000000000008E-2</v>
      </c>
      <c r="EM113" s="528">
        <f t="shared" si="407"/>
        <v>1.5E-3</v>
      </c>
      <c r="EN113" s="528">
        <f t="shared" si="408"/>
        <v>1.4200319999999999E-3</v>
      </c>
      <c r="EO113">
        <f t="shared" si="409"/>
        <v>8.5500000000000003E-3</v>
      </c>
      <c r="EP113" s="460">
        <f t="shared" si="410"/>
        <v>10.050000000000001</v>
      </c>
      <c r="EQ113" s="460"/>
      <c r="ER113" s="460">
        <f t="shared" si="432"/>
        <v>144.5563477894737</v>
      </c>
      <c r="ES113" s="528">
        <f t="shared" si="411"/>
        <v>0.21</v>
      </c>
      <c r="EV113" s="460">
        <f t="shared" si="412"/>
        <v>210</v>
      </c>
      <c r="EW113" s="528">
        <f t="shared" si="413"/>
        <v>7.5789473684210545E-2</v>
      </c>
      <c r="EX113" s="528">
        <f t="shared" si="414"/>
        <v>0.92421052631578959</v>
      </c>
      <c r="EY113" s="528">
        <f t="shared" si="415"/>
        <v>7.8872048280743991E-3</v>
      </c>
      <c r="EZ113" s="528"/>
      <c r="FA113" s="528">
        <f t="shared" si="416"/>
        <v>1.2000000000000001E-3</v>
      </c>
      <c r="FB113" s="460">
        <f t="shared" si="417"/>
        <v>1009.0872048280748</v>
      </c>
      <c r="FC113" s="173">
        <f t="shared" si="418"/>
        <v>1.3636435526175483</v>
      </c>
      <c r="FD113" s="5">
        <f t="shared" si="419"/>
        <v>4.5</v>
      </c>
      <c r="FE113" s="173">
        <f t="shared" si="420"/>
        <v>0.76744091956121496</v>
      </c>
      <c r="FF113" s="5">
        <f t="shared" si="421"/>
        <v>76.744091956121494</v>
      </c>
      <c r="FI113" s="562">
        <f t="shared" si="422"/>
        <v>-50</v>
      </c>
      <c r="FJ113">
        <f t="shared" si="423"/>
        <v>-50</v>
      </c>
      <c r="FL113">
        <f t="shared" si="424"/>
        <v>7.4902534071883117E-2</v>
      </c>
    </row>
    <row r="114" spans="5:168">
      <c r="E114" s="170">
        <v>4</v>
      </c>
      <c r="F114" s="217">
        <f t="shared" si="425"/>
        <v>0.4</v>
      </c>
      <c r="G114" s="217"/>
      <c r="H114" s="217">
        <f t="shared" si="315"/>
        <v>6</v>
      </c>
      <c r="I114" s="541">
        <f t="shared" si="316"/>
        <v>18.771782267706179</v>
      </c>
      <c r="J114" s="172">
        <f t="shared" si="317"/>
        <v>15.536930639376292</v>
      </c>
      <c r="K114" s="172">
        <f t="shared" si="318"/>
        <v>34.308712907082473</v>
      </c>
      <c r="L114" s="443"/>
      <c r="M114" s="217">
        <f t="shared" si="319"/>
        <v>0.45288562701674989</v>
      </c>
      <c r="N114" s="172">
        <f t="shared" si="426"/>
        <v>212.73866948488563</v>
      </c>
      <c r="O114" s="172">
        <f t="shared" si="284"/>
        <v>6</v>
      </c>
      <c r="P114" s="217">
        <f t="shared" si="320"/>
        <v>14.182577965659043</v>
      </c>
      <c r="Q114" s="217">
        <f t="shared" si="321"/>
        <v>15</v>
      </c>
      <c r="R114" s="217"/>
      <c r="S114" s="172">
        <f t="shared" si="322"/>
        <v>1154.4711112396119</v>
      </c>
      <c r="T114" s="172">
        <f t="shared" si="323"/>
        <v>15</v>
      </c>
      <c r="U114" s="217">
        <f t="shared" si="324"/>
        <v>1.4622171149294449</v>
      </c>
      <c r="V114" s="217">
        <f t="shared" si="325"/>
        <v>0.93473305458797273</v>
      </c>
      <c r="W114" s="217">
        <f t="shared" si="326"/>
        <v>1.1293482468592473</v>
      </c>
      <c r="X114" s="197">
        <f t="shared" si="327"/>
        <v>70.841062021356379</v>
      </c>
      <c r="Y114" s="443">
        <f t="shared" si="328"/>
        <v>350</v>
      </c>
      <c r="AA114" s="217">
        <f t="shared" si="329"/>
        <v>10</v>
      </c>
      <c r="AB114" s="173">
        <f t="shared" si="330"/>
        <v>7.7235332245016206</v>
      </c>
      <c r="AC114" s="173">
        <f t="shared" si="331"/>
        <v>2.7357164809046299</v>
      </c>
      <c r="AD114" s="173"/>
      <c r="AE114" s="173">
        <f t="shared" si="332"/>
        <v>7.7235332245016206</v>
      </c>
      <c r="AF114" s="545">
        <f t="shared" si="333"/>
        <v>12</v>
      </c>
      <c r="AG114" s="528">
        <f t="shared" si="334"/>
        <v>2.7357164809046299</v>
      </c>
      <c r="AI114" s="173">
        <f t="shared" si="335"/>
        <v>1.7202951374346203</v>
      </c>
      <c r="AJ114" s="173">
        <f t="shared" si="336"/>
        <v>10</v>
      </c>
      <c r="AK114" s="173">
        <f t="shared" si="337"/>
        <v>1.0068571428571429</v>
      </c>
      <c r="AM114" s="545">
        <f t="shared" si="338"/>
        <v>400</v>
      </c>
      <c r="AN114" s="460">
        <f t="shared" si="339"/>
        <v>12</v>
      </c>
      <c r="AP114" s="460">
        <f t="shared" si="340"/>
        <v>400</v>
      </c>
      <c r="AQ114" s="460">
        <f t="shared" si="341"/>
        <v>12</v>
      </c>
      <c r="AS114" s="5">
        <f t="shared" si="285"/>
        <v>83.333333333333329</v>
      </c>
      <c r="AT114" s="5">
        <f t="shared" si="342"/>
        <v>6.3925736133452089</v>
      </c>
      <c r="AU114" s="5">
        <f t="shared" si="343"/>
        <v>76.940759719988122</v>
      </c>
      <c r="AV114" s="5"/>
      <c r="AW114" s="173">
        <f t="shared" si="344"/>
        <v>7.6710883360142507E-2</v>
      </c>
      <c r="AX114" s="173">
        <f t="shared" si="214"/>
        <v>7.2000000000000011</v>
      </c>
      <c r="AY114" s="173">
        <f t="shared" si="215"/>
        <v>4.6164455831992877</v>
      </c>
      <c r="AZ114" s="173">
        <f t="shared" si="288"/>
        <v>1.5596414752949952</v>
      </c>
      <c r="BA114" s="460">
        <f t="shared" si="345"/>
        <v>17.046862968920557</v>
      </c>
      <c r="BB114" s="5">
        <f t="shared" si="346"/>
        <v>8.4801632823574113</v>
      </c>
      <c r="BD114" s="173">
        <f t="shared" si="289"/>
        <v>1.5990714322187372</v>
      </c>
      <c r="BE114" s="173">
        <f t="shared" si="218"/>
        <v>5.5476394879259461</v>
      </c>
      <c r="BG114" s="528">
        <f t="shared" si="347"/>
        <v>5.1140588906761666E-2</v>
      </c>
      <c r="BH114" s="528">
        <f t="shared" si="348"/>
        <v>7.7194604040935574E-2</v>
      </c>
      <c r="BI114" s="528">
        <f t="shared" si="349"/>
        <v>5.6315346803118534E-3</v>
      </c>
      <c r="BJ114" s="528">
        <f t="shared" si="350"/>
        <v>1.4125053376087288E-3</v>
      </c>
      <c r="BK114">
        <f t="shared" si="351"/>
        <v>8.4473020204677805E-3</v>
      </c>
      <c r="BL114" s="460">
        <f t="shared" si="427"/>
        <v>14.078836700779632</v>
      </c>
      <c r="BM114" s="528">
        <f t="shared" si="352"/>
        <v>0.14532145890759504</v>
      </c>
      <c r="BN114" s="460">
        <f t="shared" si="353"/>
        <v>145.32145890759503</v>
      </c>
      <c r="BO114" s="528">
        <f t="shared" si="354"/>
        <v>0.27999999999999997</v>
      </c>
      <c r="BR114" s="460">
        <f t="shared" si="355"/>
        <v>279.99999999999994</v>
      </c>
      <c r="BS114" s="528">
        <f t="shared" si="356"/>
        <v>7.6710883360142493E-2</v>
      </c>
      <c r="BT114" s="528">
        <f t="shared" si="357"/>
        <v>0.92328911663985758</v>
      </c>
      <c r="BU114" s="528">
        <f t="shared" si="358"/>
        <v>7.8872048280743991E-3</v>
      </c>
      <c r="BV114" s="528"/>
      <c r="BW114" s="528">
        <f t="shared" si="359"/>
        <v>1.2000000000000001E-3</v>
      </c>
      <c r="BX114" s="460">
        <f t="shared" si="360"/>
        <v>1009.0872048280746</v>
      </c>
      <c r="BY114" s="173">
        <f t="shared" si="361"/>
        <v>1.4329137398141603</v>
      </c>
      <c r="BZ114" s="5">
        <f t="shared" si="362"/>
        <v>6</v>
      </c>
      <c r="CA114" s="173">
        <f t="shared" si="363"/>
        <v>0.80722045351625638</v>
      </c>
      <c r="CB114" s="5">
        <f t="shared" si="364"/>
        <v>80.722045351625638</v>
      </c>
      <c r="CE114" s="562">
        <f t="shared" si="365"/>
        <v>-50</v>
      </c>
      <c r="CF114">
        <f t="shared" si="366"/>
        <v>-50</v>
      </c>
      <c r="CG114" s="173">
        <f t="shared" si="367"/>
        <v>8.7635609200826581E-2</v>
      </c>
      <c r="CI114" s="170">
        <v>4</v>
      </c>
      <c r="CJ114" s="217">
        <f t="shared" si="428"/>
        <v>0.4</v>
      </c>
      <c r="CK114" s="217"/>
      <c r="CL114" s="217">
        <f t="shared" si="368"/>
        <v>6</v>
      </c>
      <c r="CM114" s="541">
        <f t="shared" si="369"/>
        <v>19</v>
      </c>
      <c r="CN114" s="443">
        <f t="shared" si="370"/>
        <v>15.4</v>
      </c>
      <c r="CO114" s="443">
        <f t="shared" si="371"/>
        <v>34.4</v>
      </c>
      <c r="CP114" s="443"/>
      <c r="CQ114" s="217">
        <f t="shared" si="372"/>
        <v>0.44767441860465118</v>
      </c>
      <c r="CR114" s="172">
        <f t="shared" si="429"/>
        <v>212.84736191860466</v>
      </c>
      <c r="CS114" s="172">
        <f t="shared" si="373"/>
        <v>6</v>
      </c>
      <c r="CT114" s="217">
        <f t="shared" si="374"/>
        <v>14.189824127906977</v>
      </c>
      <c r="CU114" s="217">
        <f t="shared" si="375"/>
        <v>15</v>
      </c>
      <c r="CV114" s="217"/>
      <c r="CW114" s="172">
        <f t="shared" si="376"/>
        <v>1168.5065018031707</v>
      </c>
      <c r="CX114" s="172">
        <f t="shared" si="377"/>
        <v>15</v>
      </c>
      <c r="CY114" s="217">
        <f t="shared" si="378"/>
        <v>1.4107997265892003</v>
      </c>
      <c r="CZ114" s="217">
        <f t="shared" si="379"/>
        <v>0.89103140626686339</v>
      </c>
      <c r="DA114" s="217">
        <f t="shared" si="380"/>
        <v>1.0993244622772989</v>
      </c>
      <c r="DB114" s="197">
        <f t="shared" si="381"/>
        <v>70.881782945736433</v>
      </c>
      <c r="DC114" s="443">
        <f t="shared" si="382"/>
        <v>350</v>
      </c>
      <c r="DE114" s="217">
        <f t="shared" si="383"/>
        <v>10.000000000000002</v>
      </c>
      <c r="DF114" s="173">
        <f t="shared" si="384"/>
        <v>7.792207792207793</v>
      </c>
      <c r="DG114" s="173">
        <f t="shared" si="385"/>
        <v>2.7616279069767451</v>
      </c>
      <c r="DH114" s="173"/>
      <c r="DI114" s="173">
        <f t="shared" si="386"/>
        <v>7.7922077922077913</v>
      </c>
      <c r="DJ114" s="545">
        <f t="shared" si="387"/>
        <v>12</v>
      </c>
      <c r="DK114" s="528">
        <f t="shared" si="388"/>
        <v>2.7616279069767442</v>
      </c>
      <c r="DM114" s="173">
        <f t="shared" si="389"/>
        <v>1.7126976771553506</v>
      </c>
      <c r="DN114" s="173">
        <f t="shared" si="390"/>
        <v>10</v>
      </c>
      <c r="DO114" s="173">
        <f t="shared" si="391"/>
        <v>1.0068571428571429</v>
      </c>
      <c r="DQ114" s="545">
        <f t="shared" si="392"/>
        <v>400</v>
      </c>
      <c r="DR114" s="460">
        <f t="shared" si="393"/>
        <v>12</v>
      </c>
      <c r="DT114">
        <f t="shared" si="430"/>
        <v>400</v>
      </c>
      <c r="DU114">
        <f t="shared" si="431"/>
        <v>12</v>
      </c>
      <c r="DW114" s="5">
        <f t="shared" si="394"/>
        <v>83.333333333333329</v>
      </c>
      <c r="DX114" s="5">
        <f t="shared" si="395"/>
        <v>6.3157894736842106</v>
      </c>
      <c r="DY114" s="5">
        <f t="shared" si="396"/>
        <v>77.017543859649123</v>
      </c>
      <c r="DZ114" s="5"/>
      <c r="EA114" s="173">
        <f t="shared" si="397"/>
        <v>7.5789473684210532E-2</v>
      </c>
      <c r="EB114" s="173">
        <f t="shared" si="398"/>
        <v>7.2000000000000011</v>
      </c>
      <c r="EC114" s="173">
        <f t="shared" si="399"/>
        <v>4.6210526315789471</v>
      </c>
      <c r="ED114" s="173">
        <f t="shared" si="400"/>
        <v>1.5580865603644649</v>
      </c>
      <c r="EE114" s="460">
        <f t="shared" si="401"/>
        <v>16.842105263157897</v>
      </c>
      <c r="EF114" s="5">
        <f t="shared" si="402"/>
        <v>8.3866653930652397</v>
      </c>
      <c r="EH114" s="173">
        <f t="shared" si="403"/>
        <v>1.5894388284780527</v>
      </c>
      <c r="EI114" s="173">
        <f t="shared" si="404"/>
        <v>5.5504069710120945</v>
      </c>
      <c r="EK114" s="528">
        <f t="shared" si="405"/>
        <v>5.0526315789473697E-2</v>
      </c>
      <c r="EL114" s="528">
        <f t="shared" si="406"/>
        <v>8.2560000000000008E-2</v>
      </c>
      <c r="EM114" s="528">
        <f t="shared" si="407"/>
        <v>1.5E-3</v>
      </c>
      <c r="EN114" s="528">
        <f t="shared" si="408"/>
        <v>1.4200319999999999E-3</v>
      </c>
      <c r="EO114">
        <f t="shared" si="409"/>
        <v>8.5500000000000003E-3</v>
      </c>
      <c r="EP114" s="460">
        <f t="shared" si="410"/>
        <v>10.050000000000001</v>
      </c>
      <c r="EQ114" s="460"/>
      <c r="ER114" s="460">
        <f t="shared" si="432"/>
        <v>144.5563477894737</v>
      </c>
      <c r="ES114" s="528">
        <f t="shared" si="411"/>
        <v>0.27999999999999997</v>
      </c>
      <c r="EV114" s="460">
        <f t="shared" si="412"/>
        <v>279.99999999999994</v>
      </c>
      <c r="EW114" s="528">
        <f t="shared" si="413"/>
        <v>7.5789473684210545E-2</v>
      </c>
      <c r="EX114" s="528">
        <f t="shared" si="414"/>
        <v>0.92421052631578959</v>
      </c>
      <c r="EY114" s="528">
        <f t="shared" si="415"/>
        <v>7.8872048280743991E-3</v>
      </c>
      <c r="EZ114" s="528"/>
      <c r="FA114" s="528">
        <f t="shared" si="416"/>
        <v>1.2000000000000001E-3</v>
      </c>
      <c r="FB114" s="460">
        <f t="shared" si="417"/>
        <v>1009.0872048280748</v>
      </c>
      <c r="FC114" s="173">
        <f t="shared" si="418"/>
        <v>1.4336435526175484</v>
      </c>
      <c r="FD114" s="5">
        <f t="shared" si="419"/>
        <v>6</v>
      </c>
      <c r="FE114" s="173">
        <f t="shared" si="420"/>
        <v>0.80714120303592829</v>
      </c>
      <c r="FF114" s="5">
        <f t="shared" si="421"/>
        <v>80.714120303592836</v>
      </c>
      <c r="FI114" s="562">
        <f t="shared" si="422"/>
        <v>-50</v>
      </c>
      <c r="FJ114">
        <f t="shared" si="423"/>
        <v>-50</v>
      </c>
      <c r="FL114">
        <f t="shared" si="424"/>
        <v>8.6489996418773668E-2</v>
      </c>
    </row>
    <row r="115" spans="5:168">
      <c r="E115" s="170">
        <v>5</v>
      </c>
      <c r="F115" s="217">
        <f t="shared" si="425"/>
        <v>0.5</v>
      </c>
      <c r="G115" s="217"/>
      <c r="H115" s="217">
        <f t="shared" si="315"/>
        <v>7.5</v>
      </c>
      <c r="I115" s="541">
        <f t="shared" si="316"/>
        <v>18.753268114390085</v>
      </c>
      <c r="J115" s="172">
        <f t="shared" si="317"/>
        <v>15.548039131365949</v>
      </c>
      <c r="K115" s="172">
        <f t="shared" si="318"/>
        <v>34.301307245756036</v>
      </c>
      <c r="L115" s="443"/>
      <c r="M115" s="217">
        <f t="shared" si="319"/>
        <v>0.45330957820537332</v>
      </c>
      <c r="N115" s="172">
        <f t="shared" si="426"/>
        <v>212.72780107906019</v>
      </c>
      <c r="O115" s="172">
        <f t="shared" si="284"/>
        <v>7.5</v>
      </c>
      <c r="P115" s="217">
        <f t="shared" si="320"/>
        <v>14.18185340527068</v>
      </c>
      <c r="Q115" s="217">
        <f t="shared" si="321"/>
        <v>15</v>
      </c>
      <c r="R115" s="217"/>
      <c r="S115" s="172">
        <f t="shared" si="322"/>
        <v>918.9182972460876</v>
      </c>
      <c r="T115" s="172">
        <f t="shared" si="323"/>
        <v>15</v>
      </c>
      <c r="U115" s="217">
        <f t="shared" si="324"/>
        <v>1.8291888061936201</v>
      </c>
      <c r="V115" s="217">
        <f t="shared" si="325"/>
        <v>1.1704768225160807</v>
      </c>
      <c r="W115" s="217">
        <f t="shared" si="326"/>
        <v>1.4117706733861966</v>
      </c>
      <c r="X115" s="197">
        <f t="shared" si="327"/>
        <v>70.83708316481389</v>
      </c>
      <c r="Y115" s="443">
        <f t="shared" si="328"/>
        <v>350</v>
      </c>
      <c r="AA115" s="217">
        <f t="shared" si="329"/>
        <v>10</v>
      </c>
      <c r="AB115" s="173">
        <f t="shared" si="330"/>
        <v>7.7180150491078416</v>
      </c>
      <c r="AC115" s="173">
        <f t="shared" si="331"/>
        <v>2.7336083695046867</v>
      </c>
      <c r="AD115" s="173"/>
      <c r="AE115" s="173">
        <f t="shared" si="332"/>
        <v>7.7180150491078416</v>
      </c>
      <c r="AF115" s="545">
        <f t="shared" si="333"/>
        <v>12.956699276138288</v>
      </c>
      <c r="AG115" s="528">
        <f t="shared" si="334"/>
        <v>2.7336083695046871</v>
      </c>
      <c r="AI115" s="173">
        <f t="shared" si="335"/>
        <v>1.9240358829545394</v>
      </c>
      <c r="AJ115" s="173">
        <f t="shared" si="336"/>
        <v>10</v>
      </c>
      <c r="AK115" s="173">
        <f t="shared" si="337"/>
        <v>1.0074038281577933</v>
      </c>
      <c r="AM115" s="545">
        <f t="shared" si="338"/>
        <v>500</v>
      </c>
      <c r="AN115" s="460">
        <f t="shared" si="339"/>
        <v>12.956699276138288</v>
      </c>
      <c r="AP115" s="460">
        <f t="shared" si="340"/>
        <v>500</v>
      </c>
      <c r="AQ115" s="460">
        <f t="shared" si="341"/>
        <v>12.956699276138288</v>
      </c>
      <c r="AS115" s="5">
        <f t="shared" si="285"/>
        <v>77.180150491078436</v>
      </c>
      <c r="AT115" s="5">
        <f t="shared" si="342"/>
        <v>6.3988846780215072</v>
      </c>
      <c r="AU115" s="5">
        <f t="shared" si="343"/>
        <v>70.781265813056933</v>
      </c>
      <c r="AV115" s="5"/>
      <c r="AW115" s="173">
        <f t="shared" si="344"/>
        <v>8.2908424475813633E-2</v>
      </c>
      <c r="AX115" s="173">
        <f t="shared" si="214"/>
        <v>7.7740195656829734</v>
      </c>
      <c r="AY115" s="173">
        <f t="shared" si="215"/>
        <v>4.5854578776209323</v>
      </c>
      <c r="AZ115" s="173">
        <f t="shared" si="288"/>
        <v>1.6953638596537188</v>
      </c>
      <c r="BA115" s="460">
        <f t="shared" si="345"/>
        <v>21.329615593405023</v>
      </c>
      <c r="BB115" s="5">
        <f t="shared" si="346"/>
        <v>9.7612318384081362</v>
      </c>
      <c r="BD115" s="173">
        <f t="shared" si="289"/>
        <v>1.6624121478122649</v>
      </c>
      <c r="BE115" s="173">
        <f t="shared" si="218"/>
        <v>5.5289889839047026</v>
      </c>
      <c r="BG115" s="528">
        <f t="shared" si="347"/>
        <v>5.5272282983875751E-2</v>
      </c>
      <c r="BH115" s="528">
        <f t="shared" si="348"/>
        <v>8.3330948017815806E-2</v>
      </c>
      <c r="BI115" s="528">
        <f t="shared" si="349"/>
        <v>6.0745113850736313E-3</v>
      </c>
      <c r="BJ115" s="528">
        <f t="shared" si="350"/>
        <v>1.5244589072209197E-3</v>
      </c>
      <c r="BK115">
        <f t="shared" si="351"/>
        <v>8.4389706514755389E-3</v>
      </c>
      <c r="BL115" s="460">
        <f t="shared" si="427"/>
        <v>14.513482036549171</v>
      </c>
      <c r="BM115" s="528">
        <f t="shared" si="352"/>
        <v>0.15711454360735819</v>
      </c>
      <c r="BN115" s="460">
        <f t="shared" si="353"/>
        <v>157.1145436073582</v>
      </c>
      <c r="BO115" s="528">
        <f t="shared" si="354"/>
        <v>0.35</v>
      </c>
      <c r="BR115" s="460">
        <f t="shared" si="355"/>
        <v>350</v>
      </c>
      <c r="BS115" s="528">
        <f t="shared" si="356"/>
        <v>8.2908424475813619E-2</v>
      </c>
      <c r="BT115" s="528">
        <f t="shared" si="357"/>
        <v>0.91709157552418663</v>
      </c>
      <c r="BU115" s="528">
        <f t="shared" si="358"/>
        <v>9.5544557126780744E-3</v>
      </c>
      <c r="BV115" s="528"/>
      <c r="BW115" s="528">
        <f t="shared" si="359"/>
        <v>1.295669927613829E-3</v>
      </c>
      <c r="BX115" s="460">
        <f t="shared" si="360"/>
        <v>1010.8501256402922</v>
      </c>
      <c r="BY115" s="173">
        <f t="shared" si="361"/>
        <v>1.5154912975857537</v>
      </c>
      <c r="BZ115" s="5">
        <f t="shared" si="362"/>
        <v>7.5</v>
      </c>
      <c r="CA115" s="173">
        <f t="shared" si="363"/>
        <v>0.83190141861801969</v>
      </c>
      <c r="CB115" s="5">
        <f t="shared" si="364"/>
        <v>83.190141861801976</v>
      </c>
      <c r="CE115" s="562">
        <f t="shared" si="365"/>
        <v>-50</v>
      </c>
      <c r="CF115">
        <f t="shared" si="366"/>
        <v>-50</v>
      </c>
      <c r="CG115" s="173">
        <f t="shared" si="367"/>
        <v>0.10132456102380442</v>
      </c>
      <c r="CI115" s="170">
        <v>5</v>
      </c>
      <c r="CJ115" s="217">
        <f t="shared" si="428"/>
        <v>0.5</v>
      </c>
      <c r="CK115" s="217"/>
      <c r="CL115" s="217">
        <f t="shared" si="368"/>
        <v>7.5</v>
      </c>
      <c r="CM115" s="541">
        <f t="shared" si="369"/>
        <v>19</v>
      </c>
      <c r="CN115" s="443">
        <f t="shared" si="370"/>
        <v>15.4</v>
      </c>
      <c r="CO115" s="443">
        <f t="shared" si="371"/>
        <v>34.4</v>
      </c>
      <c r="CP115" s="443"/>
      <c r="CQ115" s="217">
        <f t="shared" si="372"/>
        <v>0.44767441860465118</v>
      </c>
      <c r="CR115" s="172">
        <f t="shared" si="429"/>
        <v>212.84736191860466</v>
      </c>
      <c r="CS115" s="172">
        <f t="shared" si="373"/>
        <v>7.5</v>
      </c>
      <c r="CT115" s="217">
        <f t="shared" si="374"/>
        <v>14.189824127906977</v>
      </c>
      <c r="CU115" s="217">
        <f t="shared" si="375"/>
        <v>15</v>
      </c>
      <c r="CV115" s="217"/>
      <c r="CW115" s="172">
        <f t="shared" si="376"/>
        <v>931.00815968801749</v>
      </c>
      <c r="CX115" s="172">
        <f t="shared" si="377"/>
        <v>15</v>
      </c>
      <c r="CY115" s="217">
        <f t="shared" si="378"/>
        <v>1.7634996582365003</v>
      </c>
      <c r="CZ115" s="217">
        <f t="shared" si="379"/>
        <v>1.1137892578335793</v>
      </c>
      <c r="DA115" s="217">
        <f t="shared" si="380"/>
        <v>1.3741555778466237</v>
      </c>
      <c r="DB115" s="197">
        <f t="shared" si="381"/>
        <v>70.881782945736433</v>
      </c>
      <c r="DC115" s="443">
        <f t="shared" si="382"/>
        <v>350</v>
      </c>
      <c r="DE115" s="217">
        <f t="shared" si="383"/>
        <v>10.000000000000002</v>
      </c>
      <c r="DF115" s="173">
        <f t="shared" si="384"/>
        <v>7.792207792207793</v>
      </c>
      <c r="DG115" s="173">
        <f t="shared" si="385"/>
        <v>2.7616279069767451</v>
      </c>
      <c r="DH115" s="173"/>
      <c r="DI115" s="173">
        <f t="shared" si="386"/>
        <v>7.7922077922077913</v>
      </c>
      <c r="DJ115" s="545">
        <f t="shared" si="387"/>
        <v>12.833333333333334</v>
      </c>
      <c r="DK115" s="528">
        <f t="shared" si="388"/>
        <v>2.7616279069767442</v>
      </c>
      <c r="DM115" s="173">
        <f t="shared" si="389"/>
        <v>1.9148542155126762</v>
      </c>
      <c r="DN115" s="173">
        <f t="shared" si="390"/>
        <v>10</v>
      </c>
      <c r="DO115" s="173">
        <f t="shared" si="391"/>
        <v>1.0073333333333334</v>
      </c>
      <c r="DQ115" s="545">
        <f t="shared" si="392"/>
        <v>500</v>
      </c>
      <c r="DR115" s="460">
        <f t="shared" si="393"/>
        <v>12.833333333333334</v>
      </c>
      <c r="DT115">
        <f t="shared" si="430"/>
        <v>500</v>
      </c>
      <c r="DU115">
        <f t="shared" si="431"/>
        <v>12.833333333333334</v>
      </c>
      <c r="DW115" s="5">
        <f t="shared" si="394"/>
        <v>77.922077922077918</v>
      </c>
      <c r="DX115" s="5">
        <f t="shared" si="395"/>
        <v>6.3157894736842106</v>
      </c>
      <c r="DY115" s="5">
        <f t="shared" si="396"/>
        <v>71.606288448393713</v>
      </c>
      <c r="DZ115" s="5"/>
      <c r="EA115" s="173">
        <f t="shared" si="397"/>
        <v>8.1052631578947376E-2</v>
      </c>
      <c r="EB115" s="173">
        <f t="shared" si="398"/>
        <v>7.7000000000000011</v>
      </c>
      <c r="EC115" s="173">
        <f t="shared" si="399"/>
        <v>4.594736842105263</v>
      </c>
      <c r="ED115" s="173">
        <f t="shared" si="400"/>
        <v>1.6758304696449029</v>
      </c>
      <c r="EE115" s="460">
        <f t="shared" si="401"/>
        <v>21.052631578947366</v>
      </c>
      <c r="EF115" s="5">
        <f t="shared" si="402"/>
        <v>9.746772474826729</v>
      </c>
      <c r="EH115" s="173">
        <f t="shared" si="403"/>
        <v>1.6437014284732228</v>
      </c>
      <c r="EI115" s="173">
        <f t="shared" si="404"/>
        <v>5.5345802864687421</v>
      </c>
      <c r="EK115" s="528">
        <f t="shared" si="405"/>
        <v>5.4035087719298262E-2</v>
      </c>
      <c r="EL115" s="528">
        <f t="shared" si="406"/>
        <v>8.8293333333333335E-2</v>
      </c>
      <c r="EM115" s="528">
        <f t="shared" si="407"/>
        <v>1.6041666666666667E-3</v>
      </c>
      <c r="EN115" s="528">
        <f t="shared" si="408"/>
        <v>1.5186453333333333E-3</v>
      </c>
      <c r="EO115">
        <f t="shared" si="409"/>
        <v>8.5500000000000003E-3</v>
      </c>
      <c r="EP115" s="460">
        <f t="shared" si="410"/>
        <v>10.154166666666667</v>
      </c>
      <c r="EQ115" s="460"/>
      <c r="ER115" s="460">
        <f t="shared" si="432"/>
        <v>154.00123305263162</v>
      </c>
      <c r="ES115" s="528">
        <f t="shared" si="411"/>
        <v>0.35</v>
      </c>
      <c r="EV115" s="460">
        <f t="shared" si="412"/>
        <v>350</v>
      </c>
      <c r="EW115" s="528">
        <f t="shared" si="413"/>
        <v>8.105263157894739E-2</v>
      </c>
      <c r="EX115" s="528">
        <f t="shared" si="414"/>
        <v>0.91894736842105273</v>
      </c>
      <c r="EY115" s="528">
        <f t="shared" si="415"/>
        <v>9.3286476832938024E-3</v>
      </c>
      <c r="EZ115" s="528"/>
      <c r="FA115" s="528">
        <f t="shared" si="416"/>
        <v>1.2833333333333334E-3</v>
      </c>
      <c r="FB115" s="460">
        <f t="shared" si="417"/>
        <v>1010.6119810166274</v>
      </c>
      <c r="FC115" s="173">
        <f t="shared" si="418"/>
        <v>1.5146132140692588</v>
      </c>
      <c r="FD115" s="5">
        <f t="shared" si="419"/>
        <v>7.5</v>
      </c>
      <c r="FE115" s="173">
        <f t="shared" si="420"/>
        <v>0.83198245137069482</v>
      </c>
      <c r="FF115" s="5">
        <f t="shared" si="421"/>
        <v>83.198245137069478</v>
      </c>
      <c r="FI115" s="562">
        <f t="shared" si="422"/>
        <v>-50</v>
      </c>
      <c r="FJ115">
        <f t="shared" si="423"/>
        <v>-50</v>
      </c>
      <c r="FL115">
        <f t="shared" si="424"/>
        <v>0.1</v>
      </c>
    </row>
    <row r="116" spans="5:168">
      <c r="E116" s="170">
        <v>6</v>
      </c>
      <c r="F116" s="217">
        <f t="shared" si="425"/>
        <v>0.6</v>
      </c>
      <c r="G116" s="217"/>
      <c r="H116" s="217">
        <f t="shared" si="315"/>
        <v>9</v>
      </c>
      <c r="I116" s="541">
        <f t="shared" si="316"/>
        <v>18.753268114390085</v>
      </c>
      <c r="J116" s="172">
        <f t="shared" si="317"/>
        <v>15.548039131365949</v>
      </c>
      <c r="K116" s="172">
        <f t="shared" si="318"/>
        <v>34.301307245756036</v>
      </c>
      <c r="L116" s="443"/>
      <c r="M116" s="217">
        <f t="shared" si="319"/>
        <v>0.45330957820537332</v>
      </c>
      <c r="N116" s="172">
        <f t="shared" si="426"/>
        <v>212.72780107906019</v>
      </c>
      <c r="O116" s="172">
        <f t="shared" si="284"/>
        <v>9</v>
      </c>
      <c r="P116" s="217">
        <f t="shared" si="320"/>
        <v>14.18185340527068</v>
      </c>
      <c r="Q116" s="217">
        <f t="shared" si="321"/>
        <v>15</v>
      </c>
      <c r="R116" s="217"/>
      <c r="S116" s="172">
        <f t="shared" si="322"/>
        <v>762.64273410114629</v>
      </c>
      <c r="T116" s="172">
        <f t="shared" si="323"/>
        <v>15</v>
      </c>
      <c r="U116" s="217">
        <f t="shared" si="324"/>
        <v>2.1950265674323441</v>
      </c>
      <c r="V116" s="217">
        <f t="shared" si="325"/>
        <v>1.4045721870192969</v>
      </c>
      <c r="W116" s="217">
        <f t="shared" si="326"/>
        <v>1.6941248080634359</v>
      </c>
      <c r="X116" s="197">
        <f t="shared" si="327"/>
        <v>70.83708316481389</v>
      </c>
      <c r="Y116" s="443">
        <f t="shared" si="328"/>
        <v>303.15000180091397</v>
      </c>
      <c r="AA116" s="217">
        <f t="shared" si="329"/>
        <v>10</v>
      </c>
      <c r="AB116" s="173">
        <f t="shared" si="330"/>
        <v>7.7180150491078416</v>
      </c>
      <c r="AC116" s="173">
        <f t="shared" si="331"/>
        <v>2.7336083695046867</v>
      </c>
      <c r="AD116" s="173"/>
      <c r="AE116" s="173">
        <f t="shared" si="332"/>
        <v>7.7180150491078416</v>
      </c>
      <c r="AF116" s="545">
        <f t="shared" si="333"/>
        <v>15.548039131365945</v>
      </c>
      <c r="AG116" s="528">
        <f t="shared" si="334"/>
        <v>2.7336083695046871</v>
      </c>
      <c r="AI116" s="173">
        <f t="shared" si="335"/>
        <v>2.1076757090871414</v>
      </c>
      <c r="AJ116" s="173">
        <f t="shared" si="336"/>
        <v>10</v>
      </c>
      <c r="AK116" s="173">
        <f t="shared" si="337"/>
        <v>1.008884593789352</v>
      </c>
      <c r="AM116" s="545">
        <f t="shared" si="338"/>
        <v>600</v>
      </c>
      <c r="AN116" s="460">
        <f t="shared" si="339"/>
        <v>15.548039131365945</v>
      </c>
      <c r="AP116" s="460">
        <f t="shared" si="340"/>
        <v>600</v>
      </c>
      <c r="AQ116" s="460">
        <f t="shared" si="341"/>
        <v>15.548039131365945</v>
      </c>
      <c r="AS116" s="5">
        <f t="shared" si="285"/>
        <v>64.31679207589869</v>
      </c>
      <c r="AT116" s="5">
        <f t="shared" si="342"/>
        <v>6.3988846780215072</v>
      </c>
      <c r="AU116" s="5">
        <f t="shared" si="343"/>
        <v>57.91790739787718</v>
      </c>
      <c r="AV116" s="5"/>
      <c r="AW116" s="173">
        <f t="shared" si="344"/>
        <v>9.9490109370976368E-2</v>
      </c>
      <c r="AX116" s="173">
        <f t="shared" si="214"/>
        <v>9.328823478819567</v>
      </c>
      <c r="AY116" s="173">
        <f t="shared" si="215"/>
        <v>4.502549453145118</v>
      </c>
      <c r="AZ116" s="173">
        <f t="shared" si="288"/>
        <v>2.0718980603984711</v>
      </c>
      <c r="BA116" s="460">
        <f t="shared" si="345"/>
        <v>25.595538712086025</v>
      </c>
      <c r="BB116" s="5">
        <f t="shared" si="346"/>
        <v>9.5847416439140893</v>
      </c>
      <c r="BD116" s="173">
        <f t="shared" si="289"/>
        <v>1.8210812664547802</v>
      </c>
      <c r="BE116" s="173">
        <f t="shared" si="218"/>
        <v>5.4787769031327418</v>
      </c>
      <c r="BG116" s="528">
        <f t="shared" si="347"/>
        <v>6.6326739580650926E-2</v>
      </c>
      <c r="BH116" s="528">
        <f t="shared" si="348"/>
        <v>9.9997137621378948E-2</v>
      </c>
      <c r="BI116" s="528">
        <f t="shared" si="349"/>
        <v>7.289413662088357E-3</v>
      </c>
      <c r="BJ116" s="528">
        <f t="shared" si="350"/>
        <v>1.8293506886651034E-3</v>
      </c>
      <c r="BK116">
        <f t="shared" si="351"/>
        <v>8.4389706514755389E-3</v>
      </c>
      <c r="BL116" s="460">
        <f t="shared" si="427"/>
        <v>15.728384313563895</v>
      </c>
      <c r="BM116" s="528">
        <f t="shared" si="352"/>
        <v>0.18904058222045628</v>
      </c>
      <c r="BN116" s="460">
        <f t="shared" si="353"/>
        <v>189.04058222045629</v>
      </c>
      <c r="BO116" s="528">
        <f t="shared" si="354"/>
        <v>0.42</v>
      </c>
      <c r="BR116" s="460">
        <f t="shared" si="355"/>
        <v>420</v>
      </c>
      <c r="BS116" s="528">
        <f t="shared" si="356"/>
        <v>9.9490109370976382E-2</v>
      </c>
      <c r="BT116" s="528">
        <f t="shared" si="357"/>
        <v>0.90050989062902387</v>
      </c>
      <c r="BU116" s="528">
        <f t="shared" si="358"/>
        <v>1.507158984533149E-2</v>
      </c>
      <c r="BV116" s="528"/>
      <c r="BW116" s="528">
        <f t="shared" si="359"/>
        <v>1.5548039131365948E-3</v>
      </c>
      <c r="BX116" s="460">
        <f t="shared" si="360"/>
        <v>1016.6263937584683</v>
      </c>
      <c r="BY116" s="173">
        <f t="shared" si="361"/>
        <v>1.6205080059627273</v>
      </c>
      <c r="BZ116" s="5">
        <f t="shared" si="362"/>
        <v>9</v>
      </c>
      <c r="CA116" s="173">
        <f t="shared" si="363"/>
        <v>0.84741709106071794</v>
      </c>
      <c r="CB116" s="5">
        <f t="shared" si="364"/>
        <v>84.741709106071795</v>
      </c>
      <c r="CE116" s="562">
        <f t="shared" si="365"/>
        <v>-50</v>
      </c>
      <c r="CF116">
        <f t="shared" si="366"/>
        <v>-50</v>
      </c>
      <c r="CG116" s="173">
        <f t="shared" si="367"/>
        <v>0.12158947322856531</v>
      </c>
      <c r="CI116" s="170">
        <v>6</v>
      </c>
      <c r="CJ116" s="217">
        <f t="shared" si="428"/>
        <v>0.6</v>
      </c>
      <c r="CK116" s="217"/>
      <c r="CL116" s="217">
        <f t="shared" si="368"/>
        <v>9</v>
      </c>
      <c r="CM116" s="541">
        <f t="shared" si="369"/>
        <v>19</v>
      </c>
      <c r="CN116" s="443">
        <f t="shared" si="370"/>
        <v>15.4</v>
      </c>
      <c r="CO116" s="443">
        <f t="shared" si="371"/>
        <v>34.4</v>
      </c>
      <c r="CP116" s="443"/>
      <c r="CQ116" s="217">
        <f t="shared" si="372"/>
        <v>0.44767441860465118</v>
      </c>
      <c r="CR116" s="172">
        <f t="shared" si="429"/>
        <v>212.84736191860466</v>
      </c>
      <c r="CS116" s="172">
        <f t="shared" si="373"/>
        <v>9</v>
      </c>
      <c r="CT116" s="217">
        <f t="shared" si="374"/>
        <v>14.189824127906977</v>
      </c>
      <c r="CU116" s="217">
        <f t="shared" si="375"/>
        <v>15</v>
      </c>
      <c r="CV116" s="217"/>
      <c r="CW116" s="172">
        <f t="shared" si="376"/>
        <v>772.6764975178495</v>
      </c>
      <c r="CX116" s="172">
        <f t="shared" si="377"/>
        <v>15</v>
      </c>
      <c r="CY116" s="217">
        <f t="shared" si="378"/>
        <v>2.1161995898838004</v>
      </c>
      <c r="CZ116" s="217">
        <f t="shared" si="379"/>
        <v>1.336547109400295</v>
      </c>
      <c r="DA116" s="217">
        <f t="shared" si="380"/>
        <v>1.6489866934159483</v>
      </c>
      <c r="DB116" s="197">
        <f t="shared" si="381"/>
        <v>70.881782945736433</v>
      </c>
      <c r="DC116" s="443">
        <f t="shared" si="382"/>
        <v>334.94847690443288</v>
      </c>
      <c r="DE116" s="217">
        <f t="shared" si="383"/>
        <v>10.000000000000002</v>
      </c>
      <c r="DF116" s="173">
        <f t="shared" si="384"/>
        <v>7.792207792207793</v>
      </c>
      <c r="DG116" s="173">
        <f t="shared" si="385"/>
        <v>2.7616279069767451</v>
      </c>
      <c r="DH116" s="173"/>
      <c r="DI116" s="173">
        <f t="shared" si="386"/>
        <v>7.7922077922077913</v>
      </c>
      <c r="DJ116" s="545">
        <f t="shared" si="387"/>
        <v>15.4</v>
      </c>
      <c r="DK116" s="528">
        <f t="shared" si="388"/>
        <v>2.7616279069767442</v>
      </c>
      <c r="DM116" s="173">
        <f t="shared" si="389"/>
        <v>2.0976176963403033</v>
      </c>
      <c r="DN116" s="173">
        <f t="shared" si="390"/>
        <v>10</v>
      </c>
      <c r="DO116" s="173">
        <f t="shared" si="391"/>
        <v>1.0087999999999999</v>
      </c>
      <c r="DQ116" s="545">
        <f t="shared" si="392"/>
        <v>600</v>
      </c>
      <c r="DR116" s="460">
        <f t="shared" si="393"/>
        <v>15.4</v>
      </c>
      <c r="DT116">
        <f t="shared" si="430"/>
        <v>600</v>
      </c>
      <c r="DU116">
        <f t="shared" si="431"/>
        <v>15.4</v>
      </c>
      <c r="DW116" s="5">
        <f t="shared" si="394"/>
        <v>64.935064935064929</v>
      </c>
      <c r="DX116" s="5">
        <f t="shared" si="395"/>
        <v>6.3157894736842106</v>
      </c>
      <c r="DY116" s="5">
        <f t="shared" si="396"/>
        <v>58.619275461380717</v>
      </c>
      <c r="DZ116" s="5"/>
      <c r="EA116" s="173">
        <f t="shared" si="397"/>
        <v>9.7263157894736857E-2</v>
      </c>
      <c r="EB116" s="173">
        <f t="shared" si="398"/>
        <v>9.240000000000002</v>
      </c>
      <c r="EC116" s="173">
        <f t="shared" si="399"/>
        <v>4.513684210526316</v>
      </c>
      <c r="ED116" s="173">
        <f t="shared" si="400"/>
        <v>2.0471082089552244</v>
      </c>
      <c r="EE116" s="460">
        <f t="shared" si="401"/>
        <v>25.263157894736842</v>
      </c>
      <c r="EF116" s="5">
        <f t="shared" si="402"/>
        <v>9.5748362822581914</v>
      </c>
      <c r="EH116" s="173">
        <f t="shared" si="403"/>
        <v>1.8005847003564968</v>
      </c>
      <c r="EI116" s="173">
        <f t="shared" si="404"/>
        <v>5.4855471987920623</v>
      </c>
      <c r="EK116" s="528">
        <f t="shared" si="405"/>
        <v>6.4842105263157895E-2</v>
      </c>
      <c r="EL116" s="528">
        <f t="shared" si="406"/>
        <v>0.105952</v>
      </c>
      <c r="EM116" s="528">
        <f t="shared" si="407"/>
        <v>1.9249999999999998E-3</v>
      </c>
      <c r="EN116" s="528">
        <f t="shared" si="408"/>
        <v>1.8223744E-3</v>
      </c>
      <c r="EO116">
        <f t="shared" si="409"/>
        <v>8.5500000000000003E-3</v>
      </c>
      <c r="EP116" s="460">
        <f t="shared" si="410"/>
        <v>10.475</v>
      </c>
      <c r="EQ116" s="460"/>
      <c r="ER116" s="460">
        <f t="shared" si="432"/>
        <v>183.09147966315791</v>
      </c>
      <c r="ES116" s="528">
        <f t="shared" si="411"/>
        <v>0.42</v>
      </c>
      <c r="EV116" s="460">
        <f t="shared" si="412"/>
        <v>420</v>
      </c>
      <c r="EW116" s="528">
        <f t="shared" si="413"/>
        <v>9.7263157894736843E-2</v>
      </c>
      <c r="EX116" s="528">
        <f t="shared" si="414"/>
        <v>0.90273684210526328</v>
      </c>
      <c r="EY116" s="528">
        <f t="shared" si="415"/>
        <v>1.4715391009415983E-2</v>
      </c>
      <c r="EZ116" s="528"/>
      <c r="FA116" s="528">
        <f t="shared" si="416"/>
        <v>1.5400000000000001E-3</v>
      </c>
      <c r="FB116" s="460">
        <f t="shared" si="417"/>
        <v>1016.2553910094163</v>
      </c>
      <c r="FC116" s="173">
        <f t="shared" si="418"/>
        <v>1.6193468706725742</v>
      </c>
      <c r="FD116" s="5">
        <f t="shared" si="419"/>
        <v>9</v>
      </c>
      <c r="FE116" s="173">
        <f t="shared" si="420"/>
        <v>0.84750974891452879</v>
      </c>
      <c r="FF116" s="5">
        <f t="shared" si="421"/>
        <v>84.750974891452884</v>
      </c>
      <c r="FI116" s="562">
        <f t="shared" si="422"/>
        <v>-50</v>
      </c>
      <c r="FJ116">
        <f t="shared" si="423"/>
        <v>-50</v>
      </c>
      <c r="FL116">
        <f t="shared" si="424"/>
        <v>0.12000000000000001</v>
      </c>
    </row>
    <row r="117" spans="5:168">
      <c r="E117" s="170">
        <v>7</v>
      </c>
      <c r="F117" s="217">
        <f t="shared" si="425"/>
        <v>0.70000000000000007</v>
      </c>
      <c r="G117" s="217"/>
      <c r="H117" s="217">
        <f t="shared" si="315"/>
        <v>10.500000000000002</v>
      </c>
      <c r="I117" s="541">
        <f t="shared" si="316"/>
        <v>18.753268114390085</v>
      </c>
      <c r="J117" s="172">
        <f t="shared" si="317"/>
        <v>15.548039131365949</v>
      </c>
      <c r="K117" s="172">
        <f t="shared" si="318"/>
        <v>34.301307245756036</v>
      </c>
      <c r="L117" s="443"/>
      <c r="M117" s="217">
        <f t="shared" si="319"/>
        <v>0.45330957820537332</v>
      </c>
      <c r="N117" s="172">
        <f t="shared" si="426"/>
        <v>212.72780107906019</v>
      </c>
      <c r="O117" s="172">
        <f t="shared" si="284"/>
        <v>10.500000000000002</v>
      </c>
      <c r="P117" s="217">
        <f t="shared" si="320"/>
        <v>14.18185340527068</v>
      </c>
      <c r="Q117" s="217">
        <f t="shared" si="321"/>
        <v>15</v>
      </c>
      <c r="R117" s="217"/>
      <c r="S117" s="172">
        <f t="shared" si="322"/>
        <v>651.01782275417827</v>
      </c>
      <c r="T117" s="172">
        <f t="shared" si="323"/>
        <v>15</v>
      </c>
      <c r="U117" s="217">
        <f t="shared" si="324"/>
        <v>2.5608643286710686</v>
      </c>
      <c r="V117" s="217">
        <f t="shared" si="325"/>
        <v>1.6386675515225138</v>
      </c>
      <c r="W117" s="217">
        <f t="shared" si="326"/>
        <v>1.9764789427406757</v>
      </c>
      <c r="X117" s="197">
        <f t="shared" si="327"/>
        <v>70.83708316481389</v>
      </c>
      <c r="Y117" s="443">
        <f t="shared" si="328"/>
        <v>262.11313287804103</v>
      </c>
      <c r="AA117" s="217">
        <f t="shared" si="329"/>
        <v>10</v>
      </c>
      <c r="AB117" s="173">
        <f t="shared" si="330"/>
        <v>7.7180150491078416</v>
      </c>
      <c r="AC117" s="173">
        <f t="shared" si="331"/>
        <v>2.7336083695046867</v>
      </c>
      <c r="AD117" s="173"/>
      <c r="AE117" s="173">
        <f t="shared" si="332"/>
        <v>7.7180150491078416</v>
      </c>
      <c r="AF117" s="545">
        <f t="shared" si="333"/>
        <v>18.139378986593606</v>
      </c>
      <c r="AG117" s="528">
        <f t="shared" si="334"/>
        <v>2.7336083695046871</v>
      </c>
      <c r="AI117" s="173">
        <f t="shared" si="335"/>
        <v>2.2765499578211141</v>
      </c>
      <c r="AJ117" s="173">
        <f t="shared" si="336"/>
        <v>10</v>
      </c>
      <c r="AK117" s="173">
        <f t="shared" si="337"/>
        <v>1.0103653594209105</v>
      </c>
      <c r="AM117" s="545">
        <f t="shared" si="338"/>
        <v>700.00000000000011</v>
      </c>
      <c r="AN117" s="460">
        <f t="shared" si="339"/>
        <v>18.139378986593606</v>
      </c>
      <c r="AP117" s="460">
        <f t="shared" si="340"/>
        <v>700.00000000000011</v>
      </c>
      <c r="AQ117" s="460">
        <f t="shared" si="341"/>
        <v>18.139378986593606</v>
      </c>
      <c r="AS117" s="5">
        <f t="shared" si="285"/>
        <v>55.128678922198866</v>
      </c>
      <c r="AT117" s="5">
        <f t="shared" si="342"/>
        <v>6.3988846780215072</v>
      </c>
      <c r="AU117" s="5">
        <f t="shared" si="343"/>
        <v>48.729794244177356</v>
      </c>
      <c r="AV117" s="5"/>
      <c r="AW117" s="173">
        <f t="shared" si="344"/>
        <v>0.11607179426613913</v>
      </c>
      <c r="AX117" s="173">
        <f t="shared" si="214"/>
        <v>10.883627391956164</v>
      </c>
      <c r="AY117" s="173">
        <f t="shared" si="215"/>
        <v>4.4196410286693046</v>
      </c>
      <c r="AZ117" s="173">
        <f t="shared" si="288"/>
        <v>2.4625591357660737</v>
      </c>
      <c r="BA117" s="460">
        <f t="shared" ref="BA117:BA180" si="433">F117*AT117/Vout_ripple*1000</f>
        <v>29.861461830767038</v>
      </c>
      <c r="BB117" s="5">
        <f t="shared" ref="BB117:BB180" si="434">H117/Efficiency/I117*AU117/Vinripple1</f>
        <v>9.4082514494200424</v>
      </c>
      <c r="BD117" s="173">
        <f t="shared" si="289"/>
        <v>1.9669925797702705</v>
      </c>
      <c r="BE117" s="173">
        <f t="shared" si="218"/>
        <v>5.4281003605738567</v>
      </c>
      <c r="BG117" s="528">
        <f t="shared" si="347"/>
        <v>7.7381196177426087E-2</v>
      </c>
      <c r="BH117" s="528">
        <f t="shared" si="348"/>
        <v>0.11666332722494215</v>
      </c>
      <c r="BI117" s="528">
        <f t="shared" si="349"/>
        <v>8.5043159391030836E-3</v>
      </c>
      <c r="BJ117" s="528">
        <f t="shared" si="350"/>
        <v>2.134242470109288E-3</v>
      </c>
      <c r="BK117">
        <f t="shared" si="351"/>
        <v>8.4389706514755389E-3</v>
      </c>
      <c r="BL117" s="460">
        <f t="shared" si="427"/>
        <v>16.943286590578623</v>
      </c>
      <c r="BM117" s="528">
        <f t="shared" si="352"/>
        <v>0.22113747202858378</v>
      </c>
      <c r="BN117" s="460">
        <f t="shared" si="353"/>
        <v>221.13747202858377</v>
      </c>
      <c r="BO117" s="528">
        <f t="shared" si="354"/>
        <v>0.49</v>
      </c>
      <c r="BR117" s="460">
        <f t="shared" si="355"/>
        <v>490</v>
      </c>
      <c r="BS117" s="528">
        <f t="shared" si="356"/>
        <v>0.11607179426613912</v>
      </c>
      <c r="BT117" s="528">
        <f t="shared" si="357"/>
        <v>0.88392820573386099</v>
      </c>
      <c r="BU117" s="528">
        <f t="shared" si="358"/>
        <v>2.2157769533875802E-2</v>
      </c>
      <c r="BV117" s="528"/>
      <c r="BW117" s="528">
        <f t="shared" si="359"/>
        <v>1.8139378986593607E-3</v>
      </c>
      <c r="BX117" s="460">
        <f t="shared" si="360"/>
        <v>1023.9717074325351</v>
      </c>
      <c r="BY117" s="173">
        <f t="shared" si="361"/>
        <v>1.7270937598955913</v>
      </c>
      <c r="BZ117" s="5">
        <f t="shared" si="362"/>
        <v>10.500000000000002</v>
      </c>
      <c r="CA117" s="173">
        <f t="shared" si="363"/>
        <v>0.85874862875752256</v>
      </c>
      <c r="CB117" s="5">
        <f t="shared" si="364"/>
        <v>85.874862875752257</v>
      </c>
      <c r="CE117" s="562">
        <f t="shared" si="365"/>
        <v>-50</v>
      </c>
      <c r="CF117">
        <f t="shared" si="366"/>
        <v>-50</v>
      </c>
      <c r="CG117" s="173">
        <f t="shared" si="367"/>
        <v>0.14185438543332621</v>
      </c>
      <c r="CI117" s="170">
        <v>7</v>
      </c>
      <c r="CJ117" s="217">
        <f t="shared" si="428"/>
        <v>0.70000000000000007</v>
      </c>
      <c r="CK117" s="217"/>
      <c r="CL117" s="217">
        <f t="shared" si="368"/>
        <v>10.500000000000002</v>
      </c>
      <c r="CM117" s="541">
        <f t="shared" si="369"/>
        <v>19</v>
      </c>
      <c r="CN117" s="443">
        <f t="shared" si="370"/>
        <v>15.4</v>
      </c>
      <c r="CO117" s="443">
        <f t="shared" si="371"/>
        <v>34.4</v>
      </c>
      <c r="CP117" s="443"/>
      <c r="CQ117" s="217">
        <f t="shared" si="372"/>
        <v>0.44767441860465118</v>
      </c>
      <c r="CR117" s="172">
        <f t="shared" si="429"/>
        <v>212.84736191860466</v>
      </c>
      <c r="CS117" s="172">
        <f t="shared" si="373"/>
        <v>10.500000000000002</v>
      </c>
      <c r="CT117" s="217">
        <f t="shared" si="374"/>
        <v>14.189824127906977</v>
      </c>
      <c r="CU117" s="217">
        <f t="shared" si="375"/>
        <v>15</v>
      </c>
      <c r="CV117" s="217"/>
      <c r="CW117" s="172">
        <f t="shared" si="376"/>
        <v>659.58294402053048</v>
      </c>
      <c r="CX117" s="172">
        <f t="shared" si="377"/>
        <v>15</v>
      </c>
      <c r="CY117" s="217">
        <f t="shared" si="378"/>
        <v>2.4688995215311009</v>
      </c>
      <c r="CZ117" s="217">
        <f t="shared" si="379"/>
        <v>1.5593049609670109</v>
      </c>
      <c r="DA117" s="217">
        <f t="shared" si="380"/>
        <v>1.9238178089852733</v>
      </c>
      <c r="DB117" s="197">
        <f t="shared" si="381"/>
        <v>70.881782945736433</v>
      </c>
      <c r="DC117" s="443">
        <f t="shared" si="382"/>
        <v>287.09869448951389</v>
      </c>
      <c r="DE117" s="217">
        <f t="shared" si="383"/>
        <v>10.000000000000002</v>
      </c>
      <c r="DF117" s="173">
        <f t="shared" si="384"/>
        <v>7.792207792207793</v>
      </c>
      <c r="DG117" s="173">
        <f t="shared" si="385"/>
        <v>2.7616279069767451</v>
      </c>
      <c r="DH117" s="173"/>
      <c r="DI117" s="173">
        <f t="shared" si="386"/>
        <v>7.7922077922077913</v>
      </c>
      <c r="DJ117" s="545">
        <f t="shared" si="387"/>
        <v>17.966666666666669</v>
      </c>
      <c r="DK117" s="528">
        <f t="shared" si="388"/>
        <v>2.7616279069767442</v>
      </c>
      <c r="DM117" s="173">
        <f t="shared" si="389"/>
        <v>2.2656860623955239</v>
      </c>
      <c r="DN117" s="173">
        <f t="shared" si="390"/>
        <v>10</v>
      </c>
      <c r="DO117" s="173">
        <f t="shared" si="391"/>
        <v>1.0102666666666666</v>
      </c>
      <c r="DQ117" s="545">
        <f t="shared" si="392"/>
        <v>700.00000000000011</v>
      </c>
      <c r="DR117" s="460">
        <f t="shared" si="393"/>
        <v>17.966666666666669</v>
      </c>
      <c r="DT117">
        <f t="shared" si="430"/>
        <v>700.00000000000011</v>
      </c>
      <c r="DU117">
        <f t="shared" si="431"/>
        <v>17.966666666666669</v>
      </c>
      <c r="DW117" s="5">
        <f t="shared" si="394"/>
        <v>55.658627087198511</v>
      </c>
      <c r="DX117" s="5">
        <f t="shared" si="395"/>
        <v>6.3157894736842106</v>
      </c>
      <c r="DY117" s="5">
        <f t="shared" si="396"/>
        <v>49.342837613514298</v>
      </c>
      <c r="DZ117" s="5"/>
      <c r="EA117" s="173">
        <f t="shared" si="397"/>
        <v>0.11347368421052632</v>
      </c>
      <c r="EB117" s="173">
        <f t="shared" si="398"/>
        <v>10.780000000000001</v>
      </c>
      <c r="EC117" s="173">
        <f t="shared" si="399"/>
        <v>4.4326315789473689</v>
      </c>
      <c r="ED117" s="173">
        <f t="shared" si="400"/>
        <v>2.431963904060793</v>
      </c>
      <c r="EE117" s="460">
        <f t="shared" si="401"/>
        <v>29.473684210526319</v>
      </c>
      <c r="EF117" s="5">
        <f t="shared" si="402"/>
        <v>9.4029000896896573</v>
      </c>
      <c r="EH117" s="173">
        <f t="shared" si="403"/>
        <v>1.9448537580884784</v>
      </c>
      <c r="EI117" s="173">
        <f t="shared" si="404"/>
        <v>5.4360718531842878</v>
      </c>
      <c r="EK117" s="528">
        <f t="shared" si="405"/>
        <v>7.5649122807017549E-2</v>
      </c>
      <c r="EL117" s="528">
        <f t="shared" si="406"/>
        <v>0.12361066666666669</v>
      </c>
      <c r="EM117" s="528">
        <f t="shared" si="407"/>
        <v>2.2458333333333336E-3</v>
      </c>
      <c r="EN117" s="528">
        <f t="shared" si="408"/>
        <v>2.126103466666667E-3</v>
      </c>
      <c r="EO117">
        <f t="shared" si="409"/>
        <v>8.5500000000000003E-3</v>
      </c>
      <c r="EP117" s="460">
        <f t="shared" si="410"/>
        <v>10.795833333333334</v>
      </c>
      <c r="EQ117" s="460"/>
      <c r="ER117" s="460">
        <f t="shared" si="432"/>
        <v>212.18172627368423</v>
      </c>
      <c r="ES117" s="528">
        <f t="shared" si="411"/>
        <v>0.49</v>
      </c>
      <c r="EV117" s="460">
        <f t="shared" si="412"/>
        <v>490</v>
      </c>
      <c r="EW117" s="528">
        <f t="shared" si="413"/>
        <v>0.11347368421052632</v>
      </c>
      <c r="EX117" s="528">
        <f t="shared" si="414"/>
        <v>0.88652631578947372</v>
      </c>
      <c r="EY117" s="528">
        <f t="shared" si="415"/>
        <v>2.1634097393415055E-2</v>
      </c>
      <c r="EZ117" s="528"/>
      <c r="FA117" s="528">
        <f t="shared" si="416"/>
        <v>1.7966666666666671E-3</v>
      </c>
      <c r="FB117" s="460">
        <f t="shared" si="417"/>
        <v>1023.4307640600817</v>
      </c>
      <c r="FC117" s="173">
        <f t="shared" si="418"/>
        <v>1.725612490333766</v>
      </c>
      <c r="FD117" s="5">
        <f t="shared" si="419"/>
        <v>10.500000000000002</v>
      </c>
      <c r="FE117" s="173">
        <f t="shared" si="420"/>
        <v>0.85885267574952751</v>
      </c>
      <c r="FF117" s="5">
        <f t="shared" si="421"/>
        <v>85.885267574952749</v>
      </c>
      <c r="FI117" s="562">
        <f t="shared" si="422"/>
        <v>-50</v>
      </c>
      <c r="FJ117">
        <f t="shared" si="423"/>
        <v>-50</v>
      </c>
      <c r="FL117">
        <f t="shared" si="424"/>
        <v>0.14000000000000001</v>
      </c>
    </row>
    <row r="118" spans="5:168">
      <c r="E118" s="170">
        <v>8</v>
      </c>
      <c r="F118" s="217">
        <f t="shared" si="425"/>
        <v>0.8</v>
      </c>
      <c r="G118" s="217"/>
      <c r="H118" s="217">
        <f t="shared" si="315"/>
        <v>12</v>
      </c>
      <c r="I118" s="541">
        <f t="shared" si="316"/>
        <v>18.753268114390085</v>
      </c>
      <c r="J118" s="172">
        <f t="shared" si="317"/>
        <v>15.548039131365949</v>
      </c>
      <c r="K118" s="172">
        <f t="shared" si="318"/>
        <v>34.301307245756036</v>
      </c>
      <c r="L118" s="443"/>
      <c r="M118" s="217">
        <f t="shared" si="319"/>
        <v>0.45330957820537332</v>
      </c>
      <c r="N118" s="172">
        <f t="shared" si="426"/>
        <v>212.72780107906019</v>
      </c>
      <c r="O118" s="172">
        <f t="shared" si="284"/>
        <v>12</v>
      </c>
      <c r="P118" s="217">
        <f t="shared" si="320"/>
        <v>14.18185340527068</v>
      </c>
      <c r="Q118" s="217">
        <f t="shared" si="321"/>
        <v>15</v>
      </c>
      <c r="R118" s="217"/>
      <c r="S118" s="172">
        <f t="shared" si="322"/>
        <v>567.29957397602141</v>
      </c>
      <c r="T118" s="172">
        <f t="shared" si="323"/>
        <v>15</v>
      </c>
      <c r="U118" s="217">
        <f t="shared" si="324"/>
        <v>2.9267020899097922</v>
      </c>
      <c r="V118" s="217">
        <f t="shared" si="325"/>
        <v>1.8727629160257295</v>
      </c>
      <c r="W118" s="217">
        <f t="shared" si="326"/>
        <v>2.2588330774179148</v>
      </c>
      <c r="X118" s="197">
        <f t="shared" si="327"/>
        <v>70.83708316481389</v>
      </c>
      <c r="Y118" s="443">
        <f t="shared" si="328"/>
        <v>230.86178893729053</v>
      </c>
      <c r="AA118" s="217">
        <f t="shared" si="329"/>
        <v>10</v>
      </c>
      <c r="AB118" s="173">
        <f t="shared" si="330"/>
        <v>7.7180150491078416</v>
      </c>
      <c r="AC118" s="173">
        <f t="shared" si="331"/>
        <v>2.7336083695046867</v>
      </c>
      <c r="AD118" s="173"/>
      <c r="AE118" s="173">
        <f t="shared" si="332"/>
        <v>7.7180150491078416</v>
      </c>
      <c r="AF118" s="545">
        <f t="shared" si="333"/>
        <v>20.730718841821265</v>
      </c>
      <c r="AG118" s="528">
        <f t="shared" si="334"/>
        <v>2.7336083695046871</v>
      </c>
      <c r="AI118" s="173">
        <f t="shared" si="335"/>
        <v>2.4337342760117933</v>
      </c>
      <c r="AJ118" s="173">
        <f t="shared" si="336"/>
        <v>10</v>
      </c>
      <c r="AK118" s="173">
        <f t="shared" si="337"/>
        <v>1.0118461250524693</v>
      </c>
      <c r="AM118" s="545">
        <f t="shared" si="338"/>
        <v>800</v>
      </c>
      <c r="AN118" s="460">
        <f t="shared" si="339"/>
        <v>20.730718841821265</v>
      </c>
      <c r="AP118" s="460">
        <f t="shared" si="340"/>
        <v>800</v>
      </c>
      <c r="AQ118" s="460">
        <f t="shared" si="341"/>
        <v>20.730718841821265</v>
      </c>
      <c r="AS118" s="5">
        <f t="shared" si="285"/>
        <v>48.23759405692401</v>
      </c>
      <c r="AT118" s="5">
        <f t="shared" si="342"/>
        <v>6.3988846780215072</v>
      </c>
      <c r="AU118" s="5">
        <f t="shared" si="343"/>
        <v>41.8387093789025</v>
      </c>
      <c r="AV118" s="5"/>
      <c r="AW118" s="173">
        <f t="shared" si="344"/>
        <v>0.13265347916130185</v>
      </c>
      <c r="AX118" s="173">
        <f t="shared" si="214"/>
        <v>12.43843130509276</v>
      </c>
      <c r="AY118" s="173">
        <f t="shared" si="215"/>
        <v>4.3367326041934904</v>
      </c>
      <c r="AZ118" s="173">
        <f t="shared" si="288"/>
        <v>2.868157306508861</v>
      </c>
      <c r="BA118" s="460">
        <f t="shared" si="433"/>
        <v>34.127384949448043</v>
      </c>
      <c r="BB118" s="5">
        <f t="shared" si="434"/>
        <v>9.2317612549259973</v>
      </c>
      <c r="BD118" s="173">
        <f t="shared" si="289"/>
        <v>2.1028035188077041</v>
      </c>
      <c r="BE118" s="173">
        <f t="shared" si="218"/>
        <v>5.3769462238917054</v>
      </c>
      <c r="BG118" s="528">
        <f t="shared" si="347"/>
        <v>8.8435652774201248E-2</v>
      </c>
      <c r="BH118" s="528">
        <f t="shared" si="348"/>
        <v>0.1333295168285053</v>
      </c>
      <c r="BI118" s="528">
        <f t="shared" si="349"/>
        <v>9.7192182161178111E-3</v>
      </c>
      <c r="BJ118" s="528">
        <f t="shared" si="350"/>
        <v>2.439134251553472E-3</v>
      </c>
      <c r="BK118">
        <f t="shared" si="351"/>
        <v>8.4389706514755389E-3</v>
      </c>
      <c r="BL118" s="460">
        <f t="shared" si="427"/>
        <v>18.158188867593349</v>
      </c>
      <c r="BM118" s="528">
        <f t="shared" si="352"/>
        <v>0.2534065881684644</v>
      </c>
      <c r="BN118" s="460">
        <f t="shared" si="353"/>
        <v>253.4065881684644</v>
      </c>
      <c r="BO118" s="528">
        <f t="shared" si="354"/>
        <v>0.55999999999999994</v>
      </c>
      <c r="BR118" s="460">
        <f t="shared" si="355"/>
        <v>559.99999999999989</v>
      </c>
      <c r="BS118" s="528">
        <f t="shared" si="356"/>
        <v>0.13265347916130185</v>
      </c>
      <c r="BT118" s="528">
        <f t="shared" si="357"/>
        <v>0.86734652083869801</v>
      </c>
      <c r="BU118" s="528">
        <f t="shared" si="358"/>
        <v>3.093897405979653E-2</v>
      </c>
      <c r="BV118" s="528"/>
      <c r="BW118" s="528">
        <f t="shared" si="359"/>
        <v>2.0730718841821265E-3</v>
      </c>
      <c r="BX118" s="460">
        <f t="shared" si="360"/>
        <v>1033.0120459439786</v>
      </c>
      <c r="BY118" s="173">
        <f t="shared" si="361"/>
        <v>1.8353745386658318</v>
      </c>
      <c r="BZ118" s="5">
        <f t="shared" si="362"/>
        <v>12</v>
      </c>
      <c r="CA118" s="173">
        <f t="shared" si="363"/>
        <v>0.8673418971393585</v>
      </c>
      <c r="CB118" s="5">
        <f t="shared" si="364"/>
        <v>86.734189713935848</v>
      </c>
      <c r="CE118" s="562">
        <f t="shared" si="365"/>
        <v>-50</v>
      </c>
      <c r="CF118">
        <f t="shared" si="366"/>
        <v>-50</v>
      </c>
      <c r="CG118" s="173">
        <f t="shared" si="367"/>
        <v>0.16211929763808711</v>
      </c>
      <c r="CI118" s="170">
        <v>8</v>
      </c>
      <c r="CJ118" s="217">
        <f t="shared" si="428"/>
        <v>0.8</v>
      </c>
      <c r="CK118" s="217"/>
      <c r="CL118" s="217">
        <f t="shared" si="368"/>
        <v>12</v>
      </c>
      <c r="CM118" s="541">
        <f t="shared" si="369"/>
        <v>19</v>
      </c>
      <c r="CN118" s="443">
        <f t="shared" si="370"/>
        <v>15.4</v>
      </c>
      <c r="CO118" s="443">
        <f t="shared" si="371"/>
        <v>34.4</v>
      </c>
      <c r="CP118" s="443"/>
      <c r="CQ118" s="217">
        <f t="shared" si="372"/>
        <v>0.44767441860465118</v>
      </c>
      <c r="CR118" s="172">
        <f t="shared" si="429"/>
        <v>212.84736191860466</v>
      </c>
      <c r="CS118" s="172">
        <f t="shared" si="373"/>
        <v>12</v>
      </c>
      <c r="CT118" s="217">
        <f t="shared" si="374"/>
        <v>14.189824127906977</v>
      </c>
      <c r="CU118" s="217">
        <f t="shared" si="375"/>
        <v>15</v>
      </c>
      <c r="CV118" s="217"/>
      <c r="CW118" s="172">
        <f t="shared" si="376"/>
        <v>574.76321364061494</v>
      </c>
      <c r="CX118" s="172">
        <f t="shared" si="377"/>
        <v>15</v>
      </c>
      <c r="CY118" s="217">
        <f t="shared" si="378"/>
        <v>2.8215994531784006</v>
      </c>
      <c r="CZ118" s="217">
        <f t="shared" si="379"/>
        <v>1.7820628125337268</v>
      </c>
      <c r="DA118" s="217">
        <f t="shared" si="380"/>
        <v>2.1986489245545977</v>
      </c>
      <c r="DB118" s="197">
        <f t="shared" si="381"/>
        <v>70.881782945736433</v>
      </c>
      <c r="DC118" s="443">
        <f t="shared" si="382"/>
        <v>251.21135767832465</v>
      </c>
      <c r="DE118" s="217">
        <f t="shared" si="383"/>
        <v>10.000000000000002</v>
      </c>
      <c r="DF118" s="173">
        <f t="shared" si="384"/>
        <v>7.792207792207793</v>
      </c>
      <c r="DG118" s="173">
        <f t="shared" si="385"/>
        <v>2.7616279069767451</v>
      </c>
      <c r="DH118" s="173"/>
      <c r="DI118" s="173">
        <f t="shared" si="386"/>
        <v>7.7922077922077913</v>
      </c>
      <c r="DJ118" s="545">
        <f t="shared" si="387"/>
        <v>20.533333333333335</v>
      </c>
      <c r="DK118" s="528">
        <f t="shared" si="388"/>
        <v>2.7616279069767442</v>
      </c>
      <c r="DM118" s="173">
        <f t="shared" si="389"/>
        <v>2.4221202832779936</v>
      </c>
      <c r="DN118" s="173">
        <f t="shared" si="390"/>
        <v>10</v>
      </c>
      <c r="DO118" s="173">
        <f t="shared" si="391"/>
        <v>1.0117333333333334</v>
      </c>
      <c r="DQ118" s="545">
        <f t="shared" si="392"/>
        <v>800</v>
      </c>
      <c r="DR118" s="460">
        <f t="shared" si="393"/>
        <v>20.533333333333335</v>
      </c>
      <c r="DT118">
        <f t="shared" si="430"/>
        <v>800</v>
      </c>
      <c r="DU118">
        <f t="shared" si="431"/>
        <v>20.533333333333335</v>
      </c>
      <c r="DW118" s="5">
        <f t="shared" si="394"/>
        <v>48.701298701298697</v>
      </c>
      <c r="DX118" s="5">
        <f t="shared" si="395"/>
        <v>6.3157894736842106</v>
      </c>
      <c r="DY118" s="5">
        <f t="shared" si="396"/>
        <v>42.385509227614484</v>
      </c>
      <c r="DZ118" s="5"/>
      <c r="EA118" s="173">
        <f t="shared" si="397"/>
        <v>0.12968421052631579</v>
      </c>
      <c r="EB118" s="173">
        <f t="shared" si="398"/>
        <v>12.320000000000002</v>
      </c>
      <c r="EC118" s="173">
        <f t="shared" si="399"/>
        <v>4.351578947368421</v>
      </c>
      <c r="ED118" s="173">
        <f t="shared" si="400"/>
        <v>2.8311562651185298</v>
      </c>
      <c r="EE118" s="460">
        <f t="shared" si="401"/>
        <v>33.684210526315795</v>
      </c>
      <c r="EF118" s="5">
        <f t="shared" si="402"/>
        <v>9.2309638971211214</v>
      </c>
      <c r="EH118" s="173">
        <f t="shared" si="403"/>
        <v>2.0791361228990897</v>
      </c>
      <c r="EI118" s="173">
        <f t="shared" si="404"/>
        <v>5.3861420623475453</v>
      </c>
      <c r="EK118" s="528">
        <f t="shared" si="405"/>
        <v>8.6456140350877175E-2</v>
      </c>
      <c r="EL118" s="528">
        <f t="shared" si="406"/>
        <v>0.14126933333333333</v>
      </c>
      <c r="EM118" s="528">
        <f t="shared" si="407"/>
        <v>2.5666666666666667E-3</v>
      </c>
      <c r="EN118" s="528">
        <f t="shared" si="408"/>
        <v>2.4298325333333335E-3</v>
      </c>
      <c r="EO118">
        <f t="shared" si="409"/>
        <v>8.5500000000000003E-3</v>
      </c>
      <c r="EP118" s="460">
        <f t="shared" si="410"/>
        <v>11.116666666666667</v>
      </c>
      <c r="EQ118" s="460"/>
      <c r="ER118" s="460">
        <f t="shared" si="432"/>
        <v>241.2719728842105</v>
      </c>
      <c r="ES118" s="528">
        <f t="shared" si="411"/>
        <v>0.55999999999999994</v>
      </c>
      <c r="EV118" s="460">
        <f t="shared" si="412"/>
        <v>559.99999999999989</v>
      </c>
      <c r="EW118" s="528">
        <f t="shared" si="413"/>
        <v>0.12968421052631576</v>
      </c>
      <c r="EX118" s="528">
        <f t="shared" si="414"/>
        <v>0.87031578947368404</v>
      </c>
      <c r="EY118" s="528">
        <f t="shared" si="415"/>
        <v>3.0207768748504567E-2</v>
      </c>
      <c r="EZ118" s="528"/>
      <c r="FA118" s="528">
        <f t="shared" si="416"/>
        <v>2.0533333333333337E-3</v>
      </c>
      <c r="FB118" s="460">
        <f t="shared" si="417"/>
        <v>1032.2611020818376</v>
      </c>
      <c r="FC118" s="173">
        <f t="shared" si="418"/>
        <v>1.8335330749660481</v>
      </c>
      <c r="FD118" s="5">
        <f t="shared" si="419"/>
        <v>12</v>
      </c>
      <c r="FE118" s="173">
        <f t="shared" si="420"/>
        <v>0.86745735416759762</v>
      </c>
      <c r="FF118" s="5">
        <f t="shared" si="421"/>
        <v>86.745735416759757</v>
      </c>
      <c r="FI118" s="562">
        <f t="shared" si="422"/>
        <v>-50</v>
      </c>
      <c r="FJ118">
        <f t="shared" si="423"/>
        <v>-50</v>
      </c>
      <c r="FL118">
        <f t="shared" si="424"/>
        <v>0.16000000000000003</v>
      </c>
    </row>
    <row r="119" spans="5:168">
      <c r="E119" s="170">
        <v>9</v>
      </c>
      <c r="F119" s="217">
        <f t="shared" si="425"/>
        <v>0.89999999999999991</v>
      </c>
      <c r="G119" s="217"/>
      <c r="H119" s="217">
        <f t="shared" si="315"/>
        <v>13.499999999999998</v>
      </c>
      <c r="I119" s="541">
        <f t="shared" si="316"/>
        <v>18.753268114390085</v>
      </c>
      <c r="J119" s="172">
        <f t="shared" si="317"/>
        <v>15.548039131365949</v>
      </c>
      <c r="K119" s="172">
        <f t="shared" si="318"/>
        <v>34.301307245756036</v>
      </c>
      <c r="L119" s="443"/>
      <c r="M119" s="217">
        <f t="shared" si="319"/>
        <v>0.45330957820537332</v>
      </c>
      <c r="N119" s="172">
        <f t="shared" si="426"/>
        <v>212.72780107906019</v>
      </c>
      <c r="O119" s="172">
        <f t="shared" si="284"/>
        <v>13.499999999999998</v>
      </c>
      <c r="P119" s="217">
        <f t="shared" si="320"/>
        <v>14.18185340527068</v>
      </c>
      <c r="Q119" s="217">
        <f t="shared" si="321"/>
        <v>15</v>
      </c>
      <c r="R119" s="217"/>
      <c r="S119" s="172">
        <f t="shared" si="322"/>
        <v>502.18577160122442</v>
      </c>
      <c r="T119" s="172">
        <f t="shared" si="323"/>
        <v>15</v>
      </c>
      <c r="U119" s="217">
        <f t="shared" si="324"/>
        <v>3.2925398511485158</v>
      </c>
      <c r="V119" s="217">
        <f t="shared" si="325"/>
        <v>2.1068582805289453</v>
      </c>
      <c r="W119" s="217">
        <f t="shared" si="326"/>
        <v>2.5411872120951537</v>
      </c>
      <c r="X119" s="197">
        <f t="shared" si="327"/>
        <v>70.83708316481389</v>
      </c>
      <c r="Y119" s="443">
        <f t="shared" si="328"/>
        <v>206.26869148018872</v>
      </c>
      <c r="AA119" s="217">
        <f t="shared" si="329"/>
        <v>10</v>
      </c>
      <c r="AB119" s="173">
        <f t="shared" si="330"/>
        <v>7.7180150491078416</v>
      </c>
      <c r="AC119" s="173">
        <f t="shared" si="331"/>
        <v>2.7336083695046867</v>
      </c>
      <c r="AD119" s="173"/>
      <c r="AE119" s="173">
        <f t="shared" si="332"/>
        <v>7.7180150491078416</v>
      </c>
      <c r="AF119" s="545">
        <f t="shared" si="333"/>
        <v>23.322058697048917</v>
      </c>
      <c r="AG119" s="528">
        <f t="shared" si="334"/>
        <v>2.7336083695046871</v>
      </c>
      <c r="AI119" s="173">
        <f t="shared" si="335"/>
        <v>2.5813650152611074</v>
      </c>
      <c r="AJ119" s="173">
        <f t="shared" si="336"/>
        <v>10</v>
      </c>
      <c r="AK119" s="173">
        <f t="shared" si="337"/>
        <v>1.013326890684028</v>
      </c>
      <c r="AM119" s="545">
        <f t="shared" si="338"/>
        <v>899.99999999999989</v>
      </c>
      <c r="AN119" s="460">
        <f t="shared" si="339"/>
        <v>23.322058697048917</v>
      </c>
      <c r="AP119" s="460">
        <f t="shared" si="340"/>
        <v>899.99999999999989</v>
      </c>
      <c r="AQ119" s="460">
        <f t="shared" si="341"/>
        <v>23.322058697048917</v>
      </c>
      <c r="AS119" s="5">
        <f t="shared" si="285"/>
        <v>42.877861383932462</v>
      </c>
      <c r="AT119" s="5">
        <f t="shared" si="342"/>
        <v>6.3988846780215072</v>
      </c>
      <c r="AU119" s="5">
        <f t="shared" si="343"/>
        <v>36.478976705910952</v>
      </c>
      <c r="AV119" s="5"/>
      <c r="AW119" s="173">
        <f t="shared" si="344"/>
        <v>0.14923516405646456</v>
      </c>
      <c r="AX119" s="173">
        <f t="shared" si="214"/>
        <v>13.993235218229351</v>
      </c>
      <c r="AY119" s="173">
        <f t="shared" si="215"/>
        <v>4.253824179717677</v>
      </c>
      <c r="AZ119" s="173">
        <f t="shared" si="288"/>
        <v>3.2895659592489483</v>
      </c>
      <c r="BA119" s="460">
        <f t="shared" si="433"/>
        <v>38.393308068129038</v>
      </c>
      <c r="BB119" s="5">
        <f t="shared" si="434"/>
        <v>9.0552710604319522</v>
      </c>
      <c r="BD119" s="173">
        <f t="shared" si="289"/>
        <v>2.2303599414777917</v>
      </c>
      <c r="BE119" s="173">
        <f t="shared" si="218"/>
        <v>5.325300729985539</v>
      </c>
      <c r="BG119" s="528">
        <f t="shared" si="347"/>
        <v>9.9490109370976368E-2</v>
      </c>
      <c r="BH119" s="528">
        <f t="shared" si="348"/>
        <v>0.14999570643206842</v>
      </c>
      <c r="BI119" s="528">
        <f t="shared" si="349"/>
        <v>1.0934120493132535E-2</v>
      </c>
      <c r="BJ119" s="528">
        <f t="shared" si="350"/>
        <v>2.7440260329976551E-3</v>
      </c>
      <c r="BK119">
        <f t="shared" si="351"/>
        <v>8.4389706514755389E-3</v>
      </c>
      <c r="BL119" s="460">
        <f t="shared" si="427"/>
        <v>19.373091144608075</v>
      </c>
      <c r="BM119" s="528">
        <f t="shared" si="352"/>
        <v>0.28584932057401058</v>
      </c>
      <c r="BN119" s="460">
        <f t="shared" si="353"/>
        <v>285.84932057401056</v>
      </c>
      <c r="BO119" s="528">
        <f t="shared" si="354"/>
        <v>0.62999999999999989</v>
      </c>
      <c r="BR119" s="460">
        <f t="shared" si="355"/>
        <v>629.99999999999989</v>
      </c>
      <c r="BS119" s="528">
        <f t="shared" si="356"/>
        <v>0.14923516405646453</v>
      </c>
      <c r="BT119" s="528">
        <f t="shared" si="357"/>
        <v>0.85076483594353547</v>
      </c>
      <c r="BU119" s="528">
        <f t="shared" si="358"/>
        <v>4.1532417825271388E-2</v>
      </c>
      <c r="BV119" s="528"/>
      <c r="BW119" s="528">
        <f t="shared" si="359"/>
        <v>2.3322058697048918E-3</v>
      </c>
      <c r="BX119" s="460">
        <f t="shared" si="360"/>
        <v>1043.8646236949762</v>
      </c>
      <c r="BY119" s="173">
        <f t="shared" si="361"/>
        <v>1.9454675566756268</v>
      </c>
      <c r="BZ119" s="5">
        <f t="shared" si="362"/>
        <v>13.499999999999998</v>
      </c>
      <c r="CA119" s="173">
        <f t="shared" si="363"/>
        <v>0.87404281874038936</v>
      </c>
      <c r="CB119" s="5">
        <f t="shared" si="364"/>
        <v>87.404281874038929</v>
      </c>
      <c r="CE119" s="562">
        <f t="shared" si="365"/>
        <v>-50</v>
      </c>
      <c r="CF119">
        <f t="shared" si="366"/>
        <v>-50</v>
      </c>
      <c r="CG119" s="173">
        <f t="shared" si="367"/>
        <v>0.18238420984284795</v>
      </c>
      <c r="CI119" s="170">
        <v>9</v>
      </c>
      <c r="CJ119" s="217">
        <f t="shared" si="428"/>
        <v>0.89999999999999991</v>
      </c>
      <c r="CK119" s="217"/>
      <c r="CL119" s="217">
        <f t="shared" si="368"/>
        <v>13.499999999999998</v>
      </c>
      <c r="CM119" s="541">
        <f t="shared" si="369"/>
        <v>19</v>
      </c>
      <c r="CN119" s="443">
        <f t="shared" si="370"/>
        <v>15.4</v>
      </c>
      <c r="CO119" s="443">
        <f t="shared" si="371"/>
        <v>34.4</v>
      </c>
      <c r="CP119" s="443"/>
      <c r="CQ119" s="217">
        <f t="shared" si="372"/>
        <v>0.44767441860465118</v>
      </c>
      <c r="CR119" s="172">
        <f t="shared" si="429"/>
        <v>212.84736191860466</v>
      </c>
      <c r="CS119" s="172">
        <f t="shared" si="373"/>
        <v>13.499999999999998</v>
      </c>
      <c r="CT119" s="217">
        <f t="shared" si="374"/>
        <v>14.189824127906977</v>
      </c>
      <c r="CU119" s="217">
        <f t="shared" si="375"/>
        <v>15</v>
      </c>
      <c r="CV119" s="217"/>
      <c r="CW119" s="172">
        <f t="shared" si="376"/>
        <v>508.79270336478987</v>
      </c>
      <c r="CX119" s="172">
        <f t="shared" si="377"/>
        <v>15</v>
      </c>
      <c r="CY119" s="217">
        <f t="shared" si="378"/>
        <v>3.1742993848257002</v>
      </c>
      <c r="CZ119" s="217">
        <f t="shared" si="379"/>
        <v>2.0048206641004422</v>
      </c>
      <c r="DA119" s="217">
        <f t="shared" si="380"/>
        <v>2.4734800401239223</v>
      </c>
      <c r="DB119" s="197">
        <f t="shared" si="381"/>
        <v>70.881782945736433</v>
      </c>
      <c r="DC119" s="443">
        <f t="shared" si="382"/>
        <v>223.29898460295522</v>
      </c>
      <c r="DE119" s="217">
        <f t="shared" si="383"/>
        <v>10.000000000000002</v>
      </c>
      <c r="DF119" s="173">
        <f t="shared" si="384"/>
        <v>7.792207792207793</v>
      </c>
      <c r="DG119" s="173">
        <f t="shared" si="385"/>
        <v>2.7616279069767451</v>
      </c>
      <c r="DH119" s="173"/>
      <c r="DI119" s="173">
        <f t="shared" si="386"/>
        <v>7.7922077922077913</v>
      </c>
      <c r="DJ119" s="545">
        <f t="shared" si="387"/>
        <v>23.1</v>
      </c>
      <c r="DK119" s="528">
        <f t="shared" si="388"/>
        <v>2.7616279069767442</v>
      </c>
      <c r="DM119" s="173">
        <f t="shared" si="389"/>
        <v>2.5690465157330258</v>
      </c>
      <c r="DN119" s="173">
        <f t="shared" si="390"/>
        <v>10</v>
      </c>
      <c r="DO119" s="173">
        <f t="shared" si="391"/>
        <v>1.0132000000000001</v>
      </c>
      <c r="DQ119" s="545">
        <f t="shared" si="392"/>
        <v>899.99999999999989</v>
      </c>
      <c r="DR119" s="460">
        <f t="shared" si="393"/>
        <v>23.1</v>
      </c>
      <c r="DT119">
        <f t="shared" si="430"/>
        <v>899.99999999999989</v>
      </c>
      <c r="DU119">
        <f t="shared" si="431"/>
        <v>23.1</v>
      </c>
      <c r="DW119" s="5">
        <f t="shared" si="394"/>
        <v>43.290043290043286</v>
      </c>
      <c r="DX119" s="5">
        <f t="shared" si="395"/>
        <v>6.3157894736842106</v>
      </c>
      <c r="DY119" s="5">
        <f t="shared" si="396"/>
        <v>36.974253816359074</v>
      </c>
      <c r="DZ119" s="5"/>
      <c r="EA119" s="173">
        <f t="shared" si="397"/>
        <v>0.14589473684210527</v>
      </c>
      <c r="EB119" s="173">
        <f t="shared" si="398"/>
        <v>13.860000000000003</v>
      </c>
      <c r="EC119" s="173">
        <f t="shared" si="399"/>
        <v>4.2705263157894731</v>
      </c>
      <c r="ED119" s="173">
        <f t="shared" si="400"/>
        <v>3.2455016021690914</v>
      </c>
      <c r="EE119" s="460">
        <f t="shared" si="401"/>
        <v>37.894736842105267</v>
      </c>
      <c r="EF119" s="5">
        <f t="shared" si="402"/>
        <v>9.0590277045525838</v>
      </c>
      <c r="EH119" s="173">
        <f t="shared" si="403"/>
        <v>2.2052568772677801</v>
      </c>
      <c r="EI119" s="173">
        <f t="shared" si="404"/>
        <v>5.3357450687412431</v>
      </c>
      <c r="EK119" s="528">
        <f t="shared" si="405"/>
        <v>9.7263157894736829E-2</v>
      </c>
      <c r="EL119" s="528">
        <f t="shared" si="406"/>
        <v>0.15892800000000001</v>
      </c>
      <c r="EM119" s="528">
        <f t="shared" si="407"/>
        <v>2.8874999999999999E-3</v>
      </c>
      <c r="EN119" s="528">
        <f t="shared" si="408"/>
        <v>2.7335616E-3</v>
      </c>
      <c r="EO119">
        <f t="shared" si="409"/>
        <v>8.5500000000000003E-3</v>
      </c>
      <c r="EP119" s="460">
        <f t="shared" si="410"/>
        <v>11.4375</v>
      </c>
      <c r="EQ119" s="460"/>
      <c r="ER119" s="460">
        <f t="shared" si="432"/>
        <v>270.36221949473685</v>
      </c>
      <c r="ES119" s="528">
        <f t="shared" si="411"/>
        <v>0.62999999999999989</v>
      </c>
      <c r="EV119" s="460">
        <f t="shared" si="412"/>
        <v>629.99999999999989</v>
      </c>
      <c r="EW119" s="528">
        <f t="shared" si="413"/>
        <v>0.14589473684210524</v>
      </c>
      <c r="EX119" s="528">
        <f t="shared" si="414"/>
        <v>0.8541052631578947</v>
      </c>
      <c r="EY119" s="528">
        <f t="shared" si="415"/>
        <v>4.0550849255934246E-2</v>
      </c>
      <c r="EZ119" s="528"/>
      <c r="FA119" s="528">
        <f t="shared" si="416"/>
        <v>2.3100000000000004E-3</v>
      </c>
      <c r="FB119" s="460">
        <f t="shared" si="417"/>
        <v>1042.8608492559345</v>
      </c>
      <c r="FC119" s="173">
        <f t="shared" si="418"/>
        <v>1.9432230687506711</v>
      </c>
      <c r="FD119" s="5">
        <f t="shared" si="419"/>
        <v>13.499999999999998</v>
      </c>
      <c r="FE119" s="173">
        <f t="shared" si="420"/>
        <v>0.87416985041919271</v>
      </c>
      <c r="FF119" s="5">
        <f t="shared" si="421"/>
        <v>87.416985041919276</v>
      </c>
      <c r="FI119" s="562">
        <f t="shared" si="422"/>
        <v>-50</v>
      </c>
      <c r="FJ119">
        <f t="shared" si="423"/>
        <v>-50</v>
      </c>
      <c r="FL119">
        <f t="shared" si="424"/>
        <v>0.18</v>
      </c>
    </row>
    <row r="120" spans="5:168">
      <c r="E120" s="170">
        <v>10</v>
      </c>
      <c r="F120" s="217">
        <f t="shared" si="425"/>
        <v>1</v>
      </c>
      <c r="G120" s="217"/>
      <c r="H120" s="217">
        <f t="shared" si="315"/>
        <v>15</v>
      </c>
      <c r="I120" s="541">
        <f t="shared" si="316"/>
        <v>18.753268114390085</v>
      </c>
      <c r="J120" s="172">
        <f t="shared" si="317"/>
        <v>15.548039131365949</v>
      </c>
      <c r="K120" s="172">
        <f t="shared" si="318"/>
        <v>34.301307245756036</v>
      </c>
      <c r="L120" s="443"/>
      <c r="M120" s="217">
        <f t="shared" si="319"/>
        <v>0.45330957820537332</v>
      </c>
      <c r="N120" s="172">
        <f t="shared" si="426"/>
        <v>212.72780107906019</v>
      </c>
      <c r="O120" s="172">
        <f t="shared" si="284"/>
        <v>15</v>
      </c>
      <c r="P120" s="217">
        <f t="shared" si="320"/>
        <v>14.18185340527068</v>
      </c>
      <c r="Q120" s="217">
        <f t="shared" si="321"/>
        <v>15</v>
      </c>
      <c r="R120" s="217"/>
      <c r="S120" s="172">
        <f t="shared" si="322"/>
        <v>450.09508599745982</v>
      </c>
      <c r="T120" s="172">
        <f t="shared" si="323"/>
        <v>15</v>
      </c>
      <c r="U120" s="217">
        <f t="shared" si="324"/>
        <v>3.6583776123872402</v>
      </c>
      <c r="V120" s="217">
        <f t="shared" si="325"/>
        <v>2.3409536450321613</v>
      </c>
      <c r="W120" s="217">
        <f t="shared" si="326"/>
        <v>2.8235413467723931</v>
      </c>
      <c r="X120" s="197">
        <f t="shared" si="327"/>
        <v>70.83708316481389</v>
      </c>
      <c r="Y120" s="443">
        <f t="shared" si="328"/>
        <v>186.41083671952717</v>
      </c>
      <c r="AA120" s="217">
        <f t="shared" si="329"/>
        <v>10</v>
      </c>
      <c r="AB120" s="173">
        <f t="shared" si="330"/>
        <v>7.7180150491078416</v>
      </c>
      <c r="AC120" s="173">
        <f t="shared" si="331"/>
        <v>2.7336083695046867</v>
      </c>
      <c r="AD120" s="173"/>
      <c r="AE120" s="173">
        <f t="shared" si="332"/>
        <v>7.7180150491078416</v>
      </c>
      <c r="AF120" s="545">
        <f t="shared" si="333"/>
        <v>25.913398552276576</v>
      </c>
      <c r="AG120" s="528">
        <f t="shared" si="334"/>
        <v>2.7336083695046871</v>
      </c>
      <c r="AI120" s="173">
        <f t="shared" si="335"/>
        <v>2.7209976401668023</v>
      </c>
      <c r="AJ120" s="173">
        <f t="shared" si="336"/>
        <v>10</v>
      </c>
      <c r="AK120" s="173">
        <f t="shared" si="337"/>
        <v>1.0148076563155866</v>
      </c>
      <c r="AM120" s="545">
        <f t="shared" si="338"/>
        <v>1000</v>
      </c>
      <c r="AN120" s="460">
        <f t="shared" si="339"/>
        <v>25.913398552276576</v>
      </c>
      <c r="AP120" s="460">
        <f t="shared" si="340"/>
        <v>1000</v>
      </c>
      <c r="AQ120" s="460">
        <f t="shared" si="341"/>
        <v>25.913398552276576</v>
      </c>
      <c r="AS120" s="5">
        <f t="shared" si="285"/>
        <v>38.590075245539218</v>
      </c>
      <c r="AT120" s="5">
        <f t="shared" si="342"/>
        <v>6.3988846780215072</v>
      </c>
      <c r="AU120" s="5">
        <f t="shared" si="343"/>
        <v>32.191190567517708</v>
      </c>
      <c r="AV120" s="5"/>
      <c r="AW120" s="173">
        <f t="shared" si="344"/>
        <v>0.16581684895162727</v>
      </c>
      <c r="AX120" s="173">
        <f t="shared" si="214"/>
        <v>15.548039131365947</v>
      </c>
      <c r="AY120" s="173">
        <f t="shared" si="215"/>
        <v>4.1709157552418636</v>
      </c>
      <c r="AZ120" s="173">
        <f t="shared" si="288"/>
        <v>3.727727924455368</v>
      </c>
      <c r="BA120" s="460">
        <f t="shared" si="433"/>
        <v>42.659231186810047</v>
      </c>
      <c r="BB120" s="5">
        <f t="shared" si="434"/>
        <v>8.8787808659379088</v>
      </c>
      <c r="BD120" s="173">
        <f t="shared" si="289"/>
        <v>2.3510058056898915</v>
      </c>
      <c r="BE120" s="173">
        <f t="shared" si="218"/>
        <v>5.27314944174217</v>
      </c>
      <c r="BG120" s="528">
        <f t="shared" si="347"/>
        <v>0.11054456596775153</v>
      </c>
      <c r="BH120" s="528">
        <f t="shared" si="348"/>
        <v>0.16666189603563161</v>
      </c>
      <c r="BI120" s="528">
        <f t="shared" si="349"/>
        <v>1.2149022770147263E-2</v>
      </c>
      <c r="BJ120" s="528">
        <f t="shared" si="350"/>
        <v>3.0489178144418394E-3</v>
      </c>
      <c r="BK120">
        <f t="shared" si="351"/>
        <v>8.4389706514755389E-3</v>
      </c>
      <c r="BL120" s="460">
        <f t="shared" si="427"/>
        <v>20.587993421622802</v>
      </c>
      <c r="BM120" s="528">
        <f t="shared" si="352"/>
        <v>0.31846707417589287</v>
      </c>
      <c r="BN120" s="460">
        <f t="shared" si="353"/>
        <v>318.46707417589289</v>
      </c>
      <c r="BO120" s="528">
        <f t="shared" si="354"/>
        <v>0.7</v>
      </c>
      <c r="BR120" s="460">
        <f t="shared" si="355"/>
        <v>700</v>
      </c>
      <c r="BS120" s="528">
        <f t="shared" si="356"/>
        <v>0.16581684895162727</v>
      </c>
      <c r="BT120" s="528">
        <f t="shared" si="357"/>
        <v>0.83418315104837271</v>
      </c>
      <c r="BU120" s="528">
        <f t="shared" si="358"/>
        <v>5.4048163399849726E-2</v>
      </c>
      <c r="BV120" s="528"/>
      <c r="BW120" s="528">
        <f t="shared" si="359"/>
        <v>2.591339855227658E-3</v>
      </c>
      <c r="BX120" s="460">
        <f t="shared" si="360"/>
        <v>1056.6395032550774</v>
      </c>
      <c r="BY120" s="173">
        <f t="shared" si="361"/>
        <v>2.0574828764945248</v>
      </c>
      <c r="BZ120" s="5">
        <f t="shared" si="362"/>
        <v>15</v>
      </c>
      <c r="CA120" s="173">
        <f t="shared" si="363"/>
        <v>0.87937945525774097</v>
      </c>
      <c r="CB120" s="5">
        <f t="shared" si="364"/>
        <v>87.937945525774097</v>
      </c>
      <c r="CE120" s="562">
        <f t="shared" si="365"/>
        <v>-50</v>
      </c>
      <c r="CF120">
        <f t="shared" si="366"/>
        <v>-50</v>
      </c>
      <c r="CG120" s="173">
        <f t="shared" si="367"/>
        <v>0.20264912204760885</v>
      </c>
      <c r="CI120" s="170">
        <v>10</v>
      </c>
      <c r="CJ120" s="217">
        <f t="shared" si="428"/>
        <v>1</v>
      </c>
      <c r="CK120" s="217"/>
      <c r="CL120" s="217">
        <f t="shared" si="368"/>
        <v>15</v>
      </c>
      <c r="CM120" s="541">
        <f t="shared" si="369"/>
        <v>19</v>
      </c>
      <c r="CN120" s="443">
        <f t="shared" si="370"/>
        <v>15.4</v>
      </c>
      <c r="CO120" s="443">
        <f t="shared" si="371"/>
        <v>34.4</v>
      </c>
      <c r="CP120" s="443"/>
      <c r="CQ120" s="217">
        <f t="shared" si="372"/>
        <v>0.44767441860465118</v>
      </c>
      <c r="CR120" s="172">
        <f t="shared" si="429"/>
        <v>212.84736191860466</v>
      </c>
      <c r="CS120" s="172">
        <f t="shared" si="373"/>
        <v>15</v>
      </c>
      <c r="CT120" s="217">
        <f t="shared" si="374"/>
        <v>14.189824127906977</v>
      </c>
      <c r="CU120" s="217">
        <f t="shared" si="375"/>
        <v>15</v>
      </c>
      <c r="CV120" s="217"/>
      <c r="CW120" s="172">
        <f t="shared" si="376"/>
        <v>456.01665145207966</v>
      </c>
      <c r="CX120" s="172">
        <f t="shared" si="377"/>
        <v>15</v>
      </c>
      <c r="CY120" s="217">
        <f t="shared" si="378"/>
        <v>3.5269993164730007</v>
      </c>
      <c r="CZ120" s="217">
        <f t="shared" si="379"/>
        <v>2.2275785156671586</v>
      </c>
      <c r="DA120" s="217">
        <f t="shared" si="380"/>
        <v>2.7483111556932474</v>
      </c>
      <c r="DB120" s="197">
        <f t="shared" si="381"/>
        <v>70.881782945736433</v>
      </c>
      <c r="DC120" s="443">
        <f t="shared" si="382"/>
        <v>200.96908614265968</v>
      </c>
      <c r="DE120" s="217">
        <f t="shared" si="383"/>
        <v>10.000000000000002</v>
      </c>
      <c r="DF120" s="173">
        <f t="shared" si="384"/>
        <v>7.792207792207793</v>
      </c>
      <c r="DG120" s="173">
        <f t="shared" si="385"/>
        <v>2.7616279069767451</v>
      </c>
      <c r="DH120" s="173"/>
      <c r="DI120" s="173">
        <f t="shared" si="386"/>
        <v>7.7922077922077913</v>
      </c>
      <c r="DJ120" s="545">
        <f t="shared" si="387"/>
        <v>25.666666666666668</v>
      </c>
      <c r="DK120" s="528">
        <f t="shared" si="388"/>
        <v>2.7616279069767442</v>
      </c>
      <c r="DM120" s="173">
        <f t="shared" si="389"/>
        <v>2.7080128015453204</v>
      </c>
      <c r="DN120" s="173">
        <f t="shared" si="390"/>
        <v>10</v>
      </c>
      <c r="DO120" s="173">
        <f t="shared" si="391"/>
        <v>1.0146666666666666</v>
      </c>
      <c r="DQ120" s="545">
        <f t="shared" si="392"/>
        <v>1000</v>
      </c>
      <c r="DR120" s="460">
        <f t="shared" si="393"/>
        <v>25.666666666666668</v>
      </c>
      <c r="DT120">
        <f t="shared" si="430"/>
        <v>1000</v>
      </c>
      <c r="DU120">
        <f t="shared" si="431"/>
        <v>25.666666666666668</v>
      </c>
      <c r="DW120" s="5">
        <f t="shared" si="394"/>
        <v>38.961038961038959</v>
      </c>
      <c r="DX120" s="5">
        <f t="shared" si="395"/>
        <v>6.3157894736842106</v>
      </c>
      <c r="DY120" s="5">
        <f t="shared" si="396"/>
        <v>32.645249487354747</v>
      </c>
      <c r="DZ120" s="5"/>
      <c r="EA120" s="173">
        <f t="shared" si="397"/>
        <v>0.16210526315789475</v>
      </c>
      <c r="EB120" s="173">
        <f t="shared" si="398"/>
        <v>15.400000000000002</v>
      </c>
      <c r="EC120" s="173">
        <f t="shared" si="399"/>
        <v>4.189473684210526</v>
      </c>
      <c r="ED120" s="173">
        <f t="shared" si="400"/>
        <v>3.6758793969849255</v>
      </c>
      <c r="EE120" s="460">
        <f t="shared" si="401"/>
        <v>42.105263157894733</v>
      </c>
      <c r="EF120" s="5">
        <f t="shared" si="402"/>
        <v>8.8870915119840497</v>
      </c>
      <c r="EH120" s="173">
        <f t="shared" si="403"/>
        <v>2.3245448526388612</v>
      </c>
      <c r="EI120" s="173">
        <f t="shared" si="404"/>
        <v>5.2848675065136224</v>
      </c>
      <c r="EK120" s="528">
        <f t="shared" si="405"/>
        <v>0.10807017543859651</v>
      </c>
      <c r="EL120" s="528">
        <f t="shared" si="406"/>
        <v>0.17658666666666667</v>
      </c>
      <c r="EM120" s="528">
        <f t="shared" si="407"/>
        <v>3.2083333333333334E-3</v>
      </c>
      <c r="EN120" s="528">
        <f t="shared" si="408"/>
        <v>3.0372906666666665E-3</v>
      </c>
      <c r="EO120">
        <f t="shared" si="409"/>
        <v>8.5500000000000003E-3</v>
      </c>
      <c r="EP120" s="460">
        <f t="shared" si="410"/>
        <v>11.758333333333335</v>
      </c>
      <c r="EQ120" s="460"/>
      <c r="ER120" s="460">
        <f t="shared" si="432"/>
        <v>299.45246610526323</v>
      </c>
      <c r="ES120" s="528">
        <f t="shared" si="411"/>
        <v>0.7</v>
      </c>
      <c r="EV120" s="460">
        <f t="shared" si="412"/>
        <v>700</v>
      </c>
      <c r="EW120" s="528">
        <f t="shared" si="413"/>
        <v>0.16210526315789475</v>
      </c>
      <c r="EX120" s="528">
        <f t="shared" si="414"/>
        <v>0.83789473684210536</v>
      </c>
      <c r="EY120" s="528">
        <f t="shared" si="415"/>
        <v>5.2770800289257756E-2</v>
      </c>
      <c r="EZ120" s="528"/>
      <c r="FA120" s="528">
        <f t="shared" si="416"/>
        <v>2.5666666666666667E-3</v>
      </c>
      <c r="FB120" s="460">
        <f t="shared" si="417"/>
        <v>1055.3374669559244</v>
      </c>
      <c r="FC120" s="173">
        <f t="shared" si="418"/>
        <v>2.0547899330611878</v>
      </c>
      <c r="FD120" s="5">
        <f t="shared" si="419"/>
        <v>15</v>
      </c>
      <c r="FE120" s="173">
        <f t="shared" si="420"/>
        <v>0.87951830886653615</v>
      </c>
      <c r="FF120" s="5">
        <f t="shared" si="421"/>
        <v>87.95183088665361</v>
      </c>
      <c r="FI120" s="562">
        <f t="shared" si="422"/>
        <v>-50</v>
      </c>
      <c r="FJ120">
        <f t="shared" si="423"/>
        <v>-50</v>
      </c>
      <c r="FL120">
        <f t="shared" si="424"/>
        <v>0.2</v>
      </c>
    </row>
    <row r="121" spans="5:168">
      <c r="E121" s="170">
        <v>11</v>
      </c>
      <c r="F121" s="217">
        <f t="shared" si="425"/>
        <v>1.1000000000000001</v>
      </c>
      <c r="G121" s="217"/>
      <c r="H121" s="217">
        <f t="shared" si="315"/>
        <v>16.5</v>
      </c>
      <c r="I121" s="541">
        <f t="shared" si="316"/>
        <v>18.753268114390085</v>
      </c>
      <c r="J121" s="172">
        <f t="shared" si="317"/>
        <v>15.548039131365949</v>
      </c>
      <c r="K121" s="172">
        <f t="shared" si="318"/>
        <v>34.301307245756036</v>
      </c>
      <c r="L121" s="443"/>
      <c r="M121" s="217">
        <f t="shared" si="319"/>
        <v>0.45330957820537332</v>
      </c>
      <c r="N121" s="172">
        <f t="shared" si="426"/>
        <v>212.72780107906019</v>
      </c>
      <c r="O121" s="172">
        <f t="shared" si="284"/>
        <v>16.5</v>
      </c>
      <c r="P121" s="217">
        <f t="shared" si="320"/>
        <v>14.18185340527068</v>
      </c>
      <c r="Q121" s="217">
        <f t="shared" si="321"/>
        <v>15</v>
      </c>
      <c r="R121" s="217"/>
      <c r="S121" s="172">
        <f t="shared" si="322"/>
        <v>407.47576200619307</v>
      </c>
      <c r="T121" s="172">
        <f t="shared" si="323"/>
        <v>15</v>
      </c>
      <c r="U121" s="217">
        <f t="shared" si="324"/>
        <v>4.0242153736259638</v>
      </c>
      <c r="V121" s="217">
        <f t="shared" si="325"/>
        <v>2.5750490095353773</v>
      </c>
      <c r="W121" s="217">
        <f t="shared" si="326"/>
        <v>3.1058954814496325</v>
      </c>
      <c r="X121" s="197">
        <f t="shared" si="327"/>
        <v>70.83708316481389</v>
      </c>
      <c r="Y121" s="443">
        <f t="shared" si="328"/>
        <v>170.04071395894238</v>
      </c>
      <c r="AA121" s="217">
        <f t="shared" si="329"/>
        <v>10</v>
      </c>
      <c r="AB121" s="173">
        <f t="shared" si="330"/>
        <v>7.7180150491078416</v>
      </c>
      <c r="AC121" s="173">
        <f t="shared" si="331"/>
        <v>2.7336083695046867</v>
      </c>
      <c r="AD121" s="173"/>
      <c r="AE121" s="173">
        <f t="shared" si="332"/>
        <v>7.7180150491078416</v>
      </c>
      <c r="AF121" s="545">
        <f t="shared" si="333"/>
        <v>28.504738407504238</v>
      </c>
      <c r="AG121" s="528">
        <f t="shared" si="334"/>
        <v>2.7336083695046871</v>
      </c>
      <c r="AI121" s="173">
        <f t="shared" si="335"/>
        <v>2.853806400857045</v>
      </c>
      <c r="AJ121" s="173">
        <f t="shared" si="336"/>
        <v>10</v>
      </c>
      <c r="AK121" s="173">
        <f t="shared" si="337"/>
        <v>1.0162884219471453</v>
      </c>
      <c r="AM121" s="545">
        <f t="shared" si="338"/>
        <v>1100</v>
      </c>
      <c r="AN121" s="460">
        <f t="shared" si="339"/>
        <v>28.504738407504238</v>
      </c>
      <c r="AP121" s="460">
        <f t="shared" si="340"/>
        <v>1100</v>
      </c>
      <c r="AQ121" s="460">
        <f t="shared" si="341"/>
        <v>28.504738407504238</v>
      </c>
      <c r="AS121" s="5">
        <f t="shared" si="285"/>
        <v>35.08188658685382</v>
      </c>
      <c r="AT121" s="5">
        <f t="shared" si="342"/>
        <v>6.3988846780215072</v>
      </c>
      <c r="AU121" s="5">
        <f t="shared" si="343"/>
        <v>28.683001908832313</v>
      </c>
      <c r="AV121" s="5"/>
      <c r="AW121" s="173">
        <f t="shared" si="344"/>
        <v>0.18239853384679008</v>
      </c>
      <c r="AX121" s="173">
        <f t="shared" si="214"/>
        <v>17.102843044502542</v>
      </c>
      <c r="AY121" s="173">
        <f t="shared" si="215"/>
        <v>4.0880073307660494</v>
      </c>
      <c r="AZ121" s="173">
        <f t="shared" si="288"/>
        <v>4.1836625183589504</v>
      </c>
      <c r="BA121" s="460">
        <f t="shared" si="433"/>
        <v>46.925154305491063</v>
      </c>
      <c r="BB121" s="5">
        <f t="shared" si="434"/>
        <v>8.7022906714438601</v>
      </c>
      <c r="BD121" s="173">
        <f t="shared" si="289"/>
        <v>2.4657556911069549</v>
      </c>
      <c r="BE121" s="173">
        <f t="shared" si="218"/>
        <v>5.2204772008990705</v>
      </c>
      <c r="BG121" s="528">
        <f t="shared" si="347"/>
        <v>0.12159902256452673</v>
      </c>
      <c r="BH121" s="528">
        <f t="shared" si="348"/>
        <v>0.18332808563919478</v>
      </c>
      <c r="BI121" s="528">
        <f t="shared" si="349"/>
        <v>1.336392504716199E-2</v>
      </c>
      <c r="BJ121" s="528">
        <f t="shared" si="350"/>
        <v>3.3538095958860238E-3</v>
      </c>
      <c r="BK121">
        <f t="shared" si="351"/>
        <v>8.4389706514755389E-3</v>
      </c>
      <c r="BL121" s="460">
        <f t="shared" si="427"/>
        <v>21.802895698637528</v>
      </c>
      <c r="BM121" s="528">
        <f t="shared" si="352"/>
        <v>0.35126126910434613</v>
      </c>
      <c r="BN121" s="460">
        <f t="shared" si="353"/>
        <v>351.26126910434613</v>
      </c>
      <c r="BO121" s="528">
        <f t="shared" si="354"/>
        <v>0.77</v>
      </c>
      <c r="BR121" s="460">
        <f t="shared" si="355"/>
        <v>770</v>
      </c>
      <c r="BS121" s="528">
        <f t="shared" si="356"/>
        <v>0.18239853384679008</v>
      </c>
      <c r="BT121" s="528">
        <f t="shared" si="357"/>
        <v>0.81760146615320983</v>
      </c>
      <c r="BU121" s="528">
        <f t="shared" si="358"/>
        <v>6.859029232134134E-2</v>
      </c>
      <c r="BV121" s="528"/>
      <c r="BW121" s="528">
        <f t="shared" si="359"/>
        <v>2.8504738407504242E-3</v>
      </c>
      <c r="BX121" s="460">
        <f t="shared" si="360"/>
        <v>1071.4407661620917</v>
      </c>
      <c r="BY121" s="173">
        <f t="shared" si="361"/>
        <v>2.1715245796603369</v>
      </c>
      <c r="BZ121" s="5">
        <f t="shared" si="362"/>
        <v>16.5</v>
      </c>
      <c r="CA121" s="173">
        <f t="shared" si="363"/>
        <v>0.88369859298871245</v>
      </c>
      <c r="CB121" s="5">
        <f t="shared" si="364"/>
        <v>88.369859298871248</v>
      </c>
      <c r="CE121" s="562">
        <f t="shared" si="365"/>
        <v>-50</v>
      </c>
      <c r="CF121">
        <f t="shared" si="366"/>
        <v>-50</v>
      </c>
      <c r="CG121" s="173">
        <f t="shared" si="367"/>
        <v>0.22291403425236975</v>
      </c>
      <c r="CI121" s="170">
        <v>11</v>
      </c>
      <c r="CJ121" s="217">
        <f t="shared" si="428"/>
        <v>1.1000000000000001</v>
      </c>
      <c r="CK121" s="217"/>
      <c r="CL121" s="217">
        <f t="shared" si="368"/>
        <v>16.5</v>
      </c>
      <c r="CM121" s="541">
        <f t="shared" si="369"/>
        <v>19</v>
      </c>
      <c r="CN121" s="443">
        <f t="shared" si="370"/>
        <v>15.4</v>
      </c>
      <c r="CO121" s="443">
        <f t="shared" si="371"/>
        <v>34.4</v>
      </c>
      <c r="CP121" s="443"/>
      <c r="CQ121" s="217">
        <f t="shared" si="372"/>
        <v>0.44767441860465118</v>
      </c>
      <c r="CR121" s="172">
        <f t="shared" si="429"/>
        <v>212.84736191860466</v>
      </c>
      <c r="CS121" s="172">
        <f t="shared" si="373"/>
        <v>16.5</v>
      </c>
      <c r="CT121" s="217">
        <f t="shared" si="374"/>
        <v>14.189824127906977</v>
      </c>
      <c r="CU121" s="217">
        <f t="shared" si="375"/>
        <v>15</v>
      </c>
      <c r="CV121" s="217"/>
      <c r="CW121" s="172">
        <f t="shared" si="376"/>
        <v>412.83657322032894</v>
      </c>
      <c r="CX121" s="172">
        <f t="shared" si="377"/>
        <v>15</v>
      </c>
      <c r="CY121" s="217">
        <f t="shared" si="378"/>
        <v>3.8796992481203008</v>
      </c>
      <c r="CZ121" s="217">
        <f t="shared" si="379"/>
        <v>2.450336367233874</v>
      </c>
      <c r="DA121" s="217">
        <f t="shared" si="380"/>
        <v>3.0231422712625724</v>
      </c>
      <c r="DB121" s="197">
        <f t="shared" si="381"/>
        <v>70.881782945736433</v>
      </c>
      <c r="DC121" s="443">
        <f t="shared" si="382"/>
        <v>182.69916922059969</v>
      </c>
      <c r="DE121" s="217">
        <f t="shared" si="383"/>
        <v>10.000000000000002</v>
      </c>
      <c r="DF121" s="173">
        <f t="shared" si="384"/>
        <v>7.792207792207793</v>
      </c>
      <c r="DG121" s="173">
        <f t="shared" si="385"/>
        <v>2.7616279069767451</v>
      </c>
      <c r="DH121" s="173"/>
      <c r="DI121" s="173">
        <f t="shared" si="386"/>
        <v>7.7922077922077913</v>
      </c>
      <c r="DJ121" s="545">
        <f t="shared" si="387"/>
        <v>28.233333333333334</v>
      </c>
      <c r="DK121" s="528">
        <f t="shared" si="388"/>
        <v>2.7616279069767442</v>
      </c>
      <c r="DM121" s="173">
        <f t="shared" si="389"/>
        <v>2.8401877872187726</v>
      </c>
      <c r="DN121" s="173">
        <f t="shared" si="390"/>
        <v>10</v>
      </c>
      <c r="DO121" s="173">
        <f t="shared" si="391"/>
        <v>1.0161333333333333</v>
      </c>
      <c r="DQ121" s="545">
        <f t="shared" si="392"/>
        <v>1100</v>
      </c>
      <c r="DR121" s="460">
        <f t="shared" si="393"/>
        <v>28.233333333333334</v>
      </c>
      <c r="DT121">
        <f t="shared" si="430"/>
        <v>1100</v>
      </c>
      <c r="DU121">
        <f t="shared" si="431"/>
        <v>28.233333333333334</v>
      </c>
      <c r="DW121" s="5">
        <f t="shared" si="394"/>
        <v>35.419126328217232</v>
      </c>
      <c r="DX121" s="5">
        <f t="shared" si="395"/>
        <v>6.3157894736842106</v>
      </c>
      <c r="DY121" s="5">
        <f t="shared" si="396"/>
        <v>29.103336854533019</v>
      </c>
      <c r="DZ121" s="5"/>
      <c r="EA121" s="173">
        <f t="shared" si="397"/>
        <v>0.17831578947368423</v>
      </c>
      <c r="EB121" s="173">
        <f t="shared" si="398"/>
        <v>16.940000000000005</v>
      </c>
      <c r="EC121" s="173">
        <f t="shared" si="399"/>
        <v>4.108421052631579</v>
      </c>
      <c r="ED121" s="173">
        <f t="shared" si="400"/>
        <v>4.1232385344606728</v>
      </c>
      <c r="EE121" s="460">
        <f t="shared" si="401"/>
        <v>46.315789473684212</v>
      </c>
      <c r="EF121" s="5">
        <f t="shared" si="402"/>
        <v>8.7151553194155138</v>
      </c>
      <c r="EH121" s="173">
        <f t="shared" si="403"/>
        <v>2.4380032094160189</v>
      </c>
      <c r="EI121" s="173">
        <f t="shared" si="404"/>
        <v>5.2334953601021308</v>
      </c>
      <c r="EK121" s="528">
        <f t="shared" si="405"/>
        <v>0.11887719298245618</v>
      </c>
      <c r="EL121" s="528">
        <f t="shared" si="406"/>
        <v>0.19424533333333333</v>
      </c>
      <c r="EM121" s="528">
        <f t="shared" si="407"/>
        <v>3.5291666666666666E-3</v>
      </c>
      <c r="EN121" s="528">
        <f t="shared" si="408"/>
        <v>3.3410197333333335E-3</v>
      </c>
      <c r="EO121">
        <f t="shared" si="409"/>
        <v>8.5500000000000003E-3</v>
      </c>
      <c r="EP121" s="460">
        <f t="shared" si="410"/>
        <v>12.079166666666667</v>
      </c>
      <c r="EQ121" s="460"/>
      <c r="ER121" s="460">
        <f t="shared" si="432"/>
        <v>328.54271271578955</v>
      </c>
      <c r="ES121" s="528">
        <f t="shared" si="411"/>
        <v>0.77</v>
      </c>
      <c r="EV121" s="460">
        <f t="shared" si="412"/>
        <v>770</v>
      </c>
      <c r="EW121" s="528">
        <f t="shared" si="413"/>
        <v>0.17831578947368426</v>
      </c>
      <c r="EX121" s="528">
        <f t="shared" si="414"/>
        <v>0.82168421052631591</v>
      </c>
      <c r="EY121" s="528">
        <f t="shared" si="415"/>
        <v>6.6969243544756182E-2</v>
      </c>
      <c r="EZ121" s="528"/>
      <c r="FA121" s="528">
        <f t="shared" si="416"/>
        <v>2.8233333333333335E-3</v>
      </c>
      <c r="FB121" s="460">
        <f t="shared" si="417"/>
        <v>1069.7925768780899</v>
      </c>
      <c r="FC121" s="173">
        <f t="shared" si="418"/>
        <v>2.168335289593879</v>
      </c>
      <c r="FD121" s="5">
        <f t="shared" si="419"/>
        <v>16.5</v>
      </c>
      <c r="FE121" s="173">
        <f t="shared" si="420"/>
        <v>0.88384956366181422</v>
      </c>
      <c r="FF121" s="5">
        <f t="shared" si="421"/>
        <v>88.384956366181427</v>
      </c>
      <c r="FI121" s="562">
        <f t="shared" si="422"/>
        <v>-50</v>
      </c>
      <c r="FJ121">
        <f t="shared" si="423"/>
        <v>-50</v>
      </c>
      <c r="FL121">
        <f t="shared" si="424"/>
        <v>0.22000000000000003</v>
      </c>
    </row>
    <row r="122" spans="5:168">
      <c r="E122" s="170">
        <v>12</v>
      </c>
      <c r="F122" s="217">
        <f t="shared" si="425"/>
        <v>1.2</v>
      </c>
      <c r="G122" s="217"/>
      <c r="H122" s="217">
        <f t="shared" si="315"/>
        <v>18</v>
      </c>
      <c r="I122" s="541">
        <f t="shared" si="316"/>
        <v>18.753268114390085</v>
      </c>
      <c r="J122" s="172">
        <f t="shared" si="317"/>
        <v>15.548039131365949</v>
      </c>
      <c r="K122" s="172">
        <f t="shared" si="318"/>
        <v>34.301307245756036</v>
      </c>
      <c r="L122" s="443"/>
      <c r="M122" s="217">
        <f t="shared" si="319"/>
        <v>0.45330957820537332</v>
      </c>
      <c r="N122" s="172">
        <f t="shared" si="426"/>
        <v>212.72780107906019</v>
      </c>
      <c r="O122" s="172">
        <f t="shared" si="284"/>
        <v>18</v>
      </c>
      <c r="P122" s="217">
        <f t="shared" si="320"/>
        <v>14.18185340527068</v>
      </c>
      <c r="Q122" s="217">
        <f t="shared" si="321"/>
        <v>15</v>
      </c>
      <c r="R122" s="217"/>
      <c r="S122" s="172">
        <f t="shared" si="322"/>
        <v>371.95996291304027</v>
      </c>
      <c r="T122" s="172">
        <f t="shared" si="323"/>
        <v>15</v>
      </c>
      <c r="U122" s="217">
        <f t="shared" si="324"/>
        <v>4.3900531348646883</v>
      </c>
      <c r="V122" s="217">
        <f t="shared" si="325"/>
        <v>2.8091443740385937</v>
      </c>
      <c r="W122" s="217">
        <f t="shared" si="326"/>
        <v>3.3882496161268718</v>
      </c>
      <c r="X122" s="197">
        <f t="shared" si="327"/>
        <v>70.83708316481389</v>
      </c>
      <c r="Y122" s="443">
        <f t="shared" si="328"/>
        <v>156.31364920423408</v>
      </c>
      <c r="AA122" s="217">
        <f t="shared" si="329"/>
        <v>10</v>
      </c>
      <c r="AB122" s="173">
        <f t="shared" si="330"/>
        <v>7.7180150491078416</v>
      </c>
      <c r="AC122" s="173">
        <f t="shared" si="331"/>
        <v>2.7336083695046867</v>
      </c>
      <c r="AD122" s="173"/>
      <c r="AE122" s="173">
        <f t="shared" si="332"/>
        <v>7.7180150491078416</v>
      </c>
      <c r="AF122" s="545">
        <f t="shared" si="333"/>
        <v>31.09607826273189</v>
      </c>
      <c r="AG122" s="528">
        <f t="shared" si="334"/>
        <v>2.7336083695046871</v>
      </c>
      <c r="AI122" s="173">
        <f t="shared" si="335"/>
        <v>2.9807035728753655</v>
      </c>
      <c r="AJ122" s="173">
        <f t="shared" si="336"/>
        <v>10</v>
      </c>
      <c r="AK122" s="173">
        <f t="shared" si="337"/>
        <v>1.017769187578704</v>
      </c>
      <c r="AM122" s="545">
        <f t="shared" si="338"/>
        <v>1200</v>
      </c>
      <c r="AN122" s="460">
        <f t="shared" si="339"/>
        <v>31.09607826273189</v>
      </c>
      <c r="AP122" s="460">
        <f t="shared" si="340"/>
        <v>1200</v>
      </c>
      <c r="AQ122" s="460">
        <f t="shared" si="341"/>
        <v>31.09607826273189</v>
      </c>
      <c r="AS122" s="5">
        <f t="shared" si="285"/>
        <v>32.158396037949345</v>
      </c>
      <c r="AT122" s="5">
        <f t="shared" si="342"/>
        <v>6.3988846780215072</v>
      </c>
      <c r="AU122" s="5">
        <f t="shared" si="343"/>
        <v>25.759511359927838</v>
      </c>
      <c r="AV122" s="5"/>
      <c r="AW122" s="173">
        <f t="shared" si="344"/>
        <v>0.19898021874195274</v>
      </c>
      <c r="AX122" s="173">
        <f t="shared" si="214"/>
        <v>18.657646957639134</v>
      </c>
      <c r="AY122" s="173">
        <f t="shared" si="215"/>
        <v>4.005098906290236</v>
      </c>
      <c r="AZ122" s="173">
        <f t="shared" si="288"/>
        <v>4.6584734595033934</v>
      </c>
      <c r="BA122" s="460">
        <f t="shared" si="433"/>
        <v>51.19107742417205</v>
      </c>
      <c r="BB122" s="5">
        <f t="shared" si="434"/>
        <v>8.5258004769498204</v>
      </c>
      <c r="BD122" s="173">
        <f t="shared" si="289"/>
        <v>2.5753978252039222</v>
      </c>
      <c r="BE122" s="173">
        <f t="shared" si="218"/>
        <v>5.1672680765824639</v>
      </c>
      <c r="BG122" s="528">
        <f t="shared" si="347"/>
        <v>0.13265347916130185</v>
      </c>
      <c r="BH122" s="528">
        <f t="shared" si="348"/>
        <v>0.1999942752427579</v>
      </c>
      <c r="BI122" s="528">
        <f t="shared" si="349"/>
        <v>1.4578827324176714E-2</v>
      </c>
      <c r="BJ122" s="528">
        <f t="shared" si="350"/>
        <v>3.6587013773302069E-3</v>
      </c>
      <c r="BK122">
        <f t="shared" si="351"/>
        <v>8.4389706514755389E-3</v>
      </c>
      <c r="BL122" s="460">
        <f t="shared" si="427"/>
        <v>23.017797975652254</v>
      </c>
      <c r="BM122" s="528">
        <f t="shared" si="352"/>
        <v>0.38423334089527761</v>
      </c>
      <c r="BN122" s="460">
        <f t="shared" si="353"/>
        <v>384.23334089527759</v>
      </c>
      <c r="BO122" s="528">
        <f t="shared" si="354"/>
        <v>0.84</v>
      </c>
      <c r="BR122" s="460">
        <f t="shared" si="355"/>
        <v>840</v>
      </c>
      <c r="BS122" s="528">
        <f t="shared" si="356"/>
        <v>0.19898021874195276</v>
      </c>
      <c r="BT122" s="528">
        <f t="shared" si="357"/>
        <v>0.80101978125804707</v>
      </c>
      <c r="BU122" s="528">
        <f t="shared" si="358"/>
        <v>8.5257787063169596E-2</v>
      </c>
      <c r="BV122" s="528"/>
      <c r="BW122" s="528">
        <f t="shared" si="359"/>
        <v>3.1096078262731895E-3</v>
      </c>
      <c r="BX122" s="460">
        <f t="shared" si="360"/>
        <v>1088.3673948894425</v>
      </c>
      <c r="BY122" s="173">
        <f t="shared" si="361"/>
        <v>2.2876916486464847</v>
      </c>
      <c r="BZ122" s="5">
        <f t="shared" si="362"/>
        <v>18</v>
      </c>
      <c r="CA122" s="173">
        <f t="shared" si="363"/>
        <v>0.88723745962497846</v>
      </c>
      <c r="CB122" s="5">
        <f t="shared" si="364"/>
        <v>88.723745962497844</v>
      </c>
      <c r="CE122" s="562">
        <f t="shared" si="365"/>
        <v>-50</v>
      </c>
      <c r="CF122">
        <f t="shared" si="366"/>
        <v>-50</v>
      </c>
      <c r="CG122" s="173">
        <f t="shared" si="367"/>
        <v>0.24317894645713062</v>
      </c>
      <c r="CI122" s="170">
        <v>12</v>
      </c>
      <c r="CJ122" s="217">
        <f t="shared" si="428"/>
        <v>1.2</v>
      </c>
      <c r="CK122" s="217"/>
      <c r="CL122" s="217">
        <f t="shared" si="368"/>
        <v>18</v>
      </c>
      <c r="CM122" s="541">
        <f t="shared" si="369"/>
        <v>19</v>
      </c>
      <c r="CN122" s="443">
        <f t="shared" si="370"/>
        <v>15.4</v>
      </c>
      <c r="CO122" s="443">
        <f t="shared" si="371"/>
        <v>34.4</v>
      </c>
      <c r="CP122" s="443"/>
      <c r="CQ122" s="217">
        <f t="shared" si="372"/>
        <v>0.44767441860465118</v>
      </c>
      <c r="CR122" s="172">
        <f t="shared" si="429"/>
        <v>212.84736191860466</v>
      </c>
      <c r="CS122" s="172">
        <f t="shared" si="373"/>
        <v>18</v>
      </c>
      <c r="CT122" s="217">
        <f t="shared" si="374"/>
        <v>14.189824127906977</v>
      </c>
      <c r="CU122" s="217">
        <f t="shared" si="375"/>
        <v>15</v>
      </c>
      <c r="CV122" s="217"/>
      <c r="CW122" s="172">
        <f t="shared" si="376"/>
        <v>376.85347893946891</v>
      </c>
      <c r="CX122" s="172">
        <f t="shared" si="377"/>
        <v>15</v>
      </c>
      <c r="CY122" s="217">
        <f t="shared" si="378"/>
        <v>4.2323991797676008</v>
      </c>
      <c r="CZ122" s="217">
        <f t="shared" si="379"/>
        <v>2.6730942188005899</v>
      </c>
      <c r="DA122" s="217">
        <f t="shared" si="380"/>
        <v>3.2979733868318966</v>
      </c>
      <c r="DB122" s="197">
        <f t="shared" si="381"/>
        <v>70.881782945736433</v>
      </c>
      <c r="DC122" s="443">
        <f t="shared" si="382"/>
        <v>167.47423845221644</v>
      </c>
      <c r="DE122" s="217">
        <f t="shared" si="383"/>
        <v>10.000000000000002</v>
      </c>
      <c r="DF122" s="173">
        <f t="shared" si="384"/>
        <v>7.792207792207793</v>
      </c>
      <c r="DG122" s="173">
        <f t="shared" si="385"/>
        <v>2.7616279069767451</v>
      </c>
      <c r="DH122" s="173"/>
      <c r="DI122" s="173">
        <f t="shared" si="386"/>
        <v>7.7922077922077913</v>
      </c>
      <c r="DJ122" s="545">
        <f t="shared" si="387"/>
        <v>30.8</v>
      </c>
      <c r="DK122" s="528">
        <f t="shared" si="388"/>
        <v>2.7616279069767442</v>
      </c>
      <c r="DM122" s="173">
        <f t="shared" si="389"/>
        <v>2.9664793948382653</v>
      </c>
      <c r="DN122" s="173">
        <f t="shared" si="390"/>
        <v>10</v>
      </c>
      <c r="DO122" s="173">
        <f t="shared" si="391"/>
        <v>1.0176000000000001</v>
      </c>
      <c r="DQ122" s="545">
        <f t="shared" si="392"/>
        <v>1200</v>
      </c>
      <c r="DR122" s="460">
        <f t="shared" si="393"/>
        <v>30.8</v>
      </c>
      <c r="DT122">
        <f t="shared" si="430"/>
        <v>1200</v>
      </c>
      <c r="DU122">
        <f t="shared" si="431"/>
        <v>30.8</v>
      </c>
      <c r="DW122" s="5">
        <f t="shared" si="394"/>
        <v>32.467532467532465</v>
      </c>
      <c r="DX122" s="5">
        <f t="shared" si="395"/>
        <v>6.3157894736842106</v>
      </c>
      <c r="DY122" s="5">
        <f t="shared" si="396"/>
        <v>26.151742993848252</v>
      </c>
      <c r="DZ122" s="5"/>
      <c r="EA122" s="173">
        <f t="shared" si="397"/>
        <v>0.19452631578947371</v>
      </c>
      <c r="EB122" s="173">
        <f t="shared" si="398"/>
        <v>18.480000000000004</v>
      </c>
      <c r="EC122" s="173">
        <f t="shared" si="399"/>
        <v>4.0273684210526319</v>
      </c>
      <c r="ED122" s="173">
        <f t="shared" si="400"/>
        <v>4.5886042864610568</v>
      </c>
      <c r="EE122" s="460">
        <f t="shared" si="401"/>
        <v>50.526315789473685</v>
      </c>
      <c r="EF122" s="5">
        <f t="shared" si="402"/>
        <v>8.5432191268469779</v>
      </c>
      <c r="EH122" s="173">
        <f t="shared" si="403"/>
        <v>2.546411303445653</v>
      </c>
      <c r="EI122" s="173">
        <f t="shared" si="404"/>
        <v>5.1816139191392434</v>
      </c>
      <c r="EK122" s="528">
        <f t="shared" si="405"/>
        <v>0.12968421052631579</v>
      </c>
      <c r="EL122" s="528">
        <f t="shared" si="406"/>
        <v>0.21190400000000001</v>
      </c>
      <c r="EM122" s="528">
        <f t="shared" si="407"/>
        <v>3.8499999999999997E-3</v>
      </c>
      <c r="EN122" s="528">
        <f t="shared" si="408"/>
        <v>3.6447488E-3</v>
      </c>
      <c r="EO122">
        <f t="shared" si="409"/>
        <v>8.5500000000000003E-3</v>
      </c>
      <c r="EP122" s="460">
        <f t="shared" si="410"/>
        <v>12.4</v>
      </c>
      <c r="EQ122" s="460"/>
      <c r="ER122" s="460">
        <f t="shared" si="432"/>
        <v>357.63295932631581</v>
      </c>
      <c r="ES122" s="528">
        <f t="shared" si="411"/>
        <v>0.84</v>
      </c>
      <c r="EV122" s="460">
        <f t="shared" si="412"/>
        <v>840</v>
      </c>
      <c r="EW122" s="528">
        <f t="shared" si="413"/>
        <v>0.19452631578947366</v>
      </c>
      <c r="EX122" s="528">
        <f t="shared" si="414"/>
        <v>0.80547368421052645</v>
      </c>
      <c r="EY122" s="528">
        <f t="shared" si="415"/>
        <v>8.3242822164556723E-2</v>
      </c>
      <c r="EZ122" s="528"/>
      <c r="FA122" s="528">
        <f t="shared" si="416"/>
        <v>3.0800000000000003E-3</v>
      </c>
      <c r="FB122" s="460">
        <f t="shared" si="417"/>
        <v>1086.3228221645566</v>
      </c>
      <c r="FC122" s="173">
        <f t="shared" si="418"/>
        <v>2.2839557814908726</v>
      </c>
      <c r="FD122" s="5">
        <f t="shared" si="419"/>
        <v>18</v>
      </c>
      <c r="FE122" s="173">
        <f t="shared" si="420"/>
        <v>0.88740086962844866</v>
      </c>
      <c r="FF122" s="5">
        <f t="shared" si="421"/>
        <v>88.74008696284487</v>
      </c>
      <c r="FI122" s="562">
        <f t="shared" si="422"/>
        <v>-50</v>
      </c>
      <c r="FJ122">
        <f t="shared" si="423"/>
        <v>-50</v>
      </c>
      <c r="FL122">
        <f t="shared" si="424"/>
        <v>0.24000000000000002</v>
      </c>
    </row>
    <row r="123" spans="5:168">
      <c r="E123" s="170">
        <v>13</v>
      </c>
      <c r="F123" s="217">
        <f t="shared" si="425"/>
        <v>1.3</v>
      </c>
      <c r="G123" s="217"/>
      <c r="H123" s="217">
        <f t="shared" si="315"/>
        <v>19.5</v>
      </c>
      <c r="I123" s="541">
        <f t="shared" si="316"/>
        <v>18.753268114390085</v>
      </c>
      <c r="J123" s="172">
        <f t="shared" si="317"/>
        <v>15.548039131365949</v>
      </c>
      <c r="K123" s="172">
        <f t="shared" si="318"/>
        <v>34.301307245756036</v>
      </c>
      <c r="L123" s="443"/>
      <c r="M123" s="217">
        <f t="shared" si="319"/>
        <v>0.45330957820537332</v>
      </c>
      <c r="N123" s="172">
        <f t="shared" si="426"/>
        <v>212.72780107906019</v>
      </c>
      <c r="O123" s="172">
        <f t="shared" si="284"/>
        <v>19.5</v>
      </c>
      <c r="P123" s="217">
        <f t="shared" si="320"/>
        <v>14.18185340527068</v>
      </c>
      <c r="Q123" s="217">
        <f t="shared" si="321"/>
        <v>15</v>
      </c>
      <c r="R123" s="217"/>
      <c r="S123" s="172">
        <f t="shared" si="322"/>
        <v>341.90841720106187</v>
      </c>
      <c r="T123" s="172">
        <f t="shared" si="323"/>
        <v>15</v>
      </c>
      <c r="U123" s="217">
        <f t="shared" si="324"/>
        <v>4.7558908961034119</v>
      </c>
      <c r="V123" s="217">
        <f t="shared" si="325"/>
        <v>3.0432397385418102</v>
      </c>
      <c r="W123" s="217">
        <f t="shared" si="326"/>
        <v>3.6706037508041112</v>
      </c>
      <c r="X123" s="197">
        <f t="shared" si="327"/>
        <v>70.83708316481389</v>
      </c>
      <c r="Y123" s="443">
        <f t="shared" si="328"/>
        <v>144.63734991122922</v>
      </c>
      <c r="AA123" s="217">
        <f t="shared" si="329"/>
        <v>10</v>
      </c>
      <c r="AB123" s="173">
        <f t="shared" si="330"/>
        <v>7.7180150491078416</v>
      </c>
      <c r="AC123" s="173">
        <f t="shared" si="331"/>
        <v>2.7336083695046867</v>
      </c>
      <c r="AD123" s="173"/>
      <c r="AE123" s="173">
        <f t="shared" si="332"/>
        <v>7.7180150491078416</v>
      </c>
      <c r="AF123" s="545">
        <f t="shared" si="333"/>
        <v>33.687418117959552</v>
      </c>
      <c r="AG123" s="528">
        <f t="shared" si="334"/>
        <v>2.7336083695046871</v>
      </c>
      <c r="AI123" s="173">
        <f t="shared" si="335"/>
        <v>3.1024146410709355</v>
      </c>
      <c r="AJ123" s="173">
        <f t="shared" si="336"/>
        <v>10</v>
      </c>
      <c r="AK123" s="173">
        <f t="shared" si="337"/>
        <v>1.0192499532102626</v>
      </c>
      <c r="AM123" s="545">
        <f t="shared" si="338"/>
        <v>1300</v>
      </c>
      <c r="AN123" s="460">
        <f t="shared" si="339"/>
        <v>33.687418117959552</v>
      </c>
      <c r="AP123" s="460">
        <f t="shared" si="340"/>
        <v>1300</v>
      </c>
      <c r="AQ123" s="460">
        <f t="shared" si="341"/>
        <v>33.687418117959552</v>
      </c>
      <c r="AS123" s="5">
        <f t="shared" si="285"/>
        <v>29.68467326579939</v>
      </c>
      <c r="AT123" s="5">
        <f t="shared" si="342"/>
        <v>6.3988846780215072</v>
      </c>
      <c r="AU123" s="5">
        <f t="shared" si="343"/>
        <v>23.285788587777883</v>
      </c>
      <c r="AV123" s="5"/>
      <c r="AW123" s="173">
        <f t="shared" si="344"/>
        <v>0.21556190363711553</v>
      </c>
      <c r="AX123" s="173">
        <f t="shared" si="214"/>
        <v>20.212450870775733</v>
      </c>
      <c r="AY123" s="173">
        <f t="shared" si="215"/>
        <v>3.9221904818144226</v>
      </c>
      <c r="AZ123" s="173">
        <f t="shared" si="288"/>
        <v>5.1533577893507516</v>
      </c>
      <c r="BA123" s="460">
        <f t="shared" si="433"/>
        <v>55.457000542853066</v>
      </c>
      <c r="BB123" s="5">
        <f t="shared" si="434"/>
        <v>8.3493102824557734</v>
      </c>
      <c r="BD123" s="173">
        <f t="shared" si="289"/>
        <v>2.6805590439130138</v>
      </c>
      <c r="BE123" s="173">
        <f t="shared" si="218"/>
        <v>5.1135053090252569</v>
      </c>
      <c r="BG123" s="528">
        <f t="shared" si="347"/>
        <v>0.14370793575807703</v>
      </c>
      <c r="BH123" s="528">
        <f t="shared" si="348"/>
        <v>0.21666046484632109</v>
      </c>
      <c r="BI123" s="528">
        <f t="shared" si="349"/>
        <v>1.5793729601191443E-2</v>
      </c>
      <c r="BJ123" s="528">
        <f t="shared" si="350"/>
        <v>3.9635931587743917E-3</v>
      </c>
      <c r="BK123">
        <f t="shared" si="351"/>
        <v>8.4389706514755389E-3</v>
      </c>
      <c r="BL123" s="460">
        <f t="shared" si="427"/>
        <v>24.23270025266698</v>
      </c>
      <c r="BM123" s="528">
        <f t="shared" si="352"/>
        <v>0.41738474069973747</v>
      </c>
      <c r="BN123" s="460">
        <f t="shared" si="353"/>
        <v>417.38474069973745</v>
      </c>
      <c r="BO123" s="528">
        <f t="shared" si="354"/>
        <v>0.90999999999999992</v>
      </c>
      <c r="BR123" s="460">
        <f t="shared" si="355"/>
        <v>909.99999999999989</v>
      </c>
      <c r="BS123" s="528">
        <f t="shared" si="356"/>
        <v>0.2155619036371155</v>
      </c>
      <c r="BT123" s="528">
        <f t="shared" si="357"/>
        <v>0.78443809636288464</v>
      </c>
      <c r="BU123" s="528">
        <f t="shared" si="358"/>
        <v>0.10414521517962472</v>
      </c>
      <c r="BV123" s="528"/>
      <c r="BW123" s="528">
        <f t="shared" si="359"/>
        <v>3.3687418117959553E-3</v>
      </c>
      <c r="BX123" s="460">
        <f t="shared" si="360"/>
        <v>1107.5139569914209</v>
      </c>
      <c r="BY123" s="173">
        <f t="shared" si="361"/>
        <v>2.40607865100726</v>
      </c>
      <c r="BZ123" s="5">
        <f t="shared" si="362"/>
        <v>19.5</v>
      </c>
      <c r="CA123" s="173">
        <f t="shared" si="363"/>
        <v>0.89016388148060333</v>
      </c>
      <c r="CB123" s="5">
        <f t="shared" si="364"/>
        <v>89.016388148060329</v>
      </c>
      <c r="CE123" s="562">
        <f t="shared" si="365"/>
        <v>-50</v>
      </c>
      <c r="CF123">
        <f t="shared" si="366"/>
        <v>-50</v>
      </c>
      <c r="CG123" s="173">
        <f t="shared" si="367"/>
        <v>0.26344385866189157</v>
      </c>
      <c r="CI123" s="170">
        <v>13</v>
      </c>
      <c r="CJ123" s="217">
        <f t="shared" si="428"/>
        <v>1.3</v>
      </c>
      <c r="CK123" s="217"/>
      <c r="CL123" s="217">
        <f t="shared" si="368"/>
        <v>19.5</v>
      </c>
      <c r="CM123" s="541">
        <f t="shared" si="369"/>
        <v>19</v>
      </c>
      <c r="CN123" s="443">
        <f t="shared" si="370"/>
        <v>15.4</v>
      </c>
      <c r="CO123" s="443">
        <f t="shared" si="371"/>
        <v>34.4</v>
      </c>
      <c r="CP123" s="443"/>
      <c r="CQ123" s="217">
        <f t="shared" si="372"/>
        <v>0.44767441860465118</v>
      </c>
      <c r="CR123" s="172">
        <f t="shared" si="429"/>
        <v>212.84736191860466</v>
      </c>
      <c r="CS123" s="172">
        <f t="shared" si="373"/>
        <v>19.5</v>
      </c>
      <c r="CT123" s="217">
        <f t="shared" si="374"/>
        <v>14.189824127906977</v>
      </c>
      <c r="CU123" s="217">
        <f t="shared" si="375"/>
        <v>15</v>
      </c>
      <c r="CV123" s="217"/>
      <c r="CW123" s="172">
        <f t="shared" si="376"/>
        <v>346.40652962022199</v>
      </c>
      <c r="CX123" s="172">
        <f t="shared" si="377"/>
        <v>15</v>
      </c>
      <c r="CY123" s="217">
        <f t="shared" si="378"/>
        <v>4.5850991114149009</v>
      </c>
      <c r="CZ123" s="217">
        <f t="shared" si="379"/>
        <v>2.8958520703673063</v>
      </c>
      <c r="DA123" s="217">
        <f t="shared" si="380"/>
        <v>3.5728045024012216</v>
      </c>
      <c r="DB123" s="197">
        <f t="shared" si="381"/>
        <v>70.881782945736433</v>
      </c>
      <c r="DC123" s="443">
        <f t="shared" si="382"/>
        <v>154.59160472512281</v>
      </c>
      <c r="DE123" s="217">
        <f t="shared" si="383"/>
        <v>10.000000000000002</v>
      </c>
      <c r="DF123" s="173">
        <f t="shared" si="384"/>
        <v>7.792207792207793</v>
      </c>
      <c r="DG123" s="173">
        <f t="shared" si="385"/>
        <v>2.7616279069767451</v>
      </c>
      <c r="DH123" s="173"/>
      <c r="DI123" s="173">
        <f t="shared" si="386"/>
        <v>7.7922077922077913</v>
      </c>
      <c r="DJ123" s="545">
        <f t="shared" si="387"/>
        <v>33.366666666666674</v>
      </c>
      <c r="DK123" s="528">
        <f t="shared" si="388"/>
        <v>2.7616279069767442</v>
      </c>
      <c r="DM123" s="173">
        <f t="shared" si="389"/>
        <v>3.0876096471758432</v>
      </c>
      <c r="DN123" s="173">
        <f t="shared" si="390"/>
        <v>10</v>
      </c>
      <c r="DO123" s="173">
        <f t="shared" si="391"/>
        <v>1.0190666666666666</v>
      </c>
      <c r="DQ123" s="545">
        <f t="shared" si="392"/>
        <v>1300</v>
      </c>
      <c r="DR123" s="460">
        <f t="shared" si="393"/>
        <v>33.366666666666674</v>
      </c>
      <c r="DT123">
        <f t="shared" si="430"/>
        <v>1300</v>
      </c>
      <c r="DU123">
        <f t="shared" si="431"/>
        <v>33.366666666666674</v>
      </c>
      <c r="DW123" s="5">
        <f t="shared" si="394"/>
        <v>29.970029970029966</v>
      </c>
      <c r="DX123" s="5">
        <f t="shared" si="395"/>
        <v>6.3157894736842106</v>
      </c>
      <c r="DY123" s="5">
        <f t="shared" si="396"/>
        <v>23.654240496345757</v>
      </c>
      <c r="DZ123" s="5"/>
      <c r="EA123" s="173">
        <f t="shared" si="397"/>
        <v>0.21073684210526319</v>
      </c>
      <c r="EB123" s="173">
        <f t="shared" si="398"/>
        <v>20.020000000000007</v>
      </c>
      <c r="EC123" s="173">
        <f t="shared" si="399"/>
        <v>3.946315789473684</v>
      </c>
      <c r="ED123" s="173">
        <f t="shared" si="400"/>
        <v>5.0730861563083511</v>
      </c>
      <c r="EE123" s="460">
        <f t="shared" si="401"/>
        <v>54.736842105263158</v>
      </c>
      <c r="EF123" s="5">
        <f t="shared" si="402"/>
        <v>8.3712829342784438</v>
      </c>
      <c r="EH123" s="173">
        <f t="shared" si="403"/>
        <v>2.6503889155195273</v>
      </c>
      <c r="EI123" s="173">
        <f t="shared" si="404"/>
        <v>5.1292077292525953</v>
      </c>
      <c r="EK123" s="528">
        <f t="shared" si="405"/>
        <v>0.14049122807017553</v>
      </c>
      <c r="EL123" s="528">
        <f t="shared" si="406"/>
        <v>0.22956266666666672</v>
      </c>
      <c r="EM123" s="528">
        <f t="shared" si="407"/>
        <v>4.1708333333333346E-3</v>
      </c>
      <c r="EN123" s="528">
        <f t="shared" si="408"/>
        <v>3.9484778666666678E-3</v>
      </c>
      <c r="EO123">
        <f t="shared" si="409"/>
        <v>8.5500000000000003E-3</v>
      </c>
      <c r="EP123" s="460">
        <f t="shared" si="410"/>
        <v>12.720833333333333</v>
      </c>
      <c r="EQ123" s="460"/>
      <c r="ER123" s="460">
        <f t="shared" si="432"/>
        <v>386.72320593684231</v>
      </c>
      <c r="ES123" s="528">
        <f t="shared" si="411"/>
        <v>0.90999999999999992</v>
      </c>
      <c r="EV123" s="460">
        <f t="shared" si="412"/>
        <v>909.99999999999989</v>
      </c>
      <c r="EW123" s="528">
        <f t="shared" si="413"/>
        <v>0.21073684210526328</v>
      </c>
      <c r="EX123" s="528">
        <f t="shared" si="414"/>
        <v>0.789263157894737</v>
      </c>
      <c r="EY123" s="528">
        <f t="shared" si="415"/>
        <v>0.10168386871293837</v>
      </c>
      <c r="EZ123" s="528"/>
      <c r="FA123" s="528">
        <f t="shared" si="416"/>
        <v>3.3366666666666675E-3</v>
      </c>
      <c r="FB123" s="460">
        <f t="shared" si="417"/>
        <v>1105.0205353796055</v>
      </c>
      <c r="FC123" s="173">
        <f t="shared" si="418"/>
        <v>2.401743741316448</v>
      </c>
      <c r="FD123" s="5">
        <f t="shared" si="419"/>
        <v>19.5</v>
      </c>
      <c r="FE123" s="173">
        <f t="shared" si="420"/>
        <v>0.89034006745382155</v>
      </c>
      <c r="FF123" s="5">
        <f t="shared" si="421"/>
        <v>89.034006745382158</v>
      </c>
      <c r="FI123" s="562">
        <f t="shared" si="422"/>
        <v>-50</v>
      </c>
      <c r="FJ123">
        <f t="shared" si="423"/>
        <v>-50</v>
      </c>
      <c r="FL123">
        <f t="shared" si="424"/>
        <v>0.26</v>
      </c>
    </row>
    <row r="124" spans="5:168">
      <c r="E124" s="170">
        <v>14</v>
      </c>
      <c r="F124" s="217">
        <f t="shared" si="425"/>
        <v>1.4000000000000001</v>
      </c>
      <c r="G124" s="217"/>
      <c r="H124" s="217">
        <f t="shared" si="315"/>
        <v>21.000000000000004</v>
      </c>
      <c r="I124" s="541">
        <f t="shared" si="316"/>
        <v>18.753268114390085</v>
      </c>
      <c r="J124" s="172">
        <f t="shared" si="317"/>
        <v>15.548039131365949</v>
      </c>
      <c r="K124" s="172">
        <f t="shared" si="318"/>
        <v>34.301307245756036</v>
      </c>
      <c r="L124" s="443"/>
      <c r="M124" s="217">
        <f t="shared" si="319"/>
        <v>0.45330957820537332</v>
      </c>
      <c r="N124" s="172">
        <f t="shared" si="426"/>
        <v>212.72780107906019</v>
      </c>
      <c r="O124" s="172">
        <f t="shared" si="284"/>
        <v>21.000000000000004</v>
      </c>
      <c r="P124" s="217">
        <f t="shared" si="320"/>
        <v>14.18185340527068</v>
      </c>
      <c r="Q124" s="217">
        <f t="shared" si="321"/>
        <v>15</v>
      </c>
      <c r="R124" s="217"/>
      <c r="S124" s="172">
        <f t="shared" si="322"/>
        <v>316.15021669552374</v>
      </c>
      <c r="T124" s="172">
        <f t="shared" si="323"/>
        <v>15</v>
      </c>
      <c r="U124" s="217">
        <f t="shared" si="324"/>
        <v>5.1217286573421372</v>
      </c>
      <c r="V124" s="217">
        <f t="shared" si="325"/>
        <v>3.2773351030450275</v>
      </c>
      <c r="W124" s="217">
        <f t="shared" si="326"/>
        <v>3.9529578854813514</v>
      </c>
      <c r="X124" s="197">
        <f t="shared" si="327"/>
        <v>70.83708316481389</v>
      </c>
      <c r="Y124" s="443">
        <f t="shared" si="328"/>
        <v>134.58419493607695</v>
      </c>
      <c r="AA124" s="217">
        <f t="shared" si="329"/>
        <v>10</v>
      </c>
      <c r="AB124" s="173">
        <f t="shared" si="330"/>
        <v>7.7180150491078416</v>
      </c>
      <c r="AC124" s="173">
        <f t="shared" si="331"/>
        <v>2.7336083695046867</v>
      </c>
      <c r="AD124" s="173"/>
      <c r="AE124" s="173">
        <f t="shared" si="332"/>
        <v>7.7180150491078416</v>
      </c>
      <c r="AF124" s="545">
        <f t="shared" si="333"/>
        <v>36.278757973187211</v>
      </c>
      <c r="AG124" s="528">
        <f t="shared" si="334"/>
        <v>2.7336083695046871</v>
      </c>
      <c r="AI124" s="173">
        <f t="shared" si="335"/>
        <v>3.2195278257705171</v>
      </c>
      <c r="AJ124" s="173">
        <f t="shared" si="336"/>
        <v>10</v>
      </c>
      <c r="AK124" s="173">
        <f t="shared" si="337"/>
        <v>1.0207307188418213</v>
      </c>
      <c r="AM124" s="545">
        <f t="shared" si="338"/>
        <v>1400.0000000000002</v>
      </c>
      <c r="AN124" s="460">
        <f t="shared" si="339"/>
        <v>36.278757973187211</v>
      </c>
      <c r="AP124" s="460">
        <f t="shared" si="340"/>
        <v>1400.0000000000002</v>
      </c>
      <c r="AQ124" s="460">
        <f t="shared" si="341"/>
        <v>36.278757973187211</v>
      </c>
      <c r="AS124" s="5">
        <f t="shared" si="285"/>
        <v>27.564339461099433</v>
      </c>
      <c r="AT124" s="5">
        <f t="shared" si="342"/>
        <v>6.3988846780215072</v>
      </c>
      <c r="AU124" s="5">
        <f t="shared" si="343"/>
        <v>21.165454783077926</v>
      </c>
      <c r="AV124" s="5"/>
      <c r="AW124" s="173">
        <f t="shared" si="344"/>
        <v>0.23214358853227826</v>
      </c>
      <c r="AX124" s="173">
        <f t="shared" si="214"/>
        <v>21.767254783912328</v>
      </c>
      <c r="AY124" s="173">
        <f t="shared" si="215"/>
        <v>3.8392820573386088</v>
      </c>
      <c r="AZ124" s="173">
        <f t="shared" si="288"/>
        <v>5.6696159487176088</v>
      </c>
      <c r="BA124" s="460">
        <f t="shared" si="433"/>
        <v>59.722923661534075</v>
      </c>
      <c r="BB124" s="5">
        <f t="shared" si="434"/>
        <v>8.1728200879617301</v>
      </c>
      <c r="BD124" s="173">
        <f t="shared" si="289"/>
        <v>2.7817475833983583</v>
      </c>
      <c r="BE124" s="173">
        <f t="shared" si="218"/>
        <v>5.0591712479012525</v>
      </c>
      <c r="BG124" s="528">
        <f t="shared" si="347"/>
        <v>0.15476239235485212</v>
      </c>
      <c r="BH124" s="528">
        <f t="shared" si="348"/>
        <v>0.23332665444988429</v>
      </c>
      <c r="BI124" s="528">
        <f t="shared" si="349"/>
        <v>1.7008631878206167E-2</v>
      </c>
      <c r="BJ124" s="528">
        <f t="shared" si="350"/>
        <v>4.2684849402185761E-3</v>
      </c>
      <c r="BK124">
        <f t="shared" si="351"/>
        <v>8.4389706514755389E-3</v>
      </c>
      <c r="BL124" s="460">
        <f t="shared" si="427"/>
        <v>25.447602529681706</v>
      </c>
      <c r="BM124" s="528">
        <f t="shared" si="352"/>
        <v>0.4507169354968158</v>
      </c>
      <c r="BN124" s="460">
        <f t="shared" si="353"/>
        <v>450.71693549681578</v>
      </c>
      <c r="BO124" s="528">
        <f t="shared" si="354"/>
        <v>0.98</v>
      </c>
      <c r="BR124" s="460">
        <f t="shared" si="355"/>
        <v>980</v>
      </c>
      <c r="BS124" s="528">
        <f t="shared" si="356"/>
        <v>0.23214358853227815</v>
      </c>
      <c r="BT124" s="528">
        <f t="shared" si="357"/>
        <v>0.76785641146772143</v>
      </c>
      <c r="BU124" s="528">
        <f t="shared" si="358"/>
        <v>0.12534327274697807</v>
      </c>
      <c r="BV124" s="528"/>
      <c r="BW124" s="528">
        <f t="shared" si="359"/>
        <v>3.6278757973187215E-3</v>
      </c>
      <c r="BX124" s="460">
        <f t="shared" si="360"/>
        <v>1128.9711485442963</v>
      </c>
      <c r="BY124" s="173">
        <f t="shared" si="361"/>
        <v>2.5267762828189331</v>
      </c>
      <c r="BZ124" s="5">
        <f t="shared" si="362"/>
        <v>21.000000000000004</v>
      </c>
      <c r="CA124" s="173">
        <f t="shared" si="363"/>
        <v>0.89259997832069415</v>
      </c>
      <c r="CB124" s="5">
        <f t="shared" si="364"/>
        <v>89.259997832069416</v>
      </c>
      <c r="CE124" s="562">
        <f t="shared" si="365"/>
        <v>-50</v>
      </c>
      <c r="CF124">
        <f t="shared" si="366"/>
        <v>-50</v>
      </c>
      <c r="CG124" s="173">
        <f t="shared" si="367"/>
        <v>0.28370877086665242</v>
      </c>
      <c r="CI124" s="170">
        <v>14</v>
      </c>
      <c r="CJ124" s="217">
        <f t="shared" si="428"/>
        <v>1.4000000000000001</v>
      </c>
      <c r="CK124" s="217"/>
      <c r="CL124" s="217">
        <f t="shared" si="368"/>
        <v>21.000000000000004</v>
      </c>
      <c r="CM124" s="541">
        <f t="shared" si="369"/>
        <v>19</v>
      </c>
      <c r="CN124" s="443">
        <f t="shared" si="370"/>
        <v>15.4</v>
      </c>
      <c r="CO124" s="443">
        <f t="shared" si="371"/>
        <v>34.4</v>
      </c>
      <c r="CP124" s="443"/>
      <c r="CQ124" s="217">
        <f t="shared" si="372"/>
        <v>0.44767441860465118</v>
      </c>
      <c r="CR124" s="172">
        <f t="shared" si="429"/>
        <v>212.84736191860466</v>
      </c>
      <c r="CS124" s="172">
        <f t="shared" si="373"/>
        <v>21.000000000000004</v>
      </c>
      <c r="CT124" s="217">
        <f t="shared" si="374"/>
        <v>14.189824127906977</v>
      </c>
      <c r="CU124" s="217">
        <f t="shared" si="375"/>
        <v>15</v>
      </c>
      <c r="CV124" s="217"/>
      <c r="CW124" s="172">
        <f t="shared" si="376"/>
        <v>320.30941175052675</v>
      </c>
      <c r="CX124" s="172">
        <f t="shared" si="377"/>
        <v>15</v>
      </c>
      <c r="CY124" s="217">
        <f t="shared" si="378"/>
        <v>4.9377990430622019</v>
      </c>
      <c r="CZ124" s="217">
        <f t="shared" si="379"/>
        <v>3.1186099219340218</v>
      </c>
      <c r="DA124" s="217">
        <f t="shared" si="380"/>
        <v>3.8476356179705467</v>
      </c>
      <c r="DB124" s="197">
        <f t="shared" si="381"/>
        <v>70.881782945736433</v>
      </c>
      <c r="DC124" s="443">
        <f t="shared" si="382"/>
        <v>143.54934724475694</v>
      </c>
      <c r="DE124" s="217">
        <f t="shared" si="383"/>
        <v>10.000000000000002</v>
      </c>
      <c r="DF124" s="173">
        <f t="shared" si="384"/>
        <v>7.792207792207793</v>
      </c>
      <c r="DG124" s="173">
        <f t="shared" si="385"/>
        <v>2.7616279069767451</v>
      </c>
      <c r="DH124" s="173"/>
      <c r="DI124" s="173">
        <f t="shared" si="386"/>
        <v>7.7922077922077913</v>
      </c>
      <c r="DJ124" s="545">
        <f t="shared" si="387"/>
        <v>35.933333333333337</v>
      </c>
      <c r="DK124" s="528">
        <f t="shared" si="388"/>
        <v>2.7616279069767442</v>
      </c>
      <c r="DM124" s="173">
        <f t="shared" si="389"/>
        <v>3.2041639575194445</v>
      </c>
      <c r="DN124" s="173">
        <f t="shared" si="390"/>
        <v>10</v>
      </c>
      <c r="DO124" s="173">
        <f t="shared" si="391"/>
        <v>1.0205333333333333</v>
      </c>
      <c r="DQ124" s="545">
        <f t="shared" si="392"/>
        <v>1400.0000000000002</v>
      </c>
      <c r="DR124" s="460">
        <f t="shared" si="393"/>
        <v>35.933333333333337</v>
      </c>
      <c r="DT124">
        <f t="shared" si="430"/>
        <v>1400.0000000000002</v>
      </c>
      <c r="DU124">
        <f t="shared" si="431"/>
        <v>35.933333333333337</v>
      </c>
      <c r="DW124" s="5">
        <f t="shared" si="394"/>
        <v>27.829313543599255</v>
      </c>
      <c r="DX124" s="5">
        <f t="shared" si="395"/>
        <v>6.3157894736842106</v>
      </c>
      <c r="DY124" s="5">
        <f t="shared" si="396"/>
        <v>21.513524069915043</v>
      </c>
      <c r="DZ124" s="5"/>
      <c r="EA124" s="173">
        <f t="shared" si="397"/>
        <v>0.22694736842105265</v>
      </c>
      <c r="EB124" s="173">
        <f t="shared" si="398"/>
        <v>21.560000000000002</v>
      </c>
      <c r="EC124" s="173">
        <f t="shared" si="399"/>
        <v>3.8652631578947365</v>
      </c>
      <c r="ED124" s="173">
        <f t="shared" si="400"/>
        <v>5.5778867102396523</v>
      </c>
      <c r="EE124" s="460">
        <f t="shared" si="401"/>
        <v>58.947368421052637</v>
      </c>
      <c r="EF124" s="5">
        <f t="shared" si="402"/>
        <v>8.199346741709908</v>
      </c>
      <c r="EH124" s="173">
        <f t="shared" si="403"/>
        <v>2.7504385615210087</v>
      </c>
      <c r="EI124" s="173">
        <f t="shared" si="404"/>
        <v>5.0762605382930825</v>
      </c>
      <c r="EK124" s="528">
        <f t="shared" si="405"/>
        <v>0.15129824561403513</v>
      </c>
      <c r="EL124" s="528">
        <f t="shared" si="406"/>
        <v>0.24722133333333338</v>
      </c>
      <c r="EM124" s="528">
        <f t="shared" si="407"/>
        <v>4.4916666666666672E-3</v>
      </c>
      <c r="EN124" s="528">
        <f t="shared" si="408"/>
        <v>4.2522069333333339E-3</v>
      </c>
      <c r="EO124">
        <f t="shared" si="409"/>
        <v>8.5500000000000003E-3</v>
      </c>
      <c r="EP124" s="460">
        <f t="shared" si="410"/>
        <v>13.041666666666666</v>
      </c>
      <c r="EQ124" s="460"/>
      <c r="ER124" s="460">
        <f t="shared" si="432"/>
        <v>415.81345254736851</v>
      </c>
      <c r="ES124" s="528">
        <f t="shared" si="411"/>
        <v>0.98</v>
      </c>
      <c r="EV124" s="460">
        <f t="shared" si="412"/>
        <v>980</v>
      </c>
      <c r="EW124" s="528">
        <f t="shared" si="413"/>
        <v>0.22694736842105268</v>
      </c>
      <c r="EX124" s="528">
        <f t="shared" si="414"/>
        <v>0.77305263157894732</v>
      </c>
      <c r="EY124" s="528">
        <f t="shared" si="415"/>
        <v>0.12238093577387191</v>
      </c>
      <c r="EZ124" s="528"/>
      <c r="FA124" s="528">
        <f t="shared" si="416"/>
        <v>3.5933333333333342E-3</v>
      </c>
      <c r="FB124" s="460">
        <f t="shared" si="417"/>
        <v>1125.9742691072051</v>
      </c>
      <c r="FC124" s="173">
        <f t="shared" si="418"/>
        <v>2.5217877216545737</v>
      </c>
      <c r="FD124" s="5">
        <f t="shared" si="419"/>
        <v>21.000000000000004</v>
      </c>
      <c r="FE124" s="173">
        <f t="shared" si="420"/>
        <v>0.8927892832170673</v>
      </c>
      <c r="FF124" s="5">
        <f t="shared" si="421"/>
        <v>89.278928321706729</v>
      </c>
      <c r="FI124" s="562">
        <f t="shared" si="422"/>
        <v>-50</v>
      </c>
      <c r="FJ124">
        <f t="shared" si="423"/>
        <v>-50</v>
      </c>
      <c r="FL124">
        <f t="shared" si="424"/>
        <v>0.28000000000000003</v>
      </c>
    </row>
    <row r="125" spans="5:168">
      <c r="E125" s="170">
        <v>15</v>
      </c>
      <c r="F125" s="217">
        <f t="shared" si="425"/>
        <v>1.5</v>
      </c>
      <c r="G125" s="217"/>
      <c r="H125" s="217">
        <f t="shared" si="315"/>
        <v>22.5</v>
      </c>
      <c r="I125" s="541">
        <f t="shared" si="316"/>
        <v>18.753268114390085</v>
      </c>
      <c r="J125" s="172">
        <f t="shared" si="317"/>
        <v>15.548039131365949</v>
      </c>
      <c r="K125" s="172">
        <f t="shared" si="318"/>
        <v>34.301307245756036</v>
      </c>
      <c r="L125" s="443"/>
      <c r="M125" s="217">
        <f t="shared" si="319"/>
        <v>0.45330957820537332</v>
      </c>
      <c r="N125" s="172">
        <f t="shared" si="426"/>
        <v>212.72780107906019</v>
      </c>
      <c r="O125" s="172">
        <f t="shared" si="284"/>
        <v>22.5</v>
      </c>
      <c r="P125" s="217">
        <f t="shared" si="320"/>
        <v>14.18185340527068</v>
      </c>
      <c r="Q125" s="217">
        <f t="shared" si="321"/>
        <v>15</v>
      </c>
      <c r="R125" s="217"/>
      <c r="S125" s="172">
        <f t="shared" si="322"/>
        <v>293.82669545077482</v>
      </c>
      <c r="T125" s="172">
        <f t="shared" si="323"/>
        <v>15</v>
      </c>
      <c r="U125" s="217">
        <f t="shared" si="324"/>
        <v>5.4875664185808608</v>
      </c>
      <c r="V125" s="217">
        <f t="shared" si="325"/>
        <v>3.5114304675482426</v>
      </c>
      <c r="W125" s="217">
        <f t="shared" si="326"/>
        <v>4.2353120201585899</v>
      </c>
      <c r="X125" s="197">
        <f t="shared" si="327"/>
        <v>70.83708316481389</v>
      </c>
      <c r="Y125" s="443">
        <f t="shared" si="328"/>
        <v>125.8377255267733</v>
      </c>
      <c r="AA125" s="217">
        <f t="shared" si="329"/>
        <v>10</v>
      </c>
      <c r="AB125" s="173">
        <f t="shared" si="330"/>
        <v>7.7180150491078416</v>
      </c>
      <c r="AC125" s="173">
        <f t="shared" si="331"/>
        <v>2.7336083695046867</v>
      </c>
      <c r="AD125" s="173"/>
      <c r="AE125" s="173">
        <f t="shared" si="332"/>
        <v>7.7180150491078416</v>
      </c>
      <c r="AF125" s="545">
        <f t="shared" si="333"/>
        <v>38.870097828414863</v>
      </c>
      <c r="AG125" s="528">
        <f t="shared" si="334"/>
        <v>2.7336083695046871</v>
      </c>
      <c r="AI125" s="173">
        <f t="shared" si="335"/>
        <v>3.332527904862908</v>
      </c>
      <c r="AJ125" s="173">
        <f t="shared" si="336"/>
        <v>10</v>
      </c>
      <c r="AK125" s="173">
        <f t="shared" si="337"/>
        <v>1.0222114844733798</v>
      </c>
      <c r="AM125" s="545">
        <f t="shared" si="338"/>
        <v>1500</v>
      </c>
      <c r="AN125" s="460">
        <f t="shared" si="339"/>
        <v>38.870097828414863</v>
      </c>
      <c r="AP125" s="460">
        <f t="shared" si="340"/>
        <v>1500</v>
      </c>
      <c r="AQ125" s="460">
        <f t="shared" si="341"/>
        <v>38.870097828414863</v>
      </c>
      <c r="AS125" s="5">
        <f t="shared" si="285"/>
        <v>25.726716830359475</v>
      </c>
      <c r="AT125" s="5">
        <f t="shared" si="342"/>
        <v>6.3988846780215072</v>
      </c>
      <c r="AU125" s="5">
        <f t="shared" si="343"/>
        <v>19.327832152337969</v>
      </c>
      <c r="AV125" s="5"/>
      <c r="AW125" s="173">
        <f t="shared" si="344"/>
        <v>0.24872527342744094</v>
      </c>
      <c r="AX125" s="173">
        <f t="shared" si="214"/>
        <v>23.32205869704892</v>
      </c>
      <c r="AY125" s="173">
        <f t="shared" si="215"/>
        <v>3.756373632862795</v>
      </c>
      <c r="AZ125" s="173">
        <f t="shared" si="288"/>
        <v>6.2086631886175789</v>
      </c>
      <c r="BA125" s="460">
        <f t="shared" si="433"/>
        <v>63.988846780215077</v>
      </c>
      <c r="BB125" s="5">
        <f t="shared" si="434"/>
        <v>7.996329893467685</v>
      </c>
      <c r="BD125" s="173">
        <f t="shared" si="289"/>
        <v>2.8793823031305452</v>
      </c>
      <c r="BE125" s="173">
        <f t="shared" si="218"/>
        <v>5.0042472846325214</v>
      </c>
      <c r="BG125" s="528">
        <f t="shared" si="347"/>
        <v>0.16581684895162727</v>
      </c>
      <c r="BH125" s="528">
        <f t="shared" si="348"/>
        <v>0.24999284405344735</v>
      </c>
      <c r="BI125" s="528">
        <f t="shared" si="349"/>
        <v>1.8223534155220895E-2</v>
      </c>
      <c r="BJ125" s="528">
        <f t="shared" si="350"/>
        <v>4.5733767216627587E-3</v>
      </c>
      <c r="BK125">
        <f t="shared" si="351"/>
        <v>8.4389706514755389E-3</v>
      </c>
      <c r="BL125" s="460">
        <f t="shared" si="427"/>
        <v>26.662504806696436</v>
      </c>
      <c r="BM125" s="528">
        <f t="shared" si="352"/>
        <v>0.48423140831003308</v>
      </c>
      <c r="BN125" s="460">
        <f t="shared" si="353"/>
        <v>484.23140831003309</v>
      </c>
      <c r="BO125" s="528">
        <f t="shared" si="354"/>
        <v>1.0499999999999998</v>
      </c>
      <c r="BR125" s="460">
        <f t="shared" si="355"/>
        <v>1049.9999999999998</v>
      </c>
      <c r="BS125" s="528">
        <f t="shared" si="356"/>
        <v>0.24872527342744088</v>
      </c>
      <c r="BT125" s="528">
        <f t="shared" si="357"/>
        <v>0.75127472657255889</v>
      </c>
      <c r="BU125" s="528">
        <f t="shared" si="358"/>
        <v>0.14893922459722625</v>
      </c>
      <c r="BV125" s="528"/>
      <c r="BW125" s="528">
        <f t="shared" si="359"/>
        <v>3.8870097828414868E-3</v>
      </c>
      <c r="BX125" s="460">
        <f t="shared" si="360"/>
        <v>1152.8262343800675</v>
      </c>
      <c r="BY125" s="173">
        <f t="shared" si="361"/>
        <v>2.6498718089135012</v>
      </c>
      <c r="BZ125" s="5">
        <f t="shared" si="362"/>
        <v>22.5</v>
      </c>
      <c r="CA125" s="173">
        <f t="shared" si="363"/>
        <v>0.89463676677769999</v>
      </c>
      <c r="CB125" s="5">
        <f t="shared" si="364"/>
        <v>89.463676677769996</v>
      </c>
      <c r="CE125" s="562">
        <f t="shared" si="365"/>
        <v>-50</v>
      </c>
      <c r="CF125">
        <f t="shared" si="366"/>
        <v>-50</v>
      </c>
      <c r="CG125" s="173">
        <f t="shared" si="367"/>
        <v>0.30397368307141331</v>
      </c>
      <c r="CI125" s="170">
        <v>15</v>
      </c>
      <c r="CJ125" s="217">
        <f t="shared" si="428"/>
        <v>1.5</v>
      </c>
      <c r="CK125" s="217"/>
      <c r="CL125" s="217">
        <f t="shared" si="368"/>
        <v>22.5</v>
      </c>
      <c r="CM125" s="541">
        <f t="shared" si="369"/>
        <v>19</v>
      </c>
      <c r="CN125" s="443">
        <f t="shared" si="370"/>
        <v>15.4</v>
      </c>
      <c r="CO125" s="443">
        <f t="shared" si="371"/>
        <v>34.4</v>
      </c>
      <c r="CP125" s="443"/>
      <c r="CQ125" s="217">
        <f t="shared" si="372"/>
        <v>0.44767441860465118</v>
      </c>
      <c r="CR125" s="172">
        <f t="shared" si="429"/>
        <v>212.84736191860466</v>
      </c>
      <c r="CS125" s="172">
        <f t="shared" si="373"/>
        <v>22.5</v>
      </c>
      <c r="CT125" s="217">
        <f t="shared" si="374"/>
        <v>14.189824127906977</v>
      </c>
      <c r="CU125" s="217">
        <f t="shared" si="375"/>
        <v>15</v>
      </c>
      <c r="CV125" s="217"/>
      <c r="CW125" s="172">
        <f t="shared" si="376"/>
        <v>297.6921621374147</v>
      </c>
      <c r="CX125" s="172">
        <f t="shared" si="377"/>
        <v>15</v>
      </c>
      <c r="CY125" s="217">
        <f t="shared" si="378"/>
        <v>5.290498974709501</v>
      </c>
      <c r="CZ125" s="217">
        <f t="shared" si="379"/>
        <v>3.3413677735007377</v>
      </c>
      <c r="DA125" s="217">
        <f t="shared" si="380"/>
        <v>4.1224667335398708</v>
      </c>
      <c r="DB125" s="197">
        <f t="shared" si="381"/>
        <v>70.881782945736433</v>
      </c>
      <c r="DC125" s="443">
        <f t="shared" si="382"/>
        <v>133.97939076177312</v>
      </c>
      <c r="DE125" s="217">
        <f t="shared" si="383"/>
        <v>10.000000000000002</v>
      </c>
      <c r="DF125" s="173">
        <f t="shared" si="384"/>
        <v>7.792207792207793</v>
      </c>
      <c r="DG125" s="173">
        <f t="shared" si="385"/>
        <v>2.7616279069767451</v>
      </c>
      <c r="DH125" s="173"/>
      <c r="DI125" s="173">
        <f t="shared" si="386"/>
        <v>7.7922077922077913</v>
      </c>
      <c r="DJ125" s="545">
        <f t="shared" si="387"/>
        <v>38.5</v>
      </c>
      <c r="DK125" s="528">
        <f t="shared" si="388"/>
        <v>2.7616279069767442</v>
      </c>
      <c r="DM125" s="173">
        <f t="shared" si="389"/>
        <v>3.3166247903553998</v>
      </c>
      <c r="DN125" s="173">
        <f t="shared" si="390"/>
        <v>10</v>
      </c>
      <c r="DO125" s="173">
        <f t="shared" si="391"/>
        <v>1.022</v>
      </c>
      <c r="DQ125" s="545">
        <f t="shared" si="392"/>
        <v>1500</v>
      </c>
      <c r="DR125" s="460">
        <f t="shared" si="393"/>
        <v>38.5</v>
      </c>
      <c r="DT125">
        <f t="shared" si="430"/>
        <v>1500</v>
      </c>
      <c r="DU125">
        <f t="shared" si="431"/>
        <v>38.5</v>
      </c>
      <c r="DW125" s="5">
        <f t="shared" si="394"/>
        <v>25.974025974025977</v>
      </c>
      <c r="DX125" s="5">
        <f t="shared" si="395"/>
        <v>6.3157894736842106</v>
      </c>
      <c r="DY125" s="5">
        <f t="shared" si="396"/>
        <v>19.658236500341765</v>
      </c>
      <c r="DZ125" s="5"/>
      <c r="EA125" s="173">
        <f t="shared" si="397"/>
        <v>0.24315789473684207</v>
      </c>
      <c r="EB125" s="173">
        <f t="shared" si="398"/>
        <v>23.1</v>
      </c>
      <c r="EC125" s="173">
        <f t="shared" si="399"/>
        <v>3.7842105263157899</v>
      </c>
      <c r="ED125" s="173">
        <f t="shared" si="400"/>
        <v>6.104311543810848</v>
      </c>
      <c r="EE125" s="460">
        <f t="shared" si="401"/>
        <v>63.157894736842096</v>
      </c>
      <c r="EF125" s="5">
        <f t="shared" si="402"/>
        <v>8.0274105491413721</v>
      </c>
      <c r="EH125" s="173">
        <f t="shared" si="403"/>
        <v>2.8469743865891624</v>
      </c>
      <c r="EI125" s="173">
        <f t="shared" si="404"/>
        <v>5.0227552374606708</v>
      </c>
      <c r="EK125" s="528">
        <f t="shared" si="405"/>
        <v>0.16210526315789475</v>
      </c>
      <c r="EL125" s="528">
        <f t="shared" si="406"/>
        <v>0.26488</v>
      </c>
      <c r="EM125" s="528">
        <f t="shared" si="407"/>
        <v>4.8124999999999999E-3</v>
      </c>
      <c r="EN125" s="528">
        <f t="shared" si="408"/>
        <v>4.555936E-3</v>
      </c>
      <c r="EO125">
        <f t="shared" si="409"/>
        <v>8.5500000000000003E-3</v>
      </c>
      <c r="EP125" s="460">
        <f t="shared" si="410"/>
        <v>13.362499999999999</v>
      </c>
      <c r="EQ125" s="460"/>
      <c r="ER125" s="460">
        <f t="shared" si="432"/>
        <v>444.90369915789472</v>
      </c>
      <c r="ES125" s="528">
        <f t="shared" si="411"/>
        <v>1.0499999999999998</v>
      </c>
      <c r="EV125" s="460">
        <f t="shared" si="412"/>
        <v>1049.9999999999998</v>
      </c>
      <c r="EW125" s="528">
        <f t="shared" si="413"/>
        <v>0.24315789473684213</v>
      </c>
      <c r="EX125" s="528">
        <f t="shared" si="414"/>
        <v>0.75684210526315798</v>
      </c>
      <c r="EY125" s="528">
        <f t="shared" si="415"/>
        <v>0.14541922578037128</v>
      </c>
      <c r="EZ125" s="528"/>
      <c r="FA125" s="528">
        <f t="shared" si="416"/>
        <v>3.8500000000000006E-3</v>
      </c>
      <c r="FB125" s="460">
        <f t="shared" si="417"/>
        <v>1149.2692257803712</v>
      </c>
      <c r="FC125" s="173">
        <f t="shared" si="418"/>
        <v>2.6441729249382657</v>
      </c>
      <c r="FD125" s="5">
        <f t="shared" si="419"/>
        <v>22.5</v>
      </c>
      <c r="FE125" s="173">
        <f t="shared" si="420"/>
        <v>0.8948395346774064</v>
      </c>
      <c r="FF125" s="5">
        <f t="shared" si="421"/>
        <v>89.483953467740633</v>
      </c>
      <c r="FI125" s="562">
        <f t="shared" si="422"/>
        <v>-50</v>
      </c>
      <c r="FJ125">
        <f t="shared" si="423"/>
        <v>-50</v>
      </c>
      <c r="FL125">
        <f t="shared" si="424"/>
        <v>0.3</v>
      </c>
    </row>
    <row r="126" spans="5:168">
      <c r="E126" s="170">
        <v>16</v>
      </c>
      <c r="F126" s="217">
        <f t="shared" si="425"/>
        <v>1.6</v>
      </c>
      <c r="G126" s="217"/>
      <c r="H126" s="217">
        <f t="shared" si="315"/>
        <v>24</v>
      </c>
      <c r="I126" s="541">
        <f t="shared" si="316"/>
        <v>18.753268114390085</v>
      </c>
      <c r="J126" s="172">
        <f t="shared" si="317"/>
        <v>15.548039131365949</v>
      </c>
      <c r="K126" s="172">
        <f t="shared" si="318"/>
        <v>34.301307245756036</v>
      </c>
      <c r="L126" s="443"/>
      <c r="M126" s="217">
        <f t="shared" si="319"/>
        <v>0.45330957820537332</v>
      </c>
      <c r="N126" s="172">
        <f t="shared" si="426"/>
        <v>212.72780107906019</v>
      </c>
      <c r="O126" s="172">
        <f t="shared" si="284"/>
        <v>24</v>
      </c>
      <c r="P126" s="217">
        <f t="shared" si="320"/>
        <v>14.18185340527068</v>
      </c>
      <c r="Q126" s="217">
        <f t="shared" si="321"/>
        <v>15</v>
      </c>
      <c r="R126" s="217"/>
      <c r="S126" s="172">
        <f t="shared" si="322"/>
        <v>274.29385405456583</v>
      </c>
      <c r="T126" s="172">
        <f t="shared" si="323"/>
        <v>15</v>
      </c>
      <c r="U126" s="217">
        <f t="shared" si="324"/>
        <v>5.8534041798195844</v>
      </c>
      <c r="V126" s="217">
        <f t="shared" si="325"/>
        <v>3.7455258320514591</v>
      </c>
      <c r="W126" s="217">
        <f t="shared" si="326"/>
        <v>4.5176661548358297</v>
      </c>
      <c r="X126" s="197">
        <f t="shared" si="327"/>
        <v>70.83708316481389</v>
      </c>
      <c r="Y126" s="443">
        <f t="shared" si="328"/>
        <v>118.15872800113496</v>
      </c>
      <c r="AA126" s="217">
        <f t="shared" si="329"/>
        <v>10</v>
      </c>
      <c r="AB126" s="173">
        <f t="shared" si="330"/>
        <v>7.7180150491078416</v>
      </c>
      <c r="AC126" s="173">
        <f t="shared" si="331"/>
        <v>2.7336083695046867</v>
      </c>
      <c r="AD126" s="173"/>
      <c r="AE126" s="173">
        <f t="shared" si="332"/>
        <v>7.7180150491078416</v>
      </c>
      <c r="AF126" s="545">
        <f t="shared" si="333"/>
        <v>41.461437683642529</v>
      </c>
      <c r="AG126" s="528">
        <f t="shared" si="334"/>
        <v>2.7336083695046871</v>
      </c>
      <c r="AI126" s="173">
        <f t="shared" si="335"/>
        <v>3.4418200203481435</v>
      </c>
      <c r="AJ126" s="173">
        <f t="shared" si="336"/>
        <v>10</v>
      </c>
      <c r="AK126" s="173">
        <f t="shared" si="337"/>
        <v>1.0236922501049386</v>
      </c>
      <c r="AM126" s="545">
        <f t="shared" si="338"/>
        <v>1600</v>
      </c>
      <c r="AN126" s="460">
        <f t="shared" si="339"/>
        <v>41.461437683642529</v>
      </c>
      <c r="AP126" s="460">
        <f t="shared" si="340"/>
        <v>1600</v>
      </c>
      <c r="AQ126" s="460">
        <f t="shared" si="341"/>
        <v>41.461437683642529</v>
      </c>
      <c r="AS126" s="5">
        <f t="shared" si="285"/>
        <v>24.118797028462005</v>
      </c>
      <c r="AT126" s="5">
        <f t="shared" si="342"/>
        <v>6.3988846780215072</v>
      </c>
      <c r="AU126" s="5">
        <f t="shared" si="343"/>
        <v>17.719912350440499</v>
      </c>
      <c r="AV126" s="5"/>
      <c r="AW126" s="173">
        <f t="shared" si="344"/>
        <v>0.2653069583226037</v>
      </c>
      <c r="AX126" s="173">
        <f t="shared" si="214"/>
        <v>24.876862610185519</v>
      </c>
      <c r="AY126" s="173">
        <f t="shared" si="215"/>
        <v>3.6734652083869812</v>
      </c>
      <c r="AZ126" s="173">
        <f t="shared" si="288"/>
        <v>6.7720425263286899</v>
      </c>
      <c r="BA126" s="460">
        <f t="shared" si="433"/>
        <v>68.254769898896086</v>
      </c>
      <c r="BB126" s="5">
        <f t="shared" si="434"/>
        <v>7.819839698973639</v>
      </c>
      <c r="BD126" s="173">
        <f t="shared" si="289"/>
        <v>2.9738132553037229</v>
      </c>
      <c r="BE126" s="173">
        <f t="shared" si="218"/>
        <v>4.9487137779339392</v>
      </c>
      <c r="BG126" s="528">
        <f t="shared" si="347"/>
        <v>0.17687130554840252</v>
      </c>
      <c r="BH126" s="528">
        <f t="shared" si="348"/>
        <v>0.2666590336570106</v>
      </c>
      <c r="BI126" s="528">
        <f t="shared" si="349"/>
        <v>1.9438436432235622E-2</v>
      </c>
      <c r="BJ126" s="528">
        <f t="shared" si="350"/>
        <v>4.878268503106944E-3</v>
      </c>
      <c r="BK126">
        <f t="shared" si="351"/>
        <v>8.4389706514755389E-3</v>
      </c>
      <c r="BL126" s="460">
        <f t="shared" si="427"/>
        <v>27.877407083711162</v>
      </c>
      <c r="BM126" s="528">
        <f t="shared" si="352"/>
        <v>0.51792965842729044</v>
      </c>
      <c r="BN126" s="460">
        <f t="shared" si="353"/>
        <v>517.92965842729041</v>
      </c>
      <c r="BO126" s="528">
        <f t="shared" si="354"/>
        <v>1.1199999999999999</v>
      </c>
      <c r="BR126" s="460">
        <f t="shared" si="355"/>
        <v>1119.9999999999998</v>
      </c>
      <c r="BS126" s="528">
        <f t="shared" si="356"/>
        <v>0.26530695832260376</v>
      </c>
      <c r="BT126" s="528">
        <f t="shared" si="357"/>
        <v>0.73469304167739602</v>
      </c>
      <c r="BU126" s="528">
        <f t="shared" si="358"/>
        <v>0.17501726688509442</v>
      </c>
      <c r="BV126" s="528"/>
      <c r="BW126" s="528">
        <f t="shared" si="359"/>
        <v>4.146143768364253E-3</v>
      </c>
      <c r="BX126" s="460">
        <f t="shared" si="360"/>
        <v>1179.1634106534586</v>
      </c>
      <c r="BY126" s="173">
        <f t="shared" si="361"/>
        <v>2.7754494254456894</v>
      </c>
      <c r="BZ126" s="5">
        <f t="shared" si="362"/>
        <v>24</v>
      </c>
      <c r="CA126" s="173">
        <f t="shared" si="363"/>
        <v>0.89634349805504743</v>
      </c>
      <c r="CB126" s="5">
        <f t="shared" si="364"/>
        <v>89.634349805504741</v>
      </c>
      <c r="CE126" s="562">
        <f t="shared" si="365"/>
        <v>-50</v>
      </c>
      <c r="CF126">
        <f t="shared" si="366"/>
        <v>-50</v>
      </c>
      <c r="CG126" s="173">
        <f t="shared" si="367"/>
        <v>0.32423859527617421</v>
      </c>
      <c r="CI126" s="170">
        <v>16</v>
      </c>
      <c r="CJ126" s="217">
        <f t="shared" si="428"/>
        <v>1.6</v>
      </c>
      <c r="CK126" s="217"/>
      <c r="CL126" s="217">
        <f t="shared" si="368"/>
        <v>24</v>
      </c>
      <c r="CM126" s="541">
        <f t="shared" si="369"/>
        <v>19</v>
      </c>
      <c r="CN126" s="443">
        <f t="shared" si="370"/>
        <v>15.4</v>
      </c>
      <c r="CO126" s="443">
        <f t="shared" si="371"/>
        <v>34.4</v>
      </c>
      <c r="CP126" s="443"/>
      <c r="CQ126" s="217">
        <f t="shared" si="372"/>
        <v>0.44767441860465118</v>
      </c>
      <c r="CR126" s="172">
        <f t="shared" si="429"/>
        <v>212.84736191860466</v>
      </c>
      <c r="CS126" s="172">
        <f t="shared" si="373"/>
        <v>24</v>
      </c>
      <c r="CT126" s="217">
        <f t="shared" si="374"/>
        <v>14.189824127906977</v>
      </c>
      <c r="CU126" s="217">
        <f t="shared" si="375"/>
        <v>15</v>
      </c>
      <c r="CV126" s="217"/>
      <c r="CW126" s="172">
        <f t="shared" si="376"/>
        <v>277.90230843320268</v>
      </c>
      <c r="CX126" s="172">
        <f t="shared" si="377"/>
        <v>15</v>
      </c>
      <c r="CY126" s="217">
        <f t="shared" si="378"/>
        <v>5.6431989063568011</v>
      </c>
      <c r="CZ126" s="217">
        <f t="shared" si="379"/>
        <v>3.5641256250674536</v>
      </c>
      <c r="DA126" s="217">
        <f t="shared" si="380"/>
        <v>4.3972978491091954</v>
      </c>
      <c r="DB126" s="197">
        <f t="shared" si="381"/>
        <v>70.881782945736433</v>
      </c>
      <c r="DC126" s="443">
        <f t="shared" si="382"/>
        <v>125.60567883916232</v>
      </c>
      <c r="DE126" s="217">
        <f t="shared" si="383"/>
        <v>10.000000000000002</v>
      </c>
      <c r="DF126" s="173">
        <f t="shared" si="384"/>
        <v>7.792207792207793</v>
      </c>
      <c r="DG126" s="173">
        <f t="shared" si="385"/>
        <v>2.7616279069767451</v>
      </c>
      <c r="DH126" s="173"/>
      <c r="DI126" s="173">
        <f t="shared" si="386"/>
        <v>7.7922077922077913</v>
      </c>
      <c r="DJ126" s="545">
        <f t="shared" si="387"/>
        <v>41.06666666666667</v>
      </c>
      <c r="DK126" s="528">
        <f t="shared" si="388"/>
        <v>2.7616279069767442</v>
      </c>
      <c r="DM126" s="173">
        <f t="shared" si="389"/>
        <v>3.4253953543107012</v>
      </c>
      <c r="DN126" s="173">
        <f t="shared" si="390"/>
        <v>10</v>
      </c>
      <c r="DO126" s="173">
        <f t="shared" si="391"/>
        <v>1.0234666666666667</v>
      </c>
      <c r="DQ126" s="545">
        <f t="shared" si="392"/>
        <v>1600</v>
      </c>
      <c r="DR126" s="460">
        <f t="shared" si="393"/>
        <v>41.06666666666667</v>
      </c>
      <c r="DT126">
        <f t="shared" si="430"/>
        <v>1600</v>
      </c>
      <c r="DU126">
        <f t="shared" si="431"/>
        <v>41.06666666666667</v>
      </c>
      <c r="DW126" s="5">
        <f t="shared" si="394"/>
        <v>24.350649350649348</v>
      </c>
      <c r="DX126" s="5">
        <f t="shared" si="395"/>
        <v>6.3157894736842106</v>
      </c>
      <c r="DY126" s="5">
        <f t="shared" si="396"/>
        <v>18.034859876965136</v>
      </c>
      <c r="DZ126" s="5"/>
      <c r="EA126" s="173">
        <f t="shared" si="397"/>
        <v>0.25936842105263158</v>
      </c>
      <c r="EB126" s="173">
        <f t="shared" si="398"/>
        <v>24.640000000000004</v>
      </c>
      <c r="EC126" s="173">
        <f t="shared" si="399"/>
        <v>3.703157894736842</v>
      </c>
      <c r="ED126" s="173">
        <f t="shared" si="400"/>
        <v>6.6537805571347368</v>
      </c>
      <c r="EE126" s="460">
        <f t="shared" si="401"/>
        <v>67.368421052631589</v>
      </c>
      <c r="EF126" s="5">
        <f t="shared" si="402"/>
        <v>7.8554743565728353</v>
      </c>
      <c r="EH126" s="173">
        <f t="shared" si="403"/>
        <v>2.9403425030237069</v>
      </c>
      <c r="EI126" s="173">
        <f t="shared" si="404"/>
        <v>4.9686737967233885</v>
      </c>
      <c r="EK126" s="528">
        <f t="shared" si="405"/>
        <v>0.17291228070175435</v>
      </c>
      <c r="EL126" s="528">
        <f t="shared" si="406"/>
        <v>0.28253866666666666</v>
      </c>
      <c r="EM126" s="528">
        <f t="shared" si="407"/>
        <v>5.1333333333333335E-3</v>
      </c>
      <c r="EN126" s="528">
        <f t="shared" si="408"/>
        <v>4.859665066666667E-3</v>
      </c>
      <c r="EO126">
        <f t="shared" si="409"/>
        <v>8.5500000000000003E-3</v>
      </c>
      <c r="EP126" s="460">
        <f t="shared" si="410"/>
        <v>13.683333333333334</v>
      </c>
      <c r="EQ126" s="460"/>
      <c r="ER126" s="460">
        <f t="shared" si="432"/>
        <v>473.99394576842104</v>
      </c>
      <c r="ES126" s="528">
        <f t="shared" si="411"/>
        <v>1.1199999999999999</v>
      </c>
      <c r="EV126" s="460">
        <f t="shared" si="412"/>
        <v>1119.9999999999998</v>
      </c>
      <c r="EW126" s="528">
        <f t="shared" si="413"/>
        <v>0.25936842105263153</v>
      </c>
      <c r="EX126" s="528">
        <f t="shared" si="414"/>
        <v>0.74063157894736831</v>
      </c>
      <c r="EY126" s="528">
        <f t="shared" si="415"/>
        <v>0.17088094501266138</v>
      </c>
      <c r="EZ126" s="528"/>
      <c r="FA126" s="528">
        <f t="shared" si="416"/>
        <v>4.1066666666666673E-3</v>
      </c>
      <c r="FB126" s="460">
        <f t="shared" si="417"/>
        <v>1174.9876116793278</v>
      </c>
      <c r="FC126" s="173">
        <f t="shared" si="418"/>
        <v>2.7689815574477485</v>
      </c>
      <c r="FD126" s="5">
        <f t="shared" si="419"/>
        <v>24</v>
      </c>
      <c r="FE126" s="173">
        <f t="shared" si="420"/>
        <v>0.89656007078545896</v>
      </c>
      <c r="FF126" s="5">
        <f t="shared" si="421"/>
        <v>89.656007078545898</v>
      </c>
      <c r="FI126" s="562">
        <f t="shared" si="422"/>
        <v>-50</v>
      </c>
      <c r="FJ126">
        <f t="shared" si="423"/>
        <v>-50</v>
      </c>
      <c r="FL126">
        <f t="shared" si="424"/>
        <v>0.32000000000000006</v>
      </c>
    </row>
    <row r="127" spans="5:168">
      <c r="E127" s="170">
        <v>17</v>
      </c>
      <c r="F127" s="217">
        <f t="shared" si="425"/>
        <v>1.7000000000000002</v>
      </c>
      <c r="G127" s="217"/>
      <c r="H127" s="217">
        <f t="shared" si="315"/>
        <v>25.500000000000004</v>
      </c>
      <c r="I127" s="541">
        <f t="shared" si="316"/>
        <v>18.753268114390085</v>
      </c>
      <c r="J127" s="172">
        <f t="shared" si="317"/>
        <v>15.548039131365949</v>
      </c>
      <c r="K127" s="172">
        <f t="shared" si="318"/>
        <v>34.301307245756036</v>
      </c>
      <c r="L127" s="443"/>
      <c r="M127" s="217">
        <f t="shared" si="319"/>
        <v>0.45330957820537332</v>
      </c>
      <c r="N127" s="172">
        <f t="shared" si="426"/>
        <v>212.72780107906019</v>
      </c>
      <c r="O127" s="172">
        <f t="shared" si="284"/>
        <v>25.500000000000004</v>
      </c>
      <c r="P127" s="217">
        <f t="shared" si="320"/>
        <v>14.18185340527068</v>
      </c>
      <c r="Q127" s="217">
        <f t="shared" si="321"/>
        <v>15</v>
      </c>
      <c r="R127" s="217"/>
      <c r="S127" s="172">
        <f t="shared" si="322"/>
        <v>257.05922241321724</v>
      </c>
      <c r="T127" s="172">
        <f t="shared" si="323"/>
        <v>15</v>
      </c>
      <c r="U127" s="217">
        <f t="shared" si="324"/>
        <v>6.2192419410583089</v>
      </c>
      <c r="V127" s="217">
        <f t="shared" si="325"/>
        <v>3.9796211965546755</v>
      </c>
      <c r="W127" s="217">
        <f t="shared" si="326"/>
        <v>4.8000202895130695</v>
      </c>
      <c r="X127" s="197">
        <f t="shared" si="327"/>
        <v>70.83708316481389</v>
      </c>
      <c r="Y127" s="443">
        <f t="shared" si="328"/>
        <v>111.3630206229879</v>
      </c>
      <c r="AA127" s="217">
        <f t="shared" si="329"/>
        <v>10</v>
      </c>
      <c r="AB127" s="173">
        <f t="shared" si="330"/>
        <v>7.7180150491078416</v>
      </c>
      <c r="AC127" s="173">
        <f t="shared" si="331"/>
        <v>2.7336083695046867</v>
      </c>
      <c r="AD127" s="173"/>
      <c r="AE127" s="173">
        <f t="shared" si="332"/>
        <v>7.7180150491078416</v>
      </c>
      <c r="AF127" s="545">
        <f t="shared" si="333"/>
        <v>44.052777538870188</v>
      </c>
      <c r="AG127" s="528">
        <f t="shared" si="334"/>
        <v>2.7336083695046871</v>
      </c>
      <c r="AI127" s="173">
        <f t="shared" si="335"/>
        <v>3.5477468720652303</v>
      </c>
      <c r="AJ127" s="173">
        <f t="shared" si="336"/>
        <v>10</v>
      </c>
      <c r="AK127" s="173">
        <f t="shared" si="337"/>
        <v>1.0251730157364973</v>
      </c>
      <c r="AM127" s="545">
        <f t="shared" si="338"/>
        <v>1700.0000000000002</v>
      </c>
      <c r="AN127" s="460">
        <f t="shared" si="339"/>
        <v>44.052777538870188</v>
      </c>
      <c r="AP127" s="460">
        <f t="shared" si="340"/>
        <v>1700.0000000000002</v>
      </c>
      <c r="AQ127" s="460">
        <f t="shared" si="341"/>
        <v>44.052777538870188</v>
      </c>
      <c r="AS127" s="5">
        <f t="shared" si="285"/>
        <v>22.700044262081885</v>
      </c>
      <c r="AT127" s="5">
        <f t="shared" si="342"/>
        <v>6.3988846780215072</v>
      </c>
      <c r="AU127" s="5">
        <f t="shared" si="343"/>
        <v>16.301159584060379</v>
      </c>
      <c r="AV127" s="5"/>
      <c r="AW127" s="173">
        <f t="shared" si="344"/>
        <v>0.28188864321776647</v>
      </c>
      <c r="AX127" s="173">
        <f t="shared" si="214"/>
        <v>26.431666523322114</v>
      </c>
      <c r="AY127" s="173">
        <f t="shared" si="215"/>
        <v>3.5905567839111674</v>
      </c>
      <c r="AZ127" s="173">
        <f t="shared" si="288"/>
        <v>7.3614394964477601</v>
      </c>
      <c r="BA127" s="460">
        <f t="shared" si="433"/>
        <v>72.520693017577088</v>
      </c>
      <c r="BB127" s="5">
        <f t="shared" si="434"/>
        <v>7.6433495044795947</v>
      </c>
      <c r="BD127" s="173">
        <f t="shared" si="289"/>
        <v>3.065336540619787</v>
      </c>
      <c r="BE127" s="173">
        <f t="shared" si="218"/>
        <v>4.89254997175036</v>
      </c>
      <c r="BG127" s="528">
        <f t="shared" si="347"/>
        <v>0.18792576214517767</v>
      </c>
      <c r="BH127" s="528">
        <f t="shared" si="348"/>
        <v>0.2833252232605738</v>
      </c>
      <c r="BI127" s="528">
        <f t="shared" si="349"/>
        <v>2.0653338709250353E-2</v>
      </c>
      <c r="BJ127" s="528">
        <f t="shared" si="350"/>
        <v>5.1831602845511283E-3</v>
      </c>
      <c r="BK127">
        <f t="shared" si="351"/>
        <v>8.4389706514755389E-3</v>
      </c>
      <c r="BL127" s="460">
        <f t="shared" si="427"/>
        <v>29.092309360725892</v>
      </c>
      <c r="BM127" s="528">
        <f t="shared" si="352"/>
        <v>0.55181320162444647</v>
      </c>
      <c r="BN127" s="460">
        <f t="shared" si="353"/>
        <v>551.81320162444649</v>
      </c>
      <c r="BO127" s="528">
        <f t="shared" si="354"/>
        <v>1.19</v>
      </c>
      <c r="BR127" s="460">
        <f t="shared" si="355"/>
        <v>1190</v>
      </c>
      <c r="BS127" s="528">
        <f t="shared" si="356"/>
        <v>0.28188864321776647</v>
      </c>
      <c r="BT127" s="528">
        <f t="shared" si="357"/>
        <v>0.71811135678223348</v>
      </c>
      <c r="BU127" s="528">
        <f t="shared" si="358"/>
        <v>0.2036588299295235</v>
      </c>
      <c r="BV127" s="528"/>
      <c r="BW127" s="528">
        <f t="shared" si="359"/>
        <v>4.4052777538870188E-3</v>
      </c>
      <c r="BX127" s="460">
        <f t="shared" si="360"/>
        <v>1208.0641076834104</v>
      </c>
      <c r="BY127" s="173">
        <f t="shared" si="361"/>
        <v>2.9035905627344394</v>
      </c>
      <c r="BZ127" s="5">
        <f t="shared" si="362"/>
        <v>25.500000000000004</v>
      </c>
      <c r="CA127" s="173">
        <f t="shared" si="363"/>
        <v>0.89777381995697558</v>
      </c>
      <c r="CB127" s="5">
        <f t="shared" si="364"/>
        <v>89.777381995697553</v>
      </c>
      <c r="CE127" s="562">
        <f t="shared" si="365"/>
        <v>-50</v>
      </c>
      <c r="CF127">
        <f t="shared" si="366"/>
        <v>-50</v>
      </c>
      <c r="CG127" s="173">
        <f t="shared" si="367"/>
        <v>0.34450350748093511</v>
      </c>
      <c r="CI127" s="170">
        <v>17</v>
      </c>
      <c r="CJ127" s="217">
        <f t="shared" si="428"/>
        <v>1.7000000000000002</v>
      </c>
      <c r="CK127" s="217"/>
      <c r="CL127" s="217">
        <f t="shared" si="368"/>
        <v>25.500000000000004</v>
      </c>
      <c r="CM127" s="541">
        <f t="shared" si="369"/>
        <v>19</v>
      </c>
      <c r="CN127" s="443">
        <f t="shared" si="370"/>
        <v>15.4</v>
      </c>
      <c r="CO127" s="443">
        <f t="shared" si="371"/>
        <v>34.4</v>
      </c>
      <c r="CP127" s="443"/>
      <c r="CQ127" s="217">
        <f t="shared" si="372"/>
        <v>0.44767441860465118</v>
      </c>
      <c r="CR127" s="172">
        <f t="shared" si="429"/>
        <v>212.84736191860466</v>
      </c>
      <c r="CS127" s="172">
        <f t="shared" si="373"/>
        <v>25.500000000000004</v>
      </c>
      <c r="CT127" s="217">
        <f t="shared" si="374"/>
        <v>14.189824127906977</v>
      </c>
      <c r="CU127" s="217">
        <f t="shared" si="375"/>
        <v>15</v>
      </c>
      <c r="CV127" s="217"/>
      <c r="CW127" s="172">
        <f t="shared" si="376"/>
        <v>260.44090124069663</v>
      </c>
      <c r="CX127" s="172">
        <f t="shared" si="377"/>
        <v>15</v>
      </c>
      <c r="CY127" s="217">
        <f t="shared" si="378"/>
        <v>5.9958988380041021</v>
      </c>
      <c r="CZ127" s="217">
        <f t="shared" si="379"/>
        <v>3.7868834766341699</v>
      </c>
      <c r="DA127" s="217">
        <f t="shared" si="380"/>
        <v>4.6721289646785209</v>
      </c>
      <c r="DB127" s="197">
        <f t="shared" si="381"/>
        <v>70.881782945736433</v>
      </c>
      <c r="DC127" s="443">
        <f t="shared" si="382"/>
        <v>118.21710949568217</v>
      </c>
      <c r="DE127" s="217">
        <f t="shared" si="383"/>
        <v>10.000000000000002</v>
      </c>
      <c r="DF127" s="173">
        <f t="shared" si="384"/>
        <v>7.792207792207793</v>
      </c>
      <c r="DG127" s="173">
        <f t="shared" si="385"/>
        <v>2.7616279069767451</v>
      </c>
      <c r="DH127" s="173"/>
      <c r="DI127" s="173">
        <f t="shared" si="386"/>
        <v>7.7922077922077913</v>
      </c>
      <c r="DJ127" s="545">
        <f t="shared" si="387"/>
        <v>43.63333333333334</v>
      </c>
      <c r="DK127" s="528">
        <f t="shared" si="388"/>
        <v>2.7616279069767442</v>
      </c>
      <c r="DM127" s="173">
        <f t="shared" si="389"/>
        <v>3.5308167138307631</v>
      </c>
      <c r="DN127" s="173">
        <f t="shared" si="390"/>
        <v>10</v>
      </c>
      <c r="DO127" s="173">
        <f t="shared" si="391"/>
        <v>1.0249333333333333</v>
      </c>
      <c r="DQ127" s="545">
        <f t="shared" si="392"/>
        <v>1700.0000000000002</v>
      </c>
      <c r="DR127" s="460">
        <f t="shared" si="393"/>
        <v>43.63333333333334</v>
      </c>
      <c r="DT127">
        <f t="shared" si="430"/>
        <v>1700.0000000000002</v>
      </c>
      <c r="DU127">
        <f t="shared" si="431"/>
        <v>43.63333333333334</v>
      </c>
      <c r="DW127" s="5">
        <f t="shared" si="394"/>
        <v>22.918258212375857</v>
      </c>
      <c r="DX127" s="5">
        <f t="shared" si="395"/>
        <v>6.3157894736842106</v>
      </c>
      <c r="DY127" s="5">
        <f t="shared" si="396"/>
        <v>16.602468738691648</v>
      </c>
      <c r="DZ127" s="5"/>
      <c r="EA127" s="173">
        <f t="shared" si="397"/>
        <v>0.27557894736842109</v>
      </c>
      <c r="EB127" s="173">
        <f t="shared" si="398"/>
        <v>26.180000000000007</v>
      </c>
      <c r="EC127" s="173">
        <f t="shared" si="399"/>
        <v>3.6221052631578941</v>
      </c>
      <c r="ED127" s="173">
        <f t="shared" si="400"/>
        <v>7.2278407439697796</v>
      </c>
      <c r="EE127" s="460">
        <f t="shared" si="401"/>
        <v>71.578947368421055</v>
      </c>
      <c r="EF127" s="5">
        <f t="shared" si="402"/>
        <v>7.6835381640043012</v>
      </c>
      <c r="EH127" s="173">
        <f t="shared" si="403"/>
        <v>3.0308356788649404</v>
      </c>
      <c r="EI127" s="173">
        <f t="shared" si="404"/>
        <v>4.9139971938384974</v>
      </c>
      <c r="EK127" s="528">
        <f t="shared" si="405"/>
        <v>0.18371929824561409</v>
      </c>
      <c r="EL127" s="528">
        <f t="shared" si="406"/>
        <v>0.30019733333333337</v>
      </c>
      <c r="EM127" s="528">
        <f t="shared" si="407"/>
        <v>5.4541666666666679E-3</v>
      </c>
      <c r="EN127" s="528">
        <f t="shared" si="408"/>
        <v>5.1633941333333339E-3</v>
      </c>
      <c r="EO127">
        <f t="shared" si="409"/>
        <v>8.5500000000000003E-3</v>
      </c>
      <c r="EP127" s="460">
        <f t="shared" si="410"/>
        <v>14.004166666666668</v>
      </c>
      <c r="EQ127" s="460"/>
      <c r="ER127" s="460">
        <f t="shared" si="432"/>
        <v>503.08419237894742</v>
      </c>
      <c r="ES127" s="528">
        <f t="shared" si="411"/>
        <v>1.19</v>
      </c>
      <c r="EV127" s="460">
        <f t="shared" si="412"/>
        <v>1190</v>
      </c>
      <c r="EW127" s="528">
        <f t="shared" si="413"/>
        <v>0.27557894736842115</v>
      </c>
      <c r="EX127" s="528">
        <f t="shared" si="414"/>
        <v>0.72442105263157874</v>
      </c>
      <c r="EY127" s="528">
        <f t="shared" si="415"/>
        <v>0.19884559928237447</v>
      </c>
      <c r="EZ127" s="528"/>
      <c r="FA127" s="528">
        <f t="shared" si="416"/>
        <v>4.3633333333333345E-3</v>
      </c>
      <c r="FB127" s="460">
        <f t="shared" si="417"/>
        <v>1203.2089326157077</v>
      </c>
      <c r="FC127" s="173">
        <f t="shared" si="418"/>
        <v>2.8962931249946551</v>
      </c>
      <c r="FD127" s="5">
        <f t="shared" si="419"/>
        <v>25.500000000000004</v>
      </c>
      <c r="FE127" s="173">
        <f t="shared" si="420"/>
        <v>0.8980045348790503</v>
      </c>
      <c r="FF127" s="5">
        <f t="shared" si="421"/>
        <v>89.800453487905031</v>
      </c>
      <c r="FI127" s="562">
        <f t="shared" si="422"/>
        <v>-50</v>
      </c>
      <c r="FJ127">
        <f t="shared" si="423"/>
        <v>-50</v>
      </c>
      <c r="FL127">
        <f t="shared" si="424"/>
        <v>0.34</v>
      </c>
    </row>
    <row r="128" spans="5:168">
      <c r="E128" s="170">
        <v>18</v>
      </c>
      <c r="F128" s="217">
        <f t="shared" si="425"/>
        <v>1.7999999999999998</v>
      </c>
      <c r="G128" s="217"/>
      <c r="H128" s="217">
        <f t="shared" si="315"/>
        <v>26.999999999999996</v>
      </c>
      <c r="I128" s="541">
        <f t="shared" si="316"/>
        <v>18.753268114390085</v>
      </c>
      <c r="J128" s="172">
        <f t="shared" si="317"/>
        <v>15.548039131365949</v>
      </c>
      <c r="K128" s="172">
        <f t="shared" si="318"/>
        <v>34.301307245756036</v>
      </c>
      <c r="L128" s="443"/>
      <c r="M128" s="217">
        <f t="shared" si="319"/>
        <v>0.45330957820537332</v>
      </c>
      <c r="N128" s="172">
        <f t="shared" si="426"/>
        <v>212.72780107906019</v>
      </c>
      <c r="O128" s="172">
        <f t="shared" si="284"/>
        <v>26.999999999999996</v>
      </c>
      <c r="P128" s="217">
        <f t="shared" si="320"/>
        <v>14.18185340527068</v>
      </c>
      <c r="Q128" s="217">
        <f t="shared" si="321"/>
        <v>15</v>
      </c>
      <c r="R128" s="217"/>
      <c r="S128" s="172">
        <f t="shared" si="322"/>
        <v>241.73976827508235</v>
      </c>
      <c r="T128" s="172">
        <f t="shared" si="323"/>
        <v>15</v>
      </c>
      <c r="U128" s="217">
        <f t="shared" si="324"/>
        <v>6.5850797022970315</v>
      </c>
      <c r="V128" s="217">
        <f t="shared" si="325"/>
        <v>4.2137165610578906</v>
      </c>
      <c r="W128" s="217">
        <f t="shared" si="326"/>
        <v>5.0823744241903075</v>
      </c>
      <c r="X128" s="197">
        <f t="shared" si="327"/>
        <v>70.83708316481389</v>
      </c>
      <c r="Y128" s="443">
        <f t="shared" si="328"/>
        <v>105.30648890722092</v>
      </c>
      <c r="AA128" s="217">
        <f t="shared" si="329"/>
        <v>10</v>
      </c>
      <c r="AB128" s="173">
        <f t="shared" si="330"/>
        <v>7.7180150491078416</v>
      </c>
      <c r="AC128" s="173">
        <f t="shared" si="331"/>
        <v>2.7336083695046867</v>
      </c>
      <c r="AD128" s="173"/>
      <c r="AE128" s="173">
        <f t="shared" si="332"/>
        <v>7.7180150491078416</v>
      </c>
      <c r="AF128" s="545">
        <f t="shared" si="333"/>
        <v>46.644117394097833</v>
      </c>
      <c r="AG128" s="528">
        <f t="shared" si="334"/>
        <v>2.7336083695046871</v>
      </c>
      <c r="AI128" s="173">
        <f t="shared" si="335"/>
        <v>3.6506014140176895</v>
      </c>
      <c r="AJ128" s="173">
        <f t="shared" si="336"/>
        <v>10</v>
      </c>
      <c r="AK128" s="173">
        <f t="shared" si="337"/>
        <v>1.0266537813680559</v>
      </c>
      <c r="AM128" s="545">
        <f t="shared" si="338"/>
        <v>1799.9999999999998</v>
      </c>
      <c r="AN128" s="460">
        <f t="shared" si="339"/>
        <v>46.644117394097833</v>
      </c>
      <c r="AP128" s="460">
        <f t="shared" si="340"/>
        <v>1799.9999999999998</v>
      </c>
      <c r="AQ128" s="460">
        <f t="shared" si="341"/>
        <v>46.644117394097833</v>
      </c>
      <c r="AS128" s="5">
        <f t="shared" si="285"/>
        <v>21.438930691966231</v>
      </c>
      <c r="AT128" s="5">
        <f t="shared" si="342"/>
        <v>6.3988846780215072</v>
      </c>
      <c r="AU128" s="5">
        <f t="shared" si="343"/>
        <v>15.040046013944725</v>
      </c>
      <c r="AV128" s="5"/>
      <c r="AW128" s="173">
        <f t="shared" si="344"/>
        <v>0.29847032811292912</v>
      </c>
      <c r="AX128" s="173">
        <f t="shared" si="214"/>
        <v>27.986470436458703</v>
      </c>
      <c r="AY128" s="173">
        <f t="shared" si="215"/>
        <v>3.5076483594353549</v>
      </c>
      <c r="AZ128" s="173">
        <f t="shared" si="288"/>
        <v>7.9786989939219097</v>
      </c>
      <c r="BA128" s="460">
        <f t="shared" si="433"/>
        <v>76.786616136258075</v>
      </c>
      <c r="BB128" s="5">
        <f t="shared" si="434"/>
        <v>7.4668593099855505</v>
      </c>
      <c r="BD128" s="173">
        <f t="shared" si="289"/>
        <v>3.1542052782115553</v>
      </c>
      <c r="BE128" s="173">
        <f t="shared" si="218"/>
        <v>4.8357339046142416</v>
      </c>
      <c r="BG128" s="528">
        <f t="shared" si="347"/>
        <v>0.19898021874195271</v>
      </c>
      <c r="BH128" s="528">
        <f t="shared" si="348"/>
        <v>0.29999141286413683</v>
      </c>
      <c r="BI128" s="528">
        <f t="shared" si="349"/>
        <v>2.186824098626507E-2</v>
      </c>
      <c r="BJ128" s="528">
        <f t="shared" si="350"/>
        <v>5.4880520659953101E-3</v>
      </c>
      <c r="BK128">
        <f t="shared" si="351"/>
        <v>8.4389706514755389E-3</v>
      </c>
      <c r="BL128" s="460">
        <f t="shared" si="427"/>
        <v>30.307211637740611</v>
      </c>
      <c r="BM128" s="528">
        <f t="shared" si="352"/>
        <v>0.58588357039259464</v>
      </c>
      <c r="BN128" s="460">
        <f t="shared" si="353"/>
        <v>585.88357039259461</v>
      </c>
      <c r="BO128" s="528">
        <f t="shared" si="354"/>
        <v>1.2599999999999998</v>
      </c>
      <c r="BR128" s="460">
        <f t="shared" si="355"/>
        <v>1259.9999999999998</v>
      </c>
      <c r="BS128" s="528">
        <f t="shared" si="356"/>
        <v>0.29847032811292901</v>
      </c>
      <c r="BT128" s="528">
        <f t="shared" si="357"/>
        <v>0.70152967188707094</v>
      </c>
      <c r="BU128" s="528">
        <f t="shared" si="358"/>
        <v>0.23494283426657955</v>
      </c>
      <c r="BV128" s="528"/>
      <c r="BW128" s="528">
        <f t="shared" si="359"/>
        <v>4.6644117394097837E-3</v>
      </c>
      <c r="BX128" s="460">
        <f t="shared" si="360"/>
        <v>1239.6072460059893</v>
      </c>
      <c r="BY128" s="173">
        <f t="shared" si="361"/>
        <v>3.0343741413158147</v>
      </c>
      <c r="BZ128" s="5">
        <f t="shared" si="362"/>
        <v>26.999999999999996</v>
      </c>
      <c r="CA128" s="173">
        <f t="shared" si="363"/>
        <v>0.89896995598980445</v>
      </c>
      <c r="CB128" s="5">
        <f t="shared" si="364"/>
        <v>89.896995598980439</v>
      </c>
      <c r="CE128" s="562">
        <f t="shared" si="365"/>
        <v>-50</v>
      </c>
      <c r="CF128">
        <f t="shared" si="366"/>
        <v>-50</v>
      </c>
      <c r="CG128" s="173">
        <f t="shared" si="367"/>
        <v>0.3647684196856959</v>
      </c>
      <c r="CI128" s="170">
        <v>18</v>
      </c>
      <c r="CJ128" s="217">
        <f t="shared" si="428"/>
        <v>1.7999999999999998</v>
      </c>
      <c r="CK128" s="217"/>
      <c r="CL128" s="217">
        <f t="shared" si="368"/>
        <v>26.999999999999996</v>
      </c>
      <c r="CM128" s="541">
        <f t="shared" si="369"/>
        <v>19</v>
      </c>
      <c r="CN128" s="443">
        <f t="shared" si="370"/>
        <v>15.4</v>
      </c>
      <c r="CO128" s="443">
        <f t="shared" si="371"/>
        <v>34.4</v>
      </c>
      <c r="CP128" s="443"/>
      <c r="CQ128" s="217">
        <f t="shared" si="372"/>
        <v>0.44767441860465118</v>
      </c>
      <c r="CR128" s="172">
        <f t="shared" si="429"/>
        <v>212.84736191860466</v>
      </c>
      <c r="CS128" s="172">
        <f t="shared" si="373"/>
        <v>26.999999999999996</v>
      </c>
      <c r="CT128" s="217">
        <f t="shared" si="374"/>
        <v>14.189824127906977</v>
      </c>
      <c r="CU128" s="217">
        <f t="shared" si="375"/>
        <v>15</v>
      </c>
      <c r="CV128" s="217"/>
      <c r="CW128" s="172">
        <f t="shared" si="376"/>
        <v>244.91986885001324</v>
      </c>
      <c r="CX128" s="172">
        <f t="shared" si="377"/>
        <v>15</v>
      </c>
      <c r="CY128" s="217">
        <f t="shared" si="378"/>
        <v>6.3485987696514004</v>
      </c>
      <c r="CZ128" s="217">
        <f t="shared" si="379"/>
        <v>4.0096413282008845</v>
      </c>
      <c r="DA128" s="217">
        <f t="shared" si="380"/>
        <v>4.9469600802478446</v>
      </c>
      <c r="DB128" s="197">
        <f t="shared" si="381"/>
        <v>70.881782945736433</v>
      </c>
      <c r="DC128" s="443">
        <f t="shared" si="382"/>
        <v>111.64949230147761</v>
      </c>
      <c r="DE128" s="217">
        <f t="shared" si="383"/>
        <v>10.000000000000002</v>
      </c>
      <c r="DF128" s="173">
        <f t="shared" si="384"/>
        <v>7.792207792207793</v>
      </c>
      <c r="DG128" s="173">
        <f t="shared" si="385"/>
        <v>2.7616279069767451</v>
      </c>
      <c r="DH128" s="173"/>
      <c r="DI128" s="173">
        <f t="shared" si="386"/>
        <v>7.7922077922077913</v>
      </c>
      <c r="DJ128" s="545">
        <f t="shared" si="387"/>
        <v>46.2</v>
      </c>
      <c r="DK128" s="528">
        <f t="shared" si="388"/>
        <v>2.7616279069767442</v>
      </c>
      <c r="DM128" s="173">
        <f t="shared" si="389"/>
        <v>3.6331804249169899</v>
      </c>
      <c r="DN128" s="173">
        <f t="shared" si="390"/>
        <v>10</v>
      </c>
      <c r="DO128" s="173">
        <f t="shared" si="391"/>
        <v>1.0264</v>
      </c>
      <c r="DQ128" s="545">
        <f t="shared" si="392"/>
        <v>1799.9999999999998</v>
      </c>
      <c r="DR128" s="460">
        <f t="shared" si="393"/>
        <v>46.2</v>
      </c>
      <c r="DT128">
        <f t="shared" si="430"/>
        <v>1799.9999999999998</v>
      </c>
      <c r="DU128">
        <f t="shared" si="431"/>
        <v>46.2</v>
      </c>
      <c r="DW128" s="5">
        <f t="shared" si="394"/>
        <v>21.645021645021643</v>
      </c>
      <c r="DX128" s="5">
        <f t="shared" si="395"/>
        <v>6.3157894736842106</v>
      </c>
      <c r="DY128" s="5">
        <f t="shared" si="396"/>
        <v>15.329232171337432</v>
      </c>
      <c r="DZ128" s="5"/>
      <c r="EA128" s="173">
        <f t="shared" si="397"/>
        <v>0.29178947368421054</v>
      </c>
      <c r="EB128" s="173">
        <f t="shared" si="398"/>
        <v>27.720000000000006</v>
      </c>
      <c r="EC128" s="173">
        <f t="shared" si="399"/>
        <v>3.541052631578947</v>
      </c>
      <c r="ED128" s="173">
        <f t="shared" si="400"/>
        <v>7.8281807372176004</v>
      </c>
      <c r="EE128" s="460">
        <f t="shared" si="401"/>
        <v>75.789473684210535</v>
      </c>
      <c r="EF128" s="5">
        <f t="shared" si="402"/>
        <v>7.5116019714357627</v>
      </c>
      <c r="EH128" s="173">
        <f t="shared" si="403"/>
        <v>3.1187041843486352</v>
      </c>
      <c r="EI128" s="173">
        <f t="shared" si="404"/>
        <v>4.8587053361836672</v>
      </c>
      <c r="EK128" s="528">
        <f t="shared" si="405"/>
        <v>0.19452631578947371</v>
      </c>
      <c r="EL128" s="528">
        <f t="shared" si="406"/>
        <v>0.31785600000000003</v>
      </c>
      <c r="EM128" s="528">
        <f t="shared" si="407"/>
        <v>5.7749999999999998E-3</v>
      </c>
      <c r="EN128" s="528">
        <f t="shared" si="408"/>
        <v>5.4671232E-3</v>
      </c>
      <c r="EO128">
        <f t="shared" si="409"/>
        <v>8.5500000000000003E-3</v>
      </c>
      <c r="EP128" s="460">
        <f t="shared" si="410"/>
        <v>14.325000000000001</v>
      </c>
      <c r="EQ128" s="460"/>
      <c r="ER128" s="460">
        <f t="shared" si="432"/>
        <v>532.17443898947374</v>
      </c>
      <c r="ES128" s="528">
        <f t="shared" si="411"/>
        <v>1.2599999999999998</v>
      </c>
      <c r="EV128" s="460">
        <f t="shared" si="412"/>
        <v>1259.9999999999998</v>
      </c>
      <c r="EW128" s="528">
        <f t="shared" si="413"/>
        <v>0.29178947368421054</v>
      </c>
      <c r="EX128" s="528">
        <f t="shared" si="414"/>
        <v>0.70821052631578918</v>
      </c>
      <c r="EY128" s="528">
        <f t="shared" si="415"/>
        <v>0.22939024393395663</v>
      </c>
      <c r="EZ128" s="528"/>
      <c r="FA128" s="528">
        <f t="shared" si="416"/>
        <v>4.6200000000000008E-3</v>
      </c>
      <c r="FB128" s="460">
        <f t="shared" si="417"/>
        <v>1234.0102439339564</v>
      </c>
      <c r="FC128" s="173">
        <f t="shared" si="418"/>
        <v>3.02618468292343</v>
      </c>
      <c r="FD128" s="5">
        <f t="shared" si="419"/>
        <v>26.999999999999996</v>
      </c>
      <c r="FE128" s="173">
        <f t="shared" si="420"/>
        <v>0.89921514455199869</v>
      </c>
      <c r="FF128" s="5">
        <f t="shared" si="421"/>
        <v>89.921514455199869</v>
      </c>
      <c r="FI128" s="562">
        <f t="shared" si="422"/>
        <v>-50</v>
      </c>
      <c r="FJ128">
        <f t="shared" si="423"/>
        <v>-50</v>
      </c>
      <c r="FL128">
        <f t="shared" si="424"/>
        <v>0.36</v>
      </c>
    </row>
    <row r="129" spans="5:168">
      <c r="E129" s="170">
        <v>19</v>
      </c>
      <c r="F129" s="217">
        <f t="shared" si="425"/>
        <v>1.9</v>
      </c>
      <c r="G129" s="217"/>
      <c r="H129" s="217">
        <f t="shared" si="315"/>
        <v>28.5</v>
      </c>
      <c r="I129" s="541">
        <f t="shared" si="316"/>
        <v>18.753268114390085</v>
      </c>
      <c r="J129" s="172">
        <f t="shared" si="317"/>
        <v>15.548039131365949</v>
      </c>
      <c r="K129" s="172">
        <f t="shared" si="318"/>
        <v>34.301307245756036</v>
      </c>
      <c r="L129" s="443"/>
      <c r="M129" s="217">
        <f t="shared" si="319"/>
        <v>0.45330957820537332</v>
      </c>
      <c r="N129" s="172">
        <f t="shared" si="426"/>
        <v>212.72780107906019</v>
      </c>
      <c r="O129" s="172">
        <f t="shared" si="284"/>
        <v>28.5</v>
      </c>
      <c r="P129" s="217">
        <f t="shared" si="320"/>
        <v>14.18185340527068</v>
      </c>
      <c r="Q129" s="217">
        <f t="shared" si="321"/>
        <v>15</v>
      </c>
      <c r="R129" s="217"/>
      <c r="S129" s="172">
        <f t="shared" si="322"/>
        <v>228.03309779925169</v>
      </c>
      <c r="T129" s="172">
        <f t="shared" si="323"/>
        <v>15</v>
      </c>
      <c r="U129" s="217">
        <f t="shared" si="324"/>
        <v>6.9509174635357569</v>
      </c>
      <c r="V129" s="217">
        <f t="shared" si="325"/>
        <v>4.4478119255611075</v>
      </c>
      <c r="W129" s="217">
        <f t="shared" si="326"/>
        <v>5.3647285588675482</v>
      </c>
      <c r="X129" s="197">
        <f t="shared" si="327"/>
        <v>70.83708316481389</v>
      </c>
      <c r="Y129" s="443">
        <f t="shared" si="328"/>
        <v>99.874752222493797</v>
      </c>
      <c r="AA129" s="217">
        <f t="shared" si="329"/>
        <v>10</v>
      </c>
      <c r="AB129" s="173">
        <f t="shared" si="330"/>
        <v>7.7180150491078416</v>
      </c>
      <c r="AC129" s="173">
        <f t="shared" si="331"/>
        <v>2.7336083695046867</v>
      </c>
      <c r="AD129" s="173"/>
      <c r="AE129" s="173">
        <f t="shared" si="332"/>
        <v>7.7180150491078416</v>
      </c>
      <c r="AF129" s="545">
        <f t="shared" si="333"/>
        <v>49.235457249325499</v>
      </c>
      <c r="AG129" s="528">
        <f t="shared" si="334"/>
        <v>2.7336083695046871</v>
      </c>
      <c r="AI129" s="173">
        <f t="shared" si="335"/>
        <v>3.7506364126381651</v>
      </c>
      <c r="AJ129" s="173">
        <f t="shared" si="336"/>
        <v>10</v>
      </c>
      <c r="AK129" s="173">
        <f t="shared" si="337"/>
        <v>1.0281345469996146</v>
      </c>
      <c r="AM129" s="545">
        <f t="shared" si="338"/>
        <v>1900</v>
      </c>
      <c r="AN129" s="460">
        <f t="shared" si="339"/>
        <v>49.235457249325499</v>
      </c>
      <c r="AP129" s="460">
        <f t="shared" si="340"/>
        <v>1900</v>
      </c>
      <c r="AQ129" s="460">
        <f t="shared" si="341"/>
        <v>49.235457249325499</v>
      </c>
      <c r="AS129" s="5">
        <f t="shared" si="285"/>
        <v>20.310565918704846</v>
      </c>
      <c r="AT129" s="5">
        <f t="shared" si="342"/>
        <v>6.3988846780215072</v>
      </c>
      <c r="AU129" s="5">
        <f t="shared" si="343"/>
        <v>13.91168124068334</v>
      </c>
      <c r="AV129" s="5"/>
      <c r="AW129" s="173">
        <f t="shared" si="344"/>
        <v>0.31505201300809188</v>
      </c>
      <c r="AX129" s="173">
        <f t="shared" si="214"/>
        <v>29.541274349595305</v>
      </c>
      <c r="AY129" s="173">
        <f t="shared" si="215"/>
        <v>3.4247399349595407</v>
      </c>
      <c r="AZ129" s="173">
        <f t="shared" si="288"/>
        <v>8.6258445635651757</v>
      </c>
      <c r="BA129" s="460">
        <f t="shared" si="433"/>
        <v>81.052539254939092</v>
      </c>
      <c r="BB129" s="5">
        <f t="shared" si="434"/>
        <v>7.2903691154915045</v>
      </c>
      <c r="BD129" s="173">
        <f t="shared" si="289"/>
        <v>3.2406378642076614</v>
      </c>
      <c r="BE129" s="173">
        <f t="shared" si="218"/>
        <v>4.7782423093012918</v>
      </c>
      <c r="BG129" s="528">
        <f t="shared" si="347"/>
        <v>0.21003467533872788</v>
      </c>
      <c r="BH129" s="528">
        <f t="shared" si="348"/>
        <v>0.31665760246770008</v>
      </c>
      <c r="BI129" s="528">
        <f t="shared" si="349"/>
        <v>2.3083143263279801E-2</v>
      </c>
      <c r="BJ129" s="528">
        <f t="shared" si="350"/>
        <v>5.7929438474394954E-3</v>
      </c>
      <c r="BK129">
        <f t="shared" si="351"/>
        <v>8.4389706514755389E-3</v>
      </c>
      <c r="BL129" s="460">
        <f t="shared" si="427"/>
        <v>31.522113914755337</v>
      </c>
      <c r="BM129" s="528">
        <f t="shared" si="352"/>
        <v>0.62014231416911125</v>
      </c>
      <c r="BN129" s="460">
        <f t="shared" si="353"/>
        <v>620.14231416911127</v>
      </c>
      <c r="BO129" s="528">
        <f t="shared" si="354"/>
        <v>1.3299999999999998</v>
      </c>
      <c r="BR129" s="460">
        <f t="shared" si="355"/>
        <v>1329.9999999999998</v>
      </c>
      <c r="BS129" s="528">
        <f t="shared" si="356"/>
        <v>0.31505201300809177</v>
      </c>
      <c r="BT129" s="528">
        <f t="shared" si="357"/>
        <v>0.68494798699190829</v>
      </c>
      <c r="BU129" s="528">
        <f t="shared" si="358"/>
        <v>0.26894590945447239</v>
      </c>
      <c r="BV129" s="528"/>
      <c r="BW129" s="528">
        <f t="shared" si="359"/>
        <v>4.9235457249325503E-3</v>
      </c>
      <c r="BX129" s="460">
        <f t="shared" si="360"/>
        <v>1273.8694551794049</v>
      </c>
      <c r="BY129" s="173">
        <f t="shared" si="361"/>
        <v>3.1678767907480276</v>
      </c>
      <c r="BZ129" s="5">
        <f t="shared" si="362"/>
        <v>28.5</v>
      </c>
      <c r="CA129" s="173">
        <f t="shared" si="363"/>
        <v>0.89996560831405203</v>
      </c>
      <c r="CB129" s="5">
        <f t="shared" si="364"/>
        <v>89.996560831405205</v>
      </c>
      <c r="CE129" s="562">
        <f t="shared" si="365"/>
        <v>-50</v>
      </c>
      <c r="CF129">
        <f t="shared" si="366"/>
        <v>-50</v>
      </c>
      <c r="CG129" s="173">
        <f t="shared" si="367"/>
        <v>0.38503333189045674</v>
      </c>
      <c r="CI129" s="170">
        <v>19</v>
      </c>
      <c r="CJ129" s="217">
        <f t="shared" si="428"/>
        <v>1.9</v>
      </c>
      <c r="CK129" s="217"/>
      <c r="CL129" s="217">
        <f t="shared" si="368"/>
        <v>28.5</v>
      </c>
      <c r="CM129" s="541">
        <f t="shared" si="369"/>
        <v>19</v>
      </c>
      <c r="CN129" s="443">
        <f t="shared" si="370"/>
        <v>15.4</v>
      </c>
      <c r="CO129" s="443">
        <f t="shared" si="371"/>
        <v>34.4</v>
      </c>
      <c r="CP129" s="443"/>
      <c r="CQ129" s="217">
        <f t="shared" si="372"/>
        <v>0.44767441860465118</v>
      </c>
      <c r="CR129" s="172">
        <f t="shared" si="429"/>
        <v>212.84736191860466</v>
      </c>
      <c r="CS129" s="172">
        <f t="shared" si="373"/>
        <v>28.5</v>
      </c>
      <c r="CT129" s="217">
        <f t="shared" si="374"/>
        <v>14.189824127906977</v>
      </c>
      <c r="CU129" s="217">
        <f t="shared" si="375"/>
        <v>15</v>
      </c>
      <c r="CV129" s="217"/>
      <c r="CW129" s="172">
        <f t="shared" si="376"/>
        <v>231.03283890063358</v>
      </c>
      <c r="CX129" s="172">
        <f t="shared" si="377"/>
        <v>15</v>
      </c>
      <c r="CY129" s="217">
        <f t="shared" si="378"/>
        <v>6.7012987012987013</v>
      </c>
      <c r="CZ129" s="217">
        <f t="shared" si="379"/>
        <v>4.2323991797676008</v>
      </c>
      <c r="DA129" s="217">
        <f t="shared" si="380"/>
        <v>5.2217911958171701</v>
      </c>
      <c r="DB129" s="197">
        <f t="shared" si="381"/>
        <v>70.881782945736433</v>
      </c>
      <c r="DC129" s="443">
        <f t="shared" si="382"/>
        <v>105.77320323297879</v>
      </c>
      <c r="DE129" s="217">
        <f t="shared" si="383"/>
        <v>10.000000000000002</v>
      </c>
      <c r="DF129" s="173">
        <f t="shared" si="384"/>
        <v>7.792207792207793</v>
      </c>
      <c r="DG129" s="173">
        <f t="shared" si="385"/>
        <v>2.7616279069767451</v>
      </c>
      <c r="DH129" s="173"/>
      <c r="DI129" s="173">
        <f t="shared" si="386"/>
        <v>7.7922077922077913</v>
      </c>
      <c r="DJ129" s="545">
        <f t="shared" si="387"/>
        <v>48.766666666666666</v>
      </c>
      <c r="DK129" s="528">
        <f t="shared" si="388"/>
        <v>2.7616279069767442</v>
      </c>
      <c r="DM129" s="173">
        <f t="shared" si="389"/>
        <v>3.7327380477785117</v>
      </c>
      <c r="DN129" s="173">
        <f t="shared" si="390"/>
        <v>10</v>
      </c>
      <c r="DO129" s="173">
        <f t="shared" si="391"/>
        <v>1.0278666666666667</v>
      </c>
      <c r="DQ129" s="545">
        <f t="shared" si="392"/>
        <v>1900</v>
      </c>
      <c r="DR129" s="460">
        <f t="shared" si="393"/>
        <v>48.766666666666666</v>
      </c>
      <c r="DT129">
        <f t="shared" si="430"/>
        <v>1900</v>
      </c>
      <c r="DU129">
        <f t="shared" si="431"/>
        <v>48.766666666666666</v>
      </c>
      <c r="DW129" s="5">
        <f t="shared" si="394"/>
        <v>20.505809979494192</v>
      </c>
      <c r="DX129" s="5">
        <f t="shared" si="395"/>
        <v>6.3157894736842106</v>
      </c>
      <c r="DY129" s="5">
        <f t="shared" si="396"/>
        <v>14.190020505809981</v>
      </c>
      <c r="DZ129" s="5"/>
      <c r="EA129" s="173">
        <f t="shared" si="397"/>
        <v>0.308</v>
      </c>
      <c r="EB129" s="173">
        <f t="shared" si="398"/>
        <v>29.26</v>
      </c>
      <c r="EC129" s="173">
        <f t="shared" si="399"/>
        <v>3.46</v>
      </c>
      <c r="ED129" s="173">
        <f t="shared" si="400"/>
        <v>8.4566473988439306</v>
      </c>
      <c r="EE129" s="460">
        <f t="shared" si="401"/>
        <v>80</v>
      </c>
      <c r="EF129" s="5">
        <f t="shared" si="402"/>
        <v>7.3396657788672304</v>
      </c>
      <c r="EH129" s="173">
        <f t="shared" si="403"/>
        <v>3.2041639575194441</v>
      </c>
      <c r="EI129" s="173">
        <f t="shared" si="404"/>
        <v>4.8027769744874336</v>
      </c>
      <c r="EK129" s="528">
        <f t="shared" si="405"/>
        <v>0.20533333333333331</v>
      </c>
      <c r="EL129" s="528">
        <f t="shared" si="406"/>
        <v>0.33551466666666668</v>
      </c>
      <c r="EM129" s="528">
        <f t="shared" si="407"/>
        <v>6.0958333333333324E-3</v>
      </c>
      <c r="EN129" s="528">
        <f t="shared" si="408"/>
        <v>5.7708522666666661E-3</v>
      </c>
      <c r="EO129">
        <f t="shared" si="409"/>
        <v>8.5500000000000003E-3</v>
      </c>
      <c r="EP129" s="460">
        <f t="shared" si="410"/>
        <v>14.645833333333334</v>
      </c>
      <c r="EQ129" s="460"/>
      <c r="ER129" s="460">
        <f t="shared" si="432"/>
        <v>561.26468559999989</v>
      </c>
      <c r="ES129" s="528">
        <f t="shared" si="411"/>
        <v>1.3299999999999998</v>
      </c>
      <c r="EV129" s="460">
        <f t="shared" si="412"/>
        <v>1329.9999999999998</v>
      </c>
      <c r="EW129" s="528">
        <f t="shared" si="413"/>
        <v>0.30799999999999994</v>
      </c>
      <c r="EX129" s="528">
        <f t="shared" si="414"/>
        <v>0.69199999999999995</v>
      </c>
      <c r="EY129" s="528">
        <f t="shared" si="415"/>
        <v>0.2625896974784947</v>
      </c>
      <c r="EZ129" s="528"/>
      <c r="FA129" s="528">
        <f t="shared" si="416"/>
        <v>4.8766666666666672E-3</v>
      </c>
      <c r="FB129" s="460">
        <f t="shared" si="417"/>
        <v>1267.4663641451614</v>
      </c>
      <c r="FC129" s="173">
        <f t="shared" si="418"/>
        <v>3.1587310497451608</v>
      </c>
      <c r="FD129" s="5">
        <f t="shared" si="419"/>
        <v>28.5</v>
      </c>
      <c r="FE129" s="173">
        <f t="shared" si="420"/>
        <v>0.90022559511997291</v>
      </c>
      <c r="FF129" s="5">
        <f t="shared" si="421"/>
        <v>90.022559511997287</v>
      </c>
      <c r="FI129" s="562">
        <f t="shared" si="422"/>
        <v>-50</v>
      </c>
      <c r="FJ129">
        <f t="shared" si="423"/>
        <v>-50</v>
      </c>
      <c r="FL129">
        <f t="shared" si="424"/>
        <v>0.38</v>
      </c>
    </row>
    <row r="130" spans="5:168">
      <c r="E130" s="170">
        <v>20</v>
      </c>
      <c r="F130" s="217">
        <f t="shared" si="425"/>
        <v>2</v>
      </c>
      <c r="G130" s="217"/>
      <c r="H130" s="217">
        <f t="shared" si="315"/>
        <v>30</v>
      </c>
      <c r="I130" s="541">
        <f t="shared" si="316"/>
        <v>18.753268114390085</v>
      </c>
      <c r="J130" s="172">
        <f t="shared" si="317"/>
        <v>15.548039131365949</v>
      </c>
      <c r="K130" s="172">
        <f t="shared" si="318"/>
        <v>34.301307245756036</v>
      </c>
      <c r="L130" s="443"/>
      <c r="M130" s="217">
        <f t="shared" si="319"/>
        <v>0.45330957820537332</v>
      </c>
      <c r="N130" s="172">
        <f t="shared" si="426"/>
        <v>212.72780107906019</v>
      </c>
      <c r="O130" s="172">
        <f t="shared" si="284"/>
        <v>30</v>
      </c>
      <c r="P130" s="217">
        <f t="shared" si="320"/>
        <v>14.18185340527068</v>
      </c>
      <c r="Q130" s="217">
        <f t="shared" si="321"/>
        <v>15</v>
      </c>
      <c r="R130" s="217"/>
      <c r="S130" s="172">
        <f t="shared" si="322"/>
        <v>215.69729595366431</v>
      </c>
      <c r="T130" s="172">
        <f t="shared" si="323"/>
        <v>15</v>
      </c>
      <c r="U130" s="217">
        <f t="shared" si="324"/>
        <v>7.3167552247744805</v>
      </c>
      <c r="V130" s="217">
        <f t="shared" si="325"/>
        <v>4.6819072900643226</v>
      </c>
      <c r="W130" s="217">
        <f t="shared" si="326"/>
        <v>5.6470826935447862</v>
      </c>
      <c r="X130" s="197">
        <f t="shared" si="327"/>
        <v>70.83708316481389</v>
      </c>
      <c r="Y130" s="443">
        <f t="shared" si="328"/>
        <v>94.975871527728614</v>
      </c>
      <c r="AA130" s="217">
        <f t="shared" si="329"/>
        <v>10</v>
      </c>
      <c r="AB130" s="173">
        <f t="shared" si="330"/>
        <v>7.7180150491078416</v>
      </c>
      <c r="AC130" s="173">
        <f t="shared" si="331"/>
        <v>2.7336083695046867</v>
      </c>
      <c r="AD130" s="173"/>
      <c r="AE130" s="173">
        <f t="shared" si="332"/>
        <v>7.7180150491078416</v>
      </c>
      <c r="AF130" s="545">
        <f t="shared" si="333"/>
        <v>51.826797104553151</v>
      </c>
      <c r="AG130" s="528">
        <f t="shared" si="334"/>
        <v>2.7336083695046871</v>
      </c>
      <c r="AI130" s="173">
        <f t="shared" si="335"/>
        <v>3.8480717659090788</v>
      </c>
      <c r="AJ130" s="173">
        <f t="shared" si="336"/>
        <v>10</v>
      </c>
      <c r="AK130" s="173">
        <f t="shared" si="337"/>
        <v>1.0296153126311731</v>
      </c>
      <c r="AM130" s="545">
        <f t="shared" si="338"/>
        <v>2000</v>
      </c>
      <c r="AN130" s="460">
        <f t="shared" si="339"/>
        <v>51.826797104553151</v>
      </c>
      <c r="AP130" s="460">
        <f t="shared" si="340"/>
        <v>2000</v>
      </c>
      <c r="AQ130" s="460">
        <f t="shared" si="341"/>
        <v>51.826797104553151</v>
      </c>
      <c r="AS130" s="5">
        <f t="shared" si="285"/>
        <v>19.295037622769609</v>
      </c>
      <c r="AT130" s="5">
        <f t="shared" si="342"/>
        <v>6.3988846780215072</v>
      </c>
      <c r="AU130" s="5">
        <f t="shared" si="343"/>
        <v>12.896152944748103</v>
      </c>
      <c r="AV130" s="5"/>
      <c r="AW130" s="173">
        <f t="shared" si="344"/>
        <v>0.33163369790325453</v>
      </c>
      <c r="AX130" s="173">
        <f t="shared" si="214"/>
        <v>31.096078262731893</v>
      </c>
      <c r="AY130" s="173">
        <f t="shared" si="215"/>
        <v>3.3418315104837273</v>
      </c>
      <c r="AZ130" s="173">
        <f t="shared" si="288"/>
        <v>9.3051005609288673</v>
      </c>
      <c r="BA130" s="460">
        <f t="shared" si="433"/>
        <v>85.318462373620093</v>
      </c>
      <c r="BB130" s="5">
        <f t="shared" si="434"/>
        <v>7.113878920997462</v>
      </c>
      <c r="BD130" s="173">
        <f t="shared" si="289"/>
        <v>3.3248242956245297</v>
      </c>
      <c r="BE130" s="173">
        <f t="shared" si="218"/>
        <v>4.7200505014838754</v>
      </c>
      <c r="BG130" s="528">
        <f t="shared" si="347"/>
        <v>0.221089131935503</v>
      </c>
      <c r="BH130" s="528">
        <f t="shared" si="348"/>
        <v>0.33332379207126323</v>
      </c>
      <c r="BI130" s="528">
        <f t="shared" si="349"/>
        <v>2.4298045540294525E-2</v>
      </c>
      <c r="BJ130" s="528">
        <f t="shared" si="350"/>
        <v>6.0978356288836789E-3</v>
      </c>
      <c r="BK130">
        <f t="shared" si="351"/>
        <v>8.4389706514755389E-3</v>
      </c>
      <c r="BL130" s="460">
        <f t="shared" si="427"/>
        <v>32.737016191770067</v>
      </c>
      <c r="BM130" s="528">
        <f t="shared" si="352"/>
        <v>0.65459099957254052</v>
      </c>
      <c r="BN130" s="460">
        <f t="shared" si="353"/>
        <v>654.59099957254057</v>
      </c>
      <c r="BO130" s="528">
        <f t="shared" si="354"/>
        <v>1.4</v>
      </c>
      <c r="BR130" s="460">
        <f t="shared" si="355"/>
        <v>1400</v>
      </c>
      <c r="BS130" s="528">
        <f t="shared" si="356"/>
        <v>0.33163369790325448</v>
      </c>
      <c r="BT130" s="528">
        <f t="shared" si="357"/>
        <v>0.66836630209674541</v>
      </c>
      <c r="BU130" s="528">
        <f t="shared" si="358"/>
        <v>0.30574258280569822</v>
      </c>
      <c r="BV130" s="528"/>
      <c r="BW130" s="528">
        <f t="shared" si="359"/>
        <v>5.182679710455316E-3</v>
      </c>
      <c r="BX130" s="460">
        <f t="shared" si="360"/>
        <v>1310.9252625161535</v>
      </c>
      <c r="BY130" s="173">
        <f t="shared" si="361"/>
        <v>3.3041730383435732</v>
      </c>
      <c r="BZ130" s="5">
        <f t="shared" si="362"/>
        <v>30</v>
      </c>
      <c r="CA130" s="173">
        <f t="shared" si="363"/>
        <v>0.90078801732925695</v>
      </c>
      <c r="CB130" s="5">
        <f t="shared" si="364"/>
        <v>90.078801732925697</v>
      </c>
      <c r="CE130" s="562">
        <f t="shared" si="365"/>
        <v>-50</v>
      </c>
      <c r="CF130">
        <f t="shared" si="366"/>
        <v>-50</v>
      </c>
      <c r="CG130" s="173">
        <f t="shared" si="367"/>
        <v>0.4052982440952177</v>
      </c>
      <c r="CI130" s="170">
        <v>20</v>
      </c>
      <c r="CJ130" s="217">
        <f t="shared" si="428"/>
        <v>2</v>
      </c>
      <c r="CK130" s="217"/>
      <c r="CL130" s="217">
        <f t="shared" si="368"/>
        <v>30</v>
      </c>
      <c r="CM130" s="541">
        <f t="shared" si="369"/>
        <v>19</v>
      </c>
      <c r="CN130" s="443">
        <f t="shared" si="370"/>
        <v>15.4</v>
      </c>
      <c r="CO130" s="443">
        <f t="shared" si="371"/>
        <v>34.4</v>
      </c>
      <c r="CP130" s="443"/>
      <c r="CQ130" s="217">
        <f t="shared" si="372"/>
        <v>0.44767441860465118</v>
      </c>
      <c r="CR130" s="172">
        <f t="shared" si="429"/>
        <v>212.84736191860466</v>
      </c>
      <c r="CS130" s="172">
        <f t="shared" si="373"/>
        <v>30</v>
      </c>
      <c r="CT130" s="217">
        <f t="shared" si="374"/>
        <v>14.189824127906977</v>
      </c>
      <c r="CU130" s="217">
        <f t="shared" si="375"/>
        <v>15</v>
      </c>
      <c r="CV130" s="217"/>
      <c r="CW130" s="172">
        <f t="shared" si="376"/>
        <v>218.53471354485976</v>
      </c>
      <c r="CX130" s="172">
        <f t="shared" si="377"/>
        <v>15</v>
      </c>
      <c r="CY130" s="217">
        <f t="shared" si="378"/>
        <v>7.0539986329460014</v>
      </c>
      <c r="CZ130" s="217">
        <f t="shared" si="379"/>
        <v>4.4551570313343172</v>
      </c>
      <c r="DA130" s="217">
        <f t="shared" si="380"/>
        <v>5.4966223113864947</v>
      </c>
      <c r="DB130" s="197">
        <f t="shared" si="381"/>
        <v>70.881782945736433</v>
      </c>
      <c r="DC130" s="443">
        <f t="shared" si="382"/>
        <v>100.48454307132984</v>
      </c>
      <c r="DE130" s="217">
        <f t="shared" si="383"/>
        <v>10.000000000000002</v>
      </c>
      <c r="DF130" s="173">
        <f t="shared" si="384"/>
        <v>7.792207792207793</v>
      </c>
      <c r="DG130" s="173">
        <f t="shared" si="385"/>
        <v>2.7616279069767451</v>
      </c>
      <c r="DH130" s="173"/>
      <c r="DI130" s="173">
        <f t="shared" si="386"/>
        <v>7.7922077922077913</v>
      </c>
      <c r="DJ130" s="545">
        <f t="shared" si="387"/>
        <v>51.333333333333336</v>
      </c>
      <c r="DK130" s="528">
        <f t="shared" si="388"/>
        <v>2.7616279069767442</v>
      </c>
      <c r="DM130" s="173">
        <f t="shared" si="389"/>
        <v>3.8297084310253524</v>
      </c>
      <c r="DN130" s="173">
        <f t="shared" si="390"/>
        <v>10</v>
      </c>
      <c r="DO130" s="173">
        <f t="shared" si="391"/>
        <v>1.0293333333333334</v>
      </c>
      <c r="DQ130" s="545">
        <f t="shared" si="392"/>
        <v>2000</v>
      </c>
      <c r="DR130" s="460">
        <f t="shared" si="393"/>
        <v>51.333333333333336</v>
      </c>
      <c r="DT130">
        <f t="shared" si="430"/>
        <v>2000</v>
      </c>
      <c r="DU130">
        <f t="shared" si="431"/>
        <v>51.333333333333336</v>
      </c>
      <c r="DW130" s="5">
        <f t="shared" si="394"/>
        <v>19.480519480519479</v>
      </c>
      <c r="DX130" s="5">
        <f t="shared" si="395"/>
        <v>6.3157894736842106</v>
      </c>
      <c r="DY130" s="5">
        <f t="shared" si="396"/>
        <v>13.164730006835269</v>
      </c>
      <c r="DZ130" s="5"/>
      <c r="EA130" s="173">
        <f t="shared" si="397"/>
        <v>0.3242105263157895</v>
      </c>
      <c r="EB130" s="173">
        <f t="shared" si="398"/>
        <v>30.800000000000004</v>
      </c>
      <c r="EC130" s="173">
        <f t="shared" si="399"/>
        <v>3.3789473684210525</v>
      </c>
      <c r="ED130" s="173">
        <f t="shared" si="400"/>
        <v>9.1152647975077894</v>
      </c>
      <c r="EE130" s="460">
        <f t="shared" si="401"/>
        <v>84.210526315789465</v>
      </c>
      <c r="EF130" s="5">
        <f t="shared" si="402"/>
        <v>7.1677295862986945</v>
      </c>
      <c r="EH130" s="173">
        <f t="shared" si="403"/>
        <v>3.2874028569464455</v>
      </c>
      <c r="EI130" s="173">
        <f t="shared" si="404"/>
        <v>4.7461896074086294</v>
      </c>
      <c r="EK130" s="528">
        <f t="shared" si="405"/>
        <v>0.21614035087719305</v>
      </c>
      <c r="EL130" s="528">
        <f t="shared" si="406"/>
        <v>0.35317333333333334</v>
      </c>
      <c r="EM130" s="528">
        <f t="shared" si="407"/>
        <v>6.4166666666666669E-3</v>
      </c>
      <c r="EN130" s="528">
        <f t="shared" si="408"/>
        <v>6.0745813333333331E-3</v>
      </c>
      <c r="EO130">
        <f t="shared" si="409"/>
        <v>8.5500000000000003E-3</v>
      </c>
      <c r="EP130" s="460">
        <f t="shared" si="410"/>
        <v>14.966666666666667</v>
      </c>
      <c r="EQ130" s="460"/>
      <c r="ER130" s="460">
        <f t="shared" si="432"/>
        <v>590.35493221052639</v>
      </c>
      <c r="ES130" s="528">
        <f t="shared" si="411"/>
        <v>1.4</v>
      </c>
      <c r="EV130" s="460">
        <f t="shared" si="412"/>
        <v>1400</v>
      </c>
      <c r="EW130" s="528">
        <f t="shared" si="413"/>
        <v>0.32421052631578956</v>
      </c>
      <c r="EX130" s="528">
        <f t="shared" si="414"/>
        <v>0.67578947368421027</v>
      </c>
      <c r="EY130" s="528">
        <f t="shared" si="415"/>
        <v>0.29851672586540179</v>
      </c>
      <c r="EZ130" s="528"/>
      <c r="FA130" s="528">
        <f t="shared" si="416"/>
        <v>5.1333333333333335E-3</v>
      </c>
      <c r="FB130" s="460">
        <f t="shared" si="417"/>
        <v>1303.6500591987351</v>
      </c>
      <c r="FC130" s="173">
        <f t="shared" si="418"/>
        <v>3.2940049914092615</v>
      </c>
      <c r="FD130" s="5">
        <f t="shared" si="419"/>
        <v>30</v>
      </c>
      <c r="FE130" s="173">
        <f t="shared" si="420"/>
        <v>0.90106311955382956</v>
      </c>
      <c r="FF130" s="5">
        <f t="shared" si="421"/>
        <v>90.106311955382949</v>
      </c>
      <c r="FI130" s="562">
        <f t="shared" si="422"/>
        <v>-50</v>
      </c>
      <c r="FJ130">
        <f t="shared" si="423"/>
        <v>-50</v>
      </c>
      <c r="FL130">
        <f t="shared" si="424"/>
        <v>0.4</v>
      </c>
    </row>
    <row r="131" spans="5:168">
      <c r="E131" s="170">
        <v>21</v>
      </c>
      <c r="F131" s="217">
        <f t="shared" si="425"/>
        <v>2.1</v>
      </c>
      <c r="G131" s="217"/>
      <c r="H131" s="217">
        <f t="shared" si="315"/>
        <v>31.5</v>
      </c>
      <c r="I131" s="541">
        <f t="shared" si="316"/>
        <v>18.753268114390085</v>
      </c>
      <c r="J131" s="172">
        <f t="shared" si="317"/>
        <v>15.548039131365949</v>
      </c>
      <c r="K131" s="172">
        <f t="shared" si="318"/>
        <v>34.301307245756036</v>
      </c>
      <c r="L131" s="443"/>
      <c r="M131" s="217">
        <f t="shared" si="319"/>
        <v>0.45330957820537332</v>
      </c>
      <c r="N131" s="172">
        <f t="shared" si="426"/>
        <v>212.72780107906019</v>
      </c>
      <c r="O131" s="172">
        <f t="shared" si="284"/>
        <v>31.5</v>
      </c>
      <c r="P131" s="217">
        <f t="shared" si="320"/>
        <v>14.18185340527068</v>
      </c>
      <c r="Q131" s="217">
        <f t="shared" si="321"/>
        <v>15</v>
      </c>
      <c r="R131" s="217"/>
      <c r="S131" s="172">
        <f t="shared" si="322"/>
        <v>204.53652679949019</v>
      </c>
      <c r="T131" s="172">
        <f t="shared" si="323"/>
        <v>15</v>
      </c>
      <c r="U131" s="217">
        <f t="shared" si="324"/>
        <v>7.6825929860132041</v>
      </c>
      <c r="V131" s="217">
        <f t="shared" si="325"/>
        <v>4.9160026545675395</v>
      </c>
      <c r="W131" s="217">
        <f t="shared" si="326"/>
        <v>5.929436828222026</v>
      </c>
      <c r="X131" s="197">
        <f t="shared" si="327"/>
        <v>70.83708316481389</v>
      </c>
      <c r="Y131" s="443">
        <f t="shared" si="328"/>
        <v>90.535102886412858</v>
      </c>
      <c r="AA131" s="217">
        <f t="shared" si="329"/>
        <v>10</v>
      </c>
      <c r="AB131" s="173">
        <f t="shared" si="330"/>
        <v>7.7180150491078416</v>
      </c>
      <c r="AC131" s="173">
        <f t="shared" si="331"/>
        <v>2.7336083695046867</v>
      </c>
      <c r="AD131" s="173"/>
      <c r="AE131" s="173">
        <f t="shared" si="332"/>
        <v>7.7180150491078416</v>
      </c>
      <c r="AF131" s="545">
        <f t="shared" si="333"/>
        <v>54.418136959780817</v>
      </c>
      <c r="AG131" s="528">
        <f t="shared" si="334"/>
        <v>2.7336083695046871</v>
      </c>
      <c r="AI131" s="173">
        <f t="shared" si="335"/>
        <v>3.9431001929149541</v>
      </c>
      <c r="AJ131" s="173">
        <f t="shared" si="336"/>
        <v>10</v>
      </c>
      <c r="AK131" s="173">
        <f t="shared" si="337"/>
        <v>1.0310960782627319</v>
      </c>
      <c r="AM131" s="545">
        <f t="shared" si="338"/>
        <v>2100</v>
      </c>
      <c r="AN131" s="460">
        <f t="shared" si="339"/>
        <v>54.418136959780817</v>
      </c>
      <c r="AP131" s="460">
        <f t="shared" si="340"/>
        <v>2100</v>
      </c>
      <c r="AQ131" s="460">
        <f t="shared" si="341"/>
        <v>54.418136959780817</v>
      </c>
      <c r="AS131" s="5">
        <f t="shared" si="285"/>
        <v>18.376226307399623</v>
      </c>
      <c r="AT131" s="5">
        <f t="shared" si="342"/>
        <v>6.3988846780215072</v>
      </c>
      <c r="AU131" s="5">
        <f t="shared" si="343"/>
        <v>11.977341629378117</v>
      </c>
      <c r="AV131" s="5"/>
      <c r="AW131" s="173">
        <f t="shared" si="344"/>
        <v>0.34821538279841735</v>
      </c>
      <c r="AX131" s="173">
        <f t="shared" si="214"/>
        <v>32.650882175868496</v>
      </c>
      <c r="AY131" s="173">
        <f t="shared" si="215"/>
        <v>3.258923086007913</v>
      </c>
      <c r="AZ131" s="173">
        <f t="shared" si="288"/>
        <v>10.018917695865259</v>
      </c>
      <c r="BA131" s="460">
        <f t="shared" si="433"/>
        <v>89.584385492301109</v>
      </c>
      <c r="BB131" s="5">
        <f t="shared" si="434"/>
        <v>6.9373887265034151</v>
      </c>
      <c r="BD131" s="173">
        <f t="shared" si="289"/>
        <v>3.4069310862730862</v>
      </c>
      <c r="BE131" s="173">
        <f t="shared" si="218"/>
        <v>4.6611322558708226</v>
      </c>
      <c r="BG131" s="528">
        <f t="shared" si="347"/>
        <v>0.23214358853227823</v>
      </c>
      <c r="BH131" s="528">
        <f t="shared" si="348"/>
        <v>0.34998998167482637</v>
      </c>
      <c r="BI131" s="528">
        <f t="shared" si="349"/>
        <v>2.5512947817309256E-2</v>
      </c>
      <c r="BJ131" s="528">
        <f t="shared" si="350"/>
        <v>6.4027274103278633E-3</v>
      </c>
      <c r="BK131">
        <f t="shared" si="351"/>
        <v>8.4389706514755389E-3</v>
      </c>
      <c r="BL131" s="460">
        <f t="shared" si="427"/>
        <v>33.951918468784797</v>
      </c>
      <c r="BM131" s="528">
        <f t="shared" si="352"/>
        <v>0.68923121064140558</v>
      </c>
      <c r="BN131" s="460">
        <f t="shared" si="353"/>
        <v>689.2312106414056</v>
      </c>
      <c r="BO131" s="528">
        <f t="shared" si="354"/>
        <v>1.47</v>
      </c>
      <c r="BR131" s="460">
        <f t="shared" si="355"/>
        <v>1470</v>
      </c>
      <c r="BS131" s="528">
        <f t="shared" si="356"/>
        <v>0.34821538279841729</v>
      </c>
      <c r="BT131" s="528">
        <f t="shared" si="357"/>
        <v>0.65178461720158276</v>
      </c>
      <c r="BU131" s="528">
        <f t="shared" si="358"/>
        <v>0.34540544353567165</v>
      </c>
      <c r="BV131" s="528"/>
      <c r="BW131" s="528">
        <f t="shared" si="359"/>
        <v>5.4418136959780818E-3</v>
      </c>
      <c r="BX131" s="460">
        <f t="shared" si="360"/>
        <v>1350.8472572316498</v>
      </c>
      <c r="BY131" s="173">
        <f t="shared" si="361"/>
        <v>3.4433354733178669</v>
      </c>
      <c r="BZ131" s="5">
        <f t="shared" si="362"/>
        <v>31.5</v>
      </c>
      <c r="CA131" s="173">
        <f t="shared" si="363"/>
        <v>0.90145945065985078</v>
      </c>
      <c r="CB131" s="5">
        <f t="shared" si="364"/>
        <v>90.145945065985075</v>
      </c>
      <c r="CE131" s="562">
        <f t="shared" si="365"/>
        <v>-50</v>
      </c>
      <c r="CF131">
        <f t="shared" si="366"/>
        <v>-50</v>
      </c>
      <c r="CG131" s="173">
        <f t="shared" si="367"/>
        <v>0.42556315629997865</v>
      </c>
      <c r="CI131" s="170">
        <v>21</v>
      </c>
      <c r="CJ131" s="217">
        <f t="shared" si="428"/>
        <v>2.1</v>
      </c>
      <c r="CK131" s="217"/>
      <c r="CL131" s="217">
        <f t="shared" si="368"/>
        <v>31.5</v>
      </c>
      <c r="CM131" s="541">
        <f t="shared" si="369"/>
        <v>19</v>
      </c>
      <c r="CN131" s="443">
        <f t="shared" si="370"/>
        <v>15.4</v>
      </c>
      <c r="CO131" s="443">
        <f t="shared" si="371"/>
        <v>34.4</v>
      </c>
      <c r="CP131" s="443"/>
      <c r="CQ131" s="217">
        <f t="shared" si="372"/>
        <v>0.44767441860465118</v>
      </c>
      <c r="CR131" s="172">
        <f t="shared" si="429"/>
        <v>212.84736191860466</v>
      </c>
      <c r="CS131" s="172">
        <f t="shared" si="373"/>
        <v>31.5</v>
      </c>
      <c r="CT131" s="217">
        <f t="shared" si="374"/>
        <v>14.189824127906977</v>
      </c>
      <c r="CU131" s="217">
        <f t="shared" si="375"/>
        <v>15</v>
      </c>
      <c r="CV131" s="217"/>
      <c r="CW131" s="172">
        <f t="shared" si="376"/>
        <v>207.22708027887251</v>
      </c>
      <c r="CX131" s="172">
        <f t="shared" si="377"/>
        <v>15</v>
      </c>
      <c r="CY131" s="217">
        <f t="shared" si="378"/>
        <v>7.4066985645933014</v>
      </c>
      <c r="CZ131" s="217">
        <f t="shared" si="379"/>
        <v>4.6779148829010326</v>
      </c>
      <c r="DA131" s="217">
        <f t="shared" si="380"/>
        <v>5.7714534269558193</v>
      </c>
      <c r="DB131" s="197">
        <f t="shared" si="381"/>
        <v>70.881782945736433</v>
      </c>
      <c r="DC131" s="443">
        <f t="shared" si="382"/>
        <v>95.699564829837968</v>
      </c>
      <c r="DE131" s="217">
        <f t="shared" si="383"/>
        <v>10.000000000000002</v>
      </c>
      <c r="DF131" s="173">
        <f t="shared" si="384"/>
        <v>7.792207792207793</v>
      </c>
      <c r="DG131" s="173">
        <f t="shared" si="385"/>
        <v>2.7616279069767451</v>
      </c>
      <c r="DH131" s="173"/>
      <c r="DI131" s="173">
        <f t="shared" si="386"/>
        <v>7.7922077922077913</v>
      </c>
      <c r="DJ131" s="545">
        <f t="shared" si="387"/>
        <v>53.900000000000006</v>
      </c>
      <c r="DK131" s="528">
        <f t="shared" si="388"/>
        <v>2.7616279069767442</v>
      </c>
      <c r="DM131" s="173">
        <f t="shared" si="389"/>
        <v>3.9242833740697169</v>
      </c>
      <c r="DN131" s="173">
        <f t="shared" si="390"/>
        <v>10</v>
      </c>
      <c r="DO131" s="173">
        <f t="shared" si="391"/>
        <v>1.0307999999999999</v>
      </c>
      <c r="DQ131" s="545">
        <f t="shared" si="392"/>
        <v>2100</v>
      </c>
      <c r="DR131" s="460">
        <f t="shared" si="393"/>
        <v>53.900000000000006</v>
      </c>
      <c r="DT131">
        <f t="shared" si="430"/>
        <v>2100</v>
      </c>
      <c r="DU131">
        <f t="shared" si="431"/>
        <v>53.900000000000006</v>
      </c>
      <c r="DW131" s="5">
        <f t="shared" si="394"/>
        <v>18.552875695732837</v>
      </c>
      <c r="DX131" s="5">
        <f t="shared" si="395"/>
        <v>6.3157894736842106</v>
      </c>
      <c r="DY131" s="5">
        <f t="shared" si="396"/>
        <v>12.237086222048626</v>
      </c>
      <c r="DZ131" s="5"/>
      <c r="EA131" s="173">
        <f t="shared" si="397"/>
        <v>0.34042105263157896</v>
      </c>
      <c r="EB131" s="173">
        <f t="shared" si="398"/>
        <v>32.340000000000011</v>
      </c>
      <c r="EC131" s="173">
        <f t="shared" si="399"/>
        <v>3.297894736842105</v>
      </c>
      <c r="ED131" s="173">
        <f t="shared" si="400"/>
        <v>9.8062559846792254</v>
      </c>
      <c r="EE131" s="460">
        <f t="shared" si="401"/>
        <v>88.421052631578959</v>
      </c>
      <c r="EF131" s="5">
        <f t="shared" si="402"/>
        <v>6.9957933937301577</v>
      </c>
      <c r="EH131" s="173">
        <f t="shared" si="403"/>
        <v>3.3685855223005152</v>
      </c>
      <c r="EI131" s="173">
        <f t="shared" si="404"/>
        <v>4.6889193757496725</v>
      </c>
      <c r="EK131" s="528">
        <f t="shared" si="405"/>
        <v>0.22694736842105273</v>
      </c>
      <c r="EL131" s="528">
        <f t="shared" si="406"/>
        <v>0.37083200000000011</v>
      </c>
      <c r="EM131" s="528">
        <f t="shared" si="407"/>
        <v>6.7375000000000004E-3</v>
      </c>
      <c r="EN131" s="528">
        <f t="shared" si="408"/>
        <v>6.3783104E-3</v>
      </c>
      <c r="EO131">
        <f t="shared" si="409"/>
        <v>8.5500000000000003E-3</v>
      </c>
      <c r="EP131" s="460">
        <f t="shared" si="410"/>
        <v>15.287500000000001</v>
      </c>
      <c r="EQ131" s="460"/>
      <c r="ER131" s="460">
        <f t="shared" si="432"/>
        <v>619.44517882105276</v>
      </c>
      <c r="ES131" s="528">
        <f t="shared" si="411"/>
        <v>1.47</v>
      </c>
      <c r="EV131" s="460">
        <f t="shared" si="412"/>
        <v>1470</v>
      </c>
      <c r="EW131" s="528">
        <f t="shared" si="413"/>
        <v>0.34042105263157907</v>
      </c>
      <c r="EX131" s="528">
        <f t="shared" si="414"/>
        <v>0.65957894736842093</v>
      </c>
      <c r="EY131" s="528">
        <f t="shared" si="415"/>
        <v>0.33724220275159505</v>
      </c>
      <c r="EZ131" s="528"/>
      <c r="FA131" s="528">
        <f t="shared" si="416"/>
        <v>5.3900000000000007E-3</v>
      </c>
      <c r="FB131" s="460">
        <f t="shared" si="417"/>
        <v>1342.6322027515951</v>
      </c>
      <c r="FC131" s="173">
        <f t="shared" si="418"/>
        <v>3.4320773815726473</v>
      </c>
      <c r="FD131" s="5">
        <f t="shared" si="419"/>
        <v>31.5</v>
      </c>
      <c r="FE131" s="173">
        <f t="shared" si="420"/>
        <v>0.90174997770435683</v>
      </c>
      <c r="FF131" s="5">
        <f t="shared" si="421"/>
        <v>90.174997770435681</v>
      </c>
      <c r="FI131" s="562">
        <f t="shared" si="422"/>
        <v>-50</v>
      </c>
      <c r="FJ131">
        <f t="shared" si="423"/>
        <v>-50</v>
      </c>
      <c r="FL131">
        <f t="shared" si="424"/>
        <v>0.42000000000000004</v>
      </c>
    </row>
    <row r="132" spans="5:168">
      <c r="E132" s="170">
        <v>22</v>
      </c>
      <c r="F132" s="217">
        <f t="shared" si="425"/>
        <v>2.2000000000000002</v>
      </c>
      <c r="G132" s="217"/>
      <c r="H132" s="217">
        <f t="shared" si="315"/>
        <v>33</v>
      </c>
      <c r="I132" s="541">
        <f t="shared" si="316"/>
        <v>18.753268114390085</v>
      </c>
      <c r="J132" s="172">
        <f t="shared" si="317"/>
        <v>15.548039131365949</v>
      </c>
      <c r="K132" s="172">
        <f t="shared" si="318"/>
        <v>34.301307245756036</v>
      </c>
      <c r="L132" s="443"/>
      <c r="M132" s="217">
        <f t="shared" si="319"/>
        <v>0.45330957820537332</v>
      </c>
      <c r="N132" s="172">
        <f t="shared" si="426"/>
        <v>212.72780107906019</v>
      </c>
      <c r="O132" s="172">
        <f t="shared" si="284"/>
        <v>33</v>
      </c>
      <c r="P132" s="217">
        <f t="shared" si="320"/>
        <v>14.18185340527068</v>
      </c>
      <c r="Q132" s="217">
        <f t="shared" si="321"/>
        <v>15</v>
      </c>
      <c r="R132" s="217"/>
      <c r="S132" s="172">
        <f t="shared" si="322"/>
        <v>194.39056097069849</v>
      </c>
      <c r="T132" s="172">
        <f t="shared" si="323"/>
        <v>15</v>
      </c>
      <c r="U132" s="217">
        <f t="shared" si="324"/>
        <v>8.0484307472519276</v>
      </c>
      <c r="V132" s="217">
        <f t="shared" si="325"/>
        <v>5.1500980190707546</v>
      </c>
      <c r="W132" s="217">
        <f t="shared" si="326"/>
        <v>6.2117909628992649</v>
      </c>
      <c r="X132" s="197">
        <f t="shared" si="327"/>
        <v>70.83708316481389</v>
      </c>
      <c r="Y132" s="443">
        <f t="shared" si="328"/>
        <v>86.491057089324428</v>
      </c>
      <c r="AA132" s="217">
        <f t="shared" si="329"/>
        <v>10</v>
      </c>
      <c r="AB132" s="173">
        <f t="shared" si="330"/>
        <v>7.7180150491078416</v>
      </c>
      <c r="AC132" s="173">
        <f t="shared" si="331"/>
        <v>2.7336083695046867</v>
      </c>
      <c r="AD132" s="173"/>
      <c r="AE132" s="173">
        <f t="shared" si="332"/>
        <v>7.7180150491078416</v>
      </c>
      <c r="AF132" s="545">
        <f t="shared" si="333"/>
        <v>57.009476815008476</v>
      </c>
      <c r="AG132" s="528">
        <f t="shared" si="334"/>
        <v>2.7336083695046871</v>
      </c>
      <c r="AI132" s="173">
        <f t="shared" si="335"/>
        <v>4.0358917164791821</v>
      </c>
      <c r="AJ132" s="173">
        <f t="shared" si="336"/>
        <v>10</v>
      </c>
      <c r="AK132" s="173">
        <f t="shared" si="337"/>
        <v>1.0325768438942906</v>
      </c>
      <c r="AM132" s="545">
        <f t="shared" si="338"/>
        <v>2200</v>
      </c>
      <c r="AN132" s="460">
        <f t="shared" si="339"/>
        <v>57.009476815008476</v>
      </c>
      <c r="AP132" s="460">
        <f t="shared" si="340"/>
        <v>2200</v>
      </c>
      <c r="AQ132" s="460">
        <f t="shared" si="341"/>
        <v>57.009476815008476</v>
      </c>
      <c r="AS132" s="5">
        <f t="shared" si="285"/>
        <v>17.54094329342691</v>
      </c>
      <c r="AT132" s="5">
        <f t="shared" si="342"/>
        <v>6.3988846780215072</v>
      </c>
      <c r="AU132" s="5">
        <f t="shared" si="343"/>
        <v>11.142058615405404</v>
      </c>
      <c r="AV132" s="5"/>
      <c r="AW132" s="173">
        <f t="shared" si="344"/>
        <v>0.36479706769358017</v>
      </c>
      <c r="AX132" s="173">
        <f t="shared" si="214"/>
        <v>34.205686089005084</v>
      </c>
      <c r="AY132" s="173">
        <f t="shared" si="215"/>
        <v>3.1760146615320997</v>
      </c>
      <c r="AZ132" s="173">
        <f t="shared" si="288"/>
        <v>10.770002576910136</v>
      </c>
      <c r="BA132" s="460">
        <f t="shared" si="433"/>
        <v>93.850308610982125</v>
      </c>
      <c r="BB132" s="5">
        <f t="shared" si="434"/>
        <v>6.7608985320093682</v>
      </c>
      <c r="BD132" s="173">
        <f t="shared" si="289"/>
        <v>3.4871051398620994</v>
      </c>
      <c r="BE132" s="173">
        <f t="shared" si="218"/>
        <v>4.6014596680706292</v>
      </c>
      <c r="BG132" s="528">
        <f t="shared" si="347"/>
        <v>0.24319804512905344</v>
      </c>
      <c r="BH132" s="528">
        <f t="shared" si="348"/>
        <v>0.36665617127838956</v>
      </c>
      <c r="BI132" s="528">
        <f t="shared" si="349"/>
        <v>2.672785009432398E-2</v>
      </c>
      <c r="BJ132" s="528">
        <f t="shared" si="350"/>
        <v>6.7076191917720476E-3</v>
      </c>
      <c r="BK132">
        <f t="shared" si="351"/>
        <v>8.4389706514755389E-3</v>
      </c>
      <c r="BL132" s="460">
        <f t="shared" si="427"/>
        <v>35.166820745799519</v>
      </c>
      <c r="BM132" s="528">
        <f t="shared" si="352"/>
        <v>0.72406454907700746</v>
      </c>
      <c r="BN132" s="460">
        <f t="shared" si="353"/>
        <v>724.06454907700743</v>
      </c>
      <c r="BO132" s="528">
        <f t="shared" si="354"/>
        <v>1.54</v>
      </c>
      <c r="BR132" s="460">
        <f t="shared" si="355"/>
        <v>1540</v>
      </c>
      <c r="BS132" s="528">
        <f t="shared" si="356"/>
        <v>0.36479706769358011</v>
      </c>
      <c r="BT132" s="528">
        <f t="shared" si="357"/>
        <v>0.63520293230641989</v>
      </c>
      <c r="BU132" s="528">
        <f t="shared" si="358"/>
        <v>0.38800528659190409</v>
      </c>
      <c r="BV132" s="528"/>
      <c r="BW132" s="528">
        <f t="shared" si="359"/>
        <v>5.7009476815008484E-3</v>
      </c>
      <c r="BX132" s="460">
        <f t="shared" si="360"/>
        <v>1393.706234273405</v>
      </c>
      <c r="BY132" s="173">
        <f t="shared" si="361"/>
        <v>3.5854348906184201</v>
      </c>
      <c r="BZ132" s="5">
        <f t="shared" si="362"/>
        <v>33</v>
      </c>
      <c r="CA132" s="173">
        <f t="shared" si="363"/>
        <v>0.90199829791997821</v>
      </c>
      <c r="CB132" s="5">
        <f t="shared" si="364"/>
        <v>90.199829791997814</v>
      </c>
      <c r="CE132" s="562">
        <f t="shared" si="365"/>
        <v>-50</v>
      </c>
      <c r="CF132">
        <f t="shared" si="366"/>
        <v>-50</v>
      </c>
      <c r="CG132" s="173">
        <f t="shared" si="367"/>
        <v>0.44582806850473949</v>
      </c>
      <c r="CI132" s="170">
        <v>22</v>
      </c>
      <c r="CJ132" s="217">
        <f t="shared" si="428"/>
        <v>2.2000000000000002</v>
      </c>
      <c r="CK132" s="217"/>
      <c r="CL132" s="217">
        <f t="shared" si="368"/>
        <v>33</v>
      </c>
      <c r="CM132" s="541">
        <f t="shared" si="369"/>
        <v>19</v>
      </c>
      <c r="CN132" s="443">
        <f t="shared" si="370"/>
        <v>15.4</v>
      </c>
      <c r="CO132" s="443">
        <f t="shared" si="371"/>
        <v>34.4</v>
      </c>
      <c r="CP132" s="443"/>
      <c r="CQ132" s="217">
        <f t="shared" si="372"/>
        <v>0.44767441860465118</v>
      </c>
      <c r="CR132" s="172">
        <f t="shared" si="429"/>
        <v>212.84736191860466</v>
      </c>
      <c r="CS132" s="172">
        <f t="shared" si="373"/>
        <v>33</v>
      </c>
      <c r="CT132" s="217">
        <f t="shared" si="374"/>
        <v>14.189824127906977</v>
      </c>
      <c r="CU132" s="217">
        <f t="shared" si="375"/>
        <v>15</v>
      </c>
      <c r="CV132" s="217"/>
      <c r="CW132" s="172">
        <f t="shared" si="376"/>
        <v>196.94760163806308</v>
      </c>
      <c r="CX132" s="172">
        <f t="shared" si="377"/>
        <v>15</v>
      </c>
      <c r="CY132" s="217">
        <f t="shared" si="378"/>
        <v>7.7593984962406015</v>
      </c>
      <c r="CZ132" s="217">
        <f t="shared" si="379"/>
        <v>4.9006727344677481</v>
      </c>
      <c r="DA132" s="217">
        <f t="shared" si="380"/>
        <v>6.0462845425251448</v>
      </c>
      <c r="DB132" s="197">
        <f t="shared" si="381"/>
        <v>70.881782945736433</v>
      </c>
      <c r="DC132" s="443">
        <f t="shared" si="382"/>
        <v>91.349584610299843</v>
      </c>
      <c r="DE132" s="217">
        <f t="shared" si="383"/>
        <v>10.000000000000002</v>
      </c>
      <c r="DF132" s="173">
        <f t="shared" si="384"/>
        <v>7.792207792207793</v>
      </c>
      <c r="DG132" s="173">
        <f t="shared" si="385"/>
        <v>2.7616279069767451</v>
      </c>
      <c r="DH132" s="173"/>
      <c r="DI132" s="173">
        <f t="shared" si="386"/>
        <v>7.7922077922077913</v>
      </c>
      <c r="DJ132" s="545">
        <f t="shared" si="387"/>
        <v>56.466666666666669</v>
      </c>
      <c r="DK132" s="528">
        <f t="shared" si="388"/>
        <v>2.7616279069767442</v>
      </c>
      <c r="DM132" s="173">
        <f t="shared" si="389"/>
        <v>4.0166320883712183</v>
      </c>
      <c r="DN132" s="173">
        <f t="shared" si="390"/>
        <v>10</v>
      </c>
      <c r="DO132" s="173">
        <f t="shared" si="391"/>
        <v>1.0322666666666667</v>
      </c>
      <c r="DQ132" s="545">
        <f t="shared" si="392"/>
        <v>2200</v>
      </c>
      <c r="DR132" s="460">
        <f t="shared" si="393"/>
        <v>56.466666666666669</v>
      </c>
      <c r="DT132">
        <f t="shared" si="430"/>
        <v>2200</v>
      </c>
      <c r="DU132">
        <f t="shared" si="431"/>
        <v>56.466666666666669</v>
      </c>
      <c r="DW132" s="5">
        <f t="shared" si="394"/>
        <v>17.709563164108616</v>
      </c>
      <c r="DX132" s="5">
        <f t="shared" si="395"/>
        <v>6.3157894736842106</v>
      </c>
      <c r="DY132" s="5">
        <f t="shared" si="396"/>
        <v>11.393773690424405</v>
      </c>
      <c r="DZ132" s="5"/>
      <c r="EA132" s="173">
        <f t="shared" si="397"/>
        <v>0.35663157894736847</v>
      </c>
      <c r="EB132" s="173">
        <f t="shared" si="398"/>
        <v>33.88000000000001</v>
      </c>
      <c r="EC132" s="173">
        <f t="shared" si="399"/>
        <v>3.2168421052631579</v>
      </c>
      <c r="ED132" s="173">
        <f t="shared" si="400"/>
        <v>10.532068062827229</v>
      </c>
      <c r="EE132" s="460">
        <f t="shared" si="401"/>
        <v>92.631578947368425</v>
      </c>
      <c r="EF132" s="5">
        <f t="shared" si="402"/>
        <v>6.8238572011616219</v>
      </c>
      <c r="EH132" s="173">
        <f t="shared" si="403"/>
        <v>3.4478572038652668</v>
      </c>
      <c r="EI132" s="173">
        <f t="shared" si="404"/>
        <v>4.6309409448931351</v>
      </c>
      <c r="EK132" s="528">
        <f t="shared" si="405"/>
        <v>0.2377543859649123</v>
      </c>
      <c r="EL132" s="528">
        <f t="shared" si="406"/>
        <v>0.38849066666666665</v>
      </c>
      <c r="EM132" s="528">
        <f t="shared" si="407"/>
        <v>7.0583333333333331E-3</v>
      </c>
      <c r="EN132" s="528">
        <f t="shared" si="408"/>
        <v>6.682039466666667E-3</v>
      </c>
      <c r="EO132">
        <f t="shared" si="409"/>
        <v>8.5500000000000003E-3</v>
      </c>
      <c r="EP132" s="460">
        <f t="shared" si="410"/>
        <v>15.608333333333334</v>
      </c>
      <c r="EQ132" s="460"/>
      <c r="ER132" s="460">
        <f t="shared" si="432"/>
        <v>648.5354254315788</v>
      </c>
      <c r="ES132" s="528">
        <f t="shared" si="411"/>
        <v>1.54</v>
      </c>
      <c r="EV132" s="460">
        <f t="shared" si="412"/>
        <v>1540</v>
      </c>
      <c r="EW132" s="528">
        <f t="shared" si="413"/>
        <v>0.35663157894736847</v>
      </c>
      <c r="EX132" s="528">
        <f t="shared" si="414"/>
        <v>0.64336842105263159</v>
      </c>
      <c r="EY132" s="528">
        <f t="shared" si="415"/>
        <v>0.37883524993144391</v>
      </c>
      <c r="EZ132" s="528"/>
      <c r="FA132" s="528">
        <f t="shared" si="416"/>
        <v>5.646666666666667E-3</v>
      </c>
      <c r="FB132" s="460">
        <f t="shared" si="417"/>
        <v>1384.4819165981105</v>
      </c>
      <c r="FC132" s="173">
        <f t="shared" si="418"/>
        <v>3.5730173420296896</v>
      </c>
      <c r="FD132" s="5">
        <f t="shared" si="419"/>
        <v>33</v>
      </c>
      <c r="FE132" s="173">
        <f t="shared" si="420"/>
        <v>0.90230455123199316</v>
      </c>
      <c r="FF132" s="5">
        <f t="shared" si="421"/>
        <v>90.23045512319932</v>
      </c>
      <c r="FI132" s="562">
        <f t="shared" si="422"/>
        <v>-50</v>
      </c>
      <c r="FJ132">
        <f t="shared" si="423"/>
        <v>-50</v>
      </c>
      <c r="FL132">
        <f t="shared" si="424"/>
        <v>0.44000000000000006</v>
      </c>
    </row>
    <row r="133" spans="5:168">
      <c r="E133" s="170">
        <v>23</v>
      </c>
      <c r="F133" s="217">
        <f t="shared" si="425"/>
        <v>2.3000000000000003</v>
      </c>
      <c r="G133" s="217"/>
      <c r="H133" s="217">
        <f t="shared" si="315"/>
        <v>34.500000000000007</v>
      </c>
      <c r="I133" s="541">
        <f t="shared" si="316"/>
        <v>18.753268114390085</v>
      </c>
      <c r="J133" s="172">
        <f t="shared" si="317"/>
        <v>15.548039131365949</v>
      </c>
      <c r="K133" s="172">
        <f t="shared" si="318"/>
        <v>34.301307245756036</v>
      </c>
      <c r="L133" s="443"/>
      <c r="M133" s="217">
        <f t="shared" si="319"/>
        <v>0.45330957820537332</v>
      </c>
      <c r="N133" s="172">
        <f t="shared" si="426"/>
        <v>212.72780107906019</v>
      </c>
      <c r="O133" s="172">
        <f t="shared" si="284"/>
        <v>34.500000000000007</v>
      </c>
      <c r="P133" s="217">
        <f t="shared" si="320"/>
        <v>14.18185340527068</v>
      </c>
      <c r="Q133" s="217">
        <f t="shared" si="321"/>
        <v>15</v>
      </c>
      <c r="R133" s="217"/>
      <c r="S133" s="172">
        <f t="shared" si="322"/>
        <v>185.12703511549466</v>
      </c>
      <c r="T133" s="172">
        <f t="shared" si="323"/>
        <v>15</v>
      </c>
      <c r="U133" s="217">
        <f t="shared" si="324"/>
        <v>8.4142685084906539</v>
      </c>
      <c r="V133" s="217">
        <f t="shared" si="325"/>
        <v>5.3841933835739724</v>
      </c>
      <c r="W133" s="217">
        <f t="shared" si="326"/>
        <v>6.4941450975765056</v>
      </c>
      <c r="X133" s="197">
        <f t="shared" si="327"/>
        <v>70.83708316481389</v>
      </c>
      <c r="Y133" s="443">
        <f t="shared" si="328"/>
        <v>82.792844525810025</v>
      </c>
      <c r="AA133" s="217">
        <f t="shared" si="329"/>
        <v>10</v>
      </c>
      <c r="AB133" s="173">
        <f t="shared" si="330"/>
        <v>7.7180150491078416</v>
      </c>
      <c r="AC133" s="173">
        <f t="shared" si="331"/>
        <v>2.7336083695046867</v>
      </c>
      <c r="AD133" s="173"/>
      <c r="AE133" s="173">
        <f t="shared" si="332"/>
        <v>7.7180150491078416</v>
      </c>
      <c r="AF133" s="545">
        <f t="shared" si="333"/>
        <v>59.600816670236135</v>
      </c>
      <c r="AG133" s="528">
        <f t="shared" si="334"/>
        <v>2.7336083695046871</v>
      </c>
      <c r="AI133" s="173">
        <f t="shared" si="335"/>
        <v>4.1265972377886131</v>
      </c>
      <c r="AJ133" s="173">
        <f t="shared" si="336"/>
        <v>10</v>
      </c>
      <c r="AK133" s="173">
        <f t="shared" si="337"/>
        <v>1.0340576095258491</v>
      </c>
      <c r="AM133" s="545">
        <f t="shared" si="338"/>
        <v>2300.0000000000005</v>
      </c>
      <c r="AN133" s="460">
        <f t="shared" si="339"/>
        <v>59.600816670236135</v>
      </c>
      <c r="AP133" s="460">
        <f t="shared" si="340"/>
        <v>2300.0000000000005</v>
      </c>
      <c r="AQ133" s="460">
        <f t="shared" si="341"/>
        <v>59.600816670236135</v>
      </c>
      <c r="AS133" s="5">
        <f t="shared" si="285"/>
        <v>16.77829358501705</v>
      </c>
      <c r="AT133" s="5">
        <f t="shared" si="342"/>
        <v>6.3988846780215072</v>
      </c>
      <c r="AU133" s="5">
        <f t="shared" si="343"/>
        <v>10.379408906995543</v>
      </c>
      <c r="AV133" s="5"/>
      <c r="AW133" s="173">
        <f t="shared" si="344"/>
        <v>0.38137875258874276</v>
      </c>
      <c r="AX133" s="173">
        <f t="shared" ref="AX133:AX196" si="435">0.5*L*AJ133^2*AN133*1000</f>
        <v>35.76049000214168</v>
      </c>
      <c r="AY133" s="173">
        <f t="shared" ref="AY133:AY196" si="436">AJ133*Nps/2*(1-AW133)</f>
        <v>3.0931062370562863</v>
      </c>
      <c r="AZ133" s="173">
        <f t="shared" si="288"/>
        <v>11.561352007157371</v>
      </c>
      <c r="BA133" s="460">
        <f t="shared" si="433"/>
        <v>98.116231729663113</v>
      </c>
      <c r="BB133" s="5">
        <f t="shared" si="434"/>
        <v>6.5844083375153284</v>
      </c>
      <c r="BD133" s="173">
        <f t="shared" si="289"/>
        <v>3.5654768385577023</v>
      </c>
      <c r="BE133" s="173">
        <f t="shared" ref="BE133:BE196" si="437">AJ133*Nps*SQRT((1-AW133)/3)</f>
        <v>4.5410030001137311</v>
      </c>
      <c r="BG133" s="528">
        <f t="shared" si="347"/>
        <v>0.25425250172582853</v>
      </c>
      <c r="BH133" s="528">
        <f t="shared" si="348"/>
        <v>0.38332236088195271</v>
      </c>
      <c r="BI133" s="528">
        <f t="shared" si="349"/>
        <v>2.7942752371338711E-2</v>
      </c>
      <c r="BJ133" s="528">
        <f t="shared" si="350"/>
        <v>7.0125109732162311E-3</v>
      </c>
      <c r="BK133">
        <f t="shared" si="351"/>
        <v>8.4389706514755389E-3</v>
      </c>
      <c r="BL133" s="460">
        <f t="shared" si="427"/>
        <v>36.381723022814249</v>
      </c>
      <c r="BM133" s="528">
        <f t="shared" si="352"/>
        <v>0.75909263449029929</v>
      </c>
      <c r="BN133" s="460">
        <f t="shared" si="353"/>
        <v>759.09263449029925</v>
      </c>
      <c r="BO133" s="528">
        <f t="shared" si="354"/>
        <v>1.61</v>
      </c>
      <c r="BR133" s="460">
        <f t="shared" si="355"/>
        <v>1610</v>
      </c>
      <c r="BS133" s="528">
        <f t="shared" si="356"/>
        <v>0.38137875258874276</v>
      </c>
      <c r="BT133" s="528">
        <f t="shared" si="357"/>
        <v>0.61862124741125724</v>
      </c>
      <c r="BU133" s="528">
        <f t="shared" si="358"/>
        <v>0.43361123952117253</v>
      </c>
      <c r="BV133" s="528"/>
      <c r="BW133" s="528">
        <f t="shared" si="359"/>
        <v>5.9600816670236142E-3</v>
      </c>
      <c r="BX133" s="460">
        <f t="shared" si="360"/>
        <v>1439.5713211881962</v>
      </c>
      <c r="BY133" s="173">
        <f t="shared" si="361"/>
        <v>3.7305404177920081</v>
      </c>
      <c r="BZ133" s="5">
        <f t="shared" si="362"/>
        <v>34.500000000000007</v>
      </c>
      <c r="CA133" s="173">
        <f t="shared" si="363"/>
        <v>0.90241988794759853</v>
      </c>
      <c r="CB133" s="5">
        <f t="shared" si="364"/>
        <v>90.241988794759848</v>
      </c>
      <c r="CE133" s="562">
        <f t="shared" si="365"/>
        <v>-50</v>
      </c>
      <c r="CF133">
        <f t="shared" si="366"/>
        <v>-50</v>
      </c>
      <c r="CG133" s="173">
        <f t="shared" si="367"/>
        <v>0.46609298070950039</v>
      </c>
      <c r="CI133" s="170">
        <v>23</v>
      </c>
      <c r="CJ133" s="217">
        <f t="shared" si="428"/>
        <v>2.3000000000000003</v>
      </c>
      <c r="CK133" s="217"/>
      <c r="CL133" s="217">
        <f t="shared" si="368"/>
        <v>34.500000000000007</v>
      </c>
      <c r="CM133" s="541">
        <f t="shared" si="369"/>
        <v>19</v>
      </c>
      <c r="CN133" s="443">
        <f t="shared" si="370"/>
        <v>15.4</v>
      </c>
      <c r="CO133" s="443">
        <f t="shared" si="371"/>
        <v>34.4</v>
      </c>
      <c r="CP133" s="443"/>
      <c r="CQ133" s="217">
        <f t="shared" si="372"/>
        <v>0.44767441860465118</v>
      </c>
      <c r="CR133" s="172">
        <f t="shared" si="429"/>
        <v>212.84736191860466</v>
      </c>
      <c r="CS133" s="172">
        <f t="shared" si="373"/>
        <v>34.500000000000007</v>
      </c>
      <c r="CT133" s="217">
        <f t="shared" si="374"/>
        <v>14.189824127906977</v>
      </c>
      <c r="CU133" s="217">
        <f t="shared" si="375"/>
        <v>15</v>
      </c>
      <c r="CV133" s="217"/>
      <c r="CW133" s="172">
        <f t="shared" si="376"/>
        <v>187.56217279794811</v>
      </c>
      <c r="CX133" s="172">
        <f t="shared" si="377"/>
        <v>15</v>
      </c>
      <c r="CY133" s="217">
        <f t="shared" si="378"/>
        <v>8.1120984278879025</v>
      </c>
      <c r="CZ133" s="217">
        <f t="shared" si="379"/>
        <v>5.1234305860344644</v>
      </c>
      <c r="DA133" s="217">
        <f t="shared" si="380"/>
        <v>6.3211156580944685</v>
      </c>
      <c r="DB133" s="197">
        <f t="shared" si="381"/>
        <v>70.881782945736433</v>
      </c>
      <c r="DC133" s="443">
        <f t="shared" si="382"/>
        <v>87.377863540286825</v>
      </c>
      <c r="DE133" s="217">
        <f t="shared" si="383"/>
        <v>10.000000000000002</v>
      </c>
      <c r="DF133" s="173">
        <f t="shared" si="384"/>
        <v>7.792207792207793</v>
      </c>
      <c r="DG133" s="173">
        <f t="shared" si="385"/>
        <v>2.7616279069767451</v>
      </c>
      <c r="DH133" s="173"/>
      <c r="DI133" s="173">
        <f t="shared" si="386"/>
        <v>7.7922077922077913</v>
      </c>
      <c r="DJ133" s="545">
        <f t="shared" si="387"/>
        <v>59.033333333333346</v>
      </c>
      <c r="DK133" s="528">
        <f t="shared" si="388"/>
        <v>2.7616279069767442</v>
      </c>
      <c r="DM133" s="173">
        <f t="shared" si="389"/>
        <v>4.1069047550030513</v>
      </c>
      <c r="DN133" s="173">
        <f t="shared" si="390"/>
        <v>10</v>
      </c>
      <c r="DO133" s="173">
        <f t="shared" si="391"/>
        <v>1.0337333333333334</v>
      </c>
      <c r="DQ133" s="545">
        <f t="shared" si="392"/>
        <v>2300.0000000000005</v>
      </c>
      <c r="DR133" s="460">
        <f t="shared" si="393"/>
        <v>59.033333333333346</v>
      </c>
      <c r="DT133">
        <f t="shared" si="430"/>
        <v>2300.0000000000005</v>
      </c>
      <c r="DU133">
        <f t="shared" si="431"/>
        <v>59.033333333333346</v>
      </c>
      <c r="DW133" s="5">
        <f t="shared" si="394"/>
        <v>16.939582156973458</v>
      </c>
      <c r="DX133" s="5">
        <f t="shared" si="395"/>
        <v>6.3157894736842106</v>
      </c>
      <c r="DY133" s="5">
        <f t="shared" si="396"/>
        <v>10.623792683289247</v>
      </c>
      <c r="DZ133" s="5"/>
      <c r="EA133" s="173">
        <f t="shared" si="397"/>
        <v>0.37284210526315797</v>
      </c>
      <c r="EB133" s="173">
        <f t="shared" si="398"/>
        <v>35.420000000000016</v>
      </c>
      <c r="EC133" s="173">
        <f t="shared" si="399"/>
        <v>3.13578947368421</v>
      </c>
      <c r="ED133" s="173">
        <f t="shared" si="400"/>
        <v>11.295401141322598</v>
      </c>
      <c r="EE133" s="460">
        <f t="shared" si="401"/>
        <v>96.842105263157904</v>
      </c>
      <c r="EF133" s="5">
        <f t="shared" si="402"/>
        <v>6.651921008593086</v>
      </c>
      <c r="EH133" s="173">
        <f t="shared" si="403"/>
        <v>3.5253468163343307</v>
      </c>
      <c r="EI133" s="173">
        <f t="shared" si="404"/>
        <v>4.5722273738184471</v>
      </c>
      <c r="EK133" s="528">
        <f t="shared" si="405"/>
        <v>0.24856140350877201</v>
      </c>
      <c r="EL133" s="528">
        <f t="shared" si="406"/>
        <v>0.40614933333333342</v>
      </c>
      <c r="EM133" s="528">
        <f t="shared" si="407"/>
        <v>7.3791666666666676E-3</v>
      </c>
      <c r="EN133" s="528">
        <f t="shared" si="408"/>
        <v>6.9857685333333348E-3</v>
      </c>
      <c r="EO133">
        <f t="shared" si="409"/>
        <v>8.5500000000000003E-3</v>
      </c>
      <c r="EP133" s="460">
        <f t="shared" si="410"/>
        <v>15.929166666666667</v>
      </c>
      <c r="EQ133" s="460"/>
      <c r="ER133" s="460">
        <f t="shared" si="432"/>
        <v>677.62567204210541</v>
      </c>
      <c r="ES133" s="528">
        <f t="shared" si="411"/>
        <v>1.61</v>
      </c>
      <c r="EV133" s="460">
        <f t="shared" si="412"/>
        <v>1610</v>
      </c>
      <c r="EW133" s="528">
        <f t="shared" si="413"/>
        <v>0.37284210526315797</v>
      </c>
      <c r="EX133" s="528">
        <f t="shared" si="414"/>
        <v>0.62715789473684203</v>
      </c>
      <c r="EY133" s="528">
        <f t="shared" si="415"/>
        <v>0.42336336120559115</v>
      </c>
      <c r="EZ133" s="528"/>
      <c r="FA133" s="528">
        <f t="shared" si="416"/>
        <v>5.9033333333333351E-3</v>
      </c>
      <c r="FB133" s="460">
        <f t="shared" si="417"/>
        <v>1429.2666945389244</v>
      </c>
      <c r="FC133" s="173">
        <f t="shared" si="418"/>
        <v>3.7168923665810301</v>
      </c>
      <c r="FD133" s="5">
        <f t="shared" si="419"/>
        <v>34.500000000000007</v>
      </c>
      <c r="FE133" s="173">
        <f t="shared" si="420"/>
        <v>0.90274216095520932</v>
      </c>
      <c r="FF133" s="5">
        <f t="shared" si="421"/>
        <v>90.274216095520927</v>
      </c>
      <c r="FI133" s="562">
        <f t="shared" si="422"/>
        <v>-50</v>
      </c>
      <c r="FJ133">
        <f t="shared" si="423"/>
        <v>-50</v>
      </c>
      <c r="FL133">
        <f t="shared" si="424"/>
        <v>0.46000000000000008</v>
      </c>
    </row>
    <row r="134" spans="5:168">
      <c r="E134" s="170">
        <v>24</v>
      </c>
      <c r="F134" s="217">
        <f t="shared" si="425"/>
        <v>2.4</v>
      </c>
      <c r="G134" s="217"/>
      <c r="H134" s="217">
        <f t="shared" si="315"/>
        <v>36</v>
      </c>
      <c r="I134" s="541">
        <f t="shared" si="316"/>
        <v>18.753268114390085</v>
      </c>
      <c r="J134" s="172">
        <f t="shared" si="317"/>
        <v>15.548039131365949</v>
      </c>
      <c r="K134" s="172">
        <f t="shared" si="318"/>
        <v>34.301307245756036</v>
      </c>
      <c r="L134" s="443"/>
      <c r="M134" s="217">
        <f t="shared" si="319"/>
        <v>0.45330957820537332</v>
      </c>
      <c r="N134" s="172">
        <f t="shared" si="426"/>
        <v>212.72780107906019</v>
      </c>
      <c r="O134" s="172">
        <f t="shared" ref="O134:O197" si="438">T134*F134</f>
        <v>36</v>
      </c>
      <c r="P134" s="217">
        <f t="shared" si="320"/>
        <v>14.18185340527068</v>
      </c>
      <c r="Q134" s="217">
        <f t="shared" si="321"/>
        <v>15</v>
      </c>
      <c r="R134" s="217"/>
      <c r="S134" s="172">
        <f t="shared" si="322"/>
        <v>176.63564647741464</v>
      </c>
      <c r="T134" s="172">
        <f t="shared" si="323"/>
        <v>15</v>
      </c>
      <c r="U134" s="217">
        <f t="shared" si="324"/>
        <v>8.7801062697293766</v>
      </c>
      <c r="V134" s="217">
        <f t="shared" si="325"/>
        <v>5.6182887480771875</v>
      </c>
      <c r="W134" s="217">
        <f t="shared" si="326"/>
        <v>6.7764992322537436</v>
      </c>
      <c r="X134" s="197">
        <f t="shared" si="327"/>
        <v>70.83708316481389</v>
      </c>
      <c r="Y134" s="443">
        <f t="shared" si="328"/>
        <v>79.397922502679933</v>
      </c>
      <c r="AA134" s="217">
        <f t="shared" si="329"/>
        <v>10</v>
      </c>
      <c r="AB134" s="173">
        <f t="shared" si="330"/>
        <v>7.7180150491078416</v>
      </c>
      <c r="AC134" s="173">
        <f t="shared" si="331"/>
        <v>2.7336083695046867</v>
      </c>
      <c r="AD134" s="173"/>
      <c r="AE134" s="173">
        <f t="shared" si="332"/>
        <v>7.7180150491078416</v>
      </c>
      <c r="AF134" s="545">
        <f t="shared" si="333"/>
        <v>62.19215652546378</v>
      </c>
      <c r="AG134" s="528">
        <f t="shared" si="334"/>
        <v>2.7336083695046871</v>
      </c>
      <c r="AI134" s="173">
        <f t="shared" si="335"/>
        <v>4.2153514181742828</v>
      </c>
      <c r="AJ134" s="173">
        <f t="shared" si="336"/>
        <v>10</v>
      </c>
      <c r="AK134" s="173">
        <f t="shared" si="337"/>
        <v>1.0355383751574079</v>
      </c>
      <c r="AM134" s="545">
        <f t="shared" si="338"/>
        <v>2400</v>
      </c>
      <c r="AN134" s="460">
        <f t="shared" si="339"/>
        <v>62.19215652546378</v>
      </c>
      <c r="AP134" s="460">
        <f t="shared" si="340"/>
        <v>2400</v>
      </c>
      <c r="AQ134" s="460">
        <f t="shared" si="341"/>
        <v>62.19215652546378</v>
      </c>
      <c r="AS134" s="5">
        <f t="shared" ref="AS134:AS197" si="439">1/AN134*1000</f>
        <v>16.079198018974672</v>
      </c>
      <c r="AT134" s="5">
        <f t="shared" si="342"/>
        <v>6.3988846780215072</v>
      </c>
      <c r="AU134" s="5">
        <f t="shared" si="343"/>
        <v>9.6803133409531661</v>
      </c>
      <c r="AV134" s="5"/>
      <c r="AW134" s="173">
        <f t="shared" si="344"/>
        <v>0.39796043748390547</v>
      </c>
      <c r="AX134" s="173">
        <f t="shared" si="435"/>
        <v>37.315293915278268</v>
      </c>
      <c r="AY134" s="173">
        <f t="shared" si="436"/>
        <v>3.0101978125804729</v>
      </c>
      <c r="AZ134" s="173">
        <f t="shared" ref="AZ134:AZ197" si="440">AX134/AY134</f>
        <v>12.396292947701657</v>
      </c>
      <c r="BA134" s="460">
        <f t="shared" si="433"/>
        <v>102.3821548483441</v>
      </c>
      <c r="BB134" s="5">
        <f t="shared" si="434"/>
        <v>6.4079181430212815</v>
      </c>
      <c r="BD134" s="173">
        <f t="shared" ref="BD134:BD197" si="441">AJ134*SQRT(AW134/3)</f>
        <v>3.6421625329095604</v>
      </c>
      <c r="BE134" s="173">
        <f t="shared" si="437"/>
        <v>4.4797305072072309</v>
      </c>
      <c r="BG134" s="528">
        <f t="shared" si="347"/>
        <v>0.2653069583226037</v>
      </c>
      <c r="BH134" s="528">
        <f t="shared" si="348"/>
        <v>0.39998855048551579</v>
      </c>
      <c r="BI134" s="528">
        <f t="shared" si="349"/>
        <v>2.9157654648353428E-2</v>
      </c>
      <c r="BJ134" s="528">
        <f t="shared" si="350"/>
        <v>7.3174027546604138E-3</v>
      </c>
      <c r="BK134">
        <f t="shared" si="351"/>
        <v>8.4389706514755389E-3</v>
      </c>
      <c r="BL134" s="460">
        <f t="shared" si="427"/>
        <v>37.596625299828972</v>
      </c>
      <c r="BM134" s="528">
        <f t="shared" si="352"/>
        <v>0.79431710465291272</v>
      </c>
      <c r="BN134" s="460">
        <f t="shared" si="353"/>
        <v>794.31710465291269</v>
      </c>
      <c r="BO134" s="528">
        <f t="shared" si="354"/>
        <v>1.68</v>
      </c>
      <c r="BR134" s="460">
        <f t="shared" si="355"/>
        <v>1680</v>
      </c>
      <c r="BS134" s="528">
        <f t="shared" si="356"/>
        <v>0.39796043748390553</v>
      </c>
      <c r="BT134" s="528">
        <f t="shared" si="357"/>
        <v>0.60203956251609458</v>
      </c>
      <c r="BU134" s="528">
        <f t="shared" si="358"/>
        <v>0.48229087505060703</v>
      </c>
      <c r="BV134" s="528"/>
      <c r="BW134" s="528">
        <f t="shared" si="359"/>
        <v>6.2192156525463791E-3</v>
      </c>
      <c r="BX134" s="460">
        <f t="shared" si="360"/>
        <v>1488.5100907031535</v>
      </c>
      <c r="BY134" s="173">
        <f t="shared" si="361"/>
        <v>3.8787196275657623</v>
      </c>
      <c r="BZ134" s="5">
        <f t="shared" si="362"/>
        <v>36</v>
      </c>
      <c r="CA134" s="173">
        <f t="shared" si="363"/>
        <v>0.90273710731463308</v>
      </c>
      <c r="CB134" s="5">
        <f t="shared" si="364"/>
        <v>90.273710731463311</v>
      </c>
      <c r="CE134" s="562">
        <f t="shared" si="365"/>
        <v>-50</v>
      </c>
      <c r="CF134">
        <f t="shared" si="366"/>
        <v>-50</v>
      </c>
      <c r="CG134" s="173">
        <f t="shared" si="367"/>
        <v>0.48635789291426124</v>
      </c>
      <c r="CI134" s="170">
        <v>24</v>
      </c>
      <c r="CJ134" s="217">
        <f t="shared" si="428"/>
        <v>2.4</v>
      </c>
      <c r="CK134" s="217"/>
      <c r="CL134" s="217">
        <f t="shared" si="368"/>
        <v>36</v>
      </c>
      <c r="CM134" s="541">
        <f t="shared" si="369"/>
        <v>19</v>
      </c>
      <c r="CN134" s="443">
        <f t="shared" si="370"/>
        <v>15.4</v>
      </c>
      <c r="CO134" s="443">
        <f t="shared" si="371"/>
        <v>34.4</v>
      </c>
      <c r="CP134" s="443"/>
      <c r="CQ134" s="217">
        <f t="shared" si="372"/>
        <v>0.44767441860465118</v>
      </c>
      <c r="CR134" s="172">
        <f t="shared" si="429"/>
        <v>212.84736191860466</v>
      </c>
      <c r="CS134" s="172">
        <f t="shared" si="373"/>
        <v>36</v>
      </c>
      <c r="CT134" s="217">
        <f t="shared" si="374"/>
        <v>14.189824127906977</v>
      </c>
      <c r="CU134" s="217">
        <f t="shared" si="375"/>
        <v>15</v>
      </c>
      <c r="CV134" s="217"/>
      <c r="CW134" s="172">
        <f t="shared" si="376"/>
        <v>178.95903977487208</v>
      </c>
      <c r="CX134" s="172">
        <f t="shared" si="377"/>
        <v>15</v>
      </c>
      <c r="CY134" s="217">
        <f t="shared" si="378"/>
        <v>8.4647983595352017</v>
      </c>
      <c r="CZ134" s="217">
        <f t="shared" si="379"/>
        <v>5.3461884376011799</v>
      </c>
      <c r="DA134" s="217">
        <f t="shared" si="380"/>
        <v>6.5959467736637931</v>
      </c>
      <c r="DB134" s="197">
        <f t="shared" si="381"/>
        <v>70.881782945736433</v>
      </c>
      <c r="DC134" s="443">
        <f t="shared" si="382"/>
        <v>83.73711922610822</v>
      </c>
      <c r="DE134" s="217">
        <f t="shared" si="383"/>
        <v>10.000000000000002</v>
      </c>
      <c r="DF134" s="173">
        <f t="shared" si="384"/>
        <v>7.792207792207793</v>
      </c>
      <c r="DG134" s="173">
        <f t="shared" si="385"/>
        <v>2.7616279069767451</v>
      </c>
      <c r="DH134" s="173"/>
      <c r="DI134" s="173">
        <f t="shared" si="386"/>
        <v>7.7922077922077913</v>
      </c>
      <c r="DJ134" s="545">
        <f t="shared" si="387"/>
        <v>61.6</v>
      </c>
      <c r="DK134" s="528">
        <f t="shared" si="388"/>
        <v>2.7616279069767442</v>
      </c>
      <c r="DM134" s="173">
        <f t="shared" si="389"/>
        <v>4.1952353926806065</v>
      </c>
      <c r="DN134" s="173">
        <f t="shared" si="390"/>
        <v>10</v>
      </c>
      <c r="DO134" s="173">
        <f t="shared" si="391"/>
        <v>1.0351999999999999</v>
      </c>
      <c r="DQ134" s="545">
        <f t="shared" si="392"/>
        <v>2400</v>
      </c>
      <c r="DR134" s="460">
        <f t="shared" si="393"/>
        <v>61.6</v>
      </c>
      <c r="DT134">
        <f t="shared" si="430"/>
        <v>2400</v>
      </c>
      <c r="DU134">
        <f t="shared" si="431"/>
        <v>61.6</v>
      </c>
      <c r="DW134" s="5">
        <f t="shared" si="394"/>
        <v>16.233766233766232</v>
      </c>
      <c r="DX134" s="5">
        <f t="shared" si="395"/>
        <v>6.3157894736842106</v>
      </c>
      <c r="DY134" s="5">
        <f t="shared" si="396"/>
        <v>9.9179767600820217</v>
      </c>
      <c r="DZ134" s="5"/>
      <c r="EA134" s="173">
        <f t="shared" si="397"/>
        <v>0.38905263157894743</v>
      </c>
      <c r="EB134" s="173">
        <f t="shared" si="398"/>
        <v>36.960000000000008</v>
      </c>
      <c r="EC134" s="173">
        <f t="shared" si="399"/>
        <v>3.054736842105263</v>
      </c>
      <c r="ED134" s="173">
        <f t="shared" si="400"/>
        <v>12.099241902136461</v>
      </c>
      <c r="EE134" s="460">
        <f t="shared" si="401"/>
        <v>101.05263157894737</v>
      </c>
      <c r="EF134" s="5">
        <f t="shared" si="402"/>
        <v>6.4799848160245492</v>
      </c>
      <c r="EH134" s="173">
        <f t="shared" si="403"/>
        <v>3.6011694007129935</v>
      </c>
      <c r="EI134" s="173">
        <f t="shared" si="404"/>
        <v>4.5127499687775465</v>
      </c>
      <c r="EK134" s="528">
        <f t="shared" si="405"/>
        <v>0.25936842105263158</v>
      </c>
      <c r="EL134" s="528">
        <f t="shared" si="406"/>
        <v>0.42380800000000002</v>
      </c>
      <c r="EM134" s="528">
        <f t="shared" si="407"/>
        <v>7.6999999999999994E-3</v>
      </c>
      <c r="EN134" s="528">
        <f t="shared" si="408"/>
        <v>7.2894976E-3</v>
      </c>
      <c r="EO134">
        <f t="shared" si="409"/>
        <v>8.5500000000000003E-3</v>
      </c>
      <c r="EP134" s="460">
        <f t="shared" si="410"/>
        <v>16.25</v>
      </c>
      <c r="EQ134" s="460"/>
      <c r="ER134" s="460">
        <f t="shared" si="432"/>
        <v>706.71591865263156</v>
      </c>
      <c r="ES134" s="528">
        <f t="shared" si="411"/>
        <v>1.68</v>
      </c>
      <c r="EV134" s="460">
        <f t="shared" si="412"/>
        <v>1680</v>
      </c>
      <c r="EW134" s="528">
        <f t="shared" si="413"/>
        <v>0.38905263157894737</v>
      </c>
      <c r="EX134" s="528">
        <f t="shared" si="414"/>
        <v>0.61094736842105246</v>
      </c>
      <c r="EY134" s="528">
        <f t="shared" si="415"/>
        <v>0.47089251230131174</v>
      </c>
      <c r="EZ134" s="528"/>
      <c r="FA134" s="528">
        <f t="shared" si="416"/>
        <v>6.1600000000000005E-3</v>
      </c>
      <c r="FB134" s="460">
        <f t="shared" si="417"/>
        <v>1477.0525123013115</v>
      </c>
      <c r="FC134" s="173">
        <f t="shared" si="418"/>
        <v>3.8637684309539426</v>
      </c>
      <c r="FD134" s="5">
        <f t="shared" si="419"/>
        <v>36</v>
      </c>
      <c r="FE134" s="173">
        <f t="shared" si="420"/>
        <v>0.90307568543987049</v>
      </c>
      <c r="FF134" s="5">
        <f t="shared" si="421"/>
        <v>90.307568543987045</v>
      </c>
      <c r="FI134" s="562">
        <f t="shared" si="422"/>
        <v>-50</v>
      </c>
      <c r="FJ134">
        <f t="shared" si="423"/>
        <v>-50</v>
      </c>
      <c r="FL134">
        <f t="shared" si="424"/>
        <v>0.48000000000000004</v>
      </c>
    </row>
    <row r="135" spans="5:168">
      <c r="E135" s="170">
        <v>25</v>
      </c>
      <c r="F135" s="217">
        <f t="shared" si="425"/>
        <v>2.5</v>
      </c>
      <c r="G135" s="217"/>
      <c r="H135" s="217">
        <f t="shared" si="315"/>
        <v>37.5</v>
      </c>
      <c r="I135" s="541">
        <f t="shared" si="316"/>
        <v>18.753268114390085</v>
      </c>
      <c r="J135" s="172">
        <f t="shared" si="317"/>
        <v>15.548039131365949</v>
      </c>
      <c r="K135" s="172">
        <f t="shared" si="318"/>
        <v>34.301307245756036</v>
      </c>
      <c r="L135" s="443"/>
      <c r="M135" s="217">
        <f t="shared" si="319"/>
        <v>0.45330957820537332</v>
      </c>
      <c r="N135" s="172">
        <f t="shared" si="426"/>
        <v>212.72780107906019</v>
      </c>
      <c r="O135" s="172">
        <f t="shared" si="438"/>
        <v>37.5</v>
      </c>
      <c r="P135" s="217">
        <f t="shared" si="320"/>
        <v>14.18185340527068</v>
      </c>
      <c r="Q135" s="217">
        <f t="shared" si="321"/>
        <v>15</v>
      </c>
      <c r="R135" s="217"/>
      <c r="S135" s="172">
        <f t="shared" si="322"/>
        <v>168.82374077697287</v>
      </c>
      <c r="T135" s="172">
        <f t="shared" si="323"/>
        <v>15</v>
      </c>
      <c r="U135" s="217">
        <f t="shared" si="324"/>
        <v>9.1459440309680993</v>
      </c>
      <c r="V135" s="217">
        <f t="shared" si="325"/>
        <v>5.8523841125804044</v>
      </c>
      <c r="W135" s="217">
        <f t="shared" si="326"/>
        <v>7.0588533669309825</v>
      </c>
      <c r="X135" s="197">
        <f t="shared" si="327"/>
        <v>70.83708316481389</v>
      </c>
      <c r="Y135" s="443">
        <f t="shared" si="328"/>
        <v>76.270451325641517</v>
      </c>
      <c r="AA135" s="217">
        <f t="shared" si="329"/>
        <v>10</v>
      </c>
      <c r="AB135" s="173">
        <f t="shared" si="330"/>
        <v>7.7180150491078416</v>
      </c>
      <c r="AC135" s="173">
        <f t="shared" si="331"/>
        <v>2.7336083695046867</v>
      </c>
      <c r="AD135" s="173"/>
      <c r="AE135" s="173">
        <f t="shared" si="332"/>
        <v>7.7180150491078416</v>
      </c>
      <c r="AF135" s="545">
        <f t="shared" si="333"/>
        <v>64.783496380691446</v>
      </c>
      <c r="AG135" s="528">
        <f t="shared" si="334"/>
        <v>2.7336083695046871</v>
      </c>
      <c r="AI135" s="173">
        <f t="shared" si="335"/>
        <v>4.3022750254351791</v>
      </c>
      <c r="AJ135" s="173">
        <f t="shared" si="336"/>
        <v>10</v>
      </c>
      <c r="AK135" s="173">
        <f t="shared" si="337"/>
        <v>1.0370191407889666</v>
      </c>
      <c r="AM135" s="545">
        <f t="shared" si="338"/>
        <v>2500</v>
      </c>
      <c r="AN135" s="460">
        <f t="shared" si="339"/>
        <v>64.783496380691446</v>
      </c>
      <c r="AP135" s="460">
        <f t="shared" si="340"/>
        <v>2500</v>
      </c>
      <c r="AQ135" s="460">
        <f t="shared" si="341"/>
        <v>64.783496380691446</v>
      </c>
      <c r="AS135" s="5">
        <f t="shared" si="439"/>
        <v>15.436030098215683</v>
      </c>
      <c r="AT135" s="5">
        <f t="shared" si="342"/>
        <v>6.3988846780215072</v>
      </c>
      <c r="AU135" s="5">
        <f t="shared" si="343"/>
        <v>9.0371454201941752</v>
      </c>
      <c r="AV135" s="5"/>
      <c r="AW135" s="173">
        <f t="shared" si="344"/>
        <v>0.41454212237906829</v>
      </c>
      <c r="AX135" s="173">
        <f t="shared" si="435"/>
        <v>38.87009782841487</v>
      </c>
      <c r="AY135" s="173">
        <f t="shared" si="436"/>
        <v>2.9272893881046587</v>
      </c>
      <c r="AZ135" s="173">
        <f t="shared" si="440"/>
        <v>13.27852927229112</v>
      </c>
      <c r="BA135" s="460">
        <f t="shared" si="433"/>
        <v>106.64807796702512</v>
      </c>
      <c r="BB135" s="5">
        <f t="shared" si="434"/>
        <v>6.2314279485272346</v>
      </c>
      <c r="BD135" s="173">
        <f t="shared" si="441"/>
        <v>3.7172665691296536</v>
      </c>
      <c r="BE135" s="173">
        <f t="shared" si="437"/>
        <v>4.4176082428577104</v>
      </c>
      <c r="BG135" s="528">
        <f t="shared" si="347"/>
        <v>0.27636141491937893</v>
      </c>
      <c r="BH135" s="528">
        <f t="shared" si="348"/>
        <v>0.41665474008907899</v>
      </c>
      <c r="BI135" s="528">
        <f t="shared" si="349"/>
        <v>3.0372556925368163E-2</v>
      </c>
      <c r="BJ135" s="528">
        <f t="shared" si="350"/>
        <v>7.6222945361045999E-3</v>
      </c>
      <c r="BK135">
        <f t="shared" si="351"/>
        <v>8.4389706514755389E-3</v>
      </c>
      <c r="BL135" s="460">
        <f t="shared" si="427"/>
        <v>38.811527576843702</v>
      </c>
      <c r="BM135" s="528">
        <f t="shared" si="352"/>
        <v>0.82973961575241706</v>
      </c>
      <c r="BN135" s="460">
        <f t="shared" si="353"/>
        <v>829.73961575241708</v>
      </c>
      <c r="BO135" s="528">
        <f t="shared" si="354"/>
        <v>1.75</v>
      </c>
      <c r="BR135" s="460">
        <f t="shared" si="355"/>
        <v>1750</v>
      </c>
      <c r="BS135" s="528">
        <f t="shared" si="356"/>
        <v>0.41454212237906835</v>
      </c>
      <c r="BT135" s="528">
        <f t="shared" si="357"/>
        <v>0.5854578776209316</v>
      </c>
      <c r="BU135" s="528">
        <f t="shared" si="358"/>
        <v>0.53411031153898481</v>
      </c>
      <c r="BV135" s="528"/>
      <c r="BW135" s="528">
        <f t="shared" si="359"/>
        <v>6.4783496380691448E-3</v>
      </c>
      <c r="BX135" s="460">
        <f t="shared" si="360"/>
        <v>1540.5886611770541</v>
      </c>
      <c r="BY135" s="173">
        <f t="shared" si="361"/>
        <v>4.0300386382984605</v>
      </c>
      <c r="BZ135" s="5">
        <f t="shared" si="362"/>
        <v>37.5</v>
      </c>
      <c r="CA135" s="173">
        <f t="shared" si="363"/>
        <v>0.90296087433489614</v>
      </c>
      <c r="CB135" s="5">
        <f t="shared" si="364"/>
        <v>90.296087433489618</v>
      </c>
      <c r="CE135" s="562">
        <f t="shared" si="365"/>
        <v>-50</v>
      </c>
      <c r="CF135">
        <f t="shared" si="366"/>
        <v>-50</v>
      </c>
      <c r="CG135" s="173">
        <f t="shared" si="367"/>
        <v>0.50662280511902213</v>
      </c>
      <c r="CI135" s="170">
        <v>25</v>
      </c>
      <c r="CJ135" s="217">
        <f t="shared" si="428"/>
        <v>2.5</v>
      </c>
      <c r="CK135" s="217"/>
      <c r="CL135" s="217">
        <f t="shared" si="368"/>
        <v>37.5</v>
      </c>
      <c r="CM135" s="541">
        <f t="shared" si="369"/>
        <v>19</v>
      </c>
      <c r="CN135" s="443">
        <f t="shared" si="370"/>
        <v>15.4</v>
      </c>
      <c r="CO135" s="443">
        <f t="shared" si="371"/>
        <v>34.4</v>
      </c>
      <c r="CP135" s="443"/>
      <c r="CQ135" s="217">
        <f t="shared" si="372"/>
        <v>0.44767441860465118</v>
      </c>
      <c r="CR135" s="172">
        <f t="shared" si="429"/>
        <v>212.84736191860466</v>
      </c>
      <c r="CS135" s="172">
        <f t="shared" si="373"/>
        <v>37.5</v>
      </c>
      <c r="CT135" s="217">
        <f t="shared" si="374"/>
        <v>14.189824127906977</v>
      </c>
      <c r="CU135" s="217">
        <f t="shared" si="375"/>
        <v>15</v>
      </c>
      <c r="CV135" s="217"/>
      <c r="CW135" s="172">
        <f t="shared" si="376"/>
        <v>171.04432925855798</v>
      </c>
      <c r="CX135" s="172">
        <f t="shared" si="377"/>
        <v>15</v>
      </c>
      <c r="CY135" s="217">
        <f t="shared" si="378"/>
        <v>8.8174982911825008</v>
      </c>
      <c r="CZ135" s="217">
        <f t="shared" si="379"/>
        <v>5.5689462891678954</v>
      </c>
      <c r="DA135" s="217">
        <f t="shared" si="380"/>
        <v>6.8707778892331168</v>
      </c>
      <c r="DB135" s="197">
        <f t="shared" si="381"/>
        <v>70.881782945736433</v>
      </c>
      <c r="DC135" s="443">
        <f t="shared" si="382"/>
        <v>80.387634457063896</v>
      </c>
      <c r="DE135" s="217">
        <f t="shared" si="383"/>
        <v>10.000000000000002</v>
      </c>
      <c r="DF135" s="173">
        <f t="shared" si="384"/>
        <v>7.792207792207793</v>
      </c>
      <c r="DG135" s="173">
        <f t="shared" si="385"/>
        <v>2.7616279069767451</v>
      </c>
      <c r="DH135" s="173"/>
      <c r="DI135" s="173">
        <f t="shared" si="386"/>
        <v>7.7922077922077913</v>
      </c>
      <c r="DJ135" s="545">
        <f t="shared" si="387"/>
        <v>64.166666666666671</v>
      </c>
      <c r="DK135" s="528">
        <f t="shared" si="388"/>
        <v>2.7616279069767442</v>
      </c>
      <c r="DM135" s="173">
        <f t="shared" si="389"/>
        <v>4.281744192888377</v>
      </c>
      <c r="DN135" s="173">
        <f t="shared" si="390"/>
        <v>10</v>
      </c>
      <c r="DO135" s="173">
        <f t="shared" si="391"/>
        <v>1.0366666666666666</v>
      </c>
      <c r="DQ135" s="545">
        <f t="shared" si="392"/>
        <v>2500</v>
      </c>
      <c r="DR135" s="460">
        <f t="shared" si="393"/>
        <v>64.166666666666671</v>
      </c>
      <c r="DT135">
        <f t="shared" si="430"/>
        <v>2500</v>
      </c>
      <c r="DU135">
        <f t="shared" si="431"/>
        <v>64.166666666666671</v>
      </c>
      <c r="DW135" s="5">
        <f t="shared" si="394"/>
        <v>15.584415584415583</v>
      </c>
      <c r="DX135" s="5">
        <f t="shared" si="395"/>
        <v>6.3157894736842106</v>
      </c>
      <c r="DY135" s="5">
        <f t="shared" si="396"/>
        <v>9.2686261107313719</v>
      </c>
      <c r="DZ135" s="5"/>
      <c r="EA135" s="173">
        <f t="shared" si="397"/>
        <v>0.40526315789473688</v>
      </c>
      <c r="EB135" s="173">
        <f t="shared" si="398"/>
        <v>38.500000000000007</v>
      </c>
      <c r="EC135" s="173">
        <f t="shared" si="399"/>
        <v>2.9736842105263155</v>
      </c>
      <c r="ED135" s="173">
        <f t="shared" si="400"/>
        <v>12.946902654867261</v>
      </c>
      <c r="EE135" s="460">
        <f t="shared" si="401"/>
        <v>105.26315789473685</v>
      </c>
      <c r="EF135" s="5">
        <f t="shared" si="402"/>
        <v>6.3080486234560142</v>
      </c>
      <c r="EH135" s="173">
        <f t="shared" si="403"/>
        <v>3.6754281287796342</v>
      </c>
      <c r="EI135" s="173">
        <f t="shared" si="404"/>
        <v>4.4524781193745095</v>
      </c>
      <c r="EK135" s="528">
        <f t="shared" si="405"/>
        <v>0.27017543859649129</v>
      </c>
      <c r="EL135" s="528">
        <f t="shared" si="406"/>
        <v>0.44146666666666673</v>
      </c>
      <c r="EM135" s="528">
        <f t="shared" si="407"/>
        <v>8.0208333333333329E-3</v>
      </c>
      <c r="EN135" s="528">
        <f t="shared" si="408"/>
        <v>7.593226666666667E-3</v>
      </c>
      <c r="EO135">
        <f t="shared" si="409"/>
        <v>8.5500000000000003E-3</v>
      </c>
      <c r="EP135" s="460">
        <f t="shared" si="410"/>
        <v>16.570833333333333</v>
      </c>
      <c r="EQ135" s="460"/>
      <c r="ER135" s="460">
        <f t="shared" si="432"/>
        <v>735.80616526315805</v>
      </c>
      <c r="ES135" s="528">
        <f t="shared" si="411"/>
        <v>1.75</v>
      </c>
      <c r="EV135" s="460">
        <f t="shared" si="412"/>
        <v>1750</v>
      </c>
      <c r="EW135" s="528">
        <f t="shared" si="413"/>
        <v>0.40526315789473688</v>
      </c>
      <c r="EX135" s="528">
        <f t="shared" si="414"/>
        <v>0.59473684210526312</v>
      </c>
      <c r="EY135" s="528">
        <f t="shared" si="415"/>
        <v>0.52148725894977166</v>
      </c>
      <c r="EZ135" s="528"/>
      <c r="FA135" s="528">
        <f t="shared" si="416"/>
        <v>6.4166666666666677E-3</v>
      </c>
      <c r="FB135" s="460">
        <f t="shared" si="417"/>
        <v>1527.9039256164383</v>
      </c>
      <c r="FC135" s="173">
        <f t="shared" si="418"/>
        <v>4.013710090879596</v>
      </c>
      <c r="FD135" s="5">
        <f t="shared" si="419"/>
        <v>37.5</v>
      </c>
      <c r="FE135" s="173">
        <f t="shared" si="420"/>
        <v>0.90331603506183866</v>
      </c>
      <c r="FF135" s="5">
        <f t="shared" si="421"/>
        <v>90.331603506183868</v>
      </c>
      <c r="FI135" s="562">
        <f t="shared" si="422"/>
        <v>-50</v>
      </c>
      <c r="FJ135">
        <f t="shared" si="423"/>
        <v>-50</v>
      </c>
      <c r="FL135">
        <f t="shared" si="424"/>
        <v>0.5</v>
      </c>
    </row>
    <row r="136" spans="5:168">
      <c r="E136" s="170">
        <v>26</v>
      </c>
      <c r="F136" s="217">
        <f t="shared" si="425"/>
        <v>2.6</v>
      </c>
      <c r="G136" s="217"/>
      <c r="H136" s="217">
        <f t="shared" si="315"/>
        <v>39</v>
      </c>
      <c r="I136" s="541">
        <f t="shared" si="316"/>
        <v>18.753268114390085</v>
      </c>
      <c r="J136" s="172">
        <f t="shared" si="317"/>
        <v>15.548039131365949</v>
      </c>
      <c r="K136" s="172">
        <f t="shared" si="318"/>
        <v>34.301307245756036</v>
      </c>
      <c r="L136" s="443"/>
      <c r="M136" s="217">
        <f t="shared" si="319"/>
        <v>0.45330957820537332</v>
      </c>
      <c r="N136" s="172">
        <f t="shared" si="426"/>
        <v>212.72780107906019</v>
      </c>
      <c r="O136" s="172">
        <f t="shared" si="438"/>
        <v>39</v>
      </c>
      <c r="P136" s="217">
        <f t="shared" si="320"/>
        <v>14.18185340527068</v>
      </c>
      <c r="Q136" s="217">
        <f t="shared" si="321"/>
        <v>15</v>
      </c>
      <c r="R136" s="217"/>
      <c r="S136" s="172">
        <f t="shared" si="322"/>
        <v>161.61291827448528</v>
      </c>
      <c r="T136" s="172">
        <f t="shared" si="323"/>
        <v>15</v>
      </c>
      <c r="U136" s="217">
        <f t="shared" si="324"/>
        <v>9.5117817922068237</v>
      </c>
      <c r="V136" s="217">
        <f t="shared" si="325"/>
        <v>6.0864794770836204</v>
      </c>
      <c r="W136" s="217">
        <f t="shared" si="326"/>
        <v>7.3412075016082223</v>
      </c>
      <c r="X136" s="197">
        <f t="shared" si="327"/>
        <v>70.83708316481389</v>
      </c>
      <c r="Y136" s="443">
        <f t="shared" si="328"/>
        <v>73.3800241789816</v>
      </c>
      <c r="AA136" s="217">
        <f t="shared" si="329"/>
        <v>10</v>
      </c>
      <c r="AB136" s="173">
        <f t="shared" si="330"/>
        <v>7.7180150491078416</v>
      </c>
      <c r="AC136" s="173">
        <f t="shared" si="331"/>
        <v>2.7336083695046867</v>
      </c>
      <c r="AD136" s="173"/>
      <c r="AE136" s="173">
        <f t="shared" si="332"/>
        <v>7.7180150491078416</v>
      </c>
      <c r="AF136" s="545">
        <f t="shared" si="333"/>
        <v>67.374836235919105</v>
      </c>
      <c r="AG136" s="528">
        <f t="shared" si="334"/>
        <v>2.7336083695046871</v>
      </c>
      <c r="AI136" s="173">
        <f t="shared" si="335"/>
        <v>4.3874768615073751</v>
      </c>
      <c r="AJ136" s="173">
        <f t="shared" si="336"/>
        <v>10</v>
      </c>
      <c r="AK136" s="173">
        <f t="shared" si="337"/>
        <v>1.0384999064205251</v>
      </c>
      <c r="AM136" s="545">
        <f t="shared" si="338"/>
        <v>2600</v>
      </c>
      <c r="AN136" s="460">
        <f t="shared" si="339"/>
        <v>67.374836235919105</v>
      </c>
      <c r="AP136" s="460">
        <f t="shared" si="340"/>
        <v>2600</v>
      </c>
      <c r="AQ136" s="460">
        <f t="shared" si="341"/>
        <v>67.374836235919105</v>
      </c>
      <c r="AS136" s="5">
        <f t="shared" si="439"/>
        <v>14.842336632899695</v>
      </c>
      <c r="AT136" s="5">
        <f t="shared" si="342"/>
        <v>6.3988846780215072</v>
      </c>
      <c r="AU136" s="5">
        <f t="shared" si="343"/>
        <v>8.4434519548781886</v>
      </c>
      <c r="AV136" s="5"/>
      <c r="AW136" s="173">
        <f t="shared" si="344"/>
        <v>0.43112380727423105</v>
      </c>
      <c r="AX136" s="173">
        <f t="shared" si="435"/>
        <v>40.424901741551466</v>
      </c>
      <c r="AY136" s="173">
        <f t="shared" si="436"/>
        <v>2.8443809636288448</v>
      </c>
      <c r="AZ136" s="173">
        <f t="shared" si="440"/>
        <v>14.212196698847826</v>
      </c>
      <c r="BA136" s="460">
        <f t="shared" si="433"/>
        <v>110.91400108570613</v>
      </c>
      <c r="BB136" s="5">
        <f t="shared" si="434"/>
        <v>6.0549377540331903</v>
      </c>
      <c r="BD136" s="173">
        <f t="shared" si="441"/>
        <v>3.7908829546436413</v>
      </c>
      <c r="BE136" s="173">
        <f t="shared" si="437"/>
        <v>4.354599838966335</v>
      </c>
      <c r="BG136" s="528">
        <f t="shared" si="347"/>
        <v>0.28741587151615411</v>
      </c>
      <c r="BH136" s="528">
        <f t="shared" si="348"/>
        <v>0.43332092969264219</v>
      </c>
      <c r="BI136" s="528">
        <f t="shared" si="349"/>
        <v>3.1587459202382887E-2</v>
      </c>
      <c r="BJ136" s="528">
        <f t="shared" si="350"/>
        <v>7.9271863175487834E-3</v>
      </c>
      <c r="BK136">
        <f t="shared" si="351"/>
        <v>8.4389706514755389E-3</v>
      </c>
      <c r="BL136" s="460">
        <f t="shared" si="427"/>
        <v>40.026429853858424</v>
      </c>
      <c r="BM136" s="528">
        <f t="shared" si="352"/>
        <v>0.8653618426518972</v>
      </c>
      <c r="BN136" s="460">
        <f t="shared" si="353"/>
        <v>865.36184265189718</v>
      </c>
      <c r="BO136" s="528">
        <f t="shared" si="354"/>
        <v>1.8199999999999998</v>
      </c>
      <c r="BR136" s="460">
        <f t="shared" si="355"/>
        <v>1819.9999999999998</v>
      </c>
      <c r="BS136" s="528">
        <f t="shared" si="356"/>
        <v>0.43112380727423111</v>
      </c>
      <c r="BT136" s="528">
        <f t="shared" si="357"/>
        <v>0.56887619272576884</v>
      </c>
      <c r="BU136" s="528">
        <f t="shared" si="358"/>
        <v>0.58913430305315906</v>
      </c>
      <c r="BV136" s="528"/>
      <c r="BW136" s="528">
        <f t="shared" si="359"/>
        <v>6.7374836235919106E-3</v>
      </c>
      <c r="BX136" s="460">
        <f t="shared" si="360"/>
        <v>1595.8717866767508</v>
      </c>
      <c r="BY136" s="173">
        <f t="shared" si="361"/>
        <v>4.1845622040569541</v>
      </c>
      <c r="BZ136" s="5">
        <f t="shared" si="362"/>
        <v>39</v>
      </c>
      <c r="CA136" s="173">
        <f t="shared" si="363"/>
        <v>0.90310050651239815</v>
      </c>
      <c r="CB136" s="5">
        <f t="shared" si="364"/>
        <v>90.31005065123982</v>
      </c>
      <c r="CE136" s="562">
        <f t="shared" si="365"/>
        <v>-50</v>
      </c>
      <c r="CF136">
        <f t="shared" si="366"/>
        <v>-50</v>
      </c>
      <c r="CG136" s="173">
        <f t="shared" si="367"/>
        <v>0.52688771732378314</v>
      </c>
      <c r="CI136" s="170">
        <v>26</v>
      </c>
      <c r="CJ136" s="217">
        <f t="shared" si="428"/>
        <v>2.6</v>
      </c>
      <c r="CK136" s="217"/>
      <c r="CL136" s="217">
        <f t="shared" si="368"/>
        <v>39</v>
      </c>
      <c r="CM136" s="541">
        <f t="shared" si="369"/>
        <v>19</v>
      </c>
      <c r="CN136" s="443">
        <f t="shared" si="370"/>
        <v>15.4</v>
      </c>
      <c r="CO136" s="443">
        <f t="shared" si="371"/>
        <v>34.4</v>
      </c>
      <c r="CP136" s="443"/>
      <c r="CQ136" s="217">
        <f t="shared" si="372"/>
        <v>0.44767441860465118</v>
      </c>
      <c r="CR136" s="172">
        <f t="shared" si="429"/>
        <v>212.84736191860466</v>
      </c>
      <c r="CS136" s="172">
        <f t="shared" si="373"/>
        <v>39</v>
      </c>
      <c r="CT136" s="217">
        <f t="shared" si="374"/>
        <v>14.189824127906977</v>
      </c>
      <c r="CU136" s="217">
        <f t="shared" si="375"/>
        <v>15</v>
      </c>
      <c r="CV136" s="217"/>
      <c r="CW136" s="172">
        <f t="shared" si="376"/>
        <v>163.73861002177782</v>
      </c>
      <c r="CX136" s="172">
        <f t="shared" si="377"/>
        <v>15</v>
      </c>
      <c r="CY136" s="217">
        <f t="shared" si="378"/>
        <v>9.1701982228298018</v>
      </c>
      <c r="CZ136" s="217">
        <f t="shared" si="379"/>
        <v>5.7917041407346126</v>
      </c>
      <c r="DA136" s="217">
        <f t="shared" si="380"/>
        <v>7.1456090048024432</v>
      </c>
      <c r="DB136" s="197">
        <f t="shared" si="381"/>
        <v>70.881782945736433</v>
      </c>
      <c r="DC136" s="443">
        <f t="shared" si="382"/>
        <v>77.295802362561403</v>
      </c>
      <c r="DE136" s="217">
        <f t="shared" si="383"/>
        <v>10.000000000000002</v>
      </c>
      <c r="DF136" s="173">
        <f t="shared" si="384"/>
        <v>7.792207792207793</v>
      </c>
      <c r="DG136" s="173">
        <f t="shared" si="385"/>
        <v>2.7616279069767451</v>
      </c>
      <c r="DH136" s="173"/>
      <c r="DI136" s="173">
        <f t="shared" si="386"/>
        <v>7.7922077922077913</v>
      </c>
      <c r="DJ136" s="545">
        <f t="shared" si="387"/>
        <v>66.733333333333348</v>
      </c>
      <c r="DK136" s="528">
        <f t="shared" si="388"/>
        <v>2.7616279069767442</v>
      </c>
      <c r="DM136" s="173">
        <f t="shared" si="389"/>
        <v>4.3665394383500846</v>
      </c>
      <c r="DN136" s="173">
        <f t="shared" si="390"/>
        <v>10</v>
      </c>
      <c r="DO136" s="173">
        <f t="shared" si="391"/>
        <v>1.0381333333333334</v>
      </c>
      <c r="DQ136" s="545">
        <f t="shared" si="392"/>
        <v>2600</v>
      </c>
      <c r="DR136" s="460">
        <f t="shared" si="393"/>
        <v>66.733333333333348</v>
      </c>
      <c r="DT136">
        <f t="shared" si="430"/>
        <v>2600</v>
      </c>
      <c r="DU136">
        <f t="shared" si="431"/>
        <v>66.733333333333348</v>
      </c>
      <c r="DW136" s="5">
        <f t="shared" si="394"/>
        <v>14.985014985014983</v>
      </c>
      <c r="DX136" s="5">
        <f t="shared" si="395"/>
        <v>6.3157894736842106</v>
      </c>
      <c r="DY136" s="5">
        <f t="shared" si="396"/>
        <v>8.6692255113307723</v>
      </c>
      <c r="DZ136" s="5"/>
      <c r="EA136" s="173">
        <f t="shared" si="397"/>
        <v>0.42147368421052639</v>
      </c>
      <c r="EB136" s="173">
        <f t="shared" si="398"/>
        <v>40.040000000000013</v>
      </c>
      <c r="EC136" s="173">
        <f t="shared" si="399"/>
        <v>2.892631578947368</v>
      </c>
      <c r="ED136" s="173">
        <f t="shared" si="400"/>
        <v>13.842066957787489</v>
      </c>
      <c r="EE136" s="460">
        <f t="shared" si="401"/>
        <v>109.47368421052632</v>
      </c>
      <c r="EF136" s="5">
        <f t="shared" si="402"/>
        <v>6.1361124308874802</v>
      </c>
      <c r="EH136" s="173">
        <f t="shared" si="403"/>
        <v>3.7482159498910339</v>
      </c>
      <c r="EI136" s="173">
        <f t="shared" si="404"/>
        <v>4.3913791143917171</v>
      </c>
      <c r="EK136" s="528">
        <f t="shared" si="405"/>
        <v>0.28098245614035089</v>
      </c>
      <c r="EL136" s="528">
        <f t="shared" si="406"/>
        <v>0.45912533333333344</v>
      </c>
      <c r="EM136" s="528">
        <f t="shared" si="407"/>
        <v>8.3416666666666691E-3</v>
      </c>
      <c r="EN136" s="528">
        <f t="shared" si="408"/>
        <v>7.8969557333333357E-3</v>
      </c>
      <c r="EO136">
        <f t="shared" si="409"/>
        <v>8.5500000000000003E-3</v>
      </c>
      <c r="EP136" s="460">
        <f t="shared" si="410"/>
        <v>16.891666666666669</v>
      </c>
      <c r="EQ136" s="460"/>
      <c r="ER136" s="460">
        <f t="shared" si="432"/>
        <v>764.89641187368431</v>
      </c>
      <c r="ES136" s="528">
        <f t="shared" si="411"/>
        <v>1.8199999999999998</v>
      </c>
      <c r="EV136" s="460">
        <f t="shared" si="412"/>
        <v>1819.9999999999998</v>
      </c>
      <c r="EW136" s="528">
        <f t="shared" si="413"/>
        <v>0.42147368421052633</v>
      </c>
      <c r="EX136" s="528">
        <f t="shared" si="414"/>
        <v>0.57852631578947344</v>
      </c>
      <c r="EY136" s="528">
        <f t="shared" si="415"/>
        <v>0.57521082483361041</v>
      </c>
      <c r="EZ136" s="528"/>
      <c r="FA136" s="528">
        <f t="shared" si="416"/>
        <v>6.6733333333333349E-3</v>
      </c>
      <c r="FB136" s="460">
        <f t="shared" si="417"/>
        <v>1581.8841581669433</v>
      </c>
      <c r="FC136" s="173">
        <f t="shared" si="418"/>
        <v>4.1667805700406273</v>
      </c>
      <c r="FD136" s="5">
        <f t="shared" si="419"/>
        <v>39</v>
      </c>
      <c r="FE136" s="173">
        <f t="shared" si="420"/>
        <v>0.9034725194926273</v>
      </c>
      <c r="FF136" s="5">
        <f t="shared" si="421"/>
        <v>90.347251949262727</v>
      </c>
      <c r="FI136" s="562">
        <f t="shared" si="422"/>
        <v>-50</v>
      </c>
      <c r="FJ136">
        <f t="shared" si="423"/>
        <v>-50</v>
      </c>
      <c r="FL136">
        <f t="shared" si="424"/>
        <v>0.52</v>
      </c>
    </row>
    <row r="137" spans="5:168">
      <c r="E137" s="170">
        <v>27</v>
      </c>
      <c r="F137" s="217">
        <f t="shared" si="425"/>
        <v>2.7</v>
      </c>
      <c r="G137" s="217"/>
      <c r="H137" s="217">
        <f t="shared" si="315"/>
        <v>40.5</v>
      </c>
      <c r="I137" s="541">
        <f t="shared" si="316"/>
        <v>18.753268114390085</v>
      </c>
      <c r="J137" s="172">
        <f t="shared" si="317"/>
        <v>15.548039131365949</v>
      </c>
      <c r="K137" s="172">
        <f t="shared" si="318"/>
        <v>34.301307245756036</v>
      </c>
      <c r="L137" s="443"/>
      <c r="M137" s="217">
        <f t="shared" si="319"/>
        <v>0.45330957820537332</v>
      </c>
      <c r="N137" s="172">
        <f t="shared" si="426"/>
        <v>212.72780107906019</v>
      </c>
      <c r="O137" s="172">
        <f t="shared" si="438"/>
        <v>40.5</v>
      </c>
      <c r="P137" s="217">
        <f t="shared" si="320"/>
        <v>14.18185340527068</v>
      </c>
      <c r="Q137" s="217">
        <f t="shared" si="321"/>
        <v>15</v>
      </c>
      <c r="R137" s="217"/>
      <c r="S137" s="172">
        <f t="shared" si="322"/>
        <v>154.93639404116888</v>
      </c>
      <c r="T137" s="172">
        <f t="shared" si="323"/>
        <v>15</v>
      </c>
      <c r="U137" s="217">
        <f t="shared" si="324"/>
        <v>9.87761955344555</v>
      </c>
      <c r="V137" s="217">
        <f t="shared" si="325"/>
        <v>6.3205748415868381</v>
      </c>
      <c r="W137" s="217">
        <f t="shared" si="326"/>
        <v>7.623561636285463</v>
      </c>
      <c r="X137" s="197">
        <f t="shared" si="327"/>
        <v>70.83708316481389</v>
      </c>
      <c r="Y137" s="443">
        <f t="shared" si="328"/>
        <v>70.700675263169529</v>
      </c>
      <c r="AA137" s="217">
        <f t="shared" si="329"/>
        <v>10</v>
      </c>
      <c r="AB137" s="173">
        <f t="shared" si="330"/>
        <v>7.7180150491078416</v>
      </c>
      <c r="AC137" s="173">
        <f t="shared" si="331"/>
        <v>2.7336083695046867</v>
      </c>
      <c r="AD137" s="173"/>
      <c r="AE137" s="173">
        <f t="shared" si="332"/>
        <v>7.7180150491078416</v>
      </c>
      <c r="AF137" s="545">
        <f t="shared" si="333"/>
        <v>69.966176091146764</v>
      </c>
      <c r="AG137" s="528">
        <f t="shared" si="334"/>
        <v>2.7336083695046871</v>
      </c>
      <c r="AI137" s="173">
        <f t="shared" si="335"/>
        <v>4.4710553593130484</v>
      </c>
      <c r="AJ137" s="173">
        <f t="shared" si="336"/>
        <v>10</v>
      </c>
      <c r="AK137" s="173">
        <f t="shared" si="337"/>
        <v>1.0399806720520839</v>
      </c>
      <c r="AM137" s="545">
        <f t="shared" si="338"/>
        <v>2700</v>
      </c>
      <c r="AN137" s="460">
        <f t="shared" si="339"/>
        <v>69.966176091146764</v>
      </c>
      <c r="AP137" s="460">
        <f t="shared" si="340"/>
        <v>2700</v>
      </c>
      <c r="AQ137" s="460">
        <f t="shared" si="341"/>
        <v>69.966176091146764</v>
      </c>
      <c r="AS137" s="5">
        <f t="shared" si="439"/>
        <v>14.292620461310818</v>
      </c>
      <c r="AT137" s="5">
        <f t="shared" si="342"/>
        <v>6.3988846780215072</v>
      </c>
      <c r="AU137" s="5">
        <f t="shared" si="343"/>
        <v>7.8937357832893111</v>
      </c>
      <c r="AV137" s="5"/>
      <c r="AW137" s="173">
        <f t="shared" si="344"/>
        <v>0.4477054921693937</v>
      </c>
      <c r="AX137" s="173">
        <f t="shared" si="435"/>
        <v>41.979705654688061</v>
      </c>
      <c r="AY137" s="173">
        <f t="shared" si="436"/>
        <v>2.7614725391530315</v>
      </c>
      <c r="AZ137" s="173">
        <f t="shared" si="440"/>
        <v>15.201927616330241</v>
      </c>
      <c r="BA137" s="460">
        <f t="shared" si="433"/>
        <v>115.17992420438713</v>
      </c>
      <c r="BB137" s="5">
        <f t="shared" si="434"/>
        <v>5.878447559539147</v>
      </c>
      <c r="BD137" s="173">
        <f t="shared" si="441"/>
        <v>3.8630967378058836</v>
      </c>
      <c r="BE137" s="173">
        <f t="shared" si="437"/>
        <v>4.2906662568518277</v>
      </c>
      <c r="BG137" s="528">
        <f t="shared" si="347"/>
        <v>0.29847032811292923</v>
      </c>
      <c r="BH137" s="528">
        <f t="shared" si="348"/>
        <v>0.44998711929620538</v>
      </c>
      <c r="BI137" s="528">
        <f t="shared" si="349"/>
        <v>3.2802361479397614E-2</v>
      </c>
      <c r="BJ137" s="528">
        <f t="shared" si="350"/>
        <v>8.2320780989929669E-3</v>
      </c>
      <c r="BK137">
        <f t="shared" si="351"/>
        <v>8.4389706514755389E-3</v>
      </c>
      <c r="BL137" s="460">
        <f t="shared" si="427"/>
        <v>41.241332130873154</v>
      </c>
      <c r="BM137" s="528">
        <f t="shared" si="352"/>
        <v>0.90118547915393321</v>
      </c>
      <c r="BN137" s="460">
        <f t="shared" si="353"/>
        <v>901.18547915393322</v>
      </c>
      <c r="BO137" s="528">
        <f t="shared" si="354"/>
        <v>1.89</v>
      </c>
      <c r="BR137" s="460">
        <f t="shared" si="355"/>
        <v>1890</v>
      </c>
      <c r="BS137" s="528">
        <f t="shared" si="356"/>
        <v>0.44770549216939376</v>
      </c>
      <c r="BT137" s="528">
        <f t="shared" si="357"/>
        <v>0.55229450783060619</v>
      </c>
      <c r="BU137" s="528">
        <f t="shared" si="358"/>
        <v>0.64742632051094418</v>
      </c>
      <c r="BV137" s="528"/>
      <c r="BW137" s="528">
        <f t="shared" si="359"/>
        <v>6.9966176091146772E-3</v>
      </c>
      <c r="BX137" s="460">
        <f t="shared" si="360"/>
        <v>1654.4229381200589</v>
      </c>
      <c r="BY137" s="173">
        <f t="shared" si="361"/>
        <v>4.3423537957590597</v>
      </c>
      <c r="BZ137" s="5">
        <f t="shared" si="362"/>
        <v>40.5</v>
      </c>
      <c r="CA137" s="173">
        <f t="shared" si="363"/>
        <v>0.90316400839400779</v>
      </c>
      <c r="CB137" s="5">
        <f t="shared" si="364"/>
        <v>90.316400839400785</v>
      </c>
      <c r="CE137" s="562">
        <f t="shared" si="365"/>
        <v>-50</v>
      </c>
      <c r="CF137">
        <f t="shared" si="366"/>
        <v>-50</v>
      </c>
      <c r="CG137" s="173">
        <f t="shared" si="367"/>
        <v>0.54715262952854382</v>
      </c>
      <c r="CI137" s="170">
        <v>27</v>
      </c>
      <c r="CJ137" s="217">
        <f t="shared" si="428"/>
        <v>2.7</v>
      </c>
      <c r="CK137" s="217"/>
      <c r="CL137" s="217">
        <f t="shared" si="368"/>
        <v>40.5</v>
      </c>
      <c r="CM137" s="541">
        <f t="shared" si="369"/>
        <v>19</v>
      </c>
      <c r="CN137" s="443">
        <f t="shared" si="370"/>
        <v>15.4</v>
      </c>
      <c r="CO137" s="443">
        <f t="shared" si="371"/>
        <v>34.4</v>
      </c>
      <c r="CP137" s="443"/>
      <c r="CQ137" s="217">
        <f t="shared" si="372"/>
        <v>0.44767441860465118</v>
      </c>
      <c r="CR137" s="172">
        <f t="shared" si="429"/>
        <v>212.84736191860466</v>
      </c>
      <c r="CS137" s="172">
        <f t="shared" si="373"/>
        <v>40.5</v>
      </c>
      <c r="CT137" s="217">
        <f t="shared" si="374"/>
        <v>14.189824127906977</v>
      </c>
      <c r="CU137" s="217">
        <f t="shared" si="375"/>
        <v>15</v>
      </c>
      <c r="CV137" s="217"/>
      <c r="CW137" s="172">
        <f t="shared" si="376"/>
        <v>156.9742184612237</v>
      </c>
      <c r="CX137" s="172">
        <f t="shared" si="377"/>
        <v>15</v>
      </c>
      <c r="CY137" s="217">
        <f t="shared" si="378"/>
        <v>9.522898154477101</v>
      </c>
      <c r="CZ137" s="217">
        <f t="shared" si="379"/>
        <v>6.0144619923013272</v>
      </c>
      <c r="DA137" s="217">
        <f t="shared" si="380"/>
        <v>7.4204401203717669</v>
      </c>
      <c r="DB137" s="197">
        <f t="shared" si="381"/>
        <v>70.881782945736433</v>
      </c>
      <c r="DC137" s="443">
        <f t="shared" si="382"/>
        <v>74.432994867651743</v>
      </c>
      <c r="DE137" s="217">
        <f t="shared" si="383"/>
        <v>10.000000000000002</v>
      </c>
      <c r="DF137" s="173">
        <f t="shared" si="384"/>
        <v>7.792207792207793</v>
      </c>
      <c r="DG137" s="173">
        <f t="shared" si="385"/>
        <v>2.7616279069767451</v>
      </c>
      <c r="DH137" s="173"/>
      <c r="DI137" s="173">
        <f t="shared" si="386"/>
        <v>7.7922077922077913</v>
      </c>
      <c r="DJ137" s="545">
        <f t="shared" si="387"/>
        <v>69.3</v>
      </c>
      <c r="DK137" s="528">
        <f t="shared" si="388"/>
        <v>2.7616279069767442</v>
      </c>
      <c r="DM137" s="173">
        <f t="shared" si="389"/>
        <v>4.4497190922573981</v>
      </c>
      <c r="DN137" s="173">
        <f t="shared" si="390"/>
        <v>10</v>
      </c>
      <c r="DO137" s="173">
        <f t="shared" si="391"/>
        <v>1.0396000000000001</v>
      </c>
      <c r="DQ137" s="545">
        <f t="shared" si="392"/>
        <v>2700</v>
      </c>
      <c r="DR137" s="460">
        <f t="shared" si="393"/>
        <v>69.3</v>
      </c>
      <c r="DT137">
        <f t="shared" si="430"/>
        <v>2700</v>
      </c>
      <c r="DU137">
        <f t="shared" si="431"/>
        <v>69.3</v>
      </c>
      <c r="DW137" s="5">
        <f t="shared" si="394"/>
        <v>14.430014430014429</v>
      </c>
      <c r="DX137" s="5">
        <f t="shared" si="395"/>
        <v>6.3157894736842106</v>
      </c>
      <c r="DY137" s="5">
        <f t="shared" si="396"/>
        <v>8.1142249563302187</v>
      </c>
      <c r="DZ137" s="5"/>
      <c r="EA137" s="173">
        <f t="shared" si="397"/>
        <v>0.43768421052631584</v>
      </c>
      <c r="EB137" s="173">
        <f t="shared" si="398"/>
        <v>41.58</v>
      </c>
      <c r="EC137" s="173">
        <f t="shared" si="399"/>
        <v>2.8115789473684205</v>
      </c>
      <c r="ED137" s="173">
        <f t="shared" si="400"/>
        <v>14.788843129913893</v>
      </c>
      <c r="EE137" s="460">
        <f t="shared" si="401"/>
        <v>113.68421052631581</v>
      </c>
      <c r="EF137" s="5">
        <f t="shared" si="402"/>
        <v>5.9641762383189452</v>
      </c>
      <c r="EH137" s="173">
        <f t="shared" si="403"/>
        <v>3.8196169551684793</v>
      </c>
      <c r="EI137" s="173">
        <f t="shared" si="404"/>
        <v>4.3294179342173473</v>
      </c>
      <c r="EK137" s="528">
        <f t="shared" si="405"/>
        <v>0.29178947368421049</v>
      </c>
      <c r="EL137" s="528">
        <f t="shared" si="406"/>
        <v>0.47678399999999999</v>
      </c>
      <c r="EM137" s="528">
        <f t="shared" si="407"/>
        <v>8.6624999999999983E-3</v>
      </c>
      <c r="EN137" s="528">
        <f t="shared" si="408"/>
        <v>8.2006848E-3</v>
      </c>
      <c r="EO137">
        <f t="shared" si="409"/>
        <v>8.5500000000000003E-3</v>
      </c>
      <c r="EP137" s="460">
        <f t="shared" si="410"/>
        <v>17.212499999999999</v>
      </c>
      <c r="EQ137" s="460"/>
      <c r="ER137" s="460">
        <f t="shared" si="432"/>
        <v>793.98665848421047</v>
      </c>
      <c r="ES137" s="528">
        <f t="shared" si="411"/>
        <v>1.89</v>
      </c>
      <c r="EV137" s="460">
        <f t="shared" si="412"/>
        <v>1890</v>
      </c>
      <c r="EW137" s="528">
        <f t="shared" si="413"/>
        <v>0.43768421052631573</v>
      </c>
      <c r="EX137" s="528">
        <f t="shared" si="414"/>
        <v>0.5623157894736841</v>
      </c>
      <c r="EY137" s="528">
        <f t="shared" si="415"/>
        <v>0.63212518081210267</v>
      </c>
      <c r="EZ137" s="528"/>
      <c r="FA137" s="528">
        <f t="shared" si="416"/>
        <v>6.9300000000000004E-3</v>
      </c>
      <c r="FB137" s="460">
        <f t="shared" si="417"/>
        <v>1639.0551808121027</v>
      </c>
      <c r="FC137" s="173">
        <f t="shared" si="418"/>
        <v>4.3230418392963124</v>
      </c>
      <c r="FD137" s="5">
        <f t="shared" si="419"/>
        <v>40.5</v>
      </c>
      <c r="FE137" s="173">
        <f t="shared" si="420"/>
        <v>0.90355313557710615</v>
      </c>
      <c r="FF137" s="5">
        <f t="shared" si="421"/>
        <v>90.355313557710616</v>
      </c>
      <c r="FI137" s="562">
        <f t="shared" si="422"/>
        <v>-50</v>
      </c>
      <c r="FJ137">
        <f t="shared" si="423"/>
        <v>-50</v>
      </c>
      <c r="FL137">
        <f t="shared" si="424"/>
        <v>0.54</v>
      </c>
    </row>
    <row r="138" spans="5:168">
      <c r="E138" s="170">
        <v>28</v>
      </c>
      <c r="F138" s="217">
        <f t="shared" si="425"/>
        <v>2.8000000000000003</v>
      </c>
      <c r="G138" s="217"/>
      <c r="H138" s="217">
        <f t="shared" si="315"/>
        <v>42.000000000000007</v>
      </c>
      <c r="I138" s="541">
        <f t="shared" si="316"/>
        <v>18.742219417031801</v>
      </c>
      <c r="J138" s="172">
        <f t="shared" si="317"/>
        <v>15.554668349780918</v>
      </c>
      <c r="K138" s="172">
        <f t="shared" si="318"/>
        <v>34.296887766812716</v>
      </c>
      <c r="L138" s="443"/>
      <c r="M138" s="217">
        <f t="shared" si="319"/>
        <v>0.45351384636422654</v>
      </c>
      <c r="N138" s="172">
        <f t="shared" si="426"/>
        <v>212.6982720109186</v>
      </c>
      <c r="O138" s="172">
        <f t="shared" si="438"/>
        <v>42.000000000000007</v>
      </c>
      <c r="P138" s="217">
        <f t="shared" si="320"/>
        <v>14.179884800727907</v>
      </c>
      <c r="Q138" s="217">
        <f t="shared" si="321"/>
        <v>15</v>
      </c>
      <c r="R138" s="217"/>
      <c r="S138" s="172">
        <f t="shared" si="322"/>
        <v>148.64932341075593</v>
      </c>
      <c r="T138" s="172">
        <f t="shared" si="323"/>
        <v>15</v>
      </c>
      <c r="U138" s="217">
        <f t="shared" si="324"/>
        <v>10.247286162226052</v>
      </c>
      <c r="V138" s="217">
        <f t="shared" si="325"/>
        <v>6.5609857194910033</v>
      </c>
      <c r="W138" s="217">
        <f t="shared" si="326"/>
        <v>7.905500212638386</v>
      </c>
      <c r="X138" s="197">
        <f t="shared" si="327"/>
        <v>70.834660264434433</v>
      </c>
      <c r="Y138" s="443">
        <f t="shared" si="328"/>
        <v>68.182658383719087</v>
      </c>
      <c r="AA138" s="217">
        <f t="shared" si="329"/>
        <v>9.9999999999999982</v>
      </c>
      <c r="AB138" s="173">
        <f t="shared" si="330"/>
        <v>7.7147257210206055</v>
      </c>
      <c r="AC138" s="173">
        <f t="shared" si="331"/>
        <v>2.7323498774089421</v>
      </c>
      <c r="AD138" s="173"/>
      <c r="AE138" s="173">
        <f t="shared" si="332"/>
        <v>7.7147257210206073</v>
      </c>
      <c r="AF138" s="545">
        <f t="shared" si="333"/>
        <v>72.588452298977614</v>
      </c>
      <c r="AG138" s="528">
        <f t="shared" si="334"/>
        <v>2.7323498774089434</v>
      </c>
      <c r="AI138" s="173">
        <f t="shared" si="335"/>
        <v>4.5540704649475829</v>
      </c>
      <c r="AJ138" s="173">
        <f t="shared" si="336"/>
        <v>10.247286162226052</v>
      </c>
      <c r="AK138" s="173">
        <f t="shared" si="337"/>
        <v>1.3831749349822609</v>
      </c>
      <c r="AM138" s="545">
        <f t="shared" si="338"/>
        <v>2800.0000000000005</v>
      </c>
      <c r="AN138" s="460">
        <f t="shared" si="339"/>
        <v>68.182658383719087</v>
      </c>
      <c r="AP138" s="460">
        <f t="shared" si="340"/>
        <v>2800.0000000000005</v>
      </c>
      <c r="AQ138" s="460">
        <f t="shared" si="341"/>
        <v>68.182658383719087</v>
      </c>
      <c r="AS138" s="5">
        <f t="shared" si="439"/>
        <v>14.666485932129389</v>
      </c>
      <c r="AT138" s="5">
        <f t="shared" si="342"/>
        <v>6.5609857194910033</v>
      </c>
      <c r="AU138" s="5">
        <f t="shared" si="343"/>
        <v>8.1055002126383862</v>
      </c>
      <c r="AV138" s="5"/>
      <c r="AW138" s="173">
        <f t="shared" si="344"/>
        <v>0.44734544797251452</v>
      </c>
      <c r="AX138" s="173">
        <f t="shared" si="435"/>
        <v>42.957886780710467</v>
      </c>
      <c r="AY138" s="173">
        <f t="shared" si="436"/>
        <v>2.8316046717412449</v>
      </c>
      <c r="AZ138" s="173">
        <f t="shared" si="440"/>
        <v>15.170863083191016</v>
      </c>
      <c r="BA138" s="460">
        <f t="shared" si="433"/>
        <v>122.47173343049873</v>
      </c>
      <c r="BB138" s="5">
        <f t="shared" si="434"/>
        <v>6.2633992521138371</v>
      </c>
      <c r="BD138" s="173">
        <f t="shared" si="441"/>
        <v>3.9570336933656138</v>
      </c>
      <c r="BE138" s="173">
        <f t="shared" si="437"/>
        <v>4.3982014028182546</v>
      </c>
      <c r="BG138" s="528">
        <f t="shared" si="347"/>
        <v>0.31316231300861425</v>
      </c>
      <c r="BH138" s="528">
        <f t="shared" si="348"/>
        <v>0.4493024416090316</v>
      </c>
      <c r="BI138" s="528">
        <f t="shared" si="349"/>
        <v>3.194735859660465E-2</v>
      </c>
      <c r="BJ138" s="528">
        <f t="shared" si="350"/>
        <v>8.0201659479488367E-3</v>
      </c>
      <c r="BK138">
        <f t="shared" si="351"/>
        <v>8.4339987376643097E-3</v>
      </c>
      <c r="BL138" s="460">
        <f t="shared" si="427"/>
        <v>40.381357334268962</v>
      </c>
      <c r="BM138" s="528">
        <f t="shared" si="352"/>
        <v>0.92377436171502603</v>
      </c>
      <c r="BN138" s="460">
        <f t="shared" si="353"/>
        <v>923.77436171502598</v>
      </c>
      <c r="BO138" s="528">
        <f t="shared" si="354"/>
        <v>1.96</v>
      </c>
      <c r="BR138" s="460">
        <f t="shared" si="355"/>
        <v>1960</v>
      </c>
      <c r="BS138" s="528">
        <f t="shared" si="356"/>
        <v>0.46974346951292129</v>
      </c>
      <c r="BT138" s="528">
        <f t="shared" si="357"/>
        <v>0.58032526739257384</v>
      </c>
      <c r="BU138" s="528">
        <f t="shared" si="358"/>
        <v>0.64517419730591374</v>
      </c>
      <c r="BV138" s="528"/>
      <c r="BW138" s="528">
        <f t="shared" si="359"/>
        <v>7.1596477967850788E-3</v>
      </c>
      <c r="BX138" s="460">
        <f t="shared" si="360"/>
        <v>1702.4025820081938</v>
      </c>
      <c r="BY138" s="173">
        <f t="shared" si="361"/>
        <v>4.4732688599080577</v>
      </c>
      <c r="BZ138" s="5">
        <f t="shared" si="362"/>
        <v>42.000000000000007</v>
      </c>
      <c r="CA138" s="173">
        <f t="shared" si="363"/>
        <v>0.90374533641279764</v>
      </c>
      <c r="CB138" s="5">
        <f t="shared" si="364"/>
        <v>90.374533641279768</v>
      </c>
      <c r="CE138" s="562">
        <f t="shared" si="365"/>
        <v>-50</v>
      </c>
      <c r="CF138">
        <f t="shared" si="366"/>
        <v>-50</v>
      </c>
      <c r="CG138" s="173">
        <f t="shared" si="367"/>
        <v>0.54309753817754336</v>
      </c>
      <c r="CI138" s="170">
        <v>28</v>
      </c>
      <c r="CJ138" s="217">
        <f t="shared" si="428"/>
        <v>2.8000000000000003</v>
      </c>
      <c r="CK138" s="217"/>
      <c r="CL138" s="217">
        <f t="shared" si="368"/>
        <v>42.000000000000007</v>
      </c>
      <c r="CM138" s="541">
        <f t="shared" si="369"/>
        <v>19</v>
      </c>
      <c r="CN138" s="443">
        <f t="shared" si="370"/>
        <v>15.4</v>
      </c>
      <c r="CO138" s="443">
        <f t="shared" si="371"/>
        <v>34.4</v>
      </c>
      <c r="CP138" s="443"/>
      <c r="CQ138" s="217">
        <f t="shared" si="372"/>
        <v>0.44767441860465118</v>
      </c>
      <c r="CR138" s="172">
        <f t="shared" si="429"/>
        <v>212.84736191860466</v>
      </c>
      <c r="CS138" s="172">
        <f t="shared" si="373"/>
        <v>42.000000000000007</v>
      </c>
      <c r="CT138" s="217">
        <f t="shared" si="374"/>
        <v>14.189824127906977</v>
      </c>
      <c r="CU138" s="217">
        <f t="shared" si="375"/>
        <v>15</v>
      </c>
      <c r="CV138" s="217"/>
      <c r="CW138" s="172">
        <f t="shared" si="376"/>
        <v>150.69315723677926</v>
      </c>
      <c r="CX138" s="172">
        <f t="shared" si="377"/>
        <v>15</v>
      </c>
      <c r="CY138" s="217">
        <f t="shared" si="378"/>
        <v>9.8755980861244037</v>
      </c>
      <c r="CZ138" s="217">
        <f t="shared" si="379"/>
        <v>6.2372198438680435</v>
      </c>
      <c r="DA138" s="217">
        <f t="shared" si="380"/>
        <v>7.6952712359410933</v>
      </c>
      <c r="DB138" s="197">
        <f t="shared" si="381"/>
        <v>70.881782945736433</v>
      </c>
      <c r="DC138" s="443">
        <f t="shared" si="382"/>
        <v>71.774673622378472</v>
      </c>
      <c r="DE138" s="217">
        <f t="shared" si="383"/>
        <v>10.000000000000002</v>
      </c>
      <c r="DF138" s="173">
        <f t="shared" si="384"/>
        <v>7.792207792207793</v>
      </c>
      <c r="DG138" s="173">
        <f t="shared" si="385"/>
        <v>2.7616279069767451</v>
      </c>
      <c r="DH138" s="173"/>
      <c r="DI138" s="173">
        <f t="shared" si="386"/>
        <v>7.7922077922077913</v>
      </c>
      <c r="DJ138" s="545">
        <f t="shared" si="387"/>
        <v>71.866666666666674</v>
      </c>
      <c r="DK138" s="528">
        <f t="shared" si="388"/>
        <v>2.7616279069767442</v>
      </c>
      <c r="DM138" s="173">
        <f t="shared" si="389"/>
        <v>4.5313721247910479</v>
      </c>
      <c r="DN138" s="173">
        <f t="shared" si="390"/>
        <v>10</v>
      </c>
      <c r="DO138" s="173">
        <f t="shared" si="391"/>
        <v>1.2</v>
      </c>
      <c r="DQ138" s="545">
        <f t="shared" si="392"/>
        <v>2800.0000000000005</v>
      </c>
      <c r="DR138" s="460">
        <f t="shared" si="393"/>
        <v>71.774673622378472</v>
      </c>
      <c r="DT138">
        <f t="shared" si="430"/>
        <v>2800.0000000000005</v>
      </c>
      <c r="DU138">
        <f t="shared" si="431"/>
        <v>71.774673622378472</v>
      </c>
      <c r="DW138" s="5">
        <f t="shared" si="394"/>
        <v>13.932491079809132</v>
      </c>
      <c r="DX138" s="5">
        <f t="shared" si="395"/>
        <v>6.3157894736842106</v>
      </c>
      <c r="DY138" s="5">
        <f t="shared" si="396"/>
        <v>7.6167016061249218</v>
      </c>
      <c r="DZ138" s="5"/>
      <c r="EA138" s="173">
        <f t="shared" si="397"/>
        <v>0.4533137281413378</v>
      </c>
      <c r="EB138" s="173">
        <f t="shared" si="398"/>
        <v>43.064804173427092</v>
      </c>
      <c r="EC138" s="173">
        <f t="shared" si="399"/>
        <v>2.733431359293311</v>
      </c>
      <c r="ED138" s="173">
        <f t="shared" si="400"/>
        <v>15.754851142324229</v>
      </c>
      <c r="EE138" s="460">
        <f t="shared" si="401"/>
        <v>117.89473684210527</v>
      </c>
      <c r="EF138" s="5">
        <f t="shared" si="402"/>
        <v>5.8058342551224449</v>
      </c>
      <c r="EH138" s="173">
        <f t="shared" si="403"/>
        <v>3.8872172057541703</v>
      </c>
      <c r="EI138" s="173">
        <f t="shared" si="404"/>
        <v>4.2688260363502835</v>
      </c>
      <c r="EK138" s="528">
        <f t="shared" si="405"/>
        <v>0.30220915209422516</v>
      </c>
      <c r="EL138" s="528">
        <f t="shared" si="406"/>
        <v>0.49380975452196391</v>
      </c>
      <c r="EM138" s="528">
        <f t="shared" si="407"/>
        <v>8.9718342027973082E-3</v>
      </c>
      <c r="EN138" s="528">
        <f t="shared" si="408"/>
        <v>8.4935277777777787E-3</v>
      </c>
      <c r="EO138">
        <f t="shared" si="409"/>
        <v>8.5500000000000003E-3</v>
      </c>
      <c r="EP138" s="460">
        <f t="shared" si="410"/>
        <v>17.521834202797308</v>
      </c>
      <c r="EQ138" s="460"/>
      <c r="ER138" s="460">
        <f t="shared" si="432"/>
        <v>822.03426859676415</v>
      </c>
      <c r="ES138" s="528">
        <f t="shared" si="411"/>
        <v>1.96</v>
      </c>
      <c r="EV138" s="460">
        <f t="shared" si="412"/>
        <v>1960</v>
      </c>
      <c r="EW138" s="528">
        <f t="shared" si="413"/>
        <v>0.45331372814133775</v>
      </c>
      <c r="EX138" s="528">
        <f t="shared" si="414"/>
        <v>0.54668627185866214</v>
      </c>
      <c r="EY138" s="528">
        <f t="shared" si="415"/>
        <v>0.69007782208326285</v>
      </c>
      <c r="EZ138" s="528"/>
      <c r="FA138" s="528">
        <f t="shared" si="416"/>
        <v>7.1774673622378481E-3</v>
      </c>
      <c r="FB138" s="460">
        <f t="shared" si="417"/>
        <v>1697.2552894455007</v>
      </c>
      <c r="FC138" s="173">
        <f t="shared" si="418"/>
        <v>4.4792895580422645</v>
      </c>
      <c r="FD138" s="5">
        <f t="shared" si="419"/>
        <v>42.000000000000007</v>
      </c>
      <c r="FE138" s="173">
        <f t="shared" si="420"/>
        <v>0.90362826969528809</v>
      </c>
      <c r="FF138" s="5">
        <f t="shared" si="421"/>
        <v>90.362826969528811</v>
      </c>
      <c r="FI138" s="562">
        <f t="shared" si="422"/>
        <v>-50</v>
      </c>
      <c r="FJ138">
        <f t="shared" si="423"/>
        <v>-50</v>
      </c>
      <c r="FL138">
        <f t="shared" si="424"/>
        <v>0.54668627185866225</v>
      </c>
    </row>
    <row r="139" spans="5:168">
      <c r="E139" s="170">
        <v>29</v>
      </c>
      <c r="F139" s="217">
        <f t="shared" si="425"/>
        <v>2.9</v>
      </c>
      <c r="G139" s="217"/>
      <c r="H139" s="217">
        <f t="shared" si="315"/>
        <v>43.5</v>
      </c>
      <c r="I139" s="541">
        <f t="shared" si="316"/>
        <v>18.735816342523904</v>
      </c>
      <c r="J139" s="172">
        <f t="shared" si="317"/>
        <v>15.558510194485658</v>
      </c>
      <c r="K139" s="172">
        <f t="shared" si="318"/>
        <v>34.29432653700956</v>
      </c>
      <c r="L139" s="443"/>
      <c r="M139" s="217">
        <f t="shared" si="319"/>
        <v>0.45366007973770672</v>
      </c>
      <c r="N139" s="172">
        <f t="shared" si="426"/>
        <v>212.6941660809882</v>
      </c>
      <c r="O139" s="172">
        <f t="shared" si="438"/>
        <v>43.5</v>
      </c>
      <c r="P139" s="217">
        <f t="shared" si="320"/>
        <v>14.17961107206588</v>
      </c>
      <c r="Q139" s="217">
        <f t="shared" si="321"/>
        <v>15</v>
      </c>
      <c r="R139" s="217"/>
      <c r="S139" s="172">
        <f t="shared" si="322"/>
        <v>142.83216471274497</v>
      </c>
      <c r="T139" s="172">
        <f t="shared" si="323"/>
        <v>15</v>
      </c>
      <c r="U139" s="217">
        <f t="shared" si="324"/>
        <v>10.616101413961234</v>
      </c>
      <c r="V139" s="217">
        <f t="shared" si="325"/>
        <v>6.7994484274696765</v>
      </c>
      <c r="W139" s="217">
        <f t="shared" si="326"/>
        <v>8.1880087087442526</v>
      </c>
      <c r="X139" s="197">
        <f t="shared" si="327"/>
        <v>70.833239538078374</v>
      </c>
      <c r="Y139" s="443">
        <f t="shared" si="328"/>
        <v>65.843807230608533</v>
      </c>
      <c r="AA139" s="217">
        <f t="shared" si="329"/>
        <v>10</v>
      </c>
      <c r="AB139" s="173">
        <f t="shared" si="330"/>
        <v>7.712820732831549</v>
      </c>
      <c r="AC139" s="173">
        <f t="shared" si="331"/>
        <v>2.731620392414571</v>
      </c>
      <c r="AD139" s="173"/>
      <c r="AE139" s="173">
        <f t="shared" si="332"/>
        <v>7.712820732831549</v>
      </c>
      <c r="AF139" s="545">
        <f t="shared" si="333"/>
        <v>75.199465940014022</v>
      </c>
      <c r="AG139" s="528">
        <f t="shared" si="334"/>
        <v>2.731620392414571</v>
      </c>
      <c r="AI139" s="173">
        <f t="shared" si="335"/>
        <v>4.6352520640356616</v>
      </c>
      <c r="AJ139" s="173">
        <f t="shared" si="336"/>
        <v>10.616101413961234</v>
      </c>
      <c r="AK139" s="173">
        <f t="shared" si="337"/>
        <v>1.656371417749062</v>
      </c>
      <c r="AM139" s="545">
        <f t="shared" si="338"/>
        <v>2900</v>
      </c>
      <c r="AN139" s="460">
        <f t="shared" si="339"/>
        <v>65.843807230608533</v>
      </c>
      <c r="AP139" s="460">
        <f t="shared" si="340"/>
        <v>2900</v>
      </c>
      <c r="AQ139" s="460">
        <f t="shared" si="341"/>
        <v>65.843807230608533</v>
      </c>
      <c r="AS139" s="5">
        <f t="shared" si="439"/>
        <v>15.187457136213931</v>
      </c>
      <c r="AT139" s="5">
        <f t="shared" si="342"/>
        <v>6.7994484274696765</v>
      </c>
      <c r="AU139" s="5">
        <f t="shared" si="343"/>
        <v>8.3880087087442554</v>
      </c>
      <c r="AV139" s="5"/>
      <c r="AW139" s="173">
        <f t="shared" si="344"/>
        <v>0.44770157153277773</v>
      </c>
      <c r="AX139" s="173">
        <f t="shared" si="435"/>
        <v>44.524218196913381</v>
      </c>
      <c r="AY139" s="173">
        <f t="shared" si="436"/>
        <v>2.9316280636897232</v>
      </c>
      <c r="AZ139" s="173">
        <f t="shared" si="440"/>
        <v>15.187539902614919</v>
      </c>
      <c r="BA139" s="460">
        <f t="shared" si="433"/>
        <v>131.45600293108043</v>
      </c>
      <c r="BB139" s="5">
        <f t="shared" si="434"/>
        <v>6.7154869759048115</v>
      </c>
      <c r="BD139" s="173">
        <f t="shared" si="441"/>
        <v>4.1010847169669598</v>
      </c>
      <c r="BE139" s="173">
        <f t="shared" si="437"/>
        <v>4.555030979195414</v>
      </c>
      <c r="BG139" s="528">
        <f t="shared" si="347"/>
        <v>0.33637791711479936</v>
      </c>
      <c r="BH139" s="528">
        <f t="shared" si="348"/>
        <v>0.44947293329179067</v>
      </c>
      <c r="BI139" s="528">
        <f t="shared" si="349"/>
        <v>3.0840936989130725E-2</v>
      </c>
      <c r="BJ139" s="528">
        <f t="shared" si="350"/>
        <v>7.7438956507252894E-3</v>
      </c>
      <c r="BK139">
        <f t="shared" si="351"/>
        <v>8.4311173541357573E-3</v>
      </c>
      <c r="BL139" s="460">
        <f t="shared" si="427"/>
        <v>39.272054343266483</v>
      </c>
      <c r="BM139" s="528">
        <f t="shared" si="352"/>
        <v>0.9612425498615691</v>
      </c>
      <c r="BN139" s="460">
        <f t="shared" si="353"/>
        <v>961.24254986156905</v>
      </c>
      <c r="BO139" s="528">
        <f t="shared" si="354"/>
        <v>2.0299999999999998</v>
      </c>
      <c r="BR139" s="460">
        <f t="shared" si="355"/>
        <v>2029.9999999999998</v>
      </c>
      <c r="BS139" s="528">
        <f t="shared" si="356"/>
        <v>0.50456687567219904</v>
      </c>
      <c r="BT139" s="528">
        <f t="shared" si="357"/>
        <v>0.62244921664289798</v>
      </c>
      <c r="BU139" s="528">
        <f t="shared" si="358"/>
        <v>0.64590699494436465</v>
      </c>
      <c r="BV139" s="528"/>
      <c r="BW139" s="528">
        <f t="shared" si="359"/>
        <v>7.4207030328188968E-3</v>
      </c>
      <c r="BX139" s="460">
        <f t="shared" si="360"/>
        <v>1780.3437902922808</v>
      </c>
      <c r="BY139" s="173">
        <f t="shared" si="361"/>
        <v>4.6432105906928625</v>
      </c>
      <c r="BZ139" s="5">
        <f t="shared" si="362"/>
        <v>43.5</v>
      </c>
      <c r="CA139" s="173">
        <f t="shared" si="363"/>
        <v>0.90355419728507902</v>
      </c>
      <c r="CB139" s="5">
        <f t="shared" si="364"/>
        <v>90.355419728507897</v>
      </c>
      <c r="CE139" s="562">
        <f t="shared" si="365"/>
        <v>-50</v>
      </c>
      <c r="CF139">
        <f t="shared" si="366"/>
        <v>-50</v>
      </c>
      <c r="CG139" s="173">
        <f t="shared" si="367"/>
        <v>0.54886059715150981</v>
      </c>
      <c r="CI139" s="170">
        <v>29</v>
      </c>
      <c r="CJ139" s="217">
        <f t="shared" si="428"/>
        <v>2.9</v>
      </c>
      <c r="CK139" s="217"/>
      <c r="CL139" s="217">
        <f t="shared" si="368"/>
        <v>43.5</v>
      </c>
      <c r="CM139" s="541">
        <f t="shared" si="369"/>
        <v>19</v>
      </c>
      <c r="CN139" s="443">
        <f t="shared" si="370"/>
        <v>15.4</v>
      </c>
      <c r="CO139" s="443">
        <f t="shared" si="371"/>
        <v>34.4</v>
      </c>
      <c r="CP139" s="443"/>
      <c r="CQ139" s="217">
        <f t="shared" si="372"/>
        <v>0.44767441860465118</v>
      </c>
      <c r="CR139" s="172">
        <f t="shared" si="429"/>
        <v>212.84736191860466</v>
      </c>
      <c r="CS139" s="172">
        <f t="shared" si="373"/>
        <v>43.5</v>
      </c>
      <c r="CT139" s="217">
        <f t="shared" si="374"/>
        <v>14.189824127906977</v>
      </c>
      <c r="CU139" s="217">
        <f t="shared" si="375"/>
        <v>15</v>
      </c>
      <c r="CV139" s="217"/>
      <c r="CW139" s="172">
        <f t="shared" si="376"/>
        <v>144.84542867509592</v>
      </c>
      <c r="CX139" s="172">
        <f t="shared" si="377"/>
        <v>15</v>
      </c>
      <c r="CY139" s="217">
        <f t="shared" si="378"/>
        <v>10.228298017771701</v>
      </c>
      <c r="CZ139" s="217">
        <f t="shared" si="379"/>
        <v>6.459977695434759</v>
      </c>
      <c r="DA139" s="217">
        <f t="shared" si="380"/>
        <v>7.970102351510417</v>
      </c>
      <c r="DB139" s="197">
        <f t="shared" si="381"/>
        <v>70.881782945736433</v>
      </c>
      <c r="DC139" s="443">
        <f t="shared" si="382"/>
        <v>69.29968487677921</v>
      </c>
      <c r="DE139" s="217">
        <f t="shared" si="383"/>
        <v>10.000000000000002</v>
      </c>
      <c r="DF139" s="173">
        <f t="shared" si="384"/>
        <v>7.792207792207793</v>
      </c>
      <c r="DG139" s="173">
        <f t="shared" si="385"/>
        <v>2.7616279069767451</v>
      </c>
      <c r="DH139" s="173"/>
      <c r="DI139" s="173">
        <f t="shared" si="386"/>
        <v>7.7922077922077913</v>
      </c>
      <c r="DJ139" s="545">
        <f t="shared" si="387"/>
        <v>74.433333333333323</v>
      </c>
      <c r="DK139" s="528">
        <f t="shared" si="388"/>
        <v>2.7616279069767442</v>
      </c>
      <c r="DM139" s="173">
        <f t="shared" si="389"/>
        <v>4.6115796281390038</v>
      </c>
      <c r="DN139" s="173">
        <f t="shared" si="390"/>
        <v>10.228298017771701</v>
      </c>
      <c r="DO139" s="173">
        <f t="shared" si="391"/>
        <v>1.3691096427938527</v>
      </c>
      <c r="DQ139" s="545">
        <f t="shared" si="392"/>
        <v>2900</v>
      </c>
      <c r="DR139" s="460">
        <f t="shared" si="393"/>
        <v>69.29968487677921</v>
      </c>
      <c r="DT139">
        <f t="shared" si="430"/>
        <v>2900</v>
      </c>
      <c r="DU139">
        <f t="shared" si="431"/>
        <v>69.29968487677921</v>
      </c>
      <c r="DW139" s="5">
        <f t="shared" si="394"/>
        <v>14.430080046945175</v>
      </c>
      <c r="DX139" s="5">
        <f t="shared" si="395"/>
        <v>6.459977695434759</v>
      </c>
      <c r="DY139" s="5">
        <f t="shared" si="396"/>
        <v>7.9701023515104161</v>
      </c>
      <c r="DZ139" s="5"/>
      <c r="EA139" s="173">
        <f t="shared" si="397"/>
        <v>0.44767441860465118</v>
      </c>
      <c r="EB139" s="173">
        <f t="shared" si="398"/>
        <v>43.5</v>
      </c>
      <c r="EC139" s="173">
        <f t="shared" si="399"/>
        <v>2.8246753246753245</v>
      </c>
      <c r="ED139" s="173">
        <f t="shared" si="400"/>
        <v>15.4</v>
      </c>
      <c r="EE139" s="460">
        <f t="shared" si="401"/>
        <v>124.89290211173866</v>
      </c>
      <c r="EF139" s="5">
        <f t="shared" si="402"/>
        <v>6.2921860669819063</v>
      </c>
      <c r="EH139" s="173">
        <f t="shared" si="403"/>
        <v>3.951153346045599</v>
      </c>
      <c r="EI139" s="173">
        <f t="shared" si="404"/>
        <v>4.3887447730321298</v>
      </c>
      <c r="EK139" s="528">
        <f t="shared" si="405"/>
        <v>0.31223225527934667</v>
      </c>
      <c r="EL139" s="528">
        <f t="shared" si="406"/>
        <v>0.48766666666666664</v>
      </c>
      <c r="EM139" s="528">
        <f t="shared" si="407"/>
        <v>8.6624606095974006E-3</v>
      </c>
      <c r="EN139" s="528">
        <f t="shared" si="408"/>
        <v>8.2006475095785444E-3</v>
      </c>
      <c r="EO139">
        <f t="shared" si="409"/>
        <v>8.5500000000000003E-3</v>
      </c>
      <c r="EP139" s="460">
        <f t="shared" si="410"/>
        <v>17.2124606095974</v>
      </c>
      <c r="EQ139" s="460"/>
      <c r="ER139" s="460">
        <f t="shared" si="432"/>
        <v>825.31203006518911</v>
      </c>
      <c r="ES139" s="528">
        <f t="shared" si="411"/>
        <v>2.0299999999999998</v>
      </c>
      <c r="EV139" s="460">
        <f t="shared" si="412"/>
        <v>2029.9999999999998</v>
      </c>
      <c r="EW139" s="528">
        <f t="shared" si="413"/>
        <v>0.46834838291901998</v>
      </c>
      <c r="EX139" s="528">
        <f t="shared" si="414"/>
        <v>0.57783242048450512</v>
      </c>
      <c r="EY139" s="528">
        <f t="shared" si="415"/>
        <v>0.66881589702681288</v>
      </c>
      <c r="EZ139" s="528"/>
      <c r="FA139" s="528">
        <f t="shared" si="416"/>
        <v>7.2500000000000004E-3</v>
      </c>
      <c r="FB139" s="460">
        <f t="shared" si="417"/>
        <v>1722.2467004303378</v>
      </c>
      <c r="FC139" s="173">
        <f t="shared" si="418"/>
        <v>4.577558730495527</v>
      </c>
      <c r="FD139" s="5">
        <f t="shared" si="419"/>
        <v>43.5</v>
      </c>
      <c r="FE139" s="173">
        <f t="shared" si="420"/>
        <v>0.90478803725963763</v>
      </c>
      <c r="FF139" s="5">
        <f t="shared" si="421"/>
        <v>90.478803725963758</v>
      </c>
      <c r="FI139" s="562">
        <f t="shared" si="422"/>
        <v>-50</v>
      </c>
      <c r="FJ139">
        <f t="shared" si="423"/>
        <v>-50</v>
      </c>
      <c r="FL139">
        <f t="shared" si="424"/>
        <v>0.55232558139534882</v>
      </c>
    </row>
    <row r="140" spans="5:168">
      <c r="E140" s="170">
        <v>30</v>
      </c>
      <c r="F140" s="217">
        <f t="shared" si="425"/>
        <v>3</v>
      </c>
      <c r="G140" s="217"/>
      <c r="H140" s="217">
        <f t="shared" si="315"/>
        <v>45</v>
      </c>
      <c r="I140" s="541">
        <f t="shared" si="316"/>
        <v>18.726764059634263</v>
      </c>
      <c r="J140" s="172">
        <f t="shared" si="317"/>
        <v>15.563941564219443</v>
      </c>
      <c r="K140" s="172">
        <f t="shared" si="318"/>
        <v>34.290705623853704</v>
      </c>
      <c r="L140" s="443"/>
      <c r="M140" s="217">
        <f t="shared" si="319"/>
        <v>0.45386638499639542</v>
      </c>
      <c r="N140" s="172">
        <f t="shared" si="426"/>
        <v>212.68807956744325</v>
      </c>
      <c r="O140" s="172">
        <f t="shared" si="438"/>
        <v>45</v>
      </c>
      <c r="P140" s="217">
        <f t="shared" si="320"/>
        <v>14.179205304496216</v>
      </c>
      <c r="Q140" s="217">
        <f t="shared" si="321"/>
        <v>15</v>
      </c>
      <c r="R140" s="217"/>
      <c r="S140" s="172">
        <f t="shared" si="322"/>
        <v>137.38396868581026</v>
      </c>
      <c r="T140" s="172">
        <f t="shared" si="323"/>
        <v>15</v>
      </c>
      <c r="U140" s="217">
        <f t="shared" si="324"/>
        <v>10.986322458763867</v>
      </c>
      <c r="V140" s="217">
        <f t="shared" si="325"/>
        <v>7.0399706583231865</v>
      </c>
      <c r="W140" s="217">
        <f t="shared" si="326"/>
        <v>8.4705965363072995</v>
      </c>
      <c r="X140" s="197">
        <f t="shared" si="327"/>
        <v>70.831210238186245</v>
      </c>
      <c r="Y140" s="443">
        <f t="shared" si="328"/>
        <v>63.651425668563853</v>
      </c>
      <c r="AA140" s="217">
        <f t="shared" si="329"/>
        <v>10</v>
      </c>
      <c r="AB140" s="173">
        <f t="shared" si="330"/>
        <v>7.7101291793508615</v>
      </c>
      <c r="AC140" s="173">
        <f t="shared" si="331"/>
        <v>2.730588904330876</v>
      </c>
      <c r="AD140" s="173"/>
      <c r="AE140" s="173">
        <f t="shared" si="332"/>
        <v>7.7101291793508615</v>
      </c>
      <c r="AF140" s="545">
        <f t="shared" si="333"/>
        <v>77.819707821097197</v>
      </c>
      <c r="AG140" s="528">
        <f t="shared" si="334"/>
        <v>2.730588904330876</v>
      </c>
      <c r="AI140" s="173">
        <f t="shared" si="335"/>
        <v>4.7153157089000102</v>
      </c>
      <c r="AJ140" s="173">
        <f t="shared" si="336"/>
        <v>10.986322458763867</v>
      </c>
      <c r="AK140" s="173">
        <f t="shared" si="337"/>
        <v>1.9306092287139758</v>
      </c>
      <c r="AM140" s="545">
        <f t="shared" si="338"/>
        <v>3000</v>
      </c>
      <c r="AN140" s="460">
        <f t="shared" si="339"/>
        <v>63.651425668563853</v>
      </c>
      <c r="AP140" s="460">
        <f t="shared" si="340"/>
        <v>3000</v>
      </c>
      <c r="AQ140" s="460">
        <f t="shared" si="341"/>
        <v>63.651425668563853</v>
      </c>
      <c r="AS140" s="5">
        <f t="shared" si="439"/>
        <v>15.710567194630483</v>
      </c>
      <c r="AT140" s="5">
        <f t="shared" si="342"/>
        <v>7.0399706583231865</v>
      </c>
      <c r="AU140" s="5">
        <f t="shared" si="343"/>
        <v>8.670596536307297</v>
      </c>
      <c r="AV140" s="5"/>
      <c r="AW140" s="173">
        <f t="shared" si="344"/>
        <v>0.44810416906712885</v>
      </c>
      <c r="AX140" s="173">
        <f t="shared" si="435"/>
        <v>46.096087941061079</v>
      </c>
      <c r="AY140" s="173">
        <f t="shared" si="436"/>
        <v>3.0316527811379745</v>
      </c>
      <c r="AZ140" s="173">
        <f t="shared" si="440"/>
        <v>15.204936471569891</v>
      </c>
      <c r="BA140" s="460">
        <f t="shared" si="433"/>
        <v>140.79941316646375</v>
      </c>
      <c r="BB140" s="5">
        <f t="shared" si="434"/>
        <v>7.1845695779605068</v>
      </c>
      <c r="BD140" s="173">
        <f t="shared" si="441"/>
        <v>4.2460118972497476</v>
      </c>
      <c r="BE140" s="173">
        <f t="shared" si="437"/>
        <v>4.7121626341903831</v>
      </c>
      <c r="BG140" s="528">
        <f t="shared" si="347"/>
        <v>0.36057234063172799</v>
      </c>
      <c r="BH140" s="528">
        <f t="shared" si="348"/>
        <v>0.44961228721299973</v>
      </c>
      <c r="BI140" s="528">
        <f t="shared" si="349"/>
        <v>2.9799630763863581E-2</v>
      </c>
      <c r="BJ140" s="528">
        <f t="shared" si="350"/>
        <v>7.4844687503304898E-3</v>
      </c>
      <c r="BK140">
        <f t="shared" si="351"/>
        <v>8.4270438268354182E-3</v>
      </c>
      <c r="BL140" s="460">
        <f t="shared" si="427"/>
        <v>38.226674590698998</v>
      </c>
      <c r="BM140" s="528">
        <f t="shared" si="352"/>
        <v>1.0007607955686535</v>
      </c>
      <c r="BN140" s="460">
        <f t="shared" si="353"/>
        <v>1000.7607955686535</v>
      </c>
      <c r="BO140" s="528">
        <f t="shared" si="354"/>
        <v>2.0999999999999996</v>
      </c>
      <c r="BR140" s="460">
        <f t="shared" si="355"/>
        <v>2099.9999999999995</v>
      </c>
      <c r="BS140" s="528">
        <f t="shared" si="356"/>
        <v>0.54085851094759196</v>
      </c>
      <c r="BT140" s="528">
        <f t="shared" si="357"/>
        <v>0.66613430073180147</v>
      </c>
      <c r="BU140" s="528">
        <f t="shared" si="358"/>
        <v>0.64657840790457699</v>
      </c>
      <c r="BV140" s="528"/>
      <c r="BW140" s="528">
        <f t="shared" si="359"/>
        <v>7.6826813235101798E-3</v>
      </c>
      <c r="BX140" s="460">
        <f t="shared" si="360"/>
        <v>1861.2539009074808</v>
      </c>
      <c r="BY140" s="173">
        <f t="shared" si="361"/>
        <v>4.8171496720932376</v>
      </c>
      <c r="BZ140" s="5">
        <f t="shared" si="362"/>
        <v>45</v>
      </c>
      <c r="CA140" s="173">
        <f t="shared" si="363"/>
        <v>0.90330338640808017</v>
      </c>
      <c r="CB140" s="5">
        <f t="shared" si="364"/>
        <v>90.330338640808023</v>
      </c>
      <c r="CE140" s="562">
        <f t="shared" si="365"/>
        <v>-50</v>
      </c>
      <c r="CF140">
        <f t="shared" si="366"/>
        <v>-50</v>
      </c>
      <c r="CG140" s="173">
        <f t="shared" si="367"/>
        <v>0.54897609662630453</v>
      </c>
      <c r="CI140" s="170">
        <v>30</v>
      </c>
      <c r="CJ140" s="217">
        <f t="shared" si="428"/>
        <v>3</v>
      </c>
      <c r="CK140" s="217"/>
      <c r="CL140" s="217">
        <f t="shared" si="368"/>
        <v>45</v>
      </c>
      <c r="CM140" s="541">
        <f t="shared" si="369"/>
        <v>19</v>
      </c>
      <c r="CN140" s="443">
        <f t="shared" si="370"/>
        <v>15.4</v>
      </c>
      <c r="CO140" s="443">
        <f t="shared" si="371"/>
        <v>34.4</v>
      </c>
      <c r="CP140" s="443"/>
      <c r="CQ140" s="217">
        <f t="shared" si="372"/>
        <v>0.44767441860465118</v>
      </c>
      <c r="CR140" s="172">
        <f t="shared" si="429"/>
        <v>212.84736191860466</v>
      </c>
      <c r="CS140" s="172">
        <f t="shared" si="373"/>
        <v>45</v>
      </c>
      <c r="CT140" s="217">
        <f t="shared" si="374"/>
        <v>14.189824127906977</v>
      </c>
      <c r="CU140" s="217">
        <f t="shared" si="375"/>
        <v>15</v>
      </c>
      <c r="CV140" s="217"/>
      <c r="CW140" s="172">
        <f t="shared" si="376"/>
        <v>139.38770149246935</v>
      </c>
      <c r="CX140" s="172">
        <f t="shared" si="377"/>
        <v>15</v>
      </c>
      <c r="CY140" s="217">
        <f t="shared" si="378"/>
        <v>10.580997949419002</v>
      </c>
      <c r="CZ140" s="217">
        <f t="shared" si="379"/>
        <v>6.6827355470014753</v>
      </c>
      <c r="DA140" s="217">
        <f t="shared" si="380"/>
        <v>8.2449334670797416</v>
      </c>
      <c r="DB140" s="197">
        <f t="shared" si="381"/>
        <v>70.881782945736433</v>
      </c>
      <c r="DC140" s="443">
        <f t="shared" si="382"/>
        <v>66.989695380886559</v>
      </c>
      <c r="DE140" s="217">
        <f t="shared" si="383"/>
        <v>10.000000000000002</v>
      </c>
      <c r="DF140" s="173">
        <f t="shared" si="384"/>
        <v>7.792207792207793</v>
      </c>
      <c r="DG140" s="173">
        <f t="shared" si="385"/>
        <v>2.7616279069767451</v>
      </c>
      <c r="DH140" s="173"/>
      <c r="DI140" s="173">
        <f t="shared" si="386"/>
        <v>7.7922077922077913</v>
      </c>
      <c r="DJ140" s="545">
        <f t="shared" si="387"/>
        <v>77</v>
      </c>
      <c r="DK140" s="528">
        <f t="shared" si="388"/>
        <v>2.7616279069767442</v>
      </c>
      <c r="DM140" s="173">
        <f t="shared" si="389"/>
        <v>4.6904157598234297</v>
      </c>
      <c r="DN140" s="173">
        <f t="shared" si="390"/>
        <v>10.580997949419002</v>
      </c>
      <c r="DO140" s="173">
        <f t="shared" si="391"/>
        <v>1.6303688514214829</v>
      </c>
      <c r="DQ140" s="545">
        <f t="shared" si="392"/>
        <v>3000</v>
      </c>
      <c r="DR140" s="460">
        <f t="shared" si="393"/>
        <v>66.989695380886559</v>
      </c>
      <c r="DT140">
        <f t="shared" si="430"/>
        <v>3000</v>
      </c>
      <c r="DU140">
        <f t="shared" si="431"/>
        <v>66.989695380886559</v>
      </c>
      <c r="DW140" s="5">
        <f t="shared" si="394"/>
        <v>14.927669014081218</v>
      </c>
      <c r="DX140" s="5">
        <f t="shared" si="395"/>
        <v>6.6827355470014753</v>
      </c>
      <c r="DY140" s="5">
        <f t="shared" si="396"/>
        <v>8.2449334670797434</v>
      </c>
      <c r="DZ140" s="5"/>
      <c r="EA140" s="173">
        <f t="shared" si="397"/>
        <v>0.44767441860465118</v>
      </c>
      <c r="EB140" s="173">
        <f t="shared" si="398"/>
        <v>45</v>
      </c>
      <c r="EC140" s="173">
        <f t="shared" si="399"/>
        <v>2.9220779220779218</v>
      </c>
      <c r="ED140" s="173">
        <f t="shared" si="400"/>
        <v>15.400000000000002</v>
      </c>
      <c r="EE140" s="460">
        <f t="shared" si="401"/>
        <v>133.6547109400295</v>
      </c>
      <c r="EF140" s="5">
        <f t="shared" si="402"/>
        <v>6.7336117244752876</v>
      </c>
      <c r="EH140" s="173">
        <f t="shared" si="403"/>
        <v>4.0874000131506198</v>
      </c>
      <c r="EI140" s="173">
        <f t="shared" si="404"/>
        <v>4.5400807996884103</v>
      </c>
      <c r="EK140" s="528">
        <f t="shared" si="405"/>
        <v>0.33413677735007374</v>
      </c>
      <c r="EL140" s="528">
        <f t="shared" si="406"/>
        <v>0.48766666666666664</v>
      </c>
      <c r="EM140" s="528">
        <f t="shared" si="407"/>
        <v>8.37371192261082E-3</v>
      </c>
      <c r="EN140" s="528">
        <f t="shared" si="408"/>
        <v>7.9272925925925903E-3</v>
      </c>
      <c r="EO140">
        <f t="shared" si="409"/>
        <v>8.5500000000000003E-3</v>
      </c>
      <c r="EP140" s="460">
        <f t="shared" si="410"/>
        <v>16.923711922610821</v>
      </c>
      <c r="EQ140" s="460"/>
      <c r="ER140" s="460">
        <f t="shared" si="432"/>
        <v>846.65444853194367</v>
      </c>
      <c r="ES140" s="528">
        <f t="shared" si="411"/>
        <v>2.0999999999999996</v>
      </c>
      <c r="EV140" s="460">
        <f t="shared" si="412"/>
        <v>2099.9999999999995</v>
      </c>
      <c r="EW140" s="528">
        <f t="shared" si="413"/>
        <v>0.50120516602511067</v>
      </c>
      <c r="EX140" s="528">
        <f t="shared" si="414"/>
        <v>0.61837001003098058</v>
      </c>
      <c r="EY140" s="528">
        <f t="shared" si="415"/>
        <v>0.66881589702681221</v>
      </c>
      <c r="EZ140" s="528"/>
      <c r="FA140" s="528">
        <f t="shared" si="416"/>
        <v>7.5000000000000006E-3</v>
      </c>
      <c r="FB140" s="460">
        <f t="shared" si="417"/>
        <v>1795.8910730829036</v>
      </c>
      <c r="FC140" s="173">
        <f t="shared" si="418"/>
        <v>4.7425455216148471</v>
      </c>
      <c r="FD140" s="5">
        <f t="shared" si="419"/>
        <v>45</v>
      </c>
      <c r="FE140" s="173">
        <f t="shared" si="420"/>
        <v>0.90465816592449932</v>
      </c>
      <c r="FF140" s="5">
        <f t="shared" si="421"/>
        <v>90.465816592449926</v>
      </c>
      <c r="FI140" s="562">
        <f t="shared" si="422"/>
        <v>-50</v>
      </c>
      <c r="FJ140">
        <f t="shared" si="423"/>
        <v>-50</v>
      </c>
      <c r="FL140">
        <f t="shared" si="424"/>
        <v>0.55232558139534882</v>
      </c>
    </row>
    <row r="141" spans="5:168">
      <c r="E141" s="170">
        <v>31</v>
      </c>
      <c r="F141" s="217">
        <f t="shared" si="425"/>
        <v>3.1</v>
      </c>
      <c r="G141" s="217"/>
      <c r="H141" s="217">
        <f t="shared" si="315"/>
        <v>46.5</v>
      </c>
      <c r="I141" s="541">
        <f t="shared" si="316"/>
        <v>18.717711754115737</v>
      </c>
      <c r="J141" s="172">
        <f t="shared" si="317"/>
        <v>15.569372947530558</v>
      </c>
      <c r="K141" s="172">
        <f t="shared" si="318"/>
        <v>34.287084701646293</v>
      </c>
      <c r="L141" s="443"/>
      <c r="M141" s="217">
        <f t="shared" si="319"/>
        <v>0.45407273412755994</v>
      </c>
      <c r="N141" s="172">
        <f t="shared" si="426"/>
        <v>212.68191988070154</v>
      </c>
      <c r="O141" s="172">
        <f t="shared" si="438"/>
        <v>46.5</v>
      </c>
      <c r="P141" s="217">
        <f t="shared" si="320"/>
        <v>14.178794658713436</v>
      </c>
      <c r="Q141" s="217">
        <f t="shared" si="321"/>
        <v>15</v>
      </c>
      <c r="R141" s="217"/>
      <c r="S141" s="172">
        <f t="shared" si="322"/>
        <v>132.28800282258248</v>
      </c>
      <c r="T141" s="172">
        <f t="shared" si="323"/>
        <v>15</v>
      </c>
      <c r="U141" s="217">
        <f t="shared" si="324"/>
        <v>11.356824228392131</v>
      </c>
      <c r="V141" s="217">
        <f t="shared" si="325"/>
        <v>7.2809055151059958</v>
      </c>
      <c r="W141" s="217">
        <f t="shared" si="326"/>
        <v>8.753203561889185</v>
      </c>
      <c r="X141" s="197">
        <f t="shared" si="327"/>
        <v>70.829156605191457</v>
      </c>
      <c r="Y141" s="443">
        <f t="shared" si="328"/>
        <v>61.598699088271317</v>
      </c>
      <c r="AA141" s="217">
        <f t="shared" si="329"/>
        <v>10</v>
      </c>
      <c r="AB141" s="173">
        <f t="shared" si="330"/>
        <v>7.7074394970436551</v>
      </c>
      <c r="AC141" s="173">
        <f t="shared" si="331"/>
        <v>2.7295571958057154</v>
      </c>
      <c r="AD141" s="173"/>
      <c r="AE141" s="173">
        <f t="shared" si="332"/>
        <v>7.7074394970436551</v>
      </c>
      <c r="AF141" s="545">
        <f t="shared" si="333"/>
        <v>80.441760228907881</v>
      </c>
      <c r="AG141" s="528">
        <f t="shared" si="334"/>
        <v>2.7295571958057159</v>
      </c>
      <c r="AI141" s="173">
        <f t="shared" si="335"/>
        <v>4.7940963763155882</v>
      </c>
      <c r="AJ141" s="173">
        <f t="shared" si="336"/>
        <v>11.356824228392131</v>
      </c>
      <c r="AK141" s="173">
        <f t="shared" si="337"/>
        <v>2.2050549839941715</v>
      </c>
      <c r="AM141" s="545">
        <f t="shared" si="338"/>
        <v>3100</v>
      </c>
      <c r="AN141" s="460">
        <f t="shared" si="339"/>
        <v>61.598699088271317</v>
      </c>
      <c r="AP141" s="460">
        <f t="shared" si="340"/>
        <v>3100</v>
      </c>
      <c r="AQ141" s="460">
        <f t="shared" si="341"/>
        <v>61.598699088271317</v>
      </c>
      <c r="AS141" s="5">
        <f t="shared" si="439"/>
        <v>16.234109076995178</v>
      </c>
      <c r="AT141" s="5">
        <f t="shared" si="342"/>
        <v>7.2809055151059958</v>
      </c>
      <c r="AU141" s="5">
        <f t="shared" si="343"/>
        <v>8.9532035618891825</v>
      </c>
      <c r="AV141" s="5"/>
      <c r="AW141" s="173">
        <f t="shared" si="344"/>
        <v>0.44849430791514933</v>
      </c>
      <c r="AX141" s="173">
        <f t="shared" si="435"/>
        <v>47.669061212862339</v>
      </c>
      <c r="AY141" s="173">
        <f t="shared" si="436"/>
        <v>3.1316766029827012</v>
      </c>
      <c r="AZ141" s="173">
        <f t="shared" si="440"/>
        <v>15.221578488487898</v>
      </c>
      <c r="BA141" s="460">
        <f t="shared" si="433"/>
        <v>150.47204731219057</v>
      </c>
      <c r="BB141" s="5">
        <f t="shared" si="434"/>
        <v>7.6697402991028971</v>
      </c>
      <c r="BD141" s="173">
        <f t="shared" si="441"/>
        <v>4.3911143275979931</v>
      </c>
      <c r="BE141" s="173">
        <f t="shared" si="437"/>
        <v>4.8693531890962483</v>
      </c>
      <c r="BG141" s="528">
        <f t="shared" si="347"/>
        <v>0.38563770076072751</v>
      </c>
      <c r="BH141" s="528">
        <f t="shared" si="348"/>
        <v>0.44973871727474207</v>
      </c>
      <c r="BI141" s="528">
        <f t="shared" si="349"/>
        <v>2.8824667349069358E-2</v>
      </c>
      <c r="BJ141" s="528">
        <f t="shared" si="350"/>
        <v>7.2415687966750032E-3</v>
      </c>
      <c r="BK141">
        <f t="shared" si="351"/>
        <v>8.4229702893520806E-3</v>
      </c>
      <c r="BL141" s="460">
        <f t="shared" si="427"/>
        <v>37.247637638421438</v>
      </c>
      <c r="BM141" s="528">
        <f t="shared" si="352"/>
        <v>1.0422378313807728</v>
      </c>
      <c r="BN141" s="460">
        <f t="shared" si="353"/>
        <v>1042.2378313807728</v>
      </c>
      <c r="BO141" s="528">
        <f t="shared" si="354"/>
        <v>2.17</v>
      </c>
      <c r="BR141" s="460">
        <f t="shared" si="355"/>
        <v>2170</v>
      </c>
      <c r="BS141" s="528">
        <f t="shared" si="356"/>
        <v>0.57845655114109118</v>
      </c>
      <c r="BT141" s="528">
        <f t="shared" si="357"/>
        <v>0.71131801440485409</v>
      </c>
      <c r="BU141" s="528">
        <f t="shared" si="358"/>
        <v>0.6472038850838927</v>
      </c>
      <c r="BV141" s="528"/>
      <c r="BW141" s="528">
        <f t="shared" si="359"/>
        <v>7.9448435354770568E-3</v>
      </c>
      <c r="BX141" s="460">
        <f t="shared" si="360"/>
        <v>1944.9232941653147</v>
      </c>
      <c r="BY141" s="173">
        <f t="shared" si="361"/>
        <v>4.9947889186358809</v>
      </c>
      <c r="BZ141" s="5">
        <f t="shared" si="362"/>
        <v>46.5</v>
      </c>
      <c r="CA141" s="173">
        <f t="shared" si="363"/>
        <v>0.9030039927626875</v>
      </c>
      <c r="CB141" s="5">
        <f t="shared" si="364"/>
        <v>90.300399276268749</v>
      </c>
      <c r="CE141" s="562">
        <f t="shared" si="365"/>
        <v>-50</v>
      </c>
      <c r="CF141">
        <f t="shared" si="366"/>
        <v>-50</v>
      </c>
      <c r="CG141" s="173">
        <f t="shared" si="367"/>
        <v>0.54908414452207999</v>
      </c>
      <c r="CI141" s="170">
        <v>31</v>
      </c>
      <c r="CJ141" s="217">
        <f t="shared" si="428"/>
        <v>3.1</v>
      </c>
      <c r="CK141" s="217"/>
      <c r="CL141" s="217">
        <f t="shared" si="368"/>
        <v>46.5</v>
      </c>
      <c r="CM141" s="541">
        <f t="shared" si="369"/>
        <v>19</v>
      </c>
      <c r="CN141" s="443">
        <f t="shared" si="370"/>
        <v>15.4</v>
      </c>
      <c r="CO141" s="443">
        <f t="shared" si="371"/>
        <v>34.4</v>
      </c>
      <c r="CP141" s="443"/>
      <c r="CQ141" s="217">
        <f t="shared" si="372"/>
        <v>0.44767441860465118</v>
      </c>
      <c r="CR141" s="172">
        <f t="shared" si="429"/>
        <v>212.84736191860466</v>
      </c>
      <c r="CS141" s="172">
        <f t="shared" si="373"/>
        <v>46.5</v>
      </c>
      <c r="CT141" s="217">
        <f t="shared" si="374"/>
        <v>14.189824127906977</v>
      </c>
      <c r="CU141" s="217">
        <f t="shared" si="375"/>
        <v>15</v>
      </c>
      <c r="CV141" s="217"/>
      <c r="CW141" s="172">
        <f t="shared" si="376"/>
        <v>134.28223557136843</v>
      </c>
      <c r="CX141" s="172">
        <f t="shared" si="377"/>
        <v>15</v>
      </c>
      <c r="CY141" s="217">
        <f t="shared" si="378"/>
        <v>10.933697881066301</v>
      </c>
      <c r="CZ141" s="217">
        <f t="shared" si="379"/>
        <v>6.9054933985681908</v>
      </c>
      <c r="DA141" s="217">
        <f t="shared" si="380"/>
        <v>8.5197645826490671</v>
      </c>
      <c r="DB141" s="197">
        <f t="shared" si="381"/>
        <v>70.881782945736433</v>
      </c>
      <c r="DC141" s="443">
        <f t="shared" si="382"/>
        <v>64.828737465374104</v>
      </c>
      <c r="DE141" s="217">
        <f t="shared" si="383"/>
        <v>10.000000000000002</v>
      </c>
      <c r="DF141" s="173">
        <f t="shared" si="384"/>
        <v>7.792207792207793</v>
      </c>
      <c r="DG141" s="173">
        <f t="shared" si="385"/>
        <v>2.7616279069767451</v>
      </c>
      <c r="DH141" s="173"/>
      <c r="DI141" s="173">
        <f t="shared" si="386"/>
        <v>7.7922077922077913</v>
      </c>
      <c r="DJ141" s="545">
        <f t="shared" si="387"/>
        <v>79.566666666666677</v>
      </c>
      <c r="DK141" s="528">
        <f t="shared" si="388"/>
        <v>2.7616279069767442</v>
      </c>
      <c r="DM141" s="173">
        <f t="shared" si="389"/>
        <v>4.7679485455836597</v>
      </c>
      <c r="DN141" s="173">
        <f t="shared" si="390"/>
        <v>10.933697881066301</v>
      </c>
      <c r="DO141" s="173">
        <f t="shared" si="391"/>
        <v>1.891628060049112</v>
      </c>
      <c r="DQ141" s="545">
        <f t="shared" si="392"/>
        <v>3100</v>
      </c>
      <c r="DR141" s="460">
        <f t="shared" si="393"/>
        <v>64.828737465374104</v>
      </c>
      <c r="DT141">
        <f t="shared" si="430"/>
        <v>3100</v>
      </c>
      <c r="DU141">
        <f t="shared" si="431"/>
        <v>64.828737465374104</v>
      </c>
      <c r="DW141" s="5">
        <f t="shared" si="394"/>
        <v>15.425257981217255</v>
      </c>
      <c r="DX141" s="5">
        <f t="shared" si="395"/>
        <v>6.9054933985681908</v>
      </c>
      <c r="DY141" s="5">
        <f t="shared" si="396"/>
        <v>8.5197645826490636</v>
      </c>
      <c r="DZ141" s="5"/>
      <c r="EA141" s="173">
        <f t="shared" si="397"/>
        <v>0.44767441860465124</v>
      </c>
      <c r="EB141" s="173">
        <f t="shared" si="398"/>
        <v>46.499999999999993</v>
      </c>
      <c r="EC141" s="173">
        <f t="shared" si="399"/>
        <v>3.0194805194805183</v>
      </c>
      <c r="ED141" s="173">
        <f t="shared" si="400"/>
        <v>15.400000000000004</v>
      </c>
      <c r="EE141" s="460">
        <f t="shared" si="401"/>
        <v>142.71353023707596</v>
      </c>
      <c r="EF141" s="5">
        <f t="shared" si="402"/>
        <v>7.1900009635786093</v>
      </c>
      <c r="EH141" s="173">
        <f t="shared" si="403"/>
        <v>4.2236466802556407</v>
      </c>
      <c r="EI141" s="173">
        <f t="shared" si="404"/>
        <v>4.6914168263446898</v>
      </c>
      <c r="EK141" s="528">
        <f t="shared" si="405"/>
        <v>0.3567838255926899</v>
      </c>
      <c r="EL141" s="528">
        <f t="shared" si="406"/>
        <v>0.48766666666666675</v>
      </c>
      <c r="EM141" s="528">
        <f t="shared" si="407"/>
        <v>8.1035921831717622E-3</v>
      </c>
      <c r="EN141" s="528">
        <f t="shared" si="408"/>
        <v>7.67157347670251E-3</v>
      </c>
      <c r="EO141">
        <f t="shared" si="409"/>
        <v>8.5500000000000003E-3</v>
      </c>
      <c r="EP141" s="460">
        <f t="shared" si="410"/>
        <v>16.653592183171764</v>
      </c>
      <c r="EQ141" s="460"/>
      <c r="ER141" s="460">
        <f t="shared" si="432"/>
        <v>868.77565791923098</v>
      </c>
      <c r="ES141" s="528">
        <f t="shared" si="411"/>
        <v>2.17</v>
      </c>
      <c r="EV141" s="460">
        <f t="shared" si="412"/>
        <v>2170</v>
      </c>
      <c r="EW141" s="528">
        <f t="shared" si="413"/>
        <v>0.53517573838903487</v>
      </c>
      <c r="EX141" s="528">
        <f t="shared" si="414"/>
        <v>0.66028175515530241</v>
      </c>
      <c r="EY141" s="528">
        <f t="shared" si="415"/>
        <v>0.66881589702681166</v>
      </c>
      <c r="EZ141" s="528"/>
      <c r="FA141" s="528">
        <f t="shared" si="416"/>
        <v>7.7499999999999999E-3</v>
      </c>
      <c r="FB141" s="460">
        <f t="shared" si="417"/>
        <v>1872.0233905711486</v>
      </c>
      <c r="FC141" s="173">
        <f t="shared" si="418"/>
        <v>4.9107990484903796</v>
      </c>
      <c r="FD141" s="5">
        <f t="shared" si="419"/>
        <v>46.5</v>
      </c>
      <c r="FE141" s="173">
        <f t="shared" si="420"/>
        <v>0.90447923122419194</v>
      </c>
      <c r="FF141" s="5">
        <f t="shared" si="421"/>
        <v>90.447923122419198</v>
      </c>
      <c r="FI141" s="562">
        <f t="shared" si="422"/>
        <v>-50</v>
      </c>
      <c r="FJ141">
        <f t="shared" si="423"/>
        <v>-50</v>
      </c>
      <c r="FL141">
        <f t="shared" si="424"/>
        <v>0.55232558139534871</v>
      </c>
    </row>
    <row r="142" spans="5:168">
      <c r="E142" s="170">
        <v>32</v>
      </c>
      <c r="F142" s="217">
        <f t="shared" si="425"/>
        <v>3.2</v>
      </c>
      <c r="G142" s="217"/>
      <c r="H142" s="217">
        <f t="shared" ref="H142:H173" si="442">F142*Vout</f>
        <v>48</v>
      </c>
      <c r="I142" s="541">
        <f t="shared" ref="I142:I173" si="443">VIN_min-F142*(Rdcr_pri+RON/1000)/CG142/Nps</f>
        <v>18.70865942810191</v>
      </c>
      <c r="J142" s="172">
        <f t="shared" ref="J142:J173" si="444">(T142+Vfwd1+F142/CG142*Rdcr_sec)*Nps</f>
        <v>15.574804343138855</v>
      </c>
      <c r="K142" s="172">
        <f t="shared" ref="K142:K173" si="445">(Vout+Vfwd1+F142/CG142*Rdcr_sec)*Nps++I142</f>
        <v>34.283463771240761</v>
      </c>
      <c r="L142" s="443"/>
      <c r="M142" s="217">
        <f t="shared" ref="M142:M173" si="446">(Vout+Vfwd1+F142/FL142*Rdcr_sec)*Nps/((Vout+Vfwd1+F142/FL142*Rdcr_sec)*Nps+I142)</f>
        <v>0.45427912711723739</v>
      </c>
      <c r="N142" s="172">
        <f t="shared" ref="N142:N173" si="447">M142*I142*(Isw_max+VIN_min/Lmag*ILIM_delay)*0.5*Efficiency</f>
        <v>212.67568700831538</v>
      </c>
      <c r="O142" s="172">
        <f t="shared" si="438"/>
        <v>48</v>
      </c>
      <c r="P142" s="217">
        <f t="shared" ref="P142:P172" si="448">N142/Vout</f>
        <v>14.178379133887692</v>
      </c>
      <c r="Q142" s="217">
        <f t="shared" ref="Q142:Q173" si="449">MIN(Vout,N142/F142)</f>
        <v>15</v>
      </c>
      <c r="R142" s="217"/>
      <c r="S142" s="172">
        <f t="shared" ref="S142:S173" si="450">(SQRT(Isw_max^2*Nps^2*I142^2+4*Isw_max*F142/Efficiency*(Nps^2*Vfwd1*I142-Nps*I142^2)+4*(F142/Efficiency)^2*Nps^2*Vfwd1^2+8*(F142/Efficiency)^2*Nps*Vfwd1*I142+4*(F142/Efficiency)^2*I142^2)-2*F142/Efficiency*I142-2*F142/Efficiency*Nps*Vfwd1+Isw_max*Nps*I142)/(4*F142/Efficiency*Nps)</f>
        <v>127.51124748088674</v>
      </c>
      <c r="T142" s="172">
        <f t="shared" ref="T142:T173" si="451">MIN(Vout, S142)</f>
        <v>15</v>
      </c>
      <c r="U142" s="217">
        <f t="shared" ref="U142:U173" si="452">MIN(2*(Vout+Vfwd1+F142/FL142*Rdcr_sec)*F142/(I142*M142), Isw_max)</f>
        <v>11.727607130348694</v>
      </c>
      <c r="V142" s="217">
        <f t="shared" ref="V142:V173" si="453">L*U142/I142*1000000</f>
        <v>7.5222538581676588</v>
      </c>
      <c r="W142" s="217">
        <f t="shared" ref="W142:W173" si="454">L*U142/J142*1000000</f>
        <v>9.0358300793794868</v>
      </c>
      <c r="X142" s="197">
        <f t="shared" ref="X142:X173" si="455">IF(1/((350000*L)*(1/I142+1/J142))&gt;Isw_min, 350, 0.001/((Isw_min*L)*(1/I142+1/J142)))</f>
        <v>70.827078631695713</v>
      </c>
      <c r="Y142" s="443">
        <f t="shared" si="328"/>
        <v>59.672693114960516</v>
      </c>
      <c r="AA142" s="217">
        <f t="shared" ref="AA142:AA173" si="456">1/((X142*1000*L)*(1/I142+1/J142))</f>
        <v>10</v>
      </c>
      <c r="AB142" s="173">
        <f t="shared" ref="AB142:AB173" si="457">L*AA142/J142*1000000</f>
        <v>7.70475168459265</v>
      </c>
      <c r="AC142" s="173">
        <f t="shared" ref="AC142:AC173" si="458">0.5*AB142*AA142*Nps*X142/1000</f>
        <v>2.7285252670116678</v>
      </c>
      <c r="AD142" s="173"/>
      <c r="AE142" s="173">
        <f t="shared" ref="AE142:AE173" si="459">L*Isw_min/J142*1000000</f>
        <v>7.70475168459265</v>
      </c>
      <c r="AF142" s="545">
        <f t="shared" ref="AF142:AF173" si="460">MAX(12000,F142/(0.5*AE142/1000000*Isw_min*Nps))/1000</f>
        <v>83.065623163407224</v>
      </c>
      <c r="AG142" s="528">
        <f t="shared" ref="AG142:AG173" si="461">0.5*AE142/1000000*Isw_min*Nps*X142*1000</f>
        <v>2.7285252670116682</v>
      </c>
      <c r="AI142" s="173">
        <f t="shared" ref="AI142:AI173" si="462">SQRT(F142/(0.5*L/J142*Fsw_DCM*Nps))</f>
        <v>4.8716563086433879</v>
      </c>
      <c r="AJ142" s="173">
        <f t="shared" ref="AJ142:AJ173" si="463">MAX(IF(F142&gt;AC142,U142,AI142),Isw_min)</f>
        <v>11.727607130348694</v>
      </c>
      <c r="AK142" s="173">
        <f t="shared" ref="AK142:AK173" si="464">IF(F142&gt;AG142, (AJ142-Isw_min)/1.08*0.8+1.2, AF142*0.2/350+1)</f>
        <v>2.4797089854434775</v>
      </c>
      <c r="AM142" s="545">
        <f t="shared" ref="AM142:AM173" si="465">F142*1000</f>
        <v>3200</v>
      </c>
      <c r="AN142" s="460">
        <f t="shared" ref="AN142:AN173" si="466">IF(F142&gt;AG142, Y142, AF142)</f>
        <v>59.672693114960516</v>
      </c>
      <c r="AP142" s="460">
        <f t="shared" ref="AP142:AP173" si="467">IF(H142&gt;N142, "",AM142)</f>
        <v>3200</v>
      </c>
      <c r="AQ142" s="460">
        <f t="shared" ref="AQ142:AQ173" si="468">IF(H142&gt;N142, "",AN142)</f>
        <v>59.672693114960516</v>
      </c>
      <c r="AS142" s="5">
        <f t="shared" si="439"/>
        <v>16.758083937547148</v>
      </c>
      <c r="AT142" s="5">
        <f t="shared" ref="AT142:AT173" si="469">L*AJ142/I142*1000000</f>
        <v>7.5222538581676588</v>
      </c>
      <c r="AU142" s="5">
        <f t="shared" si="343"/>
        <v>9.2358300793794896</v>
      </c>
      <c r="AV142" s="5"/>
      <c r="AW142" s="173">
        <f t="shared" si="344"/>
        <v>0.44887314601126638</v>
      </c>
      <c r="AX142" s="173">
        <f t="shared" si="435"/>
        <v>49.243136452723817</v>
      </c>
      <c r="AY142" s="173">
        <f t="shared" si="436"/>
        <v>3.2316996112824583</v>
      </c>
      <c r="AZ142" s="173">
        <f t="shared" si="440"/>
        <v>15.237535159767623</v>
      </c>
      <c r="BA142" s="460">
        <f t="shared" si="433"/>
        <v>160.47474897424337</v>
      </c>
      <c r="BB142" s="5">
        <f t="shared" si="434"/>
        <v>8.1710243455003297</v>
      </c>
      <c r="BD142" s="173">
        <f t="shared" si="441"/>
        <v>4.5363921859763927</v>
      </c>
      <c r="BE142" s="173">
        <f t="shared" si="437"/>
        <v>5.0266027894540768</v>
      </c>
      <c r="BG142" s="528">
        <f t="shared" si="347"/>
        <v>0.41157708129975346</v>
      </c>
      <c r="BH142" s="528">
        <f t="shared" ref="BH142:BH173" si="470">0.5*K142*AJ142*AN142*1000*Tfall</f>
        <v>0.44985340620723085</v>
      </c>
      <c r="BI142" s="528">
        <f t="shared" ref="BI142:BI173" si="471">Qg*Vdd*AN142*1000*0+Qg*I142*AN142*1000</f>
        <v>2.7909902316135951E-2</v>
      </c>
      <c r="BJ142" s="528">
        <f t="shared" si="350"/>
        <v>7.0136651214674174E-3</v>
      </c>
      <c r="BK142">
        <f t="shared" si="351"/>
        <v>8.4188967426458601E-3</v>
      </c>
      <c r="BL142" s="460">
        <f t="shared" si="427"/>
        <v>36.328799058781804</v>
      </c>
      <c r="BM142" s="528">
        <f t="shared" ref="BM142:BM173" si="472">(BH142+BI142*0+BJ142+BK142*0+BG142*(1+RdsonTC*(Ta-25)))/(1-BG142*RdsonTC*ThetaJA)</f>
        <v>1.0857458245453282</v>
      </c>
      <c r="BN142" s="460">
        <f t="shared" si="353"/>
        <v>1085.7458245453281</v>
      </c>
      <c r="BO142" s="528">
        <f t="shared" si="354"/>
        <v>2.2399999999999998</v>
      </c>
      <c r="BR142" s="460">
        <f t="shared" si="355"/>
        <v>2239.9999999999995</v>
      </c>
      <c r="BS142" s="528">
        <f t="shared" si="356"/>
        <v>0.61736562194963018</v>
      </c>
      <c r="BT142" s="528">
        <f t="shared" si="357"/>
        <v>0.75800206808842518</v>
      </c>
      <c r="BU142" s="528">
        <f t="shared" si="358"/>
        <v>0.64778758897925171</v>
      </c>
      <c r="BV142" s="528"/>
      <c r="BW142" s="528">
        <f t="shared" si="359"/>
        <v>8.2071894087873045E-3</v>
      </c>
      <c r="BX142" s="460">
        <f t="shared" si="360"/>
        <v>2031.3624684260944</v>
      </c>
      <c r="BY142" s="173">
        <f t="shared" si="361"/>
        <v>5.1761354201133267</v>
      </c>
      <c r="BZ142" s="5">
        <f t="shared" si="362"/>
        <v>48</v>
      </c>
      <c r="CA142" s="173">
        <f t="shared" si="363"/>
        <v>0.90266055667227929</v>
      </c>
      <c r="CB142" s="5">
        <f t="shared" si="364"/>
        <v>90.266055667227931</v>
      </c>
      <c r="CE142" s="562">
        <f t="shared" ref="CE142:CE173" si="473">IF(ABS(F142-Ioutmax_Vinmin)&lt;Iout/200, AN142, -50)</f>
        <v>-50</v>
      </c>
      <c r="CF142">
        <f t="shared" ref="CF142:CF173" si="474">IF(ABS(F142-Ioutmax_Vinmin)&lt;Iout/200, N142*CA142, -50)</f>
        <v>-50</v>
      </c>
      <c r="CG142" s="173">
        <f t="shared" ref="CG142:CG173" si="475">MIN(SQRT(2*DU142*1000*Ls1_*CL142)/CU142,1-EA142-0.00000005*DU142*1000)</f>
        <v>0.5491854394243697</v>
      </c>
      <c r="CI142" s="170">
        <v>32</v>
      </c>
      <c r="CJ142" s="217">
        <f t="shared" si="428"/>
        <v>3.2</v>
      </c>
      <c r="CK142" s="217"/>
      <c r="CL142" s="217">
        <f t="shared" si="368"/>
        <v>48</v>
      </c>
      <c r="CM142" s="541">
        <f t="shared" si="369"/>
        <v>19</v>
      </c>
      <c r="CN142" s="443">
        <f t="shared" si="370"/>
        <v>15.4</v>
      </c>
      <c r="CO142" s="443">
        <f t="shared" si="371"/>
        <v>34.4</v>
      </c>
      <c r="CP142" s="443"/>
      <c r="CQ142" s="217">
        <f t="shared" si="372"/>
        <v>0.44767441860465118</v>
      </c>
      <c r="CR142" s="172">
        <f t="shared" si="429"/>
        <v>212.84736191860466</v>
      </c>
      <c r="CS142" s="172">
        <f t="shared" si="373"/>
        <v>48</v>
      </c>
      <c r="CT142" s="217">
        <f t="shared" si="374"/>
        <v>14.189824127906977</v>
      </c>
      <c r="CU142" s="217">
        <f t="shared" si="375"/>
        <v>15</v>
      </c>
      <c r="CV142" s="217"/>
      <c r="CW142" s="172">
        <f t="shared" si="376"/>
        <v>129.49600834138047</v>
      </c>
      <c r="CX142" s="172">
        <f t="shared" si="377"/>
        <v>15</v>
      </c>
      <c r="CY142" s="217">
        <f t="shared" si="378"/>
        <v>11.286397812713602</v>
      </c>
      <c r="CZ142" s="217">
        <f t="shared" si="379"/>
        <v>7.1282512501349071</v>
      </c>
      <c r="DA142" s="217">
        <f t="shared" si="380"/>
        <v>8.7945956982183908</v>
      </c>
      <c r="DB142" s="197">
        <f t="shared" si="381"/>
        <v>70.881782945736433</v>
      </c>
      <c r="DC142" s="443">
        <f t="shared" si="382"/>
        <v>62.802839419581161</v>
      </c>
      <c r="DE142" s="217">
        <f t="shared" si="383"/>
        <v>10.000000000000002</v>
      </c>
      <c r="DF142" s="173">
        <f t="shared" si="384"/>
        <v>7.792207792207793</v>
      </c>
      <c r="DG142" s="173">
        <f t="shared" si="385"/>
        <v>2.7616279069767451</v>
      </c>
      <c r="DH142" s="173"/>
      <c r="DI142" s="173">
        <f t="shared" si="386"/>
        <v>7.7922077922077913</v>
      </c>
      <c r="DJ142" s="545">
        <f t="shared" si="387"/>
        <v>82.13333333333334</v>
      </c>
      <c r="DK142" s="528">
        <f t="shared" si="388"/>
        <v>2.7616279069767442</v>
      </c>
      <c r="DM142" s="173">
        <f t="shared" si="389"/>
        <v>4.8442405665559871</v>
      </c>
      <c r="DN142" s="173">
        <f t="shared" si="390"/>
        <v>11.286397812713602</v>
      </c>
      <c r="DO142" s="173">
        <f t="shared" si="391"/>
        <v>2.1528872686767424</v>
      </c>
      <c r="DQ142" s="545">
        <f t="shared" si="392"/>
        <v>3200</v>
      </c>
      <c r="DR142" s="460">
        <f t="shared" si="393"/>
        <v>62.802839419581161</v>
      </c>
      <c r="DT142">
        <f t="shared" si="430"/>
        <v>3200</v>
      </c>
      <c r="DU142">
        <f t="shared" si="431"/>
        <v>62.802839419581161</v>
      </c>
      <c r="DW142" s="5">
        <f t="shared" si="394"/>
        <v>15.922846948353296</v>
      </c>
      <c r="DX142" s="5">
        <f t="shared" si="395"/>
        <v>7.1282512501349071</v>
      </c>
      <c r="DY142" s="5">
        <f t="shared" si="396"/>
        <v>8.794595698218389</v>
      </c>
      <c r="DZ142" s="5"/>
      <c r="EA142" s="173">
        <f t="shared" si="397"/>
        <v>0.44767441860465124</v>
      </c>
      <c r="EB142" s="173">
        <f t="shared" si="398"/>
        <v>48.000000000000007</v>
      </c>
      <c r="EC142" s="173">
        <f t="shared" si="399"/>
        <v>3.1168831168831161</v>
      </c>
      <c r="ED142" s="173">
        <f t="shared" si="400"/>
        <v>15.400000000000006</v>
      </c>
      <c r="EE142" s="460">
        <f t="shared" si="401"/>
        <v>152.06936000287803</v>
      </c>
      <c r="EF142" s="5">
        <f t="shared" si="402"/>
        <v>7.6613537842918804</v>
      </c>
      <c r="EH142" s="173">
        <f t="shared" si="403"/>
        <v>4.3598933473606616</v>
      </c>
      <c r="EI142" s="173">
        <f t="shared" si="404"/>
        <v>4.8427528530009702</v>
      </c>
      <c r="EK142" s="528">
        <f t="shared" si="405"/>
        <v>0.38017340000719507</v>
      </c>
      <c r="EL142" s="528">
        <f t="shared" si="406"/>
        <v>0.48766666666666675</v>
      </c>
      <c r="EM142" s="528">
        <f t="shared" si="407"/>
        <v>7.8503549274476433E-3</v>
      </c>
      <c r="EN142" s="528">
        <f t="shared" si="408"/>
        <v>7.4318368055555561E-3</v>
      </c>
      <c r="EO142">
        <f t="shared" si="409"/>
        <v>8.5500000000000003E-3</v>
      </c>
      <c r="EP142" s="460">
        <f t="shared" si="410"/>
        <v>16.400354927447644</v>
      </c>
      <c r="EQ142" s="460"/>
      <c r="ER142" s="460">
        <f t="shared" si="432"/>
        <v>891.67225840686501</v>
      </c>
      <c r="ES142" s="528">
        <f t="shared" si="411"/>
        <v>2.2399999999999998</v>
      </c>
      <c r="EV142" s="460">
        <f t="shared" si="412"/>
        <v>2239.9999999999995</v>
      </c>
      <c r="EW142" s="528">
        <f t="shared" si="413"/>
        <v>0.57026010001079264</v>
      </c>
      <c r="EX142" s="528">
        <f t="shared" si="414"/>
        <v>0.70356765585747105</v>
      </c>
      <c r="EY142" s="528">
        <f t="shared" si="415"/>
        <v>0.66881589702681221</v>
      </c>
      <c r="EZ142" s="528"/>
      <c r="FA142" s="528">
        <f t="shared" si="416"/>
        <v>8.0000000000000019E-3</v>
      </c>
      <c r="FB142" s="460">
        <f t="shared" si="417"/>
        <v>1950.6436528950762</v>
      </c>
      <c r="FC142" s="173">
        <f t="shared" si="418"/>
        <v>5.0823159113019409</v>
      </c>
      <c r="FD142" s="5">
        <f t="shared" si="419"/>
        <v>48</v>
      </c>
      <c r="FE142" s="173">
        <f t="shared" si="420"/>
        <v>0.90425594995150071</v>
      </c>
      <c r="FF142" s="5">
        <f t="shared" si="421"/>
        <v>90.425594995150078</v>
      </c>
      <c r="FI142" s="562">
        <f t="shared" si="422"/>
        <v>-50</v>
      </c>
      <c r="FJ142">
        <f t="shared" si="423"/>
        <v>-50</v>
      </c>
      <c r="FL142">
        <f t="shared" ref="FL142:FL173" si="476">MIN(SQRT(2*L*DR142*1000*CJ142*(CX142+Vfwd1))/(Nps*(CX142+Vfwd1)), 1-EA142)</f>
        <v>0.55232558139534871</v>
      </c>
    </row>
    <row r="143" spans="5:168">
      <c r="E143" s="170">
        <v>33</v>
      </c>
      <c r="F143" s="217">
        <f t="shared" ref="F143:F174" si="477">IF(PLOT_TYPE=1, E143/100*Iout_max, min_I*EXP(N143*rr/100))</f>
        <v>3.3000000000000003</v>
      </c>
      <c r="G143" s="217"/>
      <c r="H143" s="217">
        <f t="shared" si="442"/>
        <v>49.500000000000007</v>
      </c>
      <c r="I143" s="541">
        <f t="shared" si="443"/>
        <v>18.699607083466322</v>
      </c>
      <c r="J143" s="172">
        <f t="shared" si="444"/>
        <v>15.580235749920206</v>
      </c>
      <c r="K143" s="172">
        <f t="shared" si="445"/>
        <v>34.279842833386525</v>
      </c>
      <c r="L143" s="443"/>
      <c r="M143" s="217">
        <f t="shared" si="446"/>
        <v>0.45448556395485551</v>
      </c>
      <c r="N143" s="172">
        <f t="shared" si="447"/>
        <v>212.6693809365228</v>
      </c>
      <c r="O143" s="172">
        <f t="shared" si="438"/>
        <v>49.500000000000007</v>
      </c>
      <c r="P143" s="217">
        <f t="shared" si="448"/>
        <v>14.177958729101521</v>
      </c>
      <c r="Q143" s="217">
        <f t="shared" si="449"/>
        <v>15</v>
      </c>
      <c r="R143" s="217"/>
      <c r="S143" s="172">
        <f t="shared" si="450"/>
        <v>123.02468542930089</v>
      </c>
      <c r="T143" s="172">
        <f t="shared" si="451"/>
        <v>15</v>
      </c>
      <c r="U143" s="217">
        <f t="shared" si="452"/>
        <v>12.098671572925729</v>
      </c>
      <c r="V143" s="217">
        <f t="shared" si="453"/>
        <v>7.7640165500309619</v>
      </c>
      <c r="W143" s="217">
        <f t="shared" si="454"/>
        <v>9.318476382865537</v>
      </c>
      <c r="X143" s="197">
        <f t="shared" si="455"/>
        <v>70.824976310259686</v>
      </c>
      <c r="Y143" s="443">
        <f t="shared" si="328"/>
        <v>57.862022792819545</v>
      </c>
      <c r="AA143" s="217">
        <f t="shared" si="456"/>
        <v>9.9999999999999982</v>
      </c>
      <c r="AB143" s="173">
        <f t="shared" si="457"/>
        <v>7.7020657406043789</v>
      </c>
      <c r="AC143" s="173">
        <f t="shared" si="458"/>
        <v>2.7274931180918389</v>
      </c>
      <c r="AD143" s="173"/>
      <c r="AE143" s="173">
        <f t="shared" si="459"/>
        <v>7.7020657406043798</v>
      </c>
      <c r="AF143" s="545">
        <f t="shared" si="460"/>
        <v>85.691296624561133</v>
      </c>
      <c r="AG143" s="528">
        <f t="shared" si="461"/>
        <v>2.7274931180918398</v>
      </c>
      <c r="AI143" s="173">
        <f t="shared" si="462"/>
        <v>4.9480529106929998</v>
      </c>
      <c r="AJ143" s="173">
        <f t="shared" si="463"/>
        <v>12.098671572925729</v>
      </c>
      <c r="AK143" s="173">
        <f t="shared" si="464"/>
        <v>2.7545715355005402</v>
      </c>
      <c r="AM143" s="545">
        <f t="shared" si="465"/>
        <v>3300.0000000000005</v>
      </c>
      <c r="AN143" s="460">
        <f t="shared" si="466"/>
        <v>57.862022792819545</v>
      </c>
      <c r="AP143" s="460">
        <f t="shared" si="467"/>
        <v>3300.0000000000005</v>
      </c>
      <c r="AQ143" s="460">
        <f t="shared" si="468"/>
        <v>57.862022792819545</v>
      </c>
      <c r="AS143" s="5">
        <f t="shared" si="439"/>
        <v>17.282492932896499</v>
      </c>
      <c r="AT143" s="5">
        <f t="shared" si="469"/>
        <v>7.7640165500309619</v>
      </c>
      <c r="AU143" s="5">
        <f t="shared" si="343"/>
        <v>9.5184763828655363</v>
      </c>
      <c r="AV143" s="5"/>
      <c r="AW143" s="173">
        <f t="shared" si="344"/>
        <v>0.44924170258171969</v>
      </c>
      <c r="AX143" s="173">
        <f t="shared" si="435"/>
        <v>50.818312287886563</v>
      </c>
      <c r="AY143" s="173">
        <f t="shared" si="436"/>
        <v>3.3317218782637612</v>
      </c>
      <c r="AZ143" s="173">
        <f t="shared" si="440"/>
        <v>15.252867479553601</v>
      </c>
      <c r="BA143" s="460">
        <f t="shared" si="433"/>
        <v>170.80836410068119</v>
      </c>
      <c r="BB143" s="5">
        <f t="shared" si="434"/>
        <v>8.6884470048282605</v>
      </c>
      <c r="BD143" s="173">
        <f t="shared" si="441"/>
        <v>4.6818456572393252</v>
      </c>
      <c r="BE143" s="173">
        <f t="shared" si="437"/>
        <v>5.1839115718695465</v>
      </c>
      <c r="BG143" s="528">
        <f t="shared" si="347"/>
        <v>0.43839357516421457</v>
      </c>
      <c r="BH143" s="528">
        <f t="shared" si="470"/>
        <v>0.44995739506048132</v>
      </c>
      <c r="BI143" s="528">
        <f t="shared" si="471"/>
        <v>2.7049927282007453E-2</v>
      </c>
      <c r="BJ143" s="528">
        <f t="shared" si="350"/>
        <v>6.7994104163347493E-3</v>
      </c>
      <c r="BK143">
        <f t="shared" si="351"/>
        <v>8.4148231875598445E-3</v>
      </c>
      <c r="BL143" s="460">
        <f t="shared" si="427"/>
        <v>35.464750469567299</v>
      </c>
      <c r="BM143" s="528">
        <f t="shared" si="472"/>
        <v>1.1313619209845582</v>
      </c>
      <c r="BN143" s="460">
        <f t="shared" si="353"/>
        <v>1131.3619209845583</v>
      </c>
      <c r="BO143" s="528">
        <f t="shared" si="354"/>
        <v>2.31</v>
      </c>
      <c r="BR143" s="460">
        <f t="shared" si="355"/>
        <v>2310</v>
      </c>
      <c r="BS143" s="528">
        <f t="shared" si="356"/>
        <v>0.65759036274632188</v>
      </c>
      <c r="BT143" s="528">
        <f t="shared" si="357"/>
        <v>0.80618817554888966</v>
      </c>
      <c r="BU143" s="528">
        <f t="shared" si="358"/>
        <v>0.64833318795685313</v>
      </c>
      <c r="BV143" s="528"/>
      <c r="BW143" s="528">
        <f t="shared" si="359"/>
        <v>8.4697187146477605E-3</v>
      </c>
      <c r="BX143" s="460">
        <f t="shared" si="360"/>
        <v>2120.5814449667123</v>
      </c>
      <c r="BY143" s="173">
        <f t="shared" si="361"/>
        <v>5.3611965760773099</v>
      </c>
      <c r="BZ143" s="5">
        <f t="shared" si="362"/>
        <v>49.500000000000007</v>
      </c>
      <c r="CA143" s="173">
        <f t="shared" si="363"/>
        <v>0.90227707540715385</v>
      </c>
      <c r="CB143" s="5">
        <f t="shared" si="364"/>
        <v>90.227707540715386</v>
      </c>
      <c r="CE143" s="562">
        <f t="shared" si="473"/>
        <v>-50</v>
      </c>
      <c r="CF143">
        <f t="shared" si="474"/>
        <v>-50</v>
      </c>
      <c r="CG143" s="173">
        <f t="shared" si="475"/>
        <v>0.54928059524167205</v>
      </c>
      <c r="CI143" s="170">
        <v>33</v>
      </c>
      <c r="CJ143" s="217">
        <f t="shared" si="428"/>
        <v>3.3000000000000003</v>
      </c>
      <c r="CK143" s="217"/>
      <c r="CL143" s="217">
        <f t="shared" si="368"/>
        <v>49.500000000000007</v>
      </c>
      <c r="CM143" s="541">
        <f t="shared" si="369"/>
        <v>19</v>
      </c>
      <c r="CN143" s="443">
        <f t="shared" si="370"/>
        <v>15.4</v>
      </c>
      <c r="CO143" s="443">
        <f t="shared" si="371"/>
        <v>34.4</v>
      </c>
      <c r="CP143" s="443"/>
      <c r="CQ143" s="217">
        <f t="shared" si="372"/>
        <v>0.44767441860465118</v>
      </c>
      <c r="CR143" s="172">
        <f t="shared" si="429"/>
        <v>212.84736191860466</v>
      </c>
      <c r="CS143" s="172">
        <f t="shared" si="373"/>
        <v>49.500000000000007</v>
      </c>
      <c r="CT143" s="217">
        <f t="shared" si="374"/>
        <v>14.189824127906977</v>
      </c>
      <c r="CU143" s="217">
        <f t="shared" si="375"/>
        <v>15</v>
      </c>
      <c r="CV143" s="217"/>
      <c r="CW143" s="172">
        <f t="shared" si="376"/>
        <v>124.99999999999999</v>
      </c>
      <c r="CX143" s="172">
        <f t="shared" si="377"/>
        <v>15</v>
      </c>
      <c r="CY143" s="217">
        <f t="shared" si="378"/>
        <v>11.639097744360903</v>
      </c>
      <c r="CZ143" s="217">
        <f t="shared" si="379"/>
        <v>7.3510091017016235</v>
      </c>
      <c r="DA143" s="217">
        <f t="shared" si="380"/>
        <v>9.0694268137877163</v>
      </c>
      <c r="DB143" s="197">
        <f t="shared" si="381"/>
        <v>70.881782945736433</v>
      </c>
      <c r="DC143" s="443">
        <f t="shared" si="382"/>
        <v>60.899723073533238</v>
      </c>
      <c r="DE143" s="217">
        <f t="shared" si="383"/>
        <v>10.000000000000002</v>
      </c>
      <c r="DF143" s="173">
        <f t="shared" si="384"/>
        <v>7.792207792207793</v>
      </c>
      <c r="DG143" s="173">
        <f t="shared" si="385"/>
        <v>2.7616279069767451</v>
      </c>
      <c r="DH143" s="173"/>
      <c r="DI143" s="173">
        <f t="shared" si="386"/>
        <v>7.7922077922077913</v>
      </c>
      <c r="DJ143" s="545">
        <f t="shared" si="387"/>
        <v>84.700000000000017</v>
      </c>
      <c r="DK143" s="528">
        <f t="shared" si="388"/>
        <v>2.7616279069767442</v>
      </c>
      <c r="DM143" s="173">
        <f t="shared" si="389"/>
        <v>4.9193495504995379</v>
      </c>
      <c r="DN143" s="173">
        <f t="shared" si="390"/>
        <v>11.639097744360903</v>
      </c>
      <c r="DO143" s="173">
        <f t="shared" si="391"/>
        <v>2.4141464773043726</v>
      </c>
      <c r="DQ143" s="545">
        <f t="shared" si="392"/>
        <v>3300.0000000000005</v>
      </c>
      <c r="DR143" s="460">
        <f t="shared" si="393"/>
        <v>60.899723073533238</v>
      </c>
      <c r="DT143">
        <f t="shared" si="430"/>
        <v>3300.0000000000005</v>
      </c>
      <c r="DU143">
        <f t="shared" si="431"/>
        <v>60.899723073533238</v>
      </c>
      <c r="DW143" s="5">
        <f t="shared" si="394"/>
        <v>16.420435915489339</v>
      </c>
      <c r="DX143" s="5">
        <f t="shared" si="395"/>
        <v>7.3510091017016235</v>
      </c>
      <c r="DY143" s="5">
        <f t="shared" si="396"/>
        <v>9.0694268137877145</v>
      </c>
      <c r="DZ143" s="5"/>
      <c r="EA143" s="173">
        <f t="shared" si="397"/>
        <v>0.44767441860465124</v>
      </c>
      <c r="EB143" s="173">
        <f t="shared" si="398"/>
        <v>49.500000000000007</v>
      </c>
      <c r="EC143" s="173">
        <f t="shared" si="399"/>
        <v>3.214285714285714</v>
      </c>
      <c r="ED143" s="173">
        <f t="shared" si="400"/>
        <v>15.400000000000004</v>
      </c>
      <c r="EE143" s="460">
        <f t="shared" si="401"/>
        <v>161.72220023743571</v>
      </c>
      <c r="EF143" s="5">
        <f t="shared" si="402"/>
        <v>8.1476701866150982</v>
      </c>
      <c r="EH143" s="173">
        <f t="shared" si="403"/>
        <v>4.4961400144656825</v>
      </c>
      <c r="EI143" s="173">
        <f t="shared" si="404"/>
        <v>4.9940888796572516</v>
      </c>
      <c r="EK143" s="528">
        <f t="shared" si="405"/>
        <v>0.40430550059358938</v>
      </c>
      <c r="EL143" s="528">
        <f t="shared" si="406"/>
        <v>0.48766666666666664</v>
      </c>
      <c r="EM143" s="528">
        <f t="shared" si="407"/>
        <v>7.6124653841916539E-3</v>
      </c>
      <c r="EN143" s="528">
        <f t="shared" si="408"/>
        <v>7.2066296296296288E-3</v>
      </c>
      <c r="EO143">
        <f t="shared" si="409"/>
        <v>8.5500000000000003E-3</v>
      </c>
      <c r="EP143" s="460">
        <f t="shared" si="410"/>
        <v>16.162465384191655</v>
      </c>
      <c r="EQ143" s="460"/>
      <c r="ER143" s="460">
        <f t="shared" si="432"/>
        <v>915.34126227407728</v>
      </c>
      <c r="ES143" s="528">
        <f t="shared" si="411"/>
        <v>2.31</v>
      </c>
      <c r="EV143" s="460">
        <f t="shared" si="412"/>
        <v>2310</v>
      </c>
      <c r="EW143" s="528">
        <f t="shared" si="413"/>
        <v>0.60645825089038397</v>
      </c>
      <c r="EX143" s="528">
        <f t="shared" si="414"/>
        <v>0.74822771213748662</v>
      </c>
      <c r="EY143" s="528">
        <f t="shared" si="415"/>
        <v>0.66881589702681221</v>
      </c>
      <c r="EZ143" s="528"/>
      <c r="FA143" s="528">
        <f t="shared" si="416"/>
        <v>8.2500000000000004E-3</v>
      </c>
      <c r="FB143" s="460">
        <f t="shared" si="417"/>
        <v>2031.751860054683</v>
      </c>
      <c r="FC143" s="173">
        <f t="shared" si="418"/>
        <v>5.2570931223287607</v>
      </c>
      <c r="FD143" s="5">
        <f t="shared" si="419"/>
        <v>49.500000000000007</v>
      </c>
      <c r="FE143" s="173">
        <f t="shared" si="420"/>
        <v>0.90399247252617521</v>
      </c>
      <c r="FF143" s="5">
        <f t="shared" si="421"/>
        <v>90.399247252617528</v>
      </c>
      <c r="FI143" s="562">
        <f t="shared" si="422"/>
        <v>-50</v>
      </c>
      <c r="FJ143">
        <f t="shared" si="423"/>
        <v>-50</v>
      </c>
      <c r="FL143">
        <f t="shared" si="476"/>
        <v>0.55232558139534871</v>
      </c>
    </row>
    <row r="144" spans="5:168">
      <c r="E144" s="170">
        <v>34</v>
      </c>
      <c r="F144" s="217">
        <f t="shared" si="477"/>
        <v>3.4000000000000004</v>
      </c>
      <c r="G144" s="217"/>
      <c r="H144" s="217">
        <f t="shared" si="442"/>
        <v>51.000000000000007</v>
      </c>
      <c r="I144" s="541">
        <f t="shared" si="443"/>
        <v>18.690554721860913</v>
      </c>
      <c r="J144" s="172">
        <f t="shared" si="444"/>
        <v>15.585667166883454</v>
      </c>
      <c r="K144" s="172">
        <f t="shared" si="445"/>
        <v>34.276221888744367</v>
      </c>
      <c r="L144" s="443"/>
      <c r="M144" s="217">
        <f t="shared" si="446"/>
        <v>0.45469204463273222</v>
      </c>
      <c r="N144" s="172">
        <f t="shared" si="447"/>
        <v>212.66300165044046</v>
      </c>
      <c r="O144" s="172">
        <f t="shared" si="438"/>
        <v>51.000000000000007</v>
      </c>
      <c r="P144" s="217">
        <f t="shared" si="448"/>
        <v>14.177533443362698</v>
      </c>
      <c r="Q144" s="217">
        <f t="shared" si="449"/>
        <v>15</v>
      </c>
      <c r="R144" s="217"/>
      <c r="S144" s="172">
        <f t="shared" si="450"/>
        <v>118.80271325826068</v>
      </c>
      <c r="T144" s="172">
        <f t="shared" si="451"/>
        <v>15</v>
      </c>
      <c r="U144" s="217">
        <f t="shared" si="452"/>
        <v>12.47001796520677</v>
      </c>
      <c r="V144" s="217">
        <f t="shared" si="453"/>
        <v>8.006194455398294</v>
      </c>
      <c r="W144" s="217">
        <f t="shared" si="454"/>
        <v>9.6011427666335596</v>
      </c>
      <c r="X144" s="197">
        <f t="shared" si="455"/>
        <v>70.82284963340841</v>
      </c>
      <c r="Y144" s="443">
        <f t="shared" si="328"/>
        <v>56.156627323413943</v>
      </c>
      <c r="AA144" s="217">
        <f t="shared" si="456"/>
        <v>10.000000000000002</v>
      </c>
      <c r="AB144" s="173">
        <f t="shared" si="457"/>
        <v>7.6993816636208532</v>
      </c>
      <c r="AC144" s="173">
        <f t="shared" si="458"/>
        <v>2.7264607491642088</v>
      </c>
      <c r="AD144" s="173"/>
      <c r="AE144" s="173">
        <f t="shared" si="459"/>
        <v>7.6993816636208523</v>
      </c>
      <c r="AF144" s="545">
        <f t="shared" si="460"/>
        <v>88.318780612339552</v>
      </c>
      <c r="AG144" s="528">
        <f t="shared" si="461"/>
        <v>2.7264607491642074</v>
      </c>
      <c r="AI144" s="173">
        <f t="shared" si="462"/>
        <v>5.0233392596769049</v>
      </c>
      <c r="AJ144" s="173">
        <f t="shared" si="463"/>
        <v>12.47001796520677</v>
      </c>
      <c r="AK144" s="173">
        <f t="shared" si="464"/>
        <v>3.0296429371902001</v>
      </c>
      <c r="AM144" s="545">
        <f t="shared" si="465"/>
        <v>3400.0000000000005</v>
      </c>
      <c r="AN144" s="460">
        <f t="shared" si="466"/>
        <v>56.156627323413943</v>
      </c>
      <c r="AP144" s="460">
        <f t="shared" si="467"/>
        <v>3400.0000000000005</v>
      </c>
      <c r="AQ144" s="460">
        <f t="shared" si="468"/>
        <v>56.156627323413943</v>
      </c>
      <c r="AS144" s="5">
        <f t="shared" si="439"/>
        <v>17.807337222031851</v>
      </c>
      <c r="AT144" s="5">
        <f t="shared" si="469"/>
        <v>8.006194455398294</v>
      </c>
      <c r="AU144" s="5">
        <f t="shared" si="343"/>
        <v>9.8011427666335571</v>
      </c>
      <c r="AV144" s="5"/>
      <c r="AW144" s="173">
        <f t="shared" si="344"/>
        <v>0.44960087831058504</v>
      </c>
      <c r="AX144" s="173">
        <f t="shared" si="435"/>
        <v>52.394587505263161</v>
      </c>
      <c r="AY144" s="173">
        <f t="shared" si="436"/>
        <v>3.4317434677505156</v>
      </c>
      <c r="AZ144" s="173">
        <f t="shared" si="440"/>
        <v>15.267629412756616</v>
      </c>
      <c r="BA144" s="460">
        <f t="shared" si="433"/>
        <v>181.47374098902802</v>
      </c>
      <c r="BB144" s="5">
        <f t="shared" si="434"/>
        <v>9.2220336464950954</v>
      </c>
      <c r="BD144" s="173">
        <f t="shared" si="441"/>
        <v>4.8274749321952219</v>
      </c>
      <c r="BE144" s="173">
        <f t="shared" si="437"/>
        <v>5.3412796653255246</v>
      </c>
      <c r="BG144" s="528">
        <f t="shared" si="347"/>
        <v>0.46609028441946526</v>
      </c>
      <c r="BH144" s="528">
        <f t="shared" si="470"/>
        <v>0.45005160380242448</v>
      </c>
      <c r="BI144" s="528">
        <f t="shared" si="471"/>
        <v>2.6239962899585453E-2</v>
      </c>
      <c r="BJ144" s="528">
        <f t="shared" si="350"/>
        <v>6.5976140751288848E-3</v>
      </c>
      <c r="BK144">
        <f t="shared" si="351"/>
        <v>8.4107496248374113E-3</v>
      </c>
      <c r="BL144" s="460">
        <f t="shared" si="427"/>
        <v>34.650712524422865</v>
      </c>
      <c r="BM144" s="528">
        <f t="shared" si="472"/>
        <v>1.1791686091979139</v>
      </c>
      <c r="BN144" s="460">
        <f t="shared" si="353"/>
        <v>1179.1686091979138</v>
      </c>
      <c r="BO144" s="528">
        <f t="shared" si="354"/>
        <v>2.38</v>
      </c>
      <c r="BR144" s="460">
        <f t="shared" si="355"/>
        <v>2380</v>
      </c>
      <c r="BS144" s="528">
        <f t="shared" si="356"/>
        <v>0.69913542662919792</v>
      </c>
      <c r="BT144" s="528">
        <f t="shared" si="357"/>
        <v>0.85587805389659832</v>
      </c>
      <c r="BU144" s="528">
        <f t="shared" si="358"/>
        <v>0.64884392745586561</v>
      </c>
      <c r="BV144" s="528"/>
      <c r="BW144" s="528">
        <f t="shared" si="359"/>
        <v>8.7324312508771929E-3</v>
      </c>
      <c r="BX144" s="460">
        <f t="shared" si="360"/>
        <v>2212.5898392325389</v>
      </c>
      <c r="BY144" s="173">
        <f t="shared" si="361"/>
        <v>5.5499800540539797</v>
      </c>
      <c r="BZ144" s="5">
        <f t="shared" si="362"/>
        <v>51.000000000000007</v>
      </c>
      <c r="CA144" s="173">
        <f t="shared" si="363"/>
        <v>0.90185708202285897</v>
      </c>
      <c r="CB144" s="5">
        <f t="shared" si="364"/>
        <v>90.185708202285895</v>
      </c>
      <c r="CE144" s="562">
        <f t="shared" si="473"/>
        <v>-50</v>
      </c>
      <c r="CF144">
        <f t="shared" si="474"/>
        <v>-50</v>
      </c>
      <c r="CG144" s="173">
        <f t="shared" si="475"/>
        <v>0.54937015365795661</v>
      </c>
      <c r="CI144" s="170">
        <v>34</v>
      </c>
      <c r="CJ144" s="217">
        <f t="shared" si="428"/>
        <v>3.4000000000000004</v>
      </c>
      <c r="CK144" s="217"/>
      <c r="CL144" s="217">
        <f t="shared" si="368"/>
        <v>51.000000000000007</v>
      </c>
      <c r="CM144" s="541">
        <f t="shared" si="369"/>
        <v>19</v>
      </c>
      <c r="CN144" s="443">
        <f t="shared" si="370"/>
        <v>15.4</v>
      </c>
      <c r="CO144" s="443">
        <f t="shared" si="371"/>
        <v>34.4</v>
      </c>
      <c r="CP144" s="443"/>
      <c r="CQ144" s="217">
        <f t="shared" si="372"/>
        <v>0.44767441860465118</v>
      </c>
      <c r="CR144" s="172">
        <f t="shared" si="429"/>
        <v>212.84736191860466</v>
      </c>
      <c r="CS144" s="172">
        <f t="shared" si="373"/>
        <v>51.000000000000007</v>
      </c>
      <c r="CT144" s="217">
        <f t="shared" si="374"/>
        <v>14.189824127906977</v>
      </c>
      <c r="CU144" s="217">
        <f t="shared" si="375"/>
        <v>15</v>
      </c>
      <c r="CV144" s="217"/>
      <c r="CW144" s="172">
        <f t="shared" si="376"/>
        <v>120.76860487094072</v>
      </c>
      <c r="CX144" s="172">
        <f t="shared" si="377"/>
        <v>15</v>
      </c>
      <c r="CY144" s="217">
        <f t="shared" si="378"/>
        <v>11.991797676008204</v>
      </c>
      <c r="CZ144" s="217">
        <f t="shared" si="379"/>
        <v>7.5737669532683398</v>
      </c>
      <c r="DA144" s="217">
        <f t="shared" si="380"/>
        <v>9.3442579293570418</v>
      </c>
      <c r="DB144" s="197">
        <f t="shared" si="381"/>
        <v>70.881782945736433</v>
      </c>
      <c r="DC144" s="443">
        <f t="shared" si="382"/>
        <v>59.108554747841083</v>
      </c>
      <c r="DE144" s="217">
        <f t="shared" si="383"/>
        <v>10.000000000000002</v>
      </c>
      <c r="DF144" s="173">
        <f t="shared" si="384"/>
        <v>7.792207792207793</v>
      </c>
      <c r="DG144" s="173">
        <f t="shared" si="385"/>
        <v>2.7616279069767451</v>
      </c>
      <c r="DH144" s="173"/>
      <c r="DI144" s="173">
        <f t="shared" si="386"/>
        <v>7.7922077922077913</v>
      </c>
      <c r="DJ144" s="545">
        <f t="shared" si="387"/>
        <v>87.26666666666668</v>
      </c>
      <c r="DK144" s="528">
        <f t="shared" si="388"/>
        <v>2.7616279069767442</v>
      </c>
      <c r="DM144" s="173">
        <f t="shared" si="389"/>
        <v>4.993328882953068</v>
      </c>
      <c r="DN144" s="173">
        <f t="shared" si="390"/>
        <v>11.991797676008204</v>
      </c>
      <c r="DO144" s="173">
        <f t="shared" si="391"/>
        <v>2.6754056859320032</v>
      </c>
      <c r="DQ144" s="545">
        <f t="shared" si="392"/>
        <v>3400.0000000000005</v>
      </c>
      <c r="DR144" s="460">
        <f t="shared" si="393"/>
        <v>59.108554747841083</v>
      </c>
      <c r="DT144">
        <f t="shared" si="430"/>
        <v>3400.0000000000005</v>
      </c>
      <c r="DU144">
        <f t="shared" si="431"/>
        <v>59.108554747841083</v>
      </c>
      <c r="DW144" s="5">
        <f t="shared" si="394"/>
        <v>16.918024882625378</v>
      </c>
      <c r="DX144" s="5">
        <f t="shared" si="395"/>
        <v>7.5737669532683398</v>
      </c>
      <c r="DY144" s="5">
        <f t="shared" si="396"/>
        <v>9.3442579293570383</v>
      </c>
      <c r="DZ144" s="5"/>
      <c r="EA144" s="173">
        <f t="shared" si="397"/>
        <v>0.44767441860465129</v>
      </c>
      <c r="EB144" s="173">
        <f t="shared" si="398"/>
        <v>51.000000000000007</v>
      </c>
      <c r="EC144" s="173">
        <f t="shared" si="399"/>
        <v>3.3116883116883113</v>
      </c>
      <c r="ED144" s="173">
        <f t="shared" si="400"/>
        <v>15.400000000000004</v>
      </c>
      <c r="EE144" s="460">
        <f t="shared" si="401"/>
        <v>171.67205094074905</v>
      </c>
      <c r="EF144" s="5">
        <f t="shared" si="402"/>
        <v>8.6489501705482574</v>
      </c>
      <c r="EH144" s="173">
        <f t="shared" si="403"/>
        <v>4.6323866815707042</v>
      </c>
      <c r="EI144" s="173">
        <f t="shared" si="404"/>
        <v>5.145424906313532</v>
      </c>
      <c r="EK144" s="528">
        <f t="shared" si="405"/>
        <v>0.42918012735187283</v>
      </c>
      <c r="EL144" s="528">
        <f t="shared" si="406"/>
        <v>0.48766666666666675</v>
      </c>
      <c r="EM144" s="528">
        <f t="shared" si="407"/>
        <v>7.3885693434801352E-3</v>
      </c>
      <c r="EN144" s="528">
        <f t="shared" si="408"/>
        <v>6.9946699346405215E-3</v>
      </c>
      <c r="EO144">
        <f t="shared" si="409"/>
        <v>8.5500000000000003E-3</v>
      </c>
      <c r="EP144" s="460">
        <f t="shared" si="410"/>
        <v>15.938569343480136</v>
      </c>
      <c r="EQ144" s="460"/>
      <c r="ER144" s="460">
        <f t="shared" si="432"/>
        <v>939.78003329666012</v>
      </c>
      <c r="ES144" s="528">
        <f t="shared" si="411"/>
        <v>2.38</v>
      </c>
      <c r="EV144" s="460">
        <f t="shared" si="412"/>
        <v>2380</v>
      </c>
      <c r="EW144" s="528">
        <f t="shared" si="413"/>
        <v>0.64377019102780919</v>
      </c>
      <c r="EX144" s="528">
        <f t="shared" si="414"/>
        <v>0.79426192399534856</v>
      </c>
      <c r="EY144" s="528">
        <f t="shared" si="415"/>
        <v>0.66881589702681232</v>
      </c>
      <c r="EZ144" s="528"/>
      <c r="FA144" s="528">
        <f t="shared" si="416"/>
        <v>8.5000000000000041E-3</v>
      </c>
      <c r="FB144" s="460">
        <f t="shared" si="417"/>
        <v>2115.3480120499703</v>
      </c>
      <c r="FC144" s="173">
        <f t="shared" si="418"/>
        <v>5.4351280453466302</v>
      </c>
      <c r="FD144" s="5">
        <f t="shared" si="419"/>
        <v>51.000000000000007</v>
      </c>
      <c r="FE144" s="173">
        <f t="shared" si="420"/>
        <v>0.90369246542721748</v>
      </c>
      <c r="FF144" s="5">
        <f t="shared" si="421"/>
        <v>90.369246542721754</v>
      </c>
      <c r="FI144" s="562">
        <f t="shared" si="422"/>
        <v>-50</v>
      </c>
      <c r="FJ144">
        <f t="shared" si="423"/>
        <v>-50</v>
      </c>
      <c r="FL144">
        <f t="shared" si="476"/>
        <v>0.55232558139534871</v>
      </c>
    </row>
    <row r="145" spans="5:168">
      <c r="E145" s="170">
        <v>35</v>
      </c>
      <c r="F145" s="217">
        <f t="shared" si="477"/>
        <v>3.5</v>
      </c>
      <c r="G145" s="217"/>
      <c r="H145" s="217">
        <f t="shared" si="442"/>
        <v>52.5</v>
      </c>
      <c r="I145" s="541">
        <f t="shared" si="443"/>
        <v>18.681502344747834</v>
      </c>
      <c r="J145" s="172">
        <f t="shared" si="444"/>
        <v>15.591098593151301</v>
      </c>
      <c r="K145" s="172">
        <f t="shared" si="445"/>
        <v>34.272600937899135</v>
      </c>
      <c r="L145" s="443"/>
      <c r="M145" s="217">
        <f t="shared" si="446"/>
        <v>0.45489856914566185</v>
      </c>
      <c r="N145" s="172">
        <f t="shared" si="447"/>
        <v>212.65654913422318</v>
      </c>
      <c r="O145" s="172">
        <f t="shared" si="438"/>
        <v>52.5</v>
      </c>
      <c r="P145" s="217">
        <f t="shared" si="448"/>
        <v>14.177103275614879</v>
      </c>
      <c r="Q145" s="217">
        <f t="shared" si="449"/>
        <v>15</v>
      </c>
      <c r="R145" s="217"/>
      <c r="S145" s="172">
        <f t="shared" si="450"/>
        <v>114.82265369208562</v>
      </c>
      <c r="T145" s="172">
        <f t="shared" si="451"/>
        <v>15</v>
      </c>
      <c r="U145" s="217">
        <f t="shared" si="452"/>
        <v>12.841646717068587</v>
      </c>
      <c r="V145" s="217">
        <f t="shared" si="453"/>
        <v>8.2487884411580552</v>
      </c>
      <c r="W145" s="217">
        <f t="shared" si="454"/>
        <v>9.8838295251698565</v>
      </c>
      <c r="X145" s="197">
        <f t="shared" si="455"/>
        <v>70.820698593636038</v>
      </c>
      <c r="Y145" s="443">
        <f t="shared" si="328"/>
        <v>54.54758299315084</v>
      </c>
      <c r="AA145" s="217">
        <f t="shared" si="456"/>
        <v>10</v>
      </c>
      <c r="AB145" s="173">
        <f t="shared" si="457"/>
        <v>7.6966994521292031</v>
      </c>
      <c r="AC145" s="173">
        <f t="shared" si="458"/>
        <v>2.7254281603252299</v>
      </c>
      <c r="AD145" s="173"/>
      <c r="AE145" s="173">
        <f t="shared" si="459"/>
        <v>7.6966994521292031</v>
      </c>
      <c r="AF145" s="545">
        <f t="shared" si="460"/>
        <v>90.948075126715906</v>
      </c>
      <c r="AG145" s="528">
        <f t="shared" si="461"/>
        <v>2.7254281603252299</v>
      </c>
      <c r="AI145" s="173">
        <f t="shared" si="462"/>
        <v>5.0975645480875311</v>
      </c>
      <c r="AJ145" s="173">
        <f t="shared" si="463"/>
        <v>12.841646717068587</v>
      </c>
      <c r="AK145" s="173">
        <f t="shared" si="464"/>
        <v>3.3049234941248784</v>
      </c>
      <c r="AM145" s="545">
        <f t="shared" si="465"/>
        <v>3500</v>
      </c>
      <c r="AN145" s="460">
        <f t="shared" si="466"/>
        <v>54.54758299315084</v>
      </c>
      <c r="AP145" s="460">
        <f t="shared" si="467"/>
        <v>3500</v>
      </c>
      <c r="AQ145" s="460">
        <f t="shared" si="468"/>
        <v>54.54758299315084</v>
      </c>
      <c r="AS145" s="5">
        <f t="shared" si="439"/>
        <v>18.332617966327913</v>
      </c>
      <c r="AT145" s="5">
        <f t="shared" si="469"/>
        <v>8.2487884411580552</v>
      </c>
      <c r="AU145" s="5">
        <f t="shared" si="343"/>
        <v>10.083829525169858</v>
      </c>
      <c r="AV145" s="5"/>
      <c r="AW145" s="173">
        <f t="shared" si="344"/>
        <v>0.44995147208701236</v>
      </c>
      <c r="AX145" s="173">
        <f t="shared" si="435"/>
        <v>53.971961028879733</v>
      </c>
      <c r="AY145" s="173">
        <f t="shared" si="436"/>
        <v>3.5317644363511134</v>
      </c>
      <c r="AZ145" s="173">
        <f t="shared" si="440"/>
        <v>15.281868879296361</v>
      </c>
      <c r="BA145" s="460">
        <f t="shared" si="433"/>
        <v>192.47173029368795</v>
      </c>
      <c r="BB145" s="5">
        <f t="shared" si="434"/>
        <v>9.771809721868884</v>
      </c>
      <c r="BD145" s="173">
        <f t="shared" si="441"/>
        <v>4.9732802068300517</v>
      </c>
      <c r="BE145" s="173">
        <f t="shared" si="437"/>
        <v>5.498707192272736</v>
      </c>
      <c r="BG145" s="528">
        <f t="shared" si="347"/>
        <v>0.49467032031295127</v>
      </c>
      <c r="BH145" s="528">
        <f t="shared" si="470"/>
        <v>0.45013684842498014</v>
      </c>
      <c r="BI145" s="528">
        <f t="shared" si="471"/>
        <v>2.5475769989671857E-2</v>
      </c>
      <c r="BJ145" s="528">
        <f t="shared" si="350"/>
        <v>6.4072200555639657E-3</v>
      </c>
      <c r="BK145">
        <f t="shared" si="351"/>
        <v>8.4066760551365256E-3</v>
      </c>
      <c r="BL145" s="460">
        <f t="shared" si="427"/>
        <v>33.882446044808383</v>
      </c>
      <c r="BM145" s="528">
        <f t="shared" si="472"/>
        <v>1.2292541211744863</v>
      </c>
      <c r="BN145" s="460">
        <f t="shared" si="353"/>
        <v>1229.2541211744863</v>
      </c>
      <c r="BO145" s="528">
        <f t="shared" si="354"/>
        <v>2.4499999999999997</v>
      </c>
      <c r="BR145" s="460">
        <f t="shared" si="355"/>
        <v>2449.9999999999995</v>
      </c>
      <c r="BS145" s="528">
        <f t="shared" si="356"/>
        <v>0.74200548046942683</v>
      </c>
      <c r="BT145" s="528">
        <f t="shared" si="357"/>
        <v>0.90707342359055743</v>
      </c>
      <c r="BU145" s="528">
        <f t="shared" si="358"/>
        <v>0.64932268922529091</v>
      </c>
      <c r="BV145" s="528"/>
      <c r="BW145" s="528">
        <f t="shared" si="359"/>
        <v>8.995326838146623E-3</v>
      </c>
      <c r="BX145" s="460">
        <f t="shared" si="360"/>
        <v>2307.3969201234218</v>
      </c>
      <c r="BY145" s="173">
        <f t="shared" si="361"/>
        <v>5.7424937549617256</v>
      </c>
      <c r="BZ145" s="5">
        <f t="shared" si="362"/>
        <v>52.5</v>
      </c>
      <c r="CA145" s="173">
        <f t="shared" si="363"/>
        <v>0.90140371085205262</v>
      </c>
      <c r="CB145" s="5">
        <f t="shared" si="364"/>
        <v>90.14037108520526</v>
      </c>
      <c r="CE145" s="562">
        <f t="shared" si="473"/>
        <v>-50</v>
      </c>
      <c r="CF145">
        <f t="shared" si="474"/>
        <v>-50</v>
      </c>
      <c r="CG145" s="173">
        <f t="shared" si="475"/>
        <v>0.54945459445045375</v>
      </c>
      <c r="CI145" s="170">
        <v>35</v>
      </c>
      <c r="CJ145" s="217">
        <f t="shared" si="428"/>
        <v>3.5</v>
      </c>
      <c r="CK145" s="217"/>
      <c r="CL145" s="217">
        <f t="shared" si="368"/>
        <v>52.5</v>
      </c>
      <c r="CM145" s="541">
        <f t="shared" si="369"/>
        <v>19</v>
      </c>
      <c r="CN145" s="443">
        <f t="shared" si="370"/>
        <v>15.4</v>
      </c>
      <c r="CO145" s="443">
        <f t="shared" si="371"/>
        <v>34.4</v>
      </c>
      <c r="CP145" s="443"/>
      <c r="CQ145" s="217">
        <f t="shared" si="372"/>
        <v>0.44767441860465118</v>
      </c>
      <c r="CR145" s="172">
        <f t="shared" si="429"/>
        <v>212.84736191860466</v>
      </c>
      <c r="CS145" s="172">
        <f t="shared" si="373"/>
        <v>52.5</v>
      </c>
      <c r="CT145" s="217">
        <f t="shared" si="374"/>
        <v>14.189824127906977</v>
      </c>
      <c r="CU145" s="217">
        <f t="shared" si="375"/>
        <v>15</v>
      </c>
      <c r="CV145" s="217"/>
      <c r="CW145" s="172">
        <f t="shared" si="376"/>
        <v>116.77914367246676</v>
      </c>
      <c r="CX145" s="172">
        <f t="shared" si="377"/>
        <v>15</v>
      </c>
      <c r="CY145" s="217">
        <f t="shared" si="378"/>
        <v>12.344497607655502</v>
      </c>
      <c r="CZ145" s="217">
        <f t="shared" si="379"/>
        <v>7.7965248048350544</v>
      </c>
      <c r="DA145" s="217">
        <f t="shared" si="380"/>
        <v>9.6190890449263655</v>
      </c>
      <c r="DB145" s="197">
        <f t="shared" si="381"/>
        <v>70.881782945736433</v>
      </c>
      <c r="DC145" s="443">
        <f t="shared" si="382"/>
        <v>57.419738897902761</v>
      </c>
      <c r="DE145" s="217">
        <f t="shared" si="383"/>
        <v>10.000000000000002</v>
      </c>
      <c r="DF145" s="173">
        <f t="shared" si="384"/>
        <v>7.792207792207793</v>
      </c>
      <c r="DG145" s="173">
        <f t="shared" si="385"/>
        <v>2.7616279069767451</v>
      </c>
      <c r="DH145" s="173"/>
      <c r="DI145" s="173">
        <f t="shared" si="386"/>
        <v>7.7922077922077913</v>
      </c>
      <c r="DJ145" s="545">
        <f t="shared" si="387"/>
        <v>89.833333333333343</v>
      </c>
      <c r="DK145" s="528">
        <f t="shared" si="388"/>
        <v>2.7616279069767442</v>
      </c>
      <c r="DM145" s="173">
        <f t="shared" si="389"/>
        <v>5.0662280511902216</v>
      </c>
      <c r="DN145" s="173">
        <f t="shared" si="390"/>
        <v>12.344497607655502</v>
      </c>
      <c r="DO145" s="173">
        <f t="shared" si="391"/>
        <v>2.9366648945596308</v>
      </c>
      <c r="DQ145" s="545">
        <f t="shared" si="392"/>
        <v>3500</v>
      </c>
      <c r="DR145" s="460">
        <f t="shared" si="393"/>
        <v>57.419738897902761</v>
      </c>
      <c r="DT145">
        <f t="shared" si="430"/>
        <v>3500</v>
      </c>
      <c r="DU145">
        <f t="shared" si="431"/>
        <v>57.419738897902761</v>
      </c>
      <c r="DW145" s="5">
        <f t="shared" si="394"/>
        <v>17.415613849761421</v>
      </c>
      <c r="DX145" s="5">
        <f t="shared" si="395"/>
        <v>7.7965248048350544</v>
      </c>
      <c r="DY145" s="5">
        <f t="shared" si="396"/>
        <v>9.6190890449263655</v>
      </c>
      <c r="DZ145" s="5"/>
      <c r="EA145" s="173">
        <f t="shared" si="397"/>
        <v>0.44767441860465113</v>
      </c>
      <c r="EB145" s="173">
        <f t="shared" si="398"/>
        <v>52.499999999999986</v>
      </c>
      <c r="EC145" s="173">
        <f t="shared" si="399"/>
        <v>3.4090909090909096</v>
      </c>
      <c r="ED145" s="173">
        <f t="shared" si="400"/>
        <v>15.399999999999993</v>
      </c>
      <c r="EE145" s="460">
        <f t="shared" si="401"/>
        <v>181.91891211281794</v>
      </c>
      <c r="EF145" s="5">
        <f t="shared" si="402"/>
        <v>9.1651937360913625</v>
      </c>
      <c r="EH145" s="173">
        <f t="shared" si="403"/>
        <v>4.7686333486757224</v>
      </c>
      <c r="EI145" s="173">
        <f t="shared" si="404"/>
        <v>5.2967609329698115</v>
      </c>
      <c r="EK145" s="528">
        <f t="shared" si="405"/>
        <v>0.45479728028204469</v>
      </c>
      <c r="EL145" s="528">
        <f t="shared" si="406"/>
        <v>0.48766666666666658</v>
      </c>
      <c r="EM145" s="528">
        <f t="shared" si="407"/>
        <v>7.1774673622378446E-3</v>
      </c>
      <c r="EN145" s="528">
        <f t="shared" si="408"/>
        <v>6.7948222222222205E-3</v>
      </c>
      <c r="EO145">
        <f t="shared" si="409"/>
        <v>8.5500000000000003E-3</v>
      </c>
      <c r="EP145" s="460">
        <f t="shared" si="410"/>
        <v>15.727467362237846</v>
      </c>
      <c r="EQ145" s="460"/>
      <c r="ER145" s="460">
        <f t="shared" si="432"/>
        <v>964.98623653317145</v>
      </c>
      <c r="ES145" s="528">
        <f t="shared" si="411"/>
        <v>2.4499999999999997</v>
      </c>
      <c r="EV145" s="460">
        <f t="shared" si="412"/>
        <v>2449.9999999999995</v>
      </c>
      <c r="EW145" s="528">
        <f t="shared" si="413"/>
        <v>0.68219592042306698</v>
      </c>
      <c r="EX145" s="528">
        <f t="shared" si="414"/>
        <v>0.84167029143105687</v>
      </c>
      <c r="EY145" s="528">
        <f t="shared" si="415"/>
        <v>0.66881589702681166</v>
      </c>
      <c r="EZ145" s="528"/>
      <c r="FA145" s="528">
        <f t="shared" si="416"/>
        <v>8.7499999999999974E-3</v>
      </c>
      <c r="FB145" s="460">
        <f t="shared" si="417"/>
        <v>2201.4321088809361</v>
      </c>
      <c r="FC145" s="173">
        <f t="shared" si="418"/>
        <v>5.6164183454141066</v>
      </c>
      <c r="FD145" s="5">
        <f t="shared" si="419"/>
        <v>52.5</v>
      </c>
      <c r="FE145" s="173">
        <f t="shared" si="420"/>
        <v>0.90335917963779178</v>
      </c>
      <c r="FF145" s="5">
        <f t="shared" si="421"/>
        <v>90.335917963779181</v>
      </c>
      <c r="FI145" s="562">
        <f t="shared" si="422"/>
        <v>-50</v>
      </c>
      <c r="FJ145">
        <f t="shared" si="423"/>
        <v>-50</v>
      </c>
      <c r="FL145">
        <f t="shared" si="476"/>
        <v>0.55232558139534893</v>
      </c>
    </row>
    <row r="146" spans="5:168">
      <c r="E146" s="170">
        <v>36</v>
      </c>
      <c r="F146" s="217">
        <f t="shared" si="477"/>
        <v>3.5999999999999996</v>
      </c>
      <c r="G146" s="217"/>
      <c r="H146" s="217">
        <f t="shared" si="442"/>
        <v>53.999999999999993</v>
      </c>
      <c r="I146" s="541">
        <f t="shared" si="443"/>
        <v>18.672449953425954</v>
      </c>
      <c r="J146" s="172">
        <f t="shared" si="444"/>
        <v>15.596530027944427</v>
      </c>
      <c r="K146" s="172">
        <f t="shared" si="445"/>
        <v>34.268979981370379</v>
      </c>
      <c r="L146" s="443"/>
      <c r="M146" s="217">
        <f t="shared" si="446"/>
        <v>0.45510513749056974</v>
      </c>
      <c r="N146" s="172">
        <f t="shared" si="447"/>
        <v>212.65002337119682</v>
      </c>
      <c r="O146" s="172">
        <f t="shared" si="438"/>
        <v>53.999999999999993</v>
      </c>
      <c r="P146" s="217">
        <f t="shared" si="448"/>
        <v>14.176668224746455</v>
      </c>
      <c r="Q146" s="217">
        <f t="shared" si="449"/>
        <v>15</v>
      </c>
      <c r="R146" s="217"/>
      <c r="S146" s="172">
        <f t="shared" si="450"/>
        <v>111.06434918231177</v>
      </c>
      <c r="T146" s="172">
        <f t="shared" si="451"/>
        <v>15</v>
      </c>
      <c r="U146" s="217">
        <f t="shared" si="452"/>
        <v>13.213558239183055</v>
      </c>
      <c r="V146" s="217">
        <f t="shared" si="453"/>
        <v>8.491799376391107</v>
      </c>
      <c r="W146" s="217">
        <f t="shared" si="454"/>
        <v>10.166536953161929</v>
      </c>
      <c r="X146" s="197">
        <f t="shared" si="455"/>
        <v>70.81852318340961</v>
      </c>
      <c r="Y146" s="443">
        <f t="shared" si="328"/>
        <v>53.02694694403624</v>
      </c>
      <c r="AA146" s="217">
        <f t="shared" si="456"/>
        <v>10</v>
      </c>
      <c r="AB146" s="173">
        <f t="shared" si="457"/>
        <v>7.6940191045697377</v>
      </c>
      <c r="AC146" s="173">
        <f t="shared" si="458"/>
        <v>2.7243953516528423</v>
      </c>
      <c r="AD146" s="173"/>
      <c r="AE146" s="173">
        <f t="shared" si="459"/>
        <v>7.6940191045697377</v>
      </c>
      <c r="AF146" s="545">
        <f t="shared" si="460"/>
        <v>93.57918016766655</v>
      </c>
      <c r="AG146" s="528">
        <f t="shared" si="461"/>
        <v>2.7243953516528419</v>
      </c>
      <c r="AI146" s="173">
        <f t="shared" si="462"/>
        <v>5.1707744699738454</v>
      </c>
      <c r="AJ146" s="173">
        <f t="shared" si="463"/>
        <v>13.213558239183055</v>
      </c>
      <c r="AK146" s="173">
        <f t="shared" si="464"/>
        <v>3.5804135105059665</v>
      </c>
      <c r="AM146" s="545">
        <f t="shared" si="465"/>
        <v>3599.9999999999995</v>
      </c>
      <c r="AN146" s="460">
        <f t="shared" si="466"/>
        <v>53.02694694403624</v>
      </c>
      <c r="AP146" s="460">
        <f t="shared" si="467"/>
        <v>3599.9999999999995</v>
      </c>
      <c r="AQ146" s="460">
        <f t="shared" si="468"/>
        <v>53.02694694403624</v>
      </c>
      <c r="AS146" s="5">
        <f t="shared" si="439"/>
        <v>18.858336329553037</v>
      </c>
      <c r="AT146" s="5">
        <f t="shared" si="469"/>
        <v>8.491799376391107</v>
      </c>
      <c r="AU146" s="5">
        <f t="shared" si="343"/>
        <v>10.36653695316193</v>
      </c>
      <c r="AV146" s="5"/>
      <c r="AW146" s="173">
        <f t="shared" si="344"/>
        <v>0.45029419499129125</v>
      </c>
      <c r="AX146" s="173">
        <f t="shared" si="435"/>
        <v>55.550431901037335</v>
      </c>
      <c r="AY146" s="173">
        <f t="shared" si="436"/>
        <v>3.6317848344497881</v>
      </c>
      <c r="AZ146" s="173">
        <f t="shared" si="440"/>
        <v>15.295628577471378</v>
      </c>
      <c r="BA146" s="460">
        <f t="shared" si="433"/>
        <v>203.80318503338654</v>
      </c>
      <c r="BB146" s="5">
        <f t="shared" si="434"/>
        <v>10.337800764504822</v>
      </c>
      <c r="BD146" s="173">
        <f t="shared" si="441"/>
        <v>5.119261681659256</v>
      </c>
      <c r="BE146" s="173">
        <f t="shared" si="437"/>
        <v>5.6561942695410821</v>
      </c>
      <c r="BG146" s="528">
        <f t="shared" si="347"/>
        <v>0.52413680330609513</v>
      </c>
      <c r="BH146" s="528">
        <f t="shared" si="470"/>
        <v>0.45021385522979468</v>
      </c>
      <c r="BI146" s="528">
        <f t="shared" si="471"/>
        <v>2.4753575324887249E-2</v>
      </c>
      <c r="BJ146" s="528">
        <f t="shared" si="350"/>
        <v>6.2272883908810707E-3</v>
      </c>
      <c r="BK146">
        <f t="shared" si="351"/>
        <v>8.4026024790416782E-3</v>
      </c>
      <c r="BL146" s="460">
        <f t="shared" si="427"/>
        <v>33.156177803928927</v>
      </c>
      <c r="BM146" s="528">
        <f t="shared" si="472"/>
        <v>1.2817128741544825</v>
      </c>
      <c r="BN146" s="460">
        <f t="shared" si="353"/>
        <v>1281.7128741544825</v>
      </c>
      <c r="BO146" s="528">
        <f t="shared" si="354"/>
        <v>2.5199999999999996</v>
      </c>
      <c r="BR146" s="460">
        <f t="shared" si="355"/>
        <v>2519.9999999999995</v>
      </c>
      <c r="BS146" s="528">
        <f t="shared" si="356"/>
        <v>0.78620520495914259</v>
      </c>
      <c r="BT146" s="528">
        <f t="shared" si="357"/>
        <v>0.95977600844368127</v>
      </c>
      <c r="BU146" s="528">
        <f t="shared" si="358"/>
        <v>0.64977204087635898</v>
      </c>
      <c r="BV146" s="528"/>
      <c r="BW146" s="528">
        <f t="shared" si="359"/>
        <v>9.2584053168395554E-3</v>
      </c>
      <c r="BX146" s="460">
        <f t="shared" si="360"/>
        <v>2405.0116595960221</v>
      </c>
      <c r="BY146" s="173">
        <f t="shared" si="361"/>
        <v>5.9387457843267217</v>
      </c>
      <c r="BZ146" s="5">
        <f t="shared" si="362"/>
        <v>53.999999999999993</v>
      </c>
      <c r="CA146" s="173">
        <f t="shared" si="363"/>
        <v>0.90091975221344001</v>
      </c>
      <c r="CB146" s="5">
        <f t="shared" si="364"/>
        <v>90.091975221344001</v>
      </c>
      <c r="CE146" s="562">
        <f t="shared" si="473"/>
        <v>-50</v>
      </c>
      <c r="CF146">
        <f t="shared" si="474"/>
        <v>-50</v>
      </c>
      <c r="CG146" s="173">
        <f t="shared" si="475"/>
        <v>0.54953434408781199</v>
      </c>
      <c r="CI146" s="170">
        <v>36</v>
      </c>
      <c r="CJ146" s="217">
        <f t="shared" si="428"/>
        <v>3.5999999999999996</v>
      </c>
      <c r="CK146" s="217"/>
      <c r="CL146" s="217">
        <f t="shared" si="368"/>
        <v>53.999999999999993</v>
      </c>
      <c r="CM146" s="541">
        <f t="shared" si="369"/>
        <v>19</v>
      </c>
      <c r="CN146" s="443">
        <f t="shared" si="370"/>
        <v>15.4</v>
      </c>
      <c r="CO146" s="443">
        <f t="shared" si="371"/>
        <v>34.4</v>
      </c>
      <c r="CP146" s="443"/>
      <c r="CQ146" s="217">
        <f t="shared" si="372"/>
        <v>0.44767441860465118</v>
      </c>
      <c r="CR146" s="172">
        <f t="shared" si="429"/>
        <v>212.84736191860466</v>
      </c>
      <c r="CS146" s="172">
        <f t="shared" si="373"/>
        <v>53.999999999999993</v>
      </c>
      <c r="CT146" s="217">
        <f t="shared" si="374"/>
        <v>14.189824127906977</v>
      </c>
      <c r="CU146" s="217">
        <f t="shared" si="375"/>
        <v>15</v>
      </c>
      <c r="CV146" s="217"/>
      <c r="CW146" s="172">
        <f t="shared" si="376"/>
        <v>113.01145707435026</v>
      </c>
      <c r="CX146" s="172">
        <f t="shared" si="377"/>
        <v>15</v>
      </c>
      <c r="CY146" s="217">
        <f t="shared" si="378"/>
        <v>12.697197539302801</v>
      </c>
      <c r="CZ146" s="217">
        <f t="shared" si="379"/>
        <v>8.019282656401769</v>
      </c>
      <c r="DA146" s="217">
        <f t="shared" si="380"/>
        <v>9.8939201604956892</v>
      </c>
      <c r="DB146" s="197">
        <f t="shared" si="381"/>
        <v>70.881782945736433</v>
      </c>
      <c r="DC146" s="443">
        <f t="shared" si="382"/>
        <v>55.824746150738804</v>
      </c>
      <c r="DE146" s="217">
        <f t="shared" si="383"/>
        <v>10.000000000000002</v>
      </c>
      <c r="DF146" s="173">
        <f t="shared" si="384"/>
        <v>7.792207792207793</v>
      </c>
      <c r="DG146" s="173">
        <f t="shared" si="385"/>
        <v>2.7616279069767451</v>
      </c>
      <c r="DH146" s="173"/>
      <c r="DI146" s="173">
        <f t="shared" si="386"/>
        <v>7.7922077922077913</v>
      </c>
      <c r="DJ146" s="545">
        <f t="shared" si="387"/>
        <v>92.4</v>
      </c>
      <c r="DK146" s="528">
        <f t="shared" si="388"/>
        <v>2.7616279069767442</v>
      </c>
      <c r="DM146" s="173">
        <f t="shared" si="389"/>
        <v>5.1380930314660516</v>
      </c>
      <c r="DN146" s="173">
        <f t="shared" si="390"/>
        <v>12.697197539302801</v>
      </c>
      <c r="DO146" s="173">
        <f t="shared" si="391"/>
        <v>3.1979241031872601</v>
      </c>
      <c r="DQ146" s="545">
        <f t="shared" si="392"/>
        <v>3599.9999999999995</v>
      </c>
      <c r="DR146" s="460">
        <f t="shared" si="393"/>
        <v>55.824746150738804</v>
      </c>
      <c r="DT146">
        <f t="shared" si="430"/>
        <v>3599.9999999999995</v>
      </c>
      <c r="DU146">
        <f t="shared" si="431"/>
        <v>55.824746150738804</v>
      </c>
      <c r="DW146" s="5">
        <f t="shared" si="394"/>
        <v>17.91320281689746</v>
      </c>
      <c r="DX146" s="5">
        <f t="shared" si="395"/>
        <v>8.019282656401769</v>
      </c>
      <c r="DY146" s="5">
        <f t="shared" si="396"/>
        <v>9.893920160495691</v>
      </c>
      <c r="DZ146" s="5"/>
      <c r="EA146" s="173">
        <f t="shared" si="397"/>
        <v>0.44767441860465113</v>
      </c>
      <c r="EB146" s="173">
        <f t="shared" si="398"/>
        <v>53.999999999999986</v>
      </c>
      <c r="EC146" s="173">
        <f t="shared" si="399"/>
        <v>3.5064935064935066</v>
      </c>
      <c r="ED146" s="173">
        <f t="shared" si="400"/>
        <v>15.399999999999995</v>
      </c>
      <c r="EE146" s="460">
        <f t="shared" si="401"/>
        <v>192.46278375364241</v>
      </c>
      <c r="EF146" s="5">
        <f t="shared" si="402"/>
        <v>9.6964008832444133</v>
      </c>
      <c r="EH146" s="173">
        <f t="shared" si="403"/>
        <v>4.9048800157807424</v>
      </c>
      <c r="EI146" s="173">
        <f t="shared" si="404"/>
        <v>5.448096959626092</v>
      </c>
      <c r="EK146" s="528">
        <f t="shared" si="405"/>
        <v>0.48115695938410591</v>
      </c>
      <c r="EL146" s="528">
        <f t="shared" si="406"/>
        <v>0.48766666666666658</v>
      </c>
      <c r="EM146" s="528">
        <f t="shared" si="407"/>
        <v>6.9780932688423506E-3</v>
      </c>
      <c r="EN146" s="528">
        <f t="shared" si="408"/>
        <v>6.6060771604938267E-3</v>
      </c>
      <c r="EO146">
        <f t="shared" si="409"/>
        <v>8.5500000000000003E-3</v>
      </c>
      <c r="EP146" s="460">
        <f t="shared" si="410"/>
        <v>15.528093268842351</v>
      </c>
      <c r="EQ146" s="460"/>
      <c r="ER146" s="460">
        <f t="shared" si="432"/>
        <v>990.95779648010864</v>
      </c>
      <c r="ES146" s="528">
        <f t="shared" si="411"/>
        <v>2.5199999999999996</v>
      </c>
      <c r="EV146" s="460">
        <f t="shared" si="412"/>
        <v>2519.9999999999995</v>
      </c>
      <c r="EW146" s="528">
        <f t="shared" si="413"/>
        <v>0.72173543907615878</v>
      </c>
      <c r="EX146" s="528">
        <f t="shared" si="414"/>
        <v>0.890452814444612</v>
      </c>
      <c r="EY146" s="528">
        <f t="shared" si="415"/>
        <v>0.66881589702681166</v>
      </c>
      <c r="EZ146" s="528"/>
      <c r="FA146" s="528">
        <f t="shared" si="416"/>
        <v>8.9999999999999976E-3</v>
      </c>
      <c r="FB146" s="460">
        <f t="shared" si="417"/>
        <v>2290.0041505475824</v>
      </c>
      <c r="FC146" s="173">
        <f t="shared" si="418"/>
        <v>5.800961947027691</v>
      </c>
      <c r="FD146" s="5">
        <f t="shared" si="419"/>
        <v>53.999999999999993</v>
      </c>
      <c r="FE146" s="173">
        <f t="shared" si="420"/>
        <v>0.90299550779523841</v>
      </c>
      <c r="FF146" s="5">
        <f t="shared" si="421"/>
        <v>90.299550779523841</v>
      </c>
      <c r="FI146" s="562">
        <f t="shared" si="422"/>
        <v>-50</v>
      </c>
      <c r="FJ146">
        <f t="shared" si="423"/>
        <v>-50</v>
      </c>
      <c r="FL146">
        <f t="shared" si="476"/>
        <v>0.55232558139534893</v>
      </c>
    </row>
    <row r="147" spans="5:168">
      <c r="E147" s="170">
        <v>37</v>
      </c>
      <c r="F147" s="217">
        <f t="shared" si="477"/>
        <v>3.7</v>
      </c>
      <c r="G147" s="217"/>
      <c r="H147" s="217">
        <f t="shared" si="442"/>
        <v>55.5</v>
      </c>
      <c r="I147" s="541">
        <f t="shared" si="443"/>
        <v>18.663397549053037</v>
      </c>
      <c r="J147" s="172">
        <f t="shared" si="444"/>
        <v>15.601961470568178</v>
      </c>
      <c r="K147" s="172">
        <f t="shared" si="445"/>
        <v>34.265359019621215</v>
      </c>
      <c r="L147" s="443"/>
      <c r="M147" s="217">
        <f t="shared" si="446"/>
        <v>0.45531174966622384</v>
      </c>
      <c r="N147" s="172">
        <f t="shared" si="447"/>
        <v>212.64342434396971</v>
      </c>
      <c r="O147" s="172">
        <f t="shared" si="438"/>
        <v>55.5</v>
      </c>
      <c r="P147" s="217">
        <f t="shared" si="448"/>
        <v>14.176228289597981</v>
      </c>
      <c r="Q147" s="217">
        <f t="shared" si="449"/>
        <v>15</v>
      </c>
      <c r="R147" s="217"/>
      <c r="S147" s="172">
        <f t="shared" si="450"/>
        <v>107.50982140479411</v>
      </c>
      <c r="T147" s="172">
        <f t="shared" si="451"/>
        <v>15</v>
      </c>
      <c r="U147" s="217">
        <f t="shared" si="452"/>
        <v>13.58575294301906</v>
      </c>
      <c r="V147" s="217">
        <f t="shared" si="453"/>
        <v>8.7352281323772498</v>
      </c>
      <c r="W147" s="217">
        <f t="shared" si="454"/>
        <v>10.449265345499644</v>
      </c>
      <c r="X147" s="197">
        <f t="shared" si="455"/>
        <v>70.816323395172404</v>
      </c>
      <c r="Y147" s="443">
        <f t="shared" si="328"/>
        <v>51.587626013611278</v>
      </c>
      <c r="AA147" s="217">
        <f t="shared" si="456"/>
        <v>10</v>
      </c>
      <c r="AB147" s="173">
        <f t="shared" si="457"/>
        <v>7.6913406193426486</v>
      </c>
      <c r="AC147" s="173">
        <f t="shared" si="458"/>
        <v>2.7233623232089732</v>
      </c>
      <c r="AD147" s="173"/>
      <c r="AE147" s="173">
        <f t="shared" si="459"/>
        <v>7.6913406193426486</v>
      </c>
      <c r="AF147" s="545">
        <f t="shared" si="460"/>
        <v>96.212095735170436</v>
      </c>
      <c r="AG147" s="528">
        <f t="shared" si="461"/>
        <v>2.7233623232089732</v>
      </c>
      <c r="AI147" s="173">
        <f t="shared" si="462"/>
        <v>5.2430115592137216</v>
      </c>
      <c r="AJ147" s="173">
        <f t="shared" si="463"/>
        <v>13.58575294301906</v>
      </c>
      <c r="AK147" s="173">
        <f t="shared" si="464"/>
        <v>3.8561132911252294</v>
      </c>
      <c r="AM147" s="545">
        <f t="shared" si="465"/>
        <v>3700</v>
      </c>
      <c r="AN147" s="460">
        <f t="shared" si="466"/>
        <v>51.587626013611278</v>
      </c>
      <c r="AP147" s="460">
        <f t="shared" si="467"/>
        <v>3700</v>
      </c>
      <c r="AQ147" s="460">
        <f t="shared" si="468"/>
        <v>51.587626013611278</v>
      </c>
      <c r="AS147" s="5">
        <f t="shared" si="439"/>
        <v>19.384493477876891</v>
      </c>
      <c r="AT147" s="5">
        <f t="shared" si="469"/>
        <v>8.7352281323772498</v>
      </c>
      <c r="AU147" s="5">
        <f t="shared" si="343"/>
        <v>10.649265345499641</v>
      </c>
      <c r="AV147" s="5"/>
      <c r="AW147" s="173">
        <f t="shared" si="344"/>
        <v>0.45062968203665366</v>
      </c>
      <c r="AX147" s="173">
        <f t="shared" si="435"/>
        <v>57.129999266496149</v>
      </c>
      <c r="AY147" s="173">
        <f t="shared" si="436"/>
        <v>3.7318047070389246</v>
      </c>
      <c r="AZ147" s="173">
        <f t="shared" si="440"/>
        <v>15.30894667631927</v>
      </c>
      <c r="BA147" s="460">
        <f t="shared" si="433"/>
        <v>215.46896059863883</v>
      </c>
      <c r="BB147" s="5">
        <f t="shared" si="434"/>
        <v>10.920032390373647</v>
      </c>
      <c r="BD147" s="173">
        <f t="shared" si="441"/>
        <v>5.265419561184026</v>
      </c>
      <c r="BE147" s="173">
        <f t="shared" si="437"/>
        <v>5.8137410091051498</v>
      </c>
      <c r="BG147" s="528">
        <f t="shared" si="347"/>
        <v>0.55449286310598755</v>
      </c>
      <c r="BH147" s="528">
        <f t="shared" si="470"/>
        <v>0.45028327282162967</v>
      </c>
      <c r="BI147" s="528">
        <f t="shared" si="471"/>
        <v>2.4070009322597438E-2</v>
      </c>
      <c r="BJ147" s="528">
        <f t="shared" si="350"/>
        <v>6.0569796682256836E-3</v>
      </c>
      <c r="BK147">
        <f t="shared" si="351"/>
        <v>8.3985288970738672E-3</v>
      </c>
      <c r="BL147" s="460">
        <f t="shared" si="427"/>
        <v>32.468538219671309</v>
      </c>
      <c r="BM147" s="528">
        <f t="shared" si="472"/>
        <v>1.3366459576531726</v>
      </c>
      <c r="BN147" s="460">
        <f t="shared" si="353"/>
        <v>1336.6459576531727</v>
      </c>
      <c r="BO147" s="528">
        <f t="shared" si="354"/>
        <v>2.59</v>
      </c>
      <c r="BR147" s="460">
        <f t="shared" si="355"/>
        <v>2590</v>
      </c>
      <c r="BS147" s="528">
        <f t="shared" si="356"/>
        <v>0.83173929465898133</v>
      </c>
      <c r="BT147" s="528">
        <f t="shared" si="357"/>
        <v>1.0139875356285288</v>
      </c>
      <c r="BU147" s="528">
        <f t="shared" si="358"/>
        <v>0.65019427754850723</v>
      </c>
      <c r="BV147" s="528"/>
      <c r="BW147" s="528">
        <f t="shared" si="359"/>
        <v>9.521666544416026E-3</v>
      </c>
      <c r="BX147" s="460">
        <f t="shared" si="360"/>
        <v>2505.4427743804335</v>
      </c>
      <c r="BY147" s="173">
        <f t="shared" si="361"/>
        <v>6.138744428195948</v>
      </c>
      <c r="BZ147" s="5">
        <f t="shared" si="362"/>
        <v>55.5</v>
      </c>
      <c r="CA147" s="173">
        <f t="shared" si="363"/>
        <v>0.90040769835363732</v>
      </c>
      <c r="CB147" s="5">
        <f t="shared" si="364"/>
        <v>90.040769835363733</v>
      </c>
      <c r="CE147" s="562">
        <f t="shared" si="473"/>
        <v>-50</v>
      </c>
      <c r="CF147">
        <f t="shared" si="474"/>
        <v>-50</v>
      </c>
      <c r="CG147" s="173">
        <f t="shared" si="475"/>
        <v>0.54960978293396168</v>
      </c>
      <c r="CI147" s="170">
        <v>37</v>
      </c>
      <c r="CJ147" s="217">
        <f t="shared" si="428"/>
        <v>3.7</v>
      </c>
      <c r="CK147" s="217"/>
      <c r="CL147" s="217">
        <f t="shared" si="368"/>
        <v>55.5</v>
      </c>
      <c r="CM147" s="541">
        <f t="shared" si="369"/>
        <v>19</v>
      </c>
      <c r="CN147" s="443">
        <f t="shared" si="370"/>
        <v>15.4</v>
      </c>
      <c r="CO147" s="443">
        <f t="shared" si="371"/>
        <v>34.4</v>
      </c>
      <c r="CP147" s="443"/>
      <c r="CQ147" s="217">
        <f t="shared" si="372"/>
        <v>0.44767441860465118</v>
      </c>
      <c r="CR147" s="172">
        <f t="shared" si="429"/>
        <v>212.84736191860466</v>
      </c>
      <c r="CS147" s="172">
        <f t="shared" si="373"/>
        <v>55.5</v>
      </c>
      <c r="CT147" s="217">
        <f t="shared" si="374"/>
        <v>14.189824127906977</v>
      </c>
      <c r="CU147" s="217">
        <f t="shared" si="375"/>
        <v>15</v>
      </c>
      <c r="CV147" s="217"/>
      <c r="CW147" s="172">
        <f t="shared" si="376"/>
        <v>109.44756516452712</v>
      </c>
      <c r="CX147" s="172">
        <f t="shared" si="377"/>
        <v>15</v>
      </c>
      <c r="CY147" s="217">
        <f t="shared" si="378"/>
        <v>13.049897470950102</v>
      </c>
      <c r="CZ147" s="217">
        <f t="shared" si="379"/>
        <v>8.2420405079684844</v>
      </c>
      <c r="DA147" s="217">
        <f t="shared" si="380"/>
        <v>10.168751276065013</v>
      </c>
      <c r="DB147" s="197">
        <f t="shared" si="381"/>
        <v>70.881782945736433</v>
      </c>
      <c r="DC147" s="443">
        <f t="shared" si="382"/>
        <v>54.315969227745867</v>
      </c>
      <c r="DE147" s="217">
        <f t="shared" si="383"/>
        <v>10.000000000000002</v>
      </c>
      <c r="DF147" s="173">
        <f t="shared" si="384"/>
        <v>7.792207792207793</v>
      </c>
      <c r="DG147" s="173">
        <f t="shared" si="385"/>
        <v>2.7616279069767451</v>
      </c>
      <c r="DH147" s="173"/>
      <c r="DI147" s="173">
        <f t="shared" si="386"/>
        <v>7.7922077922077913</v>
      </c>
      <c r="DJ147" s="545">
        <f t="shared" si="387"/>
        <v>94.966666666666669</v>
      </c>
      <c r="DK147" s="528">
        <f t="shared" si="388"/>
        <v>2.7616279069767442</v>
      </c>
      <c r="DM147" s="173">
        <f t="shared" si="389"/>
        <v>5.2089666281646823</v>
      </c>
      <c r="DN147" s="173">
        <f t="shared" si="390"/>
        <v>13.049897470950102</v>
      </c>
      <c r="DO147" s="173">
        <f t="shared" si="391"/>
        <v>3.4591833118148898</v>
      </c>
      <c r="DQ147" s="545">
        <f t="shared" si="392"/>
        <v>3700</v>
      </c>
      <c r="DR147" s="460">
        <f t="shared" si="393"/>
        <v>54.315969227745867</v>
      </c>
      <c r="DT147">
        <f t="shared" si="430"/>
        <v>3700</v>
      </c>
      <c r="DU147">
        <f t="shared" si="431"/>
        <v>54.315969227745867</v>
      </c>
      <c r="DW147" s="5">
        <f t="shared" si="394"/>
        <v>18.410791784033499</v>
      </c>
      <c r="DX147" s="5">
        <f t="shared" si="395"/>
        <v>8.2420405079684844</v>
      </c>
      <c r="DY147" s="5">
        <f t="shared" si="396"/>
        <v>10.168751276065015</v>
      </c>
      <c r="DZ147" s="5"/>
      <c r="EA147" s="173">
        <f t="shared" si="397"/>
        <v>0.44767441860465113</v>
      </c>
      <c r="EB147" s="173">
        <f t="shared" si="398"/>
        <v>55.5</v>
      </c>
      <c r="EC147" s="173">
        <f t="shared" si="399"/>
        <v>3.6038961038961044</v>
      </c>
      <c r="ED147" s="173">
        <f t="shared" si="400"/>
        <v>15.399999999999999</v>
      </c>
      <c r="EE147" s="460">
        <f t="shared" si="401"/>
        <v>203.30366586322262</v>
      </c>
      <c r="EF147" s="5">
        <f t="shared" si="402"/>
        <v>10.242571612007408</v>
      </c>
      <c r="EH147" s="173">
        <f t="shared" si="403"/>
        <v>5.0411266828857633</v>
      </c>
      <c r="EI147" s="173">
        <f t="shared" si="404"/>
        <v>5.5994329862823724</v>
      </c>
      <c r="EK147" s="528">
        <f t="shared" si="405"/>
        <v>0.50825916465805643</v>
      </c>
      <c r="EL147" s="528">
        <f t="shared" si="406"/>
        <v>0.48766666666666664</v>
      </c>
      <c r="EM147" s="528">
        <f t="shared" si="407"/>
        <v>6.7894961534682328E-3</v>
      </c>
      <c r="EN147" s="528">
        <f t="shared" si="408"/>
        <v>6.4275345345345342E-3</v>
      </c>
      <c r="EO147">
        <f t="shared" si="409"/>
        <v>8.5500000000000003E-3</v>
      </c>
      <c r="EP147" s="460">
        <f t="shared" si="410"/>
        <v>15.339496153468232</v>
      </c>
      <c r="EQ147" s="460"/>
      <c r="ER147" s="460">
        <f t="shared" si="432"/>
        <v>1017.6928620127259</v>
      </c>
      <c r="ES147" s="528">
        <f t="shared" si="411"/>
        <v>2.59</v>
      </c>
      <c r="EV147" s="460">
        <f t="shared" si="412"/>
        <v>2590</v>
      </c>
      <c r="EW147" s="528">
        <f t="shared" si="413"/>
        <v>0.76238874698708459</v>
      </c>
      <c r="EX147" s="528">
        <f t="shared" si="414"/>
        <v>0.94060949303601371</v>
      </c>
      <c r="EY147" s="528">
        <f t="shared" si="415"/>
        <v>0.66881589702681277</v>
      </c>
      <c r="EZ147" s="528"/>
      <c r="FA147" s="528">
        <f t="shared" si="416"/>
        <v>9.2499999999999995E-3</v>
      </c>
      <c r="FB147" s="460">
        <f t="shared" si="417"/>
        <v>2381.0641370499111</v>
      </c>
      <c r="FC147" s="173">
        <f t="shared" si="418"/>
        <v>5.9887569990626375</v>
      </c>
      <c r="FD147" s="5">
        <f t="shared" si="419"/>
        <v>55.5</v>
      </c>
      <c r="FE147" s="173">
        <f t="shared" si="420"/>
        <v>0.90260403216227103</v>
      </c>
      <c r="FF147" s="5">
        <f t="shared" si="421"/>
        <v>90.260403216227104</v>
      </c>
      <c r="FI147" s="562">
        <f t="shared" si="422"/>
        <v>-50</v>
      </c>
      <c r="FJ147">
        <f t="shared" si="423"/>
        <v>-50</v>
      </c>
      <c r="FL147">
        <f t="shared" si="476"/>
        <v>0.55232558139534893</v>
      </c>
    </row>
    <row r="148" spans="5:168">
      <c r="E148" s="170">
        <v>38</v>
      </c>
      <c r="F148" s="217">
        <f t="shared" si="477"/>
        <v>3.8</v>
      </c>
      <c r="G148" s="217"/>
      <c r="H148" s="217">
        <f t="shared" si="442"/>
        <v>57</v>
      </c>
      <c r="I148" s="541">
        <f t="shared" si="443"/>
        <v>18.654345132664378</v>
      </c>
      <c r="J148" s="172">
        <f t="shared" si="444"/>
        <v>15.607392920401374</v>
      </c>
      <c r="K148" s="172">
        <f t="shared" si="445"/>
        <v>34.261738053065756</v>
      </c>
      <c r="L148" s="443"/>
      <c r="M148" s="217">
        <f t="shared" si="446"/>
        <v>0.45551840567299201</v>
      </c>
      <c r="N148" s="172">
        <f t="shared" si="447"/>
        <v>212.63675203452587</v>
      </c>
      <c r="O148" s="172">
        <f t="shared" si="438"/>
        <v>57</v>
      </c>
      <c r="P148" s="217">
        <f t="shared" si="448"/>
        <v>14.175783468968392</v>
      </c>
      <c r="Q148" s="217">
        <f t="shared" si="449"/>
        <v>15</v>
      </c>
      <c r="R148" s="217"/>
      <c r="S148" s="172">
        <f t="shared" si="450"/>
        <v>104.14298452041567</v>
      </c>
      <c r="T148" s="172">
        <f t="shared" si="451"/>
        <v>15</v>
      </c>
      <c r="U148" s="217">
        <f t="shared" si="452"/>
        <v>13.958231240844384</v>
      </c>
      <c r="V148" s="217">
        <f t="shared" si="453"/>
        <v>8.9790755826017552</v>
      </c>
      <c r="W148" s="217">
        <f t="shared" si="454"/>
        <v>10.732014997276371</v>
      </c>
      <c r="X148" s="197">
        <f t="shared" si="455"/>
        <v>70.814099221346524</v>
      </c>
      <c r="Y148" s="443">
        <f t="shared" si="328"/>
        <v>50.223266073159564</v>
      </c>
      <c r="AA148" s="217">
        <f t="shared" si="456"/>
        <v>10</v>
      </c>
      <c r="AB148" s="173">
        <f t="shared" si="457"/>
        <v>7.6886639948136812</v>
      </c>
      <c r="AC148" s="173">
        <f t="shared" si="458"/>
        <v>2.7223290750416531</v>
      </c>
      <c r="AD148" s="173"/>
      <c r="AE148" s="173">
        <f t="shared" si="459"/>
        <v>7.6886639948136812</v>
      </c>
      <c r="AF148" s="545">
        <f t="shared" si="460"/>
        <v>98.846821829208707</v>
      </c>
      <c r="AG148" s="528">
        <f t="shared" si="461"/>
        <v>2.7223290750416527</v>
      </c>
      <c r="AI148" s="173">
        <f t="shared" si="462"/>
        <v>5.3143154868768967</v>
      </c>
      <c r="AJ148" s="173">
        <f t="shared" si="463"/>
        <v>13.958231240844384</v>
      </c>
      <c r="AK148" s="173">
        <f t="shared" si="464"/>
        <v>4.1320231413662105</v>
      </c>
      <c r="AM148" s="545">
        <f t="shared" si="465"/>
        <v>3800</v>
      </c>
      <c r="AN148" s="460">
        <f t="shared" si="466"/>
        <v>50.223266073159564</v>
      </c>
      <c r="AP148" s="460">
        <f t="shared" si="467"/>
        <v>3800</v>
      </c>
      <c r="AQ148" s="460">
        <f t="shared" si="468"/>
        <v>50.223266073159564</v>
      </c>
      <c r="AS148" s="5">
        <f t="shared" si="439"/>
        <v>19.911090579878124</v>
      </c>
      <c r="AT148" s="5">
        <f t="shared" si="469"/>
        <v>8.9790755826017552</v>
      </c>
      <c r="AU148" s="5">
        <f t="shared" si="343"/>
        <v>10.932014997276369</v>
      </c>
      <c r="AV148" s="5"/>
      <c r="AW148" s="173">
        <f t="shared" si="344"/>
        <v>0.45095850207601818</v>
      </c>
      <c r="AX148" s="173">
        <f t="shared" si="435"/>
        <v>58.710662359131327</v>
      </c>
      <c r="AY148" s="173">
        <f t="shared" si="436"/>
        <v>3.8318240944212603</v>
      </c>
      <c r="AZ148" s="173">
        <f t="shared" si="440"/>
        <v>15.321857400658862</v>
      </c>
      <c r="BA148" s="460">
        <f t="shared" si="433"/>
        <v>227.46991475924446</v>
      </c>
      <c r="BB148" s="5">
        <f t="shared" si="434"/>
        <v>11.518530298090887</v>
      </c>
      <c r="BD148" s="173">
        <f t="shared" si="441"/>
        <v>5.4117540534328912</v>
      </c>
      <c r="BE148" s="173">
        <f t="shared" si="437"/>
        <v>5.9713475187303731</v>
      </c>
      <c r="BG148" s="528">
        <f t="shared" si="347"/>
        <v>0.58574163869694662</v>
      </c>
      <c r="BH148" s="528">
        <f t="shared" si="470"/>
        <v>0.45034568222737004</v>
      </c>
      <c r="BI148" s="528">
        <f t="shared" si="471"/>
        <v>2.3422053475458803E-2</v>
      </c>
      <c r="BJ148" s="528">
        <f t="shared" si="350"/>
        <v>5.8955419328119959E-3</v>
      </c>
      <c r="BK148">
        <f t="shared" si="351"/>
        <v>8.3944553096989699E-3</v>
      </c>
      <c r="BL148" s="460">
        <f t="shared" si="427"/>
        <v>31.816508785157772</v>
      </c>
      <c r="BM148" s="528">
        <f t="shared" si="472"/>
        <v>1.3941616708051123</v>
      </c>
      <c r="BN148" s="460">
        <f t="shared" si="353"/>
        <v>1394.1616708051124</v>
      </c>
      <c r="BO148" s="528">
        <f t="shared" si="354"/>
        <v>2.6599999999999997</v>
      </c>
      <c r="BR148" s="460">
        <f t="shared" si="355"/>
        <v>2659.9999999999995</v>
      </c>
      <c r="BS148" s="528">
        <f t="shared" si="356"/>
        <v>0.87861245804541988</v>
      </c>
      <c r="BT148" s="528">
        <f t="shared" si="357"/>
        <v>1.0697097356834213</v>
      </c>
      <c r="BU148" s="528">
        <f t="shared" si="358"/>
        <v>0.6505914571153707</v>
      </c>
      <c r="BV148" s="528"/>
      <c r="BW148" s="528">
        <f t="shared" si="359"/>
        <v>9.7851103931885543E-3</v>
      </c>
      <c r="BX148" s="460">
        <f t="shared" si="360"/>
        <v>2608.6987612374005</v>
      </c>
      <c r="BY148" s="173">
        <f t="shared" si="361"/>
        <v>6.3424981328796868</v>
      </c>
      <c r="BZ148" s="5">
        <f t="shared" si="362"/>
        <v>57</v>
      </c>
      <c r="CA148" s="173">
        <f t="shared" si="363"/>
        <v>0.89986978221833924</v>
      </c>
      <c r="CB148" s="5">
        <f t="shared" si="364"/>
        <v>89.986978221833922</v>
      </c>
      <c r="CE148" s="562">
        <f t="shared" si="473"/>
        <v>-50</v>
      </c>
      <c r="CF148">
        <f t="shared" si="474"/>
        <v>-50</v>
      </c>
      <c r="CG148" s="173">
        <f t="shared" si="475"/>
        <v>0.5496812513145245</v>
      </c>
      <c r="CI148" s="170">
        <v>38</v>
      </c>
      <c r="CJ148" s="217">
        <f t="shared" si="428"/>
        <v>3.8</v>
      </c>
      <c r="CK148" s="217"/>
      <c r="CL148" s="217">
        <f t="shared" si="368"/>
        <v>57</v>
      </c>
      <c r="CM148" s="541">
        <f t="shared" si="369"/>
        <v>19</v>
      </c>
      <c r="CN148" s="443">
        <f t="shared" si="370"/>
        <v>15.4</v>
      </c>
      <c r="CO148" s="443">
        <f t="shared" si="371"/>
        <v>34.4</v>
      </c>
      <c r="CP148" s="443"/>
      <c r="CQ148" s="217">
        <f t="shared" si="372"/>
        <v>0.44767441860465118</v>
      </c>
      <c r="CR148" s="172">
        <f t="shared" si="429"/>
        <v>212.84736191860466</v>
      </c>
      <c r="CS148" s="172">
        <f t="shared" si="373"/>
        <v>57</v>
      </c>
      <c r="CT148" s="217">
        <f t="shared" si="374"/>
        <v>14.189824127906977</v>
      </c>
      <c r="CU148" s="217">
        <f t="shared" si="375"/>
        <v>15</v>
      </c>
      <c r="CV148" s="217"/>
      <c r="CW148" s="172">
        <f t="shared" si="376"/>
        <v>106.07138068419103</v>
      </c>
      <c r="CX148" s="172">
        <f t="shared" si="377"/>
        <v>15</v>
      </c>
      <c r="CY148" s="217">
        <f t="shared" si="378"/>
        <v>13.402597402597403</v>
      </c>
      <c r="CZ148" s="217">
        <f t="shared" si="379"/>
        <v>8.4647983595352017</v>
      </c>
      <c r="DA148" s="217">
        <f t="shared" si="380"/>
        <v>10.44358239163434</v>
      </c>
      <c r="DB148" s="197">
        <f t="shared" si="381"/>
        <v>70.881782945736433</v>
      </c>
      <c r="DC148" s="443">
        <f t="shared" si="382"/>
        <v>52.886601616489394</v>
      </c>
      <c r="DE148" s="217">
        <f t="shared" si="383"/>
        <v>10.000000000000002</v>
      </c>
      <c r="DF148" s="173">
        <f t="shared" si="384"/>
        <v>7.792207792207793</v>
      </c>
      <c r="DG148" s="173">
        <f t="shared" si="385"/>
        <v>2.7616279069767451</v>
      </c>
      <c r="DH148" s="173"/>
      <c r="DI148" s="173">
        <f t="shared" si="386"/>
        <v>7.7922077922077913</v>
      </c>
      <c r="DJ148" s="545">
        <f t="shared" si="387"/>
        <v>97.533333333333331</v>
      </c>
      <c r="DK148" s="528">
        <f t="shared" si="388"/>
        <v>2.7616279069767442</v>
      </c>
      <c r="DM148" s="173">
        <f t="shared" si="389"/>
        <v>5.2788887719544411</v>
      </c>
      <c r="DN148" s="173">
        <f t="shared" si="390"/>
        <v>13.402597402597403</v>
      </c>
      <c r="DO148" s="173">
        <f t="shared" si="391"/>
        <v>3.7204425204425204</v>
      </c>
      <c r="DQ148" s="545">
        <f t="shared" si="392"/>
        <v>3800</v>
      </c>
      <c r="DR148" s="460">
        <f t="shared" si="393"/>
        <v>52.886601616489394</v>
      </c>
      <c r="DT148">
        <f t="shared" si="430"/>
        <v>3800</v>
      </c>
      <c r="DU148">
        <f t="shared" si="431"/>
        <v>52.886601616489394</v>
      </c>
      <c r="DW148" s="5">
        <f t="shared" si="394"/>
        <v>18.908380751169542</v>
      </c>
      <c r="DX148" s="5">
        <f t="shared" si="395"/>
        <v>8.4647983595352017</v>
      </c>
      <c r="DY148" s="5">
        <f t="shared" si="396"/>
        <v>10.44358239163434</v>
      </c>
      <c r="DZ148" s="5"/>
      <c r="EA148" s="173">
        <f t="shared" si="397"/>
        <v>0.44767441860465113</v>
      </c>
      <c r="EB148" s="173">
        <f t="shared" si="398"/>
        <v>57</v>
      </c>
      <c r="EC148" s="173">
        <f t="shared" si="399"/>
        <v>3.7012987012987018</v>
      </c>
      <c r="ED148" s="173">
        <f t="shared" si="400"/>
        <v>15.399999999999999</v>
      </c>
      <c r="EE148" s="460">
        <f t="shared" si="401"/>
        <v>214.44155844155844</v>
      </c>
      <c r="EF148" s="5">
        <f t="shared" si="402"/>
        <v>10.803705922380351</v>
      </c>
      <c r="EH148" s="173">
        <f t="shared" si="403"/>
        <v>5.177373349990785</v>
      </c>
      <c r="EI148" s="173">
        <f t="shared" si="404"/>
        <v>5.7507690129386528</v>
      </c>
      <c r="EK148" s="528">
        <f t="shared" si="405"/>
        <v>0.53610389610389608</v>
      </c>
      <c r="EL148" s="528">
        <f t="shared" si="406"/>
        <v>0.48766666666666664</v>
      </c>
      <c r="EM148" s="528">
        <f t="shared" si="407"/>
        <v>6.6108252020611732E-3</v>
      </c>
      <c r="EN148" s="528">
        <f t="shared" si="408"/>
        <v>6.2583888888888889E-3</v>
      </c>
      <c r="EO148">
        <f t="shared" si="409"/>
        <v>8.5500000000000003E-3</v>
      </c>
      <c r="EP148" s="460">
        <f t="shared" si="410"/>
        <v>15.160825202061172</v>
      </c>
      <c r="EQ148" s="460"/>
      <c r="ER148" s="460">
        <f t="shared" si="432"/>
        <v>1045.1897768615129</v>
      </c>
      <c r="ES148" s="528">
        <f t="shared" si="411"/>
        <v>2.6599999999999997</v>
      </c>
      <c r="EV148" s="460">
        <f t="shared" si="412"/>
        <v>2659.9999999999995</v>
      </c>
      <c r="EW148" s="528">
        <f t="shared" si="413"/>
        <v>0.80415584415584418</v>
      </c>
      <c r="EX148" s="528">
        <f t="shared" si="414"/>
        <v>0.99214032720526213</v>
      </c>
      <c r="EY148" s="528">
        <f t="shared" si="415"/>
        <v>0.66881589702681232</v>
      </c>
      <c r="EZ148" s="528"/>
      <c r="FA148" s="528">
        <f t="shared" si="416"/>
        <v>9.4999999999999998E-3</v>
      </c>
      <c r="FB148" s="460">
        <f t="shared" si="417"/>
        <v>2474.612068387919</v>
      </c>
      <c r="FC148" s="173">
        <f t="shared" si="418"/>
        <v>6.1798018452494317</v>
      </c>
      <c r="FD148" s="5">
        <f t="shared" si="419"/>
        <v>57</v>
      </c>
      <c r="FE148" s="173">
        <f t="shared" si="420"/>
        <v>0.90218706509422053</v>
      </c>
      <c r="FF148" s="5">
        <f t="shared" si="421"/>
        <v>90.218706509422049</v>
      </c>
      <c r="FI148" s="562">
        <f t="shared" si="422"/>
        <v>-50</v>
      </c>
      <c r="FJ148">
        <f t="shared" si="423"/>
        <v>-50</v>
      </c>
      <c r="FL148">
        <f t="shared" si="476"/>
        <v>0.55232558139534893</v>
      </c>
    </row>
    <row r="149" spans="5:168">
      <c r="E149" s="170">
        <v>39</v>
      </c>
      <c r="F149" s="217">
        <f t="shared" si="477"/>
        <v>3.9000000000000004</v>
      </c>
      <c r="G149" s="217"/>
      <c r="H149" s="217">
        <f t="shared" si="442"/>
        <v>58.500000000000007</v>
      </c>
      <c r="I149" s="541">
        <f t="shared" si="443"/>
        <v>18.645292705188602</v>
      </c>
      <c r="J149" s="172">
        <f t="shared" si="444"/>
        <v>15.61282437688684</v>
      </c>
      <c r="K149" s="172">
        <f t="shared" si="445"/>
        <v>34.258117082075444</v>
      </c>
      <c r="L149" s="443"/>
      <c r="M149" s="217">
        <f t="shared" si="446"/>
        <v>0.45572510551263656</v>
      </c>
      <c r="N149" s="172">
        <f t="shared" si="447"/>
        <v>212.63000642430464</v>
      </c>
      <c r="O149" s="172">
        <f t="shared" si="438"/>
        <v>58.500000000000007</v>
      </c>
      <c r="P149" s="217">
        <f t="shared" si="448"/>
        <v>14.17533376162031</v>
      </c>
      <c r="Q149" s="217">
        <f t="shared" si="449"/>
        <v>15</v>
      </c>
      <c r="R149" s="217"/>
      <c r="S149" s="172">
        <f t="shared" si="450"/>
        <v>100.94940254952995</v>
      </c>
      <c r="T149" s="172">
        <f t="shared" si="451"/>
        <v>15</v>
      </c>
      <c r="U149" s="217">
        <f t="shared" si="452"/>
        <v>14.330993545727644</v>
      </c>
      <c r="V149" s="217">
        <f t="shared" si="453"/>
        <v>9.2233426027619014</v>
      </c>
      <c r="W149" s="217">
        <f t="shared" si="454"/>
        <v>11.01478620379015</v>
      </c>
      <c r="X149" s="197">
        <f t="shared" si="455"/>
        <v>70.811850654335259</v>
      </c>
      <c r="Y149" s="443">
        <f t="shared" si="328"/>
        <v>48.92815822157948</v>
      </c>
      <c r="AA149" s="217">
        <f t="shared" si="456"/>
        <v>10</v>
      </c>
      <c r="AB149" s="173">
        <f t="shared" si="457"/>
        <v>7.6859892293189125</v>
      </c>
      <c r="AC149" s="173">
        <f t="shared" si="458"/>
        <v>2.7212956071868009</v>
      </c>
      <c r="AD149" s="173"/>
      <c r="AE149" s="173">
        <f t="shared" si="459"/>
        <v>7.6859892293189125</v>
      </c>
      <c r="AF149" s="545">
        <f t="shared" si="460"/>
        <v>101.48335844976445</v>
      </c>
      <c r="AG149" s="528">
        <f t="shared" si="461"/>
        <v>2.7212956071868013</v>
      </c>
      <c r="AI149" s="173">
        <f t="shared" si="462"/>
        <v>5.3847233235665204</v>
      </c>
      <c r="AJ149" s="173">
        <f t="shared" si="463"/>
        <v>14.330993545727644</v>
      </c>
      <c r="AK149" s="173">
        <f t="shared" si="464"/>
        <v>4.4081433672056622</v>
      </c>
      <c r="AM149" s="545">
        <f t="shared" si="465"/>
        <v>3900.0000000000005</v>
      </c>
      <c r="AN149" s="460">
        <f t="shared" si="466"/>
        <v>48.92815822157948</v>
      </c>
      <c r="AP149" s="460">
        <f t="shared" si="467"/>
        <v>3900.0000000000005</v>
      </c>
      <c r="AQ149" s="460">
        <f t="shared" si="468"/>
        <v>48.92815822157948</v>
      </c>
      <c r="AS149" s="5">
        <f t="shared" si="439"/>
        <v>20.438128806552047</v>
      </c>
      <c r="AT149" s="5">
        <f t="shared" si="469"/>
        <v>9.2233426027619014</v>
      </c>
      <c r="AU149" s="5">
        <f t="shared" si="343"/>
        <v>11.214786203790146</v>
      </c>
      <c r="AV149" s="5"/>
      <c r="AW149" s="173">
        <f t="shared" si="344"/>
        <v>0.45128116619976905</v>
      </c>
      <c r="AX149" s="173">
        <f t="shared" si="435"/>
        <v>60.292420490621708</v>
      </c>
      <c r="AY149" s="173">
        <f t="shared" si="436"/>
        <v>3.9318430328051543</v>
      </c>
      <c r="AZ149" s="173">
        <f t="shared" si="440"/>
        <v>15.334391527732574</v>
      </c>
      <c r="BA149" s="460">
        <f t="shared" si="433"/>
        <v>239.80690767180945</v>
      </c>
      <c r="BB149" s="5">
        <f t="shared" si="434"/>
        <v>12.133320269146946</v>
      </c>
      <c r="BD149" s="173">
        <f t="shared" si="441"/>
        <v>5.5582653695734257</v>
      </c>
      <c r="BE149" s="173">
        <f t="shared" si="437"/>
        <v>6.1290139025210717</v>
      </c>
      <c r="BG149" s="528">
        <f t="shared" si="347"/>
        <v>0.61788627837198418</v>
      </c>
      <c r="BH149" s="528">
        <f t="shared" si="470"/>
        <v>0.45040160547373798</v>
      </c>
      <c r="BI149" s="528">
        <f t="shared" si="471"/>
        <v>2.280699578917824E-2</v>
      </c>
      <c r="BJ149" s="528">
        <f t="shared" si="350"/>
        <v>5.7422995868044004E-3</v>
      </c>
      <c r="BK149">
        <f t="shared" si="351"/>
        <v>8.3903817173348709E-3</v>
      </c>
      <c r="BL149" s="460">
        <f t="shared" si="427"/>
        <v>31.19737750651311</v>
      </c>
      <c r="BM149" s="528">
        <f t="shared" si="472"/>
        <v>1.4543761158168755</v>
      </c>
      <c r="BN149" s="460">
        <f t="shared" si="353"/>
        <v>1454.3761158168754</v>
      </c>
      <c r="BO149" s="528">
        <f t="shared" si="354"/>
        <v>2.73</v>
      </c>
      <c r="BR149" s="460">
        <f t="shared" si="355"/>
        <v>2730</v>
      </c>
      <c r="BS149" s="528">
        <f t="shared" si="356"/>
        <v>0.92682941755797621</v>
      </c>
      <c r="BT149" s="528">
        <f t="shared" si="357"/>
        <v>1.1269443425188972</v>
      </c>
      <c r="BU149" s="528">
        <f t="shared" si="358"/>
        <v>0.6509654300698281</v>
      </c>
      <c r="BV149" s="528"/>
      <c r="BW149" s="528">
        <f t="shared" si="359"/>
        <v>1.0048736748436949E-2</v>
      </c>
      <c r="BX149" s="460">
        <f t="shared" si="360"/>
        <v>2714.7879268951383</v>
      </c>
      <c r="BY149" s="173">
        <f t="shared" si="361"/>
        <v>6.5500154878341776</v>
      </c>
      <c r="BZ149" s="5">
        <f t="shared" si="362"/>
        <v>58.500000000000007</v>
      </c>
      <c r="CA149" s="173">
        <f t="shared" si="363"/>
        <v>0.89930801032539065</v>
      </c>
      <c r="CB149" s="5">
        <f t="shared" si="364"/>
        <v>89.930801032539065</v>
      </c>
      <c r="CE149" s="562">
        <f t="shared" si="473"/>
        <v>-50</v>
      </c>
      <c r="CF149">
        <f t="shared" si="474"/>
        <v>-50</v>
      </c>
      <c r="CG149" s="173">
        <f t="shared" si="475"/>
        <v>0.54974905464993018</v>
      </c>
      <c r="CI149" s="170">
        <v>39</v>
      </c>
      <c r="CJ149" s="217">
        <f t="shared" si="428"/>
        <v>3.9000000000000004</v>
      </c>
      <c r="CK149" s="217"/>
      <c r="CL149" s="217">
        <f t="shared" si="368"/>
        <v>58.500000000000007</v>
      </c>
      <c r="CM149" s="541">
        <f t="shared" si="369"/>
        <v>19</v>
      </c>
      <c r="CN149" s="443">
        <f t="shared" si="370"/>
        <v>15.4</v>
      </c>
      <c r="CO149" s="443">
        <f t="shared" si="371"/>
        <v>34.4</v>
      </c>
      <c r="CP149" s="443"/>
      <c r="CQ149" s="217">
        <f t="shared" si="372"/>
        <v>0.44767441860465118</v>
      </c>
      <c r="CR149" s="172">
        <f t="shared" si="429"/>
        <v>212.84736191860466</v>
      </c>
      <c r="CS149" s="172">
        <f t="shared" si="373"/>
        <v>58.500000000000007</v>
      </c>
      <c r="CT149" s="217">
        <f t="shared" si="374"/>
        <v>14.189824127906977</v>
      </c>
      <c r="CU149" s="217">
        <f t="shared" si="375"/>
        <v>15</v>
      </c>
      <c r="CV149" s="217"/>
      <c r="CW149" s="172">
        <f t="shared" si="376"/>
        <v>102.86846638057999</v>
      </c>
      <c r="CX149" s="172">
        <f t="shared" si="377"/>
        <v>15</v>
      </c>
      <c r="CY149" s="217">
        <f t="shared" si="378"/>
        <v>13.755297334244704</v>
      </c>
      <c r="CZ149" s="217">
        <f t="shared" si="379"/>
        <v>8.6875562111019171</v>
      </c>
      <c r="DA149" s="217">
        <f t="shared" si="380"/>
        <v>10.718413507203666</v>
      </c>
      <c r="DB149" s="197">
        <f t="shared" si="381"/>
        <v>70.881782945736433</v>
      </c>
      <c r="DC149" s="443">
        <f t="shared" si="382"/>
        <v>51.530534908374271</v>
      </c>
      <c r="DE149" s="217">
        <f t="shared" si="383"/>
        <v>10.000000000000002</v>
      </c>
      <c r="DF149" s="173">
        <f t="shared" si="384"/>
        <v>7.792207792207793</v>
      </c>
      <c r="DG149" s="173">
        <f t="shared" si="385"/>
        <v>2.7616279069767451</v>
      </c>
      <c r="DH149" s="173"/>
      <c r="DI149" s="173">
        <f t="shared" si="386"/>
        <v>7.7922077922077913</v>
      </c>
      <c r="DJ149" s="545">
        <f t="shared" si="387"/>
        <v>100.10000000000001</v>
      </c>
      <c r="DK149" s="528">
        <f t="shared" si="388"/>
        <v>2.7616279069767442</v>
      </c>
      <c r="DM149" s="173">
        <f t="shared" si="389"/>
        <v>5.3478967828483759</v>
      </c>
      <c r="DN149" s="173">
        <f t="shared" si="390"/>
        <v>13.755297334244704</v>
      </c>
      <c r="DO149" s="173">
        <f t="shared" si="391"/>
        <v>3.9817017290701511</v>
      </c>
      <c r="DQ149" s="545">
        <f t="shared" si="392"/>
        <v>3900.0000000000005</v>
      </c>
      <c r="DR149" s="460">
        <f t="shared" si="393"/>
        <v>51.530534908374271</v>
      </c>
      <c r="DT149">
        <f t="shared" si="430"/>
        <v>3900.0000000000005</v>
      </c>
      <c r="DU149">
        <f t="shared" si="431"/>
        <v>51.530534908374271</v>
      </c>
      <c r="DW149" s="5">
        <f t="shared" si="394"/>
        <v>19.405969718305588</v>
      </c>
      <c r="DX149" s="5">
        <f t="shared" si="395"/>
        <v>8.6875562111019171</v>
      </c>
      <c r="DY149" s="5">
        <f t="shared" si="396"/>
        <v>10.718413507203671</v>
      </c>
      <c r="DZ149" s="5"/>
      <c r="EA149" s="173">
        <f t="shared" si="397"/>
        <v>0.44767441860465101</v>
      </c>
      <c r="EB149" s="173">
        <f t="shared" si="398"/>
        <v>58.499999999999993</v>
      </c>
      <c r="EC149" s="173">
        <f t="shared" si="399"/>
        <v>3.7987012987012996</v>
      </c>
      <c r="ED149" s="173">
        <f t="shared" si="400"/>
        <v>15.399999999999995</v>
      </c>
      <c r="EE149" s="460">
        <f t="shared" si="401"/>
        <v>225.87646148864988</v>
      </c>
      <c r="EF149" s="5">
        <f t="shared" si="402"/>
        <v>11.379803814363244</v>
      </c>
      <c r="EH149" s="173">
        <f t="shared" si="403"/>
        <v>5.3136200170958059</v>
      </c>
      <c r="EI149" s="173">
        <f t="shared" si="404"/>
        <v>5.9021050395949342</v>
      </c>
      <c r="EK149" s="528">
        <f t="shared" si="405"/>
        <v>0.56469115372162459</v>
      </c>
      <c r="EL149" s="528">
        <f t="shared" si="406"/>
        <v>0.48766666666666658</v>
      </c>
      <c r="EM149" s="528">
        <f t="shared" si="407"/>
        <v>6.4413168635467834E-3</v>
      </c>
      <c r="EN149" s="528">
        <f t="shared" si="408"/>
        <v>6.0979173789173771E-3</v>
      </c>
      <c r="EO149">
        <f t="shared" si="409"/>
        <v>8.5500000000000003E-3</v>
      </c>
      <c r="EP149" s="460">
        <f t="shared" si="410"/>
        <v>14.991316863546784</v>
      </c>
      <c r="EQ149" s="460"/>
      <c r="ER149" s="460">
        <f t="shared" si="432"/>
        <v>1073.4470546307555</v>
      </c>
      <c r="ES149" s="528">
        <f t="shared" si="411"/>
        <v>2.73</v>
      </c>
      <c r="EV149" s="460">
        <f t="shared" si="412"/>
        <v>2730</v>
      </c>
      <c r="EW149" s="528">
        <f t="shared" si="413"/>
        <v>0.84703673058243689</v>
      </c>
      <c r="EX149" s="528">
        <f t="shared" si="414"/>
        <v>1.0450453169523575</v>
      </c>
      <c r="EY149" s="528">
        <f t="shared" si="415"/>
        <v>0.66881589702681299</v>
      </c>
      <c r="EZ149" s="528"/>
      <c r="FA149" s="528">
        <f t="shared" si="416"/>
        <v>9.7499999999999983E-3</v>
      </c>
      <c r="FB149" s="460">
        <f t="shared" si="417"/>
        <v>2570.6479445616073</v>
      </c>
      <c r="FC149" s="173">
        <f t="shared" si="418"/>
        <v>6.374094999192363</v>
      </c>
      <c r="FD149" s="5">
        <f t="shared" si="419"/>
        <v>58.500000000000007</v>
      </c>
      <c r="FE149" s="173">
        <f t="shared" si="420"/>
        <v>0.90174668333682784</v>
      </c>
      <c r="FF149" s="5">
        <f t="shared" si="421"/>
        <v>90.174668333682789</v>
      </c>
      <c r="FI149" s="562">
        <f t="shared" si="422"/>
        <v>-50</v>
      </c>
      <c r="FJ149">
        <f t="shared" si="423"/>
        <v>-50</v>
      </c>
      <c r="FL149">
        <f t="shared" si="476"/>
        <v>0.55232558139534893</v>
      </c>
    </row>
    <row r="150" spans="5:168">
      <c r="E150" s="170">
        <v>40</v>
      </c>
      <c r="F150" s="217">
        <f t="shared" si="477"/>
        <v>4</v>
      </c>
      <c r="G150" s="217"/>
      <c r="H150" s="217">
        <f t="shared" si="442"/>
        <v>60</v>
      </c>
      <c r="I150" s="541">
        <f t="shared" si="443"/>
        <v>18.636240267461041</v>
      </c>
      <c r="J150" s="172">
        <f t="shared" si="444"/>
        <v>15.618255839523377</v>
      </c>
      <c r="K150" s="172">
        <f t="shared" si="445"/>
        <v>34.254496106984419</v>
      </c>
      <c r="L150" s="443"/>
      <c r="M150" s="217">
        <f t="shared" si="446"/>
        <v>0.45593184918813973</v>
      </c>
      <c r="N150" s="172">
        <f t="shared" si="447"/>
        <v>212.6231874942672</v>
      </c>
      <c r="O150" s="172">
        <f t="shared" si="438"/>
        <v>60</v>
      </c>
      <c r="P150" s="217">
        <f t="shared" si="448"/>
        <v>14.17487916628448</v>
      </c>
      <c r="Q150" s="217">
        <f t="shared" si="449"/>
        <v>15</v>
      </c>
      <c r="R150" s="217"/>
      <c r="S150" s="172">
        <f t="shared" si="450"/>
        <v>97.916083140237305</v>
      </c>
      <c r="T150" s="172">
        <f t="shared" si="451"/>
        <v>15</v>
      </c>
      <c r="U150" s="217">
        <f t="shared" si="452"/>
        <v>14.704040271540199</v>
      </c>
      <c r="V150" s="217">
        <f t="shared" si="453"/>
        <v>9.468030070773569</v>
      </c>
      <c r="W150" s="217">
        <f t="shared" si="454"/>
        <v>11.297579260544824</v>
      </c>
      <c r="X150" s="197">
        <f t="shared" si="455"/>
        <v>70.809577686525088</v>
      </c>
      <c r="Y150" s="443">
        <f t="shared" si="328"/>
        <v>47.697158913774167</v>
      </c>
      <c r="AA150" s="217">
        <f t="shared" si="456"/>
        <v>9.9999999999999964</v>
      </c>
      <c r="AB150" s="173">
        <f t="shared" si="457"/>
        <v>7.6833163211688049</v>
      </c>
      <c r="AC150" s="173">
        <f t="shared" si="458"/>
        <v>2.720261919669742</v>
      </c>
      <c r="AD150" s="173"/>
      <c r="AE150" s="173">
        <f t="shared" si="459"/>
        <v>7.6833163211688085</v>
      </c>
      <c r="AF150" s="545">
        <f t="shared" si="460"/>
        <v>104.12170559682249</v>
      </c>
      <c r="AG150" s="528">
        <f t="shared" si="461"/>
        <v>2.7202619196697446</v>
      </c>
      <c r="AI150" s="173">
        <f t="shared" si="462"/>
        <v>5.4542697716513153</v>
      </c>
      <c r="AJ150" s="173">
        <f t="shared" si="463"/>
        <v>14.704040271540199</v>
      </c>
      <c r="AK150" s="173">
        <f t="shared" si="464"/>
        <v>4.6844742752149626</v>
      </c>
      <c r="AM150" s="545">
        <f t="shared" si="465"/>
        <v>4000</v>
      </c>
      <c r="AN150" s="460">
        <f t="shared" si="466"/>
        <v>47.697158913774167</v>
      </c>
      <c r="AP150" s="460">
        <f t="shared" si="467"/>
        <v>4000</v>
      </c>
      <c r="AQ150" s="460">
        <f t="shared" si="468"/>
        <v>47.697158913774167</v>
      </c>
      <c r="AS150" s="5">
        <f t="shared" si="439"/>
        <v>20.965609331318394</v>
      </c>
      <c r="AT150" s="5">
        <f t="shared" si="469"/>
        <v>9.468030070773569</v>
      </c>
      <c r="AU150" s="5">
        <f t="shared" si="343"/>
        <v>11.497579260544825</v>
      </c>
      <c r="AV150" s="5"/>
      <c r="AW150" s="173">
        <f t="shared" si="344"/>
        <v>0.45159813488607942</v>
      </c>
      <c r="AX150" s="173">
        <f t="shared" si="435"/>
        <v>61.875273040818414</v>
      </c>
      <c r="AY150" s="173">
        <f t="shared" si="436"/>
        <v>4.0318615548114227</v>
      </c>
      <c r="AZ150" s="173">
        <f t="shared" si="440"/>
        <v>15.346576810649548</v>
      </c>
      <c r="BA150" s="460">
        <f t="shared" si="433"/>
        <v>252.48080188729517</v>
      </c>
      <c r="BB150" s="5">
        <f t="shared" si="434"/>
        <v>12.764428168138076</v>
      </c>
      <c r="BD150" s="173">
        <f t="shared" si="441"/>
        <v>5.7049537235818812</v>
      </c>
      <c r="BE150" s="173">
        <f t="shared" si="437"/>
        <v>6.2867402613872869</v>
      </c>
      <c r="BG150" s="528">
        <f t="shared" si="347"/>
        <v>0.65092993976421543</v>
      </c>
      <c r="BH150" s="528">
        <f t="shared" si="470"/>
        <v>0.45045151289082158</v>
      </c>
      <c r="BI150" s="528">
        <f t="shared" si="471"/>
        <v>2.222239283980916E-2</v>
      </c>
      <c r="BJ150" s="528">
        <f t="shared" si="350"/>
        <v>5.5966439372245273E-3</v>
      </c>
      <c r="BK150">
        <f t="shared" si="351"/>
        <v>8.3863081203574674E-3</v>
      </c>
      <c r="BL150" s="460">
        <f t="shared" si="427"/>
        <v>30.60870096016663</v>
      </c>
      <c r="BM150" s="528">
        <f t="shared" si="472"/>
        <v>1.5174138541509328</v>
      </c>
      <c r="BN150" s="460">
        <f t="shared" si="353"/>
        <v>1517.4138541509328</v>
      </c>
      <c r="BO150" s="528">
        <f t="shared" si="354"/>
        <v>2.8</v>
      </c>
      <c r="BR150" s="460">
        <f t="shared" si="355"/>
        <v>2800</v>
      </c>
      <c r="BS150" s="528">
        <f t="shared" si="356"/>
        <v>0.97639490964632303</v>
      </c>
      <c r="BT150" s="528">
        <f t="shared" si="357"/>
        <v>1.1856930934244367</v>
      </c>
      <c r="BU150" s="528">
        <f t="shared" si="358"/>
        <v>0.65131786500318223</v>
      </c>
      <c r="BV150" s="528"/>
      <c r="BW150" s="528">
        <f t="shared" si="359"/>
        <v>1.0312545506803069E-2</v>
      </c>
      <c r="BX150" s="460">
        <f t="shared" si="360"/>
        <v>2823.7184135807452</v>
      </c>
      <c r="BY150" s="173">
        <f t="shared" si="361"/>
        <v>6.7613052111331733</v>
      </c>
      <c r="BZ150" s="5">
        <f t="shared" si="362"/>
        <v>60</v>
      </c>
      <c r="CA150" s="173">
        <f t="shared" si="363"/>
        <v>0.89872419076064358</v>
      </c>
      <c r="CB150" s="5">
        <f t="shared" si="364"/>
        <v>89.872419076064361</v>
      </c>
      <c r="CE150" s="562">
        <f t="shared" si="473"/>
        <v>-50</v>
      </c>
      <c r="CF150">
        <f t="shared" si="474"/>
        <v>-50</v>
      </c>
      <c r="CG150" s="173">
        <f t="shared" si="475"/>
        <v>0.54981346781856555</v>
      </c>
      <c r="CI150" s="170">
        <v>40</v>
      </c>
      <c r="CJ150" s="217">
        <f t="shared" si="428"/>
        <v>4</v>
      </c>
      <c r="CK150" s="217"/>
      <c r="CL150" s="217">
        <f t="shared" si="368"/>
        <v>60</v>
      </c>
      <c r="CM150" s="541">
        <f t="shared" si="369"/>
        <v>19</v>
      </c>
      <c r="CN150" s="443">
        <f t="shared" si="370"/>
        <v>15.4</v>
      </c>
      <c r="CO150" s="443">
        <f t="shared" si="371"/>
        <v>34.4</v>
      </c>
      <c r="CP150" s="443"/>
      <c r="CQ150" s="217">
        <f t="shared" si="372"/>
        <v>0.44767441860465118</v>
      </c>
      <c r="CR150" s="172">
        <f t="shared" si="429"/>
        <v>212.84736191860466</v>
      </c>
      <c r="CS150" s="172">
        <f t="shared" si="373"/>
        <v>60</v>
      </c>
      <c r="CT150" s="217">
        <f t="shared" si="374"/>
        <v>14.189824127906977</v>
      </c>
      <c r="CU150" s="217">
        <f t="shared" si="375"/>
        <v>15</v>
      </c>
      <c r="CV150" s="217"/>
      <c r="CW150" s="172">
        <f t="shared" si="376"/>
        <v>99.825828756861029</v>
      </c>
      <c r="CX150" s="172">
        <f t="shared" si="377"/>
        <v>15</v>
      </c>
      <c r="CY150" s="217">
        <f t="shared" si="378"/>
        <v>14.107997265892003</v>
      </c>
      <c r="CZ150" s="217">
        <f t="shared" si="379"/>
        <v>8.9103140626686343</v>
      </c>
      <c r="DA150" s="217">
        <f t="shared" si="380"/>
        <v>10.993244622772989</v>
      </c>
      <c r="DB150" s="197">
        <f t="shared" si="381"/>
        <v>70.881782945736433</v>
      </c>
      <c r="DC150" s="443">
        <f t="shared" si="382"/>
        <v>50.242271535664919</v>
      </c>
      <c r="DE150" s="217">
        <f t="shared" si="383"/>
        <v>10.000000000000002</v>
      </c>
      <c r="DF150" s="173">
        <f t="shared" si="384"/>
        <v>7.792207792207793</v>
      </c>
      <c r="DG150" s="173">
        <f t="shared" si="385"/>
        <v>2.7616279069767451</v>
      </c>
      <c r="DH150" s="173"/>
      <c r="DI150" s="173">
        <f t="shared" si="386"/>
        <v>7.7922077922077913</v>
      </c>
      <c r="DJ150" s="545">
        <f t="shared" si="387"/>
        <v>102.66666666666667</v>
      </c>
      <c r="DK150" s="528">
        <f t="shared" si="388"/>
        <v>2.7616279069767442</v>
      </c>
      <c r="DM150" s="173">
        <f t="shared" si="389"/>
        <v>5.4160256030906408</v>
      </c>
      <c r="DN150" s="173">
        <f t="shared" si="390"/>
        <v>14.107997265892003</v>
      </c>
      <c r="DO150" s="173">
        <f t="shared" si="391"/>
        <v>4.2429609376977799</v>
      </c>
      <c r="DQ150" s="545">
        <f t="shared" si="392"/>
        <v>4000</v>
      </c>
      <c r="DR150" s="460">
        <f t="shared" si="393"/>
        <v>50.242271535664919</v>
      </c>
      <c r="DT150">
        <f t="shared" si="430"/>
        <v>4000</v>
      </c>
      <c r="DU150">
        <f t="shared" si="431"/>
        <v>50.242271535664919</v>
      </c>
      <c r="DW150" s="5">
        <f t="shared" si="394"/>
        <v>19.903558685441624</v>
      </c>
      <c r="DX150" s="5">
        <f t="shared" si="395"/>
        <v>8.9103140626686343</v>
      </c>
      <c r="DY150" s="5">
        <f t="shared" si="396"/>
        <v>10.993244622772989</v>
      </c>
      <c r="DZ150" s="5"/>
      <c r="EA150" s="173">
        <f t="shared" si="397"/>
        <v>0.44767441860465118</v>
      </c>
      <c r="EB150" s="173">
        <f t="shared" si="398"/>
        <v>60</v>
      </c>
      <c r="EC150" s="173">
        <f t="shared" si="399"/>
        <v>3.8961038961038961</v>
      </c>
      <c r="ED150" s="173">
        <f t="shared" si="400"/>
        <v>15.4</v>
      </c>
      <c r="EE150" s="460">
        <f t="shared" si="401"/>
        <v>237.60837500449691</v>
      </c>
      <c r="EF150" s="5">
        <f t="shared" si="402"/>
        <v>11.970865287956066</v>
      </c>
      <c r="EH150" s="173">
        <f t="shared" si="403"/>
        <v>5.4498666842008268</v>
      </c>
      <c r="EI150" s="173">
        <f t="shared" si="404"/>
        <v>6.0534410662512137</v>
      </c>
      <c r="EK150" s="528">
        <f t="shared" si="405"/>
        <v>0.5940209375112423</v>
      </c>
      <c r="EL150" s="528">
        <f t="shared" si="406"/>
        <v>0.48766666666666658</v>
      </c>
      <c r="EM150" s="528">
        <f t="shared" si="407"/>
        <v>6.2802839419581142E-3</v>
      </c>
      <c r="EN150" s="528">
        <f t="shared" si="408"/>
        <v>5.945469444444444E-3</v>
      </c>
      <c r="EO150">
        <f t="shared" si="409"/>
        <v>8.5500000000000003E-3</v>
      </c>
      <c r="EP150" s="460">
        <f t="shared" si="410"/>
        <v>14.830283941958115</v>
      </c>
      <c r="EQ150" s="460"/>
      <c r="ER150" s="460">
        <f t="shared" si="432"/>
        <v>1102.4633575643115</v>
      </c>
      <c r="ES150" s="528">
        <f t="shared" si="411"/>
        <v>2.8</v>
      </c>
      <c r="EV150" s="460">
        <f t="shared" si="412"/>
        <v>2800</v>
      </c>
      <c r="EW150" s="528">
        <f t="shared" si="413"/>
        <v>0.89103140626686339</v>
      </c>
      <c r="EX150" s="528">
        <f t="shared" si="414"/>
        <v>1.0993244622772989</v>
      </c>
      <c r="EY150" s="528">
        <f t="shared" si="415"/>
        <v>0.66881589702681177</v>
      </c>
      <c r="EZ150" s="528"/>
      <c r="FA150" s="528">
        <f t="shared" si="416"/>
        <v>0.01</v>
      </c>
      <c r="FB150" s="460">
        <f t="shared" si="417"/>
        <v>2669.1717655709735</v>
      </c>
      <c r="FC150" s="173">
        <f t="shared" si="418"/>
        <v>6.5716351231352848</v>
      </c>
      <c r="FD150" s="5">
        <f t="shared" si="419"/>
        <v>60</v>
      </c>
      <c r="FE150" s="173">
        <f t="shared" si="420"/>
        <v>0.90128475722460544</v>
      </c>
      <c r="FF150" s="5">
        <f t="shared" si="421"/>
        <v>90.12847572246055</v>
      </c>
      <c r="FI150" s="562">
        <f t="shared" si="422"/>
        <v>-50</v>
      </c>
      <c r="FJ150">
        <f t="shared" si="423"/>
        <v>-50</v>
      </c>
      <c r="FL150">
        <f t="shared" si="476"/>
        <v>0.55232558139534882</v>
      </c>
    </row>
    <row r="151" spans="5:168">
      <c r="E151" s="170">
        <v>41</v>
      </c>
      <c r="F151" s="217">
        <f t="shared" si="477"/>
        <v>4.0999999999999996</v>
      </c>
      <c r="G151" s="217"/>
      <c r="H151" s="217">
        <f t="shared" si="442"/>
        <v>61.499999999999993</v>
      </c>
      <c r="I151" s="541">
        <f t="shared" si="443"/>
        <v>18.627187820235164</v>
      </c>
      <c r="J151" s="172">
        <f t="shared" si="444"/>
        <v>15.623687307858901</v>
      </c>
      <c r="K151" s="172">
        <f t="shared" si="445"/>
        <v>34.250875128094066</v>
      </c>
      <c r="L151" s="443"/>
      <c r="M151" s="217">
        <f t="shared" si="446"/>
        <v>0.45613863670355531</v>
      </c>
      <c r="N151" s="172">
        <f t="shared" si="447"/>
        <v>212.6162952249546</v>
      </c>
      <c r="O151" s="172">
        <f t="shared" si="438"/>
        <v>61.499999999999993</v>
      </c>
      <c r="P151" s="217">
        <f t="shared" si="448"/>
        <v>14.17441968166364</v>
      </c>
      <c r="Q151" s="217">
        <f t="shared" si="449"/>
        <v>15</v>
      </c>
      <c r="R151" s="217"/>
      <c r="S151" s="172">
        <f t="shared" si="450"/>
        <v>95.031301516915661</v>
      </c>
      <c r="T151" s="172">
        <f t="shared" si="451"/>
        <v>15</v>
      </c>
      <c r="U151" s="217">
        <f t="shared" si="452"/>
        <v>15.077371832958086</v>
      </c>
      <c r="V151" s="217">
        <f t="shared" si="453"/>
        <v>9.7131388667778431</v>
      </c>
      <c r="W151" s="217">
        <f t="shared" si="454"/>
        <v>11.580394463251187</v>
      </c>
      <c r="X151" s="197">
        <f t="shared" si="455"/>
        <v>70.807280310287197</v>
      </c>
      <c r="Y151" s="443">
        <f t="shared" si="328"/>
        <v>46.525621667000685</v>
      </c>
      <c r="AA151" s="217">
        <f t="shared" si="456"/>
        <v>9.9999999999999982</v>
      </c>
      <c r="AB151" s="173">
        <f t="shared" si="457"/>
        <v>7.6806452686516939</v>
      </c>
      <c r="AC151" s="173">
        <f t="shared" si="458"/>
        <v>2.7192280125065071</v>
      </c>
      <c r="AD151" s="173"/>
      <c r="AE151" s="173">
        <f t="shared" si="459"/>
        <v>7.6806452686516957</v>
      </c>
      <c r="AF151" s="545">
        <f t="shared" si="460"/>
        <v>106.76186327036912</v>
      </c>
      <c r="AG151" s="528">
        <f t="shared" si="461"/>
        <v>2.7192280125065085</v>
      </c>
      <c r="AI151" s="173">
        <f t="shared" si="462"/>
        <v>5.5229873715064528</v>
      </c>
      <c r="AJ151" s="173">
        <f t="shared" si="463"/>
        <v>15.077371832958086</v>
      </c>
      <c r="AK151" s="173">
        <f t="shared" si="464"/>
        <v>4.9610161725615454</v>
      </c>
      <c r="AM151" s="545">
        <f t="shared" si="465"/>
        <v>4100</v>
      </c>
      <c r="AN151" s="460">
        <f t="shared" si="466"/>
        <v>46.525621667000685</v>
      </c>
      <c r="AP151" s="460">
        <f t="shared" si="467"/>
        <v>4100</v>
      </c>
      <c r="AQ151" s="460">
        <f t="shared" si="468"/>
        <v>46.525621667000685</v>
      </c>
      <c r="AS151" s="5">
        <f t="shared" si="439"/>
        <v>21.493533330029031</v>
      </c>
      <c r="AT151" s="5">
        <f t="shared" si="469"/>
        <v>9.7131388667778431</v>
      </c>
      <c r="AU151" s="5">
        <f t="shared" si="343"/>
        <v>11.780394463251188</v>
      </c>
      <c r="AV151" s="5"/>
      <c r="AW151" s="173">
        <f t="shared" si="344"/>
        <v>0.45190982411474567</v>
      </c>
      <c r="AX151" s="173">
        <f t="shared" si="435"/>
        <v>63.459219449509888</v>
      </c>
      <c r="AY151" s="173">
        <f t="shared" si="436"/>
        <v>4.1318796899066887</v>
      </c>
      <c r="AZ151" s="173">
        <f t="shared" si="440"/>
        <v>15.358438340914763</v>
      </c>
      <c r="BA151" s="460">
        <f t="shared" si="433"/>
        <v>265.49246235859437</v>
      </c>
      <c r="BB151" s="5">
        <f t="shared" si="434"/>
        <v>13.411879942998164</v>
      </c>
      <c r="BD151" s="173">
        <f t="shared" si="441"/>
        <v>5.8518193319609715</v>
      </c>
      <c r="BE151" s="173">
        <f t="shared" si="437"/>
        <v>6.4445266934441197</v>
      </c>
      <c r="BG151" s="528">
        <f t="shared" si="347"/>
        <v>0.68487578987824305</v>
      </c>
      <c r="BH151" s="528">
        <f t="shared" si="470"/>
        <v>0.45049582935690419</v>
      </c>
      <c r="BI151" s="528">
        <f t="shared" si="471"/>
        <v>2.166603733111061E-2</v>
      </c>
      <c r="BJ151" s="528">
        <f t="shared" si="350"/>
        <v>5.4580251140062706E-3</v>
      </c>
      <c r="BK151">
        <f t="shared" si="351"/>
        <v>8.3822345191058231E-3</v>
      </c>
      <c r="BL151" s="460">
        <f t="shared" si="427"/>
        <v>30.048271850216434</v>
      </c>
      <c r="BM151" s="528">
        <f t="shared" si="472"/>
        <v>1.5834086330223986</v>
      </c>
      <c r="BN151" s="460">
        <f t="shared" si="353"/>
        <v>1583.4086330223986</v>
      </c>
      <c r="BO151" s="528">
        <f t="shared" si="354"/>
        <v>2.8699999999999997</v>
      </c>
      <c r="BR151" s="460">
        <f t="shared" si="355"/>
        <v>2869.9999999999995</v>
      </c>
      <c r="BS151" s="528">
        <f t="shared" si="356"/>
        <v>1.0273136848173645</v>
      </c>
      <c r="BT151" s="528">
        <f t="shared" si="357"/>
        <v>1.245957729075414</v>
      </c>
      <c r="BU151" s="528">
        <f t="shared" si="358"/>
        <v>0.65165027041812873</v>
      </c>
      <c r="BV151" s="528"/>
      <c r="BW151" s="528">
        <f t="shared" si="359"/>
        <v>1.0576536574918315E-2</v>
      </c>
      <c r="BX151" s="460">
        <f t="shared" si="360"/>
        <v>2935.4982208858255</v>
      </c>
      <c r="BY151" s="173">
        <f t="shared" si="361"/>
        <v>6.9763761370851949</v>
      </c>
      <c r="BZ151" s="5">
        <f t="shared" si="362"/>
        <v>61.499999999999993</v>
      </c>
      <c r="CA151" s="173">
        <f t="shared" si="363"/>
        <v>0.89811995712040971</v>
      </c>
      <c r="CB151" s="5">
        <f t="shared" si="364"/>
        <v>89.811995712040968</v>
      </c>
      <c r="CE151" s="562">
        <f t="shared" si="473"/>
        <v>-50</v>
      </c>
      <c r="CF151">
        <f t="shared" si="474"/>
        <v>-50</v>
      </c>
      <c r="CG151" s="173">
        <f t="shared" si="475"/>
        <v>0.54987473888141403</v>
      </c>
      <c r="CI151" s="170">
        <v>41</v>
      </c>
      <c r="CJ151" s="217">
        <f t="shared" si="428"/>
        <v>4.0999999999999996</v>
      </c>
      <c r="CK151" s="217"/>
      <c r="CL151" s="217">
        <f t="shared" si="368"/>
        <v>61.499999999999993</v>
      </c>
      <c r="CM151" s="541">
        <f t="shared" si="369"/>
        <v>19</v>
      </c>
      <c r="CN151" s="443">
        <f t="shared" si="370"/>
        <v>15.4</v>
      </c>
      <c r="CO151" s="443">
        <f t="shared" si="371"/>
        <v>34.4</v>
      </c>
      <c r="CP151" s="443"/>
      <c r="CQ151" s="217">
        <f t="shared" si="372"/>
        <v>0.44767441860465118</v>
      </c>
      <c r="CR151" s="172">
        <f t="shared" si="429"/>
        <v>212.84736191860466</v>
      </c>
      <c r="CS151" s="172">
        <f t="shared" si="373"/>
        <v>61.499999999999993</v>
      </c>
      <c r="CT151" s="217">
        <f t="shared" si="374"/>
        <v>14.189824127906977</v>
      </c>
      <c r="CU151" s="217">
        <f t="shared" si="375"/>
        <v>15</v>
      </c>
      <c r="CV151" s="217"/>
      <c r="CW151" s="172">
        <f t="shared" si="376"/>
        <v>96.931742004973444</v>
      </c>
      <c r="CX151" s="172">
        <f t="shared" si="377"/>
        <v>15</v>
      </c>
      <c r="CY151" s="217">
        <f t="shared" si="378"/>
        <v>14.4606971975393</v>
      </c>
      <c r="CZ151" s="217">
        <f t="shared" si="379"/>
        <v>9.133071914235348</v>
      </c>
      <c r="DA151" s="217">
        <f t="shared" si="380"/>
        <v>11.268075738342313</v>
      </c>
      <c r="DB151" s="197">
        <f t="shared" si="381"/>
        <v>70.881782945736433</v>
      </c>
      <c r="DC151" s="443">
        <f t="shared" si="382"/>
        <v>49.01685027869749</v>
      </c>
      <c r="DE151" s="217">
        <f t="shared" si="383"/>
        <v>10.000000000000002</v>
      </c>
      <c r="DF151" s="173">
        <f t="shared" si="384"/>
        <v>7.792207792207793</v>
      </c>
      <c r="DG151" s="173">
        <f t="shared" si="385"/>
        <v>2.7616279069767451</v>
      </c>
      <c r="DH151" s="173"/>
      <c r="DI151" s="173">
        <f t="shared" si="386"/>
        <v>7.7922077922077913</v>
      </c>
      <c r="DJ151" s="545">
        <f t="shared" si="387"/>
        <v>105.23333333333333</v>
      </c>
      <c r="DK151" s="528">
        <f t="shared" si="388"/>
        <v>2.7616279069767442</v>
      </c>
      <c r="DM151" s="173">
        <f t="shared" si="389"/>
        <v>5.4833080039941828</v>
      </c>
      <c r="DN151" s="173">
        <f t="shared" si="390"/>
        <v>14.4606971975393</v>
      </c>
      <c r="DO151" s="173">
        <f t="shared" si="391"/>
        <v>4.5042201463254079</v>
      </c>
      <c r="DQ151" s="545">
        <f t="shared" si="392"/>
        <v>4100</v>
      </c>
      <c r="DR151" s="460">
        <f t="shared" si="393"/>
        <v>49.01685027869749</v>
      </c>
      <c r="DT151">
        <f t="shared" si="430"/>
        <v>4100</v>
      </c>
      <c r="DU151">
        <f t="shared" si="431"/>
        <v>49.01685027869749</v>
      </c>
      <c r="DW151" s="5">
        <f t="shared" si="394"/>
        <v>20.401147652577663</v>
      </c>
      <c r="DX151" s="5">
        <f t="shared" si="395"/>
        <v>9.133071914235348</v>
      </c>
      <c r="DY151" s="5">
        <f t="shared" si="396"/>
        <v>11.268075738342315</v>
      </c>
      <c r="DZ151" s="5"/>
      <c r="EA151" s="173">
        <f t="shared" si="397"/>
        <v>0.44767441860465113</v>
      </c>
      <c r="EB151" s="173">
        <f t="shared" si="398"/>
        <v>61.499999999999986</v>
      </c>
      <c r="EC151" s="173">
        <f t="shared" si="399"/>
        <v>3.9935064935064934</v>
      </c>
      <c r="ED151" s="173">
        <f t="shared" si="400"/>
        <v>15.399999999999997</v>
      </c>
      <c r="EE151" s="460">
        <f t="shared" si="401"/>
        <v>249.63729898909949</v>
      </c>
      <c r="EF151" s="5">
        <f t="shared" si="402"/>
        <v>12.576890343158841</v>
      </c>
      <c r="EH151" s="173">
        <f t="shared" si="403"/>
        <v>5.5861133513058459</v>
      </c>
      <c r="EI151" s="173">
        <f t="shared" si="404"/>
        <v>6.2047770929074932</v>
      </c>
      <c r="EK151" s="528">
        <f t="shared" si="405"/>
        <v>0.62409324747274864</v>
      </c>
      <c r="EL151" s="528">
        <f t="shared" si="406"/>
        <v>0.48766666666666658</v>
      </c>
      <c r="EM151" s="528">
        <f t="shared" si="407"/>
        <v>6.1271062848371862E-3</v>
      </c>
      <c r="EN151" s="528">
        <f t="shared" si="408"/>
        <v>5.8004579945799464E-3</v>
      </c>
      <c r="EO151">
        <f t="shared" si="409"/>
        <v>8.5500000000000003E-3</v>
      </c>
      <c r="EP151" s="460">
        <f t="shared" si="410"/>
        <v>14.677106284837187</v>
      </c>
      <c r="EQ151" s="460"/>
      <c r="ER151" s="460">
        <f t="shared" si="432"/>
        <v>1132.2374784188323</v>
      </c>
      <c r="ES151" s="528">
        <f t="shared" si="411"/>
        <v>2.8699999999999997</v>
      </c>
      <c r="EV151" s="460">
        <f t="shared" si="412"/>
        <v>2869.9999999999995</v>
      </c>
      <c r="EW151" s="528">
        <f t="shared" si="413"/>
        <v>0.9361398712091229</v>
      </c>
      <c r="EX151" s="528">
        <f t="shared" si="414"/>
        <v>1.1549777631800868</v>
      </c>
      <c r="EY151" s="528">
        <f t="shared" si="415"/>
        <v>0.66881589702681166</v>
      </c>
      <c r="EZ151" s="528"/>
      <c r="FA151" s="528">
        <f t="shared" si="416"/>
        <v>1.0249999999999999E-2</v>
      </c>
      <c r="FB151" s="460">
        <f t="shared" si="417"/>
        <v>2770.1835314160217</v>
      </c>
      <c r="FC151" s="173">
        <f t="shared" si="418"/>
        <v>6.7724210098348525</v>
      </c>
      <c r="FD151" s="5">
        <f t="shared" si="419"/>
        <v>61.499999999999993</v>
      </c>
      <c r="FE151" s="173">
        <f t="shared" si="420"/>
        <v>0.90080297564284029</v>
      </c>
      <c r="FF151" s="5">
        <f t="shared" si="421"/>
        <v>90.080297564284024</v>
      </c>
      <c r="FI151" s="562">
        <f t="shared" si="422"/>
        <v>-50</v>
      </c>
      <c r="FJ151">
        <f t="shared" si="423"/>
        <v>-50</v>
      </c>
      <c r="FL151">
        <f t="shared" si="476"/>
        <v>0.55232558139534893</v>
      </c>
    </row>
    <row r="152" spans="5:168">
      <c r="E152" s="170">
        <v>42</v>
      </c>
      <c r="F152" s="217">
        <f t="shared" si="477"/>
        <v>4.2</v>
      </c>
      <c r="G152" s="217"/>
      <c r="H152" s="217">
        <f t="shared" si="442"/>
        <v>63</v>
      </c>
      <c r="I152" s="541">
        <f t="shared" si="443"/>
        <v>18.61813536419238</v>
      </c>
      <c r="J152" s="172">
        <f t="shared" si="444"/>
        <v>15.629118781484573</v>
      </c>
      <c r="K152" s="172">
        <f t="shared" si="445"/>
        <v>34.247254145676955</v>
      </c>
      <c r="L152" s="443"/>
      <c r="M152" s="217">
        <f t="shared" si="446"/>
        <v>0.4563454680638811</v>
      </c>
      <c r="N152" s="172">
        <f t="shared" si="447"/>
        <v>212.60932959653636</v>
      </c>
      <c r="O152" s="172">
        <f t="shared" si="438"/>
        <v>63</v>
      </c>
      <c r="P152" s="217">
        <f t="shared" si="448"/>
        <v>14.173955306435756</v>
      </c>
      <c r="Q152" s="217">
        <f t="shared" si="449"/>
        <v>15</v>
      </c>
      <c r="R152" s="217"/>
      <c r="S152" s="172">
        <f t="shared" si="450"/>
        <v>92.284449578966758</v>
      </c>
      <c r="T152" s="172">
        <f t="shared" si="451"/>
        <v>15</v>
      </c>
      <c r="U152" s="217">
        <f t="shared" si="452"/>
        <v>15.450988645463967</v>
      </c>
      <c r="V152" s="217">
        <f t="shared" si="453"/>
        <v>9.9586698731476559</v>
      </c>
      <c r="W152" s="217">
        <f t="shared" si="454"/>
        <v>11.863232107828141</v>
      </c>
      <c r="X152" s="197">
        <f t="shared" si="455"/>
        <v>70.804958517979074</v>
      </c>
      <c r="Y152" s="443">
        <f t="shared" si="328"/>
        <v>45.40933843334134</v>
      </c>
      <c r="AA152" s="217">
        <f t="shared" si="456"/>
        <v>10</v>
      </c>
      <c r="AB152" s="173">
        <f t="shared" si="457"/>
        <v>7.6779760700367188</v>
      </c>
      <c r="AC152" s="173">
        <f t="shared" si="458"/>
        <v>2.7181938857049293</v>
      </c>
      <c r="AD152" s="173"/>
      <c r="AE152" s="173">
        <f t="shared" si="459"/>
        <v>7.6779760700367188</v>
      </c>
      <c r="AF152" s="545">
        <f t="shared" si="460"/>
        <v>109.40383147039202</v>
      </c>
      <c r="AG152" s="528">
        <f t="shared" si="461"/>
        <v>2.7181938857049293</v>
      </c>
      <c r="AI152" s="173">
        <f t="shared" si="462"/>
        <v>5.5909066852317562</v>
      </c>
      <c r="AJ152" s="173">
        <f t="shared" si="463"/>
        <v>15.450988645463967</v>
      </c>
      <c r="AK152" s="173">
        <f t="shared" si="464"/>
        <v>5.2377693670103467</v>
      </c>
      <c r="AM152" s="545">
        <f t="shared" si="465"/>
        <v>4200</v>
      </c>
      <c r="AN152" s="460">
        <f t="shared" si="466"/>
        <v>45.40933843334134</v>
      </c>
      <c r="AP152" s="460">
        <f t="shared" si="467"/>
        <v>4200</v>
      </c>
      <c r="AQ152" s="460">
        <f t="shared" si="468"/>
        <v>45.40933843334134</v>
      </c>
      <c r="AS152" s="5">
        <f t="shared" si="439"/>
        <v>22.021901980975798</v>
      </c>
      <c r="AT152" s="5">
        <f t="shared" si="469"/>
        <v>9.9586698731476559</v>
      </c>
      <c r="AU152" s="5">
        <f t="shared" si="343"/>
        <v>12.063232107828142</v>
      </c>
      <c r="AV152" s="5"/>
      <c r="AW152" s="173">
        <f t="shared" si="344"/>
        <v>0.45221661061568236</v>
      </c>
      <c r="AX152" s="173">
        <f t="shared" si="435"/>
        <v>65.044259209352305</v>
      </c>
      <c r="AY152" s="173">
        <f t="shared" si="436"/>
        <v>4.2318974647754288</v>
      </c>
      <c r="AZ152" s="173">
        <f t="shared" si="440"/>
        <v>15.369998860027664</v>
      </c>
      <c r="BA152" s="460">
        <f t="shared" si="433"/>
        <v>278.84275644813437</v>
      </c>
      <c r="BB152" s="5">
        <f t="shared" si="434"/>
        <v>14.075701625231479</v>
      </c>
      <c r="BD152" s="173">
        <f t="shared" si="441"/>
        <v>5.9988624134978181</v>
      </c>
      <c r="BE152" s="173">
        <f t="shared" si="437"/>
        <v>6.6023732943547353</v>
      </c>
      <c r="BG152" s="528">
        <f t="shared" si="347"/>
        <v>0.71972700512153742</v>
      </c>
      <c r="BH152" s="528">
        <f t="shared" si="470"/>
        <v>0.45053493965941593</v>
      </c>
      <c r="BI152" s="528">
        <f t="shared" si="471"/>
        <v>2.1135930243759316E-2</v>
      </c>
      <c r="BJ152" s="528">
        <f t="shared" si="350"/>
        <v>5.3259451319500294E-3</v>
      </c>
      <c r="BK152">
        <f t="shared" si="351"/>
        <v>8.3781609138865714E-3</v>
      </c>
      <c r="BL152" s="460">
        <f t="shared" si="427"/>
        <v>29.51409115764589</v>
      </c>
      <c r="BM152" s="528">
        <f t="shared" si="472"/>
        <v>1.6525041908980895</v>
      </c>
      <c r="BN152" s="460">
        <f t="shared" si="353"/>
        <v>1652.5041908980895</v>
      </c>
      <c r="BO152" s="528">
        <f t="shared" si="354"/>
        <v>2.94</v>
      </c>
      <c r="BR152" s="460">
        <f t="shared" si="355"/>
        <v>2940</v>
      </c>
      <c r="BS152" s="528">
        <f t="shared" si="356"/>
        <v>1.079590507682306</v>
      </c>
      <c r="BT152" s="528">
        <f t="shared" si="357"/>
        <v>1.3077399935402578</v>
      </c>
      <c r="BU152" s="528">
        <f t="shared" si="358"/>
        <v>0.65196401347648492</v>
      </c>
      <c r="BV152" s="528"/>
      <c r="BW152" s="528">
        <f t="shared" si="359"/>
        <v>1.0840709868225386E-2</v>
      </c>
      <c r="BX152" s="460">
        <f t="shared" si="360"/>
        <v>3050.1352245672742</v>
      </c>
      <c r="BY152" s="173">
        <f t="shared" si="361"/>
        <v>7.1952372056378247</v>
      </c>
      <c r="BZ152" s="5">
        <f t="shared" si="362"/>
        <v>63</v>
      </c>
      <c r="CA152" s="173">
        <f t="shared" si="363"/>
        <v>0.89749678906904629</v>
      </c>
      <c r="CB152" s="5">
        <f t="shared" si="364"/>
        <v>89.749678906904634</v>
      </c>
      <c r="CE152" s="562">
        <f t="shared" si="473"/>
        <v>-50</v>
      </c>
      <c r="CF152">
        <f t="shared" si="474"/>
        <v>-50</v>
      </c>
      <c r="CG152" s="173">
        <f t="shared" si="475"/>
        <v>0.54993309227460274</v>
      </c>
      <c r="CI152" s="170">
        <v>42</v>
      </c>
      <c r="CJ152" s="217">
        <f t="shared" si="428"/>
        <v>4.2</v>
      </c>
      <c r="CK152" s="217"/>
      <c r="CL152" s="217">
        <f t="shared" si="368"/>
        <v>63</v>
      </c>
      <c r="CM152" s="541">
        <f t="shared" si="369"/>
        <v>19</v>
      </c>
      <c r="CN152" s="443">
        <f t="shared" si="370"/>
        <v>15.4</v>
      </c>
      <c r="CO152" s="443">
        <f t="shared" si="371"/>
        <v>34.4</v>
      </c>
      <c r="CP152" s="443"/>
      <c r="CQ152" s="217">
        <f t="shared" si="372"/>
        <v>0.44767441860465118</v>
      </c>
      <c r="CR152" s="172">
        <f t="shared" si="429"/>
        <v>212.84736191860466</v>
      </c>
      <c r="CS152" s="172">
        <f t="shared" si="373"/>
        <v>63</v>
      </c>
      <c r="CT152" s="217">
        <f t="shared" si="374"/>
        <v>14.189824127906977</v>
      </c>
      <c r="CU152" s="217">
        <f t="shared" si="375"/>
        <v>15</v>
      </c>
      <c r="CV152" s="217"/>
      <c r="CW152" s="172">
        <f t="shared" si="376"/>
        <v>94.175597090938552</v>
      </c>
      <c r="CX152" s="172">
        <f t="shared" si="377"/>
        <v>15</v>
      </c>
      <c r="CY152" s="217">
        <f t="shared" si="378"/>
        <v>14.813397129186603</v>
      </c>
      <c r="CZ152" s="217">
        <f t="shared" si="379"/>
        <v>9.3558297658020653</v>
      </c>
      <c r="DA152" s="217">
        <f t="shared" si="380"/>
        <v>11.542906853911639</v>
      </c>
      <c r="DB152" s="197">
        <f t="shared" si="381"/>
        <v>70.881782945736433</v>
      </c>
      <c r="DC152" s="443">
        <f t="shared" si="382"/>
        <v>47.849782414918984</v>
      </c>
      <c r="DE152" s="217">
        <f t="shared" si="383"/>
        <v>10.000000000000002</v>
      </c>
      <c r="DF152" s="173">
        <f t="shared" si="384"/>
        <v>7.792207792207793</v>
      </c>
      <c r="DG152" s="173">
        <f t="shared" si="385"/>
        <v>2.7616279069767451</v>
      </c>
      <c r="DH152" s="173"/>
      <c r="DI152" s="173">
        <f t="shared" si="386"/>
        <v>7.7922077922077913</v>
      </c>
      <c r="DJ152" s="545">
        <f t="shared" si="387"/>
        <v>107.80000000000001</v>
      </c>
      <c r="DK152" s="528">
        <f t="shared" si="388"/>
        <v>2.7616279069767442</v>
      </c>
      <c r="DM152" s="173">
        <f t="shared" si="389"/>
        <v>5.5497747702046434</v>
      </c>
      <c r="DN152" s="173">
        <f t="shared" si="390"/>
        <v>14.813397129186603</v>
      </c>
      <c r="DO152" s="173">
        <f t="shared" si="391"/>
        <v>4.7654793549530394</v>
      </c>
      <c r="DQ152" s="545">
        <f t="shared" si="392"/>
        <v>4200</v>
      </c>
      <c r="DR152" s="460">
        <f t="shared" si="393"/>
        <v>47.849782414918984</v>
      </c>
      <c r="DT152">
        <f t="shared" si="430"/>
        <v>4200</v>
      </c>
      <c r="DU152">
        <f t="shared" si="431"/>
        <v>47.849782414918984</v>
      </c>
      <c r="DW152" s="5">
        <f t="shared" si="394"/>
        <v>20.898736619713699</v>
      </c>
      <c r="DX152" s="5">
        <f t="shared" si="395"/>
        <v>9.3558297658020653</v>
      </c>
      <c r="DY152" s="5">
        <f t="shared" si="396"/>
        <v>11.542906853911633</v>
      </c>
      <c r="DZ152" s="5"/>
      <c r="EA152" s="173">
        <f t="shared" si="397"/>
        <v>0.44767441860465129</v>
      </c>
      <c r="EB152" s="173">
        <f t="shared" si="398"/>
        <v>63.000000000000014</v>
      </c>
      <c r="EC152" s="173">
        <f t="shared" si="399"/>
        <v>4.0909090909090899</v>
      </c>
      <c r="ED152" s="173">
        <f t="shared" si="400"/>
        <v>15.400000000000007</v>
      </c>
      <c r="EE152" s="460">
        <f t="shared" si="401"/>
        <v>261.96323344245781</v>
      </c>
      <c r="EF152" s="5">
        <f t="shared" si="402"/>
        <v>13.197878979971557</v>
      </c>
      <c r="EH152" s="173">
        <f t="shared" si="403"/>
        <v>5.7223600184108685</v>
      </c>
      <c r="EI152" s="173">
        <f t="shared" si="404"/>
        <v>6.3561131195637737</v>
      </c>
      <c r="EK152" s="528">
        <f t="shared" si="405"/>
        <v>0.65490808360614472</v>
      </c>
      <c r="EL152" s="528">
        <f t="shared" si="406"/>
        <v>0.48766666666666675</v>
      </c>
      <c r="EM152" s="528">
        <f t="shared" si="407"/>
        <v>5.9812228018648727E-3</v>
      </c>
      <c r="EN152" s="528">
        <f t="shared" si="408"/>
        <v>5.6623518518518524E-3</v>
      </c>
      <c r="EO152">
        <f t="shared" si="409"/>
        <v>8.5500000000000003E-3</v>
      </c>
      <c r="EP152" s="460">
        <f t="shared" si="410"/>
        <v>14.531222801864873</v>
      </c>
      <c r="EQ152" s="460"/>
      <c r="ER152" s="460">
        <f t="shared" si="432"/>
        <v>1162.7683249265283</v>
      </c>
      <c r="ES152" s="528">
        <f t="shared" si="411"/>
        <v>2.94</v>
      </c>
      <c r="EV152" s="460">
        <f t="shared" si="412"/>
        <v>2940</v>
      </c>
      <c r="EW152" s="528">
        <f t="shared" si="413"/>
        <v>0.98236212540921697</v>
      </c>
      <c r="EX152" s="528">
        <f t="shared" si="414"/>
        <v>1.2120052196607216</v>
      </c>
      <c r="EY152" s="528">
        <f t="shared" si="415"/>
        <v>0.66881589702681288</v>
      </c>
      <c r="EZ152" s="528"/>
      <c r="FA152" s="528">
        <f t="shared" si="416"/>
        <v>1.0500000000000002E-2</v>
      </c>
      <c r="FB152" s="460">
        <f t="shared" si="417"/>
        <v>2873.6832420967512</v>
      </c>
      <c r="FC152" s="173">
        <f t="shared" si="418"/>
        <v>6.9764515670232798</v>
      </c>
      <c r="FD152" s="5">
        <f t="shared" si="419"/>
        <v>63</v>
      </c>
      <c r="FE152" s="173">
        <f t="shared" si="420"/>
        <v>0.90030286745332821</v>
      </c>
      <c r="FF152" s="5">
        <f t="shared" si="421"/>
        <v>90.030286745332816</v>
      </c>
      <c r="FI152" s="562">
        <f t="shared" si="422"/>
        <v>-50</v>
      </c>
      <c r="FJ152">
        <f t="shared" si="423"/>
        <v>-50</v>
      </c>
      <c r="FL152">
        <f t="shared" si="476"/>
        <v>0.55232558139534871</v>
      </c>
    </row>
    <row r="153" spans="5:168">
      <c r="E153" s="170">
        <v>43</v>
      </c>
      <c r="F153" s="217">
        <f t="shared" si="477"/>
        <v>4.3</v>
      </c>
      <c r="G153" s="217"/>
      <c r="H153" s="217">
        <f t="shared" si="442"/>
        <v>64.5</v>
      </c>
      <c r="I153" s="541">
        <f t="shared" si="443"/>
        <v>18.609082899950433</v>
      </c>
      <c r="J153" s="172">
        <f t="shared" si="444"/>
        <v>15.634550260029741</v>
      </c>
      <c r="K153" s="172">
        <f t="shared" si="445"/>
        <v>34.243633159980178</v>
      </c>
      <c r="L153" s="443"/>
      <c r="M153" s="217">
        <f t="shared" si="446"/>
        <v>0.45655234327494915</v>
      </c>
      <c r="N153" s="172">
        <f t="shared" si="447"/>
        <v>212.60229058885295</v>
      </c>
      <c r="O153" s="172">
        <f t="shared" si="438"/>
        <v>64.5</v>
      </c>
      <c r="P153" s="217">
        <f t="shared" si="448"/>
        <v>14.173486039256863</v>
      </c>
      <c r="Q153" s="217">
        <f t="shared" si="449"/>
        <v>15</v>
      </c>
      <c r="R153" s="217"/>
      <c r="S153" s="172">
        <f t="shared" si="450"/>
        <v>89.665906055557855</v>
      </c>
      <c r="T153" s="172">
        <f t="shared" si="451"/>
        <v>15</v>
      </c>
      <c r="U153" s="217">
        <f t="shared" si="452"/>
        <v>15.82489112534906</v>
      </c>
      <c r="V153" s="217">
        <f t="shared" si="453"/>
        <v>10.204623974494442</v>
      </c>
      <c r="W153" s="217">
        <f t="shared" si="454"/>
        <v>12.146092490403845</v>
      </c>
      <c r="X153" s="197">
        <f t="shared" si="455"/>
        <v>70.802612301945615</v>
      </c>
      <c r="Y153" s="443">
        <f t="shared" si="328"/>
        <v>44.344489078942019</v>
      </c>
      <c r="AA153" s="217">
        <f t="shared" si="456"/>
        <v>10</v>
      </c>
      <c r="AB153" s="173">
        <f t="shared" si="457"/>
        <v>7.6753087235764035</v>
      </c>
      <c r="AC153" s="173">
        <f t="shared" si="458"/>
        <v>2.717159539265606</v>
      </c>
      <c r="AD153" s="173"/>
      <c r="AE153" s="173">
        <f t="shared" si="459"/>
        <v>7.6753087235764035</v>
      </c>
      <c r="AF153" s="545">
        <f t="shared" si="460"/>
        <v>112.0476101968798</v>
      </c>
      <c r="AG153" s="528">
        <f t="shared" si="461"/>
        <v>2.717159539265606</v>
      </c>
      <c r="AI153" s="173">
        <f t="shared" si="462"/>
        <v>5.6580564607817605</v>
      </c>
      <c r="AJ153" s="173">
        <f t="shared" si="463"/>
        <v>15.82489112534906</v>
      </c>
      <c r="AK153" s="173">
        <f t="shared" si="464"/>
        <v>5.5147341669252299</v>
      </c>
      <c r="AM153" s="545">
        <f t="shared" si="465"/>
        <v>4300</v>
      </c>
      <c r="AN153" s="460">
        <f t="shared" si="466"/>
        <v>44.344489078942019</v>
      </c>
      <c r="AP153" s="460">
        <f t="shared" si="467"/>
        <v>4300</v>
      </c>
      <c r="AQ153" s="460">
        <f t="shared" si="468"/>
        <v>44.344489078942019</v>
      </c>
      <c r="AS153" s="5">
        <f t="shared" si="439"/>
        <v>22.550716464898287</v>
      </c>
      <c r="AT153" s="5">
        <f t="shared" si="469"/>
        <v>10.204623974494442</v>
      </c>
      <c r="AU153" s="5">
        <f t="shared" si="343"/>
        <v>12.346092490403844</v>
      </c>
      <c r="AV153" s="5"/>
      <c r="AW153" s="173">
        <f t="shared" si="344"/>
        <v>0.45251883639167867</v>
      </c>
      <c r="AX153" s="173">
        <f t="shared" si="435"/>
        <v>66.63039185977749</v>
      </c>
      <c r="AY153" s="173">
        <f t="shared" si="436"/>
        <v>4.3319149036405502</v>
      </c>
      <c r="AZ153" s="173">
        <f t="shared" si="440"/>
        <v>15.381279028307128</v>
      </c>
      <c r="BA153" s="460">
        <f t="shared" si="433"/>
        <v>292.53255393550734</v>
      </c>
      <c r="BB153" s="5">
        <f t="shared" si="434"/>
        <v>14.755919330146199</v>
      </c>
      <c r="BD153" s="173">
        <f t="shared" si="441"/>
        <v>6.1460831890555596</v>
      </c>
      <c r="BE153" s="173">
        <f t="shared" si="437"/>
        <v>6.7602801576260463</v>
      </c>
      <c r="BG153" s="528">
        <f t="shared" si="347"/>
        <v>0.7554867713358272</v>
      </c>
      <c r="BH153" s="528">
        <f t="shared" si="470"/>
        <v>0.45056919311459492</v>
      </c>
      <c r="BI153" s="528">
        <f t="shared" si="471"/>
        <v>2.0630256835649466E-2</v>
      </c>
      <c r="BJ153" s="528">
        <f t="shared" si="350"/>
        <v>5.1999519120404271E-3</v>
      </c>
      <c r="BK153">
        <f t="shared" si="351"/>
        <v>8.3740873049776947E-3</v>
      </c>
      <c r="BL153" s="460">
        <f t="shared" si="427"/>
        <v>29.004344140627161</v>
      </c>
      <c r="BM153" s="528">
        <f t="shared" si="472"/>
        <v>1.7248551519721482</v>
      </c>
      <c r="BN153" s="460">
        <f t="shared" si="353"/>
        <v>1724.8551519721482</v>
      </c>
      <c r="BO153" s="528">
        <f t="shared" si="354"/>
        <v>3.01</v>
      </c>
      <c r="BR153" s="460">
        <f t="shared" si="355"/>
        <v>3010</v>
      </c>
      <c r="BS153" s="528">
        <f t="shared" si="356"/>
        <v>1.1332301570037406</v>
      </c>
      <c r="BT153" s="528">
        <f t="shared" si="357"/>
        <v>1.3710416342877731</v>
      </c>
      <c r="BU153" s="528">
        <f t="shared" si="358"/>
        <v>0.65226033617270485</v>
      </c>
      <c r="BV153" s="528"/>
      <c r="BW153" s="528">
        <f t="shared" si="359"/>
        <v>1.1105065309962915E-2</v>
      </c>
      <c r="BX153" s="460">
        <f t="shared" si="360"/>
        <v>3167.6371927741816</v>
      </c>
      <c r="BY153" s="173">
        <f t="shared" si="361"/>
        <v>7.4178974532772726</v>
      </c>
      <c r="BZ153" s="5">
        <f t="shared" si="362"/>
        <v>64.5</v>
      </c>
      <c r="CA153" s="173">
        <f t="shared" si="363"/>
        <v>0.89685603005710168</v>
      </c>
      <c r="CB153" s="5">
        <f t="shared" si="364"/>
        <v>89.685603005710163</v>
      </c>
      <c r="CE153" s="562">
        <f t="shared" si="473"/>
        <v>-50</v>
      </c>
      <c r="CF153">
        <f t="shared" si="474"/>
        <v>-50</v>
      </c>
      <c r="CG153" s="173">
        <f t="shared" si="475"/>
        <v>0.54998873155648054</v>
      </c>
      <c r="CI153" s="170">
        <v>43</v>
      </c>
      <c r="CJ153" s="217">
        <f t="shared" si="428"/>
        <v>4.3</v>
      </c>
      <c r="CK153" s="217"/>
      <c r="CL153" s="217">
        <f t="shared" si="368"/>
        <v>64.5</v>
      </c>
      <c r="CM153" s="541">
        <f t="shared" si="369"/>
        <v>19</v>
      </c>
      <c r="CN153" s="443">
        <f t="shared" si="370"/>
        <v>15.4</v>
      </c>
      <c r="CO153" s="443">
        <f t="shared" si="371"/>
        <v>34.4</v>
      </c>
      <c r="CP153" s="443"/>
      <c r="CQ153" s="217">
        <f t="shared" si="372"/>
        <v>0.44767441860465118</v>
      </c>
      <c r="CR153" s="172">
        <f t="shared" si="429"/>
        <v>212.84736191860466</v>
      </c>
      <c r="CS153" s="172">
        <f t="shared" si="373"/>
        <v>64.5</v>
      </c>
      <c r="CT153" s="217">
        <f t="shared" si="374"/>
        <v>14.189824127906977</v>
      </c>
      <c r="CU153" s="217">
        <f t="shared" si="375"/>
        <v>15</v>
      </c>
      <c r="CV153" s="217"/>
      <c r="CW153" s="172">
        <f t="shared" si="376"/>
        <v>91.547771898049078</v>
      </c>
      <c r="CX153" s="172">
        <f t="shared" si="377"/>
        <v>15</v>
      </c>
      <c r="CY153" s="217">
        <f t="shared" si="378"/>
        <v>15.166097060833902</v>
      </c>
      <c r="CZ153" s="217">
        <f t="shared" si="379"/>
        <v>9.5785876173687807</v>
      </c>
      <c r="DA153" s="217">
        <f t="shared" si="380"/>
        <v>11.817737969480962</v>
      </c>
      <c r="DB153" s="197">
        <f t="shared" si="381"/>
        <v>70.881782945736433</v>
      </c>
      <c r="DC153" s="443">
        <f t="shared" si="382"/>
        <v>46.736996777362727</v>
      </c>
      <c r="DE153" s="217">
        <f t="shared" si="383"/>
        <v>10.000000000000002</v>
      </c>
      <c r="DF153" s="173">
        <f t="shared" si="384"/>
        <v>7.792207792207793</v>
      </c>
      <c r="DG153" s="173">
        <f t="shared" si="385"/>
        <v>2.7616279069767451</v>
      </c>
      <c r="DH153" s="173"/>
      <c r="DI153" s="173">
        <f t="shared" si="386"/>
        <v>7.7922077922077913</v>
      </c>
      <c r="DJ153" s="545">
        <f t="shared" si="387"/>
        <v>110.36666666666667</v>
      </c>
      <c r="DK153" s="528">
        <f t="shared" si="388"/>
        <v>2.7616279069767442</v>
      </c>
      <c r="DM153" s="173">
        <f t="shared" si="389"/>
        <v>5.6154548643305233</v>
      </c>
      <c r="DN153" s="173">
        <f t="shared" si="390"/>
        <v>15.166097060833902</v>
      </c>
      <c r="DO153" s="173">
        <f t="shared" si="391"/>
        <v>5.0267385635806683</v>
      </c>
      <c r="DQ153" s="545">
        <f t="shared" si="392"/>
        <v>4300</v>
      </c>
      <c r="DR153" s="460">
        <f t="shared" si="393"/>
        <v>46.736996777362727</v>
      </c>
      <c r="DT153">
        <f t="shared" si="430"/>
        <v>4300</v>
      </c>
      <c r="DU153">
        <f t="shared" si="431"/>
        <v>46.736996777362727</v>
      </c>
      <c r="DW153" s="5">
        <f t="shared" si="394"/>
        <v>21.396325586849741</v>
      </c>
      <c r="DX153" s="5">
        <f t="shared" si="395"/>
        <v>9.5785876173687807</v>
      </c>
      <c r="DY153" s="5">
        <f t="shared" si="396"/>
        <v>11.817737969480961</v>
      </c>
      <c r="DZ153" s="5"/>
      <c r="EA153" s="173">
        <f t="shared" si="397"/>
        <v>0.44767441860465124</v>
      </c>
      <c r="EB153" s="173">
        <f t="shared" si="398"/>
        <v>64.5</v>
      </c>
      <c r="EC153" s="173">
        <f t="shared" si="399"/>
        <v>4.1883116883116873</v>
      </c>
      <c r="ED153" s="173">
        <f t="shared" si="400"/>
        <v>15.400000000000004</v>
      </c>
      <c r="EE153" s="460">
        <f t="shared" si="401"/>
        <v>274.58617836457171</v>
      </c>
      <c r="EF153" s="5">
        <f t="shared" si="402"/>
        <v>13.833831198394227</v>
      </c>
      <c r="EH153" s="173">
        <f t="shared" si="403"/>
        <v>5.8586066855158885</v>
      </c>
      <c r="EI153" s="173">
        <f t="shared" si="404"/>
        <v>6.5074491462200541</v>
      </c>
      <c r="EK153" s="528">
        <f t="shared" si="405"/>
        <v>0.68646544591142933</v>
      </c>
      <c r="EL153" s="528">
        <f t="shared" si="406"/>
        <v>0.48766666666666675</v>
      </c>
      <c r="EM153" s="528">
        <f t="shared" si="407"/>
        <v>5.8421245971703407E-3</v>
      </c>
      <c r="EN153" s="528">
        <f t="shared" si="408"/>
        <v>5.5306692506459955E-3</v>
      </c>
      <c r="EO153">
        <f t="shared" si="409"/>
        <v>8.5500000000000003E-3</v>
      </c>
      <c r="EP153" s="460">
        <f t="shared" si="410"/>
        <v>14.392124597170341</v>
      </c>
      <c r="EQ153" s="460"/>
      <c r="ER153" s="460">
        <f t="shared" si="432"/>
        <v>1194.0549064259126</v>
      </c>
      <c r="ES153" s="528">
        <f t="shared" si="411"/>
        <v>3.01</v>
      </c>
      <c r="EV153" s="460">
        <f t="shared" si="412"/>
        <v>3010</v>
      </c>
      <c r="EW153" s="528">
        <f t="shared" si="413"/>
        <v>1.0296981688671438</v>
      </c>
      <c r="EX153" s="528">
        <f t="shared" si="414"/>
        <v>1.2704068317192032</v>
      </c>
      <c r="EY153" s="528">
        <f t="shared" si="415"/>
        <v>0.66881589702681221</v>
      </c>
      <c r="EZ153" s="528"/>
      <c r="FA153" s="528">
        <f t="shared" si="416"/>
        <v>1.0750000000000001E-2</v>
      </c>
      <c r="FB153" s="460">
        <f t="shared" si="417"/>
        <v>2979.6708976131595</v>
      </c>
      <c r="FC153" s="173">
        <f t="shared" si="418"/>
        <v>7.1837258040390717</v>
      </c>
      <c r="FD153" s="5">
        <f t="shared" si="419"/>
        <v>64.5</v>
      </c>
      <c r="FE153" s="173">
        <f t="shared" si="420"/>
        <v>0.89978581995476725</v>
      </c>
      <c r="FF153" s="5">
        <f t="shared" si="421"/>
        <v>89.978581995476731</v>
      </c>
      <c r="FI153" s="562">
        <f t="shared" si="422"/>
        <v>-50</v>
      </c>
      <c r="FJ153">
        <f t="shared" si="423"/>
        <v>-50</v>
      </c>
      <c r="FL153">
        <f t="shared" si="476"/>
        <v>0.55232558139534871</v>
      </c>
    </row>
    <row r="154" spans="5:168">
      <c r="E154" s="170">
        <v>44</v>
      </c>
      <c r="F154" s="217">
        <f t="shared" si="477"/>
        <v>4.4000000000000004</v>
      </c>
      <c r="G154" s="217"/>
      <c r="H154" s="217">
        <f t="shared" si="442"/>
        <v>66</v>
      </c>
      <c r="I154" s="541">
        <f t="shared" si="443"/>
        <v>18.600030428070678</v>
      </c>
      <c r="J154" s="172">
        <f t="shared" si="444"/>
        <v>15.639981743157595</v>
      </c>
      <c r="K154" s="172">
        <f t="shared" si="445"/>
        <v>34.240012171228273</v>
      </c>
      <c r="L154" s="443"/>
      <c r="M154" s="217">
        <f t="shared" si="446"/>
        <v>0.45675926234333158</v>
      </c>
      <c r="N154" s="172">
        <f t="shared" si="447"/>
        <v>212.59517818145201</v>
      </c>
      <c r="O154" s="172">
        <f t="shared" si="438"/>
        <v>66</v>
      </c>
      <c r="P154" s="217">
        <f t="shared" si="448"/>
        <v>14.173011878763468</v>
      </c>
      <c r="Q154" s="217">
        <f t="shared" si="449"/>
        <v>15</v>
      </c>
      <c r="R154" s="217"/>
      <c r="S154" s="172">
        <f t="shared" si="450"/>
        <v>87.166924366543384</v>
      </c>
      <c r="T154" s="172">
        <f t="shared" si="451"/>
        <v>15</v>
      </c>
      <c r="U154" s="217">
        <f t="shared" si="452"/>
        <v>16.199079689715123</v>
      </c>
      <c r="V154" s="217">
        <f t="shared" si="453"/>
        <v>10.451002057674851</v>
      </c>
      <c r="W154" s="217">
        <f t="shared" si="454"/>
        <v>12.428975907316872</v>
      </c>
      <c r="X154" s="197">
        <f t="shared" si="455"/>
        <v>70.800241654520249</v>
      </c>
      <c r="Y154" s="443">
        <f t="shared" si="328"/>
        <v>43.327597691679969</v>
      </c>
      <c r="AA154" s="217">
        <f t="shared" si="456"/>
        <v>10</v>
      </c>
      <c r="AB154" s="173">
        <f t="shared" si="457"/>
        <v>7.6726432275088392</v>
      </c>
      <c r="AC154" s="173">
        <f t="shared" si="458"/>
        <v>2.7161249731827199</v>
      </c>
      <c r="AD154" s="173"/>
      <c r="AE154" s="173">
        <f t="shared" si="459"/>
        <v>7.6726432275088392</v>
      </c>
      <c r="AF154" s="545">
        <f t="shared" si="460"/>
        <v>114.69319944982236</v>
      </c>
      <c r="AG154" s="528">
        <f t="shared" si="461"/>
        <v>2.7161249731827199</v>
      </c>
      <c r="AI154" s="173">
        <f t="shared" si="462"/>
        <v>5.7244637790007982</v>
      </c>
      <c r="AJ154" s="173">
        <f t="shared" si="463"/>
        <v>16.199079689715123</v>
      </c>
      <c r="AK154" s="173">
        <f t="shared" si="464"/>
        <v>5.7919108812704616</v>
      </c>
      <c r="AM154" s="545">
        <f t="shared" si="465"/>
        <v>4400</v>
      </c>
      <c r="AN154" s="460">
        <f t="shared" si="466"/>
        <v>43.327597691679969</v>
      </c>
      <c r="AP154" s="460">
        <f t="shared" si="467"/>
        <v>4400</v>
      </c>
      <c r="AQ154" s="460">
        <f t="shared" si="468"/>
        <v>43.327597691679969</v>
      </c>
      <c r="AS154" s="5">
        <f t="shared" si="439"/>
        <v>23.079977964991723</v>
      </c>
      <c r="AT154" s="5">
        <f t="shared" si="469"/>
        <v>10.451002057674851</v>
      </c>
      <c r="AU154" s="5">
        <f t="shared" si="343"/>
        <v>12.628975907316873</v>
      </c>
      <c r="AV154" s="5"/>
      <c r="AW154" s="173">
        <f t="shared" si="344"/>
        <v>0.45281681262985551</v>
      </c>
      <c r="AX154" s="173">
        <f t="shared" si="435"/>
        <v>68.217616981724476</v>
      </c>
      <c r="AY154" s="173">
        <f t="shared" si="436"/>
        <v>4.4319320285406461</v>
      </c>
      <c r="AZ154" s="173">
        <f t="shared" si="440"/>
        <v>15.392297657639682</v>
      </c>
      <c r="BA154" s="460">
        <f t="shared" si="433"/>
        <v>306.56272702512899</v>
      </c>
      <c r="BB154" s="5">
        <f t="shared" si="434"/>
        <v>15.452559257088883</v>
      </c>
      <c r="BD154" s="173">
        <f t="shared" si="441"/>
        <v>6.2934818813933608</v>
      </c>
      <c r="BE154" s="173">
        <f t="shared" si="437"/>
        <v>6.9182473748645679</v>
      </c>
      <c r="BG154" s="528">
        <f t="shared" si="347"/>
        <v>0.79215828382853037</v>
      </c>
      <c r="BH154" s="528">
        <f t="shared" si="470"/>
        <v>0.45059890756275256</v>
      </c>
      <c r="BI154" s="528">
        <f t="shared" si="471"/>
        <v>2.0147365886011306E-2</v>
      </c>
      <c r="BJ154" s="528">
        <f t="shared" si="350"/>
        <v>5.0796341108477342E-3</v>
      </c>
      <c r="BK154">
        <f t="shared" si="351"/>
        <v>8.3700136926318051E-3</v>
      </c>
      <c r="BL154" s="460">
        <f t="shared" si="427"/>
        <v>28.517379578643112</v>
      </c>
      <c r="BM154" s="528">
        <f t="shared" si="472"/>
        <v>1.8006280210883805</v>
      </c>
      <c r="BN154" s="460">
        <f t="shared" si="353"/>
        <v>1800.6280210883806</v>
      </c>
      <c r="BO154" s="528">
        <f t="shared" si="354"/>
        <v>3.08</v>
      </c>
      <c r="BR154" s="460">
        <f t="shared" si="355"/>
        <v>3080</v>
      </c>
      <c r="BS154" s="528">
        <f t="shared" si="356"/>
        <v>1.1882374257427955</v>
      </c>
      <c r="BT154" s="528">
        <f t="shared" si="357"/>
        <v>1.4358644021946143</v>
      </c>
      <c r="BU154" s="528">
        <f t="shared" si="358"/>
        <v>0.65254036933632098</v>
      </c>
      <c r="BV154" s="528"/>
      <c r="BW154" s="528">
        <f t="shared" si="359"/>
        <v>1.1369602830287411E-2</v>
      </c>
      <c r="BX154" s="460">
        <f t="shared" si="360"/>
        <v>3288.0118001040178</v>
      </c>
      <c r="BY154" s="173">
        <f t="shared" si="361"/>
        <v>7.6443660051847919</v>
      </c>
      <c r="BZ154" s="5">
        <f t="shared" si="362"/>
        <v>66</v>
      </c>
      <c r="CA154" s="173">
        <f t="shared" si="363"/>
        <v>0.89619890264726287</v>
      </c>
      <c r="CB154" s="5">
        <f t="shared" si="364"/>
        <v>89.619890264726294</v>
      </c>
      <c r="CE154" s="562">
        <f t="shared" si="473"/>
        <v>-50</v>
      </c>
      <c r="CF154">
        <f t="shared" si="474"/>
        <v>-50</v>
      </c>
      <c r="CG154" s="173">
        <f t="shared" si="475"/>
        <v>0.55004184178009141</v>
      </c>
      <c r="CI154" s="170">
        <v>44</v>
      </c>
      <c r="CJ154" s="217">
        <f t="shared" si="428"/>
        <v>4.4000000000000004</v>
      </c>
      <c r="CK154" s="217"/>
      <c r="CL154" s="217">
        <f t="shared" si="368"/>
        <v>66</v>
      </c>
      <c r="CM154" s="541">
        <f t="shared" si="369"/>
        <v>19</v>
      </c>
      <c r="CN154" s="443">
        <f t="shared" si="370"/>
        <v>15.4</v>
      </c>
      <c r="CO154" s="443">
        <f t="shared" si="371"/>
        <v>34.4</v>
      </c>
      <c r="CP154" s="443"/>
      <c r="CQ154" s="217">
        <f t="shared" si="372"/>
        <v>0.44767441860465118</v>
      </c>
      <c r="CR154" s="172">
        <f t="shared" si="429"/>
        <v>212.84736191860466</v>
      </c>
      <c r="CS154" s="172">
        <f t="shared" si="373"/>
        <v>66</v>
      </c>
      <c r="CT154" s="217">
        <f t="shared" si="374"/>
        <v>14.189824127906977</v>
      </c>
      <c r="CU154" s="217">
        <f t="shared" si="375"/>
        <v>15</v>
      </c>
      <c r="CV154" s="217"/>
      <c r="CW154" s="172">
        <f t="shared" si="376"/>
        <v>89.039519077820273</v>
      </c>
      <c r="CX154" s="172">
        <f t="shared" si="377"/>
        <v>15</v>
      </c>
      <c r="CY154" s="217">
        <f t="shared" si="378"/>
        <v>15.518796992481203</v>
      </c>
      <c r="CZ154" s="217">
        <f t="shared" si="379"/>
        <v>9.8013454689354962</v>
      </c>
      <c r="DA154" s="217">
        <f t="shared" si="380"/>
        <v>12.09256908505029</v>
      </c>
      <c r="DB154" s="197">
        <f t="shared" si="381"/>
        <v>70.881782945736433</v>
      </c>
      <c r="DC154" s="443">
        <f t="shared" si="382"/>
        <v>45.674792305149921</v>
      </c>
      <c r="DE154" s="217">
        <f t="shared" si="383"/>
        <v>10.000000000000002</v>
      </c>
      <c r="DF154" s="173">
        <f t="shared" si="384"/>
        <v>7.792207792207793</v>
      </c>
      <c r="DG154" s="173">
        <f t="shared" si="385"/>
        <v>2.7616279069767451</v>
      </c>
      <c r="DH154" s="173"/>
      <c r="DI154" s="173">
        <f t="shared" si="386"/>
        <v>7.7922077922077913</v>
      </c>
      <c r="DJ154" s="545">
        <f t="shared" si="387"/>
        <v>112.93333333333334</v>
      </c>
      <c r="DK154" s="528">
        <f t="shared" si="388"/>
        <v>2.7616279069767442</v>
      </c>
      <c r="DM154" s="173">
        <f t="shared" si="389"/>
        <v>5.6803755744375453</v>
      </c>
      <c r="DN154" s="173">
        <f t="shared" si="390"/>
        <v>15.518796992481203</v>
      </c>
      <c r="DO154" s="173">
        <f t="shared" si="391"/>
        <v>5.2879977722082989</v>
      </c>
      <c r="DQ154" s="545">
        <f t="shared" si="392"/>
        <v>4400</v>
      </c>
      <c r="DR154" s="460">
        <f t="shared" si="393"/>
        <v>45.674792305149921</v>
      </c>
      <c r="DT154">
        <f t="shared" si="430"/>
        <v>4400</v>
      </c>
      <c r="DU154">
        <f t="shared" si="431"/>
        <v>45.674792305149921</v>
      </c>
      <c r="DW154" s="5">
        <f t="shared" si="394"/>
        <v>21.893914553985788</v>
      </c>
      <c r="DX154" s="5">
        <f t="shared" si="395"/>
        <v>9.8013454689354962</v>
      </c>
      <c r="DY154" s="5">
        <f t="shared" si="396"/>
        <v>12.092569085050291</v>
      </c>
      <c r="DZ154" s="5"/>
      <c r="EA154" s="173">
        <f t="shared" si="397"/>
        <v>0.44767441860465107</v>
      </c>
      <c r="EB154" s="173">
        <f t="shared" si="398"/>
        <v>65.999999999999986</v>
      </c>
      <c r="EC154" s="173">
        <f t="shared" si="399"/>
        <v>4.2857142857142865</v>
      </c>
      <c r="ED154" s="173">
        <f t="shared" si="400"/>
        <v>15.399999999999993</v>
      </c>
      <c r="EE154" s="460">
        <f t="shared" si="401"/>
        <v>287.50613375544128</v>
      </c>
      <c r="EF154" s="5">
        <f t="shared" si="402"/>
        <v>14.484746998426846</v>
      </c>
      <c r="EH154" s="173">
        <f t="shared" si="403"/>
        <v>5.9948533526209085</v>
      </c>
      <c r="EI154" s="173">
        <f t="shared" si="404"/>
        <v>6.6587851728763354</v>
      </c>
      <c r="EK154" s="528">
        <f t="shared" si="405"/>
        <v>0.71876533438860291</v>
      </c>
      <c r="EL154" s="528">
        <f t="shared" si="406"/>
        <v>0.48766666666666653</v>
      </c>
      <c r="EM154" s="528">
        <f t="shared" si="407"/>
        <v>5.7093490381437398E-3</v>
      </c>
      <c r="EN154" s="528">
        <f t="shared" si="408"/>
        <v>5.4049722222222207E-3</v>
      </c>
      <c r="EO154">
        <f t="shared" si="409"/>
        <v>8.5500000000000003E-3</v>
      </c>
      <c r="EP154" s="460">
        <f t="shared" si="410"/>
        <v>14.259349038143739</v>
      </c>
      <c r="EQ154" s="460"/>
      <c r="ER154" s="460">
        <f t="shared" si="432"/>
        <v>1226.0963223156355</v>
      </c>
      <c r="ES154" s="528">
        <f t="shared" si="411"/>
        <v>3.08</v>
      </c>
      <c r="EV154" s="460">
        <f t="shared" si="412"/>
        <v>3080</v>
      </c>
      <c r="EW154" s="528">
        <f t="shared" si="413"/>
        <v>1.0781480015829044</v>
      </c>
      <c r="EX154" s="528">
        <f t="shared" si="414"/>
        <v>1.3301825993555316</v>
      </c>
      <c r="EY154" s="528">
        <f t="shared" si="415"/>
        <v>0.66881589702681232</v>
      </c>
      <c r="EZ154" s="528"/>
      <c r="FA154" s="528">
        <f t="shared" si="416"/>
        <v>1.0999999999999999E-2</v>
      </c>
      <c r="FB154" s="460">
        <f t="shared" si="417"/>
        <v>3088.1464979652487</v>
      </c>
      <c r="FC154" s="173">
        <f t="shared" si="418"/>
        <v>7.3942428202808843</v>
      </c>
      <c r="FD154" s="5">
        <f t="shared" si="419"/>
        <v>66</v>
      </c>
      <c r="FE154" s="173">
        <f t="shared" si="420"/>
        <v>0.89925309484577665</v>
      </c>
      <c r="FF154" s="5">
        <f t="shared" si="421"/>
        <v>89.925309484577667</v>
      </c>
      <c r="FI154" s="562">
        <f t="shared" si="422"/>
        <v>-50</v>
      </c>
      <c r="FJ154">
        <f t="shared" si="423"/>
        <v>-50</v>
      </c>
      <c r="FL154">
        <f t="shared" si="476"/>
        <v>0.55232558139534893</v>
      </c>
    </row>
    <row r="155" spans="5:168">
      <c r="E155" s="170">
        <v>45</v>
      </c>
      <c r="F155" s="217">
        <f t="shared" si="477"/>
        <v>4.5</v>
      </c>
      <c r="G155" s="217"/>
      <c r="H155" s="217">
        <f t="shared" si="442"/>
        <v>67.5</v>
      </c>
      <c r="I155" s="541">
        <f t="shared" si="443"/>
        <v>18.590977949064367</v>
      </c>
      <c r="J155" s="172">
        <f t="shared" si="444"/>
        <v>15.645413230561379</v>
      </c>
      <c r="K155" s="172">
        <f t="shared" si="445"/>
        <v>34.236391179625748</v>
      </c>
      <c r="L155" s="443"/>
      <c r="M155" s="217">
        <f t="shared" si="446"/>
        <v>0.4569662252762583</v>
      </c>
      <c r="N155" s="172">
        <f t="shared" si="447"/>
        <v>212.58799235361994</v>
      </c>
      <c r="O155" s="172">
        <f t="shared" si="438"/>
        <v>67.5</v>
      </c>
      <c r="P155" s="217">
        <f t="shared" si="448"/>
        <v>14.172532823574663</v>
      </c>
      <c r="Q155" s="217">
        <f t="shared" si="449"/>
        <v>15</v>
      </c>
      <c r="R155" s="217"/>
      <c r="S155" s="172">
        <f t="shared" si="450"/>
        <v>84.779535435273317</v>
      </c>
      <c r="T155" s="172">
        <f t="shared" si="451"/>
        <v>15</v>
      </c>
      <c r="U155" s="217">
        <f t="shared" si="452"/>
        <v>16.573554756476394</v>
      </c>
      <c r="V155" s="217">
        <f t="shared" si="453"/>
        <v>10.697805011797453</v>
      </c>
      <c r="W155" s="217">
        <f t="shared" si="454"/>
        <v>12.711882655117352</v>
      </c>
      <c r="X155" s="197">
        <f t="shared" si="455"/>
        <v>70.797846568025761</v>
      </c>
      <c r="Y155" s="443">
        <f t="shared" si="328"/>
        <v>42.355494664223784</v>
      </c>
      <c r="AA155" s="217">
        <f t="shared" si="456"/>
        <v>10</v>
      </c>
      <c r="AB155" s="173">
        <f t="shared" si="457"/>
        <v>7.6699795800595956</v>
      </c>
      <c r="AC155" s="173">
        <f t="shared" si="458"/>
        <v>2.7150901874447495</v>
      </c>
      <c r="AD155" s="173"/>
      <c r="AE155" s="173">
        <f t="shared" si="459"/>
        <v>7.6699795800595956</v>
      </c>
      <c r="AF155" s="545">
        <f t="shared" si="460"/>
        <v>117.34059922921033</v>
      </c>
      <c r="AG155" s="528">
        <f t="shared" si="461"/>
        <v>2.7150901874447495</v>
      </c>
      <c r="AI155" s="173">
        <f t="shared" si="462"/>
        <v>5.7901541856897127</v>
      </c>
      <c r="AJ155" s="173">
        <f t="shared" si="463"/>
        <v>16.573554756476394</v>
      </c>
      <c r="AK155" s="173">
        <f t="shared" si="464"/>
        <v>6.0692998196121444</v>
      </c>
      <c r="AM155" s="545">
        <f t="shared" si="465"/>
        <v>4500</v>
      </c>
      <c r="AN155" s="460">
        <f t="shared" si="466"/>
        <v>42.355494664223784</v>
      </c>
      <c r="AP155" s="460">
        <f t="shared" si="467"/>
        <v>4500</v>
      </c>
      <c r="AQ155" s="460">
        <f t="shared" si="468"/>
        <v>42.355494664223784</v>
      </c>
      <c r="AS155" s="5">
        <f t="shared" si="439"/>
        <v>23.609687666914802</v>
      </c>
      <c r="AT155" s="5">
        <f t="shared" si="469"/>
        <v>10.697805011797453</v>
      </c>
      <c r="AU155" s="5">
        <f t="shared" si="343"/>
        <v>12.911882655117349</v>
      </c>
      <c r="AV155" s="5"/>
      <c r="AW155" s="173">
        <f t="shared" si="344"/>
        <v>0.45311082309609346</v>
      </c>
      <c r="AX155" s="173">
        <f t="shared" si="435"/>
        <v>69.80593419306733</v>
      </c>
      <c r="AY155" s="173">
        <f t="shared" si="436"/>
        <v>4.5319488595706003</v>
      </c>
      <c r="AZ155" s="173">
        <f t="shared" si="440"/>
        <v>15.403071913675875</v>
      </c>
      <c r="BA155" s="460">
        <f t="shared" si="433"/>
        <v>320.9341503539236</v>
      </c>
      <c r="BB155" s="5">
        <f t="shared" si="434"/>
        <v>16.165647689679755</v>
      </c>
      <c r="BD155" s="173">
        <f t="shared" si="441"/>
        <v>6.44105871501037</v>
      </c>
      <c r="BE155" s="173">
        <f t="shared" si="437"/>
        <v>7.0762750359985347</v>
      </c>
      <c r="BG155" s="528">
        <f t="shared" si="347"/>
        <v>0.82974474740422088</v>
      </c>
      <c r="BH155" s="528">
        <f t="shared" si="470"/>
        <v>0.45062437283542972</v>
      </c>
      <c r="BI155" s="528">
        <f t="shared" si="471"/>
        <v>1.9685751683107443E-2</v>
      </c>
      <c r="BJ155" s="528">
        <f t="shared" si="350"/>
        <v>4.9646166333954045E-3</v>
      </c>
      <c r="BK155">
        <f t="shared" si="351"/>
        <v>8.3659400770789653E-3</v>
      </c>
      <c r="BL155" s="460">
        <f t="shared" si="427"/>
        <v>28.051691760186412</v>
      </c>
      <c r="BM155" s="528">
        <f t="shared" si="472"/>
        <v>1.8800022923268509</v>
      </c>
      <c r="BN155" s="460">
        <f t="shared" si="353"/>
        <v>1880.0022923268509</v>
      </c>
      <c r="BO155" s="528">
        <f t="shared" si="354"/>
        <v>3.15</v>
      </c>
      <c r="BR155" s="460">
        <f t="shared" si="355"/>
        <v>3150</v>
      </c>
      <c r="BS155" s="528">
        <f t="shared" si="356"/>
        <v>1.2446171211063313</v>
      </c>
      <c r="BT155" s="528">
        <f t="shared" si="357"/>
        <v>1.5022100515528818</v>
      </c>
      <c r="BU155" s="528">
        <f t="shared" si="358"/>
        <v>0.65280514479585139</v>
      </c>
      <c r="BV155" s="528"/>
      <c r="BW155" s="528">
        <f t="shared" si="359"/>
        <v>1.1634322365511223E-2</v>
      </c>
      <c r="BX155" s="460">
        <f t="shared" si="360"/>
        <v>3411.2666398205756</v>
      </c>
      <c r="BY155" s="173">
        <f t="shared" si="361"/>
        <v>7.8746520684538082</v>
      </c>
      <c r="BZ155" s="5">
        <f t="shared" si="362"/>
        <v>67.5</v>
      </c>
      <c r="CA155" s="173">
        <f t="shared" si="363"/>
        <v>0.89552652181661541</v>
      </c>
      <c r="CB155" s="5">
        <f t="shared" si="364"/>
        <v>89.552652181661543</v>
      </c>
      <c r="CE155" s="562">
        <f t="shared" si="473"/>
        <v>-50</v>
      </c>
      <c r="CF155">
        <f t="shared" si="474"/>
        <v>-50</v>
      </c>
      <c r="CG155" s="173">
        <f t="shared" si="475"/>
        <v>0.55009259154931933</v>
      </c>
      <c r="CI155" s="170">
        <v>45</v>
      </c>
      <c r="CJ155" s="217">
        <f t="shared" si="428"/>
        <v>4.5</v>
      </c>
      <c r="CK155" s="217"/>
      <c r="CL155" s="217">
        <f t="shared" si="368"/>
        <v>67.5</v>
      </c>
      <c r="CM155" s="541">
        <f t="shared" si="369"/>
        <v>19</v>
      </c>
      <c r="CN155" s="443">
        <f t="shared" si="370"/>
        <v>15.4</v>
      </c>
      <c r="CO155" s="443">
        <f t="shared" si="371"/>
        <v>34.4</v>
      </c>
      <c r="CP155" s="443"/>
      <c r="CQ155" s="217">
        <f t="shared" si="372"/>
        <v>0.44767441860465118</v>
      </c>
      <c r="CR155" s="172">
        <f t="shared" si="429"/>
        <v>212.84736191860466</v>
      </c>
      <c r="CS155" s="172">
        <f t="shared" si="373"/>
        <v>67.5</v>
      </c>
      <c r="CT155" s="217">
        <f t="shared" si="374"/>
        <v>14.189824127906977</v>
      </c>
      <c r="CU155" s="217">
        <f t="shared" si="375"/>
        <v>15</v>
      </c>
      <c r="CV155" s="217"/>
      <c r="CW155" s="172">
        <f t="shared" si="376"/>
        <v>86.642868854164007</v>
      </c>
      <c r="CX155" s="172">
        <f t="shared" si="377"/>
        <v>15</v>
      </c>
      <c r="CY155" s="217">
        <f t="shared" si="378"/>
        <v>15.871496924128502</v>
      </c>
      <c r="CZ155" s="217">
        <f t="shared" si="379"/>
        <v>10.024103320502212</v>
      </c>
      <c r="DA155" s="217">
        <f t="shared" si="380"/>
        <v>12.367400200619613</v>
      </c>
      <c r="DB155" s="197">
        <f t="shared" si="381"/>
        <v>70.881782945736433</v>
      </c>
      <c r="DC155" s="443">
        <f t="shared" si="382"/>
        <v>44.659796920591042</v>
      </c>
      <c r="DE155" s="217">
        <f t="shared" si="383"/>
        <v>10.000000000000002</v>
      </c>
      <c r="DF155" s="173">
        <f t="shared" si="384"/>
        <v>7.792207792207793</v>
      </c>
      <c r="DG155" s="173">
        <f t="shared" si="385"/>
        <v>2.7616279069767451</v>
      </c>
      <c r="DH155" s="173"/>
      <c r="DI155" s="173">
        <f t="shared" si="386"/>
        <v>7.7922077922077913</v>
      </c>
      <c r="DJ155" s="545">
        <f t="shared" si="387"/>
        <v>115.5</v>
      </c>
      <c r="DK155" s="528">
        <f t="shared" si="388"/>
        <v>2.7616279069767442</v>
      </c>
      <c r="DM155" s="173">
        <f t="shared" si="389"/>
        <v>5.7445626465380286</v>
      </c>
      <c r="DN155" s="173">
        <f t="shared" si="390"/>
        <v>15.871496924128502</v>
      </c>
      <c r="DO155" s="173">
        <f t="shared" si="391"/>
        <v>5.5492569808359278</v>
      </c>
      <c r="DQ155" s="545">
        <f t="shared" si="392"/>
        <v>4500</v>
      </c>
      <c r="DR155" s="460">
        <f t="shared" si="393"/>
        <v>44.659796920591042</v>
      </c>
      <c r="DT155">
        <f t="shared" si="430"/>
        <v>4500</v>
      </c>
      <c r="DU155">
        <f t="shared" si="431"/>
        <v>44.659796920591042</v>
      </c>
      <c r="DW155" s="5">
        <f t="shared" si="394"/>
        <v>22.391503521121827</v>
      </c>
      <c r="DX155" s="5">
        <f t="shared" si="395"/>
        <v>10.024103320502212</v>
      </c>
      <c r="DY155" s="5">
        <f t="shared" si="396"/>
        <v>12.367400200619615</v>
      </c>
      <c r="DZ155" s="5"/>
      <c r="EA155" s="173">
        <f t="shared" si="397"/>
        <v>0.44767441860465107</v>
      </c>
      <c r="EB155" s="173">
        <f t="shared" si="398"/>
        <v>67.499999999999986</v>
      </c>
      <c r="EC155" s="173">
        <f t="shared" si="399"/>
        <v>4.3831168831168839</v>
      </c>
      <c r="ED155" s="173">
        <f t="shared" si="400"/>
        <v>15.399999999999995</v>
      </c>
      <c r="EE155" s="460">
        <f t="shared" si="401"/>
        <v>300.7230996150663</v>
      </c>
      <c r="EF155" s="5">
        <f t="shared" si="402"/>
        <v>15.150626380069401</v>
      </c>
      <c r="EH155" s="173">
        <f t="shared" si="403"/>
        <v>6.1311000197259284</v>
      </c>
      <c r="EI155" s="173">
        <f t="shared" si="404"/>
        <v>6.810121199532615</v>
      </c>
      <c r="EK155" s="528">
        <f t="shared" si="405"/>
        <v>0.75180774903766567</v>
      </c>
      <c r="EL155" s="528">
        <f t="shared" si="406"/>
        <v>0.48766666666666658</v>
      </c>
      <c r="EM155" s="528">
        <f t="shared" si="407"/>
        <v>5.5824746150738803E-3</v>
      </c>
      <c r="EN155" s="528">
        <f t="shared" si="408"/>
        <v>5.2848617283950614E-3</v>
      </c>
      <c r="EO155">
        <f t="shared" si="409"/>
        <v>8.5500000000000003E-3</v>
      </c>
      <c r="EP155" s="460">
        <f t="shared" si="410"/>
        <v>14.13247461507388</v>
      </c>
      <c r="EQ155" s="460"/>
      <c r="ER155" s="460">
        <f t="shared" si="432"/>
        <v>1258.8917520478014</v>
      </c>
      <c r="ES155" s="528">
        <f t="shared" si="411"/>
        <v>3.15</v>
      </c>
      <c r="EV155" s="460">
        <f t="shared" si="412"/>
        <v>3150</v>
      </c>
      <c r="EW155" s="528">
        <f t="shared" si="413"/>
        <v>1.1277116235564983</v>
      </c>
      <c r="EX155" s="528">
        <f t="shared" si="414"/>
        <v>1.3913325225697062</v>
      </c>
      <c r="EY155" s="528">
        <f t="shared" si="415"/>
        <v>0.66881589702681221</v>
      </c>
      <c r="EZ155" s="528"/>
      <c r="FA155" s="528">
        <f t="shared" si="416"/>
        <v>1.1250000000000001E-2</v>
      </c>
      <c r="FB155" s="460">
        <f t="shared" si="417"/>
        <v>3199.1100431530167</v>
      </c>
      <c r="FC155" s="173">
        <f t="shared" si="418"/>
        <v>7.6080017952008188</v>
      </c>
      <c r="FD155" s="5">
        <f t="shared" si="419"/>
        <v>67.5</v>
      </c>
      <c r="FE155" s="173">
        <f t="shared" si="420"/>
        <v>0.8987058420759777</v>
      </c>
      <c r="FF155" s="5">
        <f t="shared" si="421"/>
        <v>89.870584207597773</v>
      </c>
      <c r="FI155" s="562">
        <f t="shared" si="422"/>
        <v>-50</v>
      </c>
      <c r="FJ155">
        <f t="shared" si="423"/>
        <v>-50</v>
      </c>
      <c r="FL155">
        <f t="shared" si="476"/>
        <v>0.55232558139534893</v>
      </c>
    </row>
    <row r="156" spans="5:168" s="76" customFormat="1">
      <c r="E156" s="189">
        <v>46</v>
      </c>
      <c r="F156" s="329">
        <f t="shared" si="477"/>
        <v>4.6000000000000005</v>
      </c>
      <c r="G156" s="329"/>
      <c r="H156" s="329">
        <f t="shared" si="442"/>
        <v>69.000000000000014</v>
      </c>
      <c r="I156" s="541">
        <f t="shared" si="443"/>
        <v>18.581925463398125</v>
      </c>
      <c r="J156" s="172">
        <f t="shared" si="444"/>
        <v>15.650844721961125</v>
      </c>
      <c r="K156" s="172">
        <f t="shared" si="445"/>
        <v>34.23277018535925</v>
      </c>
      <c r="L156" s="535"/>
      <c r="M156" s="217">
        <f t="shared" si="446"/>
        <v>0.45717323208154637</v>
      </c>
      <c r="N156" s="172">
        <f t="shared" si="447"/>
        <v>212.58073308440967</v>
      </c>
      <c r="O156" s="172">
        <f t="shared" si="438"/>
        <v>69.000000000000014</v>
      </c>
      <c r="P156" s="329">
        <f t="shared" si="448"/>
        <v>14.172048872293978</v>
      </c>
      <c r="Q156" s="329">
        <f t="shared" si="449"/>
        <v>15</v>
      </c>
      <c r="R156" s="329"/>
      <c r="S156" s="172">
        <f t="shared" si="450"/>
        <v>82.496463178002244</v>
      </c>
      <c r="T156" s="172">
        <f t="shared" si="451"/>
        <v>15</v>
      </c>
      <c r="U156" s="217">
        <f t="shared" si="452"/>
        <v>16.948316744361573</v>
      </c>
      <c r="V156" s="329">
        <f t="shared" si="453"/>
        <v>10.94503372822949</v>
      </c>
      <c r="W156" s="329">
        <f t="shared" si="454"/>
        <v>12.99481303056813</v>
      </c>
      <c r="X156" s="537">
        <f t="shared" si="455"/>
        <v>70.79542703477523</v>
      </c>
      <c r="Y156" s="443">
        <f t="shared" si="328"/>
        <v>41.425283681038948</v>
      </c>
      <c r="AA156" s="329">
        <f t="shared" si="456"/>
        <v>10</v>
      </c>
      <c r="AB156" s="538">
        <f t="shared" si="457"/>
        <v>7.6673177794433727</v>
      </c>
      <c r="AC156" s="538">
        <f t="shared" si="458"/>
        <v>2.7140551820350907</v>
      </c>
      <c r="AD156" s="538"/>
      <c r="AE156" s="538">
        <f t="shared" si="459"/>
        <v>7.6673177794433727</v>
      </c>
      <c r="AF156" s="545">
        <f t="shared" si="460"/>
        <v>119.98980953503531</v>
      </c>
      <c r="AG156" s="579">
        <f t="shared" si="461"/>
        <v>2.7140551820350907</v>
      </c>
      <c r="AI156" s="538">
        <f t="shared" si="462"/>
        <v>5.8551518105251379</v>
      </c>
      <c r="AJ156" s="538">
        <f t="shared" si="463"/>
        <v>16.948316744361573</v>
      </c>
      <c r="AK156" s="538">
        <f t="shared" si="464"/>
        <v>6.3469012921196839</v>
      </c>
      <c r="AM156" s="563">
        <f t="shared" si="465"/>
        <v>4600.0000000000009</v>
      </c>
      <c r="AN156" s="564">
        <f t="shared" si="466"/>
        <v>41.425283681038948</v>
      </c>
      <c r="AP156" s="76">
        <f t="shared" si="467"/>
        <v>4600.0000000000009</v>
      </c>
      <c r="AQ156" s="76">
        <f t="shared" si="468"/>
        <v>41.425283681038948</v>
      </c>
      <c r="AS156" s="534">
        <f t="shared" si="439"/>
        <v>24.139846758797621</v>
      </c>
      <c r="AT156" s="5">
        <f t="shared" si="469"/>
        <v>10.94503372822949</v>
      </c>
      <c r="AU156" s="5">
        <f t="shared" si="343"/>
        <v>13.194813030568131</v>
      </c>
      <c r="AV156" s="5"/>
      <c r="AW156" s="173">
        <f t="shared" si="344"/>
        <v>0.45340112709044594</v>
      </c>
      <c r="AX156" s="173">
        <f t="shared" si="435"/>
        <v>71.395343144634182</v>
      </c>
      <c r="AY156" s="173">
        <f t="shared" si="436"/>
        <v>4.6319654150910798</v>
      </c>
      <c r="AZ156" s="173">
        <f t="shared" si="440"/>
        <v>15.413617492053383</v>
      </c>
      <c r="BA156" s="460">
        <f t="shared" si="433"/>
        <v>335.64770099903774</v>
      </c>
      <c r="BB156" s="5">
        <f t="shared" si="434"/>
        <v>16.895210996048949</v>
      </c>
      <c r="BD156" s="173">
        <f t="shared" si="441"/>
        <v>6.5888139160100527</v>
      </c>
      <c r="BE156" s="173">
        <f t="shared" si="437"/>
        <v>7.2343632294714029</v>
      </c>
      <c r="BG156" s="528">
        <f t="shared" si="347"/>
        <v>0.86824937639615463</v>
      </c>
      <c r="BH156" s="528">
        <f t="shared" si="470"/>
        <v>0.45064585377413374</v>
      </c>
      <c r="BI156" s="528">
        <f t="shared" si="471"/>
        <v>1.9244038341529709E-2</v>
      </c>
      <c r="BJ156" s="528">
        <f t="shared" si="350"/>
        <v>4.8545567263658619E-3</v>
      </c>
      <c r="BK156">
        <f t="shared" si="351"/>
        <v>8.3618664585291564E-3</v>
      </c>
      <c r="BL156" s="460">
        <f t="shared" si="427"/>
        <v>27.605904800058866</v>
      </c>
      <c r="BM156" s="528">
        <f t="shared" si="472"/>
        <v>1.9631716865206594</v>
      </c>
      <c r="BN156" s="460">
        <f t="shared" si="353"/>
        <v>1963.1716865206595</v>
      </c>
      <c r="BO156" s="528">
        <f t="shared" si="354"/>
        <v>3.22</v>
      </c>
      <c r="BR156" s="460">
        <f t="shared" si="355"/>
        <v>3220</v>
      </c>
      <c r="BS156" s="528">
        <f t="shared" si="356"/>
        <v>1.3023740645942319</v>
      </c>
      <c r="BT156" s="528">
        <f t="shared" si="357"/>
        <v>1.5700803400778371</v>
      </c>
      <c r="BU156" s="528">
        <f t="shared" si="358"/>
        <v>0.65305560597977164</v>
      </c>
      <c r="BV156" s="528"/>
      <c r="BW156" s="528">
        <f t="shared" si="359"/>
        <v>1.189922385743903E-2</v>
      </c>
      <c r="BX156" s="460">
        <f t="shared" si="360"/>
        <v>3537.4092345092799</v>
      </c>
      <c r="BY156" s="173">
        <f t="shared" si="361"/>
        <v>8.1087649262059927</v>
      </c>
      <c r="BZ156" s="5">
        <f t="shared" si="362"/>
        <v>69.000000000000014</v>
      </c>
      <c r="CA156" s="173">
        <f t="shared" si="363"/>
        <v>0.89483990654024637</v>
      </c>
      <c r="CB156" s="5">
        <f t="shared" si="364"/>
        <v>89.483990654024637</v>
      </c>
      <c r="CE156" s="562">
        <f t="shared" si="473"/>
        <v>-50</v>
      </c>
      <c r="CF156">
        <f t="shared" si="474"/>
        <v>-50</v>
      </c>
      <c r="CG156" s="173">
        <f t="shared" si="475"/>
        <v>0.55014113480684168</v>
      </c>
      <c r="CH156"/>
      <c r="CI156" s="189">
        <v>46</v>
      </c>
      <c r="CJ156" s="329">
        <f t="shared" si="428"/>
        <v>4.6000000000000005</v>
      </c>
      <c r="CK156" s="329"/>
      <c r="CL156" s="329">
        <f t="shared" si="368"/>
        <v>69.000000000000014</v>
      </c>
      <c r="CM156" s="541">
        <f t="shared" si="369"/>
        <v>19</v>
      </c>
      <c r="CN156" s="443">
        <f t="shared" si="370"/>
        <v>15.4</v>
      </c>
      <c r="CO156" s="535">
        <f t="shared" si="371"/>
        <v>34.4</v>
      </c>
      <c r="CP156" s="535"/>
      <c r="CQ156" s="329">
        <f t="shared" si="372"/>
        <v>0.44767441860465118</v>
      </c>
      <c r="CR156" s="172">
        <f t="shared" si="429"/>
        <v>212.84736191860466</v>
      </c>
      <c r="CS156" s="172">
        <f t="shared" si="373"/>
        <v>69.000000000000014</v>
      </c>
      <c r="CT156" s="329">
        <f t="shared" si="374"/>
        <v>14.189824127906977</v>
      </c>
      <c r="CU156" s="329">
        <f t="shared" si="375"/>
        <v>15</v>
      </c>
      <c r="CV156" s="329"/>
      <c r="CW156" s="172">
        <f t="shared" si="376"/>
        <v>84.350544505294323</v>
      </c>
      <c r="CX156" s="172">
        <f t="shared" si="377"/>
        <v>15</v>
      </c>
      <c r="CY156" s="217">
        <f t="shared" si="378"/>
        <v>16.224196855775805</v>
      </c>
      <c r="CZ156" s="329">
        <f t="shared" si="379"/>
        <v>10.246861172068929</v>
      </c>
      <c r="DA156" s="329">
        <f t="shared" si="380"/>
        <v>12.642231316188937</v>
      </c>
      <c r="DB156" s="537">
        <f t="shared" si="381"/>
        <v>70.881782945736433</v>
      </c>
      <c r="DC156" s="535">
        <f t="shared" si="382"/>
        <v>43.688931770143412</v>
      </c>
      <c r="DE156" s="329">
        <f t="shared" si="383"/>
        <v>10.000000000000002</v>
      </c>
      <c r="DF156" s="538">
        <f t="shared" si="384"/>
        <v>7.792207792207793</v>
      </c>
      <c r="DG156" s="538">
        <f t="shared" si="385"/>
        <v>2.7616279069767451</v>
      </c>
      <c r="DH156" s="538"/>
      <c r="DI156" s="538">
        <f t="shared" si="386"/>
        <v>7.7922077922077913</v>
      </c>
      <c r="DJ156" s="545">
        <f t="shared" si="387"/>
        <v>118.06666666666669</v>
      </c>
      <c r="DK156" s="579">
        <f t="shared" si="388"/>
        <v>2.7616279069767442</v>
      </c>
      <c r="DM156" s="538">
        <f t="shared" si="389"/>
        <v>5.8080404038998683</v>
      </c>
      <c r="DN156" s="538">
        <f t="shared" si="390"/>
        <v>16.224196855775805</v>
      </c>
      <c r="DO156" s="538">
        <f t="shared" si="391"/>
        <v>5.8105161894635593</v>
      </c>
      <c r="DQ156" s="563">
        <f t="shared" si="392"/>
        <v>4600.0000000000009</v>
      </c>
      <c r="DR156" s="564">
        <f t="shared" si="393"/>
        <v>43.688931770143412</v>
      </c>
      <c r="DT156">
        <f t="shared" si="430"/>
        <v>4600.0000000000009</v>
      </c>
      <c r="DU156">
        <f t="shared" si="431"/>
        <v>43.688931770143412</v>
      </c>
      <c r="DW156" s="534">
        <f t="shared" si="394"/>
        <v>22.889092488257866</v>
      </c>
      <c r="DX156" s="5">
        <f t="shared" si="395"/>
        <v>10.246861172068929</v>
      </c>
      <c r="DY156" s="5">
        <f t="shared" si="396"/>
        <v>12.642231316188937</v>
      </c>
      <c r="DZ156" s="5"/>
      <c r="EA156" s="173">
        <f t="shared" si="397"/>
        <v>0.44767441860465118</v>
      </c>
      <c r="EB156" s="173">
        <f t="shared" si="398"/>
        <v>69.000000000000014</v>
      </c>
      <c r="EC156" s="173">
        <f t="shared" si="399"/>
        <v>4.4805194805194812</v>
      </c>
      <c r="ED156" s="173">
        <f t="shared" si="400"/>
        <v>15.4</v>
      </c>
      <c r="EE156" s="460">
        <f t="shared" si="401"/>
        <v>314.23707594344717</v>
      </c>
      <c r="EF156" s="5">
        <f t="shared" si="402"/>
        <v>15.831469343321899</v>
      </c>
      <c r="EH156" s="173">
        <f t="shared" si="403"/>
        <v>6.2673466868309511</v>
      </c>
      <c r="EI156" s="173">
        <f t="shared" si="404"/>
        <v>6.9614572261888963</v>
      </c>
      <c r="EK156" s="528">
        <f t="shared" si="405"/>
        <v>0.78559268985861808</v>
      </c>
      <c r="EL156" s="528">
        <f t="shared" si="406"/>
        <v>0.48766666666666664</v>
      </c>
      <c r="EM156" s="528">
        <f t="shared" si="407"/>
        <v>5.461116471267926E-3</v>
      </c>
      <c r="EN156" s="528">
        <f t="shared" si="408"/>
        <v>5.1699734299516902E-3</v>
      </c>
      <c r="EO156">
        <f t="shared" si="409"/>
        <v>8.5500000000000003E-3</v>
      </c>
      <c r="EP156" s="460">
        <f t="shared" si="410"/>
        <v>14.011116471267925</v>
      </c>
      <c r="EQ156" s="460"/>
      <c r="ER156" s="460">
        <f t="shared" si="432"/>
        <v>1292.4404464265044</v>
      </c>
      <c r="ES156" s="528">
        <f t="shared" si="411"/>
        <v>3.22</v>
      </c>
      <c r="EV156" s="460">
        <f t="shared" si="412"/>
        <v>3220</v>
      </c>
      <c r="EW156" s="528">
        <f t="shared" si="413"/>
        <v>1.1783890347879271</v>
      </c>
      <c r="EX156" s="528">
        <f t="shared" si="414"/>
        <v>1.453856601361728</v>
      </c>
      <c r="EY156" s="528">
        <f t="shared" si="415"/>
        <v>0.66881589702681354</v>
      </c>
      <c r="EZ156" s="528"/>
      <c r="FA156" s="528">
        <f t="shared" si="416"/>
        <v>1.1500000000000003E-2</v>
      </c>
      <c r="FB156" s="460">
        <f t="shared" si="417"/>
        <v>3312.5615331764684</v>
      </c>
      <c r="FC156" s="173">
        <f t="shared" si="418"/>
        <v>7.8250019796029724</v>
      </c>
      <c r="FD156" s="5">
        <f t="shared" si="419"/>
        <v>69.000000000000014</v>
      </c>
      <c r="FE156" s="173">
        <f t="shared" si="420"/>
        <v>0.8981451119040581</v>
      </c>
      <c r="FF156" s="5">
        <f t="shared" si="421"/>
        <v>89.81451119040581</v>
      </c>
      <c r="FI156" s="562">
        <f t="shared" si="422"/>
        <v>-50</v>
      </c>
      <c r="FJ156">
        <f t="shared" si="423"/>
        <v>-50</v>
      </c>
      <c r="FL156">
        <f t="shared" si="476"/>
        <v>0.55232558139534882</v>
      </c>
    </row>
    <row r="157" spans="5:168">
      <c r="E157" s="170">
        <v>47</v>
      </c>
      <c r="F157" s="217">
        <f t="shared" si="477"/>
        <v>4.6999999999999993</v>
      </c>
      <c r="G157" s="217"/>
      <c r="H157" s="217">
        <f t="shared" si="442"/>
        <v>70.499999999999986</v>
      </c>
      <c r="I157" s="541">
        <f t="shared" si="443"/>
        <v>18.572872971498704</v>
      </c>
      <c r="J157" s="172">
        <f t="shared" si="444"/>
        <v>15.656276217100778</v>
      </c>
      <c r="K157" s="172">
        <f t="shared" si="445"/>
        <v>34.229149188599479</v>
      </c>
      <c r="L157" s="443"/>
      <c r="M157" s="217">
        <f t="shared" si="446"/>
        <v>0.45738028276753728</v>
      </c>
      <c r="N157" s="172">
        <f t="shared" si="447"/>
        <v>212.57340035266404</v>
      </c>
      <c r="O157" s="172">
        <f t="shared" si="438"/>
        <v>70.499999999999986</v>
      </c>
      <c r="P157" s="217">
        <f t="shared" si="448"/>
        <v>14.171560023510937</v>
      </c>
      <c r="Q157" s="217">
        <f t="shared" si="449"/>
        <v>15</v>
      </c>
      <c r="R157" s="217"/>
      <c r="S157" s="172">
        <f t="shared" si="450"/>
        <v>80.311050781895901</v>
      </c>
      <c r="T157" s="172">
        <f t="shared" si="451"/>
        <v>15</v>
      </c>
      <c r="U157" s="217">
        <f t="shared" si="452"/>
        <v>17.323366072915782</v>
      </c>
      <c r="V157" s="217">
        <f t="shared" si="453"/>
        <v>11.192689100603635</v>
      </c>
      <c r="W157" s="217">
        <f t="shared" si="454"/>
        <v>13.277767330645919</v>
      </c>
      <c r="X157" s="197">
        <f t="shared" si="455"/>
        <v>70.792983047072596</v>
      </c>
      <c r="Y157" s="443">
        <f t="shared" si="328"/>
        <v>40.534312884998791</v>
      </c>
      <c r="AA157" s="217">
        <f t="shared" si="456"/>
        <v>10</v>
      </c>
      <c r="AB157" s="173">
        <f t="shared" si="457"/>
        <v>7.6646578238654461</v>
      </c>
      <c r="AC157" s="173">
        <f t="shared" si="458"/>
        <v>2.7130199569325941</v>
      </c>
      <c r="AD157" s="173"/>
      <c r="AE157" s="173">
        <f t="shared" si="459"/>
        <v>7.6646578238654461</v>
      </c>
      <c r="AF157" s="545">
        <f t="shared" si="460"/>
        <v>122.64083036728941</v>
      </c>
      <c r="AG157" s="528">
        <f t="shared" si="461"/>
        <v>2.7130199569325946</v>
      </c>
      <c r="AI157" s="173">
        <f t="shared" si="462"/>
        <v>5.9194794743961205</v>
      </c>
      <c r="AJ157" s="173">
        <f t="shared" si="463"/>
        <v>17.323366072915782</v>
      </c>
      <c r="AK157" s="173">
        <f t="shared" si="464"/>
        <v>6.6247156095672457</v>
      </c>
      <c r="AM157" s="545">
        <f t="shared" si="465"/>
        <v>4699.9999999999991</v>
      </c>
      <c r="AN157" s="460">
        <f t="shared" si="466"/>
        <v>40.534312884998791</v>
      </c>
      <c r="AP157">
        <f t="shared" si="467"/>
        <v>4699.9999999999991</v>
      </c>
      <c r="AQ157">
        <f t="shared" si="468"/>
        <v>40.534312884998791</v>
      </c>
      <c r="AS157" s="5">
        <f t="shared" si="439"/>
        <v>24.670456431249555</v>
      </c>
      <c r="AT157" s="5">
        <f t="shared" si="469"/>
        <v>11.192689100603635</v>
      </c>
      <c r="AU157" s="5">
        <f t="shared" si="343"/>
        <v>13.47776733064592</v>
      </c>
      <c r="AV157" s="5"/>
      <c r="AW157" s="173">
        <f t="shared" si="344"/>
        <v>0.45368796202838341</v>
      </c>
      <c r="AX157" s="173">
        <f t="shared" si="435"/>
        <v>72.985843516730498</v>
      </c>
      <c r="AY157" s="173">
        <f t="shared" si="436"/>
        <v>4.7319817119114909</v>
      </c>
      <c r="AZ157" s="173">
        <f t="shared" si="440"/>
        <v>15.423948772457905</v>
      </c>
      <c r="BA157" s="460">
        <f t="shared" si="433"/>
        <v>350.70425848558051</v>
      </c>
      <c r="BB157" s="5">
        <f t="shared" si="434"/>
        <v>17.641275629073515</v>
      </c>
      <c r="BD157" s="173">
        <f t="shared" si="441"/>
        <v>6.736747711981864</v>
      </c>
      <c r="BE157" s="173">
        <f t="shared" si="437"/>
        <v>7.3925120424109094</v>
      </c>
      <c r="BG157" s="528">
        <f t="shared" si="347"/>
        <v>0.90767539469785763</v>
      </c>
      <c r="BH157" s="528">
        <f t="shared" si="470"/>
        <v>0.45066359286688784</v>
      </c>
      <c r="BI157" s="528">
        <f t="shared" si="471"/>
        <v>1.8820966105001641E-2</v>
      </c>
      <c r="BJ157" s="528">
        <f t="shared" si="350"/>
        <v>4.7491405659253038E-3</v>
      </c>
      <c r="BK157">
        <f t="shared" si="351"/>
        <v>8.3577928371744159E-3</v>
      </c>
      <c r="BL157" s="460">
        <f t="shared" si="427"/>
        <v>27.178758942176056</v>
      </c>
      <c r="BM157" s="528">
        <f t="shared" si="472"/>
        <v>2.0503455353774456</v>
      </c>
      <c r="BN157" s="460">
        <f t="shared" si="353"/>
        <v>2050.3455353774457</v>
      </c>
      <c r="BO157" s="528">
        <f t="shared" si="354"/>
        <v>3.2899999999999991</v>
      </c>
      <c r="BR157" s="460">
        <f t="shared" si="355"/>
        <v>3289.9999999999991</v>
      </c>
      <c r="BS157" s="528">
        <f t="shared" si="356"/>
        <v>1.3615130920467864</v>
      </c>
      <c r="BT157" s="528">
        <f t="shared" si="357"/>
        <v>1.6394770289157095</v>
      </c>
      <c r="BU157" s="528">
        <f t="shared" si="358"/>
        <v>0.65329261718393972</v>
      </c>
      <c r="BV157" s="528"/>
      <c r="BW157" s="528">
        <f t="shared" si="359"/>
        <v>1.2164307252788416E-2</v>
      </c>
      <c r="BX157" s="460">
        <f t="shared" si="360"/>
        <v>3666.447045399224</v>
      </c>
      <c r="BY157" s="173">
        <f t="shared" si="361"/>
        <v>8.3467139324720705</v>
      </c>
      <c r="BZ157" s="5">
        <f t="shared" si="362"/>
        <v>70.499999999999986</v>
      </c>
      <c r="CA157" s="173">
        <f t="shared" si="363"/>
        <v>0.89413998990978139</v>
      </c>
      <c r="CB157" s="5">
        <f t="shared" si="364"/>
        <v>89.413998990978143</v>
      </c>
      <c r="CE157" s="562">
        <f t="shared" si="473"/>
        <v>-50</v>
      </c>
      <c r="CF157">
        <f t="shared" si="474"/>
        <v>-50</v>
      </c>
      <c r="CG157" s="173">
        <f t="shared" si="475"/>
        <v>0.55018761239383118</v>
      </c>
      <c r="CI157" s="170">
        <v>47</v>
      </c>
      <c r="CJ157" s="217">
        <f t="shared" si="428"/>
        <v>4.6999999999999993</v>
      </c>
      <c r="CK157" s="217"/>
      <c r="CL157" s="217">
        <f t="shared" si="368"/>
        <v>70.499999999999986</v>
      </c>
      <c r="CM157" s="541">
        <f t="shared" si="369"/>
        <v>19</v>
      </c>
      <c r="CN157" s="443">
        <f t="shared" si="370"/>
        <v>15.4</v>
      </c>
      <c r="CO157" s="443">
        <f t="shared" si="371"/>
        <v>34.4</v>
      </c>
      <c r="CP157" s="443"/>
      <c r="CQ157" s="217">
        <f t="shared" si="372"/>
        <v>0.44767441860465118</v>
      </c>
      <c r="CR157" s="172">
        <f t="shared" si="429"/>
        <v>212.84736191860466</v>
      </c>
      <c r="CS157" s="172">
        <f t="shared" si="373"/>
        <v>70.499999999999986</v>
      </c>
      <c r="CT157" s="217">
        <f t="shared" si="374"/>
        <v>14.189824127906977</v>
      </c>
      <c r="CU157" s="217">
        <f t="shared" si="375"/>
        <v>15</v>
      </c>
      <c r="CV157" s="217"/>
      <c r="CW157" s="172">
        <f t="shared" si="376"/>
        <v>82.155888635193207</v>
      </c>
      <c r="CX157" s="172">
        <f t="shared" si="377"/>
        <v>15</v>
      </c>
      <c r="CY157" s="217">
        <f t="shared" si="378"/>
        <v>16.576896787423099</v>
      </c>
      <c r="CZ157" s="217">
        <f t="shared" si="379"/>
        <v>10.469619023635643</v>
      </c>
      <c r="DA157" s="217">
        <f t="shared" si="380"/>
        <v>12.917062431758259</v>
      </c>
      <c r="DB157" s="197">
        <f t="shared" si="381"/>
        <v>70.881782945736433</v>
      </c>
      <c r="DC157" s="443">
        <f t="shared" si="382"/>
        <v>42.759380030353135</v>
      </c>
      <c r="DE157" s="217">
        <f t="shared" si="383"/>
        <v>10.000000000000002</v>
      </c>
      <c r="DF157" s="173">
        <f t="shared" si="384"/>
        <v>7.792207792207793</v>
      </c>
      <c r="DG157" s="173">
        <f t="shared" si="385"/>
        <v>2.7616279069767451</v>
      </c>
      <c r="DH157" s="173"/>
      <c r="DI157" s="173">
        <f t="shared" si="386"/>
        <v>7.7922077922077913</v>
      </c>
      <c r="DJ157" s="545">
        <f t="shared" si="387"/>
        <v>120.63333333333331</v>
      </c>
      <c r="DK157" s="528">
        <f t="shared" si="388"/>
        <v>2.7616279069767442</v>
      </c>
      <c r="DM157" s="173">
        <f t="shared" si="389"/>
        <v>5.8708318547431304</v>
      </c>
      <c r="DN157" s="173">
        <f t="shared" si="390"/>
        <v>16.576896787423099</v>
      </c>
      <c r="DO157" s="173">
        <f t="shared" si="391"/>
        <v>6.0717753980911846</v>
      </c>
      <c r="DQ157" s="545">
        <f t="shared" si="392"/>
        <v>4699.9999999999991</v>
      </c>
      <c r="DR157" s="460">
        <f t="shared" si="393"/>
        <v>42.759380030353135</v>
      </c>
      <c r="DT157">
        <f t="shared" si="430"/>
        <v>4699.9999999999991</v>
      </c>
      <c r="DU157">
        <f t="shared" si="431"/>
        <v>42.759380030353135</v>
      </c>
      <c r="DW157" s="5">
        <f t="shared" si="394"/>
        <v>23.386681455393902</v>
      </c>
      <c r="DX157" s="5">
        <f t="shared" si="395"/>
        <v>10.469619023635643</v>
      </c>
      <c r="DY157" s="5">
        <f t="shared" si="396"/>
        <v>12.917062431758259</v>
      </c>
      <c r="DZ157" s="5"/>
      <c r="EA157" s="173">
        <f t="shared" si="397"/>
        <v>0.44767441860465118</v>
      </c>
      <c r="EB157" s="173">
        <f t="shared" si="398"/>
        <v>70.499999999999986</v>
      </c>
      <c r="EC157" s="173">
        <f t="shared" si="399"/>
        <v>4.5779220779220768</v>
      </c>
      <c r="ED157" s="173">
        <f t="shared" si="400"/>
        <v>15.4</v>
      </c>
      <c r="EE157" s="460">
        <f t="shared" si="401"/>
        <v>328.04806274058342</v>
      </c>
      <c r="EF157" s="5">
        <f t="shared" si="402"/>
        <v>16.527275888184338</v>
      </c>
      <c r="EH157" s="173">
        <f t="shared" si="403"/>
        <v>6.4035933539359693</v>
      </c>
      <c r="EI157" s="173">
        <f t="shared" si="404"/>
        <v>7.1127932528451741</v>
      </c>
      <c r="EK157" s="528">
        <f t="shared" si="405"/>
        <v>0.82012015685145823</v>
      </c>
      <c r="EL157" s="528">
        <f t="shared" si="406"/>
        <v>0.48766666666666664</v>
      </c>
      <c r="EM157" s="528">
        <f t="shared" si="407"/>
        <v>5.344922503794142E-3</v>
      </c>
      <c r="EN157" s="528">
        <f t="shared" si="408"/>
        <v>5.0599739952718681E-3</v>
      </c>
      <c r="EO157">
        <f t="shared" si="409"/>
        <v>8.5500000000000003E-3</v>
      </c>
      <c r="EP157" s="460">
        <f t="shared" si="410"/>
        <v>13.894922503794142</v>
      </c>
      <c r="EQ157" s="460"/>
      <c r="ER157" s="460">
        <f t="shared" si="432"/>
        <v>1326.741720017191</v>
      </c>
      <c r="ES157" s="528">
        <f t="shared" si="411"/>
        <v>3.2899999999999991</v>
      </c>
      <c r="EV157" s="460">
        <f t="shared" si="412"/>
        <v>3289.9999999999991</v>
      </c>
      <c r="EW157" s="528">
        <f t="shared" si="413"/>
        <v>1.2301802352771873</v>
      </c>
      <c r="EX157" s="528">
        <f t="shared" si="414"/>
        <v>1.5177548357315951</v>
      </c>
      <c r="EY157" s="528">
        <f t="shared" si="415"/>
        <v>0.66881589702681232</v>
      </c>
      <c r="EZ157" s="528"/>
      <c r="FA157" s="528">
        <f t="shared" si="416"/>
        <v>1.1749999999999997E-2</v>
      </c>
      <c r="FB157" s="460">
        <f t="shared" si="417"/>
        <v>3428.5009680355947</v>
      </c>
      <c r="FC157" s="173">
        <f t="shared" si="418"/>
        <v>8.0452426880527845</v>
      </c>
      <c r="FD157" s="5">
        <f t="shared" si="419"/>
        <v>70.499999999999986</v>
      </c>
      <c r="FE157" s="173">
        <f t="shared" si="420"/>
        <v>0.89757186542786616</v>
      </c>
      <c r="FF157" s="5">
        <f t="shared" si="421"/>
        <v>89.757186542786613</v>
      </c>
      <c r="FI157" s="562">
        <f t="shared" si="422"/>
        <v>-50</v>
      </c>
      <c r="FJ157">
        <f t="shared" si="423"/>
        <v>-50</v>
      </c>
      <c r="FL157">
        <f t="shared" si="476"/>
        <v>0.55232558139534882</v>
      </c>
    </row>
    <row r="158" spans="5:168">
      <c r="E158" s="170">
        <v>48</v>
      </c>
      <c r="F158" s="217">
        <f t="shared" si="477"/>
        <v>4.8</v>
      </c>
      <c r="G158" s="217"/>
      <c r="H158" s="217">
        <f t="shared" si="442"/>
        <v>72</v>
      </c>
      <c r="I158" s="541">
        <f t="shared" si="443"/>
        <v>18.563820473757161</v>
      </c>
      <c r="J158" s="172">
        <f t="shared" si="444"/>
        <v>15.661707715745704</v>
      </c>
      <c r="K158" s="172">
        <f t="shared" si="445"/>
        <v>34.225528189502867</v>
      </c>
      <c r="L158" s="443"/>
      <c r="M158" s="217">
        <f t="shared" si="446"/>
        <v>0.45758737734304339</v>
      </c>
      <c r="N158" s="172">
        <f t="shared" si="447"/>
        <v>212.56599413703708</v>
      </c>
      <c r="O158" s="172">
        <f t="shared" si="438"/>
        <v>72</v>
      </c>
      <c r="P158" s="217">
        <f t="shared" si="448"/>
        <v>14.171066275802472</v>
      </c>
      <c r="Q158" s="217">
        <f t="shared" si="449"/>
        <v>15</v>
      </c>
      <c r="R158" s="217"/>
      <c r="S158" s="172">
        <f t="shared" si="450"/>
        <v>78.217196198298822</v>
      </c>
      <c r="T158" s="172">
        <f t="shared" si="451"/>
        <v>15</v>
      </c>
      <c r="U158" s="217">
        <f t="shared" si="452"/>
        <v>17.698703162502586</v>
      </c>
      <c r="V158" s="217">
        <f t="shared" si="453"/>
        <v>11.440772024824813</v>
      </c>
      <c r="W158" s="217">
        <f t="shared" si="454"/>
        <v>13.560745852542475</v>
      </c>
      <c r="X158" s="197">
        <f t="shared" si="455"/>
        <v>70.790514597213317</v>
      </c>
      <c r="Y158" s="443">
        <f t="shared" si="328"/>
        <v>39.680149619006457</v>
      </c>
      <c r="AA158" s="217">
        <f t="shared" si="456"/>
        <v>9.9999999999999982</v>
      </c>
      <c r="AB158" s="173">
        <f t="shared" si="457"/>
        <v>7.6619997115229266</v>
      </c>
      <c r="AC158" s="173">
        <f t="shared" si="458"/>
        <v>2.7119845121120392</v>
      </c>
      <c r="AD158" s="173"/>
      <c r="AE158" s="173">
        <f t="shared" si="459"/>
        <v>7.6619997115229284</v>
      </c>
      <c r="AF158" s="545">
        <f t="shared" si="460"/>
        <v>125.29366172596562</v>
      </c>
      <c r="AG158" s="528">
        <f t="shared" si="461"/>
        <v>2.7119845121120405</v>
      </c>
      <c r="AI158" s="173">
        <f t="shared" si="462"/>
        <v>5.9831587865074756</v>
      </c>
      <c r="AJ158" s="173">
        <f t="shared" si="463"/>
        <v>17.698703162502586</v>
      </c>
      <c r="AK158" s="173">
        <f t="shared" si="464"/>
        <v>6.902743083335249</v>
      </c>
      <c r="AM158" s="545">
        <f t="shared" si="465"/>
        <v>4800</v>
      </c>
      <c r="AN158" s="460">
        <f t="shared" si="466"/>
        <v>39.680149619006457</v>
      </c>
      <c r="AP158">
        <f t="shared" si="467"/>
        <v>4800</v>
      </c>
      <c r="AQ158">
        <f t="shared" si="468"/>
        <v>39.680149619006457</v>
      </c>
      <c r="AS158" s="5">
        <f t="shared" si="439"/>
        <v>25.201517877367291</v>
      </c>
      <c r="AT158" s="5">
        <f t="shared" si="469"/>
        <v>11.440772024824813</v>
      </c>
      <c r="AU158" s="5">
        <f t="shared" si="343"/>
        <v>13.760745852542478</v>
      </c>
      <c r="AV158" s="5"/>
      <c r="AW158" s="173">
        <f t="shared" si="344"/>
        <v>0.453971545701992</v>
      </c>
      <c r="AX158" s="173">
        <f t="shared" si="435"/>
        <v>74.577435016093375</v>
      </c>
      <c r="AY158" s="173">
        <f t="shared" si="436"/>
        <v>4.8319977654502768</v>
      </c>
      <c r="AZ158" s="173">
        <f t="shared" si="440"/>
        <v>15.434078953706587</v>
      </c>
      <c r="BA158" s="460">
        <f t="shared" si="433"/>
        <v>366.10470479439402</v>
      </c>
      <c r="BB158" s="5">
        <f t="shared" si="434"/>
        <v>18.403868126615546</v>
      </c>
      <c r="BD158" s="173">
        <f t="shared" si="441"/>
        <v>6.8848603318977739</v>
      </c>
      <c r="BE158" s="173">
        <f t="shared" si="437"/>
        <v>7.5507215607772764</v>
      </c>
      <c r="BG158" s="528">
        <f t="shared" si="347"/>
        <v>0.94802603579479061</v>
      </c>
      <c r="BH158" s="528">
        <f t="shared" si="470"/>
        <v>0.45067781255787898</v>
      </c>
      <c r="BI158" s="528">
        <f t="shared" si="471"/>
        <v>1.8415379347476484E-2</v>
      </c>
      <c r="BJ158" s="528">
        <f t="shared" si="350"/>
        <v>4.6480802686192256E-3</v>
      </c>
      <c r="BK158">
        <f t="shared" si="351"/>
        <v>8.3537192131907228E-3</v>
      </c>
      <c r="BL158" s="460">
        <f t="shared" si="427"/>
        <v>26.769098560667206</v>
      </c>
      <c r="BM158" s="528">
        <f t="shared" si="472"/>
        <v>2.1417503327218537</v>
      </c>
      <c r="BN158" s="460">
        <f t="shared" si="353"/>
        <v>2141.7503327218537</v>
      </c>
      <c r="BO158" s="528">
        <f t="shared" si="354"/>
        <v>3.36</v>
      </c>
      <c r="BR158" s="460">
        <f t="shared" si="355"/>
        <v>3360</v>
      </c>
      <c r="BS158" s="528">
        <f t="shared" si="356"/>
        <v>1.4220390536921859</v>
      </c>
      <c r="BT158" s="528">
        <f t="shared" si="357"/>
        <v>1.7104018826516048</v>
      </c>
      <c r="BU158" s="528">
        <f t="shared" si="358"/>
        <v>0.65351697169713274</v>
      </c>
      <c r="BV158" s="528"/>
      <c r="BW158" s="528">
        <f t="shared" si="359"/>
        <v>1.2429572502682231E-2</v>
      </c>
      <c r="BX158" s="460">
        <f t="shared" si="360"/>
        <v>3798.3874805436058</v>
      </c>
      <c r="BY158" s="173">
        <f t="shared" si="361"/>
        <v>8.5885085077255621</v>
      </c>
      <c r="BZ158" s="5">
        <f t="shared" si="362"/>
        <v>72</v>
      </c>
      <c r="CA158" s="173">
        <f t="shared" si="363"/>
        <v>0.89342762799857212</v>
      </c>
      <c r="CB158" s="5">
        <f t="shared" si="364"/>
        <v>89.342762799857212</v>
      </c>
      <c r="CE158" s="562">
        <f t="shared" si="473"/>
        <v>-50</v>
      </c>
      <c r="CF158">
        <f t="shared" si="474"/>
        <v>-50</v>
      </c>
      <c r="CG158" s="173">
        <f t="shared" si="475"/>
        <v>0.55023215341469611</v>
      </c>
      <c r="CI158" s="170">
        <v>48</v>
      </c>
      <c r="CJ158" s="217">
        <f t="shared" si="428"/>
        <v>4.8</v>
      </c>
      <c r="CK158" s="217"/>
      <c r="CL158" s="217">
        <f t="shared" si="368"/>
        <v>72</v>
      </c>
      <c r="CM158" s="541">
        <f t="shared" si="369"/>
        <v>19</v>
      </c>
      <c r="CN158" s="443">
        <f t="shared" si="370"/>
        <v>15.4</v>
      </c>
      <c r="CO158" s="443">
        <f t="shared" si="371"/>
        <v>34.4</v>
      </c>
      <c r="CP158" s="443"/>
      <c r="CQ158" s="217">
        <f t="shared" si="372"/>
        <v>0.44767441860465118</v>
      </c>
      <c r="CR158" s="172">
        <f t="shared" si="429"/>
        <v>212.84736191860466</v>
      </c>
      <c r="CS158" s="172">
        <f t="shared" si="373"/>
        <v>72</v>
      </c>
      <c r="CT158" s="217">
        <f t="shared" si="374"/>
        <v>14.189824127906977</v>
      </c>
      <c r="CU158" s="217">
        <f t="shared" si="375"/>
        <v>15</v>
      </c>
      <c r="CV158" s="217"/>
      <c r="CW158" s="172">
        <f t="shared" si="376"/>
        <v>80.052798661158775</v>
      </c>
      <c r="CX158" s="172">
        <f t="shared" si="377"/>
        <v>15</v>
      </c>
      <c r="CY158" s="217">
        <f t="shared" si="378"/>
        <v>16.929596719070403</v>
      </c>
      <c r="CZ158" s="217">
        <f t="shared" si="379"/>
        <v>10.69237687520236</v>
      </c>
      <c r="DA158" s="217">
        <f t="shared" si="380"/>
        <v>13.191893547327586</v>
      </c>
      <c r="DB158" s="197">
        <f t="shared" si="381"/>
        <v>70.881782945736433</v>
      </c>
      <c r="DC158" s="443">
        <f t="shared" si="382"/>
        <v>41.86855961305411</v>
      </c>
      <c r="DE158" s="217">
        <f t="shared" si="383"/>
        <v>10.000000000000002</v>
      </c>
      <c r="DF158" s="173">
        <f t="shared" si="384"/>
        <v>7.792207792207793</v>
      </c>
      <c r="DG158" s="173">
        <f t="shared" si="385"/>
        <v>2.7616279069767451</v>
      </c>
      <c r="DH158" s="173"/>
      <c r="DI158" s="173">
        <f t="shared" si="386"/>
        <v>7.7922077922077913</v>
      </c>
      <c r="DJ158" s="545">
        <f t="shared" si="387"/>
        <v>123.2</v>
      </c>
      <c r="DK158" s="528">
        <f t="shared" si="388"/>
        <v>2.7616279069767442</v>
      </c>
      <c r="DM158" s="173">
        <f t="shared" si="389"/>
        <v>5.9329587896765306</v>
      </c>
      <c r="DN158" s="173">
        <f t="shared" si="390"/>
        <v>16.929596719070403</v>
      </c>
      <c r="DO158" s="173">
        <f t="shared" si="391"/>
        <v>6.333034606718817</v>
      </c>
      <c r="DQ158" s="545">
        <f t="shared" si="392"/>
        <v>4800</v>
      </c>
      <c r="DR158" s="460">
        <f t="shared" si="393"/>
        <v>41.86855961305411</v>
      </c>
      <c r="DT158">
        <f t="shared" si="430"/>
        <v>4800</v>
      </c>
      <c r="DU158">
        <f t="shared" si="431"/>
        <v>41.86855961305411</v>
      </c>
      <c r="DW158" s="5">
        <f t="shared" si="394"/>
        <v>23.884270422529944</v>
      </c>
      <c r="DX158" s="5">
        <f t="shared" si="395"/>
        <v>10.69237687520236</v>
      </c>
      <c r="DY158" s="5">
        <f t="shared" si="396"/>
        <v>13.191893547327584</v>
      </c>
      <c r="DZ158" s="5"/>
      <c r="EA158" s="173">
        <f t="shared" si="397"/>
        <v>0.44767441860465118</v>
      </c>
      <c r="EB158" s="173">
        <f t="shared" si="398"/>
        <v>72.000000000000014</v>
      </c>
      <c r="EC158" s="173">
        <f t="shared" si="399"/>
        <v>4.6753246753246751</v>
      </c>
      <c r="ED158" s="173">
        <f t="shared" si="400"/>
        <v>15.400000000000004</v>
      </c>
      <c r="EE158" s="460">
        <f t="shared" si="401"/>
        <v>342.15606000647546</v>
      </c>
      <c r="EF158" s="5">
        <f t="shared" si="402"/>
        <v>17.238046014656732</v>
      </c>
      <c r="EH158" s="173">
        <f t="shared" si="403"/>
        <v>6.5398400210409919</v>
      </c>
      <c r="EI158" s="173">
        <f t="shared" si="404"/>
        <v>7.2641292795014563</v>
      </c>
      <c r="EK158" s="528">
        <f t="shared" si="405"/>
        <v>0.85539015001618879</v>
      </c>
      <c r="EL158" s="528">
        <f t="shared" si="406"/>
        <v>0.48766666666666675</v>
      </c>
      <c r="EM158" s="528">
        <f t="shared" si="407"/>
        <v>5.2335699516317643E-3</v>
      </c>
      <c r="EN158" s="528">
        <f t="shared" si="408"/>
        <v>4.9545578703703713E-3</v>
      </c>
      <c r="EO158">
        <f t="shared" si="409"/>
        <v>8.5500000000000003E-3</v>
      </c>
      <c r="EP158" s="460">
        <f t="shared" si="410"/>
        <v>13.783569951631765</v>
      </c>
      <c r="EQ158" s="460"/>
      <c r="ER158" s="460">
        <f t="shared" si="432"/>
        <v>1361.7949445048578</v>
      </c>
      <c r="ES158" s="528">
        <f t="shared" si="411"/>
        <v>3.36</v>
      </c>
      <c r="EV158" s="460">
        <f t="shared" si="412"/>
        <v>3360</v>
      </c>
      <c r="EW158" s="528">
        <f t="shared" si="413"/>
        <v>1.2830852250242832</v>
      </c>
      <c r="EX158" s="528">
        <f t="shared" si="414"/>
        <v>1.5830272256793103</v>
      </c>
      <c r="EY158" s="528">
        <f t="shared" si="415"/>
        <v>0.66881589702681288</v>
      </c>
      <c r="EZ158" s="528"/>
      <c r="FA158" s="528">
        <f t="shared" si="416"/>
        <v>1.2000000000000004E-2</v>
      </c>
      <c r="FB158" s="460">
        <f t="shared" si="417"/>
        <v>3546.9283477304066</v>
      </c>
      <c r="FC158" s="173">
        <f t="shared" si="418"/>
        <v>8.2687232922352649</v>
      </c>
      <c r="FD158" s="5">
        <f t="shared" si="419"/>
        <v>72</v>
      </c>
      <c r="FE158" s="173">
        <f t="shared" si="420"/>
        <v>0.89698698380773756</v>
      </c>
      <c r="FF158" s="5">
        <f t="shared" si="421"/>
        <v>89.698698380773749</v>
      </c>
      <c r="FI158" s="562">
        <f t="shared" si="422"/>
        <v>-50</v>
      </c>
      <c r="FJ158">
        <f t="shared" si="423"/>
        <v>-50</v>
      </c>
      <c r="FL158">
        <f t="shared" si="476"/>
        <v>0.55232558139534882</v>
      </c>
    </row>
    <row r="159" spans="5:168">
      <c r="E159" s="170">
        <v>49</v>
      </c>
      <c r="F159" s="217">
        <f t="shared" si="477"/>
        <v>4.9000000000000004</v>
      </c>
      <c r="G159" s="217"/>
      <c r="H159" s="217">
        <f t="shared" si="442"/>
        <v>73.5</v>
      </c>
      <c r="I159" s="541">
        <f t="shared" si="443"/>
        <v>18.554767970532506</v>
      </c>
      <c r="J159" s="172">
        <f t="shared" si="444"/>
        <v>15.667139217680496</v>
      </c>
      <c r="K159" s="172">
        <f t="shared" si="445"/>
        <v>34.221907188213002</v>
      </c>
      <c r="L159" s="443"/>
      <c r="M159" s="217">
        <f t="shared" si="446"/>
        <v>0.4577945158172998</v>
      </c>
      <c r="N159" s="172">
        <f t="shared" si="447"/>
        <v>212.55851441601209</v>
      </c>
      <c r="O159" s="172">
        <f t="shared" si="438"/>
        <v>73.5</v>
      </c>
      <c r="P159" s="217">
        <f t="shared" si="448"/>
        <v>14.170567627734139</v>
      </c>
      <c r="Q159" s="217">
        <f t="shared" si="449"/>
        <v>15</v>
      </c>
      <c r="R159" s="217"/>
      <c r="S159" s="172">
        <f t="shared" si="450"/>
        <v>76.209295534798358</v>
      </c>
      <c r="T159" s="172">
        <f t="shared" si="451"/>
        <v>15</v>
      </c>
      <c r="U159" s="217">
        <f t="shared" si="452"/>
        <v>18.074328434305951</v>
      </c>
      <c r="V159" s="217">
        <f t="shared" si="453"/>
        <v>11.689283399077009</v>
      </c>
      <c r="W159" s="217">
        <f t="shared" si="454"/>
        <v>13.843748893665733</v>
      </c>
      <c r="X159" s="197">
        <f t="shared" si="455"/>
        <v>70.788021677484906</v>
      </c>
      <c r="Y159" s="443">
        <f t="shared" si="328"/>
        <v>38.860558235961221</v>
      </c>
      <c r="AA159" s="217">
        <f t="shared" si="456"/>
        <v>10</v>
      </c>
      <c r="AB159" s="173">
        <f t="shared" si="457"/>
        <v>7.6593434406058636</v>
      </c>
      <c r="AC159" s="173">
        <f t="shared" si="458"/>
        <v>2.7109488475445485</v>
      </c>
      <c r="AD159" s="173"/>
      <c r="AE159" s="173">
        <f t="shared" si="459"/>
        <v>7.6593434406058636</v>
      </c>
      <c r="AF159" s="545">
        <f t="shared" si="460"/>
        <v>127.9483036110574</v>
      </c>
      <c r="AG159" s="528">
        <f t="shared" si="461"/>
        <v>2.7109488475445489</v>
      </c>
      <c r="AI159" s="173">
        <f t="shared" si="462"/>
        <v>6.0462102324173133</v>
      </c>
      <c r="AJ159" s="173">
        <f t="shared" si="463"/>
        <v>18.074328434305951</v>
      </c>
      <c r="AK159" s="173">
        <f t="shared" si="464"/>
        <v>7.1809840254118154</v>
      </c>
      <c r="AM159" s="545">
        <f t="shared" si="465"/>
        <v>4900</v>
      </c>
      <c r="AN159" s="460">
        <f t="shared" si="466"/>
        <v>38.860558235961221</v>
      </c>
      <c r="AP159">
        <f t="shared" si="467"/>
        <v>4900</v>
      </c>
      <c r="AQ159">
        <f t="shared" si="468"/>
        <v>38.860558235961221</v>
      </c>
      <c r="AS159" s="5">
        <f t="shared" si="439"/>
        <v>25.733032292742742</v>
      </c>
      <c r="AT159" s="5">
        <f t="shared" si="469"/>
        <v>11.689283399077009</v>
      </c>
      <c r="AU159" s="5">
        <f t="shared" si="343"/>
        <v>14.043748893665732</v>
      </c>
      <c r="AV159" s="5"/>
      <c r="AW159" s="173">
        <f t="shared" si="344"/>
        <v>0.45425207826648684</v>
      </c>
      <c r="AX159" s="173">
        <f t="shared" si="435"/>
        <v>76.17011737321566</v>
      </c>
      <c r="AY159" s="173">
        <f t="shared" si="436"/>
        <v>4.9320135898757078</v>
      </c>
      <c r="AZ159" s="173">
        <f t="shared" si="440"/>
        <v>15.444020172526578</v>
      </c>
      <c r="BA159" s="460">
        <f t="shared" si="433"/>
        <v>381.84992436984896</v>
      </c>
      <c r="BB159" s="5">
        <f t="shared" si="434"/>
        <v>19.183015111760881</v>
      </c>
      <c r="BD159" s="173">
        <f t="shared" si="441"/>
        <v>7.0331520060215027</v>
      </c>
      <c r="BE159" s="173">
        <f t="shared" si="437"/>
        <v>7.7089918694934365</v>
      </c>
      <c r="BG159" s="528">
        <f t="shared" si="347"/>
        <v>0.98930454279608571</v>
      </c>
      <c r="BH159" s="528">
        <f t="shared" si="470"/>
        <v>0.45068871727653304</v>
      </c>
      <c r="BI159" s="528">
        <f t="shared" si="471"/>
        <v>1.802621603184066E-2</v>
      </c>
      <c r="BJ159" s="528">
        <f t="shared" si="350"/>
        <v>4.5511112653791319E-3</v>
      </c>
      <c r="BK159">
        <f t="shared" si="351"/>
        <v>8.3496455867396267E-3</v>
      </c>
      <c r="BL159" s="460">
        <f t="shared" si="427"/>
        <v>26.375861618580284</v>
      </c>
      <c r="BM159" s="528">
        <f t="shared" si="472"/>
        <v>2.2376314767387115</v>
      </c>
      <c r="BN159" s="460">
        <f t="shared" si="353"/>
        <v>2237.6314767387116</v>
      </c>
      <c r="BO159" s="528">
        <f t="shared" si="354"/>
        <v>3.43</v>
      </c>
      <c r="BR159" s="460">
        <f t="shared" si="355"/>
        <v>3430</v>
      </c>
      <c r="BS159" s="528">
        <f t="shared" si="356"/>
        <v>1.4839568141941284</v>
      </c>
      <c r="BT159" s="528">
        <f t="shared" si="357"/>
        <v>1.7828566693174772</v>
      </c>
      <c r="BU159" s="528">
        <f t="shared" si="358"/>
        <v>0.65372939894555937</v>
      </c>
      <c r="BV159" s="528"/>
      <c r="BW159" s="528">
        <f t="shared" si="359"/>
        <v>1.2695019562202611E-2</v>
      </c>
      <c r="BX159" s="460">
        <f t="shared" si="360"/>
        <v>3933.2379020193675</v>
      </c>
      <c r="BY159" s="173">
        <f t="shared" si="361"/>
        <v>8.8341581349759473</v>
      </c>
      <c r="BZ159" s="5">
        <f t="shared" si="362"/>
        <v>73.5</v>
      </c>
      <c r="CA159" s="173">
        <f t="shared" si="363"/>
        <v>0.89270360765098833</v>
      </c>
      <c r="CB159" s="5">
        <f t="shared" si="364"/>
        <v>89.270360765098829</v>
      </c>
      <c r="CE159" s="562">
        <f t="shared" si="473"/>
        <v>-50</v>
      </c>
      <c r="CF159">
        <f t="shared" si="474"/>
        <v>-50</v>
      </c>
      <c r="CG159" s="173">
        <f t="shared" si="475"/>
        <v>0.55027487643470929</v>
      </c>
      <c r="CI159" s="170">
        <v>49</v>
      </c>
      <c r="CJ159" s="217">
        <f t="shared" si="428"/>
        <v>4.9000000000000004</v>
      </c>
      <c r="CK159" s="217"/>
      <c r="CL159" s="217">
        <f t="shared" si="368"/>
        <v>73.5</v>
      </c>
      <c r="CM159" s="541">
        <f t="shared" si="369"/>
        <v>19</v>
      </c>
      <c r="CN159" s="443">
        <f t="shared" si="370"/>
        <v>15.4</v>
      </c>
      <c r="CO159" s="443">
        <f t="shared" si="371"/>
        <v>34.4</v>
      </c>
      <c r="CP159" s="443"/>
      <c r="CQ159" s="217">
        <f t="shared" si="372"/>
        <v>0.44767441860465118</v>
      </c>
      <c r="CR159" s="172">
        <f t="shared" si="429"/>
        <v>212.84736191860466</v>
      </c>
      <c r="CS159" s="172">
        <f t="shared" si="373"/>
        <v>73.5</v>
      </c>
      <c r="CT159" s="217">
        <f t="shared" si="374"/>
        <v>14.189824127906977</v>
      </c>
      <c r="CU159" s="217">
        <f t="shared" si="375"/>
        <v>15</v>
      </c>
      <c r="CV159" s="217"/>
      <c r="CW159" s="172">
        <f t="shared" si="376"/>
        <v>78.035670200853616</v>
      </c>
      <c r="CX159" s="172">
        <f t="shared" si="377"/>
        <v>15</v>
      </c>
      <c r="CY159" s="217">
        <f t="shared" si="378"/>
        <v>17.282296650717701</v>
      </c>
      <c r="CZ159" s="217">
        <f t="shared" si="379"/>
        <v>10.915134726769075</v>
      </c>
      <c r="DA159" s="217">
        <f t="shared" si="380"/>
        <v>13.466724662896908</v>
      </c>
      <c r="DB159" s="197">
        <f t="shared" si="381"/>
        <v>70.881782945736433</v>
      </c>
      <c r="DC159" s="443">
        <f t="shared" si="382"/>
        <v>41.014099212787706</v>
      </c>
      <c r="DE159" s="217">
        <f t="shared" si="383"/>
        <v>10.000000000000002</v>
      </c>
      <c r="DF159" s="173">
        <f t="shared" si="384"/>
        <v>7.792207792207793</v>
      </c>
      <c r="DG159" s="173">
        <f t="shared" si="385"/>
        <v>2.7616279069767451</v>
      </c>
      <c r="DH159" s="173"/>
      <c r="DI159" s="173">
        <f t="shared" si="386"/>
        <v>7.7922077922077913</v>
      </c>
      <c r="DJ159" s="545">
        <f t="shared" si="387"/>
        <v>125.76666666666668</v>
      </c>
      <c r="DK159" s="528">
        <f t="shared" si="388"/>
        <v>2.7616279069767442</v>
      </c>
      <c r="DM159" s="173">
        <f t="shared" si="389"/>
        <v>5.994441870043727</v>
      </c>
      <c r="DN159" s="173">
        <f t="shared" si="390"/>
        <v>17.282296650717701</v>
      </c>
      <c r="DO159" s="173">
        <f t="shared" si="391"/>
        <v>6.594293815346445</v>
      </c>
      <c r="DQ159" s="545">
        <f t="shared" si="392"/>
        <v>4900</v>
      </c>
      <c r="DR159" s="460">
        <f t="shared" si="393"/>
        <v>41.014099212787706</v>
      </c>
      <c r="DT159">
        <f t="shared" si="430"/>
        <v>4900</v>
      </c>
      <c r="DU159">
        <f t="shared" si="431"/>
        <v>41.014099212787706</v>
      </c>
      <c r="DW159" s="5">
        <f t="shared" si="394"/>
        <v>24.38185938966598</v>
      </c>
      <c r="DX159" s="5">
        <f t="shared" si="395"/>
        <v>10.915134726769075</v>
      </c>
      <c r="DY159" s="5">
        <f t="shared" si="396"/>
        <v>13.466724662896905</v>
      </c>
      <c r="DZ159" s="5"/>
      <c r="EA159" s="173">
        <f t="shared" si="397"/>
        <v>0.44767441860465129</v>
      </c>
      <c r="EB159" s="173">
        <f t="shared" si="398"/>
        <v>73.500000000000014</v>
      </c>
      <c r="EC159" s="173">
        <f t="shared" si="399"/>
        <v>4.7727272727272707</v>
      </c>
      <c r="ED159" s="173">
        <f t="shared" si="400"/>
        <v>15.400000000000009</v>
      </c>
      <c r="EE159" s="460">
        <f t="shared" si="401"/>
        <v>356.56106774112317</v>
      </c>
      <c r="EF159" s="5">
        <f t="shared" si="402"/>
        <v>17.963779722739062</v>
      </c>
      <c r="EH159" s="173">
        <f t="shared" si="403"/>
        <v>6.6760866881460128</v>
      </c>
      <c r="EI159" s="173">
        <f t="shared" si="404"/>
        <v>7.4154653061577349</v>
      </c>
      <c r="EK159" s="528">
        <f t="shared" si="405"/>
        <v>0.89140266935280799</v>
      </c>
      <c r="EL159" s="528">
        <f t="shared" si="406"/>
        <v>0.48766666666666675</v>
      </c>
      <c r="EM159" s="528">
        <f t="shared" si="407"/>
        <v>5.1267624015984628E-3</v>
      </c>
      <c r="EN159" s="528">
        <f t="shared" si="408"/>
        <v>4.8534444444444458E-3</v>
      </c>
      <c r="EO159">
        <f t="shared" si="409"/>
        <v>8.5500000000000003E-3</v>
      </c>
      <c r="EP159" s="460">
        <f t="shared" si="410"/>
        <v>13.676762401598463</v>
      </c>
      <c r="EQ159" s="460"/>
      <c r="ER159" s="460">
        <f t="shared" si="432"/>
        <v>1397.5995428655176</v>
      </c>
      <c r="ES159" s="528">
        <f t="shared" si="411"/>
        <v>3.43</v>
      </c>
      <c r="EV159" s="460">
        <f t="shared" si="412"/>
        <v>3430</v>
      </c>
      <c r="EW159" s="528">
        <f t="shared" si="413"/>
        <v>1.3371040040292119</v>
      </c>
      <c r="EX159" s="528">
        <f t="shared" si="414"/>
        <v>1.6496737712048708</v>
      </c>
      <c r="EY159" s="528">
        <f t="shared" si="415"/>
        <v>0.66881589702681299</v>
      </c>
      <c r="EZ159" s="528"/>
      <c r="FA159" s="528">
        <f t="shared" si="416"/>
        <v>1.225E-2</v>
      </c>
      <c r="FB159" s="460">
        <f t="shared" si="417"/>
        <v>3667.8436722608953</v>
      </c>
      <c r="FC159" s="173">
        <f t="shared" si="418"/>
        <v>8.4954432151264125</v>
      </c>
      <c r="FD159" s="5">
        <f t="shared" si="419"/>
        <v>73.5</v>
      </c>
      <c r="FE159" s="173">
        <f t="shared" si="420"/>
        <v>0.8963912763684021</v>
      </c>
      <c r="FF159" s="5">
        <f t="shared" si="421"/>
        <v>89.639127636840215</v>
      </c>
      <c r="FI159" s="562">
        <f t="shared" si="422"/>
        <v>-50</v>
      </c>
      <c r="FJ159">
        <f t="shared" si="423"/>
        <v>-50</v>
      </c>
      <c r="FL159">
        <f t="shared" si="476"/>
        <v>0.55232558139534871</v>
      </c>
    </row>
    <row r="160" spans="5:168">
      <c r="E160" s="170">
        <v>50</v>
      </c>
      <c r="F160" s="217">
        <f t="shared" si="477"/>
        <v>5</v>
      </c>
      <c r="G160" s="217"/>
      <c r="H160" s="217">
        <f t="shared" si="442"/>
        <v>75</v>
      </c>
      <c r="I160" s="541">
        <f t="shared" si="443"/>
        <v>18.545715462154931</v>
      </c>
      <c r="J160" s="172">
        <f t="shared" si="444"/>
        <v>15.672570722707041</v>
      </c>
      <c r="K160" s="172">
        <f t="shared" si="445"/>
        <v>34.218286184861974</v>
      </c>
      <c r="L160" s="443"/>
      <c r="M160" s="217">
        <f t="shared" si="446"/>
        <v>0.45800169819992281</v>
      </c>
      <c r="N160" s="172">
        <f t="shared" si="447"/>
        <v>212.5509611679181</v>
      </c>
      <c r="O160" s="172">
        <f t="shared" si="438"/>
        <v>75</v>
      </c>
      <c r="P160" s="217">
        <f t="shared" si="448"/>
        <v>14.170064077861207</v>
      </c>
      <c r="Q160" s="217">
        <f t="shared" si="449"/>
        <v>15</v>
      </c>
      <c r="R160" s="217"/>
      <c r="S160" s="172">
        <f t="shared" si="450"/>
        <v>74.282193240254102</v>
      </c>
      <c r="T160" s="172">
        <f t="shared" si="451"/>
        <v>15</v>
      </c>
      <c r="U160" s="217">
        <f t="shared" si="452"/>
        <v>18.450242310332232</v>
      </c>
      <c r="V160" s="217">
        <f t="shared" si="453"/>
        <v>11.938224123830096</v>
      </c>
      <c r="W160" s="217">
        <f t="shared" si="454"/>
        <v>14.126776751640973</v>
      </c>
      <c r="X160" s="197">
        <f t="shared" si="455"/>
        <v>70.785504280167359</v>
      </c>
      <c r="Y160" s="443">
        <f t="shared" si="328"/>
        <v>38.073480550838347</v>
      </c>
      <c r="AA160" s="217">
        <f t="shared" si="456"/>
        <v>10</v>
      </c>
      <c r="AB160" s="173">
        <f t="shared" si="457"/>
        <v>7.6566890092982165</v>
      </c>
      <c r="AC160" s="173">
        <f t="shared" si="458"/>
        <v>2.7099129631979464</v>
      </c>
      <c r="AD160" s="173"/>
      <c r="AE160" s="173">
        <f t="shared" si="459"/>
        <v>7.6566890092982165</v>
      </c>
      <c r="AF160" s="545">
        <f t="shared" si="460"/>
        <v>130.60475602255866</v>
      </c>
      <c r="AG160" s="528">
        <f t="shared" si="461"/>
        <v>2.7099129631979468</v>
      </c>
      <c r="AI160" s="173">
        <f t="shared" si="462"/>
        <v>6.1086532540220277</v>
      </c>
      <c r="AJ160" s="173">
        <f t="shared" si="463"/>
        <v>18.450242310332232</v>
      </c>
      <c r="AK160" s="173">
        <f t="shared" si="464"/>
        <v>7.4594387483942457</v>
      </c>
      <c r="AM160" s="545">
        <f t="shared" si="465"/>
        <v>5000</v>
      </c>
      <c r="AN160" s="460">
        <f t="shared" si="466"/>
        <v>38.073480550838347</v>
      </c>
      <c r="AP160">
        <f t="shared" si="467"/>
        <v>5000</v>
      </c>
      <c r="AQ160">
        <f t="shared" si="468"/>
        <v>38.073480550838347</v>
      </c>
      <c r="AS160" s="5">
        <f t="shared" si="439"/>
        <v>26.26500087547107</v>
      </c>
      <c r="AT160" s="5">
        <f t="shared" si="469"/>
        <v>11.938224123830096</v>
      </c>
      <c r="AU160" s="5">
        <f t="shared" si="343"/>
        <v>14.326776751640974</v>
      </c>
      <c r="AV160" s="5"/>
      <c r="AW160" s="173">
        <f t="shared" si="344"/>
        <v>0.45452974399019436</v>
      </c>
      <c r="AX160" s="173">
        <f t="shared" si="435"/>
        <v>77.763890339988805</v>
      </c>
      <c r="AY160" s="173">
        <f t="shared" si="436"/>
        <v>5.0320291982299361</v>
      </c>
      <c r="AZ160" s="173">
        <f t="shared" si="440"/>
        <v>15.453783608279338</v>
      </c>
      <c r="BA160" s="460">
        <f t="shared" si="433"/>
        <v>397.94080412766988</v>
      </c>
      <c r="BB160" s="5">
        <f t="shared" si="434"/>
        <v>19.978743293058976</v>
      </c>
      <c r="BD160" s="173">
        <f t="shared" si="441"/>
        <v>7.1816229658287174</v>
      </c>
      <c r="BE160" s="173">
        <f t="shared" si="437"/>
        <v>7.8673230525598363</v>
      </c>
      <c r="BG160" s="528">
        <f t="shared" si="347"/>
        <v>1.0315141684663691</v>
      </c>
      <c r="BH160" s="528">
        <f t="shared" si="470"/>
        <v>0.45069649522499355</v>
      </c>
      <c r="BI160" s="528">
        <f t="shared" si="471"/>
        <v>1.7652498423743442E-2</v>
      </c>
      <c r="BJ160" s="528">
        <f t="shared" si="350"/>
        <v>4.4579899881998985E-3</v>
      </c>
      <c r="BK160">
        <f t="shared" si="351"/>
        <v>8.3455719579697187E-3</v>
      </c>
      <c r="BL160" s="460">
        <f t="shared" si="427"/>
        <v>25.998070381713159</v>
      </c>
      <c r="BM160" s="528">
        <f t="shared" si="472"/>
        <v>2.3382552310913298</v>
      </c>
      <c r="BN160" s="460">
        <f t="shared" si="353"/>
        <v>2338.2552310913297</v>
      </c>
      <c r="BO160" s="528">
        <f t="shared" si="354"/>
        <v>3.5</v>
      </c>
      <c r="BR160" s="460">
        <f t="shared" si="355"/>
        <v>3500</v>
      </c>
      <c r="BS160" s="528">
        <f t="shared" si="356"/>
        <v>1.5472712526995538</v>
      </c>
      <c r="BT160" s="528">
        <f t="shared" si="357"/>
        <v>1.8568431604001825</v>
      </c>
      <c r="BU160" s="528">
        <f t="shared" si="358"/>
        <v>0.65393057079178896</v>
      </c>
      <c r="BV160" s="528"/>
      <c r="BW160" s="528">
        <f t="shared" si="359"/>
        <v>1.2960648389998133E-2</v>
      </c>
      <c r="BX160" s="460">
        <f t="shared" si="360"/>
        <v>4071.0056322815235</v>
      </c>
      <c r="BY160" s="173">
        <f t="shared" si="361"/>
        <v>9.0836723563427988</v>
      </c>
      <c r="BZ160" s="5">
        <f t="shared" si="362"/>
        <v>75</v>
      </c>
      <c r="CA160" s="173">
        <f t="shared" si="363"/>
        <v>0.89196865334512732</v>
      </c>
      <c r="CB160" s="5">
        <f t="shared" si="364"/>
        <v>89.196865334512736</v>
      </c>
      <c r="CE160" s="562">
        <f t="shared" si="473"/>
        <v>-50</v>
      </c>
      <c r="CF160">
        <f t="shared" si="474"/>
        <v>-50</v>
      </c>
      <c r="CG160" s="173">
        <f t="shared" si="475"/>
        <v>0.55031589053392216</v>
      </c>
      <c r="CI160" s="170">
        <v>50</v>
      </c>
      <c r="CJ160" s="217">
        <f t="shared" si="428"/>
        <v>5</v>
      </c>
      <c r="CK160" s="217"/>
      <c r="CL160" s="217">
        <f t="shared" si="368"/>
        <v>75</v>
      </c>
      <c r="CM160" s="541">
        <f t="shared" si="369"/>
        <v>19</v>
      </c>
      <c r="CN160" s="443">
        <f t="shared" si="370"/>
        <v>15.4</v>
      </c>
      <c r="CO160" s="443">
        <f t="shared" si="371"/>
        <v>34.4</v>
      </c>
      <c r="CP160" s="443"/>
      <c r="CQ160" s="217">
        <f t="shared" si="372"/>
        <v>0.44767441860465118</v>
      </c>
      <c r="CR160" s="172">
        <f t="shared" si="429"/>
        <v>212.84736191860466</v>
      </c>
      <c r="CS160" s="172">
        <f t="shared" si="373"/>
        <v>75</v>
      </c>
      <c r="CT160" s="217">
        <f t="shared" si="374"/>
        <v>14.189824127906977</v>
      </c>
      <c r="CU160" s="217">
        <f t="shared" si="375"/>
        <v>15</v>
      </c>
      <c r="CV160" s="217"/>
      <c r="CW160" s="172">
        <f t="shared" si="376"/>
        <v>76.099347252923252</v>
      </c>
      <c r="CX160" s="172">
        <f t="shared" si="377"/>
        <v>15</v>
      </c>
      <c r="CY160" s="217">
        <f t="shared" si="378"/>
        <v>17.634996582365002</v>
      </c>
      <c r="CZ160" s="217">
        <f t="shared" si="379"/>
        <v>11.137892578335791</v>
      </c>
      <c r="DA160" s="217">
        <f t="shared" si="380"/>
        <v>13.741555778466234</v>
      </c>
      <c r="DB160" s="197">
        <f t="shared" si="381"/>
        <v>70.881782945736433</v>
      </c>
      <c r="DC160" s="443">
        <f t="shared" si="382"/>
        <v>40.193817228531948</v>
      </c>
      <c r="DE160" s="217">
        <f t="shared" si="383"/>
        <v>10.000000000000002</v>
      </c>
      <c r="DF160" s="173">
        <f t="shared" si="384"/>
        <v>7.792207792207793</v>
      </c>
      <c r="DG160" s="173">
        <f t="shared" si="385"/>
        <v>2.7616279069767451</v>
      </c>
      <c r="DH160" s="173"/>
      <c r="DI160" s="173">
        <f t="shared" si="386"/>
        <v>7.7922077922077913</v>
      </c>
      <c r="DJ160" s="545">
        <f t="shared" si="387"/>
        <v>128.33333333333334</v>
      </c>
      <c r="DK160" s="528">
        <f t="shared" si="388"/>
        <v>2.7616279069767442</v>
      </c>
      <c r="DM160" s="173">
        <f t="shared" si="389"/>
        <v>6.0553007081949835</v>
      </c>
      <c r="DN160" s="173">
        <f t="shared" si="390"/>
        <v>17.634996582365002</v>
      </c>
      <c r="DO160" s="173">
        <f t="shared" si="391"/>
        <v>6.8555530239740756</v>
      </c>
      <c r="DQ160" s="545">
        <f t="shared" si="392"/>
        <v>5000</v>
      </c>
      <c r="DR160" s="460">
        <f t="shared" si="393"/>
        <v>40.193817228531948</v>
      </c>
      <c r="DT160">
        <f t="shared" si="430"/>
        <v>5000</v>
      </c>
      <c r="DU160">
        <f t="shared" si="431"/>
        <v>40.193817228531948</v>
      </c>
      <c r="DW160" s="5">
        <f t="shared" si="394"/>
        <v>24.879448356802023</v>
      </c>
      <c r="DX160" s="5">
        <f t="shared" si="395"/>
        <v>11.137892578335791</v>
      </c>
      <c r="DY160" s="5">
        <f t="shared" si="396"/>
        <v>13.741555778466232</v>
      </c>
      <c r="DZ160" s="5"/>
      <c r="EA160" s="173">
        <f t="shared" si="397"/>
        <v>0.44767441860465124</v>
      </c>
      <c r="EB160" s="173">
        <f t="shared" si="398"/>
        <v>75</v>
      </c>
      <c r="EC160" s="173">
        <f t="shared" si="399"/>
        <v>4.8701298701298681</v>
      </c>
      <c r="ED160" s="173">
        <f t="shared" si="400"/>
        <v>15.400000000000006</v>
      </c>
      <c r="EE160" s="460">
        <f t="shared" si="401"/>
        <v>371.26308594452638</v>
      </c>
      <c r="EF160" s="5">
        <f t="shared" si="402"/>
        <v>18.704477012431347</v>
      </c>
      <c r="EH160" s="173">
        <f t="shared" si="403"/>
        <v>6.8123333552510328</v>
      </c>
      <c r="EI160" s="173">
        <f t="shared" si="404"/>
        <v>7.5668013328140153</v>
      </c>
      <c r="EK160" s="528">
        <f t="shared" si="405"/>
        <v>0.92815771486131582</v>
      </c>
      <c r="EL160" s="528">
        <f t="shared" si="406"/>
        <v>0.48766666666666675</v>
      </c>
      <c r="EM160" s="528">
        <f t="shared" si="407"/>
        <v>5.0242271535664929E-3</v>
      </c>
      <c r="EN160" s="528">
        <f t="shared" si="408"/>
        <v>4.7563755555555566E-3</v>
      </c>
      <c r="EO160">
        <f t="shared" si="409"/>
        <v>8.5500000000000003E-3</v>
      </c>
      <c r="EP160" s="460">
        <f t="shared" si="410"/>
        <v>13.574227153566493</v>
      </c>
      <c r="EQ160" s="460"/>
      <c r="ER160" s="460">
        <f t="shared" si="432"/>
        <v>1434.1549842371046</v>
      </c>
      <c r="ES160" s="528">
        <f t="shared" si="411"/>
        <v>3.5</v>
      </c>
      <c r="EV160" s="460">
        <f t="shared" si="412"/>
        <v>3500</v>
      </c>
      <c r="EW160" s="528">
        <f t="shared" si="413"/>
        <v>1.3922365722919736</v>
      </c>
      <c r="EX160" s="528">
        <f t="shared" si="414"/>
        <v>1.7176944723082788</v>
      </c>
      <c r="EY160" s="528">
        <f t="shared" si="415"/>
        <v>0.66881589702681288</v>
      </c>
      <c r="EZ160" s="528"/>
      <c r="FA160" s="528">
        <f t="shared" si="416"/>
        <v>1.2500000000000001E-2</v>
      </c>
      <c r="FB160" s="460">
        <f t="shared" si="417"/>
        <v>3791.2469416270651</v>
      </c>
      <c r="FC160" s="173">
        <f t="shared" si="418"/>
        <v>8.7254019258641691</v>
      </c>
      <c r="FD160" s="5">
        <f t="shared" si="419"/>
        <v>75</v>
      </c>
      <c r="FE160" s="173">
        <f t="shared" si="420"/>
        <v>0.89578548773536859</v>
      </c>
      <c r="FF160" s="5">
        <f t="shared" si="421"/>
        <v>89.578548773536852</v>
      </c>
      <c r="FI160" s="562">
        <f t="shared" si="422"/>
        <v>-50</v>
      </c>
      <c r="FJ160">
        <f t="shared" si="423"/>
        <v>-50</v>
      </c>
      <c r="FL160">
        <f t="shared" si="476"/>
        <v>0.55232558139534871</v>
      </c>
    </row>
    <row r="161" spans="5:168">
      <c r="E161" s="170">
        <v>51</v>
      </c>
      <c r="F161" s="217">
        <f t="shared" si="477"/>
        <v>5.0999999999999996</v>
      </c>
      <c r="G161" s="217"/>
      <c r="H161" s="217">
        <f t="shared" si="442"/>
        <v>76.5</v>
      </c>
      <c r="I161" s="541">
        <f t="shared" si="443"/>
        <v>18.536662948928633</v>
      </c>
      <c r="J161" s="172">
        <f t="shared" si="444"/>
        <v>15.67800223064282</v>
      </c>
      <c r="K161" s="172">
        <f t="shared" si="445"/>
        <v>34.214665179571455</v>
      </c>
      <c r="L161" s="443"/>
      <c r="M161" s="217">
        <f t="shared" si="446"/>
        <v>0.45820892450087297</v>
      </c>
      <c r="N161" s="172">
        <f t="shared" si="447"/>
        <v>212.54333437094374</v>
      </c>
      <c r="O161" s="172">
        <f t="shared" si="438"/>
        <v>76.5</v>
      </c>
      <c r="P161" s="217">
        <f t="shared" si="448"/>
        <v>14.169555624729583</v>
      </c>
      <c r="Q161" s="217">
        <f t="shared" si="449"/>
        <v>15</v>
      </c>
      <c r="R161" s="217"/>
      <c r="S161" s="172">
        <f t="shared" si="450"/>
        <v>72.431138150425483</v>
      </c>
      <c r="T161" s="172">
        <f t="shared" si="451"/>
        <v>15</v>
      </c>
      <c r="U161" s="217">
        <f t="shared" si="452"/>
        <v>18.826445213412217</v>
      </c>
      <c r="V161" s="217">
        <f t="shared" si="453"/>
        <v>12.187595101846743</v>
      </c>
      <c r="W161" s="217">
        <f t="shared" si="454"/>
        <v>14.409829724311992</v>
      </c>
      <c r="X161" s="197">
        <f t="shared" si="455"/>
        <v>70.782962397533652</v>
      </c>
      <c r="Y161" s="443">
        <f t="shared" si="328"/>
        <v>37.31701857500255</v>
      </c>
      <c r="AA161" s="217">
        <f t="shared" si="456"/>
        <v>10</v>
      </c>
      <c r="AB161" s="173">
        <f t="shared" si="457"/>
        <v>7.6540364157787106</v>
      </c>
      <c r="AC161" s="173">
        <f t="shared" si="458"/>
        <v>2.7088768590370886</v>
      </c>
      <c r="AD161" s="173"/>
      <c r="AE161" s="173">
        <f t="shared" si="459"/>
        <v>7.6540364157787106</v>
      </c>
      <c r="AF161" s="545">
        <f t="shared" si="460"/>
        <v>133.26301896046397</v>
      </c>
      <c r="AG161" s="528">
        <f t="shared" si="461"/>
        <v>2.7088768590370886</v>
      </c>
      <c r="AI161" s="173">
        <f t="shared" si="462"/>
        <v>6.1705063223708212</v>
      </c>
      <c r="AJ161" s="173">
        <f t="shared" si="463"/>
        <v>18.826445213412217</v>
      </c>
      <c r="AK161" s="173">
        <f t="shared" si="464"/>
        <v>7.7381075654905311</v>
      </c>
      <c r="AM161" s="545">
        <f t="shared" si="465"/>
        <v>5100</v>
      </c>
      <c r="AN161" s="460">
        <f t="shared" si="466"/>
        <v>37.31701857500255</v>
      </c>
      <c r="AP161">
        <f t="shared" si="467"/>
        <v>5100</v>
      </c>
      <c r="AQ161">
        <f t="shared" si="468"/>
        <v>37.31701857500255</v>
      </c>
      <c r="AS161" s="5">
        <f t="shared" si="439"/>
        <v>26.797424826158736</v>
      </c>
      <c r="AT161" s="5">
        <f t="shared" si="469"/>
        <v>12.187595101846743</v>
      </c>
      <c r="AU161" s="5">
        <f t="shared" si="343"/>
        <v>14.609829724311993</v>
      </c>
      <c r="AV161" s="5"/>
      <c r="AW161" s="173">
        <f t="shared" si="344"/>
        <v>0.454804712800225</v>
      </c>
      <c r="AX161" s="173">
        <f t="shared" si="435"/>
        <v>79.35875368762099</v>
      </c>
      <c r="AY161" s="173">
        <f t="shared" si="436"/>
        <v>5.1320446025385511</v>
      </c>
      <c r="AZ161" s="173">
        <f t="shared" si="440"/>
        <v>15.463379575533386</v>
      </c>
      <c r="BA161" s="460">
        <f t="shared" si="433"/>
        <v>414.37823346278924</v>
      </c>
      <c r="BB161" s="5">
        <f t="shared" si="434"/>
        <v>20.791079464763516</v>
      </c>
      <c r="BD161" s="173">
        <f t="shared" si="441"/>
        <v>7.3302734439367256</v>
      </c>
      <c r="BE161" s="173">
        <f t="shared" si="437"/>
        <v>8.0257151931558894</v>
      </c>
      <c r="BG161" s="528">
        <f t="shared" si="347"/>
        <v>1.0746581752576798</v>
      </c>
      <c r="BH161" s="528">
        <f t="shared" si="470"/>
        <v>0.45070131995691093</v>
      </c>
      <c r="BI161" s="528">
        <f t="shared" si="471"/>
        <v>1.729332488959328E-2</v>
      </c>
      <c r="BJ161" s="528">
        <f t="shared" si="350"/>
        <v>4.3684918268991173E-3</v>
      </c>
      <c r="BK161">
        <f t="shared" si="351"/>
        <v>8.3414983270178843E-3</v>
      </c>
      <c r="BL161" s="460">
        <f t="shared" si="427"/>
        <v>25.634823216611164</v>
      </c>
      <c r="BM161" s="528">
        <f t="shared" si="472"/>
        <v>2.4439109375498287</v>
      </c>
      <c r="BN161" s="460">
        <f t="shared" si="353"/>
        <v>2443.9109375498288</v>
      </c>
      <c r="BO161" s="528">
        <f t="shared" si="354"/>
        <v>3.5699999999999994</v>
      </c>
      <c r="BR161" s="460">
        <f t="shared" si="355"/>
        <v>3569.9999999999995</v>
      </c>
      <c r="BS161" s="528">
        <f t="shared" si="356"/>
        <v>1.6119872628865195</v>
      </c>
      <c r="BT161" s="528">
        <f t="shared" si="357"/>
        <v>1.9323631308495983</v>
      </c>
      <c r="BU161" s="528">
        <f t="shared" si="358"/>
        <v>0.65412110710259885</v>
      </c>
      <c r="BV161" s="528"/>
      <c r="BW161" s="528">
        <f t="shared" si="359"/>
        <v>1.3226458947936833E-2</v>
      </c>
      <c r="BX161" s="460">
        <f t="shared" si="360"/>
        <v>4211.6979597866539</v>
      </c>
      <c r="BY161" s="173">
        <f t="shared" si="361"/>
        <v>9.3370607700447543</v>
      </c>
      <c r="BZ161" s="5">
        <f t="shared" si="362"/>
        <v>76.5</v>
      </c>
      <c r="CA161" s="173">
        <f t="shared" si="363"/>
        <v>0.89122343325503073</v>
      </c>
      <c r="CB161" s="5">
        <f t="shared" si="364"/>
        <v>89.122343325503067</v>
      </c>
      <c r="CE161" s="562">
        <f t="shared" si="473"/>
        <v>-50</v>
      </c>
      <c r="CF161">
        <f t="shared" si="474"/>
        <v>-50</v>
      </c>
      <c r="CG161" s="173">
        <f t="shared" si="475"/>
        <v>0.55035529623708757</v>
      </c>
      <c r="CI161" s="170">
        <v>51</v>
      </c>
      <c r="CJ161" s="217">
        <f t="shared" si="428"/>
        <v>5.0999999999999996</v>
      </c>
      <c r="CK161" s="217"/>
      <c r="CL161" s="217">
        <f t="shared" si="368"/>
        <v>76.5</v>
      </c>
      <c r="CM161" s="541">
        <f t="shared" si="369"/>
        <v>19</v>
      </c>
      <c r="CN161" s="443">
        <f t="shared" si="370"/>
        <v>15.4</v>
      </c>
      <c r="CO161" s="443">
        <f t="shared" si="371"/>
        <v>34.4</v>
      </c>
      <c r="CP161" s="443"/>
      <c r="CQ161" s="217">
        <f t="shared" si="372"/>
        <v>0.44767441860465118</v>
      </c>
      <c r="CR161" s="172">
        <f t="shared" si="429"/>
        <v>212.84736191860466</v>
      </c>
      <c r="CS161" s="172">
        <f t="shared" si="373"/>
        <v>76.5</v>
      </c>
      <c r="CT161" s="217">
        <f t="shared" si="374"/>
        <v>14.189824127906977</v>
      </c>
      <c r="CU161" s="217">
        <f t="shared" si="375"/>
        <v>15</v>
      </c>
      <c r="CV161" s="217"/>
      <c r="CW161" s="172">
        <f t="shared" si="376"/>
        <v>74.239078238734749</v>
      </c>
      <c r="CX161" s="172">
        <f t="shared" si="377"/>
        <v>15</v>
      </c>
      <c r="CY161" s="217">
        <f t="shared" si="378"/>
        <v>17.987696514012303</v>
      </c>
      <c r="CZ161" s="217">
        <f t="shared" si="379"/>
        <v>11.360650429902506</v>
      </c>
      <c r="DA161" s="217">
        <f t="shared" si="380"/>
        <v>14.016386894035561</v>
      </c>
      <c r="DB161" s="197">
        <f t="shared" si="381"/>
        <v>70.881782945736433</v>
      </c>
      <c r="DC161" s="443">
        <f t="shared" si="382"/>
        <v>39.405703165227386</v>
      </c>
      <c r="DE161" s="217">
        <f t="shared" si="383"/>
        <v>10.000000000000002</v>
      </c>
      <c r="DF161" s="173">
        <f t="shared" si="384"/>
        <v>7.792207792207793</v>
      </c>
      <c r="DG161" s="173">
        <f t="shared" si="385"/>
        <v>2.7616279069767451</v>
      </c>
      <c r="DH161" s="173"/>
      <c r="DI161" s="173">
        <f t="shared" si="386"/>
        <v>7.7922077922077913</v>
      </c>
      <c r="DJ161" s="545">
        <f t="shared" si="387"/>
        <v>130.9</v>
      </c>
      <c r="DK161" s="528">
        <f t="shared" si="388"/>
        <v>2.7616279069767442</v>
      </c>
      <c r="DM161" s="173">
        <f t="shared" si="389"/>
        <v>6.1155539405682617</v>
      </c>
      <c r="DN161" s="173">
        <f t="shared" si="390"/>
        <v>17.987696514012303</v>
      </c>
      <c r="DO161" s="173">
        <f t="shared" si="391"/>
        <v>7.1168122326017063</v>
      </c>
      <c r="DQ161" s="545">
        <f t="shared" si="392"/>
        <v>5100</v>
      </c>
      <c r="DR161" s="460">
        <f t="shared" si="393"/>
        <v>39.405703165227386</v>
      </c>
      <c r="DT161">
        <f t="shared" si="430"/>
        <v>5100</v>
      </c>
      <c r="DU161">
        <f t="shared" si="431"/>
        <v>39.405703165227386</v>
      </c>
      <c r="DW161" s="5">
        <f t="shared" si="394"/>
        <v>25.377037323938072</v>
      </c>
      <c r="DX161" s="5">
        <f t="shared" si="395"/>
        <v>11.360650429902506</v>
      </c>
      <c r="DY161" s="5">
        <f t="shared" si="396"/>
        <v>14.016386894035566</v>
      </c>
      <c r="DZ161" s="5"/>
      <c r="EA161" s="173">
        <f t="shared" si="397"/>
        <v>0.44767441860465107</v>
      </c>
      <c r="EB161" s="173">
        <f t="shared" si="398"/>
        <v>76.499999999999986</v>
      </c>
      <c r="EC161" s="173">
        <f t="shared" si="399"/>
        <v>4.9675324675324681</v>
      </c>
      <c r="ED161" s="173">
        <f t="shared" si="400"/>
        <v>15.399999999999995</v>
      </c>
      <c r="EE161" s="460">
        <f t="shared" si="401"/>
        <v>386.26211461668521</v>
      </c>
      <c r="EF161" s="5">
        <f t="shared" si="402"/>
        <v>19.460137883733587</v>
      </c>
      <c r="EH161" s="173">
        <f t="shared" si="403"/>
        <v>6.9485800223560528</v>
      </c>
      <c r="EI161" s="173">
        <f t="shared" si="404"/>
        <v>7.7181373594702976</v>
      </c>
      <c r="EK161" s="528">
        <f t="shared" si="405"/>
        <v>0.96565528654171295</v>
      </c>
      <c r="EL161" s="528">
        <f t="shared" si="406"/>
        <v>0.48766666666666658</v>
      </c>
      <c r="EM161" s="528">
        <f t="shared" si="407"/>
        <v>4.9257128956534234E-3</v>
      </c>
      <c r="EN161" s="528">
        <f t="shared" si="408"/>
        <v>4.6631132897603485E-3</v>
      </c>
      <c r="EO161">
        <f t="shared" si="409"/>
        <v>8.5500000000000003E-3</v>
      </c>
      <c r="EP161" s="460">
        <f t="shared" si="410"/>
        <v>13.475712895653423</v>
      </c>
      <c r="EQ161" s="460"/>
      <c r="ER161" s="460">
        <f t="shared" si="432"/>
        <v>1471.4607793937935</v>
      </c>
      <c r="ES161" s="528">
        <f t="shared" si="411"/>
        <v>3.5699999999999994</v>
      </c>
      <c r="EV161" s="460">
        <f t="shared" si="412"/>
        <v>3569.9999999999995</v>
      </c>
      <c r="EW161" s="528">
        <f t="shared" si="413"/>
        <v>1.4484829298125692</v>
      </c>
      <c r="EX161" s="528">
        <f t="shared" si="414"/>
        <v>1.787089328989534</v>
      </c>
      <c r="EY161" s="528">
        <f t="shared" si="415"/>
        <v>0.66881589702681166</v>
      </c>
      <c r="EZ161" s="528"/>
      <c r="FA161" s="528">
        <f t="shared" si="416"/>
        <v>1.2749999999999999E-2</v>
      </c>
      <c r="FB161" s="460">
        <f t="shared" si="417"/>
        <v>3917.1381558289149</v>
      </c>
      <c r="FC161" s="173">
        <f t="shared" si="418"/>
        <v>8.9585989352227084</v>
      </c>
      <c r="FD161" s="5">
        <f t="shared" si="419"/>
        <v>76.5</v>
      </c>
      <c r="FE161" s="173">
        <f t="shared" si="420"/>
        <v>0.89517030413740706</v>
      </c>
      <c r="FF161" s="5">
        <f t="shared" si="421"/>
        <v>89.517030413740713</v>
      </c>
      <c r="FI161" s="562">
        <f t="shared" si="422"/>
        <v>-50</v>
      </c>
      <c r="FJ161">
        <f t="shared" si="423"/>
        <v>-50</v>
      </c>
      <c r="FL161">
        <f t="shared" si="476"/>
        <v>0.55232558139534893</v>
      </c>
    </row>
    <row r="162" spans="5:168">
      <c r="E162" s="170">
        <v>52</v>
      </c>
      <c r="F162" s="217">
        <f t="shared" si="477"/>
        <v>5.2</v>
      </c>
      <c r="G162" s="217"/>
      <c r="H162" s="217">
        <f t="shared" si="442"/>
        <v>78</v>
      </c>
      <c r="I162" s="541">
        <f t="shared" si="443"/>
        <v>18.527610431134331</v>
      </c>
      <c r="J162" s="172">
        <f t="shared" si="444"/>
        <v>15.683433741319403</v>
      </c>
      <c r="K162" s="172">
        <f t="shared" si="445"/>
        <v>34.211044172453732</v>
      </c>
      <c r="L162" s="443"/>
      <c r="M162" s="217">
        <f t="shared" si="446"/>
        <v>0.45841619473042194</v>
      </c>
      <c r="N162" s="172">
        <f t="shared" si="447"/>
        <v>212.53563400314988</v>
      </c>
      <c r="O162" s="172">
        <f t="shared" si="438"/>
        <v>78</v>
      </c>
      <c r="P162" s="217">
        <f t="shared" si="448"/>
        <v>14.169042266876659</v>
      </c>
      <c r="Q162" s="217">
        <f t="shared" si="449"/>
        <v>15</v>
      </c>
      <c r="R162" s="217"/>
      <c r="S162" s="172">
        <f t="shared" si="450"/>
        <v>70.651744605271958</v>
      </c>
      <c r="T162" s="172">
        <f t="shared" si="451"/>
        <v>15</v>
      </c>
      <c r="U162" s="217">
        <f t="shared" si="452"/>
        <v>19.202937567203126</v>
      </c>
      <c r="V162" s="217">
        <f t="shared" si="453"/>
        <v>12.437397238189305</v>
      </c>
      <c r="W162" s="217">
        <f t="shared" si="454"/>
        <v>14.692908109742278</v>
      </c>
      <c r="X162" s="197">
        <f t="shared" si="455"/>
        <v>70.780396021850009</v>
      </c>
      <c r="Y162" s="443">
        <f t="shared" si="328"/>
        <v>36.589419227827328</v>
      </c>
      <c r="AA162" s="217">
        <f t="shared" si="456"/>
        <v>9.9999999999999982</v>
      </c>
      <c r="AB162" s="173">
        <f t="shared" si="457"/>
        <v>7.6513856582215967</v>
      </c>
      <c r="AC162" s="173">
        <f t="shared" si="458"/>
        <v>2.7078405350241401</v>
      </c>
      <c r="AD162" s="173"/>
      <c r="AE162" s="173">
        <f t="shared" si="459"/>
        <v>7.6513856582215984</v>
      </c>
      <c r="AF162" s="545">
        <f t="shared" si="460"/>
        <v>135.92309242476816</v>
      </c>
      <c r="AG162" s="528">
        <f t="shared" si="461"/>
        <v>2.7078405350241415</v>
      </c>
      <c r="AI162" s="173">
        <f t="shared" si="462"/>
        <v>6.2317870040799273</v>
      </c>
      <c r="AJ162" s="173">
        <f t="shared" si="463"/>
        <v>19.202937567203126</v>
      </c>
      <c r="AK162" s="173">
        <f t="shared" si="464"/>
        <v>8.0169907905208326</v>
      </c>
      <c r="AM162" s="545">
        <f t="shared" si="465"/>
        <v>5200</v>
      </c>
      <c r="AN162" s="460">
        <f t="shared" si="466"/>
        <v>36.589419227827328</v>
      </c>
      <c r="AP162">
        <f t="shared" si="467"/>
        <v>5200</v>
      </c>
      <c r="AQ162">
        <f t="shared" si="468"/>
        <v>36.589419227827328</v>
      </c>
      <c r="AS162" s="5">
        <f t="shared" si="439"/>
        <v>27.330305347931585</v>
      </c>
      <c r="AT162" s="5">
        <f t="shared" si="469"/>
        <v>12.437397238189305</v>
      </c>
      <c r="AU162" s="5">
        <f t="shared" si="343"/>
        <v>14.89290810974228</v>
      </c>
      <c r="AV162" s="5"/>
      <c r="AW162" s="173">
        <f t="shared" si="344"/>
        <v>0.45507714165113028</v>
      </c>
      <c r="AX162" s="173">
        <f t="shared" si="435"/>
        <v>80.954707204793607</v>
      </c>
      <c r="AY162" s="173">
        <f t="shared" si="436"/>
        <v>5.2320598139076084</v>
      </c>
      <c r="AZ162" s="173">
        <f t="shared" si="440"/>
        <v>15.472817606099174</v>
      </c>
      <c r="BA162" s="460">
        <f t="shared" si="433"/>
        <v>431.16310425722929</v>
      </c>
      <c r="BB162" s="5">
        <f t="shared" si="434"/>
        <v>21.620050507074058</v>
      </c>
      <c r="BD162" s="173">
        <f t="shared" si="441"/>
        <v>7.4791036740423351</v>
      </c>
      <c r="BE162" s="173">
        <f t="shared" si="437"/>
        <v>8.1841683737298645</v>
      </c>
      <c r="BG162" s="528">
        <f t="shared" si="347"/>
        <v>1.1187398353414713</v>
      </c>
      <c r="BH162" s="528">
        <f t="shared" si="470"/>
        <v>0.45070335177542448</v>
      </c>
      <c r="BI162" s="528">
        <f t="shared" si="471"/>
        <v>1.6947862633866016E-2</v>
      </c>
      <c r="BJ162" s="528">
        <f t="shared" si="350"/>
        <v>4.2824093198730344E-3</v>
      </c>
      <c r="BK162">
        <f t="shared" si="351"/>
        <v>8.3374246940104493E-3</v>
      </c>
      <c r="BL162" s="460">
        <f t="shared" si="427"/>
        <v>25.285287327876464</v>
      </c>
      <c r="BM162" s="528">
        <f t="shared" si="472"/>
        <v>2.5549135184577536</v>
      </c>
      <c r="BN162" s="460">
        <f t="shared" si="353"/>
        <v>2554.9135184577535</v>
      </c>
      <c r="BO162" s="528">
        <f t="shared" si="354"/>
        <v>3.6399999999999997</v>
      </c>
      <c r="BR162" s="460">
        <f t="shared" si="355"/>
        <v>3639.9999999999995</v>
      </c>
      <c r="BS162" s="528">
        <f t="shared" si="356"/>
        <v>1.6781097530122067</v>
      </c>
      <c r="BT162" s="528">
        <f t="shared" si="357"/>
        <v>2.009418359086804</v>
      </c>
      <c r="BU162" s="528">
        <f t="shared" si="358"/>
        <v>0.65430158068284916</v>
      </c>
      <c r="BV162" s="528"/>
      <c r="BW162" s="528">
        <f t="shared" si="359"/>
        <v>1.3492451200798936E-2</v>
      </c>
      <c r="BX162" s="460">
        <f t="shared" si="360"/>
        <v>4355.3221439826575</v>
      </c>
      <c r="BY162" s="173">
        <f t="shared" si="361"/>
        <v>9.5943330277473038</v>
      </c>
      <c r="BZ162" s="5">
        <f t="shared" si="362"/>
        <v>78</v>
      </c>
      <c r="CA162" s="173">
        <f t="shared" si="363"/>
        <v>0.89046856461926482</v>
      </c>
      <c r="CB162" s="5">
        <f t="shared" si="364"/>
        <v>89.046856461926481</v>
      </c>
      <c r="CE162" s="562">
        <f t="shared" si="473"/>
        <v>-50</v>
      </c>
      <c r="CF162">
        <f t="shared" si="474"/>
        <v>-50</v>
      </c>
      <c r="CG162" s="173">
        <f t="shared" si="475"/>
        <v>0.55039318633628487</v>
      </c>
      <c r="CI162" s="170">
        <v>52</v>
      </c>
      <c r="CJ162" s="217">
        <f t="shared" si="428"/>
        <v>5.2</v>
      </c>
      <c r="CK162" s="217"/>
      <c r="CL162" s="217">
        <f t="shared" si="368"/>
        <v>78</v>
      </c>
      <c r="CM162" s="541">
        <f t="shared" si="369"/>
        <v>19</v>
      </c>
      <c r="CN162" s="443">
        <f t="shared" si="370"/>
        <v>15.4</v>
      </c>
      <c r="CO162" s="443">
        <f t="shared" si="371"/>
        <v>34.4</v>
      </c>
      <c r="CP162" s="443"/>
      <c r="CQ162" s="217">
        <f t="shared" si="372"/>
        <v>0.44767441860465118</v>
      </c>
      <c r="CR162" s="172">
        <f t="shared" si="429"/>
        <v>212.84736191860466</v>
      </c>
      <c r="CS162" s="172">
        <f t="shared" si="373"/>
        <v>78</v>
      </c>
      <c r="CT162" s="217">
        <f t="shared" si="374"/>
        <v>14.189824127906977</v>
      </c>
      <c r="CU162" s="217">
        <f t="shared" si="375"/>
        <v>15</v>
      </c>
      <c r="CV162" s="217"/>
      <c r="CW162" s="172">
        <f t="shared" si="376"/>
        <v>72.450477116238602</v>
      </c>
      <c r="CX162" s="172">
        <f t="shared" si="377"/>
        <v>15</v>
      </c>
      <c r="CY162" s="217">
        <f t="shared" si="378"/>
        <v>18.340396445659604</v>
      </c>
      <c r="CZ162" s="217">
        <f t="shared" si="379"/>
        <v>11.583408281469225</v>
      </c>
      <c r="DA162" s="217">
        <f t="shared" si="380"/>
        <v>14.291218009604886</v>
      </c>
      <c r="DB162" s="197">
        <f t="shared" si="381"/>
        <v>70.881782945736433</v>
      </c>
      <c r="DC162" s="443">
        <f t="shared" si="382"/>
        <v>38.647901181280702</v>
      </c>
      <c r="DE162" s="217">
        <f t="shared" si="383"/>
        <v>10.000000000000002</v>
      </c>
      <c r="DF162" s="173">
        <f t="shared" si="384"/>
        <v>7.792207792207793</v>
      </c>
      <c r="DG162" s="173">
        <f t="shared" si="385"/>
        <v>2.7616279069767451</v>
      </c>
      <c r="DH162" s="173"/>
      <c r="DI162" s="173">
        <f t="shared" si="386"/>
        <v>7.7922077922077913</v>
      </c>
      <c r="DJ162" s="545">
        <f t="shared" si="387"/>
        <v>133.4666666666667</v>
      </c>
      <c r="DK162" s="528">
        <f t="shared" si="388"/>
        <v>2.7616279069767442</v>
      </c>
      <c r="DM162" s="173">
        <f t="shared" si="389"/>
        <v>6.1752192943516864</v>
      </c>
      <c r="DN162" s="173">
        <f t="shared" si="390"/>
        <v>18.340396445659604</v>
      </c>
      <c r="DO162" s="173">
        <f t="shared" si="391"/>
        <v>7.378071441229336</v>
      </c>
      <c r="DQ162" s="545">
        <f t="shared" si="392"/>
        <v>5200</v>
      </c>
      <c r="DR162" s="460">
        <f t="shared" si="393"/>
        <v>38.647901181280702</v>
      </c>
      <c r="DT162">
        <f t="shared" si="430"/>
        <v>5200</v>
      </c>
      <c r="DU162">
        <f t="shared" si="431"/>
        <v>38.647901181280702</v>
      </c>
      <c r="DW162" s="5">
        <f t="shared" si="394"/>
        <v>25.874626291074115</v>
      </c>
      <c r="DX162" s="5">
        <f t="shared" si="395"/>
        <v>11.583408281469225</v>
      </c>
      <c r="DY162" s="5">
        <f t="shared" si="396"/>
        <v>14.29121800960489</v>
      </c>
      <c r="DZ162" s="5"/>
      <c r="EA162" s="173">
        <f t="shared" si="397"/>
        <v>0.44767441860465113</v>
      </c>
      <c r="EB162" s="173">
        <f t="shared" si="398"/>
        <v>77.999999999999986</v>
      </c>
      <c r="EC162" s="173">
        <f t="shared" si="399"/>
        <v>5.0649350649350655</v>
      </c>
      <c r="ED162" s="173">
        <f t="shared" si="400"/>
        <v>15.399999999999995</v>
      </c>
      <c r="EE162" s="460">
        <f t="shared" si="401"/>
        <v>401.55815375759977</v>
      </c>
      <c r="EF162" s="5">
        <f t="shared" si="402"/>
        <v>20.230762336645761</v>
      </c>
      <c r="EH162" s="173">
        <f t="shared" si="403"/>
        <v>7.0848266894610736</v>
      </c>
      <c r="EI162" s="173">
        <f t="shared" si="404"/>
        <v>7.869473386126578</v>
      </c>
      <c r="EK162" s="528">
        <f t="shared" si="405"/>
        <v>1.0038953843939991</v>
      </c>
      <c r="EL162" s="528">
        <f t="shared" si="406"/>
        <v>0.48766666666666653</v>
      </c>
      <c r="EM162" s="528">
        <f t="shared" si="407"/>
        <v>4.8309876476600871E-3</v>
      </c>
      <c r="EN162" s="528">
        <f t="shared" si="408"/>
        <v>4.5734380341880326E-3</v>
      </c>
      <c r="EO162">
        <f t="shared" si="409"/>
        <v>8.5500000000000003E-3</v>
      </c>
      <c r="EP162" s="460">
        <f t="shared" si="410"/>
        <v>13.380987647660087</v>
      </c>
      <c r="EQ162" s="460"/>
      <c r="ER162" s="460">
        <f t="shared" si="432"/>
        <v>1509.5164767425135</v>
      </c>
      <c r="ES162" s="528">
        <f t="shared" si="411"/>
        <v>3.6399999999999997</v>
      </c>
      <c r="EV162" s="460">
        <f t="shared" si="412"/>
        <v>3639.9999999999995</v>
      </c>
      <c r="EW162" s="528">
        <f t="shared" si="413"/>
        <v>1.5058430765909987</v>
      </c>
      <c r="EX162" s="528">
        <f t="shared" si="414"/>
        <v>1.8578583412486351</v>
      </c>
      <c r="EY162" s="528">
        <f t="shared" si="415"/>
        <v>0.66881589702681232</v>
      </c>
      <c r="EZ162" s="528"/>
      <c r="FA162" s="528">
        <f t="shared" si="416"/>
        <v>1.2999999999999999E-2</v>
      </c>
      <c r="FB162" s="460">
        <f t="shared" si="417"/>
        <v>4045.5173148664462</v>
      </c>
      <c r="FC162" s="173">
        <f t="shared" si="418"/>
        <v>9.1950337916089602</v>
      </c>
      <c r="FD162" s="5">
        <f t="shared" si="419"/>
        <v>78</v>
      </c>
      <c r="FE162" s="173">
        <f t="shared" si="420"/>
        <v>0.89454635898663037</v>
      </c>
      <c r="FF162" s="5">
        <f t="shared" si="421"/>
        <v>89.454635898663042</v>
      </c>
      <c r="FI162" s="562">
        <f t="shared" si="422"/>
        <v>-50</v>
      </c>
      <c r="FJ162">
        <f t="shared" si="423"/>
        <v>-50</v>
      </c>
      <c r="FL162">
        <f t="shared" si="476"/>
        <v>0.55232558139534893</v>
      </c>
    </row>
    <row r="163" spans="5:168">
      <c r="E163" s="170">
        <v>53</v>
      </c>
      <c r="F163" s="217">
        <f t="shared" si="477"/>
        <v>5.3000000000000007</v>
      </c>
      <c r="G163" s="217"/>
      <c r="H163" s="217">
        <f t="shared" si="442"/>
        <v>79.500000000000014</v>
      </c>
      <c r="I163" s="541">
        <f t="shared" si="443"/>
        <v>18.518557909031475</v>
      </c>
      <c r="J163" s="172">
        <f t="shared" si="444"/>
        <v>15.688865254581115</v>
      </c>
      <c r="K163" s="172">
        <f t="shared" si="445"/>
        <v>34.207423163612589</v>
      </c>
      <c r="L163" s="443"/>
      <c r="M163" s="217">
        <f t="shared" si="446"/>
        <v>0.45862350889912479</v>
      </c>
      <c r="N163" s="172">
        <f t="shared" si="447"/>
        <v>212.52786004248117</v>
      </c>
      <c r="O163" s="172">
        <f t="shared" si="438"/>
        <v>79.500000000000014</v>
      </c>
      <c r="P163" s="217">
        <f t="shared" si="448"/>
        <v>14.168524002832077</v>
      </c>
      <c r="Q163" s="217">
        <f t="shared" si="449"/>
        <v>15</v>
      </c>
      <c r="R163" s="217"/>
      <c r="S163" s="172">
        <f t="shared" si="450"/>
        <v>68.93995796808241</v>
      </c>
      <c r="T163" s="172">
        <f t="shared" si="451"/>
        <v>15</v>
      </c>
      <c r="U163" s="217">
        <f t="shared" si="452"/>
        <v>19.579719796190581</v>
      </c>
      <c r="V163" s="217">
        <f t="shared" si="453"/>
        <v>12.687631440226722</v>
      </c>
      <c r="W163" s="217">
        <f t="shared" si="454"/>
        <v>14.976012206216135</v>
      </c>
      <c r="X163" s="197">
        <f t="shared" si="455"/>
        <v>70.777805145376249</v>
      </c>
      <c r="Y163" s="443">
        <f t="shared" si="328"/>
        <v>35.889060766381952</v>
      </c>
      <c r="AA163" s="217">
        <f t="shared" si="456"/>
        <v>10</v>
      </c>
      <c r="AB163" s="173">
        <f t="shared" si="457"/>
        <v>7.6487367347973283</v>
      </c>
      <c r="AC163" s="173">
        <f t="shared" si="458"/>
        <v>2.7068039911188331</v>
      </c>
      <c r="AD163" s="173"/>
      <c r="AE163" s="173">
        <f t="shared" si="459"/>
        <v>7.6487367347973283</v>
      </c>
      <c r="AF163" s="545">
        <f t="shared" si="460"/>
        <v>138.58497641546654</v>
      </c>
      <c r="AG163" s="528">
        <f t="shared" si="461"/>
        <v>2.7068039911188331</v>
      </c>
      <c r="AI163" s="173">
        <f t="shared" si="462"/>
        <v>6.2925120220207882</v>
      </c>
      <c r="AJ163" s="173">
        <f t="shared" si="463"/>
        <v>19.579719796190581</v>
      </c>
      <c r="AK163" s="173">
        <f t="shared" si="464"/>
        <v>8.2960887379189483</v>
      </c>
      <c r="AM163" s="545">
        <f t="shared" si="465"/>
        <v>5300.0000000000009</v>
      </c>
      <c r="AN163" s="460">
        <f t="shared" si="466"/>
        <v>35.889060766381952</v>
      </c>
      <c r="AP163">
        <f t="shared" si="467"/>
        <v>5300.0000000000009</v>
      </c>
      <c r="AQ163">
        <f t="shared" si="468"/>
        <v>35.889060766381952</v>
      </c>
      <c r="AS163" s="5">
        <f t="shared" si="439"/>
        <v>27.863643646442856</v>
      </c>
      <c r="AT163" s="5">
        <f t="shared" si="469"/>
        <v>12.687631440226722</v>
      </c>
      <c r="AU163" s="5">
        <f t="shared" si="343"/>
        <v>15.176012206216134</v>
      </c>
      <c r="AV163" s="5"/>
      <c r="AW163" s="173">
        <f t="shared" si="344"/>
        <v>0.45534717573975497</v>
      </c>
      <c r="AX163" s="173">
        <f t="shared" si="435"/>
        <v>82.551750696024712</v>
      </c>
      <c r="AY163" s="173">
        <f t="shared" si="436"/>
        <v>5.3320748426097149</v>
      </c>
      <c r="AZ163" s="173">
        <f t="shared" si="440"/>
        <v>15.482106521899611</v>
      </c>
      <c r="BA163" s="460">
        <f t="shared" si="433"/>
        <v>448.29631088801085</v>
      </c>
      <c r="BB163" s="5">
        <f t="shared" si="434"/>
        <v>22.465683386378398</v>
      </c>
      <c r="BD163" s="173">
        <f t="shared" si="441"/>
        <v>7.6281138908668398</v>
      </c>
      <c r="BE163" s="173">
        <f t="shared" si="437"/>
        <v>8.3426826760786899</v>
      </c>
      <c r="BG163" s="528">
        <f t="shared" si="347"/>
        <v>1.1637624306407128</v>
      </c>
      <c r="BH163" s="528">
        <f t="shared" si="470"/>
        <v>0.45070273897404373</v>
      </c>
      <c r="BI163" s="528">
        <f t="shared" si="471"/>
        <v>1.6615341252574842E-2</v>
      </c>
      <c r="BJ163" s="528">
        <f t="shared" si="350"/>
        <v>4.1995505481704776E-3</v>
      </c>
      <c r="BK163">
        <f t="shared" si="351"/>
        <v>8.3333510590641643E-3</v>
      </c>
      <c r="BL163" s="460">
        <f t="shared" si="427"/>
        <v>24.948692311639007</v>
      </c>
      <c r="BM163" s="528">
        <f t="shared" si="472"/>
        <v>2.6716063141996176</v>
      </c>
      <c r="BN163" s="460">
        <f t="shared" si="353"/>
        <v>2671.6063141996174</v>
      </c>
      <c r="BO163" s="528">
        <f t="shared" si="354"/>
        <v>3.7100000000000004</v>
      </c>
      <c r="BR163" s="460">
        <f t="shared" si="355"/>
        <v>3710.0000000000005</v>
      </c>
      <c r="BS163" s="528">
        <f t="shared" si="356"/>
        <v>1.7456436459610691</v>
      </c>
      <c r="BT163" s="528">
        <f t="shared" si="357"/>
        <v>2.0880106270123044</v>
      </c>
      <c r="BU163" s="528">
        <f t="shared" si="358"/>
        <v>0.65447252165803216</v>
      </c>
      <c r="BV163" s="528"/>
      <c r="BW163" s="528">
        <f t="shared" si="359"/>
        <v>1.3758625116004121E-2</v>
      </c>
      <c r="BX163" s="460">
        <f t="shared" si="360"/>
        <v>4501.8854197474111</v>
      </c>
      <c r="BY163" s="173">
        <f t="shared" si="361"/>
        <v>9.8554988322219774</v>
      </c>
      <c r="BZ163" s="5">
        <f t="shared" si="362"/>
        <v>79.500000000000014</v>
      </c>
      <c r="CA163" s="173">
        <f t="shared" si="363"/>
        <v>0.88970461850672311</v>
      </c>
      <c r="CB163" s="5">
        <f t="shared" si="364"/>
        <v>88.970461850672308</v>
      </c>
      <c r="CE163" s="562">
        <f t="shared" si="473"/>
        <v>-50</v>
      </c>
      <c r="CF163">
        <f t="shared" si="474"/>
        <v>-50</v>
      </c>
      <c r="CG163" s="173">
        <f t="shared" si="475"/>
        <v>0.55042964662041804</v>
      </c>
      <c r="CI163" s="170">
        <v>53</v>
      </c>
      <c r="CJ163" s="217">
        <f t="shared" si="428"/>
        <v>5.3000000000000007</v>
      </c>
      <c r="CK163" s="217"/>
      <c r="CL163" s="217">
        <f t="shared" si="368"/>
        <v>79.500000000000014</v>
      </c>
      <c r="CM163" s="541">
        <f t="shared" si="369"/>
        <v>19</v>
      </c>
      <c r="CN163" s="443">
        <f t="shared" si="370"/>
        <v>15.4</v>
      </c>
      <c r="CO163" s="443">
        <f t="shared" si="371"/>
        <v>34.4</v>
      </c>
      <c r="CP163" s="443"/>
      <c r="CQ163" s="217">
        <f t="shared" si="372"/>
        <v>0.44767441860465118</v>
      </c>
      <c r="CR163" s="172">
        <f t="shared" si="429"/>
        <v>212.84736191860466</v>
      </c>
      <c r="CS163" s="172">
        <f t="shared" si="373"/>
        <v>79.500000000000014</v>
      </c>
      <c r="CT163" s="217">
        <f t="shared" si="374"/>
        <v>14.189824127906977</v>
      </c>
      <c r="CU163" s="217">
        <f t="shared" si="375"/>
        <v>15</v>
      </c>
      <c r="CV163" s="217"/>
      <c r="CW163" s="172">
        <f t="shared" si="376"/>
        <v>70.729488896051706</v>
      </c>
      <c r="CX163" s="172">
        <f t="shared" si="377"/>
        <v>15</v>
      </c>
      <c r="CY163" s="217">
        <f t="shared" si="378"/>
        <v>18.693096377306905</v>
      </c>
      <c r="CZ163" s="217">
        <f t="shared" si="379"/>
        <v>11.806166133035939</v>
      </c>
      <c r="DA163" s="217">
        <f t="shared" si="380"/>
        <v>14.56604912517421</v>
      </c>
      <c r="DB163" s="197">
        <f t="shared" si="381"/>
        <v>70.881782945736433</v>
      </c>
      <c r="DC163" s="443">
        <f t="shared" si="382"/>
        <v>37.918695498615037</v>
      </c>
      <c r="DE163" s="217">
        <f t="shared" si="383"/>
        <v>10.000000000000002</v>
      </c>
      <c r="DF163" s="173">
        <f t="shared" si="384"/>
        <v>7.792207792207793</v>
      </c>
      <c r="DG163" s="173">
        <f t="shared" si="385"/>
        <v>2.7616279069767451</v>
      </c>
      <c r="DH163" s="173"/>
      <c r="DI163" s="173">
        <f t="shared" si="386"/>
        <v>7.7922077922077913</v>
      </c>
      <c r="DJ163" s="545">
        <f t="shared" si="387"/>
        <v>136.03333333333333</v>
      </c>
      <c r="DK163" s="528">
        <f t="shared" si="388"/>
        <v>2.7616279069767442</v>
      </c>
      <c r="DM163" s="173">
        <f t="shared" si="389"/>
        <v>6.2343136484032202</v>
      </c>
      <c r="DN163" s="173">
        <f t="shared" si="390"/>
        <v>18.693096377306905</v>
      </c>
      <c r="DO163" s="173">
        <f t="shared" si="391"/>
        <v>7.6393306498569666</v>
      </c>
      <c r="DQ163" s="545">
        <f t="shared" si="392"/>
        <v>5300.0000000000009</v>
      </c>
      <c r="DR163" s="460">
        <f t="shared" si="393"/>
        <v>37.918695498615037</v>
      </c>
      <c r="DT163">
        <f t="shared" si="430"/>
        <v>5300.0000000000009</v>
      </c>
      <c r="DU163">
        <f t="shared" si="431"/>
        <v>37.918695498615037</v>
      </c>
      <c r="DW163" s="5">
        <f t="shared" si="394"/>
        <v>26.372215258210147</v>
      </c>
      <c r="DX163" s="5">
        <f t="shared" si="395"/>
        <v>11.806166133035939</v>
      </c>
      <c r="DY163" s="5">
        <f t="shared" si="396"/>
        <v>14.566049125174208</v>
      </c>
      <c r="DZ163" s="5"/>
      <c r="EA163" s="173">
        <f t="shared" si="397"/>
        <v>0.44767441860465118</v>
      </c>
      <c r="EB163" s="173">
        <f t="shared" si="398"/>
        <v>79.5</v>
      </c>
      <c r="EC163" s="173">
        <f t="shared" si="399"/>
        <v>5.162337662337662</v>
      </c>
      <c r="ED163" s="173">
        <f t="shared" si="400"/>
        <v>15.4</v>
      </c>
      <c r="EE163" s="460">
        <f t="shared" si="401"/>
        <v>417.15120336726983</v>
      </c>
      <c r="EF163" s="5">
        <f t="shared" si="402"/>
        <v>21.016350371167871</v>
      </c>
      <c r="EH163" s="173">
        <f t="shared" si="403"/>
        <v>7.2210733565660954</v>
      </c>
      <c r="EI163" s="173">
        <f t="shared" si="404"/>
        <v>8.0208094127828584</v>
      </c>
      <c r="EK163" s="528">
        <f t="shared" si="405"/>
        <v>1.0428780084181748</v>
      </c>
      <c r="EL163" s="528">
        <f t="shared" si="406"/>
        <v>0.48766666666666664</v>
      </c>
      <c r="EM163" s="528">
        <f t="shared" si="407"/>
        <v>4.7398369373268801E-3</v>
      </c>
      <c r="EN163" s="528">
        <f t="shared" si="408"/>
        <v>4.4871467505241082E-3</v>
      </c>
      <c r="EO163">
        <f t="shared" si="409"/>
        <v>8.5500000000000003E-3</v>
      </c>
      <c r="EP163" s="460">
        <f t="shared" si="410"/>
        <v>13.28983693732688</v>
      </c>
      <c r="EQ163" s="460"/>
      <c r="ER163" s="460">
        <f t="shared" si="432"/>
        <v>1548.3216587726924</v>
      </c>
      <c r="ES163" s="528">
        <f t="shared" si="411"/>
        <v>3.7100000000000004</v>
      </c>
      <c r="EV163" s="460">
        <f t="shared" si="412"/>
        <v>3710.0000000000005</v>
      </c>
      <c r="EW163" s="528">
        <f t="shared" si="413"/>
        <v>1.5643170126272621</v>
      </c>
      <c r="EX163" s="528">
        <f t="shared" si="414"/>
        <v>1.9300015090855829</v>
      </c>
      <c r="EY163" s="528">
        <f t="shared" si="415"/>
        <v>0.66881589702681232</v>
      </c>
      <c r="EZ163" s="528"/>
      <c r="FA163" s="528">
        <f t="shared" si="416"/>
        <v>1.3250000000000001E-2</v>
      </c>
      <c r="FB163" s="460">
        <f t="shared" si="417"/>
        <v>4176.384418739658</v>
      </c>
      <c r="FC163" s="173">
        <f t="shared" si="418"/>
        <v>9.4347060775123488</v>
      </c>
      <c r="FD163" s="5">
        <f t="shared" si="419"/>
        <v>79.500000000000014</v>
      </c>
      <c r="FE163" s="173">
        <f t="shared" si="420"/>
        <v>0.89391423783096124</v>
      </c>
      <c r="FF163" s="5">
        <f t="shared" si="421"/>
        <v>89.39142378309613</v>
      </c>
      <c r="FI163" s="562">
        <f t="shared" si="422"/>
        <v>-50</v>
      </c>
      <c r="FJ163">
        <f t="shared" si="423"/>
        <v>-50</v>
      </c>
      <c r="FL163">
        <f t="shared" si="476"/>
        <v>0.55232558139534882</v>
      </c>
    </row>
    <row r="164" spans="5:168">
      <c r="E164" s="170">
        <v>54</v>
      </c>
      <c r="F164" s="217">
        <f t="shared" si="477"/>
        <v>5.4</v>
      </c>
      <c r="G164" s="217"/>
      <c r="H164" s="217">
        <f t="shared" si="442"/>
        <v>81</v>
      </c>
      <c r="I164" s="541">
        <f t="shared" si="443"/>
        <v>18.509505382860244</v>
      </c>
      <c r="J164" s="172">
        <f t="shared" si="444"/>
        <v>15.694296770283854</v>
      </c>
      <c r="K164" s="172">
        <f t="shared" si="445"/>
        <v>34.203802153144096</v>
      </c>
      <c r="L164" s="443"/>
      <c r="M164" s="217">
        <f t="shared" si="446"/>
        <v>0.45883086701779274</v>
      </c>
      <c r="N164" s="172">
        <f t="shared" si="447"/>
        <v>212.52001246677526</v>
      </c>
      <c r="O164" s="172">
        <f t="shared" si="438"/>
        <v>81</v>
      </c>
      <c r="P164" s="217">
        <f t="shared" si="448"/>
        <v>14.16800083111835</v>
      </c>
      <c r="Q164" s="217">
        <f t="shared" si="449"/>
        <v>15</v>
      </c>
      <c r="R164" s="217"/>
      <c r="S164" s="172">
        <f t="shared" si="450"/>
        <v>67.29202397582722</v>
      </c>
      <c r="T164" s="172">
        <f t="shared" si="451"/>
        <v>15</v>
      </c>
      <c r="U164" s="217">
        <f t="shared" si="452"/>
        <v>19.956792325690696</v>
      </c>
      <c r="V164" s="217">
        <f t="shared" si="453"/>
        <v>12.938298617641488</v>
      </c>
      <c r="W164" s="217">
        <f t="shared" si="454"/>
        <v>15.2591423122399</v>
      </c>
      <c r="X164" s="197">
        <f t="shared" si="455"/>
        <v>70.775189760366118</v>
      </c>
      <c r="Y164" s="443">
        <f t="shared" si="328"/>
        <v>35.214440712076403</v>
      </c>
      <c r="AA164" s="217">
        <f t="shared" si="456"/>
        <v>10</v>
      </c>
      <c r="AB164" s="173">
        <f t="shared" si="457"/>
        <v>7.646089643673128</v>
      </c>
      <c r="AC164" s="173">
        <f t="shared" si="458"/>
        <v>2.7057672272786784</v>
      </c>
      <c r="AD164" s="173"/>
      <c r="AE164" s="173">
        <f t="shared" si="459"/>
        <v>7.646089643673128</v>
      </c>
      <c r="AF164" s="545">
        <f t="shared" si="460"/>
        <v>141.24867093255469</v>
      </c>
      <c r="AG164" s="528">
        <f t="shared" si="461"/>
        <v>2.7057672272786788</v>
      </c>
      <c r="AI164" s="173">
        <f t="shared" si="462"/>
        <v>6.3526973108741025</v>
      </c>
      <c r="AJ164" s="173">
        <f t="shared" si="463"/>
        <v>19.956792325690696</v>
      </c>
      <c r="AK164" s="173">
        <f t="shared" si="464"/>
        <v>8.5754017227338473</v>
      </c>
      <c r="AM164" s="545">
        <f t="shared" si="465"/>
        <v>5400</v>
      </c>
      <c r="AN164" s="460">
        <f t="shared" si="466"/>
        <v>35.214440712076403</v>
      </c>
      <c r="AP164">
        <f t="shared" si="467"/>
        <v>5400</v>
      </c>
      <c r="AQ164">
        <f t="shared" si="468"/>
        <v>35.214440712076403</v>
      </c>
      <c r="AS164" s="5">
        <f t="shared" si="439"/>
        <v>28.397440929881391</v>
      </c>
      <c r="AT164" s="5">
        <f t="shared" si="469"/>
        <v>12.938298617641488</v>
      </c>
      <c r="AU164" s="5">
        <f t="shared" si="343"/>
        <v>15.459142312239903</v>
      </c>
      <c r="AV164" s="5"/>
      <c r="AW164" s="173">
        <f t="shared" si="344"/>
        <v>0.45561494958607623</v>
      </c>
      <c r="AX164" s="173">
        <f t="shared" si="435"/>
        <v>84.149883980213403</v>
      </c>
      <c r="AY164" s="173">
        <f t="shared" si="436"/>
        <v>5.4320896981606683</v>
      </c>
      <c r="AZ164" s="173">
        <f t="shared" si="440"/>
        <v>15.491254499848734</v>
      </c>
      <c r="BA164" s="460">
        <f t="shared" si="433"/>
        <v>465.77875023509353</v>
      </c>
      <c r="BB164" s="5">
        <f t="shared" si="434"/>
        <v>23.32800515549604</v>
      </c>
      <c r="BD164" s="173">
        <f t="shared" si="441"/>
        <v>7.7773043301072384</v>
      </c>
      <c r="BE164" s="173">
        <f t="shared" si="437"/>
        <v>8.5012581814190433</v>
      </c>
      <c r="BG164" s="528">
        <f t="shared" si="347"/>
        <v>1.209729252862096</v>
      </c>
      <c r="BH164" s="528">
        <f t="shared" si="470"/>
        <v>0.45069961894064586</v>
      </c>
      <c r="BI164" s="528">
        <f t="shared" si="471"/>
        <v>1.6295046997864777E-2</v>
      </c>
      <c r="BJ164" s="528">
        <f t="shared" si="350"/>
        <v>4.119737706718459E-3</v>
      </c>
      <c r="BK164">
        <f t="shared" si="351"/>
        <v>8.3292774222871093E-3</v>
      </c>
      <c r="BL164" s="460">
        <f t="shared" si="427"/>
        <v>24.62432442015189</v>
      </c>
      <c r="BM164" s="528">
        <f t="shared" si="472"/>
        <v>2.7943643090671966</v>
      </c>
      <c r="BN164" s="460">
        <f t="shared" si="353"/>
        <v>2794.3643090671967</v>
      </c>
      <c r="BO164" s="528">
        <f t="shared" si="354"/>
        <v>3.78</v>
      </c>
      <c r="BR164" s="460">
        <f t="shared" si="355"/>
        <v>3780</v>
      </c>
      <c r="BS164" s="528">
        <f t="shared" si="356"/>
        <v>1.814593879293144</v>
      </c>
      <c r="BT164" s="528">
        <f t="shared" si="357"/>
        <v>2.1681417200143263</v>
      </c>
      <c r="BU164" s="528">
        <f t="shared" si="358"/>
        <v>0.65463442137607031</v>
      </c>
      <c r="BV164" s="528"/>
      <c r="BW164" s="528">
        <f t="shared" si="359"/>
        <v>1.4024980663368901E-2</v>
      </c>
      <c r="BX164" s="460">
        <f t="shared" si="360"/>
        <v>4651.3950013469102</v>
      </c>
      <c r="BY164" s="173">
        <f t="shared" si="361"/>
        <v>10.120567935276521</v>
      </c>
      <c r="BZ164" s="5">
        <f t="shared" si="362"/>
        <v>81</v>
      </c>
      <c r="CA164" s="173">
        <f t="shared" si="363"/>
        <v>0.88893212405715882</v>
      </c>
      <c r="CB164" s="5">
        <f t="shared" si="364"/>
        <v>88.893212405715886</v>
      </c>
      <c r="CE164" s="562">
        <f t="shared" si="473"/>
        <v>-50</v>
      </c>
      <c r="CF164">
        <f t="shared" si="474"/>
        <v>-50</v>
      </c>
      <c r="CG164" s="173">
        <f t="shared" si="475"/>
        <v>0.55046475652365767</v>
      </c>
      <c r="CI164" s="170">
        <v>54</v>
      </c>
      <c r="CJ164" s="217">
        <f t="shared" si="428"/>
        <v>5.4</v>
      </c>
      <c r="CK164" s="217"/>
      <c r="CL164" s="217">
        <f t="shared" si="368"/>
        <v>81</v>
      </c>
      <c r="CM164" s="541">
        <f t="shared" si="369"/>
        <v>19</v>
      </c>
      <c r="CN164" s="443">
        <f t="shared" si="370"/>
        <v>15.4</v>
      </c>
      <c r="CO164" s="443">
        <f t="shared" si="371"/>
        <v>34.4</v>
      </c>
      <c r="CP164" s="443"/>
      <c r="CQ164" s="217">
        <f t="shared" si="372"/>
        <v>0.44767441860465118</v>
      </c>
      <c r="CR164" s="172">
        <f t="shared" si="429"/>
        <v>212.84736191860466</v>
      </c>
      <c r="CS164" s="172">
        <f t="shared" si="373"/>
        <v>81</v>
      </c>
      <c r="CT164" s="217">
        <f t="shared" si="374"/>
        <v>14.189824127906977</v>
      </c>
      <c r="CU164" s="217">
        <f t="shared" si="375"/>
        <v>15</v>
      </c>
      <c r="CV164" s="217"/>
      <c r="CW164" s="172">
        <f t="shared" si="376"/>
        <v>69.07235898910325</v>
      </c>
      <c r="CX164" s="172">
        <f t="shared" si="377"/>
        <v>15</v>
      </c>
      <c r="CY164" s="217">
        <f t="shared" si="378"/>
        <v>19.045796308954202</v>
      </c>
      <c r="CZ164" s="217">
        <f t="shared" si="379"/>
        <v>12.028923984602654</v>
      </c>
      <c r="DA164" s="217">
        <f t="shared" si="380"/>
        <v>14.840880240743534</v>
      </c>
      <c r="DB164" s="197">
        <f t="shared" si="381"/>
        <v>70.881782945736433</v>
      </c>
      <c r="DC164" s="443">
        <f t="shared" si="382"/>
        <v>37.216497433825872</v>
      </c>
      <c r="DE164" s="217">
        <f t="shared" si="383"/>
        <v>10.000000000000002</v>
      </c>
      <c r="DF164" s="173">
        <f t="shared" si="384"/>
        <v>7.792207792207793</v>
      </c>
      <c r="DG164" s="173">
        <f t="shared" si="385"/>
        <v>2.7616279069767451</v>
      </c>
      <c r="DH164" s="173"/>
      <c r="DI164" s="173">
        <f t="shared" si="386"/>
        <v>7.7922077922077913</v>
      </c>
      <c r="DJ164" s="545">
        <f t="shared" si="387"/>
        <v>138.6</v>
      </c>
      <c r="DK164" s="528">
        <f t="shared" si="388"/>
        <v>2.7616279069767442</v>
      </c>
      <c r="DM164" s="173">
        <f t="shared" si="389"/>
        <v>6.2928530890209098</v>
      </c>
      <c r="DN164" s="173">
        <f t="shared" si="390"/>
        <v>19.045796308954202</v>
      </c>
      <c r="DO164" s="173">
        <f t="shared" si="391"/>
        <v>7.9005898584845946</v>
      </c>
      <c r="DQ164" s="545">
        <f t="shared" si="392"/>
        <v>5400</v>
      </c>
      <c r="DR164" s="460">
        <f t="shared" si="393"/>
        <v>37.216497433825872</v>
      </c>
      <c r="DT164">
        <f t="shared" si="430"/>
        <v>5400</v>
      </c>
      <c r="DU164">
        <f t="shared" si="431"/>
        <v>37.216497433825872</v>
      </c>
      <c r="DW164" s="5">
        <f t="shared" si="394"/>
        <v>26.86980422534619</v>
      </c>
      <c r="DX164" s="5">
        <f t="shared" si="395"/>
        <v>12.028923984602654</v>
      </c>
      <c r="DY164" s="5">
        <f t="shared" si="396"/>
        <v>14.840880240743536</v>
      </c>
      <c r="DZ164" s="5"/>
      <c r="EA164" s="173">
        <f t="shared" si="397"/>
        <v>0.44767441860465113</v>
      </c>
      <c r="EB164" s="173">
        <f t="shared" si="398"/>
        <v>81</v>
      </c>
      <c r="EC164" s="173">
        <f t="shared" si="399"/>
        <v>5.2597402597402603</v>
      </c>
      <c r="ED164" s="173">
        <f t="shared" si="400"/>
        <v>15.399999999999999</v>
      </c>
      <c r="EE164" s="460">
        <f t="shared" si="401"/>
        <v>433.04126344569562</v>
      </c>
      <c r="EF164" s="5">
        <f t="shared" si="402"/>
        <v>21.816901987299936</v>
      </c>
      <c r="EH164" s="173">
        <f t="shared" si="403"/>
        <v>7.3573200236711145</v>
      </c>
      <c r="EI164" s="173">
        <f t="shared" si="404"/>
        <v>8.172145439439138</v>
      </c>
      <c r="EK164" s="528">
        <f t="shared" si="405"/>
        <v>1.0826031586142386</v>
      </c>
      <c r="EL164" s="528">
        <f t="shared" si="406"/>
        <v>0.48766666666666658</v>
      </c>
      <c r="EM164" s="528">
        <f t="shared" si="407"/>
        <v>4.652062179228234E-3</v>
      </c>
      <c r="EN164" s="528">
        <f t="shared" si="408"/>
        <v>4.4040514403292175E-3</v>
      </c>
      <c r="EO164">
        <f t="shared" si="409"/>
        <v>8.5500000000000003E-3</v>
      </c>
      <c r="EP164" s="460">
        <f t="shared" si="410"/>
        <v>13.202062179228234</v>
      </c>
      <c r="EQ164" s="460"/>
      <c r="ER164" s="460">
        <f t="shared" si="432"/>
        <v>1587.8759389004626</v>
      </c>
      <c r="ES164" s="528">
        <f t="shared" si="411"/>
        <v>3.78</v>
      </c>
      <c r="EV164" s="460">
        <f t="shared" si="412"/>
        <v>3780</v>
      </c>
      <c r="EW164" s="528">
        <f t="shared" si="413"/>
        <v>1.6239047379213578</v>
      </c>
      <c r="EX164" s="528">
        <f t="shared" si="414"/>
        <v>2.0035188325003768</v>
      </c>
      <c r="EY164" s="528">
        <f t="shared" si="415"/>
        <v>0.66881589702681343</v>
      </c>
      <c r="EZ164" s="528"/>
      <c r="FA164" s="528">
        <f t="shared" si="416"/>
        <v>1.3500000000000002E-2</v>
      </c>
      <c r="FB164" s="460">
        <f t="shared" si="417"/>
        <v>4309.7394674485477</v>
      </c>
      <c r="FC164" s="173">
        <f t="shared" si="418"/>
        <v>9.6776154063490125</v>
      </c>
      <c r="FD164" s="5">
        <f t="shared" si="419"/>
        <v>81</v>
      </c>
      <c r="FE164" s="173">
        <f t="shared" si="420"/>
        <v>0.89327448275981658</v>
      </c>
      <c r="FF164" s="5">
        <f t="shared" si="421"/>
        <v>89.327448275981652</v>
      </c>
      <c r="FI164" s="562">
        <f t="shared" si="422"/>
        <v>-50</v>
      </c>
      <c r="FJ164">
        <f t="shared" si="423"/>
        <v>-50</v>
      </c>
      <c r="FL164">
        <f t="shared" si="476"/>
        <v>0.55232558139534893</v>
      </c>
    </row>
    <row r="165" spans="5:168">
      <c r="E165" s="170">
        <v>55</v>
      </c>
      <c r="F165" s="217">
        <f t="shared" si="477"/>
        <v>5.5</v>
      </c>
      <c r="G165" s="217"/>
      <c r="H165" s="217">
        <f t="shared" si="442"/>
        <v>82.5</v>
      </c>
      <c r="I165" s="541">
        <f t="shared" si="443"/>
        <v>18.500452852843285</v>
      </c>
      <c r="J165" s="172">
        <f t="shared" si="444"/>
        <v>15.699728288294029</v>
      </c>
      <c r="K165" s="172">
        <f t="shared" si="445"/>
        <v>34.200181141137314</v>
      </c>
      <c r="L165" s="443"/>
      <c r="M165" s="217">
        <f t="shared" si="446"/>
        <v>0.45903826909747142</v>
      </c>
      <c r="N165" s="172">
        <f t="shared" si="447"/>
        <v>212.51209125377233</v>
      </c>
      <c r="O165" s="172">
        <f t="shared" si="438"/>
        <v>82.5</v>
      </c>
      <c r="P165" s="217">
        <f t="shared" si="448"/>
        <v>14.167472750251488</v>
      </c>
      <c r="Q165" s="217">
        <f t="shared" si="449"/>
        <v>15</v>
      </c>
      <c r="R165" s="217"/>
      <c r="S165" s="172">
        <f t="shared" si="450"/>
        <v>65.704461433123029</v>
      </c>
      <c r="T165" s="172">
        <f t="shared" si="451"/>
        <v>15</v>
      </c>
      <c r="U165" s="217">
        <f t="shared" si="452"/>
        <v>20.334155581852055</v>
      </c>
      <c r="V165" s="217">
        <f t="shared" si="453"/>
        <v>13.189399682436608</v>
      </c>
      <c r="W165" s="217">
        <f t="shared" si="454"/>
        <v>15.542298726543079</v>
      </c>
      <c r="X165" s="197">
        <f t="shared" si="455"/>
        <v>70.772549859067496</v>
      </c>
      <c r="Y165" s="443">
        <f t="shared" si="328"/>
        <v>34.564165085089662</v>
      </c>
      <c r="AA165" s="217">
        <f t="shared" si="456"/>
        <v>10</v>
      </c>
      <c r="AB165" s="173">
        <f t="shared" si="457"/>
        <v>7.6434443830135548</v>
      </c>
      <c r="AC165" s="173">
        <f t="shared" si="458"/>
        <v>2.7047302434591809</v>
      </c>
      <c r="AD165" s="173"/>
      <c r="AE165" s="173">
        <f t="shared" si="459"/>
        <v>7.6434443830135548</v>
      </c>
      <c r="AF165" s="545">
        <f t="shared" si="460"/>
        <v>143.91417597602859</v>
      </c>
      <c r="AG165" s="528">
        <f t="shared" si="461"/>
        <v>2.7047302434591809</v>
      </c>
      <c r="AI165" s="173">
        <f t="shared" si="462"/>
        <v>6.4123580680706702</v>
      </c>
      <c r="AJ165" s="173">
        <f t="shared" si="463"/>
        <v>20.334155581852055</v>
      </c>
      <c r="AK165" s="173">
        <f t="shared" si="464"/>
        <v>8.8549300606311512</v>
      </c>
      <c r="AM165" s="545">
        <f t="shared" si="465"/>
        <v>5500</v>
      </c>
      <c r="AN165" s="460">
        <f t="shared" si="466"/>
        <v>34.564165085089662</v>
      </c>
      <c r="AP165">
        <f t="shared" si="467"/>
        <v>5500</v>
      </c>
      <c r="AQ165">
        <f t="shared" si="468"/>
        <v>34.564165085089662</v>
      </c>
      <c r="AS165" s="5">
        <f t="shared" si="439"/>
        <v>28.931698408979692</v>
      </c>
      <c r="AT165" s="5">
        <f t="shared" si="469"/>
        <v>13.189399682436608</v>
      </c>
      <c r="AU165" s="5">
        <f t="shared" si="343"/>
        <v>15.742298726543083</v>
      </c>
      <c r="AV165" s="5"/>
      <c r="AW165" s="173">
        <f t="shared" si="344"/>
        <v>0.45588058799696812</v>
      </c>
      <c r="AX165" s="173">
        <f t="shared" si="435"/>
        <v>85.749106889341491</v>
      </c>
      <c r="AY165" s="173">
        <f t="shared" si="436"/>
        <v>5.5321043893877553</v>
      </c>
      <c r="AZ165" s="173">
        <f t="shared" si="440"/>
        <v>15.500269129742769</v>
      </c>
      <c r="BA165" s="460">
        <f t="shared" si="433"/>
        <v>483.61132168934233</v>
      </c>
      <c r="BB165" s="5">
        <f t="shared" si="434"/>
        <v>24.207042953922453</v>
      </c>
      <c r="BD165" s="173">
        <f t="shared" si="441"/>
        <v>7.9266752283928508</v>
      </c>
      <c r="BE165" s="173">
        <f t="shared" si="437"/>
        <v>8.6598949704507504</v>
      </c>
      <c r="BG165" s="528">
        <f t="shared" si="347"/>
        <v>1.256643603528337</v>
      </c>
      <c r="BH165" s="528">
        <f t="shared" si="470"/>
        <v>0.45069411914188967</v>
      </c>
      <c r="BI165" s="528">
        <f t="shared" si="471"/>
        <v>1.5986317663864831E-2</v>
      </c>
      <c r="BJ165" s="528">
        <f t="shared" si="350"/>
        <v>4.0428058303123085E-3</v>
      </c>
      <c r="BK165">
        <f t="shared" si="351"/>
        <v>8.3252037837794786E-3</v>
      </c>
      <c r="BL165" s="460">
        <f t="shared" si="427"/>
        <v>24.31152144764431</v>
      </c>
      <c r="BM165" s="528">
        <f t="shared" si="472"/>
        <v>2.9235978088852308</v>
      </c>
      <c r="BN165" s="460">
        <f t="shared" si="353"/>
        <v>2923.5978088852307</v>
      </c>
      <c r="BO165" s="528">
        <f t="shared" si="354"/>
        <v>3.8499999999999996</v>
      </c>
      <c r="BR165" s="460">
        <f t="shared" si="355"/>
        <v>3849.9999999999995</v>
      </c>
      <c r="BS165" s="528">
        <f t="shared" si="356"/>
        <v>1.8849654052925056</v>
      </c>
      <c r="BT165" s="528">
        <f t="shared" si="357"/>
        <v>2.2498134269771461</v>
      </c>
      <c r="BU165" s="528">
        <f t="shared" si="358"/>
        <v>0.65478773588874684</v>
      </c>
      <c r="BV165" s="528"/>
      <c r="BW165" s="528">
        <f t="shared" si="359"/>
        <v>1.4291517814890249E-2</v>
      </c>
      <c r="BX165" s="460">
        <f t="shared" si="360"/>
        <v>4803.8580859732892</v>
      </c>
      <c r="BY165" s="173">
        <f t="shared" si="361"/>
        <v>10.389550135921471</v>
      </c>
      <c r="BZ165" s="5">
        <f t="shared" si="362"/>
        <v>82.5</v>
      </c>
      <c r="CA165" s="173">
        <f t="shared" si="363"/>
        <v>0.88815157226276942</v>
      </c>
      <c r="CB165" s="5">
        <f t="shared" si="364"/>
        <v>88.815157226276938</v>
      </c>
      <c r="CE165" s="562">
        <f t="shared" si="473"/>
        <v>-50</v>
      </c>
      <c r="CF165">
        <f t="shared" si="474"/>
        <v>-50</v>
      </c>
      <c r="CG165" s="173">
        <f t="shared" si="475"/>
        <v>0.5504985897031428</v>
      </c>
      <c r="CI165" s="170">
        <v>55</v>
      </c>
      <c r="CJ165" s="217">
        <f t="shared" si="428"/>
        <v>5.5</v>
      </c>
      <c r="CK165" s="217"/>
      <c r="CL165" s="217">
        <f t="shared" si="368"/>
        <v>82.5</v>
      </c>
      <c r="CM165" s="541">
        <f t="shared" si="369"/>
        <v>19</v>
      </c>
      <c r="CN165" s="443">
        <f t="shared" si="370"/>
        <v>15.4</v>
      </c>
      <c r="CO165" s="443">
        <f t="shared" si="371"/>
        <v>34.4</v>
      </c>
      <c r="CP165" s="443"/>
      <c r="CQ165" s="217">
        <f t="shared" si="372"/>
        <v>0.44767441860465118</v>
      </c>
      <c r="CR165" s="172">
        <f t="shared" si="429"/>
        <v>212.84736191860466</v>
      </c>
      <c r="CS165" s="172">
        <f t="shared" si="373"/>
        <v>82.5</v>
      </c>
      <c r="CT165" s="217">
        <f t="shared" si="374"/>
        <v>14.189824127906977</v>
      </c>
      <c r="CU165" s="217">
        <f t="shared" si="375"/>
        <v>15</v>
      </c>
      <c r="CV165" s="217"/>
      <c r="CW165" s="172">
        <f t="shared" si="376"/>
        <v>67.475605898190494</v>
      </c>
      <c r="CX165" s="172">
        <f t="shared" si="377"/>
        <v>15</v>
      </c>
      <c r="CY165" s="217">
        <f t="shared" si="378"/>
        <v>19.398496240601503</v>
      </c>
      <c r="CZ165" s="217">
        <f t="shared" si="379"/>
        <v>12.25168183616937</v>
      </c>
      <c r="DA165" s="217">
        <f t="shared" si="380"/>
        <v>15.115711356312859</v>
      </c>
      <c r="DB165" s="197">
        <f t="shared" si="381"/>
        <v>70.881782945736433</v>
      </c>
      <c r="DC165" s="443">
        <f t="shared" si="382"/>
        <v>36.539833844119947</v>
      </c>
      <c r="DE165" s="217">
        <f t="shared" si="383"/>
        <v>10.000000000000002</v>
      </c>
      <c r="DF165" s="173">
        <f t="shared" si="384"/>
        <v>7.792207792207793</v>
      </c>
      <c r="DG165" s="173">
        <f t="shared" si="385"/>
        <v>2.7616279069767451</v>
      </c>
      <c r="DH165" s="173"/>
      <c r="DI165" s="173">
        <f t="shared" si="386"/>
        <v>7.7922077922077913</v>
      </c>
      <c r="DJ165" s="545">
        <f t="shared" si="387"/>
        <v>141.16666666666669</v>
      </c>
      <c r="DK165" s="528">
        <f t="shared" si="388"/>
        <v>2.7616279069767442</v>
      </c>
      <c r="DM165" s="173">
        <f t="shared" si="389"/>
        <v>6.3508529610858835</v>
      </c>
      <c r="DN165" s="173">
        <f t="shared" si="390"/>
        <v>19.398496240601503</v>
      </c>
      <c r="DO165" s="173">
        <f t="shared" si="391"/>
        <v>8.1618490671122252</v>
      </c>
      <c r="DQ165" s="545">
        <f t="shared" si="392"/>
        <v>5500</v>
      </c>
      <c r="DR165" s="460">
        <f t="shared" si="393"/>
        <v>36.539833844119947</v>
      </c>
      <c r="DT165">
        <f t="shared" si="430"/>
        <v>5500</v>
      </c>
      <c r="DU165">
        <f t="shared" si="431"/>
        <v>36.539833844119947</v>
      </c>
      <c r="DW165" s="5">
        <f t="shared" si="394"/>
        <v>27.367393192482229</v>
      </c>
      <c r="DX165" s="5">
        <f t="shared" si="395"/>
        <v>12.25168183616937</v>
      </c>
      <c r="DY165" s="5">
        <f t="shared" si="396"/>
        <v>15.115711356312859</v>
      </c>
      <c r="DZ165" s="5"/>
      <c r="EA165" s="173">
        <f t="shared" si="397"/>
        <v>0.44767441860465118</v>
      </c>
      <c r="EB165" s="173">
        <f t="shared" si="398"/>
        <v>82.5</v>
      </c>
      <c r="EC165" s="173">
        <f t="shared" si="399"/>
        <v>5.3571428571428568</v>
      </c>
      <c r="ED165" s="173">
        <f t="shared" si="400"/>
        <v>15.4</v>
      </c>
      <c r="EE165" s="460">
        <f t="shared" si="401"/>
        <v>449.22833399287686</v>
      </c>
      <c r="EF165" s="5">
        <f t="shared" si="402"/>
        <v>22.632417185041938</v>
      </c>
      <c r="EH165" s="173">
        <f t="shared" si="403"/>
        <v>7.4935666907761362</v>
      </c>
      <c r="EI165" s="173">
        <f t="shared" si="404"/>
        <v>8.3234814660954193</v>
      </c>
      <c r="EK165" s="528">
        <f t="shared" si="405"/>
        <v>1.1230708349821923</v>
      </c>
      <c r="EL165" s="528">
        <f t="shared" si="406"/>
        <v>0.48766666666666664</v>
      </c>
      <c r="EM165" s="528">
        <f t="shared" si="407"/>
        <v>4.5674792305149927E-3</v>
      </c>
      <c r="EN165" s="528">
        <f t="shared" si="408"/>
        <v>4.3239777777777776E-3</v>
      </c>
      <c r="EO165">
        <f t="shared" si="409"/>
        <v>8.5500000000000003E-3</v>
      </c>
      <c r="EP165" s="460">
        <f t="shared" si="410"/>
        <v>13.117479230514993</v>
      </c>
      <c r="EQ165" s="460"/>
      <c r="ER165" s="460">
        <f t="shared" si="432"/>
        <v>1628.1789586571517</v>
      </c>
      <c r="ES165" s="528">
        <f t="shared" si="411"/>
        <v>3.8499999999999996</v>
      </c>
      <c r="EV165" s="460">
        <f t="shared" si="412"/>
        <v>3849.9999999999995</v>
      </c>
      <c r="EW165" s="528">
        <f t="shared" si="413"/>
        <v>1.6846062524732883</v>
      </c>
      <c r="EX165" s="528">
        <f t="shared" si="414"/>
        <v>2.0784103114930184</v>
      </c>
      <c r="EY165" s="528">
        <f t="shared" si="415"/>
        <v>0.66881589702681166</v>
      </c>
      <c r="EZ165" s="528"/>
      <c r="FA165" s="528">
        <f t="shared" si="416"/>
        <v>1.375E-2</v>
      </c>
      <c r="FB165" s="460">
        <f t="shared" si="417"/>
        <v>4445.5824609931178</v>
      </c>
      <c r="FC165" s="173">
        <f t="shared" si="418"/>
        <v>9.9237614196502708</v>
      </c>
      <c r="FD165" s="5">
        <f t="shared" si="419"/>
        <v>82.5</v>
      </c>
      <c r="FE165" s="173">
        <f t="shared" si="420"/>
        <v>0.89262759633216593</v>
      </c>
      <c r="FF165" s="5">
        <f t="shared" si="421"/>
        <v>89.262759633216589</v>
      </c>
      <c r="FI165" s="562">
        <f t="shared" si="422"/>
        <v>-50</v>
      </c>
      <c r="FJ165">
        <f t="shared" si="423"/>
        <v>-50</v>
      </c>
      <c r="FL165">
        <f t="shared" si="476"/>
        <v>0.55232558139534882</v>
      </c>
    </row>
    <row r="166" spans="5:168">
      <c r="E166" s="170">
        <v>56</v>
      </c>
      <c r="F166" s="217">
        <f t="shared" si="477"/>
        <v>5.6000000000000005</v>
      </c>
      <c r="G166" s="217"/>
      <c r="H166" s="217">
        <f t="shared" si="442"/>
        <v>84.000000000000014</v>
      </c>
      <c r="I166" s="541">
        <f t="shared" si="443"/>
        <v>18.491400319187289</v>
      </c>
      <c r="J166" s="172">
        <f t="shared" si="444"/>
        <v>15.705159808487627</v>
      </c>
      <c r="K166" s="172">
        <f t="shared" si="445"/>
        <v>34.196560127674914</v>
      </c>
      <c r="L166" s="443"/>
      <c r="M166" s="217">
        <f t="shared" si="446"/>
        <v>0.45924571514941998</v>
      </c>
      <c r="N166" s="172">
        <f t="shared" si="447"/>
        <v>212.50409638112237</v>
      </c>
      <c r="O166" s="172">
        <f t="shared" si="438"/>
        <v>84.000000000000014</v>
      </c>
      <c r="P166" s="217">
        <f t="shared" si="448"/>
        <v>14.16693975874149</v>
      </c>
      <c r="Q166" s="217">
        <f t="shared" si="449"/>
        <v>15</v>
      </c>
      <c r="R166" s="217"/>
      <c r="S166" s="172">
        <f t="shared" si="450"/>
        <v>64.174037831859494</v>
      </c>
      <c r="T166" s="172">
        <f t="shared" si="451"/>
        <v>15</v>
      </c>
      <c r="U166" s="217">
        <f t="shared" si="452"/>
        <v>20.711809991657777</v>
      </c>
      <c r="V166" s="217">
        <f t="shared" si="453"/>
        <v>13.440935548942621</v>
      </c>
      <c r="W166" s="217">
        <f t="shared" si="454"/>
        <v>15.825481748079543</v>
      </c>
      <c r="X166" s="197">
        <f t="shared" si="455"/>
        <v>70.769885433722663</v>
      </c>
      <c r="Y166" s="443">
        <f t="shared" si="328"/>
        <v>33.93693878424299</v>
      </c>
      <c r="AA166" s="217">
        <f t="shared" si="456"/>
        <v>10</v>
      </c>
      <c r="AB166" s="173">
        <f t="shared" si="457"/>
        <v>7.6408009509809469</v>
      </c>
      <c r="AC166" s="173">
        <f t="shared" si="458"/>
        <v>2.703693039614004</v>
      </c>
      <c r="AD166" s="173"/>
      <c r="AE166" s="173">
        <f t="shared" si="459"/>
        <v>7.6408009509809469</v>
      </c>
      <c r="AF166" s="545">
        <f t="shared" si="460"/>
        <v>146.58149154588452</v>
      </c>
      <c r="AG166" s="528">
        <f t="shared" si="461"/>
        <v>2.703693039614004</v>
      </c>
      <c r="AI166" s="173">
        <f t="shared" si="462"/>
        <v>6.4715088005786567</v>
      </c>
      <c r="AJ166" s="173">
        <f t="shared" si="463"/>
        <v>20.711809991657777</v>
      </c>
      <c r="AK166" s="173">
        <f t="shared" si="464"/>
        <v>9.1346740678946485</v>
      </c>
      <c r="AM166" s="545">
        <f t="shared" si="465"/>
        <v>5600.0000000000009</v>
      </c>
      <c r="AN166" s="460">
        <f t="shared" si="466"/>
        <v>33.93693878424299</v>
      </c>
      <c r="AP166">
        <f t="shared" si="467"/>
        <v>5600.0000000000009</v>
      </c>
      <c r="AQ166">
        <f t="shared" si="468"/>
        <v>33.93693878424299</v>
      </c>
      <c r="AS166" s="5">
        <f t="shared" si="439"/>
        <v>29.466417297022165</v>
      </c>
      <c r="AT166" s="5">
        <f t="shared" si="469"/>
        <v>13.440935548942621</v>
      </c>
      <c r="AU166" s="5">
        <f t="shared" si="343"/>
        <v>16.025481748079542</v>
      </c>
      <c r="AV166" s="5"/>
      <c r="AW166" s="173">
        <f t="shared" si="344"/>
        <v>0.45614420692742119</v>
      </c>
      <c r="AX166" s="173">
        <f t="shared" si="435"/>
        <v>87.349419267313579</v>
      </c>
      <c r="AY166" s="173">
        <f t="shared" si="436"/>
        <v>5.6321189244908014</v>
      </c>
      <c r="AZ166" s="173">
        <f t="shared" si="440"/>
        <v>15.509157466026132</v>
      </c>
      <c r="BA166" s="460">
        <f t="shared" si="433"/>
        <v>501.79492716052454</v>
      </c>
      <c r="BB166" s="5">
        <f t="shared" si="434"/>
        <v>25.1028240080743</v>
      </c>
      <c r="BD166" s="173">
        <f t="shared" si="441"/>
        <v>8.0762268232466923</v>
      </c>
      <c r="BE166" s="173">
        <f t="shared" si="437"/>
        <v>8.8185931234134856</v>
      </c>
      <c r="BG166" s="528">
        <f t="shared" si="347"/>
        <v>1.3045087940105873</v>
      </c>
      <c r="BH166" s="528">
        <f t="shared" si="470"/>
        <v>0.45068635800288676</v>
      </c>
      <c r="BI166" s="528">
        <f t="shared" si="471"/>
        <v>1.5688538016679757E-2</v>
      </c>
      <c r="BJ166" s="528">
        <f t="shared" si="350"/>
        <v>3.9686016551590212E-3</v>
      </c>
      <c r="BK166">
        <f t="shared" si="351"/>
        <v>8.3211301436342793E-3</v>
      </c>
      <c r="BL166" s="460">
        <f t="shared" si="427"/>
        <v>24.009668160314039</v>
      </c>
      <c r="BM166" s="528">
        <f t="shared" si="472"/>
        <v>3.0597566458602388</v>
      </c>
      <c r="BN166" s="460">
        <f t="shared" si="353"/>
        <v>3059.7566458602387</v>
      </c>
      <c r="BO166" s="528">
        <f t="shared" si="354"/>
        <v>3.92</v>
      </c>
      <c r="BR166" s="460">
        <f t="shared" si="355"/>
        <v>3920</v>
      </c>
      <c r="BS166" s="528">
        <f t="shared" si="356"/>
        <v>1.9567631910158809</v>
      </c>
      <c r="BT166" s="528">
        <f t="shared" si="357"/>
        <v>2.3330275402894687</v>
      </c>
      <c r="BU166" s="528">
        <f t="shared" si="358"/>
        <v>0.65493288906471969</v>
      </c>
      <c r="BV166" s="528"/>
      <c r="BW166" s="528">
        <f t="shared" si="359"/>
        <v>1.455823654455226E-2</v>
      </c>
      <c r="BX166" s="460">
        <f t="shared" si="360"/>
        <v>4959.281856914622</v>
      </c>
      <c r="BY166" s="173">
        <f t="shared" si="361"/>
        <v>10.662455278743568</v>
      </c>
      <c r="BZ166" s="5">
        <f t="shared" si="362"/>
        <v>84.000000000000014</v>
      </c>
      <c r="CA166" s="173">
        <f t="shared" si="363"/>
        <v>0.88736341934775687</v>
      </c>
      <c r="CB166" s="5">
        <f t="shared" si="364"/>
        <v>88.73634193477568</v>
      </c>
      <c r="CE166" s="562">
        <f t="shared" si="473"/>
        <v>-50</v>
      </c>
      <c r="CF166">
        <f t="shared" si="474"/>
        <v>-50</v>
      </c>
      <c r="CG166" s="173">
        <f t="shared" si="475"/>
        <v>0.55053121455478926</v>
      </c>
      <c r="CI166" s="170">
        <v>56</v>
      </c>
      <c r="CJ166" s="217">
        <f t="shared" si="428"/>
        <v>5.6000000000000005</v>
      </c>
      <c r="CK166" s="217"/>
      <c r="CL166" s="217">
        <f t="shared" si="368"/>
        <v>84.000000000000014</v>
      </c>
      <c r="CM166" s="541">
        <f t="shared" si="369"/>
        <v>19</v>
      </c>
      <c r="CN166" s="443">
        <f t="shared" si="370"/>
        <v>15.4</v>
      </c>
      <c r="CO166" s="443">
        <f t="shared" si="371"/>
        <v>34.4</v>
      </c>
      <c r="CP166" s="443"/>
      <c r="CQ166" s="217">
        <f t="shared" si="372"/>
        <v>0.44767441860465118</v>
      </c>
      <c r="CR166" s="172">
        <f t="shared" si="429"/>
        <v>212.84736191860466</v>
      </c>
      <c r="CS166" s="172">
        <f t="shared" si="373"/>
        <v>84.000000000000014</v>
      </c>
      <c r="CT166" s="217">
        <f t="shared" si="374"/>
        <v>14.189824127906977</v>
      </c>
      <c r="CU166" s="217">
        <f t="shared" si="375"/>
        <v>15</v>
      </c>
      <c r="CV166" s="217"/>
      <c r="CW166" s="172">
        <f t="shared" si="376"/>
        <v>65.935996835456478</v>
      </c>
      <c r="CX166" s="172">
        <f t="shared" si="377"/>
        <v>15</v>
      </c>
      <c r="CY166" s="217">
        <f t="shared" si="378"/>
        <v>19.751196172248807</v>
      </c>
      <c r="CZ166" s="217">
        <f t="shared" si="379"/>
        <v>12.474439687736087</v>
      </c>
      <c r="DA166" s="217">
        <f t="shared" si="380"/>
        <v>15.390542471882187</v>
      </c>
      <c r="DB166" s="197">
        <f t="shared" si="381"/>
        <v>70.881782945736433</v>
      </c>
      <c r="DC166" s="443">
        <f t="shared" si="382"/>
        <v>35.887336811189236</v>
      </c>
      <c r="DE166" s="217">
        <f t="shared" si="383"/>
        <v>10.000000000000002</v>
      </c>
      <c r="DF166" s="173">
        <f t="shared" si="384"/>
        <v>7.792207792207793</v>
      </c>
      <c r="DG166" s="173">
        <f t="shared" si="385"/>
        <v>2.7616279069767451</v>
      </c>
      <c r="DH166" s="173"/>
      <c r="DI166" s="173">
        <f t="shared" si="386"/>
        <v>7.7922077922077913</v>
      </c>
      <c r="DJ166" s="545">
        <f t="shared" si="387"/>
        <v>143.73333333333335</v>
      </c>
      <c r="DK166" s="528">
        <f t="shared" si="388"/>
        <v>2.7616279069767442</v>
      </c>
      <c r="DM166" s="173">
        <f t="shared" si="389"/>
        <v>6.408327915038889</v>
      </c>
      <c r="DN166" s="173">
        <f t="shared" si="390"/>
        <v>19.751196172248807</v>
      </c>
      <c r="DO166" s="173">
        <f t="shared" si="391"/>
        <v>8.4231082757398568</v>
      </c>
      <c r="DQ166" s="545">
        <f t="shared" si="392"/>
        <v>5600.0000000000009</v>
      </c>
      <c r="DR166" s="460">
        <f t="shared" si="393"/>
        <v>35.887336811189236</v>
      </c>
      <c r="DT166">
        <f t="shared" si="430"/>
        <v>5600.0000000000009</v>
      </c>
      <c r="DU166">
        <f t="shared" si="431"/>
        <v>35.887336811189236</v>
      </c>
      <c r="DW166" s="5">
        <f t="shared" si="394"/>
        <v>27.864982159618265</v>
      </c>
      <c r="DX166" s="5">
        <f t="shared" si="395"/>
        <v>12.474439687736087</v>
      </c>
      <c r="DY166" s="5">
        <f t="shared" si="396"/>
        <v>15.390542471882178</v>
      </c>
      <c r="DZ166" s="5"/>
      <c r="EA166" s="173">
        <f t="shared" si="397"/>
        <v>0.44767441860465129</v>
      </c>
      <c r="EB166" s="173">
        <f t="shared" si="398"/>
        <v>84.000000000000043</v>
      </c>
      <c r="EC166" s="173">
        <f t="shared" si="399"/>
        <v>5.4545454545454541</v>
      </c>
      <c r="ED166" s="173">
        <f t="shared" si="400"/>
        <v>15.400000000000009</v>
      </c>
      <c r="EE166" s="460">
        <f t="shared" si="401"/>
        <v>465.71241500881399</v>
      </c>
      <c r="EF166" s="5">
        <f t="shared" si="402"/>
        <v>23.46289596439388</v>
      </c>
      <c r="EH166" s="173">
        <f t="shared" si="403"/>
        <v>7.6298133578811598</v>
      </c>
      <c r="EI166" s="173">
        <f t="shared" si="404"/>
        <v>8.4748174927517006</v>
      </c>
      <c r="EK166" s="528">
        <f t="shared" si="405"/>
        <v>1.1642810375220356</v>
      </c>
      <c r="EL166" s="528">
        <f t="shared" si="406"/>
        <v>0.48766666666666686</v>
      </c>
      <c r="EM166" s="528">
        <f t="shared" si="407"/>
        <v>4.4859171013986541E-3</v>
      </c>
      <c r="EN166" s="528">
        <f t="shared" si="408"/>
        <v>4.2467638888888893E-3</v>
      </c>
      <c r="EO166">
        <f t="shared" si="409"/>
        <v>8.5500000000000003E-3</v>
      </c>
      <c r="EP166" s="460">
        <f t="shared" si="410"/>
        <v>13.035917101398654</v>
      </c>
      <c r="EQ166" s="460"/>
      <c r="ER166" s="460">
        <f t="shared" si="432"/>
        <v>1669.23038517899</v>
      </c>
      <c r="ES166" s="528">
        <f t="shared" si="411"/>
        <v>3.92</v>
      </c>
      <c r="EV166" s="460">
        <f t="shared" si="412"/>
        <v>3920</v>
      </c>
      <c r="EW166" s="528">
        <f t="shared" si="413"/>
        <v>1.7464215562830532</v>
      </c>
      <c r="EX166" s="528">
        <f t="shared" si="414"/>
        <v>2.1546759460635068</v>
      </c>
      <c r="EY166" s="528">
        <f t="shared" si="415"/>
        <v>0.66881589702681343</v>
      </c>
      <c r="EZ166" s="528"/>
      <c r="FA166" s="528">
        <f t="shared" si="416"/>
        <v>1.4000000000000011E-2</v>
      </c>
      <c r="FB166" s="460">
        <f t="shared" si="417"/>
        <v>4583.9133993733731</v>
      </c>
      <c r="FC166" s="173">
        <f t="shared" si="418"/>
        <v>10.173143784552362</v>
      </c>
      <c r="FD166" s="5">
        <f t="shared" si="419"/>
        <v>84.000000000000014</v>
      </c>
      <c r="FE166" s="173">
        <f t="shared" si="420"/>
        <v>0.89197404508629019</v>
      </c>
      <c r="FF166" s="5">
        <f t="shared" si="421"/>
        <v>89.19740450862902</v>
      </c>
      <c r="FI166" s="562">
        <f t="shared" si="422"/>
        <v>-50</v>
      </c>
      <c r="FJ166">
        <f t="shared" si="423"/>
        <v>-50</v>
      </c>
      <c r="FL166">
        <f t="shared" si="476"/>
        <v>0.55232558139534871</v>
      </c>
    </row>
    <row r="167" spans="5:168">
      <c r="E167" s="170">
        <v>57</v>
      </c>
      <c r="F167" s="217">
        <f t="shared" si="477"/>
        <v>5.6999999999999993</v>
      </c>
      <c r="G167" s="217"/>
      <c r="H167" s="217">
        <f t="shared" si="442"/>
        <v>85.499999999999986</v>
      </c>
      <c r="I167" s="541">
        <f t="shared" si="443"/>
        <v>18.4823477820844</v>
      </c>
      <c r="J167" s="172">
        <f t="shared" si="444"/>
        <v>15.710591330749361</v>
      </c>
      <c r="K167" s="172">
        <f t="shared" si="445"/>
        <v>34.192939112833763</v>
      </c>
      <c r="L167" s="443"/>
      <c r="M167" s="217">
        <f t="shared" si="446"/>
        <v>0.45945320518509275</v>
      </c>
      <c r="N167" s="172">
        <f t="shared" si="447"/>
        <v>212.49602782639252</v>
      </c>
      <c r="O167" s="172">
        <f t="shared" si="438"/>
        <v>85.499999999999986</v>
      </c>
      <c r="P167" s="217">
        <f t="shared" si="448"/>
        <v>14.166401855092834</v>
      </c>
      <c r="Q167" s="217">
        <f t="shared" si="449"/>
        <v>15</v>
      </c>
      <c r="R167" s="217"/>
      <c r="S167" s="172">
        <f t="shared" si="450"/>
        <v>62.697747537196612</v>
      </c>
      <c r="T167" s="172">
        <f t="shared" si="451"/>
        <v>15</v>
      </c>
      <c r="U167" s="217">
        <f t="shared" si="452"/>
        <v>21.089755982927542</v>
      </c>
      <c r="V167" s="217">
        <f t="shared" si="453"/>
        <v>13.692907133824589</v>
      </c>
      <c r="W167" s="217">
        <f t="shared" si="454"/>
        <v>16.108691676028677</v>
      </c>
      <c r="X167" s="197">
        <f t="shared" si="455"/>
        <v>70.767196476568444</v>
      </c>
      <c r="Y167" s="443">
        <f t="shared" si="328"/>
        <v>33.331556972609583</v>
      </c>
      <c r="AA167" s="217">
        <f t="shared" si="456"/>
        <v>10</v>
      </c>
      <c r="AB167" s="173">
        <f t="shared" si="457"/>
        <v>7.6381593457358594</v>
      </c>
      <c r="AC167" s="173">
        <f t="shared" si="458"/>
        <v>2.7026556156951349</v>
      </c>
      <c r="AD167" s="173"/>
      <c r="AE167" s="173">
        <f t="shared" si="459"/>
        <v>7.6381593457358594</v>
      </c>
      <c r="AF167" s="545">
        <f t="shared" si="460"/>
        <v>149.2506176421189</v>
      </c>
      <c r="AG167" s="528">
        <f t="shared" si="461"/>
        <v>2.7026556156951353</v>
      </c>
      <c r="AI167" s="173">
        <f t="shared" si="462"/>
        <v>6.5301633679437128</v>
      </c>
      <c r="AJ167" s="173">
        <f t="shared" si="463"/>
        <v>21.089755982927542</v>
      </c>
      <c r="AK167" s="173">
        <f t="shared" si="464"/>
        <v>9.4146340614278081</v>
      </c>
      <c r="AM167" s="545">
        <f t="shared" si="465"/>
        <v>5699.9999999999991</v>
      </c>
      <c r="AN167" s="460">
        <f t="shared" si="466"/>
        <v>33.331556972609583</v>
      </c>
      <c r="AP167">
        <f t="shared" si="467"/>
        <v>5699.9999999999991</v>
      </c>
      <c r="AQ167">
        <f t="shared" si="468"/>
        <v>33.331556972609583</v>
      </c>
      <c r="AS167" s="5">
        <f t="shared" si="439"/>
        <v>30.001598809853267</v>
      </c>
      <c r="AT167" s="5">
        <f t="shared" si="469"/>
        <v>13.692907133824589</v>
      </c>
      <c r="AU167" s="5">
        <f t="shared" si="343"/>
        <v>16.30869167602868</v>
      </c>
      <c r="AV167" s="5"/>
      <c r="AW167" s="173">
        <f t="shared" si="344"/>
        <v>0.45640591425172644</v>
      </c>
      <c r="AX167" s="173">
        <f t="shared" si="435"/>
        <v>88.950820968918251</v>
      </c>
      <c r="AY167" s="173">
        <f t="shared" si="436"/>
        <v>5.7321333110968391</v>
      </c>
      <c r="AZ167" s="173">
        <f t="shared" si="440"/>
        <v>15.517926074175268</v>
      </c>
      <c r="BA167" s="460">
        <f t="shared" si="433"/>
        <v>520.33047108533435</v>
      </c>
      <c r="BB167" s="5">
        <f t="shared" si="434"/>
        <v>26.015375631535573</v>
      </c>
      <c r="BD167" s="173">
        <f t="shared" si="441"/>
        <v>8.2259593530510156</v>
      </c>
      <c r="BE167" s="173">
        <f t="shared" si="437"/>
        <v>8.9773527201375956</v>
      </c>
      <c r="BG167" s="528">
        <f t="shared" si="347"/>
        <v>1.3533281455609498</v>
      </c>
      <c r="BH167" s="528">
        <f t="shared" si="470"/>
        <v>0.45067644569490978</v>
      </c>
      <c r="BI167" s="528">
        <f t="shared" si="471"/>
        <v>1.5401135702153264E-2</v>
      </c>
      <c r="BJ167" s="528">
        <f t="shared" si="350"/>
        <v>3.8969825994405911E-3</v>
      </c>
      <c r="BK167">
        <f t="shared" si="351"/>
        <v>8.3170565019379805E-3</v>
      </c>
      <c r="BL167" s="460">
        <f t="shared" si="427"/>
        <v>23.718192204091242</v>
      </c>
      <c r="BM167" s="528">
        <f t="shared" si="472"/>
        <v>3.2033350008827308</v>
      </c>
      <c r="BN167" s="460">
        <f t="shared" si="353"/>
        <v>3203.335000882731</v>
      </c>
      <c r="BO167" s="528">
        <f t="shared" si="354"/>
        <v>3.9899999999999993</v>
      </c>
      <c r="BR167" s="460">
        <f t="shared" si="355"/>
        <v>3989.9999999999995</v>
      </c>
      <c r="BS167" s="528">
        <f t="shared" si="356"/>
        <v>2.0299922183414245</v>
      </c>
      <c r="BT167" s="528">
        <f t="shared" si="357"/>
        <v>2.4177858558528564</v>
      </c>
      <c r="BU167" s="528">
        <f t="shared" si="358"/>
        <v>0.65507027537877005</v>
      </c>
      <c r="BV167" s="528"/>
      <c r="BW167" s="528">
        <f t="shared" si="359"/>
        <v>1.4825136828153042E-2</v>
      </c>
      <c r="BX167" s="460">
        <f t="shared" si="360"/>
        <v>5117.6734864012033</v>
      </c>
      <c r="BY167" s="173">
        <f t="shared" si="361"/>
        <v>10.939293252460594</v>
      </c>
      <c r="BZ167" s="5">
        <f t="shared" si="362"/>
        <v>85.499999999999986</v>
      </c>
      <c r="CA167" s="173">
        <f t="shared" si="363"/>
        <v>0.88656808979485668</v>
      </c>
      <c r="CB167" s="5">
        <f t="shared" si="364"/>
        <v>88.656808979485675</v>
      </c>
      <c r="CE167" s="562">
        <f t="shared" si="473"/>
        <v>-50</v>
      </c>
      <c r="CF167">
        <f t="shared" si="474"/>
        <v>-50</v>
      </c>
      <c r="CG167" s="173">
        <f t="shared" si="475"/>
        <v>0.55056269467479912</v>
      </c>
      <c r="CI167" s="170">
        <v>57</v>
      </c>
      <c r="CJ167" s="217">
        <f t="shared" si="428"/>
        <v>5.6999999999999993</v>
      </c>
      <c r="CK167" s="217"/>
      <c r="CL167" s="217">
        <f t="shared" si="368"/>
        <v>85.499999999999986</v>
      </c>
      <c r="CM167" s="541">
        <f t="shared" si="369"/>
        <v>19</v>
      </c>
      <c r="CN167" s="443">
        <f t="shared" si="370"/>
        <v>15.4</v>
      </c>
      <c r="CO167" s="443">
        <f t="shared" si="371"/>
        <v>34.4</v>
      </c>
      <c r="CP167" s="443"/>
      <c r="CQ167" s="217">
        <f t="shared" si="372"/>
        <v>0.44767441860465118</v>
      </c>
      <c r="CR167" s="172">
        <f t="shared" si="429"/>
        <v>212.84736191860466</v>
      </c>
      <c r="CS167" s="172">
        <f t="shared" si="373"/>
        <v>85.499999999999986</v>
      </c>
      <c r="CT167" s="217">
        <f t="shared" si="374"/>
        <v>14.189824127906977</v>
      </c>
      <c r="CU167" s="217">
        <f t="shared" si="375"/>
        <v>15</v>
      </c>
      <c r="CV167" s="217"/>
      <c r="CW167" s="172">
        <f t="shared" si="376"/>
        <v>64.45052590646624</v>
      </c>
      <c r="CX167" s="172">
        <f t="shared" si="377"/>
        <v>15</v>
      </c>
      <c r="CY167" s="217">
        <f t="shared" si="378"/>
        <v>20.103896103896098</v>
      </c>
      <c r="CZ167" s="217">
        <f t="shared" si="379"/>
        <v>12.697197539302799</v>
      </c>
      <c r="DA167" s="217">
        <f t="shared" si="380"/>
        <v>15.665373587451505</v>
      </c>
      <c r="DB167" s="197">
        <f t="shared" si="381"/>
        <v>70.881782945736433</v>
      </c>
      <c r="DC167" s="443">
        <f t="shared" si="382"/>
        <v>35.257734410992938</v>
      </c>
      <c r="DE167" s="217">
        <f t="shared" si="383"/>
        <v>10.000000000000002</v>
      </c>
      <c r="DF167" s="173">
        <f t="shared" si="384"/>
        <v>7.792207792207793</v>
      </c>
      <c r="DG167" s="173">
        <f t="shared" si="385"/>
        <v>2.7616279069767451</v>
      </c>
      <c r="DH167" s="173"/>
      <c r="DI167" s="173">
        <f t="shared" si="386"/>
        <v>7.7922077922077913</v>
      </c>
      <c r="DJ167" s="545">
        <f t="shared" si="387"/>
        <v>146.30000000000001</v>
      </c>
      <c r="DK167" s="528">
        <f t="shared" si="388"/>
        <v>2.7616279069767442</v>
      </c>
      <c r="DM167" s="173">
        <f t="shared" si="389"/>
        <v>6.4652919500978454</v>
      </c>
      <c r="DN167" s="173">
        <f t="shared" si="390"/>
        <v>20.103896103896098</v>
      </c>
      <c r="DO167" s="173">
        <f t="shared" si="391"/>
        <v>8.6843674843674794</v>
      </c>
      <c r="DQ167" s="545">
        <f t="shared" si="392"/>
        <v>5699.9999999999991</v>
      </c>
      <c r="DR167" s="460">
        <f t="shared" si="393"/>
        <v>35.257734410992938</v>
      </c>
      <c r="DT167">
        <f t="shared" si="430"/>
        <v>5699.9999999999991</v>
      </c>
      <c r="DU167">
        <f t="shared" si="431"/>
        <v>35.257734410992938</v>
      </c>
      <c r="DW167" s="5">
        <f t="shared" si="394"/>
        <v>28.362571126754304</v>
      </c>
      <c r="DX167" s="5">
        <f t="shared" si="395"/>
        <v>12.697197539302799</v>
      </c>
      <c r="DY167" s="5">
        <f t="shared" si="396"/>
        <v>15.665373587451505</v>
      </c>
      <c r="DZ167" s="5"/>
      <c r="EA167" s="173">
        <f t="shared" si="397"/>
        <v>0.44767441860465118</v>
      </c>
      <c r="EB167" s="173">
        <f t="shared" si="398"/>
        <v>85.499999999999972</v>
      </c>
      <c r="EC167" s="173">
        <f t="shared" si="399"/>
        <v>5.5519480519480497</v>
      </c>
      <c r="ED167" s="173">
        <f t="shared" si="400"/>
        <v>15.4</v>
      </c>
      <c r="EE167" s="460">
        <f t="shared" si="401"/>
        <v>482.49350649350623</v>
      </c>
      <c r="EF167" s="5">
        <f t="shared" si="402"/>
        <v>24.308338325355777</v>
      </c>
      <c r="EH167" s="173">
        <f t="shared" si="403"/>
        <v>7.7660600249861753</v>
      </c>
      <c r="EI167" s="173">
        <f t="shared" si="404"/>
        <v>8.6261535194079766</v>
      </c>
      <c r="EK167" s="528">
        <f t="shared" si="405"/>
        <v>1.2062337662337654</v>
      </c>
      <c r="EL167" s="528">
        <f t="shared" si="406"/>
        <v>0.48766666666666664</v>
      </c>
      <c r="EM167" s="528">
        <f t="shared" si="407"/>
        <v>4.4072168013741166E-3</v>
      </c>
      <c r="EN167" s="528">
        <f t="shared" si="408"/>
        <v>4.1722592592592601E-3</v>
      </c>
      <c r="EO167">
        <f t="shared" si="409"/>
        <v>8.5500000000000003E-3</v>
      </c>
      <c r="EP167" s="460">
        <f t="shared" si="410"/>
        <v>12.957216801374116</v>
      </c>
      <c r="EQ167" s="460"/>
      <c r="ER167" s="460">
        <f t="shared" si="432"/>
        <v>1711.0299089610655</v>
      </c>
      <c r="ES167" s="528">
        <f t="shared" si="411"/>
        <v>3.9899999999999993</v>
      </c>
      <c r="EV167" s="460">
        <f t="shared" si="412"/>
        <v>3989.9999999999995</v>
      </c>
      <c r="EW167" s="528">
        <f t="shared" si="413"/>
        <v>1.8093506493506482</v>
      </c>
      <c r="EX167" s="528">
        <f t="shared" si="414"/>
        <v>2.2323157362118384</v>
      </c>
      <c r="EY167" s="528">
        <f t="shared" si="415"/>
        <v>0.66881589702681232</v>
      </c>
      <c r="EZ167" s="528"/>
      <c r="FA167" s="528">
        <f t="shared" si="416"/>
        <v>1.4249999999999995E-2</v>
      </c>
      <c r="FB167" s="460">
        <f t="shared" si="417"/>
        <v>4724.7322825892979</v>
      </c>
      <c r="FC167" s="173">
        <f t="shared" si="418"/>
        <v>10.425762191550364</v>
      </c>
      <c r="FD167" s="5">
        <f t="shared" si="419"/>
        <v>85.499999999999986</v>
      </c>
      <c r="FE167" s="173">
        <f t="shared" si="420"/>
        <v>0.89131426268230662</v>
      </c>
      <c r="FF167" s="5">
        <f t="shared" si="421"/>
        <v>89.131426268230669</v>
      </c>
      <c r="FI167" s="562">
        <f t="shared" si="422"/>
        <v>-50</v>
      </c>
      <c r="FJ167">
        <f t="shared" si="423"/>
        <v>-50</v>
      </c>
      <c r="FL167">
        <f t="shared" si="476"/>
        <v>0.55232558139534882</v>
      </c>
    </row>
    <row r="168" spans="5:168">
      <c r="E168" s="170">
        <v>58</v>
      </c>
      <c r="F168" s="217">
        <f t="shared" si="477"/>
        <v>5.8</v>
      </c>
      <c r="G168" s="217"/>
      <c r="H168" s="217">
        <f t="shared" si="442"/>
        <v>87</v>
      </c>
      <c r="I168" s="541">
        <f t="shared" si="443"/>
        <v>18.473295241713462</v>
      </c>
      <c r="J168" s="172">
        <f t="shared" si="444"/>
        <v>15.716022854971923</v>
      </c>
      <c r="K168" s="172">
        <f t="shared" si="445"/>
        <v>34.189318096685383</v>
      </c>
      <c r="L168" s="443"/>
      <c r="M168" s="217">
        <f t="shared" si="446"/>
        <v>0.45966073921612316</v>
      </c>
      <c r="N168" s="172">
        <f t="shared" si="447"/>
        <v>212.48788556707342</v>
      </c>
      <c r="O168" s="172">
        <f t="shared" si="438"/>
        <v>87</v>
      </c>
      <c r="P168" s="217">
        <f t="shared" si="448"/>
        <v>14.165859037804895</v>
      </c>
      <c r="Q168" s="217">
        <f t="shared" si="449"/>
        <v>15</v>
      </c>
      <c r="R168" s="217"/>
      <c r="S168" s="172">
        <f t="shared" si="450"/>
        <v>61.272792230198547</v>
      </c>
      <c r="T168" s="172">
        <f t="shared" si="451"/>
        <v>15</v>
      </c>
      <c r="U168" s="217">
        <f t="shared" si="452"/>
        <v>21.467993984319662</v>
      </c>
      <c r="V168" s="217">
        <f t="shared" si="453"/>
        <v>13.945315356089182</v>
      </c>
      <c r="W168" s="217">
        <f t="shared" si="454"/>
        <v>16.391928809796593</v>
      </c>
      <c r="X168" s="197">
        <f t="shared" si="455"/>
        <v>70.764482979836444</v>
      </c>
      <c r="Y168" s="443">
        <f t="shared" si="328"/>
        <v>32.746897348292322</v>
      </c>
      <c r="AA168" s="217">
        <f t="shared" si="456"/>
        <v>10</v>
      </c>
      <c r="AB168" s="173">
        <f t="shared" si="457"/>
        <v>7.6355195654374342</v>
      </c>
      <c r="AC168" s="173">
        <f t="shared" si="458"/>
        <v>2.7016179716530275</v>
      </c>
      <c r="AD168" s="173"/>
      <c r="AE168" s="173">
        <f t="shared" si="459"/>
        <v>7.6355195654374342</v>
      </c>
      <c r="AF168" s="545">
        <f t="shared" si="460"/>
        <v>151.9215542647286</v>
      </c>
      <c r="AG168" s="528">
        <f t="shared" si="461"/>
        <v>2.7016179716530271</v>
      </c>
      <c r="AI168" s="173">
        <f t="shared" si="462"/>
        <v>6.5883350219422674</v>
      </c>
      <c r="AJ168" s="173">
        <f t="shared" si="463"/>
        <v>21.467993984319662</v>
      </c>
      <c r="AK168" s="173">
        <f t="shared" si="464"/>
        <v>9.6948103587553049</v>
      </c>
      <c r="AM168" s="545">
        <f t="shared" si="465"/>
        <v>5800</v>
      </c>
      <c r="AN168" s="460">
        <f t="shared" si="466"/>
        <v>32.746897348292322</v>
      </c>
      <c r="AP168">
        <f t="shared" si="467"/>
        <v>5800</v>
      </c>
      <c r="AQ168">
        <f t="shared" si="468"/>
        <v>32.746897348292322</v>
      </c>
      <c r="AS168" s="5">
        <f t="shared" si="439"/>
        <v>30.53724416588577</v>
      </c>
      <c r="AT168" s="5">
        <f t="shared" si="469"/>
        <v>13.945315356089182</v>
      </c>
      <c r="AU168" s="5">
        <f t="shared" si="343"/>
        <v>16.591928809796588</v>
      </c>
      <c r="AV168" s="5"/>
      <c r="AW168" s="173">
        <f t="shared" si="344"/>
        <v>0.4566658104554171</v>
      </c>
      <c r="AX168" s="173">
        <f t="shared" si="435"/>
        <v>90.553311858896151</v>
      </c>
      <c r="AY168" s="173">
        <f t="shared" si="436"/>
        <v>5.8321475563091525</v>
      </c>
      <c r="AZ168" s="173">
        <f t="shared" si="440"/>
        <v>15.52658107234214</v>
      </c>
      <c r="BA168" s="460">
        <f t="shared" si="433"/>
        <v>539.21886043544828</v>
      </c>
      <c r="BB168" s="5">
        <f t="shared" si="434"/>
        <v>26.94472522530468</v>
      </c>
      <c r="BD168" s="173">
        <f t="shared" si="441"/>
        <v>8.3758730570165287</v>
      </c>
      <c r="BE168" s="173">
        <f t="shared" si="437"/>
        <v>9.1361738400897163</v>
      </c>
      <c r="BG168" s="528">
        <f t="shared" si="347"/>
        <v>1.4031049893451084</v>
      </c>
      <c r="BH168" s="528">
        <f t="shared" si="470"/>
        <v>0.45066448484215849</v>
      </c>
      <c r="BI168" s="528">
        <f t="shared" si="471"/>
        <v>1.5123577574127193E-2</v>
      </c>
      <c r="BJ168" s="528">
        <f t="shared" si="350"/>
        <v>3.8278158486290928E-3</v>
      </c>
      <c r="BK168">
        <f t="shared" si="351"/>
        <v>8.3129828587710577E-3</v>
      </c>
      <c r="BL168" s="460">
        <f t="shared" si="427"/>
        <v>23.436560432898251</v>
      </c>
      <c r="BM168" s="528">
        <f t="shared" si="472"/>
        <v>3.3548769516110624</v>
      </c>
      <c r="BN168" s="460">
        <f t="shared" si="353"/>
        <v>3354.8769516110624</v>
      </c>
      <c r="BO168" s="528">
        <f t="shared" si="354"/>
        <v>4.0599999999999996</v>
      </c>
      <c r="BR168" s="460">
        <f t="shared" si="355"/>
        <v>4059.9999999999995</v>
      </c>
      <c r="BS168" s="528">
        <f t="shared" si="356"/>
        <v>2.1046574840176624</v>
      </c>
      <c r="BT168" s="528">
        <f t="shared" si="357"/>
        <v>2.5040901730901903</v>
      </c>
      <c r="BU168" s="528">
        <f t="shared" si="358"/>
        <v>0.65520026241593743</v>
      </c>
      <c r="BV168" s="528"/>
      <c r="BW168" s="528">
        <f t="shared" si="359"/>
        <v>1.5092218643149358E-2</v>
      </c>
      <c r="BX168" s="460">
        <f t="shared" si="360"/>
        <v>5279.040138166939</v>
      </c>
      <c r="BY168" s="173">
        <f t="shared" si="361"/>
        <v>11.220073988635733</v>
      </c>
      <c r="BZ168" s="5">
        <f t="shared" si="362"/>
        <v>87</v>
      </c>
      <c r="CA168" s="173">
        <f t="shared" si="363"/>
        <v>0.88576597906112431</v>
      </c>
      <c r="CB168" s="5">
        <f t="shared" si="364"/>
        <v>88.576597906112426</v>
      </c>
      <c r="CE168" s="562">
        <f t="shared" si="473"/>
        <v>-50</v>
      </c>
      <c r="CF168">
        <f t="shared" si="474"/>
        <v>-50</v>
      </c>
      <c r="CG168" s="173">
        <f t="shared" si="475"/>
        <v>0.55059308927342931</v>
      </c>
      <c r="CI168" s="170">
        <v>58</v>
      </c>
      <c r="CJ168" s="217">
        <f t="shared" si="428"/>
        <v>5.8</v>
      </c>
      <c r="CK168" s="217"/>
      <c r="CL168" s="217">
        <f t="shared" si="368"/>
        <v>87</v>
      </c>
      <c r="CM168" s="541">
        <f t="shared" si="369"/>
        <v>19</v>
      </c>
      <c r="CN168" s="443">
        <f t="shared" si="370"/>
        <v>15.4</v>
      </c>
      <c r="CO168" s="443">
        <f t="shared" si="371"/>
        <v>34.4</v>
      </c>
      <c r="CP168" s="443"/>
      <c r="CQ168" s="217">
        <f t="shared" si="372"/>
        <v>0.44767441860465118</v>
      </c>
      <c r="CR168" s="172">
        <f t="shared" si="429"/>
        <v>212.84736191860466</v>
      </c>
      <c r="CS168" s="172">
        <f t="shared" si="373"/>
        <v>87</v>
      </c>
      <c r="CT168" s="217">
        <f t="shared" si="374"/>
        <v>14.189824127906977</v>
      </c>
      <c r="CU168" s="217">
        <f t="shared" si="375"/>
        <v>15</v>
      </c>
      <c r="CV168" s="217"/>
      <c r="CW168" s="172">
        <f t="shared" si="376"/>
        <v>63.016394551119745</v>
      </c>
      <c r="CX168" s="172">
        <f t="shared" si="377"/>
        <v>15</v>
      </c>
      <c r="CY168" s="217">
        <f t="shared" si="378"/>
        <v>20.456596035543402</v>
      </c>
      <c r="CZ168" s="217">
        <f t="shared" si="379"/>
        <v>12.919955390869518</v>
      </c>
      <c r="DA168" s="217">
        <f t="shared" si="380"/>
        <v>15.940204703020834</v>
      </c>
      <c r="DB168" s="197">
        <f t="shared" si="381"/>
        <v>70.881782945736433</v>
      </c>
      <c r="DC168" s="443">
        <f t="shared" si="382"/>
        <v>34.649842438389605</v>
      </c>
      <c r="DE168" s="217">
        <f t="shared" si="383"/>
        <v>10.000000000000002</v>
      </c>
      <c r="DF168" s="173">
        <f t="shared" si="384"/>
        <v>7.792207792207793</v>
      </c>
      <c r="DG168" s="173">
        <f t="shared" si="385"/>
        <v>2.7616279069767451</v>
      </c>
      <c r="DH168" s="173"/>
      <c r="DI168" s="173">
        <f t="shared" si="386"/>
        <v>7.7922077922077913</v>
      </c>
      <c r="DJ168" s="545">
        <f t="shared" si="387"/>
        <v>148.86666666666665</v>
      </c>
      <c r="DK168" s="528">
        <f t="shared" si="388"/>
        <v>2.7616279069767442</v>
      </c>
      <c r="DM168" s="173">
        <f t="shared" si="389"/>
        <v>6.521758454077653</v>
      </c>
      <c r="DN168" s="173">
        <f t="shared" si="390"/>
        <v>20.456596035543402</v>
      </c>
      <c r="DO168" s="173">
        <f t="shared" si="391"/>
        <v>8.9456266929951127</v>
      </c>
      <c r="DQ168" s="545">
        <f t="shared" si="392"/>
        <v>5800</v>
      </c>
      <c r="DR168" s="460">
        <f t="shared" si="393"/>
        <v>34.649842438389605</v>
      </c>
      <c r="DT168">
        <f t="shared" si="430"/>
        <v>5800</v>
      </c>
      <c r="DU168">
        <f t="shared" si="431"/>
        <v>34.649842438389605</v>
      </c>
      <c r="DW168" s="5">
        <f t="shared" si="394"/>
        <v>28.86016009389035</v>
      </c>
      <c r="DX168" s="5">
        <f t="shared" si="395"/>
        <v>12.919955390869518</v>
      </c>
      <c r="DY168" s="5">
        <f t="shared" si="396"/>
        <v>15.940204703020832</v>
      </c>
      <c r="DZ168" s="5"/>
      <c r="EA168" s="173">
        <f t="shared" si="397"/>
        <v>0.44767441860465118</v>
      </c>
      <c r="EB168" s="173">
        <f t="shared" si="398"/>
        <v>87</v>
      </c>
      <c r="EC168" s="173">
        <f t="shared" si="399"/>
        <v>5.6493506493506489</v>
      </c>
      <c r="ED168" s="173">
        <f t="shared" si="400"/>
        <v>15.4</v>
      </c>
      <c r="EE168" s="460">
        <f t="shared" si="401"/>
        <v>499.57160844695466</v>
      </c>
      <c r="EF168" s="5">
        <f t="shared" si="402"/>
        <v>25.168744267927625</v>
      </c>
      <c r="EH168" s="173">
        <f t="shared" si="403"/>
        <v>7.902306692091198</v>
      </c>
      <c r="EI168" s="173">
        <f t="shared" si="404"/>
        <v>8.7774895460642597</v>
      </c>
      <c r="EK168" s="528">
        <f t="shared" si="405"/>
        <v>1.2489290211173867</v>
      </c>
      <c r="EL168" s="528">
        <f t="shared" si="406"/>
        <v>0.48766666666666664</v>
      </c>
      <c r="EM168" s="528">
        <f t="shared" si="407"/>
        <v>4.3312303047987003E-3</v>
      </c>
      <c r="EN168" s="528">
        <f t="shared" si="408"/>
        <v>4.1003237547892722E-3</v>
      </c>
      <c r="EO168">
        <f t="shared" si="409"/>
        <v>8.5500000000000003E-3</v>
      </c>
      <c r="EP168" s="460">
        <f t="shared" si="410"/>
        <v>12.8812303047987</v>
      </c>
      <c r="EQ168" s="460"/>
      <c r="ER168" s="460">
        <f t="shared" si="432"/>
        <v>1753.5772418436413</v>
      </c>
      <c r="ES168" s="528">
        <f t="shared" si="411"/>
        <v>4.0599999999999996</v>
      </c>
      <c r="EV168" s="460">
        <f t="shared" si="412"/>
        <v>4059.9999999999995</v>
      </c>
      <c r="EW168" s="528">
        <f t="shared" si="413"/>
        <v>1.8733935316760799</v>
      </c>
      <c r="EX168" s="528">
        <f t="shared" si="414"/>
        <v>2.3113296819380205</v>
      </c>
      <c r="EY168" s="528">
        <f t="shared" si="415"/>
        <v>0.66881589702681221</v>
      </c>
      <c r="EZ168" s="528"/>
      <c r="FA168" s="528">
        <f t="shared" si="416"/>
        <v>1.4500000000000001E-2</v>
      </c>
      <c r="FB168" s="460">
        <f t="shared" si="417"/>
        <v>4868.0391106409124</v>
      </c>
      <c r="FC168" s="173">
        <f t="shared" si="418"/>
        <v>10.681616352484554</v>
      </c>
      <c r="FD168" s="5">
        <f t="shared" si="419"/>
        <v>87</v>
      </c>
      <c r="FE168" s="173">
        <f t="shared" si="420"/>
        <v>0.89064865272151217</v>
      </c>
      <c r="FF168" s="5">
        <f t="shared" si="421"/>
        <v>89.064865272151224</v>
      </c>
      <c r="FI168" s="562">
        <f t="shared" si="422"/>
        <v>-50</v>
      </c>
      <c r="FJ168">
        <f t="shared" si="423"/>
        <v>-50</v>
      </c>
      <c r="FL168">
        <f t="shared" si="476"/>
        <v>0.55232558139534882</v>
      </c>
    </row>
    <row r="169" spans="5:168">
      <c r="E169" s="170">
        <v>59</v>
      </c>
      <c r="F169" s="217">
        <f t="shared" si="477"/>
        <v>5.8999999999999995</v>
      </c>
      <c r="G169" s="217"/>
      <c r="H169" s="217">
        <f t="shared" si="442"/>
        <v>88.499999999999986</v>
      </c>
      <c r="I169" s="541">
        <f t="shared" si="443"/>
        <v>18.464242698241165</v>
      </c>
      <c r="J169" s="172">
        <f t="shared" si="444"/>
        <v>15.721454381055301</v>
      </c>
      <c r="K169" s="172">
        <f t="shared" si="445"/>
        <v>34.185697079296467</v>
      </c>
      <c r="L169" s="443"/>
      <c r="M169" s="217">
        <f t="shared" si="446"/>
        <v>0.45986831725430888</v>
      </c>
      <c r="N169" s="172">
        <f t="shared" si="447"/>
        <v>212.4796695805847</v>
      </c>
      <c r="O169" s="172">
        <f t="shared" si="438"/>
        <v>88.499999999999986</v>
      </c>
      <c r="P169" s="217">
        <f t="shared" si="448"/>
        <v>14.165311305372313</v>
      </c>
      <c r="Q169" s="217">
        <f t="shared" si="449"/>
        <v>15</v>
      </c>
      <c r="R169" s="217"/>
      <c r="S169" s="172">
        <f t="shared" si="450"/>
        <v>59.896563339368456</v>
      </c>
      <c r="T169" s="172">
        <f t="shared" si="451"/>
        <v>15</v>
      </c>
      <c r="U169" s="217">
        <f t="shared" si="452"/>
        <v>21.846524425333087</v>
      </c>
      <c r="V169" s="217">
        <f t="shared" si="453"/>
        <v>14.198161137091708</v>
      </c>
      <c r="W169" s="217">
        <f t="shared" si="454"/>
        <v>16.675193449017257</v>
      </c>
      <c r="X169" s="197">
        <f t="shared" si="455"/>
        <v>70.761744935753185</v>
      </c>
      <c r="Y169" s="443">
        <f t="shared" si="328"/>
        <v>32.181913196042245</v>
      </c>
      <c r="AA169" s="217">
        <f t="shared" si="456"/>
        <v>10</v>
      </c>
      <c r="AB169" s="173">
        <f t="shared" si="457"/>
        <v>7.6328816082437418</v>
      </c>
      <c r="AC169" s="173">
        <f t="shared" si="458"/>
        <v>2.7005801074367257</v>
      </c>
      <c r="AD169" s="173"/>
      <c r="AE169" s="173">
        <f t="shared" si="459"/>
        <v>7.6328816082437418</v>
      </c>
      <c r="AF169" s="545">
        <f t="shared" si="460"/>
        <v>154.59430141371044</v>
      </c>
      <c r="AG169" s="528">
        <f t="shared" si="461"/>
        <v>2.7005801074367257</v>
      </c>
      <c r="AI169" s="173">
        <f t="shared" si="462"/>
        <v>6.6460364431680077</v>
      </c>
      <c r="AJ169" s="173">
        <f t="shared" si="463"/>
        <v>21.846524425333087</v>
      </c>
      <c r="AK169" s="173">
        <f t="shared" si="464"/>
        <v>9.975203278024507</v>
      </c>
      <c r="AM169" s="545">
        <f t="shared" si="465"/>
        <v>5899.9999999999991</v>
      </c>
      <c r="AN169" s="460">
        <f t="shared" si="466"/>
        <v>32.181913196042245</v>
      </c>
      <c r="AP169">
        <f t="shared" si="467"/>
        <v>5899.9999999999991</v>
      </c>
      <c r="AQ169">
        <f t="shared" si="468"/>
        <v>32.181913196042245</v>
      </c>
      <c r="AS169" s="5">
        <f t="shared" si="439"/>
        <v>31.073354586108969</v>
      </c>
      <c r="AT169" s="5">
        <f t="shared" si="469"/>
        <v>14.198161137091708</v>
      </c>
      <c r="AU169" s="5">
        <f t="shared" si="343"/>
        <v>16.87519344901726</v>
      </c>
      <c r="AV169" s="5"/>
      <c r="AW169" s="173">
        <f t="shared" si="344"/>
        <v>0.45692398925730576</v>
      </c>
      <c r="AX169" s="173">
        <f t="shared" si="435"/>
        <v>92.1568918111019</v>
      </c>
      <c r="AY169" s="173">
        <f t="shared" si="436"/>
        <v>5.9321616667513615</v>
      </c>
      <c r="AZ169" s="173">
        <f t="shared" si="440"/>
        <v>15.535128168813024</v>
      </c>
      <c r="BA169" s="460">
        <f t="shared" si="433"/>
        <v>558.46100472560715</v>
      </c>
      <c r="BB169" s="5">
        <f t="shared" si="434"/>
        <v>27.890900278042363</v>
      </c>
      <c r="BD169" s="173">
        <f t="shared" si="441"/>
        <v>8.5259681751548246</v>
      </c>
      <c r="BE169" s="173">
        <f t="shared" si="437"/>
        <v>9.2950565624138175</v>
      </c>
      <c r="BG169" s="528">
        <f t="shared" si="347"/>
        <v>1.4538426664750577</v>
      </c>
      <c r="BH169" s="528">
        <f t="shared" si="470"/>
        <v>0.45065057115712592</v>
      </c>
      <c r="BI169" s="528">
        <f t="shared" si="471"/>
        <v>1.4855366393636348E-2</v>
      </c>
      <c r="BJ169" s="528">
        <f t="shared" si="350"/>
        <v>3.7609775332073667E-3</v>
      </c>
      <c r="BK169">
        <f t="shared" si="351"/>
        <v>8.3089092142085239E-3</v>
      </c>
      <c r="BL169" s="460">
        <f t="shared" si="427"/>
        <v>23.164275607844871</v>
      </c>
      <c r="BM169" s="528">
        <f t="shared" si="472"/>
        <v>3.5149828769512221</v>
      </c>
      <c r="BN169" s="460">
        <f t="shared" si="353"/>
        <v>3514.9828769512224</v>
      </c>
      <c r="BO169" s="528">
        <f t="shared" si="354"/>
        <v>4.129999999999999</v>
      </c>
      <c r="BR169" s="460">
        <f t="shared" si="355"/>
        <v>4129.9999999999991</v>
      </c>
      <c r="BS169" s="528">
        <f t="shared" si="356"/>
        <v>2.1807639997125863</v>
      </c>
      <c r="BT169" s="528">
        <f t="shared" si="357"/>
        <v>2.5919422949541651</v>
      </c>
      <c r="BU169" s="528">
        <f t="shared" si="358"/>
        <v>0.65532319312394682</v>
      </c>
      <c r="BV169" s="528"/>
      <c r="BW169" s="528">
        <f t="shared" si="359"/>
        <v>1.5359481968516983E-2</v>
      </c>
      <c r="BX169" s="460">
        <f t="shared" si="360"/>
        <v>5443.3889697592149</v>
      </c>
      <c r="BY169" s="173">
        <f t="shared" si="361"/>
        <v>11.504807460532449</v>
      </c>
      <c r="BZ169" s="5">
        <f t="shared" si="362"/>
        <v>88.499999999999986</v>
      </c>
      <c r="CA169" s="173">
        <f t="shared" si="363"/>
        <v>0.88495745601957287</v>
      </c>
      <c r="CB169" s="5">
        <f t="shared" si="364"/>
        <v>88.495745601957282</v>
      </c>
      <c r="CE169" s="562">
        <f t="shared" si="473"/>
        <v>-50</v>
      </c>
      <c r="CF169">
        <f t="shared" si="474"/>
        <v>-50</v>
      </c>
      <c r="CG169" s="173">
        <f t="shared" si="475"/>
        <v>0.55062245354668238</v>
      </c>
      <c r="CI169" s="170">
        <v>59</v>
      </c>
      <c r="CJ169" s="217">
        <f t="shared" si="428"/>
        <v>5.8999999999999995</v>
      </c>
      <c r="CK169" s="217"/>
      <c r="CL169" s="217">
        <f t="shared" si="368"/>
        <v>88.499999999999986</v>
      </c>
      <c r="CM169" s="541">
        <f t="shared" si="369"/>
        <v>19</v>
      </c>
      <c r="CN169" s="443">
        <f t="shared" si="370"/>
        <v>15.4</v>
      </c>
      <c r="CO169" s="443">
        <f t="shared" si="371"/>
        <v>34.4</v>
      </c>
      <c r="CP169" s="443"/>
      <c r="CQ169" s="217">
        <f t="shared" si="372"/>
        <v>0.44767441860465118</v>
      </c>
      <c r="CR169" s="172">
        <f t="shared" si="429"/>
        <v>212.84736191860466</v>
      </c>
      <c r="CS169" s="172">
        <f t="shared" si="373"/>
        <v>88.499999999999986</v>
      </c>
      <c r="CT169" s="217">
        <f t="shared" si="374"/>
        <v>14.189824127906977</v>
      </c>
      <c r="CU169" s="217">
        <f t="shared" si="375"/>
        <v>15</v>
      </c>
      <c r="CV169" s="217"/>
      <c r="CW169" s="172">
        <f t="shared" si="376"/>
        <v>61.630993973642589</v>
      </c>
      <c r="CX169" s="172">
        <f t="shared" si="377"/>
        <v>15</v>
      </c>
      <c r="CY169" s="217">
        <f t="shared" si="378"/>
        <v>20.8092959671907</v>
      </c>
      <c r="CZ169" s="217">
        <f t="shared" si="379"/>
        <v>13.142713242436232</v>
      </c>
      <c r="DA169" s="217">
        <f t="shared" si="380"/>
        <v>16.215035818590156</v>
      </c>
      <c r="DB169" s="197">
        <f t="shared" si="381"/>
        <v>70.881782945736433</v>
      </c>
      <c r="DC169" s="443">
        <f t="shared" si="382"/>
        <v>34.062556973332157</v>
      </c>
      <c r="DE169" s="217">
        <f t="shared" si="383"/>
        <v>10.000000000000002</v>
      </c>
      <c r="DF169" s="173">
        <f t="shared" si="384"/>
        <v>7.792207792207793</v>
      </c>
      <c r="DG169" s="173">
        <f t="shared" si="385"/>
        <v>2.7616279069767451</v>
      </c>
      <c r="DH169" s="173"/>
      <c r="DI169" s="173">
        <f t="shared" si="386"/>
        <v>7.7922077922077913</v>
      </c>
      <c r="DJ169" s="545">
        <f t="shared" si="387"/>
        <v>151.43333333333331</v>
      </c>
      <c r="DK169" s="528">
        <f t="shared" si="388"/>
        <v>2.7616279069767442</v>
      </c>
      <c r="DM169" s="173">
        <f t="shared" si="389"/>
        <v>6.5777402401331315</v>
      </c>
      <c r="DN169" s="173">
        <f t="shared" si="390"/>
        <v>20.8092959671907</v>
      </c>
      <c r="DO169" s="173">
        <f t="shared" si="391"/>
        <v>9.2068859016227389</v>
      </c>
      <c r="DQ169" s="545">
        <f t="shared" si="392"/>
        <v>5899.9999999999991</v>
      </c>
      <c r="DR169" s="460">
        <f t="shared" si="393"/>
        <v>34.062556973332157</v>
      </c>
      <c r="DT169">
        <f t="shared" si="430"/>
        <v>5899.9999999999991</v>
      </c>
      <c r="DU169">
        <f t="shared" si="431"/>
        <v>34.062556973332157</v>
      </c>
      <c r="DW169" s="5">
        <f t="shared" si="394"/>
        <v>29.357749061026389</v>
      </c>
      <c r="DX169" s="5">
        <f t="shared" si="395"/>
        <v>13.142713242436232</v>
      </c>
      <c r="DY169" s="5">
        <f t="shared" si="396"/>
        <v>16.21503581859016</v>
      </c>
      <c r="DZ169" s="5"/>
      <c r="EA169" s="173">
        <f t="shared" si="397"/>
        <v>0.44767441860465113</v>
      </c>
      <c r="EB169" s="173">
        <f t="shared" si="398"/>
        <v>88.499999999999986</v>
      </c>
      <c r="EC169" s="173">
        <f t="shared" si="399"/>
        <v>5.7467532467532463</v>
      </c>
      <c r="ED169" s="173">
        <f t="shared" si="400"/>
        <v>15.399999999999999</v>
      </c>
      <c r="EE169" s="460">
        <f t="shared" si="401"/>
        <v>516.94672086915841</v>
      </c>
      <c r="EF169" s="5">
        <f t="shared" si="402"/>
        <v>26.044113792109414</v>
      </c>
      <c r="EH169" s="173">
        <f t="shared" si="403"/>
        <v>8.0385533591962162</v>
      </c>
      <c r="EI169" s="173">
        <f t="shared" si="404"/>
        <v>8.9288255727205392</v>
      </c>
      <c r="EK169" s="528">
        <f t="shared" si="405"/>
        <v>1.2923668021728956</v>
      </c>
      <c r="EL169" s="528">
        <f t="shared" si="406"/>
        <v>0.48766666666666664</v>
      </c>
      <c r="EM169" s="528">
        <f t="shared" si="407"/>
        <v>4.257819621666519E-3</v>
      </c>
      <c r="EN169" s="528">
        <f t="shared" si="408"/>
        <v>4.0308267419962339E-3</v>
      </c>
      <c r="EO169">
        <f t="shared" si="409"/>
        <v>8.5500000000000003E-3</v>
      </c>
      <c r="EP169" s="460">
        <f t="shared" si="410"/>
        <v>12.807819621666518</v>
      </c>
      <c r="EQ169" s="460"/>
      <c r="ER169" s="460">
        <f t="shared" si="432"/>
        <v>1796.8721152032249</v>
      </c>
      <c r="ES169" s="528">
        <f t="shared" si="411"/>
        <v>4.129999999999999</v>
      </c>
      <c r="EV169" s="460">
        <f t="shared" si="412"/>
        <v>4129.9999999999991</v>
      </c>
      <c r="EW169" s="528">
        <f t="shared" si="413"/>
        <v>1.9385502032593431</v>
      </c>
      <c r="EX169" s="528">
        <f t="shared" si="414"/>
        <v>2.391717783242048</v>
      </c>
      <c r="EY169" s="528">
        <f t="shared" si="415"/>
        <v>0.66881589702681221</v>
      </c>
      <c r="EZ169" s="528"/>
      <c r="FA169" s="528">
        <f t="shared" si="416"/>
        <v>1.4749999999999997E-2</v>
      </c>
      <c r="FB169" s="460">
        <f t="shared" si="417"/>
        <v>5013.8338835282038</v>
      </c>
      <c r="FC169" s="173">
        <f t="shared" si="418"/>
        <v>10.940705998731426</v>
      </c>
      <c r="FD169" s="5">
        <f t="shared" si="419"/>
        <v>88.499999999999986</v>
      </c>
      <c r="FE169" s="173">
        <f t="shared" si="420"/>
        <v>0.88997759128066722</v>
      </c>
      <c r="FF169" s="5">
        <f t="shared" si="421"/>
        <v>88.997759128066718</v>
      </c>
      <c r="FI169" s="562">
        <f t="shared" si="422"/>
        <v>-50</v>
      </c>
      <c r="FJ169">
        <f t="shared" si="423"/>
        <v>-50</v>
      </c>
      <c r="FL169">
        <f t="shared" si="476"/>
        <v>0.55232558139534893</v>
      </c>
    </row>
    <row r="170" spans="5:168">
      <c r="E170" s="170">
        <v>60</v>
      </c>
      <c r="F170" s="217">
        <f t="shared" si="477"/>
        <v>6</v>
      </c>
      <c r="G170" s="217"/>
      <c r="H170" s="217">
        <f t="shared" si="442"/>
        <v>90</v>
      </c>
      <c r="I170" s="541">
        <f t="shared" si="443"/>
        <v>18.455190151823047</v>
      </c>
      <c r="J170" s="172">
        <f t="shared" si="444"/>
        <v>15.726885908906173</v>
      </c>
      <c r="K170" s="172">
        <f t="shared" si="445"/>
        <v>34.182076060729216</v>
      </c>
      <c r="L170" s="443"/>
      <c r="M170" s="217">
        <f t="shared" si="446"/>
        <v>0.46007593931159851</v>
      </c>
      <c r="N170" s="172">
        <f t="shared" si="447"/>
        <v>212.47137984428028</v>
      </c>
      <c r="O170" s="172">
        <f t="shared" si="438"/>
        <v>90</v>
      </c>
      <c r="P170" s="217">
        <f t="shared" si="448"/>
        <v>14.164758656285352</v>
      </c>
      <c r="Q170" s="217">
        <f t="shared" si="449"/>
        <v>15</v>
      </c>
      <c r="R170" s="217"/>
      <c r="S170" s="172">
        <f t="shared" si="450"/>
        <v>58.566626229045653</v>
      </c>
      <c r="T170" s="172">
        <f t="shared" si="451"/>
        <v>15</v>
      </c>
      <c r="U170" s="217">
        <f t="shared" si="452"/>
        <v>22.225347736309505</v>
      </c>
      <c r="V170" s="217">
        <f t="shared" si="453"/>
        <v>14.451445400543239</v>
      </c>
      <c r="W170" s="217">
        <f t="shared" si="454"/>
        <v>16.958485893553718</v>
      </c>
      <c r="X170" s="197">
        <f t="shared" si="455"/>
        <v>70.758982336540285</v>
      </c>
      <c r="Y170" s="443">
        <f t="shared" si="328"/>
        <v>31.635627129210064</v>
      </c>
      <c r="AA170" s="217">
        <f t="shared" si="456"/>
        <v>10</v>
      </c>
      <c r="AB170" s="173">
        <f t="shared" si="457"/>
        <v>7.6302454723120814</v>
      </c>
      <c r="AC170" s="173">
        <f t="shared" si="458"/>
        <v>2.6995420229939855</v>
      </c>
      <c r="AD170" s="173"/>
      <c r="AE170" s="173">
        <f t="shared" si="459"/>
        <v>7.6302454723120814</v>
      </c>
      <c r="AF170" s="545">
        <f t="shared" si="460"/>
        <v>157.26885908906172</v>
      </c>
      <c r="AG170" s="528">
        <f t="shared" si="461"/>
        <v>2.6995420229939855</v>
      </c>
      <c r="AI170" s="173">
        <f t="shared" si="462"/>
        <v>6.7032797748364876</v>
      </c>
      <c r="AJ170" s="173">
        <f t="shared" si="463"/>
        <v>22.225347736309505</v>
      </c>
      <c r="AK170" s="173">
        <f t="shared" si="464"/>
        <v>10.25581313800704</v>
      </c>
      <c r="AM170" s="545">
        <f t="shared" si="465"/>
        <v>6000</v>
      </c>
      <c r="AN170" s="460">
        <f t="shared" si="466"/>
        <v>31.635627129210064</v>
      </c>
      <c r="AP170">
        <f t="shared" si="467"/>
        <v>6000</v>
      </c>
      <c r="AQ170">
        <f t="shared" si="468"/>
        <v>31.635627129210064</v>
      </c>
      <c r="AS170" s="5">
        <f t="shared" si="439"/>
        <v>31.609931294096963</v>
      </c>
      <c r="AT170" s="5">
        <f t="shared" si="469"/>
        <v>14.451445400543239</v>
      </c>
      <c r="AU170" s="5">
        <f t="shared" ref="AU170:AU233" si="478">AS170-AT170</f>
        <v>17.158485893553724</v>
      </c>
      <c r="AV170" s="5"/>
      <c r="AW170" s="173">
        <f t="shared" ref="AW170:AW233" si="479">AT170/AS170</f>
        <v>0.45718053816972365</v>
      </c>
      <c r="AX170" s="173">
        <f t="shared" si="435"/>
        <v>93.761560707749666</v>
      </c>
      <c r="AY170" s="173">
        <f t="shared" si="436"/>
        <v>6.0321756486071392</v>
      </c>
      <c r="AZ170" s="173">
        <f t="shared" si="440"/>
        <v>15.543572695765201</v>
      </c>
      <c r="BA170" s="460">
        <f t="shared" si="433"/>
        <v>578.05781602172954</v>
      </c>
      <c r="BB170" s="5">
        <f t="shared" si="434"/>
        <v>28.853928366320691</v>
      </c>
      <c r="BD170" s="173">
        <f t="shared" si="441"/>
        <v>8.6762449482537107</v>
      </c>
      <c r="BE170" s="173">
        <f t="shared" si="437"/>
        <v>9.454000965968218</v>
      </c>
      <c r="BG170" s="528">
        <f t="shared" ref="BG170:BG210" si="480">Rdson*BD170^2</f>
        <v>1.5055445280419608</v>
      </c>
      <c r="BH170" s="528">
        <f t="shared" si="470"/>
        <v>0.45063479401283935</v>
      </c>
      <c r="BI170" s="528">
        <f t="shared" si="471"/>
        <v>1.4596037856043589E-2</v>
      </c>
      <c r="BJ170" s="528">
        <f t="shared" ref="BJ170:BJ210" si="481">0.5*(Coss+Csw)*K170^2*AN170*1000</f>
        <v>3.6963519880844364E-3</v>
      </c>
      <c r="BK170">
        <f t="shared" ref="BK170:BK210" si="482">I170*IQ</f>
        <v>8.3048355683203699E-3</v>
      </c>
      <c r="BL170" s="460">
        <f t="shared" si="427"/>
        <v>22.900873424363958</v>
      </c>
      <c r="BM170" s="528">
        <f t="shared" si="472"/>
        <v>3.684316876126299</v>
      </c>
      <c r="BN170" s="460">
        <f t="shared" si="353"/>
        <v>3684.3168761262991</v>
      </c>
      <c r="BO170" s="528">
        <f t="shared" ref="BO170:BO210" si="483">Vfwd2*F170</f>
        <v>4.1999999999999993</v>
      </c>
      <c r="BR170" s="460">
        <f t="shared" ref="BR170:BR210" si="484">SUM(BO170:BQ170)*1000</f>
        <v>4199.9999999999991</v>
      </c>
      <c r="BS170" s="528">
        <f t="shared" ref="BS170:BS210" si="485">Rdcr_pri*BD170^2</f>
        <v>2.2583167920629412</v>
      </c>
      <c r="BT170" s="528">
        <f t="shared" ref="BT170:BT210" si="486">Rdcr_sec*BE170^2</f>
        <v>2.68134402793584</v>
      </c>
      <c r="BU170" s="528">
        <f t="shared" ref="BU170:BU210" si="487">AJ170^2.5*AN170^2.5*k_core</f>
        <v>0.65543938784296596</v>
      </c>
      <c r="BV170" s="528"/>
      <c r="BW170" s="528">
        <f t="shared" ref="BW170:BW210" si="488">0.5*Lleak*0.000000001*AJ170^2*AN170*1000</f>
        <v>1.5626926784624948E-2</v>
      </c>
      <c r="BX170" s="460">
        <f t="shared" ref="BX170:BX210" si="489">SUM(BS170:BW170)*1000</f>
        <v>5610.7271346263733</v>
      </c>
      <c r="BY170" s="173">
        <f t="shared" ref="BY170:BY210" si="490">SUM(BG170:BK170,BO170:BQ170,BS170:BW170)</f>
        <v>11.79350368209362</v>
      </c>
      <c r="BZ170" s="5">
        <f t="shared" ref="BZ170:BZ210" si="491">MIN(H170,O170)</f>
        <v>90</v>
      </c>
      <c r="CA170" s="173">
        <f t="shared" ref="CA170:CA210" si="492">BZ170/(BZ170+BY170)</f>
        <v>0.88414286515841578</v>
      </c>
      <c r="CB170" s="5">
        <f t="shared" ref="CB170:CB210" si="493">CA170*100</f>
        <v>88.414286515841582</v>
      </c>
      <c r="CE170" s="562">
        <f t="shared" si="473"/>
        <v>-50</v>
      </c>
      <c r="CF170">
        <f t="shared" si="474"/>
        <v>-50</v>
      </c>
      <c r="CG170" s="173">
        <f t="shared" si="475"/>
        <v>0.55065083901082668</v>
      </c>
      <c r="CI170" s="170">
        <v>60</v>
      </c>
      <c r="CJ170" s="217">
        <f t="shared" si="428"/>
        <v>6</v>
      </c>
      <c r="CK170" s="217"/>
      <c r="CL170" s="217">
        <f t="shared" si="368"/>
        <v>90</v>
      </c>
      <c r="CM170" s="541">
        <f t="shared" si="369"/>
        <v>19</v>
      </c>
      <c r="CN170" s="443">
        <f t="shared" si="370"/>
        <v>15.4</v>
      </c>
      <c r="CO170" s="443">
        <f t="shared" si="371"/>
        <v>34.4</v>
      </c>
      <c r="CP170" s="443"/>
      <c r="CQ170" s="217">
        <f t="shared" si="372"/>
        <v>0.44767441860465118</v>
      </c>
      <c r="CR170" s="172">
        <f t="shared" si="429"/>
        <v>212.84736191860466</v>
      </c>
      <c r="CS170" s="172">
        <f t="shared" si="373"/>
        <v>90</v>
      </c>
      <c r="CT170" s="217">
        <f t="shared" si="374"/>
        <v>14.189824127906977</v>
      </c>
      <c r="CU170" s="217">
        <f t="shared" si="375"/>
        <v>15</v>
      </c>
      <c r="CV170" s="217"/>
      <c r="CW170" s="172">
        <f t="shared" si="376"/>
        <v>60.291889329594937</v>
      </c>
      <c r="CX170" s="172">
        <f t="shared" si="377"/>
        <v>15</v>
      </c>
      <c r="CY170" s="217">
        <f t="shared" si="378"/>
        <v>21.161995898838004</v>
      </c>
      <c r="CZ170" s="217">
        <f t="shared" si="379"/>
        <v>13.365471094002951</v>
      </c>
      <c r="DA170" s="217">
        <f t="shared" si="380"/>
        <v>16.489866934159483</v>
      </c>
      <c r="DB170" s="197">
        <f t="shared" si="381"/>
        <v>70.881782945736433</v>
      </c>
      <c r="DC170" s="443">
        <f t="shared" si="382"/>
        <v>33.494847690443279</v>
      </c>
      <c r="DE170" s="217">
        <f t="shared" si="383"/>
        <v>10.000000000000002</v>
      </c>
      <c r="DF170" s="173">
        <f t="shared" si="384"/>
        <v>7.792207792207793</v>
      </c>
      <c r="DG170" s="173">
        <f t="shared" si="385"/>
        <v>2.7616279069767451</v>
      </c>
      <c r="DH170" s="173"/>
      <c r="DI170" s="173">
        <f t="shared" si="386"/>
        <v>7.7922077922077913</v>
      </c>
      <c r="DJ170" s="545">
        <f t="shared" si="387"/>
        <v>154</v>
      </c>
      <c r="DK170" s="528">
        <f t="shared" si="388"/>
        <v>2.7616279069767442</v>
      </c>
      <c r="DM170" s="173">
        <f t="shared" si="389"/>
        <v>6.6332495807107996</v>
      </c>
      <c r="DN170" s="173">
        <f t="shared" si="390"/>
        <v>21.161995898838004</v>
      </c>
      <c r="DO170" s="173">
        <f t="shared" si="391"/>
        <v>9.4681451102503722</v>
      </c>
      <c r="DQ170" s="545">
        <f t="shared" si="392"/>
        <v>6000</v>
      </c>
      <c r="DR170" s="460">
        <f t="shared" si="393"/>
        <v>33.494847690443279</v>
      </c>
      <c r="DT170">
        <f t="shared" si="430"/>
        <v>6000</v>
      </c>
      <c r="DU170">
        <f t="shared" si="431"/>
        <v>33.494847690443279</v>
      </c>
      <c r="DW170" s="5">
        <f t="shared" si="394"/>
        <v>29.855338028162436</v>
      </c>
      <c r="DX170" s="5">
        <f t="shared" si="395"/>
        <v>13.365471094002951</v>
      </c>
      <c r="DY170" s="5">
        <f t="shared" si="396"/>
        <v>16.489866934159487</v>
      </c>
      <c r="DZ170" s="5"/>
      <c r="EA170" s="173">
        <f t="shared" si="397"/>
        <v>0.44767441860465118</v>
      </c>
      <c r="EB170" s="173">
        <f t="shared" si="398"/>
        <v>90</v>
      </c>
      <c r="EC170" s="173">
        <f t="shared" si="399"/>
        <v>5.8441558441558437</v>
      </c>
      <c r="ED170" s="173">
        <f t="shared" si="400"/>
        <v>15.400000000000002</v>
      </c>
      <c r="EE170" s="460">
        <f t="shared" si="401"/>
        <v>534.61884376011801</v>
      </c>
      <c r="EF170" s="5">
        <f t="shared" si="402"/>
        <v>26.93444689790115</v>
      </c>
      <c r="EH170" s="173">
        <f t="shared" si="403"/>
        <v>8.1748000263012397</v>
      </c>
      <c r="EI170" s="173">
        <f t="shared" si="404"/>
        <v>9.0801615993768205</v>
      </c>
      <c r="EK170" s="528">
        <f t="shared" si="405"/>
        <v>1.336547109400295</v>
      </c>
      <c r="EL170" s="528">
        <f t="shared" si="406"/>
        <v>0.48766666666666664</v>
      </c>
      <c r="EM170" s="528">
        <f t="shared" si="407"/>
        <v>4.18685596130541E-3</v>
      </c>
      <c r="EN170" s="528">
        <f t="shared" si="408"/>
        <v>3.9636462962962951E-3</v>
      </c>
      <c r="EO170">
        <f t="shared" si="409"/>
        <v>8.5500000000000003E-3</v>
      </c>
      <c r="EP170" s="460">
        <f t="shared" si="410"/>
        <v>12.736855961305411</v>
      </c>
      <c r="EQ170" s="460"/>
      <c r="ER170" s="460">
        <f t="shared" si="432"/>
        <v>1840.9142783245634</v>
      </c>
      <c r="ES170" s="528">
        <f t="shared" si="411"/>
        <v>4.1999999999999993</v>
      </c>
      <c r="EV170" s="460">
        <f t="shared" ref="EV170:EV210" si="494">SUM(ES170:EU170)*1000</f>
        <v>4199.9999999999991</v>
      </c>
      <c r="EW170" s="528">
        <f t="shared" si="413"/>
        <v>2.0048206641004427</v>
      </c>
      <c r="EX170" s="528">
        <f t="shared" si="414"/>
        <v>2.4734800401239223</v>
      </c>
      <c r="EY170" s="528">
        <f t="shared" si="415"/>
        <v>0.66881589702681299</v>
      </c>
      <c r="EZ170" s="528"/>
      <c r="FA170" s="528">
        <f t="shared" si="416"/>
        <v>1.5000000000000001E-2</v>
      </c>
      <c r="FB170" s="460">
        <f t="shared" si="417"/>
        <v>5162.1166012511776</v>
      </c>
      <c r="FC170" s="173">
        <f t="shared" si="418"/>
        <v>11.20303087957574</v>
      </c>
      <c r="FD170" s="5">
        <f t="shared" si="419"/>
        <v>90</v>
      </c>
      <c r="FE170" s="173">
        <f t="shared" si="420"/>
        <v>0.88930142919428445</v>
      </c>
      <c r="FF170" s="5">
        <f t="shared" si="421"/>
        <v>88.930142919428448</v>
      </c>
      <c r="FI170" s="562">
        <f t="shared" si="422"/>
        <v>-50</v>
      </c>
      <c r="FJ170">
        <f t="shared" si="423"/>
        <v>-50</v>
      </c>
      <c r="FL170">
        <f t="shared" si="476"/>
        <v>0.55232558139534882</v>
      </c>
    </row>
    <row r="171" spans="5:168">
      <c r="E171" s="170">
        <v>61</v>
      </c>
      <c r="F171" s="217">
        <f t="shared" si="477"/>
        <v>6.1</v>
      </c>
      <c r="G171" s="217"/>
      <c r="H171" s="217">
        <f t="shared" si="442"/>
        <v>91.5</v>
      </c>
      <c r="I171" s="541">
        <f t="shared" si="443"/>
        <v>18.44613760260442</v>
      </c>
      <c r="J171" s="172">
        <f t="shared" si="444"/>
        <v>15.732317438437349</v>
      </c>
      <c r="K171" s="172">
        <f t="shared" si="445"/>
        <v>34.178455041041772</v>
      </c>
      <c r="L171" s="443"/>
      <c r="M171" s="217">
        <f t="shared" si="446"/>
        <v>0.46028360540007957</v>
      </c>
      <c r="N171" s="172">
        <f t="shared" si="447"/>
        <v>212.46301633545258</v>
      </c>
      <c r="O171" s="172">
        <f t="shared" si="438"/>
        <v>91.5</v>
      </c>
      <c r="P171" s="217">
        <f t="shared" si="448"/>
        <v>14.164201089030172</v>
      </c>
      <c r="Q171" s="217">
        <f t="shared" si="449"/>
        <v>15</v>
      </c>
      <c r="R171" s="217"/>
      <c r="S171" s="172">
        <f t="shared" si="450"/>
        <v>57.280705943059147</v>
      </c>
      <c r="T171" s="172">
        <f t="shared" si="451"/>
        <v>15</v>
      </c>
      <c r="U171" s="217">
        <f t="shared" si="452"/>
        <v>22.604464348435414</v>
      </c>
      <c r="V171" s="217">
        <f t="shared" si="453"/>
        <v>14.705169072517736</v>
      </c>
      <c r="W171" s="217">
        <f t="shared" si="454"/>
        <v>17.241806443499268</v>
      </c>
      <c r="X171" s="197">
        <f t="shared" si="455"/>
        <v>70.756195174414529</v>
      </c>
      <c r="Y171" s="443">
        <f t="shared" si="328"/>
        <v>31.107125443317582</v>
      </c>
      <c r="AA171" s="217">
        <f t="shared" si="456"/>
        <v>10</v>
      </c>
      <c r="AB171" s="173">
        <f t="shared" si="457"/>
        <v>7.6276111557992632</v>
      </c>
      <c r="AC171" s="173">
        <f t="shared" si="458"/>
        <v>2.6985037182713714</v>
      </c>
      <c r="AD171" s="173"/>
      <c r="AE171" s="173">
        <f t="shared" si="459"/>
        <v>7.6276111557992632</v>
      </c>
      <c r="AF171" s="545">
        <f t="shared" si="460"/>
        <v>159.94522729077968</v>
      </c>
      <c r="AG171" s="528">
        <f t="shared" si="461"/>
        <v>2.6985037182713714</v>
      </c>
      <c r="AI171" s="173">
        <f t="shared" si="462"/>
        <v>6.7600766540620079</v>
      </c>
      <c r="AJ171" s="173">
        <f t="shared" si="463"/>
        <v>22.604464348435414</v>
      </c>
      <c r="AK171" s="173">
        <f t="shared" si="464"/>
        <v>10.536640258100306</v>
      </c>
      <c r="AM171" s="545">
        <f t="shared" si="465"/>
        <v>6100</v>
      </c>
      <c r="AN171" s="460">
        <f t="shared" si="466"/>
        <v>31.107125443317582</v>
      </c>
      <c r="AP171">
        <f t="shared" si="467"/>
        <v>6100</v>
      </c>
      <c r="AQ171">
        <f t="shared" si="468"/>
        <v>31.107125443317582</v>
      </c>
      <c r="AS171" s="5">
        <f t="shared" si="439"/>
        <v>32.146975516017008</v>
      </c>
      <c r="AT171" s="5">
        <f t="shared" si="469"/>
        <v>14.705169072517736</v>
      </c>
      <c r="AU171" s="5">
        <f t="shared" si="478"/>
        <v>17.441806443499274</v>
      </c>
      <c r="AV171" s="5"/>
      <c r="AW171" s="173">
        <f t="shared" si="479"/>
        <v>0.45743553900400324</v>
      </c>
      <c r="AX171" s="173">
        <f t="shared" si="435"/>
        <v>95.367318438732354</v>
      </c>
      <c r="AY171" s="173">
        <f t="shared" si="436"/>
        <v>6.1321895076560429</v>
      </c>
      <c r="AZ171" s="173">
        <f t="shared" si="440"/>
        <v>15.551919639741431</v>
      </c>
      <c r="BA171" s="460">
        <f t="shared" si="433"/>
        <v>598.01020894905457</v>
      </c>
      <c r="BB171" s="5">
        <f t="shared" si="434"/>
        <v>29.833837154872853</v>
      </c>
      <c r="BD171" s="173">
        <f t="shared" si="441"/>
        <v>8.8267036178550473</v>
      </c>
      <c r="BE171" s="173">
        <f t="shared" si="437"/>
        <v>9.6130071293590102</v>
      </c>
      <c r="BG171" s="528">
        <f t="shared" si="480"/>
        <v>1.5582139351491078</v>
      </c>
      <c r="BH171" s="528">
        <f t="shared" si="470"/>
        <v>0.45061723695917516</v>
      </c>
      <c r="BI171" s="528">
        <f t="shared" si="471"/>
        <v>1.4345157908722829E-2</v>
      </c>
      <c r="BJ171" s="528">
        <f t="shared" si="481"/>
        <v>3.6338310843907627E-3</v>
      </c>
      <c r="BK171">
        <f t="shared" si="482"/>
        <v>8.3007619211719879E-3</v>
      </c>
      <c r="BL171" s="460">
        <f t="shared" si="427"/>
        <v>22.645919829894815</v>
      </c>
      <c r="BM171" s="528">
        <f t="shared" si="472"/>
        <v>3.8636153948370406</v>
      </c>
      <c r="BN171" s="460">
        <f t="shared" si="353"/>
        <v>3863.6153948370406</v>
      </c>
      <c r="BO171" s="528">
        <f t="shared" si="483"/>
        <v>4.2699999999999996</v>
      </c>
      <c r="BR171" s="460">
        <f t="shared" si="484"/>
        <v>4270</v>
      </c>
      <c r="BS171" s="528">
        <f t="shared" si="485"/>
        <v>2.3373209027236612</v>
      </c>
      <c r="BT171" s="528">
        <f t="shared" si="486"/>
        <v>2.7722971820732147</v>
      </c>
      <c r="BU171" s="528">
        <f t="shared" si="487"/>
        <v>0.65554914613796922</v>
      </c>
      <c r="BV171" s="528"/>
      <c r="BW171" s="528">
        <f t="shared" si="488"/>
        <v>1.5894553073122056E-2</v>
      </c>
      <c r="BX171" s="460">
        <f t="shared" si="489"/>
        <v>5781.0617840079676</v>
      </c>
      <c r="BY171" s="173">
        <f t="shared" si="490"/>
        <v>12.086172707030537</v>
      </c>
      <c r="BZ171" s="5">
        <f t="shared" si="491"/>
        <v>91.5</v>
      </c>
      <c r="CA171" s="173">
        <f t="shared" si="492"/>
        <v>0.88332252856553084</v>
      </c>
      <c r="CB171" s="5">
        <f t="shared" si="493"/>
        <v>88.332252856553083</v>
      </c>
      <c r="CE171" s="562">
        <f t="shared" si="473"/>
        <v>-50</v>
      </c>
      <c r="CF171">
        <f t="shared" si="474"/>
        <v>-50</v>
      </c>
      <c r="CG171" s="173">
        <f t="shared" si="475"/>
        <v>0.55067829380401556</v>
      </c>
      <c r="CI171" s="170">
        <v>61</v>
      </c>
      <c r="CJ171" s="217">
        <f t="shared" si="428"/>
        <v>6.1</v>
      </c>
      <c r="CK171" s="217"/>
      <c r="CL171" s="217">
        <f t="shared" si="368"/>
        <v>91.5</v>
      </c>
      <c r="CM171" s="541">
        <f t="shared" si="369"/>
        <v>19</v>
      </c>
      <c r="CN171" s="443">
        <f t="shared" si="370"/>
        <v>15.4</v>
      </c>
      <c r="CO171" s="443">
        <f t="shared" si="371"/>
        <v>34.4</v>
      </c>
      <c r="CP171" s="443"/>
      <c r="CQ171" s="217">
        <f t="shared" si="372"/>
        <v>0.44767441860465118</v>
      </c>
      <c r="CR171" s="172">
        <f t="shared" si="429"/>
        <v>212.84736191860466</v>
      </c>
      <c r="CS171" s="172">
        <f t="shared" si="373"/>
        <v>91.5</v>
      </c>
      <c r="CT171" s="217">
        <f t="shared" si="374"/>
        <v>14.189824127906977</v>
      </c>
      <c r="CU171" s="217">
        <f t="shared" si="375"/>
        <v>15</v>
      </c>
      <c r="CV171" s="217"/>
      <c r="CW171" s="172">
        <f t="shared" si="376"/>
        <v>58.996805468274765</v>
      </c>
      <c r="CX171" s="172">
        <f t="shared" si="377"/>
        <v>15</v>
      </c>
      <c r="CY171" s="217">
        <f t="shared" si="378"/>
        <v>21.514695830485302</v>
      </c>
      <c r="CZ171" s="217">
        <f t="shared" si="379"/>
        <v>13.588228945569664</v>
      </c>
      <c r="DA171" s="217">
        <f t="shared" si="380"/>
        <v>16.764698049728807</v>
      </c>
      <c r="DB171" s="197">
        <f t="shared" si="381"/>
        <v>70.881782945736433</v>
      </c>
      <c r="DC171" s="443">
        <f t="shared" si="382"/>
        <v>32.945751826665528</v>
      </c>
      <c r="DE171" s="217">
        <f t="shared" si="383"/>
        <v>10.000000000000002</v>
      </c>
      <c r="DF171" s="173">
        <f t="shared" si="384"/>
        <v>7.792207792207793</v>
      </c>
      <c r="DG171" s="173">
        <f t="shared" si="385"/>
        <v>2.7616279069767451</v>
      </c>
      <c r="DH171" s="173"/>
      <c r="DI171" s="173">
        <f t="shared" si="386"/>
        <v>7.7922077922077913</v>
      </c>
      <c r="DJ171" s="545">
        <f t="shared" si="387"/>
        <v>156.56666666666666</v>
      </c>
      <c r="DK171" s="528">
        <f t="shared" si="388"/>
        <v>2.7616279069767442</v>
      </c>
      <c r="DM171" s="173">
        <f t="shared" si="389"/>
        <v>6.688298238964328</v>
      </c>
      <c r="DN171" s="173">
        <f t="shared" si="390"/>
        <v>21.514695830485302</v>
      </c>
      <c r="DO171" s="173">
        <f t="shared" si="391"/>
        <v>9.7294043188780002</v>
      </c>
      <c r="DQ171" s="545">
        <f t="shared" si="392"/>
        <v>6100</v>
      </c>
      <c r="DR171" s="460">
        <f t="shared" si="393"/>
        <v>32.945751826665528</v>
      </c>
      <c r="DT171">
        <f t="shared" si="430"/>
        <v>6100</v>
      </c>
      <c r="DU171">
        <f t="shared" si="431"/>
        <v>32.945751826665528</v>
      </c>
      <c r="DW171" s="5">
        <f t="shared" si="394"/>
        <v>30.352926995298471</v>
      </c>
      <c r="DX171" s="5">
        <f t="shared" si="395"/>
        <v>13.588228945569664</v>
      </c>
      <c r="DY171" s="5">
        <f t="shared" si="396"/>
        <v>16.764698049728807</v>
      </c>
      <c r="DZ171" s="5"/>
      <c r="EA171" s="173">
        <f t="shared" si="397"/>
        <v>0.44767441860465118</v>
      </c>
      <c r="EB171" s="173">
        <f t="shared" si="398"/>
        <v>91.499999999999986</v>
      </c>
      <c r="EC171" s="173">
        <f t="shared" si="399"/>
        <v>5.941558441558441</v>
      </c>
      <c r="ED171" s="173">
        <f t="shared" si="400"/>
        <v>15.399999999999999</v>
      </c>
      <c r="EE171" s="460">
        <f t="shared" si="401"/>
        <v>552.587977119833</v>
      </c>
      <c r="EF171" s="5">
        <f t="shared" si="402"/>
        <v>27.839743585302827</v>
      </c>
      <c r="EH171" s="173">
        <f t="shared" si="403"/>
        <v>8.3110466934062597</v>
      </c>
      <c r="EI171" s="173">
        <f t="shared" si="404"/>
        <v>9.2314976260331001</v>
      </c>
      <c r="EK171" s="528">
        <f t="shared" si="405"/>
        <v>1.3814699427995825</v>
      </c>
      <c r="EL171" s="528">
        <f t="shared" si="406"/>
        <v>0.48766666666666664</v>
      </c>
      <c r="EM171" s="528">
        <f t="shared" si="407"/>
        <v>4.1182189783331912E-3</v>
      </c>
      <c r="EN171" s="528">
        <f t="shared" si="408"/>
        <v>3.8986684881602922E-3</v>
      </c>
      <c r="EO171">
        <f t="shared" si="409"/>
        <v>8.5500000000000003E-3</v>
      </c>
      <c r="EP171" s="460">
        <f t="shared" si="410"/>
        <v>12.66821897833319</v>
      </c>
      <c r="EQ171" s="460"/>
      <c r="ER171" s="460">
        <f t="shared" si="432"/>
        <v>1885.7034969327426</v>
      </c>
      <c r="ES171" s="528">
        <f t="shared" si="411"/>
        <v>4.2699999999999996</v>
      </c>
      <c r="EV171" s="460">
        <f t="shared" si="494"/>
        <v>4270</v>
      </c>
      <c r="EW171" s="528">
        <f t="shared" si="413"/>
        <v>2.0722049141993737</v>
      </c>
      <c r="EX171" s="528">
        <f t="shared" si="414"/>
        <v>2.5566164525836426</v>
      </c>
      <c r="EY171" s="528">
        <f t="shared" si="415"/>
        <v>0.66881589702681288</v>
      </c>
      <c r="EZ171" s="528"/>
      <c r="FA171" s="528">
        <f t="shared" si="416"/>
        <v>1.525E-2</v>
      </c>
      <c r="FB171" s="460">
        <f t="shared" si="417"/>
        <v>5312.8872638098301</v>
      </c>
      <c r="FC171" s="173">
        <f t="shared" si="418"/>
        <v>11.468590760742572</v>
      </c>
      <c r="FD171" s="5">
        <f t="shared" si="419"/>
        <v>91.5</v>
      </c>
      <c r="FE171" s="173">
        <f t="shared" si="420"/>
        <v>0.88862049411367638</v>
      </c>
      <c r="FF171" s="5">
        <f t="shared" si="421"/>
        <v>88.862049411367636</v>
      </c>
      <c r="FI171" s="562">
        <f t="shared" si="422"/>
        <v>-50</v>
      </c>
      <c r="FJ171">
        <f t="shared" si="423"/>
        <v>-50</v>
      </c>
      <c r="FL171">
        <f t="shared" si="476"/>
        <v>0.55232558139534882</v>
      </c>
    </row>
    <row r="172" spans="5:168">
      <c r="E172" s="170">
        <v>62</v>
      </c>
      <c r="F172" s="217">
        <f t="shared" si="477"/>
        <v>6.2</v>
      </c>
      <c r="G172" s="217"/>
      <c r="H172" s="217">
        <f t="shared" si="442"/>
        <v>93</v>
      </c>
      <c r="I172" s="541">
        <f t="shared" si="443"/>
        <v>18.437085050721187</v>
      </c>
      <c r="J172" s="172">
        <f t="shared" si="444"/>
        <v>15.737748969567289</v>
      </c>
      <c r="K172" s="172">
        <f t="shared" si="445"/>
        <v>34.174834020288472</v>
      </c>
      <c r="L172" s="443"/>
      <c r="M172" s="217">
        <f t="shared" si="446"/>
        <v>0.46049131553196831</v>
      </c>
      <c r="N172" s="172">
        <f t="shared" si="447"/>
        <v>212.4545790313372</v>
      </c>
      <c r="O172" s="172">
        <f t="shared" si="438"/>
        <v>93</v>
      </c>
      <c r="P172" s="217">
        <f t="shared" si="448"/>
        <v>14.163638602089147</v>
      </c>
      <c r="Q172" s="217">
        <f t="shared" si="449"/>
        <v>15</v>
      </c>
      <c r="R172" s="217"/>
      <c r="S172" s="172">
        <f t="shared" si="450"/>
        <v>56.036674328043986</v>
      </c>
      <c r="T172" s="172">
        <f t="shared" si="451"/>
        <v>15</v>
      </c>
      <c r="U172" s="217">
        <f t="shared" si="452"/>
        <v>22.983874693744163</v>
      </c>
      <c r="V172" s="217">
        <f t="shared" si="453"/>
        <v>14.95933308145918</v>
      </c>
      <c r="W172" s="217">
        <f t="shared" si="454"/>
        <v>17.525155399178622</v>
      </c>
      <c r="X172" s="197">
        <f t="shared" si="455"/>
        <v>70.753383441588042</v>
      </c>
      <c r="Y172" s="443">
        <f t="shared" si="328"/>
        <v>30.595553012628518</v>
      </c>
      <c r="AA172" s="217">
        <f t="shared" si="456"/>
        <v>10</v>
      </c>
      <c r="AB172" s="173">
        <f t="shared" si="457"/>
        <v>7.624978656861841</v>
      </c>
      <c r="AC172" s="173">
        <f t="shared" si="458"/>
        <v>2.6974651932143536</v>
      </c>
      <c r="AD172" s="173"/>
      <c r="AE172" s="173">
        <f t="shared" si="459"/>
        <v>7.624978656861841</v>
      </c>
      <c r="AF172" s="545">
        <f t="shared" si="460"/>
        <v>162.62340601886197</v>
      </c>
      <c r="AG172" s="528">
        <f t="shared" si="461"/>
        <v>2.6974651932143536</v>
      </c>
      <c r="AI172" s="173">
        <f t="shared" si="462"/>
        <v>6.816438240833949</v>
      </c>
      <c r="AJ172" s="173">
        <f t="shared" si="463"/>
        <v>22.983874693744163</v>
      </c>
      <c r="AK172" s="173">
        <f t="shared" si="464"/>
        <v>10.817684958329009</v>
      </c>
      <c r="AM172" s="545">
        <f t="shared" si="465"/>
        <v>6200</v>
      </c>
      <c r="AN172" s="460">
        <f t="shared" si="466"/>
        <v>30.595553012628518</v>
      </c>
      <c r="AP172">
        <f t="shared" si="467"/>
        <v>6200</v>
      </c>
      <c r="AQ172">
        <f t="shared" si="468"/>
        <v>30.595553012628518</v>
      </c>
      <c r="AS172" s="5">
        <f t="shared" si="439"/>
        <v>32.684488480637803</v>
      </c>
      <c r="AT172" s="5">
        <f t="shared" si="469"/>
        <v>14.95933308145918</v>
      </c>
      <c r="AU172" s="5">
        <f t="shared" si="478"/>
        <v>17.725155399178625</v>
      </c>
      <c r="AV172" s="5"/>
      <c r="AW172" s="173">
        <f t="shared" si="479"/>
        <v>0.45768906832735184</v>
      </c>
      <c r="AX172" s="173">
        <f t="shared" si="435"/>
        <v>96.974164901005949</v>
      </c>
      <c r="AY172" s="173">
        <f t="shared" si="436"/>
        <v>6.2322032493058996</v>
      </c>
      <c r="AZ172" s="173">
        <f t="shared" si="440"/>
        <v>15.560173669208602</v>
      </c>
      <c r="BA172" s="460">
        <f t="shared" si="433"/>
        <v>618.31910070031267</v>
      </c>
      <c r="BB172" s="5">
        <f t="shared" si="434"/>
        <v>30.830654396844011</v>
      </c>
      <c r="BD172" s="173">
        <f t="shared" si="441"/>
        <v>8.9773444262348416</v>
      </c>
      <c r="BE172" s="173">
        <f t="shared" si="437"/>
        <v>9.7720751309702898</v>
      </c>
      <c r="BG172" s="528">
        <f t="shared" si="480"/>
        <v>1.6118542589449956</v>
      </c>
      <c r="BH172" s="528">
        <f t="shared" si="470"/>
        <v>0.45059797818951958</v>
      </c>
      <c r="BI172" s="528">
        <f t="shared" si="471"/>
        <v>1.4102320326692019E-2</v>
      </c>
      <c r="BJ172" s="528">
        <f t="shared" si="481"/>
        <v>3.5733136255326086E-3</v>
      </c>
      <c r="BK172">
        <f t="shared" si="482"/>
        <v>8.2966882728245338E-3</v>
      </c>
      <c r="BL172" s="460">
        <f t="shared" si="427"/>
        <v>22.399008599516552</v>
      </c>
      <c r="BM172" s="528">
        <f t="shared" si="472"/>
        <v>4.0536972939259455</v>
      </c>
      <c r="BN172" s="460">
        <f t="shared" si="353"/>
        <v>4053.6972939259454</v>
      </c>
      <c r="BO172" s="528">
        <f t="shared" si="483"/>
        <v>4.34</v>
      </c>
      <c r="BR172" s="460">
        <f t="shared" si="484"/>
        <v>4340</v>
      </c>
      <c r="BS172" s="528">
        <f t="shared" si="485"/>
        <v>2.4177813884174935</v>
      </c>
      <c r="BT172" s="528">
        <f t="shared" si="486"/>
        <v>2.8648035709598401</v>
      </c>
      <c r="BU172" s="528">
        <f t="shared" si="487"/>
        <v>0.65565274845572352</v>
      </c>
      <c r="BV172" s="528"/>
      <c r="BW172" s="528">
        <f t="shared" si="488"/>
        <v>1.6162360816834326E-2</v>
      </c>
      <c r="BX172" s="460">
        <f t="shared" si="489"/>
        <v>5954.4000686498921</v>
      </c>
      <c r="BY172" s="173">
        <f t="shared" si="490"/>
        <v>12.382824628009455</v>
      </c>
      <c r="BZ172" s="5">
        <f t="shared" si="491"/>
        <v>93</v>
      </c>
      <c r="CA172" s="173">
        <f t="shared" si="492"/>
        <v>0.88249674772222553</v>
      </c>
      <c r="CB172" s="5">
        <f t="shared" si="493"/>
        <v>88.249674772222548</v>
      </c>
      <c r="CE172" s="562">
        <f t="shared" si="473"/>
        <v>-50</v>
      </c>
      <c r="CF172">
        <f t="shared" si="474"/>
        <v>-50</v>
      </c>
      <c r="CG172" s="173">
        <f t="shared" si="475"/>
        <v>0.55070486295871435</v>
      </c>
      <c r="CI172" s="170">
        <v>62</v>
      </c>
      <c r="CJ172" s="217">
        <f t="shared" si="428"/>
        <v>6.2</v>
      </c>
      <c r="CK172" s="217"/>
      <c r="CL172" s="217">
        <f t="shared" si="368"/>
        <v>93</v>
      </c>
      <c r="CM172" s="541">
        <f t="shared" si="369"/>
        <v>19</v>
      </c>
      <c r="CN172" s="443">
        <f t="shared" si="370"/>
        <v>15.4</v>
      </c>
      <c r="CO172" s="443">
        <f t="shared" si="371"/>
        <v>34.4</v>
      </c>
      <c r="CP172" s="443"/>
      <c r="CQ172" s="217">
        <f t="shared" si="372"/>
        <v>0.44767441860465118</v>
      </c>
      <c r="CR172" s="172">
        <f t="shared" si="429"/>
        <v>212.84736191860466</v>
      </c>
      <c r="CS172" s="172">
        <f t="shared" si="373"/>
        <v>93</v>
      </c>
      <c r="CT172" s="217">
        <f t="shared" si="374"/>
        <v>14.189824127906977</v>
      </c>
      <c r="CU172" s="217">
        <f t="shared" si="375"/>
        <v>15</v>
      </c>
      <c r="CV172" s="217"/>
      <c r="CW172" s="172">
        <f t="shared" si="376"/>
        <v>57.743614054906672</v>
      </c>
      <c r="CX172" s="172">
        <f t="shared" si="377"/>
        <v>15</v>
      </c>
      <c r="CY172" s="217">
        <f t="shared" si="378"/>
        <v>21.867395762132602</v>
      </c>
      <c r="CZ172" s="217">
        <f t="shared" si="379"/>
        <v>13.810986797136382</v>
      </c>
      <c r="DA172" s="217">
        <f t="shared" si="380"/>
        <v>17.039529165298134</v>
      </c>
      <c r="DB172" s="197">
        <f t="shared" si="381"/>
        <v>70.881782945736433</v>
      </c>
      <c r="DC172" s="443">
        <f t="shared" si="382"/>
        <v>32.414368732687052</v>
      </c>
      <c r="DE172" s="217">
        <f t="shared" si="383"/>
        <v>10.000000000000002</v>
      </c>
      <c r="DF172" s="173">
        <f t="shared" si="384"/>
        <v>7.792207792207793</v>
      </c>
      <c r="DG172" s="173">
        <f t="shared" si="385"/>
        <v>2.7616279069767451</v>
      </c>
      <c r="DH172" s="173"/>
      <c r="DI172" s="173">
        <f t="shared" si="386"/>
        <v>7.7922077922077913</v>
      </c>
      <c r="DJ172" s="545">
        <f t="shared" si="387"/>
        <v>159.13333333333335</v>
      </c>
      <c r="DK172" s="528">
        <f t="shared" si="388"/>
        <v>2.7616279069767442</v>
      </c>
      <c r="DM172" s="173">
        <f t="shared" si="389"/>
        <v>6.7428974978614846</v>
      </c>
      <c r="DN172" s="173">
        <f t="shared" si="390"/>
        <v>21.867395762132602</v>
      </c>
      <c r="DO172" s="173">
        <f t="shared" si="391"/>
        <v>9.9906635275056299</v>
      </c>
      <c r="DQ172" s="545">
        <f t="shared" si="392"/>
        <v>6200</v>
      </c>
      <c r="DR172" s="460">
        <f t="shared" si="393"/>
        <v>32.414368732687052</v>
      </c>
      <c r="DT172">
        <f t="shared" si="430"/>
        <v>6200</v>
      </c>
      <c r="DU172">
        <f t="shared" si="431"/>
        <v>32.414368732687052</v>
      </c>
      <c r="DW172" s="5">
        <f t="shared" si="394"/>
        <v>30.85051596243451</v>
      </c>
      <c r="DX172" s="5">
        <f t="shared" si="395"/>
        <v>13.810986797136382</v>
      </c>
      <c r="DY172" s="5">
        <f t="shared" si="396"/>
        <v>17.039529165298127</v>
      </c>
      <c r="DZ172" s="5"/>
      <c r="EA172" s="173">
        <f t="shared" si="397"/>
        <v>0.44767441860465124</v>
      </c>
      <c r="EB172" s="173">
        <f t="shared" si="398"/>
        <v>92.999999999999986</v>
      </c>
      <c r="EC172" s="173">
        <f t="shared" si="399"/>
        <v>6.0389610389610366</v>
      </c>
      <c r="ED172" s="173">
        <f t="shared" si="400"/>
        <v>15.400000000000004</v>
      </c>
      <c r="EE172" s="460">
        <f t="shared" si="401"/>
        <v>570.85412094830383</v>
      </c>
      <c r="EF172" s="5">
        <f t="shared" si="402"/>
        <v>28.760003854314437</v>
      </c>
      <c r="EH172" s="173">
        <f t="shared" si="403"/>
        <v>8.4472933605112814</v>
      </c>
      <c r="EI172" s="173">
        <f t="shared" si="404"/>
        <v>9.3828336526893796</v>
      </c>
      <c r="EK172" s="528">
        <f t="shared" si="405"/>
        <v>1.4271353023707596</v>
      </c>
      <c r="EL172" s="528">
        <f t="shared" si="406"/>
        <v>0.48766666666666675</v>
      </c>
      <c r="EM172" s="528">
        <f t="shared" si="407"/>
        <v>4.0517960915858811E-3</v>
      </c>
      <c r="EN172" s="528">
        <f t="shared" si="408"/>
        <v>3.835786738351255E-3</v>
      </c>
      <c r="EO172">
        <f t="shared" si="409"/>
        <v>8.5500000000000003E-3</v>
      </c>
      <c r="EP172" s="460">
        <f t="shared" si="410"/>
        <v>12.601796091585882</v>
      </c>
      <c r="EQ172" s="460"/>
      <c r="ER172" s="460">
        <f t="shared" si="432"/>
        <v>1931.2395518673634</v>
      </c>
      <c r="ES172" s="528">
        <f t="shared" si="411"/>
        <v>4.34</v>
      </c>
      <c r="EV172" s="460">
        <f t="shared" si="494"/>
        <v>4340</v>
      </c>
      <c r="EW172" s="528">
        <f t="shared" si="413"/>
        <v>2.1407029535561395</v>
      </c>
      <c r="EX172" s="528">
        <f t="shared" si="414"/>
        <v>2.6411270206212096</v>
      </c>
      <c r="EY172" s="528">
        <f t="shared" si="415"/>
        <v>0.66881589702681232</v>
      </c>
      <c r="EZ172" s="528"/>
      <c r="FA172" s="528">
        <f t="shared" si="416"/>
        <v>1.55E-2</v>
      </c>
      <c r="FB172" s="460">
        <f t="shared" si="417"/>
        <v>5466.1458712041613</v>
      </c>
      <c r="FC172" s="173">
        <f t="shared" si="418"/>
        <v>11.737385423071524</v>
      </c>
      <c r="FD172" s="5">
        <f t="shared" si="419"/>
        <v>93</v>
      </c>
      <c r="FE172" s="173">
        <f t="shared" si="420"/>
        <v>0.88793509236782975</v>
      </c>
      <c r="FF172" s="5">
        <f t="shared" si="421"/>
        <v>88.793509236782981</v>
      </c>
      <c r="FI172" s="562">
        <f t="shared" si="422"/>
        <v>-50</v>
      </c>
      <c r="FJ172">
        <f t="shared" si="423"/>
        <v>-50</v>
      </c>
      <c r="FL172">
        <f t="shared" si="476"/>
        <v>0.55232558139534871</v>
      </c>
    </row>
    <row r="173" spans="5:168">
      <c r="E173" s="170">
        <v>63</v>
      </c>
      <c r="F173" s="217">
        <f t="shared" si="477"/>
        <v>6.3</v>
      </c>
      <c r="G173" s="217"/>
      <c r="H173" s="217">
        <f t="shared" si="442"/>
        <v>94.5</v>
      </c>
      <c r="I173" s="541">
        <f t="shared" si="443"/>
        <v>18.428032496300606</v>
      </c>
      <c r="J173" s="172">
        <f t="shared" si="444"/>
        <v>15.743180502219637</v>
      </c>
      <c r="K173" s="172">
        <f t="shared" si="445"/>
        <v>34.171212998520247</v>
      </c>
      <c r="L173" s="443"/>
      <c r="M173" s="217">
        <f t="shared" si="446"/>
        <v>0.46069906971959912</v>
      </c>
      <c r="N173" s="172">
        <f t="shared" si="447"/>
        <v>212.44606790911624</v>
      </c>
      <c r="O173" s="172">
        <f t="shared" si="438"/>
        <v>94.5</v>
      </c>
      <c r="P173" s="217">
        <f>N173/Vout</f>
        <v>14.163071193941082</v>
      </c>
      <c r="Q173" s="217">
        <f t="shared" si="449"/>
        <v>15</v>
      </c>
      <c r="R173" s="217"/>
      <c r="S173" s="172">
        <f t="shared" si="450"/>
        <v>54.832538383125645</v>
      </c>
      <c r="T173" s="172">
        <f t="shared" si="451"/>
        <v>15</v>
      </c>
      <c r="U173" s="217">
        <f t="shared" si="452"/>
        <v>23.363579205118057</v>
      </c>
      <c r="V173" s="217">
        <f t="shared" si="453"/>
        <v>15.213938358188758</v>
      </c>
      <c r="W173" s="217">
        <f t="shared" si="454"/>
        <v>17.808533061149124</v>
      </c>
      <c r="X173" s="197">
        <f t="shared" si="455"/>
        <v>70.750547130268387</v>
      </c>
      <c r="Y173" s="443">
        <f t="shared" si="328"/>
        <v>30.100108669758011</v>
      </c>
      <c r="AA173" s="217">
        <f t="shared" si="456"/>
        <v>10</v>
      </c>
      <c r="AB173" s="173">
        <f t="shared" si="457"/>
        <v>7.6223479736563498</v>
      </c>
      <c r="AC173" s="173">
        <f t="shared" si="458"/>
        <v>2.6964264477673963</v>
      </c>
      <c r="AD173" s="173"/>
      <c r="AE173" s="173">
        <f t="shared" si="459"/>
        <v>7.6223479736563498</v>
      </c>
      <c r="AF173" s="545">
        <f t="shared" si="460"/>
        <v>165.30339527330617</v>
      </c>
      <c r="AG173" s="528">
        <f t="shared" si="461"/>
        <v>2.6964264477673967</v>
      </c>
      <c r="AI173" s="173">
        <f t="shared" si="462"/>
        <v>6.8723752448959674</v>
      </c>
      <c r="AJ173" s="173">
        <f t="shared" si="463"/>
        <v>23.363579205118057</v>
      </c>
      <c r="AK173" s="173">
        <f t="shared" si="464"/>
        <v>11.098947559346708</v>
      </c>
      <c r="AM173" s="545">
        <f t="shared" si="465"/>
        <v>6300</v>
      </c>
      <c r="AN173" s="460">
        <f t="shared" si="466"/>
        <v>30.100108669758011</v>
      </c>
      <c r="AP173">
        <f t="shared" si="467"/>
        <v>6300</v>
      </c>
      <c r="AQ173">
        <f t="shared" si="468"/>
        <v>30.100108669758011</v>
      </c>
      <c r="AS173" s="5">
        <f t="shared" si="439"/>
        <v>33.222471419337886</v>
      </c>
      <c r="AT173" s="5">
        <f t="shared" si="469"/>
        <v>15.213938358188758</v>
      </c>
      <c r="AU173" s="5">
        <f t="shared" si="478"/>
        <v>18.00853306114913</v>
      </c>
      <c r="AV173" s="5"/>
      <c r="AW173" s="173">
        <f t="shared" si="479"/>
        <v>0.45794119787648135</v>
      </c>
      <c r="AX173" s="173">
        <f t="shared" si="435"/>
        <v>98.582099998032675</v>
      </c>
      <c r="AY173" s="173">
        <f t="shared" si="436"/>
        <v>6.3322168786221225</v>
      </c>
      <c r="AZ173" s="173">
        <f t="shared" si="440"/>
        <v>15.568339159521008</v>
      </c>
      <c r="BA173" s="460">
        <f t="shared" si="433"/>
        <v>638.9854110439278</v>
      </c>
      <c r="BB173" s="5">
        <f t="shared" si="434"/>
        <v>31.844407934043009</v>
      </c>
      <c r="BD173" s="173">
        <f t="shared" si="441"/>
        <v>9.1281676163853422</v>
      </c>
      <c r="BE173" s="173">
        <f t="shared" si="437"/>
        <v>9.9312050489915666</v>
      </c>
      <c r="BG173" s="528">
        <f t="shared" si="480"/>
        <v>1.6664688806565213</v>
      </c>
      <c r="BH173" s="528">
        <f t="shared" si="470"/>
        <v>0.45057709096326237</v>
      </c>
      <c r="BI173" s="528">
        <f t="shared" si="471"/>
        <v>1.3867144517712007E-2</v>
      </c>
      <c r="BJ173" s="528">
        <f t="shared" si="481"/>
        <v>3.5147048004097901E-3</v>
      </c>
      <c r="BK173">
        <f t="shared" si="482"/>
        <v>8.2926146233352725E-3</v>
      </c>
      <c r="BL173" s="460">
        <f t="shared" si="427"/>
        <v>22.159759141047278</v>
      </c>
      <c r="BM173" s="528">
        <f t="shared" si="472"/>
        <v>4.2554756499370159</v>
      </c>
      <c r="BN173" s="460">
        <f t="shared" si="353"/>
        <v>4255.475649937016</v>
      </c>
      <c r="BO173" s="528">
        <f t="shared" si="483"/>
        <v>4.4099999999999993</v>
      </c>
      <c r="BR173" s="460">
        <f t="shared" si="484"/>
        <v>4409.9999999999991</v>
      </c>
      <c r="BS173" s="528">
        <f t="shared" si="485"/>
        <v>2.4997033209847817</v>
      </c>
      <c r="BT173" s="528">
        <f t="shared" si="486"/>
        <v>2.9588650117534674</v>
      </c>
      <c r="BU173" s="528">
        <f t="shared" si="487"/>
        <v>0.65575045762569606</v>
      </c>
      <c r="BV173" s="528"/>
      <c r="BW173" s="528">
        <f t="shared" si="488"/>
        <v>1.6430349999672113E-2</v>
      </c>
      <c r="BX173" s="460">
        <f t="shared" si="489"/>
        <v>6130.7491403636177</v>
      </c>
      <c r="BY173" s="173">
        <f t="shared" si="490"/>
        <v>12.683469575924857</v>
      </c>
      <c r="BZ173" s="5">
        <f t="shared" si="491"/>
        <v>94.5</v>
      </c>
      <c r="CA173" s="173">
        <f t="shared" si="492"/>
        <v>0.88166580512734427</v>
      </c>
      <c r="CB173" s="5">
        <f t="shared" si="493"/>
        <v>88.166580512734427</v>
      </c>
      <c r="CE173" s="562">
        <f t="shared" si="473"/>
        <v>-50</v>
      </c>
      <c r="CF173">
        <f t="shared" si="474"/>
        <v>-50</v>
      </c>
      <c r="CG173" s="173">
        <f t="shared" si="475"/>
        <v>0.55073058864818469</v>
      </c>
      <c r="CI173" s="170">
        <v>63</v>
      </c>
      <c r="CJ173" s="217">
        <f t="shared" si="428"/>
        <v>6.3</v>
      </c>
      <c r="CK173" s="217"/>
      <c r="CL173" s="217">
        <f t="shared" si="368"/>
        <v>94.5</v>
      </c>
      <c r="CM173" s="541">
        <f t="shared" si="369"/>
        <v>19</v>
      </c>
      <c r="CN173" s="443">
        <f t="shared" si="370"/>
        <v>15.4</v>
      </c>
      <c r="CO173" s="443">
        <f t="shared" si="371"/>
        <v>34.4</v>
      </c>
      <c r="CP173" s="443"/>
      <c r="CQ173" s="217">
        <f t="shared" si="372"/>
        <v>0.44767441860465118</v>
      </c>
      <c r="CR173" s="172">
        <f t="shared" si="429"/>
        <v>212.84736191860466</v>
      </c>
      <c r="CS173" s="172">
        <f t="shared" si="373"/>
        <v>94.5</v>
      </c>
      <c r="CT173" s="217">
        <f t="shared" si="374"/>
        <v>14.189824127906977</v>
      </c>
      <c r="CU173" s="217">
        <f t="shared" si="375"/>
        <v>15</v>
      </c>
      <c r="CV173" s="217"/>
      <c r="CW173" s="172">
        <f t="shared" si="376"/>
        <v>56.530321919307255</v>
      </c>
      <c r="CX173" s="172">
        <f t="shared" si="377"/>
        <v>15</v>
      </c>
      <c r="CY173" s="217">
        <f t="shared" si="378"/>
        <v>22.220095693779903</v>
      </c>
      <c r="CZ173" s="217">
        <f t="shared" si="379"/>
        <v>14.033744648703097</v>
      </c>
      <c r="DA173" s="217">
        <f t="shared" si="380"/>
        <v>17.314360280867458</v>
      </c>
      <c r="DB173" s="197">
        <f t="shared" si="381"/>
        <v>70.881782945736433</v>
      </c>
      <c r="DC173" s="443">
        <f t="shared" si="382"/>
        <v>31.899854943279323</v>
      </c>
      <c r="DE173" s="217">
        <f t="shared" si="383"/>
        <v>10.000000000000002</v>
      </c>
      <c r="DF173" s="173">
        <f t="shared" si="384"/>
        <v>7.792207792207793</v>
      </c>
      <c r="DG173" s="173">
        <f t="shared" si="385"/>
        <v>2.7616279069767451</v>
      </c>
      <c r="DH173" s="173"/>
      <c r="DI173" s="173">
        <f t="shared" si="386"/>
        <v>7.7922077922077913</v>
      </c>
      <c r="DJ173" s="545">
        <f t="shared" si="387"/>
        <v>161.69999999999999</v>
      </c>
      <c r="DK173" s="528">
        <f t="shared" si="388"/>
        <v>2.7616279069767442</v>
      </c>
      <c r="DM173" s="173">
        <f t="shared" si="389"/>
        <v>6.7970581871865718</v>
      </c>
      <c r="DN173" s="173">
        <f t="shared" si="390"/>
        <v>22.220095693779903</v>
      </c>
      <c r="DO173" s="173">
        <f t="shared" si="391"/>
        <v>10.251922736133261</v>
      </c>
      <c r="DQ173" s="545">
        <f t="shared" si="392"/>
        <v>6300</v>
      </c>
      <c r="DR173" s="460">
        <f t="shared" si="393"/>
        <v>31.899854943279323</v>
      </c>
      <c r="DT173">
        <f t="shared" si="430"/>
        <v>6300</v>
      </c>
      <c r="DU173">
        <f t="shared" si="431"/>
        <v>31.899854943279323</v>
      </c>
      <c r="DW173" s="5">
        <f t="shared" si="394"/>
        <v>31.348104929570546</v>
      </c>
      <c r="DX173" s="5">
        <f t="shared" si="395"/>
        <v>14.033744648703097</v>
      </c>
      <c r="DY173" s="5">
        <f t="shared" si="396"/>
        <v>17.314360280867447</v>
      </c>
      <c r="DZ173" s="5"/>
      <c r="EA173" s="173">
        <f t="shared" si="397"/>
        <v>0.44767441860465129</v>
      </c>
      <c r="EB173" s="173">
        <f t="shared" si="398"/>
        <v>94.500000000000014</v>
      </c>
      <c r="EC173" s="173">
        <f t="shared" si="399"/>
        <v>6.1363636363636349</v>
      </c>
      <c r="ED173" s="173">
        <f t="shared" si="400"/>
        <v>15.400000000000006</v>
      </c>
      <c r="EE173" s="460">
        <f t="shared" si="401"/>
        <v>589.41727524553016</v>
      </c>
      <c r="EF173" s="5">
        <f t="shared" si="402"/>
        <v>29.695227704935999</v>
      </c>
      <c r="EH173" s="173">
        <f t="shared" si="403"/>
        <v>8.5835400276163032</v>
      </c>
      <c r="EI173" s="173">
        <f t="shared" si="404"/>
        <v>9.534169679345661</v>
      </c>
      <c r="EK173" s="528">
        <f t="shared" si="405"/>
        <v>1.4735431881138257</v>
      </c>
      <c r="EL173" s="528">
        <f t="shared" si="406"/>
        <v>0.48766666666666675</v>
      </c>
      <c r="EM173" s="528">
        <f t="shared" si="407"/>
        <v>3.9874818679099151E-3</v>
      </c>
      <c r="EN173" s="528">
        <f t="shared" si="408"/>
        <v>3.7749012345679018E-3</v>
      </c>
      <c r="EO173">
        <f t="shared" si="409"/>
        <v>8.5500000000000003E-3</v>
      </c>
      <c r="EP173" s="460">
        <f t="shared" si="410"/>
        <v>12.537481867909916</v>
      </c>
      <c r="EQ173" s="460"/>
      <c r="ER173" s="460">
        <f t="shared" si="432"/>
        <v>1977.5222378829701</v>
      </c>
      <c r="ES173" s="528">
        <f t="shared" si="411"/>
        <v>4.4099999999999993</v>
      </c>
      <c r="EV173" s="460">
        <f t="shared" si="494"/>
        <v>4409.9999999999991</v>
      </c>
      <c r="EW173" s="528">
        <f t="shared" si="413"/>
        <v>2.2103147821707383</v>
      </c>
      <c r="EX173" s="528">
        <f t="shared" si="414"/>
        <v>2.727011744236624</v>
      </c>
      <c r="EY173" s="528">
        <f t="shared" si="415"/>
        <v>0.66881589702681221</v>
      </c>
      <c r="EZ173" s="528"/>
      <c r="FA173" s="528">
        <f t="shared" si="416"/>
        <v>1.5750000000000004E-2</v>
      </c>
      <c r="FB173" s="460">
        <f t="shared" si="417"/>
        <v>5621.8924234341748</v>
      </c>
      <c r="FC173" s="173">
        <f t="shared" si="418"/>
        <v>12.009414661317143</v>
      </c>
      <c r="FD173" s="5">
        <f t="shared" si="419"/>
        <v>94.5</v>
      </c>
      <c r="FE173" s="173">
        <f t="shared" si="420"/>
        <v>0.88724551064800095</v>
      </c>
      <c r="FF173" s="5">
        <f t="shared" si="421"/>
        <v>88.724551064800096</v>
      </c>
      <c r="FI173" s="562">
        <f t="shared" si="422"/>
        <v>-50</v>
      </c>
      <c r="FJ173">
        <f t="shared" si="423"/>
        <v>-50</v>
      </c>
      <c r="FL173">
        <f t="shared" si="476"/>
        <v>0.55232558139534871</v>
      </c>
    </row>
    <row r="174" spans="5:168">
      <c r="E174" s="170">
        <v>64</v>
      </c>
      <c r="F174" s="217">
        <f t="shared" si="477"/>
        <v>6.4</v>
      </c>
      <c r="G174" s="217"/>
      <c r="H174" s="217">
        <f t="shared" ref="H174:H205" si="495">F174*Vout</f>
        <v>96</v>
      </c>
      <c r="I174" s="541">
        <f t="shared" ref="I174:I210" si="496">VIN_min-F174*(Rdcr_pri+RON/1000)/CG174/Nps</f>
        <v>18.418979939461952</v>
      </c>
      <c r="J174" s="172">
        <f t="shared" ref="J174:J210" si="497">(T174+Vfwd1+F174/CG174*Rdcr_sec)*Nps</f>
        <v>15.748612036322829</v>
      </c>
      <c r="K174" s="172">
        <f t="shared" ref="K174:K210" si="498">(Vout+Vfwd1+F174/CG174*Rdcr_sec)*Nps++I174</f>
        <v>34.167591975784781</v>
      </c>
      <c r="L174" s="443"/>
      <c r="M174" s="217">
        <f t="shared" ref="M174:M209" si="499">(Vout+Vfwd1+F174/FL174*Rdcr_sec)*Nps/((Vout+Vfwd1+F174/FL174*Rdcr_sec)*Nps+I174)</f>
        <v>0.46090686797541619</v>
      </c>
      <c r="N174" s="172">
        <f t="shared" ref="N174:N205" si="500">M174*I174*(Isw_max+VIN_min/Lmag*ILIM_delay)*0.5*Efficiency</f>
        <v>212.43748294592174</v>
      </c>
      <c r="O174" s="172">
        <f t="shared" si="438"/>
        <v>96</v>
      </c>
      <c r="P174" s="217">
        <f t="shared" ref="P174:P205" si="501">N174/Vout</f>
        <v>14.162498863061449</v>
      </c>
      <c r="Q174" s="217">
        <f t="shared" ref="Q174:Q210" si="502">MIN(Vout,N174/F174)</f>
        <v>15</v>
      </c>
      <c r="R174" s="217"/>
      <c r="S174" s="172">
        <f t="shared" ref="S174:S210" si="503">(SQRT(Isw_max^2*Nps^2*I174^2+4*Isw_max*F174/Efficiency*(Nps^2*Vfwd1*I174-Nps*I174^2)+4*(F174/Efficiency)^2*Nps^2*Vfwd1^2+8*(F174/Efficiency)^2*Nps*Vfwd1*I174+4*(F174/Efficiency)^2*I174^2)-2*F174/Efficiency*I174-2*F174/Efficiency*Nps*Vfwd1+Isw_max*Nps*I174)/(4*F174/Efficiency*Nps)</f>
        <v>53.666429701838197</v>
      </c>
      <c r="T174" s="172">
        <f t="shared" ref="T174:T205" si="504">MIN(Vout, S174)</f>
        <v>15</v>
      </c>
      <c r="U174" s="217">
        <f t="shared" ref="U174:U209" si="505">MIN(2*(Vout+Vfwd1+F174/FL174*Rdcr_sec)*F174/(I174*M174), Isw_max)</f>
        <v>23.743578316290431</v>
      </c>
      <c r="V174" s="217">
        <f t="shared" ref="V174:V205" si="506">L*U174/I174*1000000</f>
        <v>15.468985835912054</v>
      </c>
      <c r="W174" s="217">
        <f t="shared" ref="W174:W210" si="507">L*U174/J174*1000000</f>
        <v>18.091939730201922</v>
      </c>
      <c r="X174" s="197">
        <f t="shared" ref="X174:X210" si="508">IF(1/((350000*L)*(1/I174+1/J174))&gt;Isw_min, 350, 0.001/((Isw_min*L)*(1/I174+1/J174)))</f>
        <v>70.747686232658637</v>
      </c>
      <c r="Y174" s="443">
        <f t="shared" ref="Y174:Y209" si="509">MIN(1/(V174+W174+0.2)*1000, 350)</f>
        <v>29.620041015809864</v>
      </c>
      <c r="AA174" s="217">
        <f t="shared" ref="AA174:AA210" si="510">1/((X174*1000*L)*(1/I174+1/J174))</f>
        <v>10</v>
      </c>
      <c r="AB174" s="173">
        <f t="shared" ref="AB174:AB205" si="511">L*AA174/J174*1000000</f>
        <v>7.619719104339497</v>
      </c>
      <c r="AC174" s="173">
        <f t="shared" ref="AC174:AC205" si="512">0.5*AB174*AA174*Nps*X174/1000</f>
        <v>2.6953874818740271</v>
      </c>
      <c r="AD174" s="173"/>
      <c r="AE174" s="173">
        <f t="shared" ref="AE174:AE210" si="513">L*Isw_min/J174*1000000</f>
        <v>7.619719104339497</v>
      </c>
      <c r="AF174" s="545">
        <f t="shared" ref="AF174:AF205" si="514">MAX(12000,F174/(0.5*AE174/1000000*Isw_min*Nps))/1000</f>
        <v>167.98519505411019</v>
      </c>
      <c r="AG174" s="528">
        <f t="shared" ref="AG174:AG210" si="515">0.5*AE174/1000000*Isw_min*Nps*X174*1000</f>
        <v>2.6953874818740267</v>
      </c>
      <c r="AI174" s="173">
        <f t="shared" ref="AI174:AI210" si="516">SQRT(F174/(0.5*L/J174*Fsw_DCM*Nps))</f>
        <v>6.9278979507105944</v>
      </c>
      <c r="AJ174" s="173">
        <f t="shared" ref="AJ174:AJ205" si="517">MAX(IF(F174&gt;AC174,U174,AI174),Isw_min)</f>
        <v>23.743578316290431</v>
      </c>
      <c r="AK174" s="173">
        <f t="shared" ref="AK174:AK205" si="518">IF(F174&gt;AG174, (AJ174-Isw_min)/1.08*0.8+1.2, AF174*0.2/350+1)</f>
        <v>11.380428382437355</v>
      </c>
      <c r="AM174" s="545">
        <f t="shared" ref="AM174:AM210" si="519">F174*1000</f>
        <v>6400</v>
      </c>
      <c r="AN174" s="460">
        <f t="shared" ref="AN174:AN210" si="520">IF(F174&gt;AG174, Y174, AF174)</f>
        <v>29.620041015809864</v>
      </c>
      <c r="AP174">
        <f t="shared" ref="AP174:AP210" si="521">IF(H174&gt;N174, "",AM174)</f>
        <v>6400</v>
      </c>
      <c r="AQ174">
        <f t="shared" ref="AQ174:AQ210" si="522">IF(H174&gt;N174, "",AN174)</f>
        <v>29.620041015809864</v>
      </c>
      <c r="AS174" s="5">
        <f t="shared" si="439"/>
        <v>33.760925566113983</v>
      </c>
      <c r="AT174" s="5">
        <f t="shared" ref="AT174:AT210" si="523">L*AJ174/I174*1000000</f>
        <v>15.468985835912054</v>
      </c>
      <c r="AU174" s="5">
        <f t="shared" si="478"/>
        <v>18.291939730201928</v>
      </c>
      <c r="AV174" s="5"/>
      <c r="AW174" s="173">
        <f t="shared" si="479"/>
        <v>0.45819199493269686</v>
      </c>
      <c r="AX174" s="173">
        <f t="shared" si="435"/>
        <v>100.1911236392755</v>
      </c>
      <c r="AY174" s="173">
        <f t="shared" si="436"/>
        <v>6.4322304003542969</v>
      </c>
      <c r="AZ174" s="173">
        <f t="shared" si="440"/>
        <v>15.576420215568898</v>
      </c>
      <c r="BA174" s="460">
        <f t="shared" si="433"/>
        <v>660.01006233224768</v>
      </c>
      <c r="BB174" s="5">
        <f t="shared" si="434"/>
        <v>32.875125697195053</v>
      </c>
      <c r="BD174" s="173">
        <f t="shared" si="441"/>
        <v>9.2791734319989292</v>
      </c>
      <c r="BE174" s="173">
        <f t="shared" si="437"/>
        <v>10.090396961442643</v>
      </c>
      <c r="BG174" s="528">
        <f t="shared" si="480"/>
        <v>1.7220611916222959</v>
      </c>
      <c r="BH174" s="528">
        <f t="shared" ref="BH174:BH210" si="524">0.5*K174*AJ174*AN174*1000*Tfall</f>
        <v>0.4505546439889202</v>
      </c>
      <c r="BI174" s="528">
        <f t="shared" ref="BI174:BI210" si="525">Qg*Vdd*AN174*1000*0+Qg*I174*AN174*1000</f>
        <v>1.3639273531906053E-2</v>
      </c>
      <c r="BJ174" s="528">
        <f t="shared" si="481"/>
        <v>3.4579156875825185E-3</v>
      </c>
      <c r="BK174">
        <f t="shared" si="482"/>
        <v>8.2885409727578782E-3</v>
      </c>
      <c r="BL174" s="460">
        <f t="shared" si="427"/>
        <v>21.927814504663932</v>
      </c>
      <c r="BM174" s="528">
        <f t="shared" ref="BM174:BM210" si="526">(BH174+BI174*0+BJ174+BK174*0+BG174*(1+RdsonTC*(Ta-25)))/(1-BG174*RdsonTC*ThetaJA)</f>
        <v>4.4699716452782159</v>
      </c>
      <c r="BN174" s="460">
        <f t="shared" ref="BN174:BN210" si="527">BM174*1000</f>
        <v>4469.9716452782159</v>
      </c>
      <c r="BO174" s="528">
        <f t="shared" si="483"/>
        <v>4.4799999999999995</v>
      </c>
      <c r="BR174" s="460">
        <f t="shared" si="484"/>
        <v>4479.9999999999991</v>
      </c>
      <c r="BS174" s="528">
        <f t="shared" si="485"/>
        <v>2.5830917874334438</v>
      </c>
      <c r="BT174" s="528">
        <f t="shared" si="486"/>
        <v>3.0544833251847274</v>
      </c>
      <c r="BU174" s="528">
        <f t="shared" si="487"/>
        <v>0.6558425202217476</v>
      </c>
      <c r="BV174" s="528"/>
      <c r="BW174" s="528">
        <f t="shared" si="488"/>
        <v>1.6698520606545916E-2</v>
      </c>
      <c r="BX174" s="460">
        <f t="shared" si="489"/>
        <v>6310.1161534464645</v>
      </c>
      <c r="BY174" s="173">
        <f t="shared" si="490"/>
        <v>12.98811771924993</v>
      </c>
      <c r="BZ174" s="5">
        <f t="shared" si="491"/>
        <v>96</v>
      </c>
      <c r="CA174" s="173">
        <f t="shared" si="492"/>
        <v>0.88082996577015005</v>
      </c>
      <c r="CB174" s="5">
        <f t="shared" si="493"/>
        <v>88.08299657701501</v>
      </c>
      <c r="CE174" s="562">
        <f t="shared" ref="CE174:CE210" si="528">IF(ABS(F174-Ioutmax_Vinmin)&lt;Iout/200, AN174, -50)</f>
        <v>-50</v>
      </c>
      <c r="CF174">
        <f t="shared" ref="CF174:CF210" si="529">IF(ABS(F174-Ioutmax_Vinmin)&lt;Iout/200, N174*CA174, -50)</f>
        <v>-50</v>
      </c>
      <c r="CG174" s="173">
        <f t="shared" ref="CG174:CG210" si="530">MIN(SQRT(2*DU174*1000*Ls1_*CL174)/CU174,1-EA174-0.00000005*DU174*1000)</f>
        <v>0.55075551040985915</v>
      </c>
      <c r="CI174" s="170">
        <v>64</v>
      </c>
      <c r="CJ174" s="217">
        <f t="shared" si="428"/>
        <v>6.4</v>
      </c>
      <c r="CK174" s="217"/>
      <c r="CL174" s="217">
        <f t="shared" ref="CL174:CL210" si="531">CJ174*Vout</f>
        <v>96</v>
      </c>
      <c r="CM174" s="541">
        <f t="shared" ref="CM174:CM212" si="532">VIN_min</f>
        <v>19</v>
      </c>
      <c r="CN174" s="443">
        <f t="shared" ref="CN174:CN210" si="533">(CX174+Vfwd1)*Nps</f>
        <v>15.4</v>
      </c>
      <c r="CO174" s="443">
        <f t="shared" ref="CO174:CO210" si="534">(Vout+Vfwd1)*Nps+CM174</f>
        <v>34.4</v>
      </c>
      <c r="CP174" s="443"/>
      <c r="CQ174" s="217">
        <f t="shared" ref="CQ174:CQ210" si="535">(Vout+Vfwd1)*Nps/((Vout+Vfwd1)*Nps+CM174)</f>
        <v>0.44767441860465118</v>
      </c>
      <c r="CR174" s="172">
        <f t="shared" si="429"/>
        <v>212.84736191860466</v>
      </c>
      <c r="CS174" s="172">
        <f t="shared" ref="CS174:CS210" si="536">CX174*CJ174</f>
        <v>96</v>
      </c>
      <c r="CT174" s="217">
        <f t="shared" ref="CT174:CT210" si="537">CR174/Vout</f>
        <v>14.189824127906977</v>
      </c>
      <c r="CU174" s="217">
        <f t="shared" ref="CU174:CU210" si="538">MIN(Vout,CR174/CJ174)</f>
        <v>15</v>
      </c>
      <c r="CV174" s="217"/>
      <c r="CW174" s="172">
        <f t="shared" ref="CW174:CW210" si="539">(SQRT(Isw_max^2*Nps^2*CM174^2+4*Isw_max*CJ174/Efficiency*(Nps^2*Vfwd1*CM174-Nps*CM174^2)+4*(CJ174/Efficiency)^2*Nps^2*Vfwd1^2+8*(CJ174/Efficiency)^2*Nps*Vfwd1*CM174+4*(CJ174/Efficiency)^2*CM174^2)-2*CJ174/Efficiency*CM174-2*CJ174/Efficiency*Nps*Vfwd1+Isw_max*Nps*CM174)/(4*CJ174/Efficiency*Nps)</f>
        <v>55.355060496881713</v>
      </c>
      <c r="CX174" s="172">
        <f t="shared" ref="CX174:CX210" si="540">MIN(Vout, CW174)</f>
        <v>15</v>
      </c>
      <c r="CY174" s="217">
        <f t="shared" ref="CY174:CY210" si="541">MIN(2*Vout*CJ174/(Efficiency*CM174*CQ174), Isw_max)</f>
        <v>22.572795625427204</v>
      </c>
      <c r="CZ174" s="217">
        <f t="shared" ref="CZ174:CZ210" si="542">L*CY174/CM174*1000000</f>
        <v>14.256502500269814</v>
      </c>
      <c r="DA174" s="217">
        <f t="shared" ref="DA174:DA210" si="543">L*CY174/CN174*1000000</f>
        <v>17.589191396436782</v>
      </c>
      <c r="DB174" s="197">
        <f t="shared" ref="DB174:DB210" si="544">IF(1/((350000*L)*(1/CM174+1/CN174))&gt;Isw_min, 350, 0.001/((Isw_min*L)*(1/CM174+1/CN174)))</f>
        <v>70.881782945736433</v>
      </c>
      <c r="DC174" s="443">
        <f t="shared" ref="DC174:DC210" si="545">MIN(1/(CZ174+DA174)*1000, 350)</f>
        <v>31.401419709790581</v>
      </c>
      <c r="DE174" s="217">
        <f t="shared" ref="DE174:DE210" si="546">1/((DB174*1000*L)*(1/CM174+1/CN174))</f>
        <v>10.000000000000002</v>
      </c>
      <c r="DF174" s="173">
        <f t="shared" ref="DF174:DF210" si="547">L*DE174/CN174*1000000</f>
        <v>7.792207792207793</v>
      </c>
      <c r="DG174" s="173">
        <f t="shared" ref="DG174:DG210" si="548">0.5*DF174*DE174*Nps*DB174/1000</f>
        <v>2.7616279069767451</v>
      </c>
      <c r="DH174" s="173"/>
      <c r="DI174" s="173">
        <f t="shared" ref="DI174:DI210" si="549">L*Isw_min/CN174*1000000</f>
        <v>7.7922077922077913</v>
      </c>
      <c r="DJ174" s="545">
        <f t="shared" ref="DJ174:DJ210" si="550">MAX(12000,CJ174/(0.5*DI174/1000000*Isw_min*Nps))/1000</f>
        <v>164.26666666666668</v>
      </c>
      <c r="DK174" s="528">
        <f t="shared" ref="DK174:DK210" si="551">0.5*DI174/1000000*Isw_min*Nps*DB174*1000</f>
        <v>2.7616279069767442</v>
      </c>
      <c r="DM174" s="173">
        <f t="shared" ref="DM174:DM210" si="552">SQRT(CJ174/(0.5*L/CN174*Fsw_DCM*Nps))</f>
        <v>6.8507907086214024</v>
      </c>
      <c r="DN174" s="173">
        <f t="shared" ref="DN174:DN210" si="553">MAX(IF(CJ174&gt;DG174,CY174,DM174),Isw_min)</f>
        <v>22.572795625427204</v>
      </c>
      <c r="DO174" s="173">
        <f t="shared" ref="DO174:DO210" si="554">IF(CJ174&gt;DK174, (DN174-Isw_min)/1.08*0.8+1.2, DJ174*0.2/350+1)</f>
        <v>10.513181944760891</v>
      </c>
      <c r="DQ174" s="545">
        <f t="shared" ref="DQ174:DQ210" si="555">CJ174*1000</f>
        <v>6400</v>
      </c>
      <c r="DR174" s="460">
        <f t="shared" ref="DR174:DR210" si="556">IF(CJ174&gt;DK174, DC174, DJ174)</f>
        <v>31.401419709790581</v>
      </c>
      <c r="DT174">
        <f t="shared" si="430"/>
        <v>6400</v>
      </c>
      <c r="DU174">
        <f t="shared" si="431"/>
        <v>31.401419709790581</v>
      </c>
      <c r="DW174" s="5">
        <f t="shared" ref="DW174:DW210" si="557">1/DR174*1000</f>
        <v>31.845693896706592</v>
      </c>
      <c r="DX174" s="5">
        <f t="shared" ref="DX174:DX210" si="558">L*DN174/CM174*1000000</f>
        <v>14.256502500269814</v>
      </c>
      <c r="DY174" s="5">
        <f t="shared" ref="DY174:DY210" si="559">DW174-DX174</f>
        <v>17.589191396436778</v>
      </c>
      <c r="DZ174" s="5"/>
      <c r="EA174" s="173">
        <f t="shared" ref="EA174:EA210" si="560">DX174/DW174</f>
        <v>0.44767441860465124</v>
      </c>
      <c r="EB174" s="173">
        <f t="shared" ref="EB174:EB210" si="561">0.5*L*DN174^2*DR174*1000</f>
        <v>96.000000000000014</v>
      </c>
      <c r="EC174" s="173">
        <f t="shared" ref="EC174:EC210" si="562">DN174*Nps/2*(1-EA174)</f>
        <v>6.2337662337662323</v>
      </c>
      <c r="ED174" s="173">
        <f t="shared" ref="ED174:ED210" si="563">EB174/EC174</f>
        <v>15.400000000000006</v>
      </c>
      <c r="EE174" s="460">
        <f t="shared" ref="EE174:EE210" si="564">CJ174*DX174/Vout_ripple*1000</f>
        <v>608.27744001151211</v>
      </c>
      <c r="EF174" s="5">
        <f t="shared" ref="EF174:EF210" si="565">CL174/Efficiency/CM174*DY174/Vinripple1</f>
        <v>30.645415137167522</v>
      </c>
      <c r="EH174" s="173">
        <f t="shared" ref="EH174:EH210" si="566">DN174*SQRT(EA174/3)</f>
        <v>8.7197866947213232</v>
      </c>
      <c r="EI174" s="173">
        <f t="shared" ref="EI174:EI210" si="567">DN174*Nps*SQRT((1-EA174)/3)</f>
        <v>9.6855057060019405</v>
      </c>
      <c r="EK174" s="528">
        <f t="shared" ref="EK174:EK210" si="568">Rdson*EH174^2</f>
        <v>1.5206936000287803</v>
      </c>
      <c r="EL174" s="528">
        <f t="shared" ref="EL174:EL210" si="569">0.5*CO174*DN174*DR174*1000*Trise</f>
        <v>0.48766666666666675</v>
      </c>
      <c r="EM174" s="528">
        <f t="shared" ref="EM174:EM210" si="570">Qg*Vdd*DR174*1000</f>
        <v>3.9251774637238217E-3</v>
      </c>
      <c r="EN174" s="528">
        <f t="shared" ref="EN174:EN210" si="571">0.5*(Coss+Csw)*CO174^2*DR174*1000</f>
        <v>3.7159184027777781E-3</v>
      </c>
      <c r="EO174">
        <f t="shared" ref="EO174:EO210" si="572">CM174*IQ</f>
        <v>8.5500000000000003E-3</v>
      </c>
      <c r="EP174" s="460">
        <f t="shared" ref="EP174:EP210" si="573">(EO174+EM174)*1000</f>
        <v>12.475177463723822</v>
      </c>
      <c r="EQ174" s="460"/>
      <c r="ER174" s="460">
        <f t="shared" si="432"/>
        <v>2024.5513625619492</v>
      </c>
      <c r="ES174" s="528">
        <f t="shared" ref="ES174:ES210" si="574">Vfwd2*CJ174</f>
        <v>4.4799999999999995</v>
      </c>
      <c r="EV174" s="460">
        <f t="shared" si="494"/>
        <v>4479.9999999999991</v>
      </c>
      <c r="EW174" s="528">
        <f t="shared" ref="EW174:EW210" si="575">Rdcr_pri*EH174^2</f>
        <v>2.2810404000431705</v>
      </c>
      <c r="EX174" s="528">
        <f t="shared" ref="EX174:EX210" si="576">Rdcr_sec*EI174^2</f>
        <v>2.8142706234298842</v>
      </c>
      <c r="EY174" s="528">
        <f t="shared" ref="EY174:EY210" si="577">DN174^2.5*DR174^2.5*k_core</f>
        <v>0.66881589702681288</v>
      </c>
      <c r="EZ174" s="528"/>
      <c r="FA174" s="528">
        <f t="shared" ref="FA174:FA210" si="578">0.5*Lleak*0.000000001*DN174^2*DR174*1000</f>
        <v>1.6000000000000004E-2</v>
      </c>
      <c r="FB174" s="460">
        <f t="shared" ref="FB174:FB210" si="579">SUM(EW174:FA174)*1000</f>
        <v>5780.126920499868</v>
      </c>
      <c r="FC174" s="173">
        <f t="shared" ref="FC174:FC210" si="580">SUM(EK174:EO174,ES174:EU174,EW174:FA174)</f>
        <v>12.284678283061815</v>
      </c>
      <c r="FD174" s="5">
        <f t="shared" ref="FD174:FD210" si="581">MIN(CL174,CS174)</f>
        <v>96</v>
      </c>
      <c r="FE174" s="173">
        <f t="shared" ref="FE174:FE210" si="582">FD174/(FD174+FC174)</f>
        <v>0.88655201753521373</v>
      </c>
      <c r="FF174" s="5">
        <f t="shared" ref="FF174:FF210" si="583">FE174*100</f>
        <v>88.655201753521368</v>
      </c>
      <c r="FI174" s="562">
        <f t="shared" ref="FI174:FI210" si="584">IF(ABS(CJ174-Ioutmax_Vinmin)&lt;Iout/200, DR174, -50)</f>
        <v>-50</v>
      </c>
      <c r="FJ174">
        <f t="shared" ref="FJ174:FJ210" si="585">IF(ABS(CJ174-Ioutmax_Vinmin)&lt;Iout/200, CR174*FE174, -50)</f>
        <v>-50</v>
      </c>
      <c r="FL174">
        <f t="shared" ref="FL174:FL210" si="586">MIN(SQRT(2*L*DR174*1000*CJ174*(CX174+Vfwd1))/(Nps*(CX174+Vfwd1)), 1-EA174)</f>
        <v>0.55232558139534871</v>
      </c>
    </row>
    <row r="175" spans="5:168">
      <c r="E175" s="170">
        <v>65</v>
      </c>
      <c r="F175" s="217">
        <f t="shared" ref="F175:F206" si="587">IF(PLOT_TYPE=1, E175/100*Iout_max, min_I*EXP(N175*rr/100))</f>
        <v>6.5</v>
      </c>
      <c r="G175" s="217"/>
      <c r="H175" s="217">
        <f t="shared" si="495"/>
        <v>97.5</v>
      </c>
      <c r="I175" s="541">
        <f t="shared" si="496"/>
        <v>18.409927380317143</v>
      </c>
      <c r="J175" s="172">
        <f t="shared" si="497"/>
        <v>15.754043571809715</v>
      </c>
      <c r="K175" s="172">
        <f t="shared" si="498"/>
        <v>34.16397095212686</v>
      </c>
      <c r="L175" s="443"/>
      <c r="M175" s="217">
        <f t="shared" si="499"/>
        <v>0.46111471031196594</v>
      </c>
      <c r="N175" s="172">
        <f t="shared" si="500"/>
        <v>212.42882411883917</v>
      </c>
      <c r="O175" s="172">
        <f t="shared" si="438"/>
        <v>97.5</v>
      </c>
      <c r="P175" s="217">
        <f t="shared" si="501"/>
        <v>14.161921607922611</v>
      </c>
      <c r="Q175" s="217">
        <f t="shared" si="502"/>
        <v>15</v>
      </c>
      <c r="R175" s="217"/>
      <c r="S175" s="172">
        <f t="shared" si="503"/>
        <v>52.536594888652417</v>
      </c>
      <c r="T175" s="172">
        <f t="shared" si="504"/>
        <v>15</v>
      </c>
      <c r="U175" s="217">
        <f t="shared" si="505"/>
        <v>24.123872461847725</v>
      </c>
      <c r="V175" s="217">
        <f t="shared" si="506"/>
        <v>15.724476450226268</v>
      </c>
      <c r="W175" s="217">
        <f t="shared" si="507"/>
        <v>18.375375707363141</v>
      </c>
      <c r="X175" s="197">
        <f t="shared" si="508"/>
        <v>70.744800740957501</v>
      </c>
      <c r="Y175" s="443">
        <f t="shared" si="509"/>
        <v>29.15464461495451</v>
      </c>
      <c r="AA175" s="217">
        <f t="shared" si="510"/>
        <v>10</v>
      </c>
      <c r="AB175" s="173">
        <f t="shared" si="511"/>
        <v>7.617092047068347</v>
      </c>
      <c r="AC175" s="173">
        <f t="shared" si="512"/>
        <v>2.6943482954769116</v>
      </c>
      <c r="AD175" s="173"/>
      <c r="AE175" s="173">
        <f t="shared" si="513"/>
        <v>7.617092047068347</v>
      </c>
      <c r="AF175" s="545">
        <f t="shared" si="514"/>
        <v>170.66880536127189</v>
      </c>
      <c r="AG175" s="528">
        <f t="shared" si="515"/>
        <v>2.6943482954769116</v>
      </c>
      <c r="AI175" s="173">
        <f t="shared" si="516"/>
        <v>6.9830162406732423</v>
      </c>
      <c r="AJ175" s="173">
        <f t="shared" si="517"/>
        <v>24.123872461847725</v>
      </c>
      <c r="AK175" s="173">
        <f t="shared" si="518"/>
        <v>11.662127749516833</v>
      </c>
      <c r="AM175" s="545">
        <f t="shared" si="519"/>
        <v>6500</v>
      </c>
      <c r="AN175" s="460">
        <f t="shared" si="520"/>
        <v>29.15464461495451</v>
      </c>
      <c r="AP175">
        <f t="shared" si="521"/>
        <v>6500</v>
      </c>
      <c r="AQ175">
        <f t="shared" si="522"/>
        <v>29.15464461495451</v>
      </c>
      <c r="AS175" s="5">
        <f t="shared" si="439"/>
        <v>34.299852157589413</v>
      </c>
      <c r="AT175" s="5">
        <f t="shared" si="523"/>
        <v>15.724476450226268</v>
      </c>
      <c r="AU175" s="5">
        <f t="shared" si="478"/>
        <v>18.575375707363143</v>
      </c>
      <c r="AV175" s="5"/>
      <c r="AW175" s="173">
        <f t="shared" si="479"/>
        <v>0.45844152266256827</v>
      </c>
      <c r="AX175" s="173">
        <f t="shared" si="435"/>
        <v>101.80123573973944</v>
      </c>
      <c r="AY175" s="173">
        <f t="shared" si="436"/>
        <v>6.5322438189603282</v>
      </c>
      <c r="AZ175" s="173">
        <f t="shared" si="440"/>
        <v>15.584420692358988</v>
      </c>
      <c r="BA175" s="460">
        <f t="shared" si="433"/>
        <v>681.39397950980481</v>
      </c>
      <c r="BB175" s="5">
        <f t="shared" si="434"/>
        <v>33.922835706195301</v>
      </c>
      <c r="BD175" s="173">
        <f t="shared" si="441"/>
        <v>9.4303621174535834</v>
      </c>
      <c r="BE175" s="173">
        <f t="shared" si="437"/>
        <v>10.249650946196235</v>
      </c>
      <c r="BG175" s="528">
        <f t="shared" si="480"/>
        <v>1.7786345933260728</v>
      </c>
      <c r="BH175" s="528">
        <f t="shared" si="524"/>
        <v>0.45053070177210913</v>
      </c>
      <c r="BI175" s="528">
        <f t="shared" si="525"/>
        <v>1.3418372254006668E-2</v>
      </c>
      <c r="BJ175" s="528">
        <f t="shared" si="481"/>
        <v>3.4028628049334337E-3</v>
      </c>
      <c r="BK175">
        <f t="shared" si="482"/>
        <v>8.2844673211427133E-3</v>
      </c>
      <c r="BL175" s="460">
        <f t="shared" ref="BL175:BL210" si="588">(BK175+BI175)*1000</f>
        <v>21.70283957514938</v>
      </c>
      <c r="BM175" s="528">
        <f t="shared" si="526"/>
        <v>4.698330992702191</v>
      </c>
      <c r="BN175" s="460">
        <f t="shared" si="527"/>
        <v>4698.330992702191</v>
      </c>
      <c r="BO175" s="528">
        <f t="shared" si="483"/>
        <v>4.55</v>
      </c>
      <c r="BR175" s="460">
        <f t="shared" si="484"/>
        <v>4550</v>
      </c>
      <c r="BS175" s="528">
        <f t="shared" si="485"/>
        <v>2.667951889989109</v>
      </c>
      <c r="BT175" s="528">
        <f t="shared" si="486"/>
        <v>3.151660335565841</v>
      </c>
      <c r="BU175" s="528">
        <f t="shared" si="487"/>
        <v>0.6559291677994703</v>
      </c>
      <c r="BV175" s="528"/>
      <c r="BW175" s="528">
        <f t="shared" si="488"/>
        <v>1.6966872623289907E-2</v>
      </c>
      <c r="BX175" s="460">
        <f t="shared" si="489"/>
        <v>6492.5082659777108</v>
      </c>
      <c r="BY175" s="173">
        <f t="shared" si="490"/>
        <v>13.296779263455976</v>
      </c>
      <c r="BZ175" s="5">
        <f t="shared" si="491"/>
        <v>97.5</v>
      </c>
      <c r="CA175" s="173">
        <f t="shared" si="492"/>
        <v>0.87998947846815578</v>
      </c>
      <c r="CB175" s="5">
        <f t="shared" si="493"/>
        <v>87.998947846815582</v>
      </c>
      <c r="CE175" s="562">
        <f t="shared" si="528"/>
        <v>-50</v>
      </c>
      <c r="CF175">
        <f t="shared" si="529"/>
        <v>-50</v>
      </c>
      <c r="CG175" s="173">
        <f t="shared" si="530"/>
        <v>0.55077966534809764</v>
      </c>
      <c r="CI175" s="170">
        <v>65</v>
      </c>
      <c r="CJ175" s="217">
        <f t="shared" ref="CJ175:CJ210" si="589">IF(PLOT_TYPE=1, CI175/100*Iout_max, min_I*EXP(CR175*rr/100))</f>
        <v>6.5</v>
      </c>
      <c r="CK175" s="217"/>
      <c r="CL175" s="217">
        <f t="shared" si="531"/>
        <v>97.5</v>
      </c>
      <c r="CM175" s="541">
        <f t="shared" si="532"/>
        <v>19</v>
      </c>
      <c r="CN175" s="443">
        <f t="shared" si="533"/>
        <v>15.4</v>
      </c>
      <c r="CO175" s="443">
        <f t="shared" si="534"/>
        <v>34.4</v>
      </c>
      <c r="CP175" s="443"/>
      <c r="CQ175" s="217">
        <f t="shared" si="535"/>
        <v>0.44767441860465118</v>
      </c>
      <c r="CR175" s="172">
        <f t="shared" ref="CR175:CR210" si="590">CQ175*CM175*(Isw_max+VIN_min/Lmag*ILIM_delay)*0.5*Efficiency</f>
        <v>212.84736191860466</v>
      </c>
      <c r="CS175" s="172">
        <f t="shared" si="536"/>
        <v>97.5</v>
      </c>
      <c r="CT175" s="217">
        <f t="shared" si="537"/>
        <v>14.189824127906977</v>
      </c>
      <c r="CU175" s="217">
        <f t="shared" si="538"/>
        <v>15</v>
      </c>
      <c r="CV175" s="217"/>
      <c r="CW175" s="172">
        <f t="shared" si="539"/>
        <v>54.216076244316547</v>
      </c>
      <c r="CX175" s="172">
        <f t="shared" si="540"/>
        <v>15</v>
      </c>
      <c r="CY175" s="217">
        <f t="shared" si="541"/>
        <v>22.925495557074502</v>
      </c>
      <c r="CZ175" s="217">
        <f t="shared" si="542"/>
        <v>14.479260351836528</v>
      </c>
      <c r="DA175" s="217">
        <f t="shared" si="543"/>
        <v>17.864022512006105</v>
      </c>
      <c r="DB175" s="197">
        <f t="shared" si="544"/>
        <v>70.881782945736433</v>
      </c>
      <c r="DC175" s="443">
        <f t="shared" si="545"/>
        <v>30.918320945024572</v>
      </c>
      <c r="DE175" s="217">
        <f t="shared" si="546"/>
        <v>10.000000000000002</v>
      </c>
      <c r="DF175" s="173">
        <f t="shared" si="547"/>
        <v>7.792207792207793</v>
      </c>
      <c r="DG175" s="173">
        <f t="shared" si="548"/>
        <v>2.7616279069767451</v>
      </c>
      <c r="DH175" s="173"/>
      <c r="DI175" s="173">
        <f t="shared" si="549"/>
        <v>7.7922077922077913</v>
      </c>
      <c r="DJ175" s="545">
        <f t="shared" si="550"/>
        <v>166.83333333333334</v>
      </c>
      <c r="DK175" s="528">
        <f t="shared" si="551"/>
        <v>2.7616279069767442</v>
      </c>
      <c r="DM175" s="173">
        <f t="shared" si="552"/>
        <v>6.9041050590693267</v>
      </c>
      <c r="DN175" s="173">
        <f t="shared" si="553"/>
        <v>22.925495557074502</v>
      </c>
      <c r="DO175" s="173">
        <f t="shared" si="554"/>
        <v>10.774441153388519</v>
      </c>
      <c r="DQ175" s="545">
        <f t="shared" si="555"/>
        <v>6500</v>
      </c>
      <c r="DR175" s="460">
        <f t="shared" si="556"/>
        <v>30.918320945024572</v>
      </c>
      <c r="DT175">
        <f t="shared" ref="DT175:DT209" si="591">IF(CL175&gt;CR175, " ",DQ175)</f>
        <v>6500</v>
      </c>
      <c r="DU175">
        <f t="shared" ref="DU175:DU209" si="592">IF(CL175&gt;CR175, " ",DR175)</f>
        <v>30.918320945024572</v>
      </c>
      <c r="DW175" s="5">
        <f t="shared" si="557"/>
        <v>32.343282863842632</v>
      </c>
      <c r="DX175" s="5">
        <f t="shared" si="558"/>
        <v>14.479260351836528</v>
      </c>
      <c r="DY175" s="5">
        <f t="shared" si="559"/>
        <v>17.864022512006102</v>
      </c>
      <c r="DZ175" s="5"/>
      <c r="EA175" s="173">
        <f t="shared" si="560"/>
        <v>0.44767441860465118</v>
      </c>
      <c r="EB175" s="173">
        <f t="shared" si="561"/>
        <v>97.499999999999972</v>
      </c>
      <c r="EC175" s="173">
        <f t="shared" si="562"/>
        <v>6.3311688311688306</v>
      </c>
      <c r="ED175" s="173">
        <f t="shared" si="563"/>
        <v>15.399999999999997</v>
      </c>
      <c r="EE175" s="460">
        <f t="shared" si="564"/>
        <v>627.43461524624956</v>
      </c>
      <c r="EF175" s="5">
        <f t="shared" si="565"/>
        <v>31.610566151008982</v>
      </c>
      <c r="EH175" s="173">
        <f t="shared" si="566"/>
        <v>8.8560333618263432</v>
      </c>
      <c r="EI175" s="173">
        <f t="shared" si="567"/>
        <v>9.8368417326582218</v>
      </c>
      <c r="EK175" s="528">
        <f t="shared" si="568"/>
        <v>1.5685865381156239</v>
      </c>
      <c r="EL175" s="528">
        <f t="shared" si="569"/>
        <v>0.48766666666666664</v>
      </c>
      <c r="EM175" s="528">
        <f t="shared" si="570"/>
        <v>3.864790118128071E-3</v>
      </c>
      <c r="EN175" s="528">
        <f t="shared" si="571"/>
        <v>3.6587504273504277E-3</v>
      </c>
      <c r="EO175">
        <f t="shared" si="572"/>
        <v>8.5500000000000003E-3</v>
      </c>
      <c r="EP175" s="460">
        <f t="shared" si="573"/>
        <v>12.414790118128071</v>
      </c>
      <c r="EQ175" s="460"/>
      <c r="ER175" s="460">
        <f t="shared" ref="ER175:ER210" si="593">SUM(EK175:EO175)*1000</f>
        <v>2072.326745327769</v>
      </c>
      <c r="ES175" s="528">
        <f t="shared" si="574"/>
        <v>4.55</v>
      </c>
      <c r="EV175" s="460">
        <f t="shared" si="494"/>
        <v>4550</v>
      </c>
      <c r="EW175" s="528">
        <f t="shared" si="575"/>
        <v>2.3528798071734358</v>
      </c>
      <c r="EX175" s="528">
        <f t="shared" si="576"/>
        <v>2.9029036582009922</v>
      </c>
      <c r="EY175" s="528">
        <f t="shared" si="577"/>
        <v>0.66881589702681221</v>
      </c>
      <c r="EZ175" s="528"/>
      <c r="FA175" s="528">
        <f t="shared" si="578"/>
        <v>1.6249999999999997E-2</v>
      </c>
      <c r="FB175" s="460">
        <f t="shared" si="579"/>
        <v>5940.8493624012408</v>
      </c>
      <c r="FC175" s="173">
        <f t="shared" si="580"/>
        <v>12.563176107729008</v>
      </c>
      <c r="FD175" s="5">
        <f t="shared" si="581"/>
        <v>97.5</v>
      </c>
      <c r="FE175" s="173">
        <f t="shared" si="582"/>
        <v>0.88585486488748733</v>
      </c>
      <c r="FF175" s="5">
        <f t="shared" si="583"/>
        <v>88.585486488748728</v>
      </c>
      <c r="FI175" s="562">
        <f t="shared" si="584"/>
        <v>-50</v>
      </c>
      <c r="FJ175">
        <f t="shared" si="585"/>
        <v>-50</v>
      </c>
      <c r="FL175">
        <f t="shared" si="586"/>
        <v>0.55232558139534882</v>
      </c>
    </row>
    <row r="176" spans="5:168">
      <c r="E176" s="170">
        <v>66</v>
      </c>
      <c r="F176" s="217">
        <f t="shared" si="587"/>
        <v>6.6000000000000005</v>
      </c>
      <c r="G176" s="217"/>
      <c r="H176" s="217">
        <f t="shared" si="495"/>
        <v>99.000000000000014</v>
      </c>
      <c r="I176" s="541">
        <f t="shared" si="496"/>
        <v>18.400874818971289</v>
      </c>
      <c r="J176" s="172">
        <f t="shared" si="497"/>
        <v>15.759475108617226</v>
      </c>
      <c r="K176" s="172">
        <f t="shared" si="498"/>
        <v>34.160349927588513</v>
      </c>
      <c r="L176" s="443"/>
      <c r="M176" s="217">
        <f t="shared" si="499"/>
        <v>0.46132259674188858</v>
      </c>
      <c r="N176" s="172">
        <f t="shared" si="500"/>
        <v>212.42009140490958</v>
      </c>
      <c r="O176" s="172">
        <f t="shared" si="438"/>
        <v>99.000000000000014</v>
      </c>
      <c r="P176" s="217">
        <f t="shared" si="501"/>
        <v>14.161339426993973</v>
      </c>
      <c r="Q176" s="217">
        <f t="shared" si="502"/>
        <v>15</v>
      </c>
      <c r="R176" s="217"/>
      <c r="S176" s="172">
        <f t="shared" si="503"/>
        <v>51.441386846745743</v>
      </c>
      <c r="T176" s="536">
        <f t="shared" si="504"/>
        <v>15</v>
      </c>
      <c r="U176" s="217">
        <f t="shared" si="505"/>
        <v>24.504462077231633</v>
      </c>
      <c r="V176" s="217">
        <f t="shared" si="506"/>
        <v>15.980411139127506</v>
      </c>
      <c r="W176" s="217">
        <f t="shared" si="507"/>
        <v>18.658841293895133</v>
      </c>
      <c r="X176" s="197">
        <f t="shared" si="508"/>
        <v>70.741890647359341</v>
      </c>
      <c r="Y176" s="443">
        <f t="shared" si="509"/>
        <v>28.703256532914082</v>
      </c>
      <c r="AA176" s="217">
        <f t="shared" si="510"/>
        <v>9.9999999999999982</v>
      </c>
      <c r="AB176" s="173">
        <f t="shared" si="511"/>
        <v>7.61446680000049</v>
      </c>
      <c r="AC176" s="173">
        <f t="shared" si="512"/>
        <v>2.6933088885179135</v>
      </c>
      <c r="AD176" s="173"/>
      <c r="AE176" s="173">
        <f t="shared" si="513"/>
        <v>7.6144668000004918</v>
      </c>
      <c r="AF176" s="545">
        <f t="shared" si="514"/>
        <v>173.35422619478948</v>
      </c>
      <c r="AG176" s="528">
        <f t="shared" si="515"/>
        <v>2.6933088885179148</v>
      </c>
      <c r="AI176" s="173">
        <f t="shared" si="516"/>
        <v>7.0377396167233259</v>
      </c>
      <c r="AJ176" s="173">
        <f t="shared" si="517"/>
        <v>24.504462077231633</v>
      </c>
      <c r="AK176" s="173">
        <f t="shared" si="518"/>
        <v>11.944045983134542</v>
      </c>
      <c r="AM176" s="545">
        <f t="shared" si="519"/>
        <v>6600.0000000000009</v>
      </c>
      <c r="AN176" s="460">
        <f t="shared" si="520"/>
        <v>28.703256532914082</v>
      </c>
      <c r="AP176">
        <f t="shared" si="521"/>
        <v>6600.0000000000009</v>
      </c>
      <c r="AQ176">
        <f t="shared" si="522"/>
        <v>28.703256532914082</v>
      </c>
      <c r="AS176" s="5">
        <f t="shared" si="439"/>
        <v>34.839252433022637</v>
      </c>
      <c r="AT176" s="5">
        <f t="shared" si="523"/>
        <v>15.980411139127506</v>
      </c>
      <c r="AU176" s="5">
        <f t="shared" si="478"/>
        <v>18.858841293895132</v>
      </c>
      <c r="AV176" s="5"/>
      <c r="AW176" s="173">
        <f t="shared" si="479"/>
        <v>0.45868984042781463</v>
      </c>
      <c r="AX176" s="173">
        <f t="shared" si="435"/>
        <v>103.41243621955412</v>
      </c>
      <c r="AY176" s="173">
        <f t="shared" si="436"/>
        <v>6.632257138628411</v>
      </c>
      <c r="AZ176" s="173">
        <f t="shared" si="440"/>
        <v>15.592344213743861</v>
      </c>
      <c r="BA176" s="460">
        <f t="shared" si="433"/>
        <v>703.13809012161028</v>
      </c>
      <c r="BB176" s="5">
        <f t="shared" si="434"/>
        <v>34.987566070363592</v>
      </c>
      <c r="BD176" s="173">
        <f t="shared" si="441"/>
        <v>9.5817339177998111</v>
      </c>
      <c r="BE176" s="173">
        <f t="shared" si="437"/>
        <v>10.408967080998597</v>
      </c>
      <c r="BG176" s="528">
        <f t="shared" si="480"/>
        <v>1.8361924974303063</v>
      </c>
      <c r="BH176" s="528">
        <f t="shared" si="524"/>
        <v>0.45050532493206658</v>
      </c>
      <c r="BI176" s="528">
        <f t="shared" si="525"/>
        <v>1.3204125758974295E-2</v>
      </c>
      <c r="BJ176" s="528">
        <f t="shared" si="481"/>
        <v>3.3494677000279541E-3</v>
      </c>
      <c r="BK176">
        <f t="shared" si="482"/>
        <v>8.2803936685370803E-3</v>
      </c>
      <c r="BL176" s="460">
        <f t="shared" si="588"/>
        <v>21.484519427511373</v>
      </c>
      <c r="BM176" s="528">
        <f t="shared" si="526"/>
        <v>4.9418434503848205</v>
      </c>
      <c r="BN176" s="460">
        <f t="shared" si="527"/>
        <v>4941.8434503848202</v>
      </c>
      <c r="BO176" s="528">
        <f t="shared" si="483"/>
        <v>4.62</v>
      </c>
      <c r="BR176" s="460">
        <f t="shared" si="484"/>
        <v>4620</v>
      </c>
      <c r="BS176" s="528">
        <f t="shared" si="485"/>
        <v>2.754288746145459</v>
      </c>
      <c r="BT176" s="528">
        <f t="shared" si="486"/>
        <v>3.2503978707993735</v>
      </c>
      <c r="BU176" s="528">
        <f t="shared" si="487"/>
        <v>0.65601061802219784</v>
      </c>
      <c r="BV176" s="528"/>
      <c r="BW176" s="528">
        <f t="shared" si="488"/>
        <v>1.7235406036592352E-2</v>
      </c>
      <c r="BX176" s="460">
        <f t="shared" si="489"/>
        <v>6677.9326410036228</v>
      </c>
      <c r="BY176" s="173">
        <f t="shared" si="490"/>
        <v>13.609464450493535</v>
      </c>
      <c r="BZ176" s="5">
        <f t="shared" si="491"/>
        <v>99.000000000000014</v>
      </c>
      <c r="CA176" s="173">
        <f t="shared" si="492"/>
        <v>0.8791445770841344</v>
      </c>
      <c r="CB176" s="5">
        <f t="shared" si="493"/>
        <v>87.914457708413437</v>
      </c>
      <c r="CE176" s="562">
        <f t="shared" si="528"/>
        <v>-50</v>
      </c>
      <c r="CF176">
        <f t="shared" si="529"/>
        <v>-50</v>
      </c>
      <c r="CG176" s="173">
        <f t="shared" si="530"/>
        <v>0.55080308831851033</v>
      </c>
      <c r="CI176" s="170">
        <v>66</v>
      </c>
      <c r="CJ176" s="217">
        <f t="shared" si="589"/>
        <v>6.6000000000000005</v>
      </c>
      <c r="CK176" s="217"/>
      <c r="CL176" s="217">
        <f t="shared" si="531"/>
        <v>99.000000000000014</v>
      </c>
      <c r="CM176" s="541">
        <f t="shared" si="532"/>
        <v>19</v>
      </c>
      <c r="CN176" s="443">
        <f t="shared" si="533"/>
        <v>15.4</v>
      </c>
      <c r="CO176" s="443">
        <f t="shared" si="534"/>
        <v>34.4</v>
      </c>
      <c r="CP176" s="443"/>
      <c r="CQ176" s="217">
        <f t="shared" si="535"/>
        <v>0.44767441860465118</v>
      </c>
      <c r="CR176" s="172">
        <f t="shared" si="590"/>
        <v>212.84736191860466</v>
      </c>
      <c r="CS176" s="172">
        <f t="shared" si="536"/>
        <v>99.000000000000014</v>
      </c>
      <c r="CT176" s="217">
        <f t="shared" si="537"/>
        <v>14.189824127906977</v>
      </c>
      <c r="CU176" s="217">
        <f t="shared" si="538"/>
        <v>15</v>
      </c>
      <c r="CV176" s="217"/>
      <c r="CW176" s="172">
        <f t="shared" si="539"/>
        <v>53.111721926591933</v>
      </c>
      <c r="CX176" s="536">
        <f t="shared" si="540"/>
        <v>15</v>
      </c>
      <c r="CY176" s="217">
        <f t="shared" si="541"/>
        <v>23.278195488721806</v>
      </c>
      <c r="CZ176" s="217">
        <f t="shared" si="542"/>
        <v>14.702018203403247</v>
      </c>
      <c r="DA176" s="217">
        <f t="shared" si="543"/>
        <v>18.138853627575433</v>
      </c>
      <c r="DB176" s="197">
        <f t="shared" si="544"/>
        <v>70.881782945736433</v>
      </c>
      <c r="DC176" s="443">
        <f t="shared" si="545"/>
        <v>30.449861536766619</v>
      </c>
      <c r="DE176" s="217">
        <f t="shared" si="546"/>
        <v>10.000000000000002</v>
      </c>
      <c r="DF176" s="173">
        <f t="shared" si="547"/>
        <v>7.792207792207793</v>
      </c>
      <c r="DG176" s="173">
        <f t="shared" si="548"/>
        <v>2.7616279069767451</v>
      </c>
      <c r="DH176" s="173"/>
      <c r="DI176" s="173">
        <f t="shared" si="549"/>
        <v>7.7922077922077913</v>
      </c>
      <c r="DJ176" s="545">
        <f t="shared" si="550"/>
        <v>169.40000000000003</v>
      </c>
      <c r="DK176" s="528">
        <f t="shared" si="551"/>
        <v>2.7616279069767442</v>
      </c>
      <c r="DM176" s="173">
        <f t="shared" si="552"/>
        <v>6.957010852370435</v>
      </c>
      <c r="DN176" s="173">
        <f t="shared" si="553"/>
        <v>23.278195488721806</v>
      </c>
      <c r="DO176" s="173">
        <f t="shared" si="554"/>
        <v>11.035700362016152</v>
      </c>
      <c r="DQ176" s="545">
        <f t="shared" si="555"/>
        <v>6600.0000000000009</v>
      </c>
      <c r="DR176" s="460">
        <f t="shared" si="556"/>
        <v>30.449861536766619</v>
      </c>
      <c r="DT176">
        <f t="shared" si="591"/>
        <v>6600.0000000000009</v>
      </c>
      <c r="DU176">
        <f t="shared" si="592"/>
        <v>30.449861536766619</v>
      </c>
      <c r="DW176" s="5">
        <f t="shared" si="557"/>
        <v>32.840871830978678</v>
      </c>
      <c r="DX176" s="5">
        <f t="shared" si="558"/>
        <v>14.702018203403247</v>
      </c>
      <c r="DY176" s="5">
        <f t="shared" si="559"/>
        <v>18.138853627575429</v>
      </c>
      <c r="DZ176" s="5"/>
      <c r="EA176" s="173">
        <f t="shared" si="560"/>
        <v>0.44767441860465124</v>
      </c>
      <c r="EB176" s="173">
        <f t="shared" si="561"/>
        <v>99.000000000000014</v>
      </c>
      <c r="EC176" s="173">
        <f t="shared" si="562"/>
        <v>6.4285714285714279</v>
      </c>
      <c r="ED176" s="173">
        <f t="shared" si="563"/>
        <v>15.400000000000004</v>
      </c>
      <c r="EE176" s="460">
        <f t="shared" si="564"/>
        <v>646.88880094974286</v>
      </c>
      <c r="EF176" s="5">
        <f t="shared" si="565"/>
        <v>32.590680746460393</v>
      </c>
      <c r="EH176" s="173">
        <f t="shared" si="566"/>
        <v>8.9922800289313649</v>
      </c>
      <c r="EI176" s="173">
        <f t="shared" si="567"/>
        <v>9.9881777593145031</v>
      </c>
      <c r="EK176" s="528">
        <f t="shared" si="568"/>
        <v>1.6172220023743575</v>
      </c>
      <c r="EL176" s="528">
        <f t="shared" si="569"/>
        <v>0.48766666666666664</v>
      </c>
      <c r="EM176" s="528">
        <f t="shared" si="570"/>
        <v>3.8062326920958269E-3</v>
      </c>
      <c r="EN176" s="528">
        <f t="shared" si="571"/>
        <v>3.6033148148148144E-3</v>
      </c>
      <c r="EO176">
        <f t="shared" si="572"/>
        <v>8.5500000000000003E-3</v>
      </c>
      <c r="EP176" s="460">
        <f t="shared" si="573"/>
        <v>12.356232692095826</v>
      </c>
      <c r="EQ176" s="460"/>
      <c r="ER176" s="460">
        <f t="shared" si="593"/>
        <v>2120.848216547935</v>
      </c>
      <c r="ES176" s="528">
        <f t="shared" si="574"/>
        <v>4.62</v>
      </c>
      <c r="EV176" s="460">
        <f t="shared" si="494"/>
        <v>4620</v>
      </c>
      <c r="EW176" s="528">
        <f t="shared" si="575"/>
        <v>2.4258330035615359</v>
      </c>
      <c r="EX176" s="528">
        <f t="shared" si="576"/>
        <v>2.9929108485499465</v>
      </c>
      <c r="EY176" s="528">
        <f t="shared" si="577"/>
        <v>0.66881589702681288</v>
      </c>
      <c r="EZ176" s="528"/>
      <c r="FA176" s="528">
        <f t="shared" si="578"/>
        <v>1.6500000000000001E-2</v>
      </c>
      <c r="FB176" s="460">
        <f t="shared" si="579"/>
        <v>6104.059749138296</v>
      </c>
      <c r="FC176" s="173">
        <f t="shared" si="580"/>
        <v>12.844907965686231</v>
      </c>
      <c r="FD176" s="5">
        <f t="shared" si="581"/>
        <v>99.000000000000014</v>
      </c>
      <c r="FE176" s="173">
        <f t="shared" si="582"/>
        <v>0.88515428910159222</v>
      </c>
      <c r="FF176" s="5">
        <f t="shared" si="583"/>
        <v>88.515428910159216</v>
      </c>
      <c r="FI176" s="562">
        <f t="shared" si="584"/>
        <v>-50</v>
      </c>
      <c r="FJ176">
        <f t="shared" si="585"/>
        <v>-50</v>
      </c>
      <c r="FL176">
        <f t="shared" si="586"/>
        <v>0.55232558139534871</v>
      </c>
    </row>
    <row r="177" spans="5:168">
      <c r="E177" s="170">
        <v>67</v>
      </c>
      <c r="F177" s="217">
        <f t="shared" si="587"/>
        <v>6.7</v>
      </c>
      <c r="G177" s="217"/>
      <c r="H177" s="217">
        <f t="shared" si="495"/>
        <v>100.5</v>
      </c>
      <c r="I177" s="541">
        <f t="shared" si="496"/>
        <v>18.39182225552322</v>
      </c>
      <c r="J177" s="172">
        <f t="shared" si="497"/>
        <v>15.764906646686068</v>
      </c>
      <c r="K177" s="172">
        <f t="shared" si="498"/>
        <v>34.156728902209288</v>
      </c>
      <c r="L177" s="443"/>
      <c r="M177" s="217">
        <f t="shared" si="499"/>
        <v>0.46153052727791266</v>
      </c>
      <c r="N177" s="172">
        <f t="shared" si="500"/>
        <v>212.41128478113285</v>
      </c>
      <c r="O177" s="172">
        <f t="shared" si="438"/>
        <v>100.5</v>
      </c>
      <c r="P177" s="217">
        <f t="shared" si="501"/>
        <v>14.16075231874219</v>
      </c>
      <c r="Q177" s="217">
        <f t="shared" si="502"/>
        <v>15</v>
      </c>
      <c r="R177" s="217"/>
      <c r="S177" s="172">
        <f t="shared" si="503"/>
        <v>50.379256845990191</v>
      </c>
      <c r="T177" s="536">
        <f t="shared" si="504"/>
        <v>15</v>
      </c>
      <c r="U177" s="217">
        <f t="shared" si="505"/>
        <v>24.885347598741141</v>
      </c>
      <c r="V177" s="217">
        <f t="shared" si="506"/>
        <v>16.236790843017982</v>
      </c>
      <c r="W177" s="217">
        <f t="shared" si="507"/>
        <v>18.94233679129761</v>
      </c>
      <c r="X177" s="197">
        <f t="shared" si="508"/>
        <v>70.738955944054325</v>
      </c>
      <c r="Y177" s="443">
        <f t="shared" si="509"/>
        <v>28.265253183633082</v>
      </c>
      <c r="AA177" s="217">
        <f t="shared" si="510"/>
        <v>10</v>
      </c>
      <c r="AB177" s="173">
        <f t="shared" si="511"/>
        <v>7.6118433612941905</v>
      </c>
      <c r="AC177" s="173">
        <f t="shared" si="512"/>
        <v>2.6922692609381604</v>
      </c>
      <c r="AD177" s="173"/>
      <c r="AE177" s="173">
        <f t="shared" si="513"/>
        <v>7.6118433612941905</v>
      </c>
      <c r="AF177" s="545">
        <f t="shared" si="514"/>
        <v>176.04145755466109</v>
      </c>
      <c r="AG177" s="528">
        <f t="shared" si="515"/>
        <v>2.6922692609381604</v>
      </c>
      <c r="AI177" s="173">
        <f t="shared" si="516"/>
        <v>7.0920772204856695</v>
      </c>
      <c r="AJ177" s="173">
        <f t="shared" si="517"/>
        <v>24.885347598741141</v>
      </c>
      <c r="AK177" s="173">
        <f t="shared" si="518"/>
        <v>12.22618340647492</v>
      </c>
      <c r="AM177" s="545">
        <f t="shared" si="519"/>
        <v>6700</v>
      </c>
      <c r="AN177" s="460">
        <f t="shared" si="520"/>
        <v>28.265253183633082</v>
      </c>
      <c r="AP177">
        <f t="shared" si="521"/>
        <v>6700</v>
      </c>
      <c r="AQ177">
        <f t="shared" si="522"/>
        <v>28.265253183633082</v>
      </c>
      <c r="AS177" s="5">
        <f t="shared" si="439"/>
        <v>35.379127634315594</v>
      </c>
      <c r="AT177" s="5">
        <f t="shared" si="523"/>
        <v>16.236790843017982</v>
      </c>
      <c r="AU177" s="5">
        <f t="shared" si="478"/>
        <v>19.142336791297613</v>
      </c>
      <c r="AV177" s="5"/>
      <c r="AW177" s="173">
        <f t="shared" si="479"/>
        <v>0.45893700406759846</v>
      </c>
      <c r="AX177" s="173">
        <f t="shared" si="435"/>
        <v>105.02472500359346</v>
      </c>
      <c r="AY177" s="173">
        <f t="shared" si="436"/>
        <v>6.7322703632970393</v>
      </c>
      <c r="AZ177" s="173">
        <f t="shared" si="440"/>
        <v>15.600194189491672</v>
      </c>
      <c r="BA177" s="460">
        <f t="shared" si="433"/>
        <v>725.24332432146991</v>
      </c>
      <c r="BB177" s="5">
        <f t="shared" si="434"/>
        <v>36.06934498869979</v>
      </c>
      <c r="BD177" s="173">
        <f t="shared" si="441"/>
        <v>9.7332890787487862</v>
      </c>
      <c r="BE177" s="173">
        <f t="shared" si="437"/>
        <v>10.568345443488308</v>
      </c>
      <c r="BG177" s="528">
        <f t="shared" si="480"/>
        <v>1.8947383258098081</v>
      </c>
      <c r="BH177" s="528">
        <f t="shared" si="524"/>
        <v>0.45047857048999629</v>
      </c>
      <c r="BI177" s="528">
        <f t="shared" si="525"/>
        <v>1.2996237814018536E-2</v>
      </c>
      <c r="BJ177" s="528">
        <f t="shared" si="481"/>
        <v>3.297656576945693E-3</v>
      </c>
      <c r="BK177">
        <f t="shared" si="482"/>
        <v>8.2763200149854489E-3</v>
      </c>
      <c r="BL177" s="460">
        <f t="shared" si="588"/>
        <v>21.272557829003983</v>
      </c>
      <c r="BM177" s="528">
        <f t="shared" si="526"/>
        <v>5.2019661279500973</v>
      </c>
      <c r="BN177" s="460">
        <f t="shared" si="527"/>
        <v>5201.966127950097</v>
      </c>
      <c r="BO177" s="528">
        <f t="shared" si="483"/>
        <v>4.6899999999999995</v>
      </c>
      <c r="BR177" s="460">
        <f t="shared" si="484"/>
        <v>4689.9999999999991</v>
      </c>
      <c r="BS177" s="528">
        <f t="shared" si="485"/>
        <v>2.8421074887147117</v>
      </c>
      <c r="BT177" s="528">
        <f t="shared" si="486"/>
        <v>3.3506977623870022</v>
      </c>
      <c r="BU177" s="528">
        <f t="shared" si="487"/>
        <v>0.65608707568721236</v>
      </c>
      <c r="BV177" s="528"/>
      <c r="BW177" s="528">
        <f t="shared" si="488"/>
        <v>1.7504120833932244E-2</v>
      </c>
      <c r="BX177" s="460">
        <f t="shared" si="489"/>
        <v>6866.3964476228575</v>
      </c>
      <c r="BY177" s="173">
        <f t="shared" si="490"/>
        <v>13.926183558328612</v>
      </c>
      <c r="BZ177" s="5">
        <f t="shared" si="491"/>
        <v>100.5</v>
      </c>
      <c r="CA177" s="173">
        <f t="shared" si="492"/>
        <v>0.87829548163485016</v>
      </c>
      <c r="CB177" s="5">
        <f t="shared" si="493"/>
        <v>87.829548163485015</v>
      </c>
      <c r="CE177" s="562">
        <f t="shared" si="528"/>
        <v>-50</v>
      </c>
      <c r="CF177">
        <f t="shared" si="529"/>
        <v>-50</v>
      </c>
      <c r="CG177" s="173">
        <f t="shared" si="530"/>
        <v>0.55082581209577663</v>
      </c>
      <c r="CI177" s="170">
        <v>67</v>
      </c>
      <c r="CJ177" s="217">
        <f t="shared" si="589"/>
        <v>6.7</v>
      </c>
      <c r="CK177" s="217"/>
      <c r="CL177" s="217">
        <f t="shared" si="531"/>
        <v>100.5</v>
      </c>
      <c r="CM177" s="541">
        <f t="shared" si="532"/>
        <v>19</v>
      </c>
      <c r="CN177" s="443">
        <f t="shared" si="533"/>
        <v>15.4</v>
      </c>
      <c r="CO177" s="443">
        <f t="shared" si="534"/>
        <v>34.4</v>
      </c>
      <c r="CP177" s="443"/>
      <c r="CQ177" s="217">
        <f t="shared" si="535"/>
        <v>0.44767441860465118</v>
      </c>
      <c r="CR177" s="172">
        <f t="shared" si="590"/>
        <v>212.84736191860466</v>
      </c>
      <c r="CS177" s="172">
        <f t="shared" si="536"/>
        <v>100.5</v>
      </c>
      <c r="CT177" s="217">
        <f t="shared" si="537"/>
        <v>14.189824127906977</v>
      </c>
      <c r="CU177" s="217">
        <f t="shared" si="538"/>
        <v>15</v>
      </c>
      <c r="CV177" s="217"/>
      <c r="CW177" s="172">
        <f t="shared" si="539"/>
        <v>52.040448684281074</v>
      </c>
      <c r="CX177" s="536">
        <f t="shared" si="540"/>
        <v>15</v>
      </c>
      <c r="CY177" s="217">
        <f t="shared" si="541"/>
        <v>23.630895420369104</v>
      </c>
      <c r="CZ177" s="217">
        <f t="shared" si="542"/>
        <v>14.924776054969962</v>
      </c>
      <c r="DA177" s="217">
        <f t="shared" si="543"/>
        <v>18.41368474314476</v>
      </c>
      <c r="DB177" s="197">
        <f t="shared" si="544"/>
        <v>70.881782945736433</v>
      </c>
      <c r="DC177" s="443">
        <f t="shared" si="545"/>
        <v>29.99538599144174</v>
      </c>
      <c r="DE177" s="217">
        <f t="shared" si="546"/>
        <v>10.000000000000002</v>
      </c>
      <c r="DF177" s="173">
        <f t="shared" si="547"/>
        <v>7.792207792207793</v>
      </c>
      <c r="DG177" s="173">
        <f t="shared" si="548"/>
        <v>2.7616279069767451</v>
      </c>
      <c r="DH177" s="173"/>
      <c r="DI177" s="173">
        <f t="shared" si="549"/>
        <v>7.7922077922077913</v>
      </c>
      <c r="DJ177" s="545">
        <f t="shared" si="550"/>
        <v>171.9666666666667</v>
      </c>
      <c r="DK177" s="528">
        <f t="shared" si="551"/>
        <v>2.7616279069767442</v>
      </c>
      <c r="DM177" s="173">
        <f t="shared" si="552"/>
        <v>7.009517339541528</v>
      </c>
      <c r="DN177" s="173">
        <f t="shared" si="553"/>
        <v>23.630895420369104</v>
      </c>
      <c r="DO177" s="173">
        <f t="shared" si="554"/>
        <v>11.29695957064378</v>
      </c>
      <c r="DQ177" s="545">
        <f t="shared" si="555"/>
        <v>6700</v>
      </c>
      <c r="DR177" s="460">
        <f t="shared" si="556"/>
        <v>29.99538599144174</v>
      </c>
      <c r="DT177">
        <f t="shared" si="591"/>
        <v>6700</v>
      </c>
      <c r="DU177">
        <f t="shared" si="592"/>
        <v>29.99538599144174</v>
      </c>
      <c r="DW177" s="5">
        <f t="shared" si="557"/>
        <v>33.338460798114717</v>
      </c>
      <c r="DX177" s="5">
        <f t="shared" si="558"/>
        <v>14.924776054969962</v>
      </c>
      <c r="DY177" s="5">
        <f t="shared" si="559"/>
        <v>18.413684743144756</v>
      </c>
      <c r="DZ177" s="5"/>
      <c r="EA177" s="173">
        <f t="shared" si="560"/>
        <v>0.44767441860465124</v>
      </c>
      <c r="EB177" s="173">
        <f t="shared" si="561"/>
        <v>100.49999999999997</v>
      </c>
      <c r="EC177" s="173">
        <f t="shared" si="562"/>
        <v>6.5259740259740244</v>
      </c>
      <c r="ED177" s="173">
        <f t="shared" si="563"/>
        <v>15.399999999999999</v>
      </c>
      <c r="EE177" s="460">
        <f t="shared" si="564"/>
        <v>666.63999712199177</v>
      </c>
      <c r="EF177" s="5">
        <f t="shared" si="565"/>
        <v>33.585758923521745</v>
      </c>
      <c r="EH177" s="173">
        <f t="shared" si="566"/>
        <v>9.1285266960363849</v>
      </c>
      <c r="EI177" s="173">
        <f t="shared" si="567"/>
        <v>10.139513785970781</v>
      </c>
      <c r="EK177" s="528">
        <f t="shared" si="568"/>
        <v>1.6665999928049793</v>
      </c>
      <c r="EL177" s="528">
        <f t="shared" si="569"/>
        <v>0.48766666666666653</v>
      </c>
      <c r="EM177" s="528">
        <f t="shared" si="570"/>
        <v>3.7494232489302171E-3</v>
      </c>
      <c r="EN177" s="528">
        <f t="shared" si="571"/>
        <v>3.5495339966832495E-3</v>
      </c>
      <c r="EO177">
        <f t="shared" si="572"/>
        <v>8.5500000000000003E-3</v>
      </c>
      <c r="EP177" s="460">
        <f t="shared" si="573"/>
        <v>12.299423248930218</v>
      </c>
      <c r="EQ177" s="460"/>
      <c r="ER177" s="460">
        <f t="shared" si="593"/>
        <v>2170.1156167172594</v>
      </c>
      <c r="ES177" s="528">
        <f t="shared" si="574"/>
        <v>4.6899999999999995</v>
      </c>
      <c r="EV177" s="460">
        <f t="shared" si="494"/>
        <v>4689.9999999999991</v>
      </c>
      <c r="EW177" s="528">
        <f t="shared" si="575"/>
        <v>2.4998999892074685</v>
      </c>
      <c r="EX177" s="528">
        <f t="shared" si="576"/>
        <v>3.0842921944767454</v>
      </c>
      <c r="EY177" s="528">
        <f t="shared" si="577"/>
        <v>0.66881589702681221</v>
      </c>
      <c r="EZ177" s="528"/>
      <c r="FA177" s="528">
        <f t="shared" si="578"/>
        <v>1.6750000000000001E-2</v>
      </c>
      <c r="FB177" s="460">
        <f t="shared" si="579"/>
        <v>6269.7580807110271</v>
      </c>
      <c r="FC177" s="173">
        <f t="shared" si="580"/>
        <v>13.129873697428286</v>
      </c>
      <c r="FD177" s="5">
        <f t="shared" si="581"/>
        <v>100.5</v>
      </c>
      <c r="FE177" s="173">
        <f t="shared" si="582"/>
        <v>0.88445051226238014</v>
      </c>
      <c r="FF177" s="5">
        <f t="shared" si="583"/>
        <v>88.445051226238007</v>
      </c>
      <c r="FI177" s="562">
        <f t="shared" si="584"/>
        <v>-50</v>
      </c>
      <c r="FJ177">
        <f t="shared" si="585"/>
        <v>-50</v>
      </c>
      <c r="FL177">
        <f t="shared" si="586"/>
        <v>0.55232558139534871</v>
      </c>
    </row>
    <row r="178" spans="5:168">
      <c r="E178" s="170">
        <v>68</v>
      </c>
      <c r="F178" s="217">
        <f t="shared" si="587"/>
        <v>6.8000000000000007</v>
      </c>
      <c r="G178" s="217"/>
      <c r="H178" s="217">
        <f t="shared" si="495"/>
        <v>102.00000000000001</v>
      </c>
      <c r="I178" s="541">
        <f t="shared" si="496"/>
        <v>18.382769690065924</v>
      </c>
      <c r="J178" s="172">
        <f t="shared" si="497"/>
        <v>15.770338185960446</v>
      </c>
      <c r="K178" s="172">
        <f t="shared" si="498"/>
        <v>34.153107876026368</v>
      </c>
      <c r="L178" s="443"/>
      <c r="M178" s="217">
        <f t="shared" si="499"/>
        <v>0.46173850193284838</v>
      </c>
      <c r="N178" s="172">
        <f t="shared" si="500"/>
        <v>212.40240422446936</v>
      </c>
      <c r="O178" s="172">
        <f t="shared" si="438"/>
        <v>102.00000000000001</v>
      </c>
      <c r="P178" s="217">
        <f t="shared" si="501"/>
        <v>14.16016028163129</v>
      </c>
      <c r="Q178" s="217">
        <f t="shared" si="502"/>
        <v>15</v>
      </c>
      <c r="R178" s="217"/>
      <c r="S178" s="172">
        <f t="shared" si="503"/>
        <v>49.348747290841253</v>
      </c>
      <c r="T178" s="536">
        <f t="shared" si="504"/>
        <v>15</v>
      </c>
      <c r="U178" s="217">
        <f t="shared" si="505"/>
        <v>25.266529463534685</v>
      </c>
      <c r="V178" s="217">
        <f t="shared" si="506"/>
        <v>16.493616504713383</v>
      </c>
      <c r="W178" s="217">
        <f t="shared" si="507"/>
        <v>19.225862501308868</v>
      </c>
      <c r="X178" s="197">
        <f t="shared" si="508"/>
        <v>70.735996623228431</v>
      </c>
      <c r="Y178" s="443">
        <f t="shared" si="509"/>
        <v>27.840047452590834</v>
      </c>
      <c r="AA178" s="217">
        <f t="shared" si="510"/>
        <v>10</v>
      </c>
      <c r="AB178" s="173">
        <f t="shared" si="511"/>
        <v>7.6092217291085165</v>
      </c>
      <c r="AC178" s="173">
        <f t="shared" si="512"/>
        <v>2.6912294126780822</v>
      </c>
      <c r="AD178" s="173"/>
      <c r="AE178" s="173">
        <f t="shared" si="513"/>
        <v>7.6092217291085165</v>
      </c>
      <c r="AF178" s="545">
        <f t="shared" si="514"/>
        <v>178.73049944088507</v>
      </c>
      <c r="AG178" s="528">
        <f t="shared" si="515"/>
        <v>2.6912294126780822</v>
      </c>
      <c r="AI178" s="173">
        <f t="shared" si="516"/>
        <v>7.1460378520624994</v>
      </c>
      <c r="AJ178" s="173">
        <f t="shared" si="517"/>
        <v>25.266529463534685</v>
      </c>
      <c r="AK178" s="173">
        <f t="shared" si="518"/>
        <v>12.508540343359025</v>
      </c>
      <c r="AM178" s="545">
        <f t="shared" si="519"/>
        <v>6800.0000000000009</v>
      </c>
      <c r="AN178" s="460">
        <f t="shared" si="520"/>
        <v>27.840047452590834</v>
      </c>
      <c r="AP178">
        <f t="shared" si="521"/>
        <v>6800.0000000000009</v>
      </c>
      <c r="AQ178">
        <f t="shared" si="522"/>
        <v>27.840047452590834</v>
      </c>
      <c r="AS178" s="5">
        <f t="shared" si="439"/>
        <v>35.919479006022264</v>
      </c>
      <c r="AT178" s="5">
        <f t="shared" si="523"/>
        <v>16.493616504713383</v>
      </c>
      <c r="AU178" s="5">
        <f t="shared" si="478"/>
        <v>19.425862501308881</v>
      </c>
      <c r="AV178" s="5"/>
      <c r="AW178" s="173">
        <f t="shared" si="479"/>
        <v>0.45918306615605592</v>
      </c>
      <c r="AX178" s="173">
        <f t="shared" si="435"/>
        <v>106.63810202112886</v>
      </c>
      <c r="AY178" s="173">
        <f t="shared" si="436"/>
        <v>6.8322834966732513</v>
      </c>
      <c r="AZ178" s="173">
        <f t="shared" si="440"/>
        <v>15.607973830865284</v>
      </c>
      <c r="BA178" s="460">
        <f t="shared" si="433"/>
        <v>747.71061488034013</v>
      </c>
      <c r="BB178" s="5">
        <f t="shared" si="434"/>
        <v>37.168200750140457</v>
      </c>
      <c r="BD178" s="173">
        <f t="shared" si="441"/>
        <v>9.8850278466617283</v>
      </c>
      <c r="BE178" s="173">
        <f t="shared" si="437"/>
        <v>10.727786111213456</v>
      </c>
      <c r="BG178" s="528">
        <f t="shared" si="480"/>
        <v>1.9542755105855563</v>
      </c>
      <c r="BH178" s="528">
        <f t="shared" si="524"/>
        <v>0.45045049213211358</v>
      </c>
      <c r="BI178" s="528">
        <f t="shared" si="525"/>
        <v>1.2794429512037095E-2</v>
      </c>
      <c r="BJ178" s="528">
        <f t="shared" si="481"/>
        <v>3.2473599558499443E-3</v>
      </c>
      <c r="BK178">
        <f t="shared" si="482"/>
        <v>8.2722463605296656E-3</v>
      </c>
      <c r="BL178" s="460">
        <f t="shared" si="588"/>
        <v>21.066675872566762</v>
      </c>
      <c r="BM178" s="528">
        <f t="shared" si="526"/>
        <v>5.4803514712390191</v>
      </c>
      <c r="BN178" s="460">
        <f t="shared" si="527"/>
        <v>5480.3514712390188</v>
      </c>
      <c r="BO178" s="528">
        <f t="shared" si="483"/>
        <v>4.76</v>
      </c>
      <c r="BR178" s="460">
        <f t="shared" si="484"/>
        <v>4760</v>
      </c>
      <c r="BS178" s="528">
        <f t="shared" si="485"/>
        <v>2.9314132658783341</v>
      </c>
      <c r="BT178" s="528">
        <f t="shared" si="486"/>
        <v>3.4525618454383298</v>
      </c>
      <c r="BU178" s="528">
        <f t="shared" si="487"/>
        <v>0.65615873366232369</v>
      </c>
      <c r="BV178" s="528"/>
      <c r="BW178" s="528">
        <f t="shared" si="488"/>
        <v>1.7773017003521477E-2</v>
      </c>
      <c r="BX178" s="460">
        <f t="shared" si="489"/>
        <v>7057.9068619825084</v>
      </c>
      <c r="BY178" s="173">
        <f t="shared" si="490"/>
        <v>14.246946900528595</v>
      </c>
      <c r="BZ178" s="5">
        <f t="shared" si="491"/>
        <v>102.00000000000001</v>
      </c>
      <c r="CA178" s="173">
        <f t="shared" si="492"/>
        <v>0.87744239930258494</v>
      </c>
      <c r="CB178" s="5">
        <f t="shared" si="493"/>
        <v>87.744239930258487</v>
      </c>
      <c r="CE178" s="562">
        <f t="shared" si="528"/>
        <v>-50</v>
      </c>
      <c r="CF178">
        <f t="shared" si="529"/>
        <v>-50</v>
      </c>
      <c r="CG178" s="173">
        <f t="shared" si="530"/>
        <v>0.55084786752665271</v>
      </c>
      <c r="CI178" s="170">
        <v>68</v>
      </c>
      <c r="CJ178" s="217">
        <f t="shared" si="589"/>
        <v>6.8000000000000007</v>
      </c>
      <c r="CK178" s="217"/>
      <c r="CL178" s="217">
        <f t="shared" si="531"/>
        <v>102.00000000000001</v>
      </c>
      <c r="CM178" s="541">
        <f t="shared" si="532"/>
        <v>19</v>
      </c>
      <c r="CN178" s="443">
        <f t="shared" si="533"/>
        <v>15.4</v>
      </c>
      <c r="CO178" s="443">
        <f t="shared" si="534"/>
        <v>34.4</v>
      </c>
      <c r="CP178" s="443"/>
      <c r="CQ178" s="217">
        <f t="shared" si="535"/>
        <v>0.44767441860465118</v>
      </c>
      <c r="CR178" s="172">
        <f t="shared" si="590"/>
        <v>212.84736191860466</v>
      </c>
      <c r="CS178" s="172">
        <f t="shared" si="536"/>
        <v>102.00000000000001</v>
      </c>
      <c r="CT178" s="217">
        <f t="shared" si="537"/>
        <v>14.189824127906977</v>
      </c>
      <c r="CU178" s="217">
        <f t="shared" si="538"/>
        <v>15</v>
      </c>
      <c r="CV178" s="217"/>
      <c r="CW178" s="172">
        <f t="shared" si="539"/>
        <v>51.000798800813172</v>
      </c>
      <c r="CX178" s="536">
        <f t="shared" si="540"/>
        <v>15</v>
      </c>
      <c r="CY178" s="217">
        <f t="shared" si="541"/>
        <v>23.983595352016408</v>
      </c>
      <c r="CZ178" s="217">
        <f t="shared" si="542"/>
        <v>15.14753390653668</v>
      </c>
      <c r="DA178" s="217">
        <f t="shared" si="543"/>
        <v>18.688515858714084</v>
      </c>
      <c r="DB178" s="197">
        <f t="shared" si="544"/>
        <v>70.881782945736433</v>
      </c>
      <c r="DC178" s="443">
        <f t="shared" si="545"/>
        <v>29.554277373920542</v>
      </c>
      <c r="DE178" s="217">
        <f t="shared" si="546"/>
        <v>10.000000000000002</v>
      </c>
      <c r="DF178" s="173">
        <f t="shared" si="547"/>
        <v>7.792207792207793</v>
      </c>
      <c r="DG178" s="173">
        <f t="shared" si="548"/>
        <v>2.7616279069767451</v>
      </c>
      <c r="DH178" s="173"/>
      <c r="DI178" s="173">
        <f t="shared" si="549"/>
        <v>7.7922077922077913</v>
      </c>
      <c r="DJ178" s="545">
        <f t="shared" si="550"/>
        <v>174.53333333333336</v>
      </c>
      <c r="DK178" s="528">
        <f t="shared" si="551"/>
        <v>2.7616279069767442</v>
      </c>
      <c r="DM178" s="173">
        <f t="shared" si="552"/>
        <v>7.0616334276615262</v>
      </c>
      <c r="DN178" s="173">
        <f t="shared" si="553"/>
        <v>23.983595352016408</v>
      </c>
      <c r="DO178" s="173">
        <f t="shared" si="554"/>
        <v>11.558218779271412</v>
      </c>
      <c r="DQ178" s="545">
        <f t="shared" si="555"/>
        <v>6800.0000000000009</v>
      </c>
      <c r="DR178" s="460">
        <f t="shared" si="556"/>
        <v>29.554277373920542</v>
      </c>
      <c r="DT178">
        <f t="shared" si="591"/>
        <v>6800.0000000000009</v>
      </c>
      <c r="DU178">
        <f t="shared" si="592"/>
        <v>29.554277373920542</v>
      </c>
      <c r="DW178" s="5">
        <f t="shared" si="557"/>
        <v>33.836049765250756</v>
      </c>
      <c r="DX178" s="5">
        <f t="shared" si="558"/>
        <v>15.14753390653668</v>
      </c>
      <c r="DY178" s="5">
        <f t="shared" si="559"/>
        <v>18.688515858714077</v>
      </c>
      <c r="DZ178" s="5"/>
      <c r="EA178" s="173">
        <f t="shared" si="560"/>
        <v>0.44767441860465129</v>
      </c>
      <c r="EB178" s="173">
        <f t="shared" si="561"/>
        <v>102.00000000000001</v>
      </c>
      <c r="EC178" s="173">
        <f t="shared" si="562"/>
        <v>6.6233766233766227</v>
      </c>
      <c r="ED178" s="173">
        <f t="shared" si="563"/>
        <v>15.400000000000004</v>
      </c>
      <c r="EE178" s="460">
        <f t="shared" si="564"/>
        <v>686.68820376299618</v>
      </c>
      <c r="EF178" s="5">
        <f t="shared" si="565"/>
        <v>34.59580068219303</v>
      </c>
      <c r="EH178" s="173">
        <f t="shared" si="566"/>
        <v>9.2647733631414084</v>
      </c>
      <c r="EI178" s="173">
        <f t="shared" si="567"/>
        <v>10.290849812627064</v>
      </c>
      <c r="EK178" s="528">
        <f t="shared" si="568"/>
        <v>1.7167205094074913</v>
      </c>
      <c r="EL178" s="528">
        <f t="shared" si="569"/>
        <v>0.48766666666666675</v>
      </c>
      <c r="EM178" s="528">
        <f t="shared" si="570"/>
        <v>3.6942846717400676E-3</v>
      </c>
      <c r="EN178" s="528">
        <f t="shared" si="571"/>
        <v>3.4973349673202607E-3</v>
      </c>
      <c r="EO178">
        <f t="shared" si="572"/>
        <v>8.5500000000000003E-3</v>
      </c>
      <c r="EP178" s="460">
        <f t="shared" si="573"/>
        <v>12.244284671740067</v>
      </c>
      <c r="EQ178" s="460"/>
      <c r="ER178" s="460">
        <f t="shared" si="593"/>
        <v>2220.1287957132186</v>
      </c>
      <c r="ES178" s="528">
        <f t="shared" si="574"/>
        <v>4.76</v>
      </c>
      <c r="EV178" s="460">
        <f t="shared" si="494"/>
        <v>4760</v>
      </c>
      <c r="EW178" s="528">
        <f t="shared" si="575"/>
        <v>2.5750807641112368</v>
      </c>
      <c r="EX178" s="528">
        <f t="shared" si="576"/>
        <v>3.1770476959813942</v>
      </c>
      <c r="EY178" s="528">
        <f t="shared" si="577"/>
        <v>0.66881589702681288</v>
      </c>
      <c r="EZ178" s="528"/>
      <c r="FA178" s="528">
        <f t="shared" si="578"/>
        <v>1.7000000000000008E-2</v>
      </c>
      <c r="FB178" s="460">
        <f t="shared" si="579"/>
        <v>6437.9443571194452</v>
      </c>
      <c r="FC178" s="173">
        <f t="shared" si="580"/>
        <v>13.41807315283266</v>
      </c>
      <c r="FD178" s="5">
        <f t="shared" si="581"/>
        <v>102.00000000000001</v>
      </c>
      <c r="FE178" s="173">
        <f t="shared" si="582"/>
        <v>0.8837437431911993</v>
      </c>
      <c r="FF178" s="5">
        <f t="shared" si="583"/>
        <v>88.374374319119937</v>
      </c>
      <c r="FI178" s="562">
        <f t="shared" si="584"/>
        <v>-50</v>
      </c>
      <c r="FJ178">
        <f t="shared" si="585"/>
        <v>-50</v>
      </c>
      <c r="FL178">
        <f t="shared" si="586"/>
        <v>0.55232558139534871</v>
      </c>
    </row>
    <row r="179" spans="5:168">
      <c r="E179" s="170">
        <v>69</v>
      </c>
      <c r="F179" s="217">
        <f t="shared" si="587"/>
        <v>6.8999999999999995</v>
      </c>
      <c r="G179" s="217"/>
      <c r="H179" s="217">
        <f t="shared" si="495"/>
        <v>103.49999999999999</v>
      </c>
      <c r="I179" s="541">
        <f t="shared" si="496"/>
        <v>18.373717122686994</v>
      </c>
      <c r="J179" s="172">
        <f t="shared" si="497"/>
        <v>15.775769726387804</v>
      </c>
      <c r="K179" s="172">
        <f t="shared" si="498"/>
        <v>34.149486849074798</v>
      </c>
      <c r="L179" s="443"/>
      <c r="M179" s="217">
        <f t="shared" si="499"/>
        <v>0.46194652071958209</v>
      </c>
      <c r="N179" s="172">
        <f t="shared" si="500"/>
        <v>212.39344971184258</v>
      </c>
      <c r="O179" s="172">
        <f t="shared" si="438"/>
        <v>103.49999999999999</v>
      </c>
      <c r="P179" s="217">
        <f t="shared" si="501"/>
        <v>14.159563314122838</v>
      </c>
      <c r="Q179" s="217">
        <f t="shared" si="502"/>
        <v>15</v>
      </c>
      <c r="R179" s="217"/>
      <c r="S179" s="172">
        <f t="shared" si="503"/>
        <v>48.348485117124653</v>
      </c>
      <c r="T179" s="536">
        <f t="shared" si="504"/>
        <v>15</v>
      </c>
      <c r="U179" s="217">
        <f t="shared" si="505"/>
        <v>25.648008109632233</v>
      </c>
      <c r="V179" s="217">
        <f t="shared" si="506"/>
        <v>16.750889069450157</v>
      </c>
      <c r="W179" s="217">
        <f t="shared" si="507"/>
        <v>19.50941872590699</v>
      </c>
      <c r="X179" s="197">
        <f t="shared" si="508"/>
        <v>70.733012677063542</v>
      </c>
      <c r="Y179" s="443">
        <f t="shared" si="509"/>
        <v>27.427086068849363</v>
      </c>
      <c r="AA179" s="217">
        <f t="shared" si="510"/>
        <v>10</v>
      </c>
      <c r="AB179" s="173">
        <f t="shared" si="511"/>
        <v>7.6066019016034758</v>
      </c>
      <c r="AC179" s="173">
        <f t="shared" si="512"/>
        <v>2.6901893436774715</v>
      </c>
      <c r="AD179" s="173"/>
      <c r="AE179" s="173">
        <f t="shared" si="513"/>
        <v>7.6066019016034758</v>
      </c>
      <c r="AF179" s="545">
        <f t="shared" si="514"/>
        <v>181.4213518534597</v>
      </c>
      <c r="AG179" s="528">
        <f t="shared" si="515"/>
        <v>2.6901893436774715</v>
      </c>
      <c r="AI179" s="173">
        <f t="shared" si="516"/>
        <v>7.1996299875848724</v>
      </c>
      <c r="AJ179" s="173">
        <f t="shared" si="517"/>
        <v>25.648008109632233</v>
      </c>
      <c r="AK179" s="173">
        <f t="shared" si="518"/>
        <v>12.791117118246097</v>
      </c>
      <c r="AM179" s="545">
        <f t="shared" si="519"/>
        <v>6899.9999999999991</v>
      </c>
      <c r="AN179" s="460">
        <f t="shared" si="520"/>
        <v>27.427086068849363</v>
      </c>
      <c r="AP179">
        <f t="shared" si="521"/>
        <v>6899.9999999999991</v>
      </c>
      <c r="AQ179">
        <f t="shared" si="522"/>
        <v>27.427086068849363</v>
      </c>
      <c r="AS179" s="5">
        <f t="shared" si="439"/>
        <v>36.460307795357153</v>
      </c>
      <c r="AT179" s="5">
        <f t="shared" si="523"/>
        <v>16.750889069450157</v>
      </c>
      <c r="AU179" s="5">
        <f t="shared" si="478"/>
        <v>19.709418725906996</v>
      </c>
      <c r="AV179" s="5"/>
      <c r="AW179" s="173">
        <f t="shared" si="479"/>
        <v>0.45942807623755744</v>
      </c>
      <c r="AX179" s="173">
        <f t="shared" si="435"/>
        <v>108.25256720551232</v>
      </c>
      <c r="AY179" s="173">
        <f t="shared" si="436"/>
        <v>6.9322965422493121</v>
      </c>
      <c r="AZ179" s="173">
        <f t="shared" si="440"/>
        <v>15.615686164860421</v>
      </c>
      <c r="BA179" s="460">
        <f t="shared" si="433"/>
        <v>770.5408971947071</v>
      </c>
      <c r="BB179" s="5">
        <f t="shared" si="434"/>
        <v>38.284161733816134</v>
      </c>
      <c r="BD179" s="173">
        <f t="shared" si="441"/>
        <v>10.036950468540219</v>
      </c>
      <c r="BE179" s="173">
        <f t="shared" si="437"/>
        <v>10.887289161647352</v>
      </c>
      <c r="BG179" s="528">
        <f t="shared" si="480"/>
        <v>2.0148074941585943</v>
      </c>
      <c r="BH179" s="528">
        <f t="shared" si="524"/>
        <v>0.45042114044994896</v>
      </c>
      <c r="BI179" s="528">
        <f t="shared" si="525"/>
        <v>1.2598438023215686E-2</v>
      </c>
      <c r="BJ179" s="528">
        <f t="shared" si="481"/>
        <v>3.198512361992826E-3</v>
      </c>
      <c r="BK179">
        <f t="shared" si="482"/>
        <v>8.268172705209147E-3</v>
      </c>
      <c r="BL179" s="460">
        <f t="shared" si="588"/>
        <v>20.866610728424835</v>
      </c>
      <c r="BM179" s="528">
        <f t="shared" si="526"/>
        <v>5.7788810594641289</v>
      </c>
      <c r="BN179" s="460">
        <f t="shared" si="527"/>
        <v>5778.8810594641291</v>
      </c>
      <c r="BO179" s="528">
        <f t="shared" si="483"/>
        <v>4.8299999999999992</v>
      </c>
      <c r="BR179" s="460">
        <f t="shared" si="484"/>
        <v>4829.9999999999991</v>
      </c>
      <c r="BS179" s="528">
        <f t="shared" si="485"/>
        <v>3.0222112412378914</v>
      </c>
      <c r="BT179" s="528">
        <f t="shared" si="486"/>
        <v>3.5559919586797175</v>
      </c>
      <c r="BU179" s="528">
        <f t="shared" si="487"/>
        <v>0.65622577374181101</v>
      </c>
      <c r="BV179" s="528"/>
      <c r="BW179" s="528">
        <f t="shared" si="488"/>
        <v>1.8042094534252057E-2</v>
      </c>
      <c r="BX179" s="460">
        <f t="shared" si="489"/>
        <v>7252.4710681936722</v>
      </c>
      <c r="BY179" s="173">
        <f t="shared" si="490"/>
        <v>14.571764825892632</v>
      </c>
      <c r="BZ179" s="5">
        <f t="shared" si="491"/>
        <v>103.49999999999999</v>
      </c>
      <c r="CA179" s="173">
        <f t="shared" si="492"/>
        <v>0.87658552535925927</v>
      </c>
      <c r="CB179" s="5">
        <f t="shared" si="493"/>
        <v>87.658552535925921</v>
      </c>
      <c r="CE179" s="562">
        <f t="shared" si="528"/>
        <v>-50</v>
      </c>
      <c r="CF179">
        <f t="shared" si="529"/>
        <v>-50</v>
      </c>
      <c r="CG179" s="173">
        <f t="shared" si="530"/>
        <v>0.55086928366967736</v>
      </c>
      <c r="CI179" s="170">
        <v>69</v>
      </c>
      <c r="CJ179" s="217">
        <f t="shared" si="589"/>
        <v>6.8999999999999995</v>
      </c>
      <c r="CK179" s="217"/>
      <c r="CL179" s="217">
        <f t="shared" si="531"/>
        <v>103.49999999999999</v>
      </c>
      <c r="CM179" s="541">
        <f t="shared" si="532"/>
        <v>19</v>
      </c>
      <c r="CN179" s="443">
        <f t="shared" si="533"/>
        <v>15.4</v>
      </c>
      <c r="CO179" s="443">
        <f t="shared" si="534"/>
        <v>34.4</v>
      </c>
      <c r="CP179" s="443"/>
      <c r="CQ179" s="217">
        <f t="shared" si="535"/>
        <v>0.44767441860465118</v>
      </c>
      <c r="CR179" s="172">
        <f t="shared" si="590"/>
        <v>212.84736191860466</v>
      </c>
      <c r="CS179" s="172">
        <f t="shared" si="536"/>
        <v>103.49999999999999</v>
      </c>
      <c r="CT179" s="217">
        <f t="shared" si="537"/>
        <v>14.189824127906977</v>
      </c>
      <c r="CU179" s="217">
        <f t="shared" si="538"/>
        <v>15</v>
      </c>
      <c r="CV179" s="217"/>
      <c r="CW179" s="172">
        <f t="shared" si="539"/>
        <v>49.991399098690103</v>
      </c>
      <c r="CX179" s="536">
        <f t="shared" si="540"/>
        <v>15</v>
      </c>
      <c r="CY179" s="217">
        <f t="shared" si="541"/>
        <v>24.336295283663699</v>
      </c>
      <c r="CZ179" s="217">
        <f t="shared" si="542"/>
        <v>15.370291758103392</v>
      </c>
      <c r="DA179" s="217">
        <f t="shared" si="543"/>
        <v>18.963346974283404</v>
      </c>
      <c r="DB179" s="197">
        <f t="shared" si="544"/>
        <v>70.881782945736433</v>
      </c>
      <c r="DC179" s="443">
        <f t="shared" si="545"/>
        <v>29.125954513428944</v>
      </c>
      <c r="DE179" s="217">
        <f t="shared" si="546"/>
        <v>10.000000000000002</v>
      </c>
      <c r="DF179" s="173">
        <f t="shared" si="547"/>
        <v>7.792207792207793</v>
      </c>
      <c r="DG179" s="173">
        <f t="shared" si="548"/>
        <v>2.7616279069767451</v>
      </c>
      <c r="DH179" s="173"/>
      <c r="DI179" s="173">
        <f t="shared" si="549"/>
        <v>7.7922077922077913</v>
      </c>
      <c r="DJ179" s="545">
        <f t="shared" si="550"/>
        <v>177.1</v>
      </c>
      <c r="DK179" s="528">
        <f t="shared" si="551"/>
        <v>2.7616279069767442</v>
      </c>
      <c r="DM179" s="173">
        <f t="shared" si="552"/>
        <v>7.1133676975114959</v>
      </c>
      <c r="DN179" s="173">
        <f t="shared" si="553"/>
        <v>24.336295283663699</v>
      </c>
      <c r="DO179" s="173">
        <f t="shared" si="554"/>
        <v>11.819477987899035</v>
      </c>
      <c r="DQ179" s="545">
        <f t="shared" si="555"/>
        <v>6899.9999999999991</v>
      </c>
      <c r="DR179" s="460">
        <f t="shared" si="556"/>
        <v>29.125954513428944</v>
      </c>
      <c r="DT179">
        <f t="shared" si="591"/>
        <v>6899.9999999999991</v>
      </c>
      <c r="DU179">
        <f t="shared" si="592"/>
        <v>29.125954513428944</v>
      </c>
      <c r="DW179" s="5">
        <f t="shared" si="557"/>
        <v>34.333638732386795</v>
      </c>
      <c r="DX179" s="5">
        <f t="shared" si="558"/>
        <v>15.370291758103392</v>
      </c>
      <c r="DY179" s="5">
        <f t="shared" si="559"/>
        <v>18.963346974283404</v>
      </c>
      <c r="DZ179" s="5"/>
      <c r="EA179" s="173">
        <f t="shared" si="560"/>
        <v>0.44767441860465118</v>
      </c>
      <c r="EB179" s="173">
        <f t="shared" si="561"/>
        <v>103.49999999999996</v>
      </c>
      <c r="EC179" s="173">
        <f t="shared" si="562"/>
        <v>6.7207792207792192</v>
      </c>
      <c r="ED179" s="173">
        <f t="shared" si="563"/>
        <v>15.399999999999997</v>
      </c>
      <c r="EE179" s="460">
        <f t="shared" si="564"/>
        <v>707.03342087275598</v>
      </c>
      <c r="EF179" s="5">
        <f t="shared" si="565"/>
        <v>35.620806022474262</v>
      </c>
      <c r="EH179" s="173">
        <f t="shared" si="566"/>
        <v>9.4010200302464231</v>
      </c>
      <c r="EI179" s="173">
        <f t="shared" si="567"/>
        <v>10.442185839283342</v>
      </c>
      <c r="EK179" s="528">
        <f t="shared" si="568"/>
        <v>1.7675835521818892</v>
      </c>
      <c r="EL179" s="528">
        <f t="shared" si="569"/>
        <v>0.48766666666666658</v>
      </c>
      <c r="EM179" s="528">
        <f t="shared" si="570"/>
        <v>3.640744314178618E-3</v>
      </c>
      <c r="EN179" s="528">
        <f t="shared" si="571"/>
        <v>3.4466489533011273E-3</v>
      </c>
      <c r="EO179">
        <f t="shared" si="572"/>
        <v>8.5500000000000003E-3</v>
      </c>
      <c r="EP179" s="460">
        <f t="shared" si="573"/>
        <v>12.19074431417862</v>
      </c>
      <c r="EQ179" s="460"/>
      <c r="ER179" s="460">
        <f t="shared" si="593"/>
        <v>2270.8876121160356</v>
      </c>
      <c r="ES179" s="528">
        <f t="shared" si="574"/>
        <v>4.8299999999999992</v>
      </c>
      <c r="EV179" s="460">
        <f t="shared" si="494"/>
        <v>4829.9999999999991</v>
      </c>
      <c r="EW179" s="528">
        <f t="shared" si="575"/>
        <v>2.6513753282728336</v>
      </c>
      <c r="EX179" s="528">
        <f t="shared" si="576"/>
        <v>3.2711773530638864</v>
      </c>
      <c r="EY179" s="528">
        <f t="shared" si="577"/>
        <v>0.66881589702681166</v>
      </c>
      <c r="EZ179" s="528"/>
      <c r="FA179" s="528">
        <f t="shared" si="578"/>
        <v>1.7249999999999995E-2</v>
      </c>
      <c r="FB179" s="460">
        <f t="shared" si="579"/>
        <v>6608.618578363531</v>
      </c>
      <c r="FC179" s="173">
        <f t="shared" si="580"/>
        <v>13.709506190479567</v>
      </c>
      <c r="FD179" s="5">
        <f t="shared" si="581"/>
        <v>103.49999999999999</v>
      </c>
      <c r="FE179" s="173">
        <f t="shared" si="582"/>
        <v>0.88303417840358467</v>
      </c>
      <c r="FF179" s="5">
        <f t="shared" si="583"/>
        <v>88.303417840358463</v>
      </c>
      <c r="FI179" s="562">
        <f t="shared" si="584"/>
        <v>-50</v>
      </c>
      <c r="FJ179">
        <f t="shared" si="585"/>
        <v>-50</v>
      </c>
      <c r="FL179">
        <f t="shared" si="586"/>
        <v>0.55232558139534882</v>
      </c>
    </row>
    <row r="180" spans="5:168">
      <c r="E180" s="170">
        <v>70</v>
      </c>
      <c r="F180" s="217">
        <f t="shared" si="587"/>
        <v>7</v>
      </c>
      <c r="G180" s="217"/>
      <c r="H180" s="217">
        <f t="shared" si="495"/>
        <v>105</v>
      </c>
      <c r="I180" s="541">
        <f t="shared" si="496"/>
        <v>18.364664553468998</v>
      </c>
      <c r="J180" s="172">
        <f t="shared" si="497"/>
        <v>15.781201267918602</v>
      </c>
      <c r="K180" s="172">
        <f t="shared" si="498"/>
        <v>34.145865821387602</v>
      </c>
      <c r="L180" s="443"/>
      <c r="M180" s="217">
        <f t="shared" si="499"/>
        <v>0.46215458365107159</v>
      </c>
      <c r="N180" s="172">
        <f t="shared" si="500"/>
        <v>212.38442122014067</v>
      </c>
      <c r="O180" s="172">
        <f t="shared" si="438"/>
        <v>105</v>
      </c>
      <c r="P180" s="217">
        <f t="shared" si="501"/>
        <v>14.158961414676044</v>
      </c>
      <c r="Q180" s="217">
        <f t="shared" si="502"/>
        <v>15</v>
      </c>
      <c r="R180" s="217"/>
      <c r="S180" s="172">
        <f t="shared" si="503"/>
        <v>47.377175754831057</v>
      </c>
      <c r="T180" s="536">
        <f t="shared" si="504"/>
        <v>15</v>
      </c>
      <c r="U180" s="217">
        <f t="shared" si="505"/>
        <v>26.029783975917482</v>
      </c>
      <c r="V180" s="217">
        <f t="shared" si="506"/>
        <v>17.008609484892933</v>
      </c>
      <c r="W180" s="217">
        <f t="shared" si="507"/>
        <v>19.79300576731108</v>
      </c>
      <c r="X180" s="197">
        <f t="shared" si="508"/>
        <v>70.730004097737492</v>
      </c>
      <c r="Y180" s="443">
        <f t="shared" si="509"/>
        <v>27.025847201101161</v>
      </c>
      <c r="AA180" s="217">
        <f t="shared" si="510"/>
        <v>10.000000000000002</v>
      </c>
      <c r="AB180" s="173">
        <f t="shared" si="511"/>
        <v>7.60398387694012</v>
      </c>
      <c r="AC180" s="173">
        <f t="shared" si="512"/>
        <v>2.6891490538755227</v>
      </c>
      <c r="AD180" s="173"/>
      <c r="AE180" s="173">
        <f t="shared" si="513"/>
        <v>7.6039838769401182</v>
      </c>
      <c r="AF180" s="545">
        <f t="shared" si="514"/>
        <v>184.1140147923837</v>
      </c>
      <c r="AG180" s="528">
        <f t="shared" si="515"/>
        <v>2.6891490538755218</v>
      </c>
      <c r="AI180" s="173">
        <f t="shared" si="516"/>
        <v>7.2528617956221479</v>
      </c>
      <c r="AJ180" s="173">
        <f t="shared" si="517"/>
        <v>26.029783975917482</v>
      </c>
      <c r="AK180" s="173">
        <f t="shared" si="518"/>
        <v>13.073914056235171</v>
      </c>
      <c r="AM180" s="545">
        <f t="shared" si="519"/>
        <v>7000</v>
      </c>
      <c r="AN180" s="460">
        <f t="shared" si="520"/>
        <v>27.025847201101161</v>
      </c>
      <c r="AP180">
        <f t="shared" si="521"/>
        <v>7000</v>
      </c>
      <c r="AQ180">
        <f t="shared" si="522"/>
        <v>27.025847201101161</v>
      </c>
      <c r="AS180" s="5">
        <f t="shared" si="439"/>
        <v>37.001615252204019</v>
      </c>
      <c r="AT180" s="5">
        <f t="shared" si="523"/>
        <v>17.008609484892933</v>
      </c>
      <c r="AU180" s="5">
        <f t="shared" si="478"/>
        <v>19.993005767311086</v>
      </c>
      <c r="AV180" s="5"/>
      <c r="AW180" s="173">
        <f t="shared" si="479"/>
        <v>0.45967208104191631</v>
      </c>
      <c r="AX180" s="173">
        <f t="shared" si="435"/>
        <v>109.86812049388661</v>
      </c>
      <c r="AY180" s="173">
        <f t="shared" si="436"/>
        <v>7.0323095033179825</v>
      </c>
      <c r="AZ180" s="173">
        <f t="shared" si="440"/>
        <v>15.623334047235643</v>
      </c>
      <c r="BA180" s="460">
        <f t="shared" si="433"/>
        <v>793.73510929500355</v>
      </c>
      <c r="BB180" s="5">
        <f t="shared" si="434"/>
        <v>39.417256409310134</v>
      </c>
      <c r="BD180" s="173">
        <f t="shared" si="441"/>
        <v>10.189057192017541</v>
      </c>
      <c r="BE180" s="173">
        <f t="shared" si="437"/>
        <v>11.046854672202963</v>
      </c>
      <c r="BG180" s="528">
        <f t="shared" si="480"/>
        <v>2.0763377292440874</v>
      </c>
      <c r="BH180" s="528">
        <f t="shared" si="524"/>
        <v>0.45039056316016551</v>
      </c>
      <c r="BI180" s="528">
        <f t="shared" si="525"/>
        <v>1.2408015453038294E-2</v>
      </c>
      <c r="BJ180" s="528">
        <f t="shared" si="481"/>
        <v>3.1510520412288121E-3</v>
      </c>
      <c r="BK180">
        <f t="shared" si="482"/>
        <v>8.2640990490610491E-3</v>
      </c>
      <c r="BL180" s="460">
        <f t="shared" si="588"/>
        <v>20.672114502099344</v>
      </c>
      <c r="BM180" s="528">
        <f t="shared" si="526"/>
        <v>6.0997066735697905</v>
      </c>
      <c r="BN180" s="460">
        <f t="shared" si="527"/>
        <v>6099.7066735697908</v>
      </c>
      <c r="BO180" s="528">
        <f t="shared" si="483"/>
        <v>4.8999999999999995</v>
      </c>
      <c r="BR180" s="460">
        <f t="shared" si="484"/>
        <v>4899.9999999999991</v>
      </c>
      <c r="BS180" s="528">
        <f t="shared" si="485"/>
        <v>3.1145065938661314</v>
      </c>
      <c r="BT180" s="528">
        <f t="shared" si="486"/>
        <v>3.6609899444631728</v>
      </c>
      <c r="BU180" s="528">
        <f t="shared" si="487"/>
        <v>0.65628836742971253</v>
      </c>
      <c r="BV180" s="528"/>
      <c r="BW180" s="528">
        <f t="shared" si="488"/>
        <v>1.8311353415647769E-2</v>
      </c>
      <c r="BX180" s="460">
        <f t="shared" si="489"/>
        <v>7450.0962591746638</v>
      </c>
      <c r="BY180" s="173">
        <f t="shared" si="490"/>
        <v>14.900647718122247</v>
      </c>
      <c r="BZ180" s="5">
        <f t="shared" si="491"/>
        <v>105</v>
      </c>
      <c r="CA180" s="173">
        <f t="shared" si="492"/>
        <v>0.87572504401183393</v>
      </c>
      <c r="CB180" s="5">
        <f t="shared" si="493"/>
        <v>87.572504401183394</v>
      </c>
      <c r="CE180" s="562">
        <f t="shared" si="528"/>
        <v>-50</v>
      </c>
      <c r="CF180">
        <f t="shared" si="529"/>
        <v>-50</v>
      </c>
      <c r="CG180" s="173">
        <f t="shared" si="530"/>
        <v>0.55089008792290139</v>
      </c>
      <c r="CI180" s="170">
        <v>70</v>
      </c>
      <c r="CJ180" s="217">
        <f t="shared" si="589"/>
        <v>7</v>
      </c>
      <c r="CK180" s="217"/>
      <c r="CL180" s="217">
        <f t="shared" si="531"/>
        <v>105</v>
      </c>
      <c r="CM180" s="541">
        <f t="shared" si="532"/>
        <v>19</v>
      </c>
      <c r="CN180" s="443">
        <f t="shared" si="533"/>
        <v>15.4</v>
      </c>
      <c r="CO180" s="443">
        <f t="shared" si="534"/>
        <v>34.4</v>
      </c>
      <c r="CP180" s="443"/>
      <c r="CQ180" s="217">
        <f t="shared" si="535"/>
        <v>0.44767441860465118</v>
      </c>
      <c r="CR180" s="172">
        <f t="shared" si="590"/>
        <v>212.84736191860466</v>
      </c>
      <c r="CS180" s="172">
        <f t="shared" si="536"/>
        <v>105</v>
      </c>
      <c r="CT180" s="217">
        <f t="shared" si="537"/>
        <v>14.189824127906977</v>
      </c>
      <c r="CU180" s="217">
        <f t="shared" si="538"/>
        <v>15</v>
      </c>
      <c r="CV180" s="217"/>
      <c r="CW180" s="172">
        <f t="shared" si="539"/>
        <v>49.010954901761515</v>
      </c>
      <c r="CX180" s="536">
        <f t="shared" si="540"/>
        <v>15</v>
      </c>
      <c r="CY180" s="217">
        <f t="shared" si="541"/>
        <v>24.688995215311003</v>
      </c>
      <c r="CZ180" s="217">
        <f t="shared" si="542"/>
        <v>15.593049609670109</v>
      </c>
      <c r="DA180" s="217">
        <f t="shared" si="543"/>
        <v>19.238178089852731</v>
      </c>
      <c r="DB180" s="197">
        <f t="shared" si="544"/>
        <v>70.881782945736433</v>
      </c>
      <c r="DC180" s="443">
        <f t="shared" si="545"/>
        <v>28.70986944895138</v>
      </c>
      <c r="DE180" s="217">
        <f t="shared" si="546"/>
        <v>10.000000000000002</v>
      </c>
      <c r="DF180" s="173">
        <f t="shared" si="547"/>
        <v>7.792207792207793</v>
      </c>
      <c r="DG180" s="173">
        <f t="shared" si="548"/>
        <v>2.7616279069767451</v>
      </c>
      <c r="DH180" s="173"/>
      <c r="DI180" s="173">
        <f t="shared" si="549"/>
        <v>7.7922077922077913</v>
      </c>
      <c r="DJ180" s="545">
        <f t="shared" si="550"/>
        <v>179.66666666666669</v>
      </c>
      <c r="DK180" s="528">
        <f t="shared" si="551"/>
        <v>2.7616279069767442</v>
      </c>
      <c r="DM180" s="173">
        <f t="shared" si="552"/>
        <v>7.1647284200682257</v>
      </c>
      <c r="DN180" s="173">
        <f t="shared" si="553"/>
        <v>24.688995215311003</v>
      </c>
      <c r="DO180" s="173">
        <f t="shared" si="554"/>
        <v>12.080737196526668</v>
      </c>
      <c r="DQ180" s="545">
        <f t="shared" si="555"/>
        <v>7000</v>
      </c>
      <c r="DR180" s="460">
        <f t="shared" si="556"/>
        <v>28.70986944895138</v>
      </c>
      <c r="DT180">
        <f t="shared" si="591"/>
        <v>7000</v>
      </c>
      <c r="DU180">
        <f t="shared" si="592"/>
        <v>28.70986944895138</v>
      </c>
      <c r="DW180" s="5">
        <f t="shared" si="557"/>
        <v>34.831227699522842</v>
      </c>
      <c r="DX180" s="5">
        <f t="shared" si="558"/>
        <v>15.593049609670109</v>
      </c>
      <c r="DY180" s="5">
        <f t="shared" si="559"/>
        <v>19.238178089852731</v>
      </c>
      <c r="DZ180" s="5"/>
      <c r="EA180" s="173">
        <f t="shared" si="560"/>
        <v>0.44767441860465113</v>
      </c>
      <c r="EB180" s="173">
        <f t="shared" si="561"/>
        <v>104.99999999999997</v>
      </c>
      <c r="EC180" s="173">
        <f t="shared" si="562"/>
        <v>6.8181818181818192</v>
      </c>
      <c r="ED180" s="173">
        <f t="shared" si="563"/>
        <v>15.399999999999993</v>
      </c>
      <c r="EE180" s="460">
        <f t="shared" si="564"/>
        <v>727.67564845127174</v>
      </c>
      <c r="EF180" s="5">
        <f t="shared" si="565"/>
        <v>36.66077494436545</v>
      </c>
      <c r="EH180" s="173">
        <f t="shared" si="566"/>
        <v>9.5372666973514448</v>
      </c>
      <c r="EI180" s="173">
        <f t="shared" si="567"/>
        <v>10.593521865939623</v>
      </c>
      <c r="EK180" s="528">
        <f t="shared" si="568"/>
        <v>1.8191891211281788</v>
      </c>
      <c r="EL180" s="528">
        <f t="shared" si="569"/>
        <v>0.48766666666666658</v>
      </c>
      <c r="EM180" s="528">
        <f t="shared" si="570"/>
        <v>3.5887336811189223E-3</v>
      </c>
      <c r="EN180" s="528">
        <f t="shared" si="571"/>
        <v>3.3974111111111103E-3</v>
      </c>
      <c r="EO180">
        <f t="shared" si="572"/>
        <v>8.5500000000000003E-3</v>
      </c>
      <c r="EP180" s="460">
        <f t="shared" si="573"/>
        <v>12.138733681118921</v>
      </c>
      <c r="EQ180" s="460"/>
      <c r="ER180" s="460">
        <f t="shared" si="593"/>
        <v>2322.3919325870756</v>
      </c>
      <c r="ES180" s="528">
        <f t="shared" si="574"/>
        <v>4.8999999999999995</v>
      </c>
      <c r="EV180" s="460">
        <f t="shared" si="494"/>
        <v>4899.9999999999991</v>
      </c>
      <c r="EW180" s="528">
        <f t="shared" si="575"/>
        <v>2.7287836816922679</v>
      </c>
      <c r="EX180" s="528">
        <f t="shared" si="576"/>
        <v>3.3666811657242275</v>
      </c>
      <c r="EY180" s="528">
        <f t="shared" si="577"/>
        <v>0.66881589702681232</v>
      </c>
      <c r="EZ180" s="528"/>
      <c r="FA180" s="528">
        <f t="shared" si="578"/>
        <v>1.7499999999999995E-2</v>
      </c>
      <c r="FB180" s="460">
        <f t="shared" si="579"/>
        <v>6781.7807444433083</v>
      </c>
      <c r="FC180" s="173">
        <f t="shared" si="580"/>
        <v>14.004172677030382</v>
      </c>
      <c r="FD180" s="5">
        <f t="shared" si="581"/>
        <v>105</v>
      </c>
      <c r="FE180" s="173">
        <f t="shared" si="582"/>
        <v>0.88232200298524999</v>
      </c>
      <c r="FF180" s="5">
        <f t="shared" si="583"/>
        <v>88.232200298525001</v>
      </c>
      <c r="FI180" s="562">
        <f t="shared" si="584"/>
        <v>-50</v>
      </c>
      <c r="FJ180">
        <f t="shared" si="585"/>
        <v>-50</v>
      </c>
      <c r="FL180">
        <f t="shared" si="586"/>
        <v>0.55232558139534893</v>
      </c>
    </row>
    <row r="181" spans="5:168">
      <c r="E181" s="170">
        <v>71</v>
      </c>
      <c r="F181" s="217">
        <f t="shared" si="587"/>
        <v>7.1</v>
      </c>
      <c r="G181" s="217"/>
      <c r="H181" s="217">
        <f t="shared" si="495"/>
        <v>106.5</v>
      </c>
      <c r="I181" s="541">
        <f t="shared" si="496"/>
        <v>18.35561198248984</v>
      </c>
      <c r="J181" s="172">
        <f t="shared" si="497"/>
        <v>15.786632810506095</v>
      </c>
      <c r="K181" s="172">
        <f t="shared" si="498"/>
        <v>34.142244792995939</v>
      </c>
      <c r="L181" s="443"/>
      <c r="M181" s="217">
        <f t="shared" si="499"/>
        <v>0.46236269074034142</v>
      </c>
      <c r="N181" s="172">
        <f t="shared" si="500"/>
        <v>212.37531872621864</v>
      </c>
      <c r="O181" s="172">
        <f t="shared" si="438"/>
        <v>106.5</v>
      </c>
      <c r="P181" s="217">
        <f t="shared" si="501"/>
        <v>14.15835458174791</v>
      </c>
      <c r="Q181" s="217">
        <f t="shared" si="502"/>
        <v>15</v>
      </c>
      <c r="R181" s="217"/>
      <c r="S181" s="172">
        <f t="shared" si="503"/>
        <v>46.433597601116098</v>
      </c>
      <c r="T181" s="536">
        <f t="shared" si="504"/>
        <v>15</v>
      </c>
      <c r="U181" s="217">
        <f t="shared" si="505"/>
        <v>26.411857502139856</v>
      </c>
      <c r="V181" s="217">
        <f t="shared" si="506"/>
        <v>17.266778701141774</v>
      </c>
      <c r="W181" s="217">
        <f t="shared" si="507"/>
        <v>20.076623927982375</v>
      </c>
      <c r="X181" s="197">
        <f t="shared" si="508"/>
        <v>70.726970877424094</v>
      </c>
      <c r="Y181" s="443">
        <f t="shared" si="509"/>
        <v>26.635838255753988</v>
      </c>
      <c r="AA181" s="217">
        <f t="shared" si="510"/>
        <v>9.9999999999999982</v>
      </c>
      <c r="AB181" s="173">
        <f t="shared" si="511"/>
        <v>7.6013676532806462</v>
      </c>
      <c r="AC181" s="173">
        <f t="shared" si="512"/>
        <v>2.6881085432108685</v>
      </c>
      <c r="AD181" s="173"/>
      <c r="AE181" s="173">
        <f t="shared" si="513"/>
        <v>7.601367653280648</v>
      </c>
      <c r="AF181" s="545">
        <f t="shared" si="514"/>
        <v>186.80848825765545</v>
      </c>
      <c r="AG181" s="528">
        <f t="shared" si="515"/>
        <v>2.6881085432108698</v>
      </c>
      <c r="AI181" s="173">
        <f t="shared" si="516"/>
        <v>7.3057411525389782</v>
      </c>
      <c r="AJ181" s="173">
        <f t="shared" si="517"/>
        <v>26.411857502139856</v>
      </c>
      <c r="AK181" s="173">
        <f t="shared" si="518"/>
        <v>13.356931483066559</v>
      </c>
      <c r="AM181" s="545">
        <f t="shared" si="519"/>
        <v>7100</v>
      </c>
      <c r="AN181" s="460">
        <f t="shared" si="520"/>
        <v>26.635838255753988</v>
      </c>
      <c r="AP181">
        <f t="shared" si="521"/>
        <v>7100</v>
      </c>
      <c r="AQ181">
        <f t="shared" si="522"/>
        <v>26.635838255753988</v>
      </c>
      <c r="AS181" s="5">
        <f t="shared" si="439"/>
        <v>37.543402629124152</v>
      </c>
      <c r="AT181" s="5">
        <f t="shared" si="523"/>
        <v>17.266778701141774</v>
      </c>
      <c r="AU181" s="5">
        <f t="shared" si="478"/>
        <v>20.276623927982378</v>
      </c>
      <c r="AV181" s="5"/>
      <c r="AW181" s="173">
        <f t="shared" si="479"/>
        <v>0.45991512468151025</v>
      </c>
      <c r="AX181" s="173">
        <f t="shared" si="435"/>
        <v>111.48476182691948</v>
      </c>
      <c r="AY181" s="173">
        <f t="shared" si="436"/>
        <v>7.1323223829864606</v>
      </c>
      <c r="AZ181" s="173">
        <f t="shared" si="440"/>
        <v>15.63092017445212</v>
      </c>
      <c r="BA181" s="460">
        <f t="shared" ref="BA181:BA244" si="594">F181*AT181/Vout_ripple*1000</f>
        <v>817.2941918540439</v>
      </c>
      <c r="BB181" s="5">
        <f t="shared" ref="BB181:BB244" si="595">H181/Efficiency/I181*AU181/Vinripple1</f>
        <v>40.567513336917486</v>
      </c>
      <c r="BD181" s="173">
        <f t="shared" si="441"/>
        <v>10.34134826535076</v>
      </c>
      <c r="BE181" s="173">
        <f t="shared" si="437"/>
        <v>11.206482720246079</v>
      </c>
      <c r="BG181" s="528">
        <f t="shared" si="480"/>
        <v>2.1388696789054635</v>
      </c>
      <c r="BH181" s="528">
        <f t="shared" si="524"/>
        <v>0.45035880530590616</v>
      </c>
      <c r="BI181" s="528">
        <f t="shared" si="525"/>
        <v>1.2222927796274478E-2</v>
      </c>
      <c r="BJ181" s="528">
        <f t="shared" si="481"/>
        <v>3.1049206994375536E-3</v>
      </c>
      <c r="BK181">
        <f t="shared" si="482"/>
        <v>8.2600253921204271E-3</v>
      </c>
      <c r="BL181" s="460">
        <f t="shared" si="588"/>
        <v>20.482953188394905</v>
      </c>
      <c r="BM181" s="528">
        <f t="shared" si="526"/>
        <v>6.4453005286320515</v>
      </c>
      <c r="BN181" s="460">
        <f t="shared" si="527"/>
        <v>6445.3005286320513</v>
      </c>
      <c r="BO181" s="528">
        <f t="shared" si="483"/>
        <v>4.97</v>
      </c>
      <c r="BR181" s="460">
        <f t="shared" si="484"/>
        <v>4970</v>
      </c>
      <c r="BS181" s="528">
        <f t="shared" si="485"/>
        <v>3.2083045183581951</v>
      </c>
      <c r="BT181" s="528">
        <f t="shared" si="486"/>
        <v>3.7675576487752189</v>
      </c>
      <c r="BU181" s="528">
        <f t="shared" si="487"/>
        <v>0.65634667665756929</v>
      </c>
      <c r="BV181" s="528"/>
      <c r="BW181" s="528">
        <f t="shared" si="488"/>
        <v>1.8580793637819913E-2</v>
      </c>
      <c r="BX181" s="460">
        <f t="shared" si="489"/>
        <v>7650.789637428803</v>
      </c>
      <c r="BY181" s="173">
        <f t="shared" si="490"/>
        <v>15.233605995528006</v>
      </c>
      <c r="BZ181" s="5">
        <f t="shared" si="491"/>
        <v>106.5</v>
      </c>
      <c r="CA181" s="173">
        <f t="shared" si="492"/>
        <v>0.87486112917670711</v>
      </c>
      <c r="CB181" s="5">
        <f t="shared" si="493"/>
        <v>87.48611291767071</v>
      </c>
      <c r="CE181" s="562">
        <f t="shared" si="528"/>
        <v>-50</v>
      </c>
      <c r="CF181">
        <f t="shared" si="529"/>
        <v>-50</v>
      </c>
      <c r="CG181" s="173">
        <f t="shared" si="530"/>
        <v>0.55091030614082304</v>
      </c>
      <c r="CI181" s="170">
        <v>71</v>
      </c>
      <c r="CJ181" s="217">
        <f t="shared" si="589"/>
        <v>7.1</v>
      </c>
      <c r="CK181" s="217"/>
      <c r="CL181" s="217">
        <f t="shared" si="531"/>
        <v>106.5</v>
      </c>
      <c r="CM181" s="541">
        <f t="shared" si="532"/>
        <v>19</v>
      </c>
      <c r="CN181" s="443">
        <f t="shared" si="533"/>
        <v>15.4</v>
      </c>
      <c r="CO181" s="443">
        <f t="shared" si="534"/>
        <v>34.4</v>
      </c>
      <c r="CP181" s="443"/>
      <c r="CQ181" s="217">
        <f t="shared" si="535"/>
        <v>0.44767441860465118</v>
      </c>
      <c r="CR181" s="172">
        <f t="shared" si="590"/>
        <v>212.84736191860466</v>
      </c>
      <c r="CS181" s="172">
        <f t="shared" si="536"/>
        <v>106.5</v>
      </c>
      <c r="CT181" s="217">
        <f t="shared" si="537"/>
        <v>14.189824127906977</v>
      </c>
      <c r="CU181" s="217">
        <f t="shared" si="538"/>
        <v>15</v>
      </c>
      <c r="CV181" s="217"/>
      <c r="CW181" s="172">
        <f t="shared" si="539"/>
        <v>48.058244507750921</v>
      </c>
      <c r="CX181" s="536">
        <f t="shared" si="540"/>
        <v>15</v>
      </c>
      <c r="CY181" s="217">
        <f t="shared" si="541"/>
        <v>25.041695146958304</v>
      </c>
      <c r="CZ181" s="217">
        <f t="shared" si="542"/>
        <v>15.815807461236824</v>
      </c>
      <c r="DA181" s="217">
        <f t="shared" si="543"/>
        <v>19.513009205422055</v>
      </c>
      <c r="DB181" s="197">
        <f t="shared" si="544"/>
        <v>70.881782945736433</v>
      </c>
      <c r="DC181" s="443">
        <f t="shared" si="545"/>
        <v>28.305505090515449</v>
      </c>
      <c r="DE181" s="217">
        <f t="shared" si="546"/>
        <v>10.000000000000002</v>
      </c>
      <c r="DF181" s="173">
        <f t="shared" si="547"/>
        <v>7.792207792207793</v>
      </c>
      <c r="DG181" s="173">
        <f t="shared" si="548"/>
        <v>2.7616279069767451</v>
      </c>
      <c r="DH181" s="173"/>
      <c r="DI181" s="173">
        <f t="shared" si="549"/>
        <v>7.7922077922077913</v>
      </c>
      <c r="DJ181" s="545">
        <f t="shared" si="550"/>
        <v>182.23333333333335</v>
      </c>
      <c r="DK181" s="528">
        <f t="shared" si="551"/>
        <v>2.7616279069767442</v>
      </c>
      <c r="DM181" s="173">
        <f t="shared" si="552"/>
        <v>7.2157235719411172</v>
      </c>
      <c r="DN181" s="173">
        <f t="shared" si="553"/>
        <v>25.041695146958304</v>
      </c>
      <c r="DO181" s="173">
        <f t="shared" si="554"/>
        <v>12.341996405154299</v>
      </c>
      <c r="DQ181" s="545">
        <f t="shared" si="555"/>
        <v>7100</v>
      </c>
      <c r="DR181" s="460">
        <f t="shared" si="556"/>
        <v>28.305505090515449</v>
      </c>
      <c r="DT181">
        <f t="shared" si="591"/>
        <v>7100</v>
      </c>
      <c r="DU181">
        <f t="shared" si="592"/>
        <v>28.305505090515449</v>
      </c>
      <c r="DW181" s="5">
        <f t="shared" si="557"/>
        <v>35.328816666658881</v>
      </c>
      <c r="DX181" s="5">
        <f t="shared" si="558"/>
        <v>15.815807461236824</v>
      </c>
      <c r="DY181" s="5">
        <f t="shared" si="559"/>
        <v>19.513009205422058</v>
      </c>
      <c r="DZ181" s="5"/>
      <c r="EA181" s="173">
        <f t="shared" si="560"/>
        <v>0.44767441860465118</v>
      </c>
      <c r="EB181" s="173">
        <f t="shared" si="561"/>
        <v>106.49999999999999</v>
      </c>
      <c r="EC181" s="173">
        <f t="shared" si="562"/>
        <v>6.9155844155844148</v>
      </c>
      <c r="ED181" s="173">
        <f t="shared" si="563"/>
        <v>15.4</v>
      </c>
      <c r="EE181" s="460">
        <f t="shared" si="564"/>
        <v>748.61488649854289</v>
      </c>
      <c r="EF181" s="5">
        <f t="shared" si="565"/>
        <v>37.715707447866585</v>
      </c>
      <c r="EH181" s="173">
        <f t="shared" si="566"/>
        <v>9.6735133644564666</v>
      </c>
      <c r="EI181" s="173">
        <f t="shared" si="567"/>
        <v>10.744857892595904</v>
      </c>
      <c r="EK181" s="528">
        <f t="shared" si="568"/>
        <v>1.8715372162463573</v>
      </c>
      <c r="EL181" s="528">
        <f t="shared" si="569"/>
        <v>0.48766666666666658</v>
      </c>
      <c r="EM181" s="528">
        <f t="shared" si="570"/>
        <v>3.5381881363144309E-3</v>
      </c>
      <c r="EN181" s="528">
        <f t="shared" si="571"/>
        <v>3.3495602503912361E-3</v>
      </c>
      <c r="EO181">
        <f t="shared" si="572"/>
        <v>8.5500000000000003E-3</v>
      </c>
      <c r="EP181" s="460">
        <f t="shared" si="573"/>
        <v>12.088188136314432</v>
      </c>
      <c r="EQ181" s="460"/>
      <c r="ER181" s="460">
        <f t="shared" si="593"/>
        <v>2374.6416312997294</v>
      </c>
      <c r="ES181" s="528">
        <f t="shared" si="574"/>
        <v>4.97</v>
      </c>
      <c r="EV181" s="460">
        <f t="shared" si="494"/>
        <v>4970</v>
      </c>
      <c r="EW181" s="528">
        <f t="shared" si="575"/>
        <v>2.8073058243695357</v>
      </c>
      <c r="EX181" s="528">
        <f t="shared" si="576"/>
        <v>3.463559133962415</v>
      </c>
      <c r="EY181" s="528">
        <f t="shared" si="577"/>
        <v>0.66881589702681354</v>
      </c>
      <c r="EZ181" s="528"/>
      <c r="FA181" s="528">
        <f t="shared" si="578"/>
        <v>1.7749999999999998E-2</v>
      </c>
      <c r="FB181" s="460">
        <f t="shared" si="579"/>
        <v>6957.4308553587634</v>
      </c>
      <c r="FC181" s="173">
        <f t="shared" si="580"/>
        <v>14.302072486658494</v>
      </c>
      <c r="FD181" s="5">
        <f t="shared" si="581"/>
        <v>106.5</v>
      </c>
      <c r="FE181" s="173">
        <f t="shared" si="582"/>
        <v>0.88160739139439825</v>
      </c>
      <c r="FF181" s="5">
        <f t="shared" si="583"/>
        <v>88.160739139439826</v>
      </c>
      <c r="FI181" s="562">
        <f t="shared" si="584"/>
        <v>-50</v>
      </c>
      <c r="FJ181">
        <f t="shared" si="585"/>
        <v>-50</v>
      </c>
      <c r="FL181">
        <f t="shared" si="586"/>
        <v>0.55232558139534882</v>
      </c>
    </row>
    <row r="182" spans="5:168">
      <c r="E182" s="170">
        <v>72</v>
      </c>
      <c r="F182" s="217">
        <f t="shared" si="587"/>
        <v>7.1999999999999993</v>
      </c>
      <c r="G182" s="217"/>
      <c r="H182" s="217">
        <f t="shared" si="495"/>
        <v>107.99999999999999</v>
      </c>
      <c r="I182" s="541">
        <f t="shared" si="496"/>
        <v>18.346559409823094</v>
      </c>
      <c r="J182" s="172">
        <f t="shared" si="497"/>
        <v>15.792064354106145</v>
      </c>
      <c r="K182" s="172">
        <f t="shared" si="498"/>
        <v>34.138623763929239</v>
      </c>
      <c r="L182" s="443"/>
      <c r="M182" s="217">
        <f t="shared" si="499"/>
        <v>0.46257084200047843</v>
      </c>
      <c r="N182" s="172">
        <f t="shared" si="500"/>
        <v>212.36614220689955</v>
      </c>
      <c r="O182" s="172">
        <f t="shared" si="438"/>
        <v>107.99999999999999</v>
      </c>
      <c r="P182" s="217">
        <f t="shared" si="501"/>
        <v>14.157742813793304</v>
      </c>
      <c r="Q182" s="217">
        <f t="shared" si="502"/>
        <v>15</v>
      </c>
      <c r="R182" s="217"/>
      <c r="S182" s="172">
        <f t="shared" si="503"/>
        <v>45.516596953902535</v>
      </c>
      <c r="T182" s="536">
        <f t="shared" si="504"/>
        <v>15</v>
      </c>
      <c r="U182" s="217">
        <f t="shared" si="505"/>
        <v>26.794229128916772</v>
      </c>
      <c r="V182" s="217">
        <f t="shared" si="506"/>
        <v>17.525397670739707</v>
      </c>
      <c r="W182" s="217">
        <f t="shared" si="507"/>
        <v>20.360273510625547</v>
      </c>
      <c r="X182" s="197">
        <f t="shared" si="508"/>
        <v>70.723913008293209</v>
      </c>
      <c r="Y182" s="443">
        <f t="shared" si="509"/>
        <v>26.25659385751576</v>
      </c>
      <c r="AA182" s="217">
        <f t="shared" si="510"/>
        <v>10</v>
      </c>
      <c r="AB182" s="173">
        <f t="shared" si="511"/>
        <v>7.5987532287885102</v>
      </c>
      <c r="AC182" s="173">
        <f t="shared" si="512"/>
        <v>2.6870678116216284</v>
      </c>
      <c r="AD182" s="173"/>
      <c r="AE182" s="173">
        <f t="shared" si="513"/>
        <v>7.5987532287885102</v>
      </c>
      <c r="AF182" s="545">
        <f t="shared" si="514"/>
        <v>189.50477224927369</v>
      </c>
      <c r="AG182" s="528">
        <f t="shared" si="515"/>
        <v>2.6870678116216289</v>
      </c>
      <c r="AI182" s="173">
        <f t="shared" si="516"/>
        <v>7.358275656881144</v>
      </c>
      <c r="AJ182" s="173">
        <f t="shared" si="517"/>
        <v>26.794229128916772</v>
      </c>
      <c r="AK182" s="173">
        <f t="shared" si="518"/>
        <v>13.640169725123533</v>
      </c>
      <c r="AM182" s="545">
        <f t="shared" si="519"/>
        <v>7199.9999999999991</v>
      </c>
      <c r="AN182" s="460">
        <f t="shared" si="520"/>
        <v>26.25659385751576</v>
      </c>
      <c r="AP182">
        <f t="shared" si="521"/>
        <v>7199.9999999999991</v>
      </c>
      <c r="AQ182">
        <f t="shared" si="522"/>
        <v>26.25659385751576</v>
      </c>
      <c r="AS182" s="5">
        <f t="shared" si="439"/>
        <v>38.085671181365257</v>
      </c>
      <c r="AT182" s="5">
        <f t="shared" si="523"/>
        <v>17.525397670739707</v>
      </c>
      <c r="AU182" s="5">
        <f t="shared" si="478"/>
        <v>20.560273510625549</v>
      </c>
      <c r="AV182" s="5"/>
      <c r="AW182" s="173">
        <f t="shared" si="479"/>
        <v>0.46015724883206521</v>
      </c>
      <c r="AX182" s="173">
        <f t="shared" si="435"/>
        <v>113.10249114856056</v>
      </c>
      <c r="AY182" s="173">
        <f t="shared" si="436"/>
        <v>7.2323351841892238</v>
      </c>
      <c r="AZ182" s="173">
        <f t="shared" si="440"/>
        <v>15.6384470946281</v>
      </c>
      <c r="BA182" s="460">
        <f t="shared" si="594"/>
        <v>841.21908819550583</v>
      </c>
      <c r="BB182" s="5">
        <f t="shared" si="595"/>
        <v>41.734961167905659</v>
      </c>
      <c r="BD182" s="173">
        <f t="shared" si="441"/>
        <v>10.493823937413646</v>
      </c>
      <c r="BE182" s="173">
        <f t="shared" si="437"/>
        <v>11.366173383107514</v>
      </c>
      <c r="BG182" s="528">
        <f t="shared" si="480"/>
        <v>2.2024068165887125</v>
      </c>
      <c r="BH182" s="528">
        <f t="shared" si="524"/>
        <v>0.4503259094414494</v>
      </c>
      <c r="BI182" s="528">
        <f t="shared" si="525"/>
        <v>1.2042953977662724E-2</v>
      </c>
      <c r="BJ182" s="528">
        <f t="shared" si="481"/>
        <v>3.0600632635439783E-3</v>
      </c>
      <c r="BK182">
        <f t="shared" si="482"/>
        <v>8.2559517344203918E-3</v>
      </c>
      <c r="BL182" s="460">
        <f t="shared" si="588"/>
        <v>20.298905712083112</v>
      </c>
      <c r="BM182" s="528">
        <f t="shared" si="526"/>
        <v>6.8185171480220577</v>
      </c>
      <c r="BN182" s="460">
        <f t="shared" si="527"/>
        <v>6818.5171480220579</v>
      </c>
      <c r="BO182" s="528">
        <f t="shared" si="483"/>
        <v>5.0399999999999991</v>
      </c>
      <c r="BR182" s="460">
        <f t="shared" si="484"/>
        <v>5039.9999999999991</v>
      </c>
      <c r="BS182" s="528">
        <f t="shared" si="485"/>
        <v>3.303610224883069</v>
      </c>
      <c r="BT182" s="528">
        <f t="shared" si="486"/>
        <v>3.8756969212458503</v>
      </c>
      <c r="BU182" s="528">
        <f t="shared" si="487"/>
        <v>0.65640085444292351</v>
      </c>
      <c r="BV182" s="528"/>
      <c r="BW182" s="528">
        <f t="shared" si="488"/>
        <v>1.8850415191426766E-2</v>
      </c>
      <c r="BX182" s="460">
        <f t="shared" si="489"/>
        <v>7854.5584157632693</v>
      </c>
      <c r="BY182" s="173">
        <f t="shared" si="490"/>
        <v>15.570650110769058</v>
      </c>
      <c r="BZ182" s="5">
        <f t="shared" si="491"/>
        <v>107.99999999999999</v>
      </c>
      <c r="CA182" s="173">
        <f t="shared" si="492"/>
        <v>0.87399394518996643</v>
      </c>
      <c r="CB182" s="5">
        <f t="shared" si="493"/>
        <v>87.399394518996644</v>
      </c>
      <c r="CE182" s="562">
        <f t="shared" si="528"/>
        <v>-50</v>
      </c>
      <c r="CF182">
        <f t="shared" si="529"/>
        <v>-50</v>
      </c>
      <c r="CG182" s="173">
        <f t="shared" si="530"/>
        <v>0.55092996274158046</v>
      </c>
      <c r="CI182" s="170">
        <v>72</v>
      </c>
      <c r="CJ182" s="217">
        <f t="shared" si="589"/>
        <v>7.1999999999999993</v>
      </c>
      <c r="CK182" s="217"/>
      <c r="CL182" s="217">
        <f t="shared" si="531"/>
        <v>107.99999999999999</v>
      </c>
      <c r="CM182" s="541">
        <f t="shared" si="532"/>
        <v>19</v>
      </c>
      <c r="CN182" s="443">
        <f t="shared" si="533"/>
        <v>15.4</v>
      </c>
      <c r="CO182" s="443">
        <f t="shared" si="534"/>
        <v>34.4</v>
      </c>
      <c r="CP182" s="443"/>
      <c r="CQ182" s="217">
        <f t="shared" si="535"/>
        <v>0.44767441860465118</v>
      </c>
      <c r="CR182" s="172">
        <f t="shared" si="590"/>
        <v>212.84736191860466</v>
      </c>
      <c r="CS182" s="172">
        <f t="shared" si="536"/>
        <v>107.99999999999999</v>
      </c>
      <c r="CT182" s="217">
        <f t="shared" si="537"/>
        <v>14.189824127906977</v>
      </c>
      <c r="CU182" s="217">
        <f t="shared" si="538"/>
        <v>15</v>
      </c>
      <c r="CV182" s="217"/>
      <c r="CW182" s="172">
        <f t="shared" si="539"/>
        <v>47.132114121425047</v>
      </c>
      <c r="CX182" s="536">
        <f t="shared" si="540"/>
        <v>15</v>
      </c>
      <c r="CY182" s="217">
        <f t="shared" si="541"/>
        <v>25.394395078605601</v>
      </c>
      <c r="CZ182" s="217">
        <f t="shared" si="542"/>
        <v>16.038565312803538</v>
      </c>
      <c r="DA182" s="217">
        <f t="shared" si="543"/>
        <v>19.787840320991378</v>
      </c>
      <c r="DB182" s="197">
        <f t="shared" si="544"/>
        <v>70.881782945736433</v>
      </c>
      <c r="DC182" s="443">
        <f t="shared" si="545"/>
        <v>27.912373075369402</v>
      </c>
      <c r="DE182" s="217">
        <f t="shared" si="546"/>
        <v>10.000000000000002</v>
      </c>
      <c r="DF182" s="173">
        <f t="shared" si="547"/>
        <v>7.792207792207793</v>
      </c>
      <c r="DG182" s="173">
        <f t="shared" si="548"/>
        <v>2.7616279069767451</v>
      </c>
      <c r="DH182" s="173"/>
      <c r="DI182" s="173">
        <f t="shared" si="549"/>
        <v>7.7922077922077913</v>
      </c>
      <c r="DJ182" s="545">
        <f t="shared" si="550"/>
        <v>184.8</v>
      </c>
      <c r="DK182" s="528">
        <f t="shared" si="551"/>
        <v>2.7616279069767442</v>
      </c>
      <c r="DM182" s="173">
        <f t="shared" si="552"/>
        <v>7.2663608498339798</v>
      </c>
      <c r="DN182" s="173">
        <f t="shared" si="553"/>
        <v>25.394395078605601</v>
      </c>
      <c r="DO182" s="173">
        <f t="shared" si="554"/>
        <v>12.603255613781926</v>
      </c>
      <c r="DQ182" s="545">
        <f t="shared" si="555"/>
        <v>7199.9999999999991</v>
      </c>
      <c r="DR182" s="460">
        <f t="shared" si="556"/>
        <v>27.912373075369402</v>
      </c>
      <c r="DT182">
        <f t="shared" si="591"/>
        <v>7199.9999999999991</v>
      </c>
      <c r="DU182">
        <f t="shared" si="592"/>
        <v>27.912373075369402</v>
      </c>
      <c r="DW182" s="5">
        <f t="shared" si="557"/>
        <v>35.82640563379492</v>
      </c>
      <c r="DX182" s="5">
        <f t="shared" si="558"/>
        <v>16.038565312803538</v>
      </c>
      <c r="DY182" s="5">
        <f t="shared" si="559"/>
        <v>19.787840320991382</v>
      </c>
      <c r="DZ182" s="5"/>
      <c r="EA182" s="173">
        <f t="shared" si="560"/>
        <v>0.44767441860465113</v>
      </c>
      <c r="EB182" s="173">
        <f t="shared" si="561"/>
        <v>107.99999999999997</v>
      </c>
      <c r="EC182" s="173">
        <f t="shared" si="562"/>
        <v>7.0129870129870131</v>
      </c>
      <c r="ED182" s="173">
        <f t="shared" si="563"/>
        <v>15.399999999999995</v>
      </c>
      <c r="EE182" s="460">
        <f t="shared" si="564"/>
        <v>769.85113501456965</v>
      </c>
      <c r="EF182" s="5">
        <f t="shared" si="565"/>
        <v>38.785603532977653</v>
      </c>
      <c r="EH182" s="173">
        <f t="shared" si="566"/>
        <v>9.8097600315614848</v>
      </c>
      <c r="EI182" s="173">
        <f t="shared" si="567"/>
        <v>10.896193919252184</v>
      </c>
      <c r="EK182" s="528">
        <f t="shared" si="568"/>
        <v>1.9246278375364236</v>
      </c>
      <c r="EL182" s="528">
        <f t="shared" si="569"/>
        <v>0.48766666666666658</v>
      </c>
      <c r="EM182" s="528">
        <f t="shared" si="570"/>
        <v>3.4890466344211753E-3</v>
      </c>
      <c r="EN182" s="528">
        <f t="shared" si="571"/>
        <v>3.3030385802469133E-3</v>
      </c>
      <c r="EO182">
        <f t="shared" si="572"/>
        <v>8.5500000000000003E-3</v>
      </c>
      <c r="EP182" s="460">
        <f t="shared" si="573"/>
        <v>12.039046634421176</v>
      </c>
      <c r="EQ182" s="460"/>
      <c r="ER182" s="460">
        <f t="shared" si="593"/>
        <v>2427.6365894177584</v>
      </c>
      <c r="ES182" s="528">
        <f t="shared" si="574"/>
        <v>5.0399999999999991</v>
      </c>
      <c r="EV182" s="460">
        <f t="shared" si="494"/>
        <v>5039.9999999999991</v>
      </c>
      <c r="EW182" s="528">
        <f t="shared" si="575"/>
        <v>2.8869417563046351</v>
      </c>
      <c r="EX182" s="528">
        <f t="shared" si="576"/>
        <v>3.561811257778448</v>
      </c>
      <c r="EY182" s="528">
        <f t="shared" si="577"/>
        <v>0.66881589702681232</v>
      </c>
      <c r="EZ182" s="528"/>
      <c r="FA182" s="528">
        <f t="shared" si="578"/>
        <v>1.7999999999999995E-2</v>
      </c>
      <c r="FB182" s="460">
        <f t="shared" si="579"/>
        <v>7135.5689111098955</v>
      </c>
      <c r="FC182" s="173">
        <f t="shared" si="580"/>
        <v>14.603205500527654</v>
      </c>
      <c r="FD182" s="5">
        <f t="shared" si="581"/>
        <v>107.99999999999999</v>
      </c>
      <c r="FE182" s="173">
        <f t="shared" si="582"/>
        <v>0.88089050819748094</v>
      </c>
      <c r="FF182" s="5">
        <f t="shared" si="583"/>
        <v>88.089050819748095</v>
      </c>
      <c r="FI182" s="562">
        <f t="shared" si="584"/>
        <v>-50</v>
      </c>
      <c r="FJ182">
        <f t="shared" si="585"/>
        <v>-50</v>
      </c>
      <c r="FL182">
        <f t="shared" si="586"/>
        <v>0.55232558139534893</v>
      </c>
    </row>
    <row r="183" spans="5:168">
      <c r="E183" s="170">
        <v>73</v>
      </c>
      <c r="F183" s="217">
        <f t="shared" si="587"/>
        <v>7.3</v>
      </c>
      <c r="G183" s="217"/>
      <c r="H183" s="217">
        <f t="shared" si="495"/>
        <v>109.5</v>
      </c>
      <c r="I183" s="541">
        <f t="shared" si="496"/>
        <v>18.337506835538278</v>
      </c>
      <c r="J183" s="172">
        <f t="shared" si="497"/>
        <v>15.797495898677033</v>
      </c>
      <c r="K183" s="172">
        <f t="shared" si="498"/>
        <v>34.135002734215313</v>
      </c>
      <c r="L183" s="443"/>
      <c r="M183" s="217">
        <f t="shared" si="499"/>
        <v>0.46277903744462778</v>
      </c>
      <c r="N183" s="172">
        <f t="shared" si="500"/>
        <v>212.35689163897618</v>
      </c>
      <c r="O183" s="172">
        <f t="shared" si="438"/>
        <v>109.5</v>
      </c>
      <c r="P183" s="217">
        <f t="shared" si="501"/>
        <v>14.157126109265079</v>
      </c>
      <c r="Q183" s="217">
        <f t="shared" si="502"/>
        <v>15</v>
      </c>
      <c r="R183" s="217"/>
      <c r="S183" s="172">
        <f t="shared" si="503"/>
        <v>44.625083361918001</v>
      </c>
      <c r="T183" s="536">
        <f t="shared" si="504"/>
        <v>15</v>
      </c>
      <c r="U183" s="217">
        <f t="shared" si="505"/>
        <v>27.176899297735719</v>
      </c>
      <c r="V183" s="217">
        <f t="shared" si="506"/>
        <v>17.784467348680099</v>
      </c>
      <c r="W183" s="217">
        <f t="shared" si="507"/>
        <v>20.643954818189883</v>
      </c>
      <c r="X183" s="197">
        <f t="shared" si="508"/>
        <v>70.720830482510792</v>
      </c>
      <c r="Y183" s="443">
        <f t="shared" si="509"/>
        <v>25.887673995073481</v>
      </c>
      <c r="AA183" s="217">
        <f t="shared" si="510"/>
        <v>10</v>
      </c>
      <c r="AB183" s="173">
        <f t="shared" si="511"/>
        <v>7.5961406016284796</v>
      </c>
      <c r="AC183" s="173">
        <f t="shared" si="512"/>
        <v>2.6860268590454259</v>
      </c>
      <c r="AD183" s="173"/>
      <c r="AE183" s="173">
        <f t="shared" si="513"/>
        <v>7.5961406016284796</v>
      </c>
      <c r="AF183" s="545">
        <f t="shared" si="514"/>
        <v>192.20286676723725</v>
      </c>
      <c r="AG183" s="528">
        <f t="shared" si="515"/>
        <v>2.6860268590454259</v>
      </c>
      <c r="AI183" s="173">
        <f t="shared" si="516"/>
        <v>7.4104726428642334</v>
      </c>
      <c r="AJ183" s="173">
        <f t="shared" si="517"/>
        <v>27.176899297735719</v>
      </c>
      <c r="AK183" s="173">
        <f t="shared" si="518"/>
        <v>13.923629109433865</v>
      </c>
      <c r="AM183" s="545">
        <f t="shared" si="519"/>
        <v>7300</v>
      </c>
      <c r="AN183" s="460">
        <f t="shared" si="520"/>
        <v>25.887673995073481</v>
      </c>
      <c r="AP183">
        <f t="shared" si="521"/>
        <v>7300</v>
      </c>
      <c r="AQ183">
        <f t="shared" si="522"/>
        <v>25.887673995073481</v>
      </c>
      <c r="AS183" s="5">
        <f t="shared" si="439"/>
        <v>38.628422166869981</v>
      </c>
      <c r="AT183" s="5">
        <f t="shared" si="523"/>
        <v>17.784467348680099</v>
      </c>
      <c r="AU183" s="5">
        <f t="shared" si="478"/>
        <v>20.843954818189882</v>
      </c>
      <c r="AV183" s="5"/>
      <c r="AW183" s="173">
        <f t="shared" si="479"/>
        <v>0.4603984928986592</v>
      </c>
      <c r="AX183" s="173">
        <f t="shared" si="435"/>
        <v>114.72130840581754</v>
      </c>
      <c r="AY183" s="173">
        <f t="shared" si="436"/>
        <v>7.3323479096997826</v>
      </c>
      <c r="AZ183" s="173">
        <f t="shared" si="440"/>
        <v>15.645917217601683</v>
      </c>
      <c r="BA183" s="460">
        <f t="shared" si="594"/>
        <v>865.51074430243148</v>
      </c>
      <c r="BB183" s="5">
        <f t="shared" si="595"/>
        <v>42.919628644775869</v>
      </c>
      <c r="BD183" s="173">
        <f t="shared" si="441"/>
        <v>10.646484457690251</v>
      </c>
      <c r="BE183" s="173">
        <f t="shared" si="437"/>
        <v>11.525926738094252</v>
      </c>
      <c r="BG183" s="528">
        <f t="shared" si="480"/>
        <v>2.2669526261568014</v>
      </c>
      <c r="BH183" s="528">
        <f t="shared" si="524"/>
        <v>0.45029191580176969</v>
      </c>
      <c r="BI183" s="528">
        <f t="shared" si="525"/>
        <v>1.1867884971021161E-2</v>
      </c>
      <c r="BJ183" s="528">
        <f t="shared" si="481"/>
        <v>3.0164276620758016E-3</v>
      </c>
      <c r="BK183">
        <f t="shared" si="482"/>
        <v>8.2518780759922254E-3</v>
      </c>
      <c r="BL183" s="460">
        <f t="shared" si="588"/>
        <v>20.119763047013386</v>
      </c>
      <c r="BM183" s="528">
        <f t="shared" si="526"/>
        <v>7.2226701534376758</v>
      </c>
      <c r="BN183" s="460">
        <f t="shared" si="527"/>
        <v>7222.6701534376762</v>
      </c>
      <c r="BO183" s="528">
        <f t="shared" si="483"/>
        <v>5.1099999999999994</v>
      </c>
      <c r="BR183" s="460">
        <f t="shared" si="484"/>
        <v>5109.9999999999991</v>
      </c>
      <c r="BS183" s="528">
        <f t="shared" si="485"/>
        <v>3.4004289392352023</v>
      </c>
      <c r="BT183" s="528">
        <f t="shared" si="486"/>
        <v>3.9854096151574807</v>
      </c>
      <c r="BU183" s="528">
        <f t="shared" si="487"/>
        <v>0.65645104549420119</v>
      </c>
      <c r="BV183" s="528"/>
      <c r="BW183" s="528">
        <f t="shared" si="488"/>
        <v>1.9120218067636259E-2</v>
      </c>
      <c r="BX183" s="460">
        <f t="shared" si="489"/>
        <v>8061.4098179545199</v>
      </c>
      <c r="BY183" s="173">
        <f t="shared" si="490"/>
        <v>15.911790550622179</v>
      </c>
      <c r="BZ183" s="5">
        <f t="shared" si="491"/>
        <v>109.5</v>
      </c>
      <c r="CA183" s="173">
        <f t="shared" si="492"/>
        <v>0.8731236474596108</v>
      </c>
      <c r="CB183" s="5">
        <f t="shared" si="493"/>
        <v>87.312364745961077</v>
      </c>
      <c r="CE183" s="562">
        <f t="shared" si="528"/>
        <v>-50</v>
      </c>
      <c r="CF183">
        <f t="shared" si="529"/>
        <v>-50</v>
      </c>
      <c r="CG183" s="173">
        <f t="shared" si="530"/>
        <v>0.55094908080533067</v>
      </c>
      <c r="CI183" s="170">
        <v>73</v>
      </c>
      <c r="CJ183" s="217">
        <f t="shared" si="589"/>
        <v>7.3</v>
      </c>
      <c r="CK183" s="217"/>
      <c r="CL183" s="217">
        <f t="shared" si="531"/>
        <v>109.5</v>
      </c>
      <c r="CM183" s="541">
        <f t="shared" si="532"/>
        <v>19</v>
      </c>
      <c r="CN183" s="443">
        <f t="shared" si="533"/>
        <v>15.4</v>
      </c>
      <c r="CO183" s="443">
        <f t="shared" si="534"/>
        <v>34.4</v>
      </c>
      <c r="CP183" s="443"/>
      <c r="CQ183" s="217">
        <f t="shared" si="535"/>
        <v>0.44767441860465118</v>
      </c>
      <c r="CR183" s="172">
        <f t="shared" si="590"/>
        <v>212.84736191860466</v>
      </c>
      <c r="CS183" s="172">
        <f t="shared" si="536"/>
        <v>109.5</v>
      </c>
      <c r="CT183" s="217">
        <f t="shared" si="537"/>
        <v>14.189824127906977</v>
      </c>
      <c r="CU183" s="217">
        <f t="shared" si="538"/>
        <v>15</v>
      </c>
      <c r="CV183" s="217"/>
      <c r="CW183" s="172">
        <f t="shared" si="539"/>
        <v>46.231473204236181</v>
      </c>
      <c r="CX183" s="536">
        <f t="shared" si="540"/>
        <v>15</v>
      </c>
      <c r="CY183" s="217">
        <f t="shared" si="541"/>
        <v>25.747095010252902</v>
      </c>
      <c r="CZ183" s="217">
        <f t="shared" si="542"/>
        <v>16.261323164370253</v>
      </c>
      <c r="DA183" s="217">
        <f t="shared" si="543"/>
        <v>20.062671436560706</v>
      </c>
      <c r="DB183" s="197">
        <f t="shared" si="544"/>
        <v>70.881782945736433</v>
      </c>
      <c r="DC183" s="443">
        <f t="shared" si="545"/>
        <v>27.530011800364345</v>
      </c>
      <c r="DE183" s="217">
        <f t="shared" si="546"/>
        <v>10.000000000000002</v>
      </c>
      <c r="DF183" s="173">
        <f t="shared" si="547"/>
        <v>7.792207792207793</v>
      </c>
      <c r="DG183" s="173">
        <f t="shared" si="548"/>
        <v>2.7616279069767451</v>
      </c>
      <c r="DH183" s="173"/>
      <c r="DI183" s="173">
        <f t="shared" si="549"/>
        <v>7.7922077922077913</v>
      </c>
      <c r="DJ183" s="545">
        <f t="shared" si="550"/>
        <v>187.36666666666665</v>
      </c>
      <c r="DK183" s="528">
        <f t="shared" si="551"/>
        <v>2.7616279069767442</v>
      </c>
      <c r="DM183" s="173">
        <f t="shared" si="552"/>
        <v>7.316647684105976</v>
      </c>
      <c r="DN183" s="173">
        <f t="shared" si="553"/>
        <v>25.747095010252902</v>
      </c>
      <c r="DO183" s="173">
        <f t="shared" si="554"/>
        <v>12.864514822409557</v>
      </c>
      <c r="DQ183" s="545">
        <f t="shared" si="555"/>
        <v>7300</v>
      </c>
      <c r="DR183" s="460">
        <f t="shared" si="556"/>
        <v>27.530011800364345</v>
      </c>
      <c r="DT183">
        <f t="shared" si="591"/>
        <v>7300</v>
      </c>
      <c r="DU183">
        <f t="shared" si="592"/>
        <v>27.530011800364345</v>
      </c>
      <c r="DW183" s="5">
        <f t="shared" si="557"/>
        <v>36.323994600930959</v>
      </c>
      <c r="DX183" s="5">
        <f t="shared" si="558"/>
        <v>16.261323164370253</v>
      </c>
      <c r="DY183" s="5">
        <f t="shared" si="559"/>
        <v>20.062671436560706</v>
      </c>
      <c r="DZ183" s="5"/>
      <c r="EA183" s="173">
        <f t="shared" si="560"/>
        <v>0.44767441860465113</v>
      </c>
      <c r="EB183" s="173">
        <f t="shared" si="561"/>
        <v>109.49999999999999</v>
      </c>
      <c r="EC183" s="173">
        <f t="shared" si="562"/>
        <v>7.1103896103896105</v>
      </c>
      <c r="ED183" s="173">
        <f t="shared" si="563"/>
        <v>15.399999999999999</v>
      </c>
      <c r="EE183" s="460">
        <f t="shared" si="564"/>
        <v>791.38439399935226</v>
      </c>
      <c r="EF183" s="5">
        <f t="shared" si="565"/>
        <v>39.870463199698676</v>
      </c>
      <c r="EH183" s="173">
        <f t="shared" si="566"/>
        <v>9.9460066986665066</v>
      </c>
      <c r="EI183" s="173">
        <f t="shared" si="567"/>
        <v>11.047529945908463</v>
      </c>
      <c r="EK183" s="528">
        <f t="shared" si="568"/>
        <v>1.9784609849983803</v>
      </c>
      <c r="EL183" s="528">
        <f t="shared" si="569"/>
        <v>0.48766666666666664</v>
      </c>
      <c r="EM183" s="528">
        <f t="shared" si="570"/>
        <v>3.441251475045543E-3</v>
      </c>
      <c r="EN183" s="528">
        <f t="shared" si="571"/>
        <v>3.2577914764079148E-3</v>
      </c>
      <c r="EO183">
        <f t="shared" si="572"/>
        <v>8.5500000000000003E-3</v>
      </c>
      <c r="EP183" s="460">
        <f t="shared" si="573"/>
        <v>11.991251475045543</v>
      </c>
      <c r="EQ183" s="460"/>
      <c r="ER183" s="460">
        <f t="shared" si="593"/>
        <v>2481.3766946165006</v>
      </c>
      <c r="ES183" s="528">
        <f t="shared" si="574"/>
        <v>5.1099999999999994</v>
      </c>
      <c r="EV183" s="460">
        <f t="shared" si="494"/>
        <v>5109.9999999999991</v>
      </c>
      <c r="EW183" s="528">
        <f t="shared" si="575"/>
        <v>2.9676914774975702</v>
      </c>
      <c r="EX183" s="528">
        <f t="shared" si="576"/>
        <v>3.6614375371723273</v>
      </c>
      <c r="EY183" s="528">
        <f t="shared" si="577"/>
        <v>0.66881589702681343</v>
      </c>
      <c r="EZ183" s="528"/>
      <c r="FA183" s="528">
        <f t="shared" si="578"/>
        <v>1.8249999999999999E-2</v>
      </c>
      <c r="FB183" s="460">
        <f t="shared" si="579"/>
        <v>7316.1949116967116</v>
      </c>
      <c r="FC183" s="173">
        <f t="shared" si="580"/>
        <v>14.907571606313212</v>
      </c>
      <c r="FD183" s="5">
        <f t="shared" si="581"/>
        <v>109.5</v>
      </c>
      <c r="FE183" s="173">
        <f t="shared" si="582"/>
        <v>0.88017150874475625</v>
      </c>
      <c r="FF183" s="5">
        <f t="shared" si="583"/>
        <v>88.017150874475618</v>
      </c>
      <c r="FI183" s="562">
        <f t="shared" si="584"/>
        <v>-50</v>
      </c>
      <c r="FJ183">
        <f t="shared" si="585"/>
        <v>-50</v>
      </c>
      <c r="FL183">
        <f t="shared" si="586"/>
        <v>0.55232558139534893</v>
      </c>
    </row>
    <row r="184" spans="5:168">
      <c r="E184" s="170">
        <v>74</v>
      </c>
      <c r="F184" s="217">
        <f t="shared" si="587"/>
        <v>7.4</v>
      </c>
      <c r="G184" s="217"/>
      <c r="H184" s="217">
        <f t="shared" si="495"/>
        <v>111</v>
      </c>
      <c r="I184" s="541">
        <f t="shared" si="496"/>
        <v>18.328454259701157</v>
      </c>
      <c r="J184" s="172">
        <f t="shared" si="497"/>
        <v>15.802927444179305</v>
      </c>
      <c r="K184" s="172">
        <f t="shared" si="498"/>
        <v>34.131381703880464</v>
      </c>
      <c r="L184" s="443"/>
      <c r="M184" s="217">
        <f t="shared" si="499"/>
        <v>0.46298727708599013</v>
      </c>
      <c r="N184" s="172">
        <f t="shared" si="500"/>
        <v>212.34756699921266</v>
      </c>
      <c r="O184" s="172">
        <f t="shared" si="438"/>
        <v>111</v>
      </c>
      <c r="P184" s="217">
        <f t="shared" si="501"/>
        <v>14.156504466614177</v>
      </c>
      <c r="Q184" s="217">
        <f t="shared" si="502"/>
        <v>15</v>
      </c>
      <c r="R184" s="217"/>
      <c r="S184" s="172">
        <f t="shared" si="503"/>
        <v>43.758025351776304</v>
      </c>
      <c r="T184" s="536">
        <f t="shared" si="504"/>
        <v>15</v>
      </c>
      <c r="U184" s="217">
        <f t="shared" si="505"/>
        <v>27.559868450956383</v>
      </c>
      <c r="V184" s="217">
        <f t="shared" si="506"/>
        <v>18.043988692414093</v>
      </c>
      <c r="W184" s="217">
        <f t="shared" si="507"/>
        <v>20.927668153870453</v>
      </c>
      <c r="X184" s="197">
        <f t="shared" si="508"/>
        <v>70.717723292238901</v>
      </c>
      <c r="Y184" s="443">
        <f t="shared" si="509"/>
        <v>25.528662316331165</v>
      </c>
      <c r="AA184" s="217">
        <f t="shared" si="510"/>
        <v>10.000000000000002</v>
      </c>
      <c r="AB184" s="173">
        <f t="shared" si="511"/>
        <v>7.5935297699667439</v>
      </c>
      <c r="AC184" s="173">
        <f t="shared" si="512"/>
        <v>2.6849856854194338</v>
      </c>
      <c r="AD184" s="173"/>
      <c r="AE184" s="173">
        <f t="shared" si="513"/>
        <v>7.5935297699667421</v>
      </c>
      <c r="AF184" s="545">
        <f t="shared" si="514"/>
        <v>194.90277181154477</v>
      </c>
      <c r="AG184" s="528">
        <f t="shared" si="515"/>
        <v>2.6849856854194329</v>
      </c>
      <c r="AI184" s="173">
        <f t="shared" si="516"/>
        <v>7.4623391930325669</v>
      </c>
      <c r="AJ184" s="173">
        <f t="shared" si="517"/>
        <v>27.559868450956383</v>
      </c>
      <c r="AK184" s="173">
        <f t="shared" si="518"/>
        <v>14.207309963671396</v>
      </c>
      <c r="AM184" s="545">
        <f t="shared" si="519"/>
        <v>7400</v>
      </c>
      <c r="AN184" s="460">
        <f t="shared" si="520"/>
        <v>25.528662316331165</v>
      </c>
      <c r="AP184">
        <f t="shared" si="521"/>
        <v>7400</v>
      </c>
      <c r="AQ184">
        <f t="shared" si="522"/>
        <v>25.528662316331165</v>
      </c>
      <c r="AS184" s="5">
        <f t="shared" si="439"/>
        <v>39.171656846284549</v>
      </c>
      <c r="AT184" s="5">
        <f t="shared" si="523"/>
        <v>18.043988692414093</v>
      </c>
      <c r="AU184" s="5">
        <f t="shared" si="478"/>
        <v>21.127668153870456</v>
      </c>
      <c r="AV184" s="5"/>
      <c r="AW184" s="173">
        <f t="shared" si="479"/>
        <v>0.46063889416833731</v>
      </c>
      <c r="AX184" s="173">
        <f t="shared" si="435"/>
        <v>116.34121354855037</v>
      </c>
      <c r="AY184" s="173">
        <f t="shared" si="436"/>
        <v>7.4323605621414943</v>
      </c>
      <c r="AZ184" s="173">
        <f t="shared" si="440"/>
        <v>15.653332824185382</v>
      </c>
      <c r="BA184" s="460">
        <f t="shared" si="594"/>
        <v>890.17010882576187</v>
      </c>
      <c r="BB184" s="5">
        <f t="shared" si="595"/>
        <v>44.121544601525294</v>
      </c>
      <c r="BD184" s="173">
        <f t="shared" si="441"/>
        <v>10.799330076269074</v>
      </c>
      <c r="BE184" s="173">
        <f t="shared" si="437"/>
        <v>11.685742862499751</v>
      </c>
      <c r="BG184" s="528">
        <f t="shared" si="480"/>
        <v>2.3325106019241959</v>
      </c>
      <c r="BH184" s="528">
        <f t="shared" si="524"/>
        <v>0.45025686245842328</v>
      </c>
      <c r="BI184" s="528">
        <f t="shared" si="525"/>
        <v>1.1697522989405809E-2</v>
      </c>
      <c r="BJ184" s="528">
        <f t="shared" si="481"/>
        <v>2.973964623420013E-3</v>
      </c>
      <c r="BK184">
        <f t="shared" si="482"/>
        <v>8.2478044168655205E-3</v>
      </c>
      <c r="BL184" s="460">
        <f t="shared" si="588"/>
        <v>19.945327406271328</v>
      </c>
      <c r="BM184" s="528">
        <f t="shared" si="526"/>
        <v>7.6616283413094255</v>
      </c>
      <c r="BN184" s="460">
        <f t="shared" si="527"/>
        <v>7661.6283413094252</v>
      </c>
      <c r="BO184" s="528">
        <f t="shared" si="483"/>
        <v>5.18</v>
      </c>
      <c r="BR184" s="460">
        <f t="shared" si="484"/>
        <v>5180</v>
      </c>
      <c r="BS184" s="528">
        <f t="shared" si="485"/>
        <v>3.4987659028862939</v>
      </c>
      <c r="BT184" s="528">
        <f t="shared" si="486"/>
        <v>4.0966975874539164</v>
      </c>
      <c r="BU184" s="528">
        <f t="shared" si="487"/>
        <v>0.65649738676699942</v>
      </c>
      <c r="BV184" s="528"/>
      <c r="BW184" s="528">
        <f t="shared" si="488"/>
        <v>1.9390202258091731E-2</v>
      </c>
      <c r="BX184" s="460">
        <f t="shared" si="489"/>
        <v>8271.3510793653004</v>
      </c>
      <c r="BY184" s="173">
        <f t="shared" si="490"/>
        <v>16.257037835777613</v>
      </c>
      <c r="BZ184" s="5">
        <f t="shared" si="491"/>
        <v>111</v>
      </c>
      <c r="CA184" s="173">
        <f t="shared" si="492"/>
        <v>0.87225038306520264</v>
      </c>
      <c r="CB184" s="5">
        <f t="shared" si="493"/>
        <v>87.225038306520261</v>
      </c>
      <c r="CE184" s="562">
        <f t="shared" si="528"/>
        <v>-50</v>
      </c>
      <c r="CF184">
        <f t="shared" si="529"/>
        <v>-50</v>
      </c>
      <c r="CG184" s="173">
        <f t="shared" si="530"/>
        <v>0.5509676821646553</v>
      </c>
      <c r="CI184" s="170">
        <v>74</v>
      </c>
      <c r="CJ184" s="217">
        <f t="shared" si="589"/>
        <v>7.4</v>
      </c>
      <c r="CK184" s="217"/>
      <c r="CL184" s="217">
        <f t="shared" si="531"/>
        <v>111</v>
      </c>
      <c r="CM184" s="541">
        <f t="shared" si="532"/>
        <v>19</v>
      </c>
      <c r="CN184" s="443">
        <f t="shared" si="533"/>
        <v>15.4</v>
      </c>
      <c r="CO184" s="443">
        <f t="shared" si="534"/>
        <v>34.4</v>
      </c>
      <c r="CP184" s="443"/>
      <c r="CQ184" s="217">
        <f t="shared" si="535"/>
        <v>0.44767441860465118</v>
      </c>
      <c r="CR184" s="172">
        <f t="shared" si="590"/>
        <v>212.84736191860466</v>
      </c>
      <c r="CS184" s="172">
        <f t="shared" si="536"/>
        <v>111</v>
      </c>
      <c r="CT184" s="217">
        <f t="shared" si="537"/>
        <v>14.189824127906977</v>
      </c>
      <c r="CU184" s="217">
        <f t="shared" si="538"/>
        <v>15</v>
      </c>
      <c r="CV184" s="217"/>
      <c r="CW184" s="172">
        <f t="shared" si="539"/>
        <v>45.355290201041733</v>
      </c>
      <c r="CX184" s="536">
        <f t="shared" si="540"/>
        <v>15</v>
      </c>
      <c r="CY184" s="217">
        <f t="shared" si="541"/>
        <v>26.099794941900203</v>
      </c>
      <c r="CZ184" s="217">
        <f t="shared" si="542"/>
        <v>16.484081015936969</v>
      </c>
      <c r="DA184" s="217">
        <f t="shared" si="543"/>
        <v>20.337502552130026</v>
      </c>
      <c r="DB184" s="197">
        <f t="shared" si="544"/>
        <v>70.881782945736433</v>
      </c>
      <c r="DC184" s="443">
        <f t="shared" si="545"/>
        <v>27.157984613872934</v>
      </c>
      <c r="DE184" s="217">
        <f t="shared" si="546"/>
        <v>10.000000000000002</v>
      </c>
      <c r="DF184" s="173">
        <f t="shared" si="547"/>
        <v>7.792207792207793</v>
      </c>
      <c r="DG184" s="173">
        <f t="shared" si="548"/>
        <v>2.7616279069767451</v>
      </c>
      <c r="DH184" s="173"/>
      <c r="DI184" s="173">
        <f t="shared" si="549"/>
        <v>7.7922077922077913</v>
      </c>
      <c r="DJ184" s="545">
        <f t="shared" si="550"/>
        <v>189.93333333333334</v>
      </c>
      <c r="DK184" s="528">
        <f t="shared" si="551"/>
        <v>2.7616279069767442</v>
      </c>
      <c r="DM184" s="173">
        <f t="shared" si="552"/>
        <v>7.3665912514993437</v>
      </c>
      <c r="DN184" s="173">
        <f t="shared" si="553"/>
        <v>26.099794941900203</v>
      </c>
      <c r="DO184" s="173">
        <f t="shared" si="554"/>
        <v>13.125774031037187</v>
      </c>
      <c r="DQ184" s="545">
        <f t="shared" si="555"/>
        <v>7400</v>
      </c>
      <c r="DR184" s="460">
        <f t="shared" si="556"/>
        <v>27.157984613872934</v>
      </c>
      <c r="DT184">
        <f t="shared" si="591"/>
        <v>7400</v>
      </c>
      <c r="DU184">
        <f t="shared" si="592"/>
        <v>27.157984613872934</v>
      </c>
      <c r="DW184" s="5">
        <f t="shared" si="557"/>
        <v>36.821583568066998</v>
      </c>
      <c r="DX184" s="5">
        <f t="shared" si="558"/>
        <v>16.484081015936969</v>
      </c>
      <c r="DY184" s="5">
        <f t="shared" si="559"/>
        <v>20.337502552130029</v>
      </c>
      <c r="DZ184" s="5"/>
      <c r="EA184" s="173">
        <f t="shared" si="560"/>
        <v>0.44767441860465113</v>
      </c>
      <c r="EB184" s="173">
        <f t="shared" si="561"/>
        <v>111</v>
      </c>
      <c r="EC184" s="173">
        <f t="shared" si="562"/>
        <v>7.2077922077922087</v>
      </c>
      <c r="ED184" s="173">
        <f t="shared" si="563"/>
        <v>15.399999999999999</v>
      </c>
      <c r="EE184" s="460">
        <f t="shared" si="564"/>
        <v>813.21466345289048</v>
      </c>
      <c r="EF184" s="5">
        <f t="shared" si="565"/>
        <v>40.970286448029633</v>
      </c>
      <c r="EH184" s="173">
        <f t="shared" si="566"/>
        <v>10.082253365771527</v>
      </c>
      <c r="EI184" s="173">
        <f t="shared" si="567"/>
        <v>11.198865972564745</v>
      </c>
      <c r="EK184" s="528">
        <f t="shared" si="568"/>
        <v>2.0330366586322257</v>
      </c>
      <c r="EL184" s="528">
        <f t="shared" si="569"/>
        <v>0.48766666666666664</v>
      </c>
      <c r="EM184" s="528">
        <f t="shared" si="570"/>
        <v>3.3947480767341164E-3</v>
      </c>
      <c r="EN184" s="528">
        <f t="shared" si="571"/>
        <v>3.2137672672672671E-3</v>
      </c>
      <c r="EO184">
        <f t="shared" si="572"/>
        <v>8.5500000000000003E-3</v>
      </c>
      <c r="EP184" s="460">
        <f t="shared" si="573"/>
        <v>11.944748076734117</v>
      </c>
      <c r="EQ184" s="460"/>
      <c r="ER184" s="460">
        <f t="shared" si="593"/>
        <v>2535.8618406428936</v>
      </c>
      <c r="ES184" s="528">
        <f t="shared" si="574"/>
        <v>5.18</v>
      </c>
      <c r="EV184" s="460">
        <f t="shared" si="494"/>
        <v>5180</v>
      </c>
      <c r="EW184" s="528">
        <f t="shared" si="575"/>
        <v>3.0495549879483383</v>
      </c>
      <c r="EX184" s="528">
        <f t="shared" si="576"/>
        <v>3.7624379721440548</v>
      </c>
      <c r="EY184" s="528">
        <f t="shared" si="577"/>
        <v>0.66881589702681354</v>
      </c>
      <c r="EZ184" s="528"/>
      <c r="FA184" s="528">
        <f t="shared" si="578"/>
        <v>1.8499999999999999E-2</v>
      </c>
      <c r="FB184" s="460">
        <f t="shared" si="579"/>
        <v>7499.3088571192066</v>
      </c>
      <c r="FC184" s="173">
        <f t="shared" si="580"/>
        <v>15.215170697762099</v>
      </c>
      <c r="FD184" s="5">
        <f t="shared" si="581"/>
        <v>111</v>
      </c>
      <c r="FE184" s="173">
        <f t="shared" si="582"/>
        <v>0.87945053979131627</v>
      </c>
      <c r="FF184" s="5">
        <f t="shared" si="583"/>
        <v>87.945053979131629</v>
      </c>
      <c r="FI184" s="562">
        <f t="shared" si="584"/>
        <v>-50</v>
      </c>
      <c r="FJ184">
        <f t="shared" si="585"/>
        <v>-50</v>
      </c>
      <c r="FL184">
        <f t="shared" si="586"/>
        <v>0.55232558139534893</v>
      </c>
    </row>
    <row r="185" spans="5:168">
      <c r="E185" s="170">
        <v>75</v>
      </c>
      <c r="F185" s="217">
        <f t="shared" si="587"/>
        <v>7.5</v>
      </c>
      <c r="G185" s="217"/>
      <c r="H185" s="217">
        <f t="shared" si="495"/>
        <v>112.5</v>
      </c>
      <c r="I185" s="541">
        <f t="shared" si="496"/>
        <v>18.319401682373975</v>
      </c>
      <c r="J185" s="172">
        <f t="shared" si="497"/>
        <v>15.808358990575615</v>
      </c>
      <c r="K185" s="172">
        <f t="shared" si="498"/>
        <v>34.127760672949591</v>
      </c>
      <c r="L185" s="443"/>
      <c r="M185" s="217">
        <f t="shared" si="499"/>
        <v>0.46319556093781761</v>
      </c>
      <c r="N185" s="172">
        <f t="shared" si="500"/>
        <v>212.33816826434523</v>
      </c>
      <c r="O185" s="172">
        <f t="shared" si="438"/>
        <v>112.5</v>
      </c>
      <c r="P185" s="217">
        <f t="shared" si="501"/>
        <v>14.155877884289682</v>
      </c>
      <c r="Q185" s="217">
        <f t="shared" si="502"/>
        <v>15</v>
      </c>
      <c r="R185" s="217"/>
      <c r="S185" s="172">
        <f t="shared" si="503"/>
        <v>42.914446496911829</v>
      </c>
      <c r="T185" s="536">
        <f t="shared" si="504"/>
        <v>15</v>
      </c>
      <c r="U185" s="217">
        <f t="shared" si="505"/>
        <v>27.943137031812864</v>
      </c>
      <c r="V185" s="217">
        <f t="shared" si="506"/>
        <v>18.303962661858137</v>
      </c>
      <c r="W185" s="217">
        <f t="shared" si="507"/>
        <v>21.211413821109382</v>
      </c>
      <c r="X185" s="197">
        <f t="shared" si="508"/>
        <v>70.714591429635789</v>
      </c>
      <c r="Y185" s="443">
        <f t="shared" si="509"/>
        <v>25.179164559320334</v>
      </c>
      <c r="AA185" s="217">
        <f t="shared" si="510"/>
        <v>9.9999999999999982</v>
      </c>
      <c r="AB185" s="173">
        <f t="shared" si="511"/>
        <v>7.5909207319709617</v>
      </c>
      <c r="AC185" s="173">
        <f t="shared" si="512"/>
        <v>2.6839442906803916</v>
      </c>
      <c r="AD185" s="173"/>
      <c r="AE185" s="173">
        <f t="shared" si="513"/>
        <v>7.5909207319709635</v>
      </c>
      <c r="AF185" s="545">
        <f t="shared" si="514"/>
        <v>197.60448738219517</v>
      </c>
      <c r="AG185" s="528">
        <f t="shared" si="515"/>
        <v>2.6839442906803925</v>
      </c>
      <c r="AI185" s="173">
        <f t="shared" si="516"/>
        <v>7.5138821501499136</v>
      </c>
      <c r="AJ185" s="173">
        <f t="shared" si="517"/>
        <v>27.943137031812864</v>
      </c>
      <c r="AK185" s="173">
        <f t="shared" si="518"/>
        <v>14.491212616157677</v>
      </c>
      <c r="AM185" s="545">
        <f t="shared" si="519"/>
        <v>7500</v>
      </c>
      <c r="AN185" s="460">
        <f t="shared" si="520"/>
        <v>25.179164559320334</v>
      </c>
      <c r="AP185">
        <f t="shared" si="521"/>
        <v>7500</v>
      </c>
      <c r="AQ185">
        <f t="shared" si="522"/>
        <v>25.179164559320334</v>
      </c>
      <c r="AS185" s="5">
        <f t="shared" si="439"/>
        <v>39.715376482967514</v>
      </c>
      <c r="AT185" s="5">
        <f t="shared" si="523"/>
        <v>18.303962661858137</v>
      </c>
      <c r="AU185" s="5">
        <f t="shared" si="478"/>
        <v>21.411413821109377</v>
      </c>
      <c r="AV185" s="5"/>
      <c r="AW185" s="173">
        <f t="shared" si="479"/>
        <v>0.46087848795058112</v>
      </c>
      <c r="AX185" s="173">
        <f t="shared" si="435"/>
        <v>117.96220652928261</v>
      </c>
      <c r="AY185" s="173">
        <f t="shared" si="436"/>
        <v>7.5323731439975301</v>
      </c>
      <c r="AZ185" s="173">
        <f t="shared" si="440"/>
        <v>15.66069607468736</v>
      </c>
      <c r="BA185" s="460">
        <f t="shared" si="594"/>
        <v>915.19813309290691</v>
      </c>
      <c r="BB185" s="5">
        <f t="shared" si="595"/>
        <v>45.340737963910499</v>
      </c>
      <c r="BD185" s="173">
        <f t="shared" si="441"/>
        <v>10.952361043837858</v>
      </c>
      <c r="BE185" s="173">
        <f t="shared" si="437"/>
        <v>11.845621833613466</v>
      </c>
      <c r="BG185" s="528">
        <f t="shared" si="480"/>
        <v>2.3990842486915418</v>
      </c>
      <c r="BH185" s="528">
        <f t="shared" si="524"/>
        <v>0.45022078546302668</v>
      </c>
      <c r="BI185" s="528">
        <f t="shared" si="525"/>
        <v>1.1531680739719602E-2</v>
      </c>
      <c r="BJ185" s="528">
        <f t="shared" si="481"/>
        <v>2.9326274901350213E-3</v>
      </c>
      <c r="BK185">
        <f t="shared" si="482"/>
        <v>8.2437307570682877E-3</v>
      </c>
      <c r="BL185" s="460">
        <f t="shared" si="588"/>
        <v>19.775411496787889</v>
      </c>
      <c r="BM185" s="528">
        <f t="shared" si="526"/>
        <v>8.1399369435795581</v>
      </c>
      <c r="BN185" s="460">
        <f t="shared" si="527"/>
        <v>8139.9369435795579</v>
      </c>
      <c r="BO185" s="528">
        <f t="shared" si="483"/>
        <v>5.25</v>
      </c>
      <c r="BR185" s="460">
        <f t="shared" si="484"/>
        <v>5250</v>
      </c>
      <c r="BS185" s="528">
        <f t="shared" si="485"/>
        <v>3.5986263730373125</v>
      </c>
      <c r="BT185" s="528">
        <f t="shared" si="486"/>
        <v>4.2095626987494015</v>
      </c>
      <c r="BU185" s="528">
        <f t="shared" si="487"/>
        <v>0.65654000797629219</v>
      </c>
      <c r="BV185" s="528"/>
      <c r="BW185" s="528">
        <f t="shared" si="488"/>
        <v>1.9660367754880441E-2</v>
      </c>
      <c r="BX185" s="460">
        <f t="shared" si="489"/>
        <v>8484.3894475178877</v>
      </c>
      <c r="BY185" s="173">
        <f t="shared" si="490"/>
        <v>16.60640252065938</v>
      </c>
      <c r="BZ185" s="5">
        <f t="shared" si="491"/>
        <v>112.5</v>
      </c>
      <c r="CA185" s="173">
        <f t="shared" si="492"/>
        <v>0.87137429130982058</v>
      </c>
      <c r="CB185" s="5">
        <f t="shared" si="493"/>
        <v>87.137429130982056</v>
      </c>
      <c r="CE185" s="562">
        <f t="shared" si="528"/>
        <v>-50</v>
      </c>
      <c r="CF185">
        <f t="shared" si="529"/>
        <v>-50</v>
      </c>
      <c r="CG185" s="173">
        <f t="shared" si="530"/>
        <v>0.55098578748773097</v>
      </c>
      <c r="CI185" s="170">
        <v>75</v>
      </c>
      <c r="CJ185" s="217">
        <f t="shared" si="589"/>
        <v>7.5</v>
      </c>
      <c r="CK185" s="217"/>
      <c r="CL185" s="217">
        <f t="shared" si="531"/>
        <v>112.5</v>
      </c>
      <c r="CM185" s="541">
        <f t="shared" si="532"/>
        <v>19</v>
      </c>
      <c r="CN185" s="443">
        <f t="shared" si="533"/>
        <v>15.4</v>
      </c>
      <c r="CO185" s="443">
        <f t="shared" si="534"/>
        <v>34.4</v>
      </c>
      <c r="CP185" s="443"/>
      <c r="CQ185" s="217">
        <f t="shared" si="535"/>
        <v>0.44767441860465118</v>
      </c>
      <c r="CR185" s="172">
        <f t="shared" si="590"/>
        <v>212.84736191860466</v>
      </c>
      <c r="CS185" s="172">
        <f t="shared" si="536"/>
        <v>112.5</v>
      </c>
      <c r="CT185" s="217">
        <f t="shared" si="537"/>
        <v>14.189824127906977</v>
      </c>
      <c r="CU185" s="217">
        <f t="shared" si="538"/>
        <v>15</v>
      </c>
      <c r="CV185" s="217"/>
      <c r="CW185" s="172">
        <f t="shared" si="539"/>
        <v>44.502588608707946</v>
      </c>
      <c r="CX185" s="536">
        <f t="shared" si="540"/>
        <v>15</v>
      </c>
      <c r="CY185" s="217">
        <f t="shared" si="541"/>
        <v>26.452494873547504</v>
      </c>
      <c r="CZ185" s="217">
        <f t="shared" si="542"/>
        <v>16.706838867503688</v>
      </c>
      <c r="DA185" s="217">
        <f t="shared" si="543"/>
        <v>20.612333667699353</v>
      </c>
      <c r="DB185" s="197">
        <f t="shared" si="544"/>
        <v>70.881782945736433</v>
      </c>
      <c r="DC185" s="443">
        <f t="shared" si="545"/>
        <v>26.795878152354632</v>
      </c>
      <c r="DE185" s="217">
        <f t="shared" si="546"/>
        <v>10.000000000000002</v>
      </c>
      <c r="DF185" s="173">
        <f t="shared" si="547"/>
        <v>7.792207792207793</v>
      </c>
      <c r="DG185" s="173">
        <f t="shared" si="548"/>
        <v>2.7616279069767451</v>
      </c>
      <c r="DH185" s="173"/>
      <c r="DI185" s="173">
        <f t="shared" si="549"/>
        <v>7.7922077922077913</v>
      </c>
      <c r="DJ185" s="545">
        <f t="shared" si="550"/>
        <v>192.5</v>
      </c>
      <c r="DK185" s="528">
        <f t="shared" si="551"/>
        <v>2.7616279069767442</v>
      </c>
      <c r="DM185" s="173">
        <f t="shared" si="552"/>
        <v>7.4161984870956639</v>
      </c>
      <c r="DN185" s="173">
        <f t="shared" si="553"/>
        <v>26.452494873547504</v>
      </c>
      <c r="DO185" s="173">
        <f t="shared" si="554"/>
        <v>13.387033239664817</v>
      </c>
      <c r="DQ185" s="545">
        <f t="shared" si="555"/>
        <v>7500</v>
      </c>
      <c r="DR185" s="460">
        <f t="shared" si="556"/>
        <v>26.795878152354632</v>
      </c>
      <c r="DT185">
        <f t="shared" si="591"/>
        <v>7500</v>
      </c>
      <c r="DU185">
        <f t="shared" si="592"/>
        <v>26.795878152354632</v>
      </c>
      <c r="DW185" s="5">
        <f t="shared" si="557"/>
        <v>37.31917253520303</v>
      </c>
      <c r="DX185" s="5">
        <f t="shared" si="558"/>
        <v>16.706838867503688</v>
      </c>
      <c r="DY185" s="5">
        <f t="shared" si="559"/>
        <v>20.612333667699342</v>
      </c>
      <c r="DZ185" s="5"/>
      <c r="EA185" s="173">
        <f t="shared" si="560"/>
        <v>0.44767441860465129</v>
      </c>
      <c r="EB185" s="173">
        <f t="shared" si="561"/>
        <v>112.50000000000001</v>
      </c>
      <c r="EC185" s="173">
        <f t="shared" si="562"/>
        <v>7.3051948051948035</v>
      </c>
      <c r="ED185" s="173">
        <f t="shared" si="563"/>
        <v>15.400000000000006</v>
      </c>
      <c r="EE185" s="460">
        <f t="shared" si="564"/>
        <v>835.34194337518443</v>
      </c>
      <c r="EF185" s="5">
        <f t="shared" si="565"/>
        <v>42.085073277970523</v>
      </c>
      <c r="EH185" s="173">
        <f t="shared" si="566"/>
        <v>10.218500032876552</v>
      </c>
      <c r="EI185" s="173">
        <f t="shared" si="567"/>
        <v>11.350201999221024</v>
      </c>
      <c r="EK185" s="528">
        <f t="shared" si="568"/>
        <v>2.0883548584379619</v>
      </c>
      <c r="EL185" s="528">
        <f t="shared" si="569"/>
        <v>0.48766666666666675</v>
      </c>
      <c r="EM185" s="528">
        <f t="shared" si="570"/>
        <v>3.3494847690443289E-3</v>
      </c>
      <c r="EN185" s="528">
        <f t="shared" si="571"/>
        <v>3.1709170370370376E-3</v>
      </c>
      <c r="EO185">
        <f t="shared" si="572"/>
        <v>8.5500000000000003E-3</v>
      </c>
      <c r="EP185" s="460">
        <f t="shared" si="573"/>
        <v>11.89948476904433</v>
      </c>
      <c r="EQ185" s="460"/>
      <c r="ER185" s="460">
        <f t="shared" si="593"/>
        <v>2591.0919269107098</v>
      </c>
      <c r="ES185" s="528">
        <f t="shared" si="574"/>
        <v>5.25</v>
      </c>
      <c r="EV185" s="460">
        <f t="shared" si="494"/>
        <v>5250</v>
      </c>
      <c r="EW185" s="528">
        <f t="shared" si="575"/>
        <v>3.1325322876569426</v>
      </c>
      <c r="EX185" s="528">
        <f t="shared" si="576"/>
        <v>3.8648125626936278</v>
      </c>
      <c r="EY185" s="528">
        <f t="shared" si="577"/>
        <v>0.66881589702681343</v>
      </c>
      <c r="EZ185" s="528"/>
      <c r="FA185" s="528">
        <f t="shared" si="578"/>
        <v>1.8750000000000003E-2</v>
      </c>
      <c r="FB185" s="460">
        <f t="shared" si="579"/>
        <v>7684.9107473773838</v>
      </c>
      <c r="FC185" s="173">
        <f t="shared" si="580"/>
        <v>15.526002674288096</v>
      </c>
      <c r="FD185" s="5">
        <f t="shared" si="581"/>
        <v>112.5</v>
      </c>
      <c r="FE185" s="173">
        <f t="shared" si="582"/>
        <v>0.87872774006864907</v>
      </c>
      <c r="FF185" s="5">
        <f t="shared" si="583"/>
        <v>87.872774006864901</v>
      </c>
      <c r="FI185" s="562">
        <f t="shared" si="584"/>
        <v>-50</v>
      </c>
      <c r="FJ185">
        <f t="shared" si="585"/>
        <v>-50</v>
      </c>
      <c r="FL185">
        <f t="shared" si="586"/>
        <v>0.55232558139534871</v>
      </c>
    </row>
    <row r="186" spans="5:168">
      <c r="E186" s="170">
        <v>76</v>
      </c>
      <c r="F186" s="217">
        <f t="shared" si="587"/>
        <v>7.6</v>
      </c>
      <c r="G186" s="217"/>
      <c r="H186" s="217">
        <f t="shared" si="495"/>
        <v>114</v>
      </c>
      <c r="I186" s="541">
        <f t="shared" si="496"/>
        <v>18.310349103615689</v>
      </c>
      <c r="J186" s="172">
        <f t="shared" si="497"/>
        <v>15.813790537830586</v>
      </c>
      <c r="K186" s="172">
        <f t="shared" si="498"/>
        <v>34.124139641446277</v>
      </c>
      <c r="L186" s="443"/>
      <c r="M186" s="217">
        <f t="shared" si="499"/>
        <v>0.46340388901341106</v>
      </c>
      <c r="N186" s="172">
        <f t="shared" si="500"/>
        <v>212.32869541108383</v>
      </c>
      <c r="O186" s="172">
        <f t="shared" si="438"/>
        <v>114</v>
      </c>
      <c r="P186" s="217">
        <f t="shared" si="501"/>
        <v>14.155246360738921</v>
      </c>
      <c r="Q186" s="217">
        <f t="shared" si="502"/>
        <v>15</v>
      </c>
      <c r="R186" s="217"/>
      <c r="S186" s="172">
        <f t="shared" si="503"/>
        <v>42.093421796881273</v>
      </c>
      <c r="T186" s="536">
        <f t="shared" si="504"/>
        <v>15</v>
      </c>
      <c r="U186" s="217">
        <f t="shared" si="505"/>
        <v>28.326705484415797</v>
      </c>
      <c r="V186" s="217">
        <f t="shared" si="506"/>
        <v>18.564390219401471</v>
      </c>
      <c r="W186" s="217">
        <f t="shared" si="507"/>
        <v>21.49519212359705</v>
      </c>
      <c r="X186" s="197">
        <f t="shared" si="508"/>
        <v>70.711434886855841</v>
      </c>
      <c r="Y186" s="443">
        <f t="shared" si="509"/>
        <v>24.838807106351123</v>
      </c>
      <c r="AA186" s="217">
        <f t="shared" si="510"/>
        <v>10</v>
      </c>
      <c r="AB186" s="173">
        <f t="shared" si="511"/>
        <v>7.5883134858103531</v>
      </c>
      <c r="AC186" s="173">
        <f t="shared" si="512"/>
        <v>2.6829026747646445</v>
      </c>
      <c r="AD186" s="173"/>
      <c r="AE186" s="173">
        <f t="shared" si="513"/>
        <v>7.5883134858103531</v>
      </c>
      <c r="AF186" s="545">
        <f t="shared" si="514"/>
        <v>200.30801347918742</v>
      </c>
      <c r="AG186" s="528">
        <f t="shared" si="515"/>
        <v>2.6829026747646445</v>
      </c>
      <c r="AI186" s="173">
        <f t="shared" si="516"/>
        <v>7.565108128378176</v>
      </c>
      <c r="AJ186" s="173">
        <f t="shared" si="517"/>
        <v>28.326705484415797</v>
      </c>
      <c r="AK186" s="173">
        <f t="shared" si="518"/>
        <v>14.775337395863554</v>
      </c>
      <c r="AM186" s="545">
        <f t="shared" si="519"/>
        <v>7600</v>
      </c>
      <c r="AN186" s="460">
        <f t="shared" si="520"/>
        <v>24.838807106351123</v>
      </c>
      <c r="AP186">
        <f t="shared" si="521"/>
        <v>7600</v>
      </c>
      <c r="AQ186">
        <f t="shared" si="522"/>
        <v>24.838807106351123</v>
      </c>
      <c r="AS186" s="5">
        <f t="shared" si="439"/>
        <v>40.259582342998527</v>
      </c>
      <c r="AT186" s="5">
        <f t="shared" si="523"/>
        <v>18.564390219401471</v>
      </c>
      <c r="AU186" s="5">
        <f t="shared" si="478"/>
        <v>21.695192123597057</v>
      </c>
      <c r="AV186" s="5"/>
      <c r="AW186" s="173">
        <f t="shared" si="479"/>
        <v>0.46111730770674453</v>
      </c>
      <c r="AX186" s="173">
        <f t="shared" si="435"/>
        <v>119.58428730302658</v>
      </c>
      <c r="AY186" s="173">
        <f t="shared" si="436"/>
        <v>7.6323856576200546</v>
      </c>
      <c r="AZ186" s="173">
        <f t="shared" si="440"/>
        <v>15.668009016766009</v>
      </c>
      <c r="BA186" s="460">
        <f t="shared" si="594"/>
        <v>940.59577111634121</v>
      </c>
      <c r="BB186" s="5">
        <f t="shared" si="595"/>
        <v>46.577237749711912</v>
      </c>
      <c r="BD186" s="173">
        <f t="shared" si="441"/>
        <v>11.105577611678843</v>
      </c>
      <c r="BE186" s="173">
        <f t="shared" si="437"/>
        <v>12.005563728729623</v>
      </c>
      <c r="BG186" s="528">
        <f t="shared" si="480"/>
        <v>2.4666770817804471</v>
      </c>
      <c r="BH186" s="528">
        <f t="shared" si="524"/>
        <v>0.45018371897946613</v>
      </c>
      <c r="BI186" s="528">
        <f t="shared" si="525"/>
        <v>1.1370180735866481E-2</v>
      </c>
      <c r="BJ186" s="528">
        <f t="shared" si="481"/>
        <v>2.8923720478472221E-3</v>
      </c>
      <c r="BK186">
        <f t="shared" si="482"/>
        <v>8.2396570966270597E-3</v>
      </c>
      <c r="BL186" s="460">
        <f t="shared" si="588"/>
        <v>19.60983783249354</v>
      </c>
      <c r="BM186" s="528">
        <f t="shared" si="526"/>
        <v>8.6629721263726172</v>
      </c>
      <c r="BN186" s="460">
        <f t="shared" si="527"/>
        <v>8662.9721263726169</v>
      </c>
      <c r="BO186" s="528">
        <f t="shared" si="483"/>
        <v>5.3199999999999994</v>
      </c>
      <c r="BR186" s="460">
        <f t="shared" si="484"/>
        <v>5319.9999999999991</v>
      </c>
      <c r="BS186" s="528">
        <f t="shared" si="485"/>
        <v>3.7000156226706706</v>
      </c>
      <c r="BT186" s="528">
        <f t="shared" si="486"/>
        <v>4.3240068133376495</v>
      </c>
      <c r="BU186" s="528">
        <f t="shared" si="487"/>
        <v>0.65657903206854462</v>
      </c>
      <c r="BV186" s="528"/>
      <c r="BW186" s="528">
        <f t="shared" si="488"/>
        <v>1.9930714550504432E-2</v>
      </c>
      <c r="BX186" s="460">
        <f t="shared" si="489"/>
        <v>8700.5321826273685</v>
      </c>
      <c r="BY186" s="173">
        <f t="shared" si="490"/>
        <v>16.959895193267624</v>
      </c>
      <c r="BZ186" s="5">
        <f t="shared" si="491"/>
        <v>114</v>
      </c>
      <c r="CA186" s="173">
        <f t="shared" si="492"/>
        <v>0.87049550422869082</v>
      </c>
      <c r="CB186" s="5">
        <f t="shared" si="493"/>
        <v>87.049550422869089</v>
      </c>
      <c r="CE186" s="562">
        <f t="shared" si="528"/>
        <v>-50</v>
      </c>
      <c r="CF186">
        <f t="shared" si="529"/>
        <v>-50</v>
      </c>
      <c r="CG186" s="173">
        <f t="shared" si="530"/>
        <v>0.55100341635493666</v>
      </c>
      <c r="CI186" s="170">
        <v>76</v>
      </c>
      <c r="CJ186" s="217">
        <f t="shared" si="589"/>
        <v>7.6</v>
      </c>
      <c r="CK186" s="217"/>
      <c r="CL186" s="217">
        <f t="shared" si="531"/>
        <v>114</v>
      </c>
      <c r="CM186" s="541">
        <f t="shared" si="532"/>
        <v>19</v>
      </c>
      <c r="CN186" s="443">
        <f t="shared" si="533"/>
        <v>15.4</v>
      </c>
      <c r="CO186" s="443">
        <f t="shared" si="534"/>
        <v>34.4</v>
      </c>
      <c r="CP186" s="443"/>
      <c r="CQ186" s="217">
        <f t="shared" si="535"/>
        <v>0.44767441860465118</v>
      </c>
      <c r="CR186" s="172">
        <f t="shared" si="590"/>
        <v>212.84736191860466</v>
      </c>
      <c r="CS186" s="172">
        <f t="shared" si="536"/>
        <v>114</v>
      </c>
      <c r="CT186" s="217">
        <f t="shared" si="537"/>
        <v>14.189824127906977</v>
      </c>
      <c r="CU186" s="217">
        <f t="shared" si="538"/>
        <v>15</v>
      </c>
      <c r="CV186" s="217"/>
      <c r="CW186" s="172">
        <f t="shared" si="539"/>
        <v>43.672443355108854</v>
      </c>
      <c r="CX186" s="536">
        <f t="shared" si="540"/>
        <v>15</v>
      </c>
      <c r="CY186" s="217">
        <f t="shared" si="541"/>
        <v>26.805194805194805</v>
      </c>
      <c r="CZ186" s="217">
        <f t="shared" si="542"/>
        <v>16.929596719070403</v>
      </c>
      <c r="DA186" s="217">
        <f t="shared" si="543"/>
        <v>20.88716478326868</v>
      </c>
      <c r="DB186" s="197">
        <f t="shared" si="544"/>
        <v>70.881782945736433</v>
      </c>
      <c r="DC186" s="443">
        <f t="shared" si="545"/>
        <v>26.443300808244697</v>
      </c>
      <c r="DE186" s="217">
        <f t="shared" si="546"/>
        <v>10.000000000000002</v>
      </c>
      <c r="DF186" s="173">
        <f t="shared" si="547"/>
        <v>7.792207792207793</v>
      </c>
      <c r="DG186" s="173">
        <f t="shared" si="548"/>
        <v>2.7616279069767451</v>
      </c>
      <c r="DH186" s="173"/>
      <c r="DI186" s="173">
        <f t="shared" si="549"/>
        <v>7.7922077922077913</v>
      </c>
      <c r="DJ186" s="545">
        <f t="shared" si="550"/>
        <v>195.06666666666666</v>
      </c>
      <c r="DK186" s="528">
        <f t="shared" si="551"/>
        <v>2.7616279069767442</v>
      </c>
      <c r="DM186" s="173">
        <f t="shared" si="552"/>
        <v>7.4654760955570234</v>
      </c>
      <c r="DN186" s="173">
        <f t="shared" si="553"/>
        <v>26.805194805194805</v>
      </c>
      <c r="DO186" s="173">
        <f t="shared" si="554"/>
        <v>13.648292448292448</v>
      </c>
      <c r="DQ186" s="545">
        <f t="shared" si="555"/>
        <v>7600</v>
      </c>
      <c r="DR186" s="460">
        <f t="shared" si="556"/>
        <v>26.443300808244697</v>
      </c>
      <c r="DT186">
        <f t="shared" si="591"/>
        <v>7600</v>
      </c>
      <c r="DU186">
        <f t="shared" si="592"/>
        <v>26.443300808244697</v>
      </c>
      <c r="DW186" s="5">
        <f t="shared" si="557"/>
        <v>37.816761502339084</v>
      </c>
      <c r="DX186" s="5">
        <f t="shared" si="558"/>
        <v>16.929596719070403</v>
      </c>
      <c r="DY186" s="5">
        <f t="shared" si="559"/>
        <v>20.88716478326868</v>
      </c>
      <c r="DZ186" s="5"/>
      <c r="EA186" s="173">
        <f t="shared" si="560"/>
        <v>0.44767441860465113</v>
      </c>
      <c r="EB186" s="173">
        <f t="shared" si="561"/>
        <v>114</v>
      </c>
      <c r="EC186" s="173">
        <f t="shared" si="562"/>
        <v>7.4025974025974035</v>
      </c>
      <c r="ED186" s="173">
        <f t="shared" si="563"/>
        <v>15.399999999999999</v>
      </c>
      <c r="EE186" s="460">
        <f t="shared" si="564"/>
        <v>857.76623376623377</v>
      </c>
      <c r="EF186" s="5">
        <f t="shared" si="565"/>
        <v>43.214823689521403</v>
      </c>
      <c r="EH186" s="173">
        <f t="shared" si="566"/>
        <v>10.35474669998157</v>
      </c>
      <c r="EI186" s="173">
        <f t="shared" si="567"/>
        <v>11.501538025877306</v>
      </c>
      <c r="EK186" s="528">
        <f t="shared" si="568"/>
        <v>2.1444155844155843</v>
      </c>
      <c r="EL186" s="528">
        <f t="shared" si="569"/>
        <v>0.48766666666666664</v>
      </c>
      <c r="EM186" s="528">
        <f t="shared" si="570"/>
        <v>3.3054126010305866E-3</v>
      </c>
      <c r="EN186" s="528">
        <f t="shared" si="571"/>
        <v>3.1291944444444444E-3</v>
      </c>
      <c r="EO186">
        <f t="shared" si="572"/>
        <v>8.5500000000000003E-3</v>
      </c>
      <c r="EP186" s="460">
        <f t="shared" si="573"/>
        <v>11.855412601030586</v>
      </c>
      <c r="EQ186" s="460"/>
      <c r="ER186" s="460">
        <f t="shared" si="593"/>
        <v>2647.0668581277264</v>
      </c>
      <c r="ES186" s="528">
        <f t="shared" si="574"/>
        <v>5.3199999999999994</v>
      </c>
      <c r="EV186" s="460">
        <f t="shared" si="494"/>
        <v>5319.9999999999991</v>
      </c>
      <c r="EW186" s="528">
        <f t="shared" si="575"/>
        <v>3.2166233766233767</v>
      </c>
      <c r="EX186" s="528">
        <f t="shared" si="576"/>
        <v>3.9685613088210485</v>
      </c>
      <c r="EY186" s="528">
        <f t="shared" si="577"/>
        <v>0.66881589702681343</v>
      </c>
      <c r="EZ186" s="528"/>
      <c r="FA186" s="528">
        <f t="shared" si="578"/>
        <v>1.9E-2</v>
      </c>
      <c r="FB186" s="460">
        <f t="shared" si="579"/>
        <v>7873.0005824712389</v>
      </c>
      <c r="FC186" s="173">
        <f t="shared" si="580"/>
        <v>15.840067440598965</v>
      </c>
      <c r="FD186" s="5">
        <f t="shared" si="581"/>
        <v>114</v>
      </c>
      <c r="FE186" s="173">
        <f t="shared" si="582"/>
        <v>0.8780032408112719</v>
      </c>
      <c r="FF186" s="5">
        <f t="shared" si="583"/>
        <v>87.800324081127187</v>
      </c>
      <c r="FI186" s="562">
        <f t="shared" si="584"/>
        <v>-50</v>
      </c>
      <c r="FJ186">
        <f t="shared" si="585"/>
        <v>-50</v>
      </c>
      <c r="FL186">
        <f t="shared" si="586"/>
        <v>0.55232558139534893</v>
      </c>
    </row>
    <row r="187" spans="5:168">
      <c r="E187" s="170">
        <v>77</v>
      </c>
      <c r="F187" s="217">
        <f t="shared" si="587"/>
        <v>7.7</v>
      </c>
      <c r="G187" s="217"/>
      <c r="H187" s="217">
        <f t="shared" si="495"/>
        <v>115.5</v>
      </c>
      <c r="I187" s="541">
        <f t="shared" si="496"/>
        <v>18.301296523482186</v>
      </c>
      <c r="J187" s="172">
        <f t="shared" si="497"/>
        <v>15.819222085910688</v>
      </c>
      <c r="K187" s="172">
        <f t="shared" si="498"/>
        <v>34.120518609392875</v>
      </c>
      <c r="L187" s="443"/>
      <c r="M187" s="217">
        <f t="shared" si="499"/>
        <v>0.46361226132611716</v>
      </c>
      <c r="N187" s="172">
        <f t="shared" si="500"/>
        <v>212.31914841611277</v>
      </c>
      <c r="O187" s="172">
        <f t="shared" si="438"/>
        <v>115.5</v>
      </c>
      <c r="P187" s="217">
        <f t="shared" si="501"/>
        <v>14.154609894407518</v>
      </c>
      <c r="Q187" s="217">
        <f t="shared" si="502"/>
        <v>15</v>
      </c>
      <c r="R187" s="217"/>
      <c r="S187" s="172">
        <f t="shared" si="503"/>
        <v>41.294074338818128</v>
      </c>
      <c r="T187" s="536">
        <f t="shared" si="504"/>
        <v>15</v>
      </c>
      <c r="U187" s="217">
        <f t="shared" si="505"/>
        <v>28.710574253754544</v>
      </c>
      <c r="V187" s="217">
        <f t="shared" si="506"/>
        <v>18.825272329913677</v>
      </c>
      <c r="W187" s="217">
        <f t="shared" si="507"/>
        <v>21.779003365273297</v>
      </c>
      <c r="X187" s="197">
        <f t="shared" si="508"/>
        <v>70.708253656049706</v>
      </c>
      <c r="Y187" s="443">
        <f t="shared" si="509"/>
        <v>24.507235650256966</v>
      </c>
      <c r="AA187" s="217">
        <f t="shared" si="510"/>
        <v>10</v>
      </c>
      <c r="AB187" s="173">
        <f t="shared" si="511"/>
        <v>7.5857080296557315</v>
      </c>
      <c r="AC187" s="173">
        <f t="shared" si="512"/>
        <v>2.6818608376081525</v>
      </c>
      <c r="AD187" s="173"/>
      <c r="AE187" s="173">
        <f t="shared" si="513"/>
        <v>7.5857080296557315</v>
      </c>
      <c r="AF187" s="545">
        <f t="shared" si="514"/>
        <v>203.01335010252052</v>
      </c>
      <c r="AG187" s="528">
        <f t="shared" si="515"/>
        <v>2.6818608376081525</v>
      </c>
      <c r="AI187" s="173">
        <f t="shared" si="516"/>
        <v>7.6160235237954623</v>
      </c>
      <c r="AJ187" s="173">
        <f t="shared" si="517"/>
        <v>28.710574253754544</v>
      </c>
      <c r="AK187" s="173">
        <f t="shared" si="518"/>
        <v>15.059684632410773</v>
      </c>
      <c r="AM187" s="545">
        <f t="shared" si="519"/>
        <v>7700</v>
      </c>
      <c r="AN187" s="460">
        <f t="shared" si="520"/>
        <v>24.507235650256966</v>
      </c>
      <c r="AP187">
        <f t="shared" si="521"/>
        <v>7700</v>
      </c>
      <c r="AQ187">
        <f t="shared" si="522"/>
        <v>24.507235650256966</v>
      </c>
      <c r="AS187" s="5">
        <f t="shared" si="439"/>
        <v>40.804275695186973</v>
      </c>
      <c r="AT187" s="5">
        <f t="shared" si="523"/>
        <v>18.825272329913677</v>
      </c>
      <c r="AU187" s="5">
        <f t="shared" si="478"/>
        <v>21.979003365273297</v>
      </c>
      <c r="AV187" s="5"/>
      <c r="AW187" s="173">
        <f t="shared" si="479"/>
        <v>0.46135538516945646</v>
      </c>
      <c r="AX187" s="173">
        <f t="shared" si="435"/>
        <v>121.2074558271229</v>
      </c>
      <c r="AY187" s="173">
        <f t="shared" si="436"/>
        <v>7.7323981052386674</v>
      </c>
      <c r="AZ187" s="173">
        <f t="shared" si="440"/>
        <v>15.675273592678234</v>
      </c>
      <c r="BA187" s="460">
        <f t="shared" si="594"/>
        <v>966.36397960223542</v>
      </c>
      <c r="BB187" s="5">
        <f t="shared" si="595"/>
        <v>47.831073068998876</v>
      </c>
      <c r="BD187" s="173">
        <f t="shared" si="441"/>
        <v>11.25898003166453</v>
      </c>
      <c r="BE187" s="173">
        <f t="shared" si="437"/>
        <v>12.165568625155332</v>
      </c>
      <c r="BG187" s="528">
        <f t="shared" si="480"/>
        <v>2.5352926270684124</v>
      </c>
      <c r="BH187" s="528">
        <f t="shared" si="524"/>
        <v>0.45014569540585758</v>
      </c>
      <c r="BI187" s="528">
        <f t="shared" si="525"/>
        <v>1.1212854665155161E-2</v>
      </c>
      <c r="BJ187" s="528">
        <f t="shared" si="481"/>
        <v>2.8531563674128609E-3</v>
      </c>
      <c r="BK187">
        <f t="shared" si="482"/>
        <v>8.235583435566983E-3</v>
      </c>
      <c r="BL187" s="460">
        <f t="shared" si="588"/>
        <v>19.448438100722143</v>
      </c>
      <c r="BM187" s="528">
        <f t="shared" si="526"/>
        <v>9.2371398642619038</v>
      </c>
      <c r="BN187" s="460">
        <f t="shared" si="527"/>
        <v>9237.1398642619042</v>
      </c>
      <c r="BO187" s="528">
        <f t="shared" si="483"/>
        <v>5.39</v>
      </c>
      <c r="BR187" s="460">
        <f t="shared" si="484"/>
        <v>5390</v>
      </c>
      <c r="BS187" s="528">
        <f t="shared" si="485"/>
        <v>3.8029389406026182</v>
      </c>
      <c r="BT187" s="528">
        <f t="shared" si="486"/>
        <v>4.4400317992009137</v>
      </c>
      <c r="BU187" s="528">
        <f t="shared" si="487"/>
        <v>0.65661457565738668</v>
      </c>
      <c r="BV187" s="528"/>
      <c r="BW187" s="528">
        <f t="shared" si="488"/>
        <v>2.020124263785382E-2</v>
      </c>
      <c r="BX187" s="460">
        <f t="shared" si="489"/>
        <v>8919.7865580987709</v>
      </c>
      <c r="BY187" s="173">
        <f t="shared" si="490"/>
        <v>17.317526475041173</v>
      </c>
      <c r="BZ187" s="5">
        <f t="shared" si="491"/>
        <v>115.5</v>
      </c>
      <c r="CA187" s="173">
        <f t="shared" si="492"/>
        <v>0.86961414705840456</v>
      </c>
      <c r="CB187" s="5">
        <f t="shared" si="493"/>
        <v>86.961414705840454</v>
      </c>
      <c r="CE187" s="562">
        <f t="shared" si="528"/>
        <v>-50</v>
      </c>
      <c r="CF187">
        <f t="shared" si="529"/>
        <v>-50</v>
      </c>
      <c r="CG187" s="173">
        <f t="shared" si="530"/>
        <v>0.55102058732948733</v>
      </c>
      <c r="CI187" s="170">
        <v>77</v>
      </c>
      <c r="CJ187" s="217">
        <f t="shared" si="589"/>
        <v>7.7</v>
      </c>
      <c r="CK187" s="217"/>
      <c r="CL187" s="217">
        <f t="shared" si="531"/>
        <v>115.5</v>
      </c>
      <c r="CM187" s="541">
        <f t="shared" si="532"/>
        <v>19</v>
      </c>
      <c r="CN187" s="443">
        <f t="shared" si="533"/>
        <v>15.4</v>
      </c>
      <c r="CO187" s="443">
        <f t="shared" si="534"/>
        <v>34.4</v>
      </c>
      <c r="CP187" s="443"/>
      <c r="CQ187" s="217">
        <f t="shared" si="535"/>
        <v>0.44767441860465118</v>
      </c>
      <c r="CR187" s="172">
        <f t="shared" si="590"/>
        <v>212.84736191860466</v>
      </c>
      <c r="CS187" s="172">
        <f t="shared" si="536"/>
        <v>115.5</v>
      </c>
      <c r="CT187" s="217">
        <f t="shared" si="537"/>
        <v>14.189824127906977</v>
      </c>
      <c r="CU187" s="217">
        <f t="shared" si="538"/>
        <v>15</v>
      </c>
      <c r="CV187" s="217"/>
      <c r="CW187" s="172">
        <f t="shared" si="539"/>
        <v>42.863977460303488</v>
      </c>
      <c r="CX187" s="536">
        <f t="shared" si="540"/>
        <v>15</v>
      </c>
      <c r="CY187" s="217">
        <f t="shared" si="541"/>
        <v>27.157894736842103</v>
      </c>
      <c r="CZ187" s="217">
        <f t="shared" si="542"/>
        <v>17.152354570637119</v>
      </c>
      <c r="DA187" s="217">
        <f t="shared" si="543"/>
        <v>21.161995898838001</v>
      </c>
      <c r="DB187" s="197">
        <f t="shared" si="544"/>
        <v>70.881782945736433</v>
      </c>
      <c r="DC187" s="443">
        <f t="shared" si="545"/>
        <v>26.099881317228537</v>
      </c>
      <c r="DE187" s="217">
        <f t="shared" si="546"/>
        <v>10.000000000000002</v>
      </c>
      <c r="DF187" s="173">
        <f t="shared" si="547"/>
        <v>7.792207792207793</v>
      </c>
      <c r="DG187" s="173">
        <f t="shared" si="548"/>
        <v>2.7616279069767451</v>
      </c>
      <c r="DH187" s="173"/>
      <c r="DI187" s="173">
        <f t="shared" si="549"/>
        <v>7.7922077922077913</v>
      </c>
      <c r="DJ187" s="545">
        <f t="shared" si="550"/>
        <v>197.63333333333335</v>
      </c>
      <c r="DK187" s="528">
        <f t="shared" si="551"/>
        <v>2.7616279069767442</v>
      </c>
      <c r="DM187" s="173">
        <f t="shared" si="552"/>
        <v>7.5144305617037057</v>
      </c>
      <c r="DN187" s="173">
        <f t="shared" si="553"/>
        <v>27.157894736842103</v>
      </c>
      <c r="DO187" s="173">
        <f t="shared" si="554"/>
        <v>13.909551656920076</v>
      </c>
      <c r="DQ187" s="545">
        <f t="shared" si="555"/>
        <v>7700</v>
      </c>
      <c r="DR187" s="460">
        <f t="shared" si="556"/>
        <v>26.099881317228537</v>
      </c>
      <c r="DT187">
        <f t="shared" si="591"/>
        <v>7700</v>
      </c>
      <c r="DU187">
        <f t="shared" si="592"/>
        <v>26.099881317228537</v>
      </c>
      <c r="DW187" s="5">
        <f t="shared" si="557"/>
        <v>38.314350469475116</v>
      </c>
      <c r="DX187" s="5">
        <f t="shared" si="558"/>
        <v>17.152354570637119</v>
      </c>
      <c r="DY187" s="5">
        <f t="shared" si="559"/>
        <v>21.161995898837997</v>
      </c>
      <c r="DZ187" s="5"/>
      <c r="EA187" s="173">
        <f t="shared" si="560"/>
        <v>0.44767441860465124</v>
      </c>
      <c r="EB187" s="173">
        <f t="shared" si="561"/>
        <v>115.5</v>
      </c>
      <c r="EC187" s="173">
        <f t="shared" si="562"/>
        <v>7.4999999999999973</v>
      </c>
      <c r="ED187" s="173">
        <f t="shared" si="563"/>
        <v>15.400000000000006</v>
      </c>
      <c r="EE187" s="460">
        <f t="shared" si="564"/>
        <v>880.48753462603884</v>
      </c>
      <c r="EF187" s="5">
        <f t="shared" si="565"/>
        <v>44.359537682682181</v>
      </c>
      <c r="EH187" s="173">
        <f t="shared" si="566"/>
        <v>10.49099336708659</v>
      </c>
      <c r="EI187" s="173">
        <f t="shared" si="567"/>
        <v>11.652874052533583</v>
      </c>
      <c r="EK187" s="528">
        <f t="shared" si="568"/>
        <v>2.2012188365650966</v>
      </c>
      <c r="EL187" s="528">
        <f t="shared" si="569"/>
        <v>0.48766666666666675</v>
      </c>
      <c r="EM187" s="528">
        <f t="shared" si="570"/>
        <v>3.2624851646535667E-3</v>
      </c>
      <c r="EN187" s="528">
        <f t="shared" si="571"/>
        <v>3.0885555555555562E-3</v>
      </c>
      <c r="EO187">
        <f t="shared" si="572"/>
        <v>8.5500000000000003E-3</v>
      </c>
      <c r="EP187" s="460">
        <f t="shared" si="573"/>
        <v>11.812485164653566</v>
      </c>
      <c r="EQ187" s="460"/>
      <c r="ER187" s="460">
        <f t="shared" si="593"/>
        <v>2703.7865439519728</v>
      </c>
      <c r="ES187" s="528">
        <f t="shared" si="574"/>
        <v>5.39</v>
      </c>
      <c r="EV187" s="460">
        <f t="shared" si="494"/>
        <v>5390</v>
      </c>
      <c r="EW187" s="528">
        <f t="shared" si="575"/>
        <v>3.3018282548476448</v>
      </c>
      <c r="EX187" s="528">
        <f t="shared" si="576"/>
        <v>4.0736842105263138</v>
      </c>
      <c r="EY187" s="528">
        <f t="shared" si="577"/>
        <v>0.66881589702681343</v>
      </c>
      <c r="EZ187" s="528"/>
      <c r="FA187" s="528">
        <f t="shared" si="578"/>
        <v>1.925E-2</v>
      </c>
      <c r="FB187" s="460">
        <f t="shared" si="579"/>
        <v>8063.5783624007718</v>
      </c>
      <c r="FC187" s="173">
        <f t="shared" si="580"/>
        <v>16.157364906352743</v>
      </c>
      <c r="FD187" s="5">
        <f t="shared" si="581"/>
        <v>115.5</v>
      </c>
      <c r="FE187" s="173">
        <f t="shared" si="582"/>
        <v>0.87727716624250074</v>
      </c>
      <c r="FF187" s="5">
        <f t="shared" si="583"/>
        <v>87.727716624250078</v>
      </c>
      <c r="FI187" s="562">
        <f t="shared" si="584"/>
        <v>-50</v>
      </c>
      <c r="FJ187">
        <f t="shared" si="585"/>
        <v>-50</v>
      </c>
      <c r="FL187">
        <f t="shared" si="586"/>
        <v>0.55232558139534871</v>
      </c>
    </row>
    <row r="188" spans="5:168">
      <c r="E188" s="170">
        <v>78</v>
      </c>
      <c r="F188" s="217">
        <f t="shared" si="587"/>
        <v>7.8000000000000007</v>
      </c>
      <c r="G188" s="217"/>
      <c r="H188" s="217">
        <f t="shared" si="495"/>
        <v>117.00000000000001</v>
      </c>
      <c r="I188" s="541">
        <f t="shared" si="496"/>
        <v>18.292243942026488</v>
      </c>
      <c r="J188" s="172">
        <f t="shared" si="497"/>
        <v>15.824653634784108</v>
      </c>
      <c r="K188" s="172">
        <f t="shared" si="498"/>
        <v>34.116897576810594</v>
      </c>
      <c r="L188" s="443"/>
      <c r="M188" s="217">
        <f t="shared" si="499"/>
        <v>0.46382067788932618</v>
      </c>
      <c r="N188" s="172">
        <f t="shared" si="500"/>
        <v>212.3095272560922</v>
      </c>
      <c r="O188" s="172">
        <f t="shared" si="438"/>
        <v>117.00000000000001</v>
      </c>
      <c r="P188" s="217">
        <f t="shared" si="501"/>
        <v>14.153968483739479</v>
      </c>
      <c r="Q188" s="217">
        <f t="shared" si="502"/>
        <v>15</v>
      </c>
      <c r="R188" s="217"/>
      <c r="S188" s="172">
        <f t="shared" si="503"/>
        <v>40.515572215718826</v>
      </c>
      <c r="T188" s="536">
        <f t="shared" si="504"/>
        <v>15</v>
      </c>
      <c r="U188" s="217">
        <f t="shared" si="505"/>
        <v>29.094743785699315</v>
      </c>
      <c r="V188" s="217">
        <f t="shared" si="506"/>
        <v>19.086609960752199</v>
      </c>
      <c r="W188" s="217">
        <f t="shared" si="507"/>
        <v>22.062847850328637</v>
      </c>
      <c r="X188" s="197">
        <f t="shared" si="508"/>
        <v>70.705047729364267</v>
      </c>
      <c r="Y188" s="443">
        <f t="shared" si="509"/>
        <v>24.184113962723345</v>
      </c>
      <c r="AA188" s="217">
        <f t="shared" si="510"/>
        <v>10</v>
      </c>
      <c r="AB188" s="173">
        <f t="shared" si="511"/>
        <v>7.583104361679581</v>
      </c>
      <c r="AC188" s="173">
        <f t="shared" si="512"/>
        <v>2.6808187791465259</v>
      </c>
      <c r="AD188" s="173"/>
      <c r="AE188" s="173">
        <f t="shared" si="513"/>
        <v>7.583104361679581</v>
      </c>
      <c r="AF188" s="545">
        <f t="shared" si="514"/>
        <v>205.72049725219341</v>
      </c>
      <c r="AG188" s="528">
        <f t="shared" si="515"/>
        <v>2.6808187791465254</v>
      </c>
      <c r="AI188" s="173">
        <f t="shared" si="516"/>
        <v>7.6666345243006147</v>
      </c>
      <c r="AJ188" s="173">
        <f t="shared" si="517"/>
        <v>29.094743785699315</v>
      </c>
      <c r="AK188" s="173">
        <f t="shared" si="518"/>
        <v>15.344254656073565</v>
      </c>
      <c r="AM188" s="545">
        <f t="shared" si="519"/>
        <v>7800.0000000000009</v>
      </c>
      <c r="AN188" s="460">
        <f t="shared" si="520"/>
        <v>24.184113962723345</v>
      </c>
      <c r="AP188">
        <f t="shared" si="521"/>
        <v>7800.0000000000009</v>
      </c>
      <c r="AQ188">
        <f t="shared" si="522"/>
        <v>24.184113962723345</v>
      </c>
      <c r="AS188" s="5">
        <f t="shared" si="439"/>
        <v>41.349457811080839</v>
      </c>
      <c r="AT188" s="5">
        <f t="shared" si="523"/>
        <v>19.086609960752199</v>
      </c>
      <c r="AU188" s="5">
        <f t="shared" si="478"/>
        <v>22.26284785032864</v>
      </c>
      <c r="AV188" s="5"/>
      <c r="AW188" s="173">
        <f t="shared" si="479"/>
        <v>0.46159275045288173</v>
      </c>
      <c r="AX188" s="173">
        <f t="shared" si="435"/>
        <v>122.83171206109154</v>
      </c>
      <c r="AY188" s="173">
        <f t="shared" si="436"/>
        <v>7.8324104889682395</v>
      </c>
      <c r="AZ188" s="173">
        <f t="shared" si="440"/>
        <v>15.68249164597502</v>
      </c>
      <c r="BA188" s="460">
        <f t="shared" si="594"/>
        <v>992.5037179591144</v>
      </c>
      <c r="BB188" s="5">
        <f t="shared" si="595"/>
        <v>49.10227312439617</v>
      </c>
      <c r="BD188" s="173">
        <f t="shared" si="441"/>
        <v>11.412568556253806</v>
      </c>
      <c r="BE188" s="173">
        <f t="shared" si="437"/>
        <v>12.325636600218123</v>
      </c>
      <c r="BG188" s="528">
        <f t="shared" si="480"/>
        <v>2.6049344210238616</v>
      </c>
      <c r="BH188" s="528">
        <f t="shared" si="524"/>
        <v>0.45010674548717122</v>
      </c>
      <c r="BI188" s="528">
        <f t="shared" si="525"/>
        <v>1.1059542803197608E-2</v>
      </c>
      <c r="BJ188" s="528">
        <f t="shared" si="481"/>
        <v>2.8149406591606277E-3</v>
      </c>
      <c r="BK188">
        <f t="shared" si="482"/>
        <v>8.2315097739119186E-3</v>
      </c>
      <c r="BL188" s="460">
        <f t="shared" si="588"/>
        <v>19.291052577109525</v>
      </c>
      <c r="BM188" s="528">
        <f t="shared" si="526"/>
        <v>9.8701348075911746</v>
      </c>
      <c r="BN188" s="460">
        <f t="shared" si="527"/>
        <v>9870.1348075911737</v>
      </c>
      <c r="BO188" s="528">
        <f t="shared" si="483"/>
        <v>5.46</v>
      </c>
      <c r="BR188" s="460">
        <f t="shared" si="484"/>
        <v>5460</v>
      </c>
      <c r="BS188" s="528">
        <f t="shared" si="485"/>
        <v>3.9074016315357922</v>
      </c>
      <c r="BT188" s="528">
        <f t="shared" si="486"/>
        <v>4.5576395280190969</v>
      </c>
      <c r="BU188" s="528">
        <f t="shared" si="487"/>
        <v>0.65664674942604873</v>
      </c>
      <c r="BV188" s="528"/>
      <c r="BW188" s="528">
        <f t="shared" si="488"/>
        <v>2.0471952010181923E-2</v>
      </c>
      <c r="BX188" s="460">
        <f t="shared" si="489"/>
        <v>9142.1598609911198</v>
      </c>
      <c r="BY188" s="173">
        <f t="shared" si="490"/>
        <v>17.679307020738424</v>
      </c>
      <c r="BZ188" s="5">
        <f t="shared" si="491"/>
        <v>117.00000000000001</v>
      </c>
      <c r="CA188" s="173">
        <f t="shared" si="492"/>
        <v>0.86873033867024507</v>
      </c>
      <c r="CB188" s="5">
        <f t="shared" si="493"/>
        <v>86.873033867024503</v>
      </c>
      <c r="CE188" s="562">
        <f t="shared" si="528"/>
        <v>-50</v>
      </c>
      <c r="CF188">
        <f t="shared" si="529"/>
        <v>-50</v>
      </c>
      <c r="CG188" s="173">
        <f t="shared" si="530"/>
        <v>0.55103731802263956</v>
      </c>
      <c r="CI188" s="170">
        <v>78</v>
      </c>
      <c r="CJ188" s="217">
        <f t="shared" si="589"/>
        <v>7.8000000000000007</v>
      </c>
      <c r="CK188" s="217"/>
      <c r="CL188" s="217">
        <f t="shared" si="531"/>
        <v>117.00000000000001</v>
      </c>
      <c r="CM188" s="541">
        <f t="shared" si="532"/>
        <v>19</v>
      </c>
      <c r="CN188" s="443">
        <f t="shared" si="533"/>
        <v>15.4</v>
      </c>
      <c r="CO188" s="443">
        <f t="shared" si="534"/>
        <v>34.4</v>
      </c>
      <c r="CP188" s="443"/>
      <c r="CQ188" s="217">
        <f t="shared" si="535"/>
        <v>0.44767441860465118</v>
      </c>
      <c r="CR188" s="172">
        <f t="shared" si="590"/>
        <v>212.84736191860466</v>
      </c>
      <c r="CS188" s="172">
        <f t="shared" si="536"/>
        <v>117.00000000000001</v>
      </c>
      <c r="CT188" s="217">
        <f t="shared" si="537"/>
        <v>14.189824127906977</v>
      </c>
      <c r="CU188" s="217">
        <f t="shared" si="538"/>
        <v>15</v>
      </c>
      <c r="CV188" s="217"/>
      <c r="CW188" s="172">
        <f t="shared" si="539"/>
        <v>42.076358954568185</v>
      </c>
      <c r="CX188" s="536">
        <f t="shared" si="540"/>
        <v>15</v>
      </c>
      <c r="CY188" s="217">
        <f t="shared" si="541"/>
        <v>27.510594668489407</v>
      </c>
      <c r="CZ188" s="217">
        <f t="shared" si="542"/>
        <v>17.375112422203834</v>
      </c>
      <c r="DA188" s="217">
        <f t="shared" si="543"/>
        <v>21.436827014407331</v>
      </c>
      <c r="DB188" s="197">
        <f t="shared" si="544"/>
        <v>70.881782945736433</v>
      </c>
      <c r="DC188" s="443">
        <f t="shared" si="545"/>
        <v>25.765267454187136</v>
      </c>
      <c r="DE188" s="217">
        <f t="shared" si="546"/>
        <v>10.000000000000002</v>
      </c>
      <c r="DF188" s="173">
        <f t="shared" si="547"/>
        <v>7.792207792207793</v>
      </c>
      <c r="DG188" s="173">
        <f t="shared" si="548"/>
        <v>2.7616279069767451</v>
      </c>
      <c r="DH188" s="173"/>
      <c r="DI188" s="173">
        <f t="shared" si="549"/>
        <v>7.7922077922077913</v>
      </c>
      <c r="DJ188" s="545">
        <f t="shared" si="550"/>
        <v>200.20000000000002</v>
      </c>
      <c r="DK188" s="528">
        <f t="shared" si="551"/>
        <v>2.7616279069767442</v>
      </c>
      <c r="DM188" s="173">
        <f t="shared" si="552"/>
        <v>7.5630681604756154</v>
      </c>
      <c r="DN188" s="173">
        <f t="shared" si="553"/>
        <v>27.510594668489407</v>
      </c>
      <c r="DO188" s="173">
        <f t="shared" si="554"/>
        <v>14.170810865547708</v>
      </c>
      <c r="DQ188" s="545">
        <f t="shared" si="555"/>
        <v>7800.0000000000009</v>
      </c>
      <c r="DR188" s="460">
        <f t="shared" si="556"/>
        <v>25.765267454187136</v>
      </c>
      <c r="DT188">
        <f t="shared" si="591"/>
        <v>7800.0000000000009</v>
      </c>
      <c r="DU188">
        <f t="shared" si="592"/>
        <v>25.765267454187136</v>
      </c>
      <c r="DW188" s="5">
        <f t="shared" si="557"/>
        <v>38.811939436611176</v>
      </c>
      <c r="DX188" s="5">
        <f t="shared" si="558"/>
        <v>17.375112422203834</v>
      </c>
      <c r="DY188" s="5">
        <f t="shared" si="559"/>
        <v>21.436827014407342</v>
      </c>
      <c r="DZ188" s="5"/>
      <c r="EA188" s="173">
        <f t="shared" si="560"/>
        <v>0.44767441860465101</v>
      </c>
      <c r="EB188" s="173">
        <f t="shared" si="561"/>
        <v>116.99999999999999</v>
      </c>
      <c r="EC188" s="173">
        <f t="shared" si="562"/>
        <v>7.5974025974025992</v>
      </c>
      <c r="ED188" s="173">
        <f t="shared" si="563"/>
        <v>15.399999999999995</v>
      </c>
      <c r="EE188" s="460">
        <f t="shared" si="564"/>
        <v>903.50584595459952</v>
      </c>
      <c r="EF188" s="5">
        <f t="shared" si="565"/>
        <v>45.519215257452977</v>
      </c>
      <c r="EH188" s="173">
        <f t="shared" si="566"/>
        <v>10.627240034191612</v>
      </c>
      <c r="EI188" s="173">
        <f t="shared" si="567"/>
        <v>11.804210079189868</v>
      </c>
      <c r="EK188" s="528">
        <f t="shared" si="568"/>
        <v>2.2587646148864984</v>
      </c>
      <c r="EL188" s="528">
        <f t="shared" si="569"/>
        <v>0.48766666666666658</v>
      </c>
      <c r="EM188" s="528">
        <f t="shared" si="570"/>
        <v>3.2206584317733917E-3</v>
      </c>
      <c r="EN188" s="528">
        <f t="shared" si="571"/>
        <v>3.0489586894586885E-3</v>
      </c>
      <c r="EO188">
        <f t="shared" si="572"/>
        <v>8.5500000000000003E-3</v>
      </c>
      <c r="EP188" s="460">
        <f t="shared" si="573"/>
        <v>11.770658431773391</v>
      </c>
      <c r="EQ188" s="460"/>
      <c r="ER188" s="460">
        <f t="shared" si="593"/>
        <v>2761.2508986743969</v>
      </c>
      <c r="ES188" s="528">
        <f t="shared" si="574"/>
        <v>5.46</v>
      </c>
      <c r="EV188" s="460">
        <f t="shared" si="494"/>
        <v>5460</v>
      </c>
      <c r="EW188" s="528">
        <f t="shared" si="575"/>
        <v>3.3881469223297476</v>
      </c>
      <c r="EX188" s="528">
        <f t="shared" si="576"/>
        <v>4.1801812678094299</v>
      </c>
      <c r="EY188" s="528">
        <f t="shared" si="577"/>
        <v>0.66881589702681232</v>
      </c>
      <c r="EZ188" s="528"/>
      <c r="FA188" s="528">
        <f t="shared" si="578"/>
        <v>1.9499999999999997E-2</v>
      </c>
      <c r="FB188" s="460">
        <f t="shared" si="579"/>
        <v>8256.6440871659906</v>
      </c>
      <c r="FC188" s="173">
        <f t="shared" si="580"/>
        <v>16.477894985840386</v>
      </c>
      <c r="FD188" s="5">
        <f t="shared" si="581"/>
        <v>117.00000000000001</v>
      </c>
      <c r="FE188" s="173">
        <f t="shared" si="582"/>
        <v>0.87654963402300878</v>
      </c>
      <c r="FF188" s="5">
        <f t="shared" si="583"/>
        <v>87.654963402300879</v>
      </c>
      <c r="FI188" s="562">
        <f t="shared" si="584"/>
        <v>-50</v>
      </c>
      <c r="FJ188">
        <f t="shared" si="585"/>
        <v>-50</v>
      </c>
      <c r="FL188">
        <f t="shared" si="586"/>
        <v>0.55232558139534893</v>
      </c>
    </row>
    <row r="189" spans="5:168">
      <c r="E189" s="170">
        <v>79</v>
      </c>
      <c r="F189" s="217">
        <f t="shared" si="587"/>
        <v>7.9</v>
      </c>
      <c r="G189" s="217"/>
      <c r="H189" s="217">
        <f t="shared" si="495"/>
        <v>118.5</v>
      </c>
      <c r="I189" s="541">
        <f t="shared" si="496"/>
        <v>18.283191359298915</v>
      </c>
      <c r="J189" s="172">
        <f t="shared" si="497"/>
        <v>15.83008518442065</v>
      </c>
      <c r="K189" s="172">
        <f t="shared" si="498"/>
        <v>34.113276543719564</v>
      </c>
      <c r="L189" s="443"/>
      <c r="M189" s="217">
        <f t="shared" si="499"/>
        <v>0.46402913871646922</v>
      </c>
      <c r="N189" s="172">
        <f t="shared" si="500"/>
        <v>212.29983190765847</v>
      </c>
      <c r="O189" s="172">
        <f t="shared" si="438"/>
        <v>118.5</v>
      </c>
      <c r="P189" s="217">
        <f t="shared" si="501"/>
        <v>14.153322127177232</v>
      </c>
      <c r="Q189" s="217">
        <f t="shared" si="502"/>
        <v>15</v>
      </c>
      <c r="R189" s="217"/>
      <c r="S189" s="172">
        <f t="shared" si="503"/>
        <v>39.757125678803938</v>
      </c>
      <c r="T189" s="536">
        <f t="shared" si="504"/>
        <v>15</v>
      </c>
      <c r="U189" s="217">
        <f t="shared" si="505"/>
        <v>29.479214527003425</v>
      </c>
      <c r="V189" s="217">
        <f t="shared" si="506"/>
        <v>19.348404081769999</v>
      </c>
      <c r="W189" s="217">
        <f t="shared" si="507"/>
        <v>22.346725883205519</v>
      </c>
      <c r="X189" s="197">
        <f t="shared" si="508"/>
        <v>70.701817098942655</v>
      </c>
      <c r="Y189" s="443">
        <f t="shared" si="509"/>
        <v>23.869122755699852</v>
      </c>
      <c r="AA189" s="217">
        <f t="shared" si="510"/>
        <v>10</v>
      </c>
      <c r="AB189" s="173">
        <f t="shared" si="511"/>
        <v>7.5805024800560963</v>
      </c>
      <c r="AC189" s="173">
        <f t="shared" si="512"/>
        <v>2.6797764993150364</v>
      </c>
      <c r="AD189" s="173"/>
      <c r="AE189" s="173">
        <f t="shared" si="513"/>
        <v>7.5805024800560963</v>
      </c>
      <c r="AF189" s="545">
        <f t="shared" si="514"/>
        <v>208.42945492820525</v>
      </c>
      <c r="AG189" s="528">
        <f t="shared" si="515"/>
        <v>2.6797764993150364</v>
      </c>
      <c r="AI189" s="173">
        <f t="shared" si="516"/>
        <v>7.7169471189473668</v>
      </c>
      <c r="AJ189" s="173">
        <f t="shared" si="517"/>
        <v>29.479214527003425</v>
      </c>
      <c r="AK189" s="173">
        <f t="shared" si="518"/>
        <v>15.629047797780313</v>
      </c>
      <c r="AM189" s="545">
        <f t="shared" si="519"/>
        <v>7900</v>
      </c>
      <c r="AN189" s="460">
        <f t="shared" si="520"/>
        <v>23.869122755699852</v>
      </c>
      <c r="AP189">
        <f t="shared" si="521"/>
        <v>7900</v>
      </c>
      <c r="AQ189">
        <f t="shared" si="522"/>
        <v>23.869122755699852</v>
      </c>
      <c r="AS189" s="5">
        <f t="shared" si="439"/>
        <v>41.895129964975524</v>
      </c>
      <c r="AT189" s="5">
        <f t="shared" si="523"/>
        <v>19.348404081769999</v>
      </c>
      <c r="AU189" s="5">
        <f t="shared" si="478"/>
        <v>22.546725883205525</v>
      </c>
      <c r="AV189" s="5"/>
      <c r="AW189" s="173">
        <f t="shared" si="479"/>
        <v>0.46182943215465216</v>
      </c>
      <c r="AX189" s="173">
        <f t="shared" si="435"/>
        <v>124.45705596649495</v>
      </c>
      <c r="AY189" s="173">
        <f t="shared" si="436"/>
        <v>7.9324228108161305</v>
      </c>
      <c r="AZ189" s="173">
        <f t="shared" si="440"/>
        <v>15.689664927693149</v>
      </c>
      <c r="BA189" s="460">
        <f t="shared" si="594"/>
        <v>1019.0159483065532</v>
      </c>
      <c r="BB189" s="5">
        <f t="shared" si="595"/>
        <v>50.390867211351285</v>
      </c>
      <c r="BD189" s="173">
        <f t="shared" si="441"/>
        <v>11.56634343848855</v>
      </c>
      <c r="BE189" s="173">
        <f t="shared" si="437"/>
        <v>12.485767731272922</v>
      </c>
      <c r="BG189" s="528">
        <f t="shared" si="480"/>
        <v>2.6756060107413431</v>
      </c>
      <c r="BH189" s="528">
        <f t="shared" si="524"/>
        <v>0.45006689841934577</v>
      </c>
      <c r="BI189" s="528">
        <f t="shared" si="525"/>
        <v>1.0910093473026416E-2</v>
      </c>
      <c r="BJ189" s="528">
        <f t="shared" si="481"/>
        <v>2.7776871381498466E-3</v>
      </c>
      <c r="BK189">
        <f t="shared" si="482"/>
        <v>8.2274361116845118E-3</v>
      </c>
      <c r="BL189" s="460">
        <f t="shared" si="588"/>
        <v>19.137529584710926</v>
      </c>
      <c r="BM189" s="528">
        <f t="shared" si="526"/>
        <v>10.571281374430299</v>
      </c>
      <c r="BN189" s="460">
        <f t="shared" si="527"/>
        <v>10571.281374430298</v>
      </c>
      <c r="BO189" s="528">
        <f t="shared" si="483"/>
        <v>5.53</v>
      </c>
      <c r="BR189" s="460">
        <f t="shared" si="484"/>
        <v>5530</v>
      </c>
      <c r="BS189" s="528">
        <f t="shared" si="485"/>
        <v>4.0134090161120142</v>
      </c>
      <c r="BT189" s="528">
        <f t="shared" si="486"/>
        <v>4.6768318751788849</v>
      </c>
      <c r="BU189" s="528">
        <f t="shared" si="487"/>
        <v>0.6566756584995137</v>
      </c>
      <c r="BV189" s="528"/>
      <c r="BW189" s="528">
        <f t="shared" si="488"/>
        <v>2.0742842661082492E-2</v>
      </c>
      <c r="BX189" s="460">
        <f t="shared" si="489"/>
        <v>9367.6593924514946</v>
      </c>
      <c r="BY189" s="173">
        <f t="shared" si="490"/>
        <v>18.045247518335042</v>
      </c>
      <c r="BZ189" s="5">
        <f t="shared" si="491"/>
        <v>118.5</v>
      </c>
      <c r="CA189" s="173">
        <f t="shared" si="492"/>
        <v>0.86784419197078277</v>
      </c>
      <c r="CB189" s="5">
        <f t="shared" si="493"/>
        <v>86.784419197078279</v>
      </c>
      <c r="CE189" s="562">
        <f t="shared" si="528"/>
        <v>-50</v>
      </c>
      <c r="CF189">
        <f t="shared" si="529"/>
        <v>-50</v>
      </c>
      <c r="CG189" s="173">
        <f t="shared" si="530"/>
        <v>0.55105362515393963</v>
      </c>
      <c r="CI189" s="170">
        <v>79</v>
      </c>
      <c r="CJ189" s="217">
        <f t="shared" si="589"/>
        <v>7.9</v>
      </c>
      <c r="CK189" s="217"/>
      <c r="CL189" s="217">
        <f t="shared" si="531"/>
        <v>118.5</v>
      </c>
      <c r="CM189" s="541">
        <f t="shared" si="532"/>
        <v>19</v>
      </c>
      <c r="CN189" s="443">
        <f t="shared" si="533"/>
        <v>15.4</v>
      </c>
      <c r="CO189" s="443">
        <f t="shared" si="534"/>
        <v>34.4</v>
      </c>
      <c r="CP189" s="443"/>
      <c r="CQ189" s="217">
        <f t="shared" si="535"/>
        <v>0.44767441860465118</v>
      </c>
      <c r="CR189" s="172">
        <f t="shared" si="590"/>
        <v>212.84736191860466</v>
      </c>
      <c r="CS189" s="172">
        <f t="shared" si="536"/>
        <v>118.5</v>
      </c>
      <c r="CT189" s="217">
        <f t="shared" si="537"/>
        <v>14.189824127906977</v>
      </c>
      <c r="CU189" s="217">
        <f t="shared" si="538"/>
        <v>15</v>
      </c>
      <c r="CV189" s="217"/>
      <c r="CW189" s="172">
        <f t="shared" si="539"/>
        <v>41.308798030525409</v>
      </c>
      <c r="CX189" s="536">
        <f t="shared" si="540"/>
        <v>15</v>
      </c>
      <c r="CY189" s="217">
        <f t="shared" si="541"/>
        <v>27.863294600136705</v>
      </c>
      <c r="CZ189" s="217">
        <f t="shared" si="542"/>
        <v>17.59787027377055</v>
      </c>
      <c r="DA189" s="217">
        <f t="shared" si="543"/>
        <v>21.711658129976652</v>
      </c>
      <c r="DB189" s="197">
        <f t="shared" si="544"/>
        <v>70.881782945736433</v>
      </c>
      <c r="DC189" s="443">
        <f t="shared" si="545"/>
        <v>25.439124828184774</v>
      </c>
      <c r="DE189" s="217">
        <f t="shared" si="546"/>
        <v>10.000000000000002</v>
      </c>
      <c r="DF189" s="173">
        <f t="shared" si="547"/>
        <v>7.792207792207793</v>
      </c>
      <c r="DG189" s="173">
        <f t="shared" si="548"/>
        <v>2.7616279069767451</v>
      </c>
      <c r="DH189" s="173"/>
      <c r="DI189" s="173">
        <f t="shared" si="549"/>
        <v>7.7922077922077913</v>
      </c>
      <c r="DJ189" s="545">
        <f t="shared" si="550"/>
        <v>202.76666666666668</v>
      </c>
      <c r="DK189" s="528">
        <f t="shared" si="551"/>
        <v>2.7616279069767442</v>
      </c>
      <c r="DM189" s="173">
        <f t="shared" si="552"/>
        <v>7.6113949663207823</v>
      </c>
      <c r="DN189" s="173">
        <f t="shared" si="553"/>
        <v>27.863294600136705</v>
      </c>
      <c r="DO189" s="173">
        <f t="shared" si="554"/>
        <v>14.432070074175337</v>
      </c>
      <c r="DQ189" s="545">
        <f t="shared" si="555"/>
        <v>7900</v>
      </c>
      <c r="DR189" s="460">
        <f t="shared" si="556"/>
        <v>25.439124828184774</v>
      </c>
      <c r="DT189">
        <f t="shared" si="591"/>
        <v>7900</v>
      </c>
      <c r="DU189">
        <f t="shared" si="592"/>
        <v>25.439124828184774</v>
      </c>
      <c r="DW189" s="5">
        <f t="shared" si="557"/>
        <v>39.309528403747201</v>
      </c>
      <c r="DX189" s="5">
        <f t="shared" si="558"/>
        <v>17.59787027377055</v>
      </c>
      <c r="DY189" s="5">
        <f t="shared" si="559"/>
        <v>21.711658129976652</v>
      </c>
      <c r="DZ189" s="5"/>
      <c r="EA189" s="173">
        <f t="shared" si="560"/>
        <v>0.44767441860465118</v>
      </c>
      <c r="EB189" s="173">
        <f t="shared" si="561"/>
        <v>118.50000000000001</v>
      </c>
      <c r="EC189" s="173">
        <f t="shared" si="562"/>
        <v>7.6948051948051948</v>
      </c>
      <c r="ED189" s="173">
        <f t="shared" si="563"/>
        <v>15.400000000000002</v>
      </c>
      <c r="EE189" s="460">
        <f t="shared" si="564"/>
        <v>926.8211677519156</v>
      </c>
      <c r="EF189" s="5">
        <f t="shared" si="565"/>
        <v>46.693856413833622</v>
      </c>
      <c r="EH189" s="173">
        <f t="shared" si="566"/>
        <v>10.763486701296632</v>
      </c>
      <c r="EI189" s="173">
        <f t="shared" si="567"/>
        <v>11.955546105846148</v>
      </c>
      <c r="EK189" s="528">
        <f t="shared" si="568"/>
        <v>2.3170529193797891</v>
      </c>
      <c r="EL189" s="528">
        <f t="shared" si="569"/>
        <v>0.48766666666666675</v>
      </c>
      <c r="EM189" s="528">
        <f t="shared" si="570"/>
        <v>3.1798906035230968E-3</v>
      </c>
      <c r="EN189" s="528">
        <f t="shared" si="571"/>
        <v>3.0103642756680732E-3</v>
      </c>
      <c r="EO189">
        <f t="shared" si="572"/>
        <v>8.5500000000000003E-3</v>
      </c>
      <c r="EP189" s="460">
        <f t="shared" si="573"/>
        <v>11.729890603523097</v>
      </c>
      <c r="EQ189" s="460"/>
      <c r="ER189" s="460">
        <f t="shared" si="593"/>
        <v>2819.4598409256469</v>
      </c>
      <c r="ES189" s="528">
        <f t="shared" si="574"/>
        <v>5.53</v>
      </c>
      <c r="EV189" s="460">
        <f t="shared" si="494"/>
        <v>5530</v>
      </c>
      <c r="EW189" s="528">
        <f t="shared" si="575"/>
        <v>3.4755793790696834</v>
      </c>
      <c r="EX189" s="528">
        <f t="shared" si="576"/>
        <v>4.2880524806703901</v>
      </c>
      <c r="EY189" s="528">
        <f t="shared" si="577"/>
        <v>0.66881589702681221</v>
      </c>
      <c r="EZ189" s="528"/>
      <c r="FA189" s="528">
        <f t="shared" si="578"/>
        <v>1.9750000000000004E-2</v>
      </c>
      <c r="FB189" s="460">
        <f t="shared" si="579"/>
        <v>8452.1977567668855</v>
      </c>
      <c r="FC189" s="173">
        <f t="shared" si="580"/>
        <v>16.801657597692529</v>
      </c>
      <c r="FD189" s="5">
        <f t="shared" si="581"/>
        <v>118.5</v>
      </c>
      <c r="FE189" s="173">
        <f t="shared" si="582"/>
        <v>0.87582075566545703</v>
      </c>
      <c r="FF189" s="5">
        <f t="shared" si="583"/>
        <v>87.582075566545697</v>
      </c>
      <c r="FI189" s="562">
        <f t="shared" si="584"/>
        <v>-50</v>
      </c>
      <c r="FJ189">
        <f t="shared" si="585"/>
        <v>-50</v>
      </c>
      <c r="FL189">
        <f t="shared" si="586"/>
        <v>0.55232558139534882</v>
      </c>
    </row>
    <row r="190" spans="5:168">
      <c r="E190" s="170">
        <v>80</v>
      </c>
      <c r="F190" s="217">
        <f t="shared" si="587"/>
        <v>8</v>
      </c>
      <c r="G190" s="217"/>
      <c r="H190" s="217">
        <f t="shared" si="495"/>
        <v>120</v>
      </c>
      <c r="I190" s="541">
        <f t="shared" si="496"/>
        <v>18.274138775347275</v>
      </c>
      <c r="J190" s="172">
        <f t="shared" si="497"/>
        <v>15.835516734791634</v>
      </c>
      <c r="K190" s="172">
        <f t="shared" si="498"/>
        <v>34.109655510138907</v>
      </c>
      <c r="L190" s="443"/>
      <c r="M190" s="217">
        <f t="shared" si="499"/>
        <v>0.46423764382101629</v>
      </c>
      <c r="N190" s="172">
        <f t="shared" si="500"/>
        <v>212.2900623474255</v>
      </c>
      <c r="O190" s="172">
        <f t="shared" si="438"/>
        <v>120</v>
      </c>
      <c r="P190" s="217">
        <f t="shared" si="501"/>
        <v>14.152670823161701</v>
      </c>
      <c r="Q190" s="217">
        <f t="shared" si="502"/>
        <v>15</v>
      </c>
      <c r="R190" s="217"/>
      <c r="S190" s="172">
        <f t="shared" si="503"/>
        <v>39.01798450347345</v>
      </c>
      <c r="T190" s="536">
        <f t="shared" si="504"/>
        <v>15</v>
      </c>
      <c r="U190" s="217">
        <f t="shared" si="505"/>
        <v>29.863986925305429</v>
      </c>
      <c r="V190" s="217">
        <f t="shared" si="506"/>
        <v>19.610655665323133</v>
      </c>
      <c r="W190" s="217">
        <f t="shared" si="507"/>
        <v>22.630637768599513</v>
      </c>
      <c r="X190" s="197">
        <f t="shared" si="508"/>
        <v>70.698561756924349</v>
      </c>
      <c r="Y190" s="443">
        <f t="shared" si="509"/>
        <v>23.56195862779045</v>
      </c>
      <c r="AA190" s="217">
        <f t="shared" si="510"/>
        <v>10</v>
      </c>
      <c r="AB190" s="173">
        <f t="shared" si="511"/>
        <v>7.5779023829612324</v>
      </c>
      <c r="AC190" s="173">
        <f t="shared" si="512"/>
        <v>2.6787339980486444</v>
      </c>
      <c r="AD190" s="173"/>
      <c r="AE190" s="173">
        <f t="shared" si="513"/>
        <v>7.5779023829612324</v>
      </c>
      <c r="AF190" s="545">
        <f t="shared" si="514"/>
        <v>211.14022313055511</v>
      </c>
      <c r="AG190" s="528">
        <f t="shared" si="515"/>
        <v>2.678733998048644</v>
      </c>
      <c r="AI190" s="173">
        <f t="shared" si="516"/>
        <v>7.7669671067477468</v>
      </c>
      <c r="AJ190" s="173">
        <f t="shared" si="517"/>
        <v>29.863986925305429</v>
      </c>
      <c r="AK190" s="173">
        <f t="shared" si="518"/>
        <v>15.914064389115131</v>
      </c>
      <c r="AM190" s="545">
        <f t="shared" si="519"/>
        <v>8000</v>
      </c>
      <c r="AN190" s="460">
        <f t="shared" si="520"/>
        <v>23.56195862779045</v>
      </c>
      <c r="AP190">
        <f t="shared" si="521"/>
        <v>8000</v>
      </c>
      <c r="AQ190">
        <f t="shared" si="522"/>
        <v>23.56195862779045</v>
      </c>
      <c r="AS190" s="5">
        <f t="shared" si="439"/>
        <v>42.441293433922652</v>
      </c>
      <c r="AT190" s="5">
        <f t="shared" si="523"/>
        <v>19.610655665323133</v>
      </c>
      <c r="AU190" s="5">
        <f t="shared" si="478"/>
        <v>22.830637768599519</v>
      </c>
      <c r="AV190" s="5"/>
      <c r="AW190" s="173">
        <f t="shared" si="479"/>
        <v>0.46206545745018807</v>
      </c>
      <c r="AX190" s="173">
        <f t="shared" si="435"/>
        <v>126.0834875068109</v>
      </c>
      <c r="AY190" s="173">
        <f t="shared" si="436"/>
        <v>8.0324350726888696</v>
      </c>
      <c r="AZ190" s="173">
        <f t="shared" si="440"/>
        <v>15.696795102086554</v>
      </c>
      <c r="BA190" s="460">
        <f t="shared" si="594"/>
        <v>1045.9016354839005</v>
      </c>
      <c r="BB190" s="5">
        <f t="shared" si="595"/>
        <v>51.696884718402728</v>
      </c>
      <c r="BD190" s="173">
        <f t="shared" si="441"/>
        <v>11.720304931990512</v>
      </c>
      <c r="BE190" s="173">
        <f t="shared" si="437"/>
        <v>12.645962095708526</v>
      </c>
      <c r="BG190" s="528">
        <f t="shared" si="480"/>
        <v>2.7473109539768221</v>
      </c>
      <c r="BH190" s="528">
        <f t="shared" si="524"/>
        <v>0.45002618194563093</v>
      </c>
      <c r="BI190" s="528">
        <f t="shared" si="525"/>
        <v>1.0764362544580842E-2</v>
      </c>
      <c r="BJ190" s="528">
        <f t="shared" si="481"/>
        <v>2.7413598994850794E-3</v>
      </c>
      <c r="BK190">
        <f t="shared" si="482"/>
        <v>8.223362448906273E-3</v>
      </c>
      <c r="BL190" s="460">
        <f t="shared" si="588"/>
        <v>18.987724993487117</v>
      </c>
      <c r="BM190" s="528">
        <f t="shared" si="526"/>
        <v>11.351989240283073</v>
      </c>
      <c r="BN190" s="460">
        <f t="shared" si="527"/>
        <v>11351.989240283074</v>
      </c>
      <c r="BO190" s="528">
        <f t="shared" si="483"/>
        <v>5.6</v>
      </c>
      <c r="BR190" s="460">
        <f t="shared" si="484"/>
        <v>5600</v>
      </c>
      <c r="BS190" s="528">
        <f t="shared" si="485"/>
        <v>4.1209664309652334</v>
      </c>
      <c r="BT190" s="528">
        <f t="shared" si="486"/>
        <v>4.7976107197829032</v>
      </c>
      <c r="BU190" s="528">
        <f t="shared" si="487"/>
        <v>0.65670140278898559</v>
      </c>
      <c r="BV190" s="528"/>
      <c r="BW190" s="528">
        <f t="shared" si="488"/>
        <v>2.1013914584468482E-2</v>
      </c>
      <c r="BX190" s="460">
        <f t="shared" si="489"/>
        <v>9596.2924681215918</v>
      </c>
      <c r="BY190" s="173">
        <f t="shared" si="490"/>
        <v>18.415358688937015</v>
      </c>
      <c r="BZ190" s="5">
        <f t="shared" si="491"/>
        <v>120</v>
      </c>
      <c r="CA190" s="173">
        <f t="shared" si="492"/>
        <v>0.86695581427259005</v>
      </c>
      <c r="CB190" s="5">
        <f t="shared" si="493"/>
        <v>86.695581427259</v>
      </c>
      <c r="CE190" s="562">
        <f t="shared" si="528"/>
        <v>-50</v>
      </c>
      <c r="CF190">
        <f t="shared" si="529"/>
        <v>-50</v>
      </c>
      <c r="CG190" s="173">
        <f t="shared" si="530"/>
        <v>0.55106952460695724</v>
      </c>
      <c r="CI190" s="170">
        <v>80</v>
      </c>
      <c r="CJ190" s="217">
        <f t="shared" si="589"/>
        <v>8</v>
      </c>
      <c r="CK190" s="217"/>
      <c r="CL190" s="217">
        <f t="shared" si="531"/>
        <v>120</v>
      </c>
      <c r="CM190" s="541">
        <f t="shared" si="532"/>
        <v>19</v>
      </c>
      <c r="CN190" s="443">
        <f t="shared" si="533"/>
        <v>15.4</v>
      </c>
      <c r="CO190" s="443">
        <f t="shared" si="534"/>
        <v>34.4</v>
      </c>
      <c r="CP190" s="443"/>
      <c r="CQ190" s="217">
        <f t="shared" si="535"/>
        <v>0.44767441860465118</v>
      </c>
      <c r="CR190" s="172">
        <f t="shared" si="590"/>
        <v>212.84736191860466</v>
      </c>
      <c r="CS190" s="172">
        <f t="shared" si="536"/>
        <v>120</v>
      </c>
      <c r="CT190" s="217">
        <f t="shared" si="537"/>
        <v>14.189824127906977</v>
      </c>
      <c r="CU190" s="217">
        <f t="shared" si="538"/>
        <v>15</v>
      </c>
      <c r="CV190" s="217"/>
      <c r="CW190" s="172">
        <f t="shared" si="539"/>
        <v>40.560544408886109</v>
      </c>
      <c r="CX190" s="536">
        <f t="shared" si="540"/>
        <v>15</v>
      </c>
      <c r="CY190" s="217">
        <f t="shared" si="541"/>
        <v>28.215994531784006</v>
      </c>
      <c r="CZ190" s="217">
        <f t="shared" si="542"/>
        <v>17.820628125337269</v>
      </c>
      <c r="DA190" s="217">
        <f t="shared" si="543"/>
        <v>21.986489245545979</v>
      </c>
      <c r="DB190" s="197">
        <f t="shared" si="544"/>
        <v>70.881782945736433</v>
      </c>
      <c r="DC190" s="443">
        <f t="shared" si="545"/>
        <v>25.12113576783246</v>
      </c>
      <c r="DE190" s="217">
        <f t="shared" si="546"/>
        <v>10.000000000000002</v>
      </c>
      <c r="DF190" s="173">
        <f t="shared" si="547"/>
        <v>7.792207792207793</v>
      </c>
      <c r="DG190" s="173">
        <f t="shared" si="548"/>
        <v>2.7616279069767451</v>
      </c>
      <c r="DH190" s="173"/>
      <c r="DI190" s="173">
        <f t="shared" si="549"/>
        <v>7.7922077922077913</v>
      </c>
      <c r="DJ190" s="545">
        <f t="shared" si="550"/>
        <v>205.33333333333334</v>
      </c>
      <c r="DK190" s="528">
        <f t="shared" si="551"/>
        <v>2.7616279069767442</v>
      </c>
      <c r="DM190" s="173">
        <f t="shared" si="552"/>
        <v>7.6594168620507048</v>
      </c>
      <c r="DN190" s="173">
        <f t="shared" si="553"/>
        <v>28.215994531784006</v>
      </c>
      <c r="DO190" s="173">
        <f t="shared" si="554"/>
        <v>14.693329282802967</v>
      </c>
      <c r="DQ190" s="545">
        <f t="shared" si="555"/>
        <v>8000</v>
      </c>
      <c r="DR190" s="460">
        <f t="shared" si="556"/>
        <v>25.12113576783246</v>
      </c>
      <c r="DT190">
        <f t="shared" si="591"/>
        <v>8000</v>
      </c>
      <c r="DU190">
        <f t="shared" si="592"/>
        <v>25.12113576783246</v>
      </c>
      <c r="DW190" s="5">
        <f t="shared" si="557"/>
        <v>39.807117370883248</v>
      </c>
      <c r="DX190" s="5">
        <f t="shared" si="558"/>
        <v>17.820628125337269</v>
      </c>
      <c r="DY190" s="5">
        <f t="shared" si="559"/>
        <v>21.986489245545979</v>
      </c>
      <c r="DZ190" s="5"/>
      <c r="EA190" s="173">
        <f t="shared" si="560"/>
        <v>0.44767441860465118</v>
      </c>
      <c r="EB190" s="173">
        <f t="shared" si="561"/>
        <v>120</v>
      </c>
      <c r="EC190" s="173">
        <f t="shared" si="562"/>
        <v>7.7922077922077921</v>
      </c>
      <c r="ED190" s="173">
        <f t="shared" si="563"/>
        <v>15.4</v>
      </c>
      <c r="EE190" s="460">
        <f t="shared" si="564"/>
        <v>950.43350001798763</v>
      </c>
      <c r="EF190" s="5">
        <f t="shared" si="565"/>
        <v>47.883461151824264</v>
      </c>
      <c r="EH190" s="173">
        <f t="shared" si="566"/>
        <v>10.899733368401654</v>
      </c>
      <c r="EI190" s="173">
        <f t="shared" si="567"/>
        <v>12.106882132502427</v>
      </c>
      <c r="EK190" s="528">
        <f t="shared" si="568"/>
        <v>2.3760837500449692</v>
      </c>
      <c r="EL190" s="528">
        <f t="shared" si="569"/>
        <v>0.48766666666666658</v>
      </c>
      <c r="EM190" s="528">
        <f t="shared" si="570"/>
        <v>3.1401419709790571E-3</v>
      </c>
      <c r="EN190" s="528">
        <f t="shared" si="571"/>
        <v>2.972734722222222E-3</v>
      </c>
      <c r="EO190">
        <f t="shared" si="572"/>
        <v>8.5500000000000003E-3</v>
      </c>
      <c r="EP190" s="460">
        <f t="shared" si="573"/>
        <v>11.690141970979058</v>
      </c>
      <c r="EQ190" s="460"/>
      <c r="ER190" s="460">
        <f t="shared" si="593"/>
        <v>2878.4132934048375</v>
      </c>
      <c r="ES190" s="528">
        <f t="shared" si="574"/>
        <v>5.6</v>
      </c>
      <c r="EV190" s="460">
        <f t="shared" si="494"/>
        <v>5600</v>
      </c>
      <c r="EW190" s="528">
        <f t="shared" si="575"/>
        <v>3.5641256250674536</v>
      </c>
      <c r="EX190" s="528">
        <f t="shared" si="576"/>
        <v>4.3972978491091954</v>
      </c>
      <c r="EY190" s="528">
        <f t="shared" si="577"/>
        <v>0.66881589702681232</v>
      </c>
      <c r="EZ190" s="528"/>
      <c r="FA190" s="528">
        <f t="shared" si="578"/>
        <v>0.02</v>
      </c>
      <c r="FB190" s="460">
        <f t="shared" si="579"/>
        <v>8650.2393712034609</v>
      </c>
      <c r="FC190" s="173">
        <f t="shared" si="580"/>
        <v>17.1286526646083</v>
      </c>
      <c r="FD190" s="5">
        <f t="shared" si="581"/>
        <v>120</v>
      </c>
      <c r="FE190" s="173">
        <f t="shared" si="582"/>
        <v>0.87509063691815114</v>
      </c>
      <c r="FF190" s="5">
        <f t="shared" si="583"/>
        <v>87.509063691815115</v>
      </c>
      <c r="FI190" s="562">
        <f t="shared" si="584"/>
        <v>-50</v>
      </c>
      <c r="FJ190">
        <f t="shared" si="585"/>
        <v>-50</v>
      </c>
      <c r="FL190">
        <f t="shared" si="586"/>
        <v>0.55232558139534882</v>
      </c>
    </row>
    <row r="191" spans="5:168">
      <c r="E191" s="170">
        <v>81</v>
      </c>
      <c r="F191" s="217">
        <f t="shared" si="587"/>
        <v>8.1000000000000014</v>
      </c>
      <c r="G191" s="217"/>
      <c r="H191" s="217">
        <f t="shared" si="495"/>
        <v>121.50000000000003</v>
      </c>
      <c r="I191" s="541">
        <f t="shared" si="496"/>
        <v>18.265086190217009</v>
      </c>
      <c r="J191" s="172">
        <f t="shared" si="497"/>
        <v>15.840948285869796</v>
      </c>
      <c r="K191" s="172">
        <f t="shared" si="498"/>
        <v>34.106034476086805</v>
      </c>
      <c r="L191" s="443"/>
      <c r="M191" s="217">
        <f t="shared" si="499"/>
        <v>0.46444619321647407</v>
      </c>
      <c r="N191" s="172">
        <f t="shared" si="500"/>
        <v>212.28021855198517</v>
      </c>
      <c r="O191" s="172">
        <f t="shared" si="438"/>
        <v>121.50000000000003</v>
      </c>
      <c r="P191" s="217">
        <f t="shared" si="501"/>
        <v>14.152014570132344</v>
      </c>
      <c r="Q191" s="217">
        <f t="shared" si="502"/>
        <v>15</v>
      </c>
      <c r="R191" s="217"/>
      <c r="S191" s="172">
        <f t="shared" si="503"/>
        <v>38.297435550397864</v>
      </c>
      <c r="T191" s="536">
        <f t="shared" si="504"/>
        <v>15</v>
      </c>
      <c r="U191" s="217">
        <f t="shared" si="505"/>
        <v>30.249061429131327</v>
      </c>
      <c r="V191" s="217">
        <f t="shared" si="506"/>
        <v>19.87336568627839</v>
      </c>
      <c r="W191" s="217">
        <f t="shared" si="507"/>
        <v>22.91458381146056</v>
      </c>
      <c r="X191" s="197">
        <f t="shared" si="508"/>
        <v>70.695281695445075</v>
      </c>
      <c r="Y191" s="443">
        <f t="shared" si="509"/>
        <v>23.26233308831344</v>
      </c>
      <c r="AA191" s="217">
        <f t="shared" si="510"/>
        <v>10</v>
      </c>
      <c r="AB191" s="173">
        <f t="shared" si="511"/>
        <v>7.5753040685727502</v>
      </c>
      <c r="AC191" s="173">
        <f t="shared" si="512"/>
        <v>2.6776912752820086</v>
      </c>
      <c r="AD191" s="173"/>
      <c r="AE191" s="173">
        <f t="shared" si="513"/>
        <v>7.5753040685727502</v>
      </c>
      <c r="AF191" s="545">
        <f t="shared" si="514"/>
        <v>213.85280185924228</v>
      </c>
      <c r="AG191" s="528">
        <f t="shared" si="515"/>
        <v>2.6776912752820086</v>
      </c>
      <c r="AI191" s="173">
        <f t="shared" si="516"/>
        <v>7.8167001049811349</v>
      </c>
      <c r="AJ191" s="173">
        <f t="shared" si="517"/>
        <v>30.249061429131327</v>
      </c>
      <c r="AK191" s="173">
        <f t="shared" si="518"/>
        <v>16.1993047623195</v>
      </c>
      <c r="AM191" s="545">
        <f t="shared" si="519"/>
        <v>8100.0000000000018</v>
      </c>
      <c r="AN191" s="460">
        <f t="shared" si="520"/>
        <v>23.26233308831344</v>
      </c>
      <c r="AP191">
        <f t="shared" si="521"/>
        <v>8100.0000000000018</v>
      </c>
      <c r="AQ191">
        <f t="shared" si="522"/>
        <v>23.26233308831344</v>
      </c>
      <c r="AS191" s="5">
        <f t="shared" si="439"/>
        <v>42.987949497738953</v>
      </c>
      <c r="AT191" s="5">
        <f t="shared" si="523"/>
        <v>19.87336568627839</v>
      </c>
      <c r="AU191" s="5">
        <f t="shared" si="478"/>
        <v>23.114583811460562</v>
      </c>
      <c r="AV191" s="5"/>
      <c r="AW191" s="173">
        <f t="shared" si="479"/>
        <v>0.46230085218006672</v>
      </c>
      <c r="AX191" s="173">
        <f t="shared" si="435"/>
        <v>127.71100664731458</v>
      </c>
      <c r="AY191" s="173">
        <f t="shared" si="436"/>
        <v>8.1324472763983646</v>
      </c>
      <c r="AZ191" s="173">
        <f t="shared" si="440"/>
        <v>15.703883751936752</v>
      </c>
      <c r="BA191" s="460">
        <f t="shared" si="594"/>
        <v>1073.1617470590331</v>
      </c>
      <c r="BB191" s="5">
        <f t="shared" si="595"/>
        <v>53.020355127449463</v>
      </c>
      <c r="BD191" s="173">
        <f t="shared" si="441"/>
        <v>11.874453290958547</v>
      </c>
      <c r="BE191" s="173">
        <f t="shared" si="437"/>
        <v>12.806219770953641</v>
      </c>
      <c r="BG191" s="528">
        <f t="shared" si="480"/>
        <v>2.8200528191831249</v>
      </c>
      <c r="BH191" s="528">
        <f t="shared" si="524"/>
        <v>0.44998462244582804</v>
      </c>
      <c r="BI191" s="528">
        <f t="shared" si="525"/>
        <v>1.062221297108955E-2</v>
      </c>
      <c r="BJ191" s="528">
        <f t="shared" si="481"/>
        <v>2.7059248028222511E-3</v>
      </c>
      <c r="BK191">
        <f t="shared" si="482"/>
        <v>8.2192887855976528E-3</v>
      </c>
      <c r="BL191" s="460">
        <f t="shared" si="588"/>
        <v>18.841501756687201</v>
      </c>
      <c r="BM191" s="528">
        <f t="shared" si="526"/>
        <v>12.226370637701093</v>
      </c>
      <c r="BN191" s="460">
        <f t="shared" si="527"/>
        <v>12226.370637701093</v>
      </c>
      <c r="BO191" s="528">
        <f t="shared" si="483"/>
        <v>5.6700000000000008</v>
      </c>
      <c r="BR191" s="460">
        <f t="shared" si="484"/>
        <v>5670.0000000000009</v>
      </c>
      <c r="BS191" s="528">
        <f t="shared" si="485"/>
        <v>4.2300792287746871</v>
      </c>
      <c r="BT191" s="528">
        <f t="shared" si="486"/>
        <v>4.9199779446589176</v>
      </c>
      <c r="BU191" s="528">
        <f t="shared" si="487"/>
        <v>0.65672407731106486</v>
      </c>
      <c r="BV191" s="528"/>
      <c r="BW191" s="528">
        <f t="shared" si="488"/>
        <v>2.1285167774552433E-2</v>
      </c>
      <c r="BX191" s="460">
        <f t="shared" si="489"/>
        <v>9828.0664185192218</v>
      </c>
      <c r="BY191" s="173">
        <f t="shared" si="490"/>
        <v>18.789651286707688</v>
      </c>
      <c r="BZ191" s="5">
        <f t="shared" si="491"/>
        <v>121.50000000000003</v>
      </c>
      <c r="CA191" s="173">
        <f t="shared" si="492"/>
        <v>0.866065307637642</v>
      </c>
      <c r="CB191" s="5">
        <f t="shared" si="493"/>
        <v>86.606530763764198</v>
      </c>
      <c r="CE191" s="562">
        <f t="shared" si="528"/>
        <v>-50</v>
      </c>
      <c r="CF191">
        <f t="shared" si="529"/>
        <v>-50</v>
      </c>
      <c r="CG191" s="173">
        <f t="shared" si="530"/>
        <v>0.55108503148088794</v>
      </c>
      <c r="CI191" s="170">
        <v>81</v>
      </c>
      <c r="CJ191" s="217">
        <f t="shared" si="589"/>
        <v>8.1000000000000014</v>
      </c>
      <c r="CK191" s="217"/>
      <c r="CL191" s="217">
        <f t="shared" si="531"/>
        <v>121.50000000000003</v>
      </c>
      <c r="CM191" s="541">
        <f t="shared" si="532"/>
        <v>19</v>
      </c>
      <c r="CN191" s="443">
        <f t="shared" si="533"/>
        <v>15.4</v>
      </c>
      <c r="CO191" s="443">
        <f t="shared" si="534"/>
        <v>34.4</v>
      </c>
      <c r="CP191" s="443"/>
      <c r="CQ191" s="217">
        <f t="shared" si="535"/>
        <v>0.44767441860465118</v>
      </c>
      <c r="CR191" s="172">
        <f t="shared" si="590"/>
        <v>212.84736191860466</v>
      </c>
      <c r="CS191" s="172">
        <f t="shared" si="536"/>
        <v>121.50000000000003</v>
      </c>
      <c r="CT191" s="217">
        <f t="shared" si="537"/>
        <v>14.189824127906977</v>
      </c>
      <c r="CU191" s="217">
        <f t="shared" si="538"/>
        <v>15</v>
      </c>
      <c r="CV191" s="217"/>
      <c r="CW191" s="172">
        <f t="shared" si="539"/>
        <v>39.830884899346081</v>
      </c>
      <c r="CX191" s="536">
        <f t="shared" si="540"/>
        <v>15</v>
      </c>
      <c r="CY191" s="217">
        <f t="shared" si="541"/>
        <v>28.56869446343131</v>
      </c>
      <c r="CZ191" s="217">
        <f t="shared" si="542"/>
        <v>18.043385976903984</v>
      </c>
      <c r="DA191" s="217">
        <f t="shared" si="543"/>
        <v>22.261320361115306</v>
      </c>
      <c r="DB191" s="197">
        <f t="shared" si="544"/>
        <v>70.881782945736433</v>
      </c>
      <c r="DC191" s="443">
        <f t="shared" si="545"/>
        <v>24.810998289217245</v>
      </c>
      <c r="DE191" s="217">
        <f t="shared" si="546"/>
        <v>10.000000000000002</v>
      </c>
      <c r="DF191" s="173">
        <f t="shared" si="547"/>
        <v>7.792207792207793</v>
      </c>
      <c r="DG191" s="173">
        <f t="shared" si="548"/>
        <v>2.7616279069767451</v>
      </c>
      <c r="DH191" s="173"/>
      <c r="DI191" s="173">
        <f t="shared" si="549"/>
        <v>7.7922077922077913</v>
      </c>
      <c r="DJ191" s="545">
        <f t="shared" si="550"/>
        <v>207.90000000000006</v>
      </c>
      <c r="DK191" s="528">
        <f t="shared" si="551"/>
        <v>2.7616279069767442</v>
      </c>
      <c r="DM191" s="173">
        <f t="shared" si="552"/>
        <v>7.7071395471990787</v>
      </c>
      <c r="DN191" s="173">
        <f t="shared" si="553"/>
        <v>28.56869446343131</v>
      </c>
      <c r="DO191" s="173">
        <f t="shared" si="554"/>
        <v>14.954588491430599</v>
      </c>
      <c r="DQ191" s="545">
        <f t="shared" si="555"/>
        <v>8100.0000000000018</v>
      </c>
      <c r="DR191" s="460">
        <f t="shared" si="556"/>
        <v>24.810998289217245</v>
      </c>
      <c r="DT191">
        <f t="shared" si="591"/>
        <v>8100.0000000000018</v>
      </c>
      <c r="DU191">
        <f t="shared" si="592"/>
        <v>24.810998289217245</v>
      </c>
      <c r="DW191" s="5">
        <f t="shared" si="557"/>
        <v>40.304706338019287</v>
      </c>
      <c r="DX191" s="5">
        <f t="shared" si="558"/>
        <v>18.043385976903984</v>
      </c>
      <c r="DY191" s="5">
        <f t="shared" si="559"/>
        <v>22.261320361115303</v>
      </c>
      <c r="DZ191" s="5"/>
      <c r="EA191" s="173">
        <f t="shared" si="560"/>
        <v>0.44767441860465118</v>
      </c>
      <c r="EB191" s="173">
        <f t="shared" si="561"/>
        <v>121.50000000000006</v>
      </c>
      <c r="EC191" s="173">
        <f t="shared" si="562"/>
        <v>7.8896103896103904</v>
      </c>
      <c r="ED191" s="173">
        <f t="shared" si="563"/>
        <v>15.400000000000006</v>
      </c>
      <c r="EE191" s="460">
        <f t="shared" si="564"/>
        <v>974.34284275281527</v>
      </c>
      <c r="EF191" s="5">
        <f t="shared" si="565"/>
        <v>49.088029471424854</v>
      </c>
      <c r="EH191" s="173">
        <f t="shared" si="566"/>
        <v>11.035980035506675</v>
      </c>
      <c r="EI191" s="173">
        <f t="shared" si="567"/>
        <v>12.25821815915871</v>
      </c>
      <c r="EK191" s="528">
        <f t="shared" si="568"/>
        <v>2.4358571068820387</v>
      </c>
      <c r="EL191" s="528">
        <f t="shared" si="569"/>
        <v>0.48766666666666675</v>
      </c>
      <c r="EM191" s="528">
        <f t="shared" si="570"/>
        <v>3.1013747861521552E-3</v>
      </c>
      <c r="EN191" s="528">
        <f t="shared" si="571"/>
        <v>2.936034293552812E-3</v>
      </c>
      <c r="EO191">
        <f t="shared" si="572"/>
        <v>8.5500000000000003E-3</v>
      </c>
      <c r="EP191" s="460">
        <f t="shared" si="573"/>
        <v>11.651374786152155</v>
      </c>
      <c r="EQ191" s="460"/>
      <c r="ER191" s="460">
        <f t="shared" si="593"/>
        <v>2938.1111826284109</v>
      </c>
      <c r="ES191" s="528">
        <f t="shared" si="574"/>
        <v>5.6700000000000008</v>
      </c>
      <c r="EV191" s="460">
        <f t="shared" si="494"/>
        <v>5670.0000000000009</v>
      </c>
      <c r="EW191" s="528">
        <f t="shared" si="575"/>
        <v>3.6537856603230576</v>
      </c>
      <c r="EX191" s="528">
        <f t="shared" si="576"/>
        <v>4.5079173731258511</v>
      </c>
      <c r="EY191" s="528">
        <f t="shared" si="577"/>
        <v>0.66881589702681232</v>
      </c>
      <c r="EZ191" s="528"/>
      <c r="FA191" s="528">
        <f t="shared" si="578"/>
        <v>2.0250000000000008E-2</v>
      </c>
      <c r="FB191" s="460">
        <f t="shared" si="579"/>
        <v>8850.7689304757223</v>
      </c>
      <c r="FC191" s="173">
        <f t="shared" si="580"/>
        <v>17.458880113104133</v>
      </c>
      <c r="FD191" s="5">
        <f t="shared" si="581"/>
        <v>121.50000000000003</v>
      </c>
      <c r="FE191" s="173">
        <f t="shared" si="582"/>
        <v>0.87435937812039322</v>
      </c>
      <c r="FF191" s="5">
        <f t="shared" si="583"/>
        <v>87.435937812039327</v>
      </c>
      <c r="FI191" s="562">
        <f t="shared" si="584"/>
        <v>-50</v>
      </c>
      <c r="FJ191">
        <f t="shared" si="585"/>
        <v>-50</v>
      </c>
      <c r="FL191">
        <f t="shared" si="586"/>
        <v>0.55232558139534882</v>
      </c>
    </row>
    <row r="192" spans="5:168">
      <c r="E192" s="170">
        <v>82</v>
      </c>
      <c r="F192" s="217">
        <f t="shared" si="587"/>
        <v>8.1999999999999993</v>
      </c>
      <c r="G192" s="217"/>
      <c r="H192" s="217">
        <f t="shared" si="495"/>
        <v>122.99999999999999</v>
      </c>
      <c r="I192" s="541">
        <f t="shared" si="496"/>
        <v>18.256033603951323</v>
      </c>
      <c r="J192" s="172">
        <f t="shared" si="497"/>
        <v>15.846379837629206</v>
      </c>
      <c r="K192" s="172">
        <f t="shared" si="498"/>
        <v>34.102413441580531</v>
      </c>
      <c r="L192" s="443"/>
      <c r="M192" s="217">
        <f t="shared" si="499"/>
        <v>0.4646547869163844</v>
      </c>
      <c r="N192" s="172">
        <f t="shared" si="500"/>
        <v>212.27030049790821</v>
      </c>
      <c r="O192" s="172">
        <f t="shared" si="438"/>
        <v>122.99999999999999</v>
      </c>
      <c r="P192" s="217">
        <f t="shared" si="501"/>
        <v>14.151353366527214</v>
      </c>
      <c r="Q192" s="217">
        <f t="shared" si="502"/>
        <v>15</v>
      </c>
      <c r="R192" s="217"/>
      <c r="S192" s="172">
        <f t="shared" si="503"/>
        <v>37.594800505087825</v>
      </c>
      <c r="T192" s="536">
        <f t="shared" si="504"/>
        <v>15</v>
      </c>
      <c r="U192" s="217">
        <f t="shared" si="505"/>
        <v>30.634438487896738</v>
      </c>
      <c r="V192" s="217">
        <f t="shared" si="506"/>
        <v>20.136535122020966</v>
      </c>
      <c r="W192" s="217">
        <f t="shared" si="507"/>
        <v>23.198564316994176</v>
      </c>
      <c r="X192" s="197">
        <f t="shared" si="508"/>
        <v>70.691976906636938</v>
      </c>
      <c r="Y192" s="443">
        <f t="shared" si="509"/>
        <v>22.969971652432317</v>
      </c>
      <c r="AA192" s="217">
        <f t="shared" si="510"/>
        <v>10</v>
      </c>
      <c r="AB192" s="173">
        <f t="shared" si="511"/>
        <v>7.5727075350702524</v>
      </c>
      <c r="AC192" s="173">
        <f t="shared" si="512"/>
        <v>2.6766483309495088</v>
      </c>
      <c r="AD192" s="173"/>
      <c r="AE192" s="173">
        <f t="shared" si="513"/>
        <v>7.5727075350702524</v>
      </c>
      <c r="AF192" s="545">
        <f t="shared" si="514"/>
        <v>216.56719111426577</v>
      </c>
      <c r="AG192" s="528">
        <f t="shared" si="515"/>
        <v>2.6766483309495093</v>
      </c>
      <c r="AI192" s="173">
        <f t="shared" si="516"/>
        <v>7.8661515570424685</v>
      </c>
      <c r="AJ192" s="173">
        <f t="shared" si="517"/>
        <v>30.634438487896738</v>
      </c>
      <c r="AK192" s="173">
        <f t="shared" si="518"/>
        <v>16.48476925029388</v>
      </c>
      <c r="AM192" s="545">
        <f t="shared" si="519"/>
        <v>8200</v>
      </c>
      <c r="AN192" s="460">
        <f t="shared" si="520"/>
        <v>22.969971652432317</v>
      </c>
      <c r="AP192">
        <f t="shared" si="521"/>
        <v>8200</v>
      </c>
      <c r="AQ192">
        <f t="shared" si="522"/>
        <v>22.969971652432317</v>
      </c>
      <c r="AS192" s="5">
        <f t="shared" si="439"/>
        <v>43.535099439015141</v>
      </c>
      <c r="AT192" s="5">
        <f t="shared" si="523"/>
        <v>20.136535122020966</v>
      </c>
      <c r="AU192" s="5">
        <f t="shared" si="478"/>
        <v>23.398564316994175</v>
      </c>
      <c r="AV192" s="5"/>
      <c r="AW192" s="173">
        <f t="shared" si="479"/>
        <v>0.46253564093102939</v>
      </c>
      <c r="AX192" s="173">
        <f t="shared" si="435"/>
        <v>129.33961335496963</v>
      </c>
      <c r="AY192" s="173">
        <f t="shared" si="436"/>
        <v>8.2324594236676134</v>
      </c>
      <c r="AZ192" s="173">
        <f t="shared" si="440"/>
        <v>15.71093238347818</v>
      </c>
      <c r="BA192" s="460">
        <f t="shared" si="594"/>
        <v>1100.797253337146</v>
      </c>
      <c r="BB192" s="5">
        <f t="shared" si="595"/>
        <v>54.361308014021134</v>
      </c>
      <c r="BD192" s="173">
        <f t="shared" si="441"/>
        <v>12.028788770166157</v>
      </c>
      <c r="BE192" s="173">
        <f t="shared" si="437"/>
        <v>12.966540834482451</v>
      </c>
      <c r="BG192" s="528">
        <f t="shared" si="480"/>
        <v>2.8938351855455089</v>
      </c>
      <c r="BH192" s="528">
        <f t="shared" si="524"/>
        <v>0.44994224501903202</v>
      </c>
      <c r="BI192" s="528">
        <f t="shared" si="525"/>
        <v>1.0483514359215343E-2</v>
      </c>
      <c r="BJ192" s="528">
        <f t="shared" si="481"/>
        <v>2.6713493652853857E-3</v>
      </c>
      <c r="BK192">
        <f t="shared" si="482"/>
        <v>8.215215121778096E-3</v>
      </c>
      <c r="BL192" s="460">
        <f t="shared" si="588"/>
        <v>18.698729480993435</v>
      </c>
      <c r="BM192" s="528">
        <f t="shared" si="526"/>
        <v>13.212090748371669</v>
      </c>
      <c r="BN192" s="460">
        <f t="shared" si="527"/>
        <v>13212.090748371669</v>
      </c>
      <c r="BO192" s="528">
        <f t="shared" si="483"/>
        <v>5.7399999999999993</v>
      </c>
      <c r="BR192" s="460">
        <f t="shared" si="484"/>
        <v>5739.9999999999991</v>
      </c>
      <c r="BS192" s="528">
        <f t="shared" si="485"/>
        <v>4.3407527783182633</v>
      </c>
      <c r="BT192" s="528">
        <f t="shared" si="486"/>
        <v>5.0439354363690256</v>
      </c>
      <c r="BU192" s="528">
        <f t="shared" si="487"/>
        <v>0.65674377248375793</v>
      </c>
      <c r="BV192" s="528"/>
      <c r="BW192" s="528">
        <f t="shared" si="488"/>
        <v>2.1556602225828274E-2</v>
      </c>
      <c r="BX192" s="460">
        <f t="shared" si="489"/>
        <v>10062.988589396875</v>
      </c>
      <c r="BY192" s="173">
        <f t="shared" si="490"/>
        <v>19.168136098807693</v>
      </c>
      <c r="BZ192" s="5">
        <f t="shared" si="491"/>
        <v>122.99999999999999</v>
      </c>
      <c r="CA192" s="173">
        <f t="shared" si="492"/>
        <v>0.86517276919572383</v>
      </c>
      <c r="CB192" s="5">
        <f t="shared" si="493"/>
        <v>86.517276919572382</v>
      </c>
      <c r="CE192" s="562">
        <f t="shared" si="528"/>
        <v>-50</v>
      </c>
      <c r="CF192">
        <f t="shared" si="529"/>
        <v>-50</v>
      </c>
      <c r="CG192" s="173">
        <f t="shared" si="530"/>
        <v>0.55110016013838148</v>
      </c>
      <c r="CI192" s="170">
        <v>82</v>
      </c>
      <c r="CJ192" s="217">
        <f t="shared" si="589"/>
        <v>8.1999999999999993</v>
      </c>
      <c r="CK192" s="217"/>
      <c r="CL192" s="217">
        <f t="shared" si="531"/>
        <v>122.99999999999999</v>
      </c>
      <c r="CM192" s="541">
        <f t="shared" si="532"/>
        <v>19</v>
      </c>
      <c r="CN192" s="443">
        <f t="shared" si="533"/>
        <v>15.4</v>
      </c>
      <c r="CO192" s="443">
        <f t="shared" si="534"/>
        <v>34.4</v>
      </c>
      <c r="CP192" s="443"/>
      <c r="CQ192" s="217">
        <f t="shared" si="535"/>
        <v>0.44767441860465118</v>
      </c>
      <c r="CR192" s="172">
        <f t="shared" si="590"/>
        <v>212.84736191860466</v>
      </c>
      <c r="CS192" s="172">
        <f t="shared" si="536"/>
        <v>122.99999999999999</v>
      </c>
      <c r="CT192" s="217">
        <f t="shared" si="537"/>
        <v>14.189824127906977</v>
      </c>
      <c r="CU192" s="217">
        <f t="shared" si="538"/>
        <v>15</v>
      </c>
      <c r="CV192" s="217"/>
      <c r="CW192" s="172">
        <f t="shared" si="539"/>
        <v>39.119141139977373</v>
      </c>
      <c r="CX192" s="536">
        <f t="shared" si="540"/>
        <v>15</v>
      </c>
      <c r="CY192" s="217">
        <f t="shared" si="541"/>
        <v>28.9213943950786</v>
      </c>
      <c r="CZ192" s="217">
        <f t="shared" si="542"/>
        <v>18.266143828470696</v>
      </c>
      <c r="DA192" s="217">
        <f t="shared" si="543"/>
        <v>22.536151476684626</v>
      </c>
      <c r="DB192" s="197">
        <f t="shared" si="544"/>
        <v>70.881782945736433</v>
      </c>
      <c r="DC192" s="443">
        <f t="shared" si="545"/>
        <v>24.508425139348745</v>
      </c>
      <c r="DE192" s="217">
        <f t="shared" si="546"/>
        <v>10.000000000000002</v>
      </c>
      <c r="DF192" s="173">
        <f t="shared" si="547"/>
        <v>7.792207792207793</v>
      </c>
      <c r="DG192" s="173">
        <f t="shared" si="548"/>
        <v>2.7616279069767451</v>
      </c>
      <c r="DH192" s="173"/>
      <c r="DI192" s="173">
        <f t="shared" si="549"/>
        <v>7.7922077922077913</v>
      </c>
      <c r="DJ192" s="545">
        <f t="shared" si="550"/>
        <v>210.46666666666667</v>
      </c>
      <c r="DK192" s="528">
        <f t="shared" si="551"/>
        <v>2.7616279069767442</v>
      </c>
      <c r="DM192" s="173">
        <f t="shared" si="552"/>
        <v>7.7545685459175182</v>
      </c>
      <c r="DN192" s="173">
        <f t="shared" si="553"/>
        <v>28.9213943950786</v>
      </c>
      <c r="DO192" s="173">
        <f t="shared" si="554"/>
        <v>15.215847700058223</v>
      </c>
      <c r="DQ192" s="545">
        <f t="shared" si="555"/>
        <v>8200</v>
      </c>
      <c r="DR192" s="460">
        <f t="shared" si="556"/>
        <v>24.508425139348745</v>
      </c>
      <c r="DT192">
        <f t="shared" si="591"/>
        <v>8200</v>
      </c>
      <c r="DU192">
        <f t="shared" si="592"/>
        <v>24.508425139348745</v>
      </c>
      <c r="DW192" s="5">
        <f t="shared" si="557"/>
        <v>40.802295305155326</v>
      </c>
      <c r="DX192" s="5">
        <f t="shared" si="558"/>
        <v>18.266143828470696</v>
      </c>
      <c r="DY192" s="5">
        <f t="shared" si="559"/>
        <v>22.53615147668463</v>
      </c>
      <c r="DZ192" s="5"/>
      <c r="EA192" s="173">
        <f t="shared" si="560"/>
        <v>0.44767441860465113</v>
      </c>
      <c r="EB192" s="173">
        <f t="shared" si="561"/>
        <v>122.99999999999997</v>
      </c>
      <c r="EC192" s="173">
        <f t="shared" si="562"/>
        <v>7.9870129870129869</v>
      </c>
      <c r="ED192" s="173">
        <f t="shared" si="563"/>
        <v>15.399999999999997</v>
      </c>
      <c r="EE192" s="460">
        <f t="shared" si="564"/>
        <v>998.54919595639797</v>
      </c>
      <c r="EF192" s="5">
        <f t="shared" si="565"/>
        <v>50.307561372635362</v>
      </c>
      <c r="EH192" s="173">
        <f t="shared" si="566"/>
        <v>11.172226702611692</v>
      </c>
      <c r="EI192" s="173">
        <f t="shared" si="567"/>
        <v>12.409554185814986</v>
      </c>
      <c r="EK192" s="528">
        <f t="shared" si="568"/>
        <v>2.4963729898909945</v>
      </c>
      <c r="EL192" s="528">
        <f t="shared" si="569"/>
        <v>0.48766666666666658</v>
      </c>
      <c r="EM192" s="528">
        <f t="shared" si="570"/>
        <v>3.0635531424185931E-3</v>
      </c>
      <c r="EN192" s="528">
        <f t="shared" si="571"/>
        <v>2.9002289972899732E-3</v>
      </c>
      <c r="EO192">
        <f t="shared" si="572"/>
        <v>8.5500000000000003E-3</v>
      </c>
      <c r="EP192" s="460">
        <f t="shared" si="573"/>
        <v>11.613553142418594</v>
      </c>
      <c r="EQ192" s="460"/>
      <c r="ER192" s="460">
        <f t="shared" si="593"/>
        <v>2998.55343869737</v>
      </c>
      <c r="ES192" s="528">
        <f t="shared" si="574"/>
        <v>5.7399999999999993</v>
      </c>
      <c r="EV192" s="460">
        <f t="shared" si="494"/>
        <v>5739.9999999999991</v>
      </c>
      <c r="EW192" s="528">
        <f t="shared" si="575"/>
        <v>3.7445594848364916</v>
      </c>
      <c r="EX192" s="528">
        <f t="shared" si="576"/>
        <v>4.6199110527203473</v>
      </c>
      <c r="EY192" s="528">
        <f t="shared" si="577"/>
        <v>0.66881589702681232</v>
      </c>
      <c r="EZ192" s="528"/>
      <c r="FA192" s="528">
        <f t="shared" si="578"/>
        <v>2.0499999999999997E-2</v>
      </c>
      <c r="FB192" s="460">
        <f t="shared" si="579"/>
        <v>9053.7864345836515</v>
      </c>
      <c r="FC192" s="173">
        <f t="shared" si="580"/>
        <v>17.792339873281016</v>
      </c>
      <c r="FD192" s="5">
        <f t="shared" si="581"/>
        <v>122.99999999999999</v>
      </c>
      <c r="FE192" s="173">
        <f t="shared" si="582"/>
        <v>0.87362707453193211</v>
      </c>
      <c r="FF192" s="5">
        <f t="shared" si="583"/>
        <v>87.36270745319321</v>
      </c>
      <c r="FI192" s="562">
        <f t="shared" si="584"/>
        <v>-50</v>
      </c>
      <c r="FJ192">
        <f t="shared" si="585"/>
        <v>-50</v>
      </c>
      <c r="FL192">
        <f t="shared" si="586"/>
        <v>0.55232558139534893</v>
      </c>
    </row>
    <row r="193" spans="5:168">
      <c r="E193" s="170">
        <v>83</v>
      </c>
      <c r="F193" s="217">
        <f t="shared" si="587"/>
        <v>8.2999999999999989</v>
      </c>
      <c r="G193" s="217"/>
      <c r="H193" s="217">
        <f t="shared" si="495"/>
        <v>124.49999999999999</v>
      </c>
      <c r="I193" s="541">
        <f t="shared" si="496"/>
        <v>18.246981016591356</v>
      </c>
      <c r="J193" s="172">
        <f t="shared" si="497"/>
        <v>15.851811390045187</v>
      </c>
      <c r="K193" s="172">
        <f t="shared" si="498"/>
        <v>34.098792406636541</v>
      </c>
      <c r="L193" s="443"/>
      <c r="M193" s="217">
        <f t="shared" si="499"/>
        <v>0.46486342493432181</v>
      </c>
      <c r="N193" s="172">
        <f t="shared" si="500"/>
        <v>212.26030816174477</v>
      </c>
      <c r="O193" s="172">
        <f t="shared" si="438"/>
        <v>124.49999999999999</v>
      </c>
      <c r="P193" s="217">
        <f t="shared" si="501"/>
        <v>14.150687210782985</v>
      </c>
      <c r="Q193" s="217">
        <f t="shared" si="502"/>
        <v>15</v>
      </c>
      <c r="R193" s="217"/>
      <c r="S193" s="172">
        <f t="shared" si="503"/>
        <v>36.909433780890168</v>
      </c>
      <c r="T193" s="536">
        <f t="shared" si="504"/>
        <v>15</v>
      </c>
      <c r="U193" s="217">
        <f t="shared" si="505"/>
        <v>31.020118551909206</v>
      </c>
      <c r="V193" s="217">
        <f t="shared" si="506"/>
        <v>20.400164952462223</v>
      </c>
      <c r="W193" s="217">
        <f t="shared" si="507"/>
        <v>23.482579590662755</v>
      </c>
      <c r="X193" s="197">
        <f t="shared" si="508"/>
        <v>70.688647382628375</v>
      </c>
      <c r="Y193" s="443">
        <f t="shared" si="509"/>
        <v>22.684613001391657</v>
      </c>
      <c r="AA193" s="217">
        <f t="shared" si="510"/>
        <v>10</v>
      </c>
      <c r="AB193" s="173">
        <f t="shared" si="511"/>
        <v>7.5701127806352186</v>
      </c>
      <c r="AC193" s="173">
        <f t="shared" si="512"/>
        <v>2.675605164985257</v>
      </c>
      <c r="AD193" s="173"/>
      <c r="AE193" s="173">
        <f t="shared" si="513"/>
        <v>7.5701127806352186</v>
      </c>
      <c r="AF193" s="545">
        <f t="shared" si="514"/>
        <v>219.28339089562505</v>
      </c>
      <c r="AG193" s="528">
        <f t="shared" si="515"/>
        <v>2.6756051649852566</v>
      </c>
      <c r="AI193" s="173">
        <f t="shared" si="516"/>
        <v>7.9153267398604603</v>
      </c>
      <c r="AJ193" s="173">
        <f t="shared" si="517"/>
        <v>31.020118551909206</v>
      </c>
      <c r="AK193" s="173">
        <f t="shared" si="518"/>
        <v>16.770458186599409</v>
      </c>
      <c r="AM193" s="545">
        <f t="shared" si="519"/>
        <v>8299.9999999999982</v>
      </c>
      <c r="AN193" s="460">
        <f t="shared" si="520"/>
        <v>22.684613001391657</v>
      </c>
      <c r="AP193">
        <f t="shared" si="521"/>
        <v>8299.9999999999982</v>
      </c>
      <c r="AQ193">
        <f t="shared" si="522"/>
        <v>22.684613001391657</v>
      </c>
      <c r="AS193" s="5">
        <f t="shared" si="439"/>
        <v>44.082744543124974</v>
      </c>
      <c r="AT193" s="5">
        <f t="shared" si="523"/>
        <v>20.400164952462223</v>
      </c>
      <c r="AU193" s="5">
        <f t="shared" si="478"/>
        <v>23.682579590662751</v>
      </c>
      <c r="AV193" s="5"/>
      <c r="AW193" s="173">
        <f t="shared" si="479"/>
        <v>0.46276984711115898</v>
      </c>
      <c r="AX193" s="173">
        <f t="shared" si="435"/>
        <v>130.96930759832708</v>
      </c>
      <c r="AY193" s="173">
        <f t="shared" si="436"/>
        <v>8.3324715161360778</v>
      </c>
      <c r="AZ193" s="173">
        <f t="shared" si="440"/>
        <v>15.717942430970346</v>
      </c>
      <c r="BA193" s="460">
        <f t="shared" si="594"/>
        <v>1128.8091273695761</v>
      </c>
      <c r="BB193" s="5">
        <f t="shared" si="595"/>
        <v>55.719773047549701</v>
      </c>
      <c r="BD193" s="173">
        <f t="shared" si="441"/>
        <v>12.183311624959313</v>
      </c>
      <c r="BE193" s="173">
        <f t="shared" si="437"/>
        <v>13.126925363819911</v>
      </c>
      <c r="BG193" s="528">
        <f t="shared" si="480"/>
        <v>2.9686616430173745</v>
      </c>
      <c r="BH193" s="528">
        <f t="shared" si="524"/>
        <v>0.44989907356042091</v>
      </c>
      <c r="BI193" s="528">
        <f t="shared" si="525"/>
        <v>1.0348142570127875E-2</v>
      </c>
      <c r="BJ193" s="528">
        <f t="shared" si="481"/>
        <v>2.6376026620879476E-3</v>
      </c>
      <c r="BK193">
        <f t="shared" si="482"/>
        <v>8.2111414574661101E-3</v>
      </c>
      <c r="BL193" s="460">
        <f t="shared" si="588"/>
        <v>18.559284027593986</v>
      </c>
      <c r="BM193" s="528">
        <f t="shared" si="526"/>
        <v>14.331560768865799</v>
      </c>
      <c r="BN193" s="460">
        <f t="shared" si="527"/>
        <v>14331.560768865798</v>
      </c>
      <c r="BO193" s="528">
        <f t="shared" si="483"/>
        <v>5.8099999999999987</v>
      </c>
      <c r="BR193" s="460">
        <f t="shared" si="484"/>
        <v>5809.9999999999991</v>
      </c>
      <c r="BS193" s="528">
        <f t="shared" si="485"/>
        <v>4.4529924645260612</v>
      </c>
      <c r="BT193" s="528">
        <f t="shared" si="486"/>
        <v>5.1694850852189544</v>
      </c>
      <c r="BU193" s="528">
        <f t="shared" si="487"/>
        <v>0.65676057440128288</v>
      </c>
      <c r="BV193" s="528"/>
      <c r="BW193" s="528">
        <f t="shared" si="488"/>
        <v>2.1828217933054516E-2</v>
      </c>
      <c r="BX193" s="460">
        <f t="shared" si="489"/>
        <v>10301.066342079352</v>
      </c>
      <c r="BY193" s="173">
        <f t="shared" si="490"/>
        <v>19.550823945346831</v>
      </c>
      <c r="BZ193" s="5">
        <f t="shared" si="491"/>
        <v>124.49999999999999</v>
      </c>
      <c r="CA193" s="173">
        <f t="shared" si="492"/>
        <v>0.86427829143994028</v>
      </c>
      <c r="CB193" s="5">
        <f t="shared" si="493"/>
        <v>86.427829143994032</v>
      </c>
      <c r="CE193" s="562">
        <f t="shared" si="528"/>
        <v>-50</v>
      </c>
      <c r="CF193">
        <f t="shared" si="529"/>
        <v>-50</v>
      </c>
      <c r="CG193" s="173">
        <f t="shared" si="530"/>
        <v>0.55111492424991115</v>
      </c>
      <c r="CI193" s="170">
        <v>83</v>
      </c>
      <c r="CJ193" s="217">
        <f t="shared" si="589"/>
        <v>8.2999999999999989</v>
      </c>
      <c r="CK193" s="217"/>
      <c r="CL193" s="217">
        <f t="shared" si="531"/>
        <v>124.49999999999999</v>
      </c>
      <c r="CM193" s="541">
        <f t="shared" si="532"/>
        <v>19</v>
      </c>
      <c r="CN193" s="443">
        <f t="shared" si="533"/>
        <v>15.4</v>
      </c>
      <c r="CO193" s="443">
        <f t="shared" si="534"/>
        <v>34.4</v>
      </c>
      <c r="CP193" s="443"/>
      <c r="CQ193" s="217">
        <f t="shared" si="535"/>
        <v>0.44767441860465118</v>
      </c>
      <c r="CR193" s="172">
        <f t="shared" si="590"/>
        <v>212.84736191860466</v>
      </c>
      <c r="CS193" s="172">
        <f t="shared" si="536"/>
        <v>124.49999999999999</v>
      </c>
      <c r="CT193" s="217">
        <f t="shared" si="537"/>
        <v>14.189824127906977</v>
      </c>
      <c r="CU193" s="217">
        <f t="shared" si="538"/>
        <v>15</v>
      </c>
      <c r="CV193" s="217"/>
      <c r="CW193" s="172">
        <f t="shared" si="539"/>
        <v>38.424667500061396</v>
      </c>
      <c r="CX193" s="536">
        <f t="shared" si="540"/>
        <v>15</v>
      </c>
      <c r="CY193" s="217">
        <f t="shared" si="541"/>
        <v>29.274094326725901</v>
      </c>
      <c r="CZ193" s="217">
        <f t="shared" si="542"/>
        <v>18.488901680037412</v>
      </c>
      <c r="DA193" s="217">
        <f t="shared" si="543"/>
        <v>22.810982592253946</v>
      </c>
      <c r="DB193" s="197">
        <f t="shared" si="544"/>
        <v>70.881782945736433</v>
      </c>
      <c r="DC193" s="443">
        <f t="shared" si="545"/>
        <v>24.213142908754186</v>
      </c>
      <c r="DE193" s="217">
        <f t="shared" si="546"/>
        <v>10.000000000000002</v>
      </c>
      <c r="DF193" s="173">
        <f t="shared" si="547"/>
        <v>7.792207792207793</v>
      </c>
      <c r="DG193" s="173">
        <f t="shared" si="548"/>
        <v>2.7616279069767451</v>
      </c>
      <c r="DH193" s="173"/>
      <c r="DI193" s="173">
        <f t="shared" si="549"/>
        <v>7.7922077922077913</v>
      </c>
      <c r="DJ193" s="545">
        <f t="shared" si="550"/>
        <v>213.0333333333333</v>
      </c>
      <c r="DK193" s="528">
        <f t="shared" si="551"/>
        <v>2.7616279069767442</v>
      </c>
      <c r="DM193" s="173">
        <f t="shared" si="552"/>
        <v>7.8017092144392732</v>
      </c>
      <c r="DN193" s="173">
        <f t="shared" si="553"/>
        <v>29.274094326725901</v>
      </c>
      <c r="DO193" s="173">
        <f t="shared" si="554"/>
        <v>15.477106908685851</v>
      </c>
      <c r="DQ193" s="545">
        <f t="shared" si="555"/>
        <v>8299.9999999999982</v>
      </c>
      <c r="DR193" s="460">
        <f t="shared" si="556"/>
        <v>24.213142908754186</v>
      </c>
      <c r="DT193">
        <f t="shared" si="591"/>
        <v>8299.9999999999982</v>
      </c>
      <c r="DU193">
        <f t="shared" si="592"/>
        <v>24.213142908754186</v>
      </c>
      <c r="DW193" s="5">
        <f t="shared" si="557"/>
        <v>41.299884272291358</v>
      </c>
      <c r="DX193" s="5">
        <f t="shared" si="558"/>
        <v>18.488901680037412</v>
      </c>
      <c r="DY193" s="5">
        <f t="shared" si="559"/>
        <v>22.810982592253946</v>
      </c>
      <c r="DZ193" s="5"/>
      <c r="EA193" s="173">
        <f t="shared" si="560"/>
        <v>0.44767441860465118</v>
      </c>
      <c r="EB193" s="173">
        <f t="shared" si="561"/>
        <v>124.49999999999999</v>
      </c>
      <c r="EC193" s="173">
        <f t="shared" si="562"/>
        <v>8.0844155844155825</v>
      </c>
      <c r="ED193" s="173">
        <f t="shared" si="563"/>
        <v>15.400000000000002</v>
      </c>
      <c r="EE193" s="460">
        <f t="shared" si="564"/>
        <v>1023.0525596287367</v>
      </c>
      <c r="EF193" s="5">
        <f t="shared" si="565"/>
        <v>51.542056855455812</v>
      </c>
      <c r="EH193" s="173">
        <f t="shared" si="566"/>
        <v>11.308473369716713</v>
      </c>
      <c r="EI193" s="173">
        <f t="shared" si="567"/>
        <v>12.560890212471266</v>
      </c>
      <c r="EK193" s="528">
        <f t="shared" si="568"/>
        <v>2.5576313990718416</v>
      </c>
      <c r="EL193" s="528">
        <f t="shared" si="569"/>
        <v>0.48766666666666675</v>
      </c>
      <c r="EM193" s="528">
        <f t="shared" si="570"/>
        <v>3.0266428635942729E-3</v>
      </c>
      <c r="EN193" s="528">
        <f t="shared" si="571"/>
        <v>2.865286479250335E-3</v>
      </c>
      <c r="EO193">
        <f t="shared" si="572"/>
        <v>8.5500000000000003E-3</v>
      </c>
      <c r="EP193" s="460">
        <f t="shared" si="573"/>
        <v>11.576642863594275</v>
      </c>
      <c r="EQ193" s="460"/>
      <c r="ER193" s="460">
        <f t="shared" si="593"/>
        <v>3059.7399950813528</v>
      </c>
      <c r="ES193" s="528">
        <f t="shared" si="574"/>
        <v>5.8099999999999987</v>
      </c>
      <c r="EV193" s="460">
        <f t="shared" si="494"/>
        <v>5809.9999999999991</v>
      </c>
      <c r="EW193" s="528">
        <f t="shared" si="575"/>
        <v>3.8364470986077621</v>
      </c>
      <c r="EX193" s="528">
        <f t="shared" si="576"/>
        <v>4.733278887892693</v>
      </c>
      <c r="EY193" s="528">
        <f t="shared" si="577"/>
        <v>0.66881589702681232</v>
      </c>
      <c r="EZ193" s="528"/>
      <c r="FA193" s="528">
        <f t="shared" si="578"/>
        <v>2.0750000000000001E-2</v>
      </c>
      <c r="FB193" s="460">
        <f t="shared" si="579"/>
        <v>9259.2918835272667</v>
      </c>
      <c r="FC193" s="173">
        <f t="shared" si="580"/>
        <v>18.129031878608615</v>
      </c>
      <c r="FD193" s="5">
        <f t="shared" si="581"/>
        <v>124.49999999999999</v>
      </c>
      <c r="FE193" s="173">
        <f t="shared" si="582"/>
        <v>0.87289381663868959</v>
      </c>
      <c r="FF193" s="5">
        <f t="shared" si="583"/>
        <v>87.289381663868966</v>
      </c>
      <c r="FI193" s="562">
        <f t="shared" si="584"/>
        <v>-50</v>
      </c>
      <c r="FJ193">
        <f t="shared" si="585"/>
        <v>-50</v>
      </c>
      <c r="FL193">
        <f t="shared" si="586"/>
        <v>0.55232558139534882</v>
      </c>
    </row>
    <row r="194" spans="5:168">
      <c r="E194" s="170">
        <v>84</v>
      </c>
      <c r="F194" s="217">
        <f t="shared" si="587"/>
        <v>8.4</v>
      </c>
      <c r="G194" s="217"/>
      <c r="H194" s="217">
        <f t="shared" si="495"/>
        <v>126</v>
      </c>
      <c r="I194" s="541">
        <f t="shared" si="496"/>
        <v>18.237928428176271</v>
      </c>
      <c r="J194" s="172">
        <f t="shared" si="497"/>
        <v>15.857242943094239</v>
      </c>
      <c r="K194" s="172">
        <f t="shared" si="498"/>
        <v>34.09517137127051</v>
      </c>
      <c r="L194" s="443"/>
      <c r="M194" s="217">
        <f t="shared" si="499"/>
        <v>0.46507210728389287</v>
      </c>
      <c r="N194" s="172">
        <f t="shared" si="500"/>
        <v>212.25024152002527</v>
      </c>
      <c r="O194" s="172">
        <f t="shared" si="438"/>
        <v>126</v>
      </c>
      <c r="P194" s="217">
        <f t="shared" si="501"/>
        <v>14.150016101335018</v>
      </c>
      <c r="Q194" s="217">
        <f t="shared" si="502"/>
        <v>15</v>
      </c>
      <c r="R194" s="217"/>
      <c r="S194" s="172">
        <f t="shared" si="503"/>
        <v>36.240720571792536</v>
      </c>
      <c r="T194" s="536">
        <f t="shared" si="504"/>
        <v>15</v>
      </c>
      <c r="U194" s="217">
        <f t="shared" si="505"/>
        <v>31.406102072370285</v>
      </c>
      <c r="V194" s="217">
        <f t="shared" si="506"/>
        <v>20.664256160047305</v>
      </c>
      <c r="W194" s="217">
        <f t="shared" si="507"/>
        <v>23.766629938186707</v>
      </c>
      <c r="X194" s="197">
        <f t="shared" si="508"/>
        <v>70.685293115544169</v>
      </c>
      <c r="Y194" s="443">
        <f t="shared" si="509"/>
        <v>22.406008202458001</v>
      </c>
      <c r="AA194" s="217">
        <f t="shared" si="510"/>
        <v>10</v>
      </c>
      <c r="AB194" s="173">
        <f t="shared" si="511"/>
        <v>7.5675198034510469</v>
      </c>
      <c r="AC194" s="173">
        <f t="shared" si="512"/>
        <v>2.6745617773231123</v>
      </c>
      <c r="AD194" s="173"/>
      <c r="AE194" s="173">
        <f t="shared" si="513"/>
        <v>7.5675198034510469</v>
      </c>
      <c r="AF194" s="545">
        <f t="shared" si="514"/>
        <v>222.00140120331932</v>
      </c>
      <c r="AG194" s="528">
        <f t="shared" si="515"/>
        <v>2.6745617773231123</v>
      </c>
      <c r="AI194" s="173">
        <f t="shared" si="516"/>
        <v>7.9642307709142228</v>
      </c>
      <c r="AJ194" s="173">
        <f t="shared" si="517"/>
        <v>31.406102072370285</v>
      </c>
      <c r="AK194" s="173">
        <f t="shared" si="518"/>
        <v>17.056371905459468</v>
      </c>
      <c r="AM194" s="545">
        <f t="shared" si="519"/>
        <v>8400</v>
      </c>
      <c r="AN194" s="460">
        <f t="shared" si="520"/>
        <v>22.406008202458001</v>
      </c>
      <c r="AP194">
        <f t="shared" si="521"/>
        <v>8400</v>
      </c>
      <c r="AQ194">
        <f t="shared" si="522"/>
        <v>22.406008202458001</v>
      </c>
      <c r="AS194" s="5">
        <f t="shared" si="439"/>
        <v>44.630886098234015</v>
      </c>
      <c r="AT194" s="5">
        <f t="shared" si="523"/>
        <v>20.664256160047305</v>
      </c>
      <c r="AU194" s="5">
        <f t="shared" si="478"/>
        <v>23.96662993818671</v>
      </c>
      <c r="AV194" s="5"/>
      <c r="AW194" s="173">
        <f t="shared" si="479"/>
        <v>0.46300349301971316</v>
      </c>
      <c r="AX194" s="173">
        <f t="shared" si="435"/>
        <v>132.60008934743101</v>
      </c>
      <c r="AY194" s="173">
        <f t="shared" si="436"/>
        <v>8.4324835553645965</v>
      </c>
      <c r="AZ194" s="173">
        <f t="shared" si="440"/>
        <v>15.724915260946247</v>
      </c>
      <c r="BA194" s="460">
        <f t="shared" si="594"/>
        <v>1157.1983449626493</v>
      </c>
      <c r="BB194" s="5">
        <f t="shared" si="595"/>
        <v>57.095779991641521</v>
      </c>
      <c r="BD194" s="173">
        <f t="shared" si="441"/>
        <v>12.338022111254467</v>
      </c>
      <c r="BE194" s="173">
        <f t="shared" si="437"/>
        <v>13.287373436546552</v>
      </c>
      <c r="BG194" s="528">
        <f t="shared" si="480"/>
        <v>3.0445357923560827</v>
      </c>
      <c r="BH194" s="528">
        <f t="shared" si="524"/>
        <v>0.44985513083258422</v>
      </c>
      <c r="BI194" s="528">
        <f t="shared" si="525"/>
        <v>1.0215979348938985E-2</v>
      </c>
      <c r="BJ194" s="528">
        <f t="shared" si="481"/>
        <v>2.6046552342197443E-3</v>
      </c>
      <c r="BK194">
        <f t="shared" si="482"/>
        <v>8.2070677926793217E-3</v>
      </c>
      <c r="BL194" s="460">
        <f t="shared" si="588"/>
        <v>18.423047141618305</v>
      </c>
      <c r="BM194" s="528">
        <f t="shared" si="526"/>
        <v>15.613646345641541</v>
      </c>
      <c r="BN194" s="460">
        <f t="shared" si="527"/>
        <v>15613.64634564154</v>
      </c>
      <c r="BO194" s="528">
        <f t="shared" si="483"/>
        <v>5.88</v>
      </c>
      <c r="BR194" s="460">
        <f t="shared" si="484"/>
        <v>5880</v>
      </c>
      <c r="BS194" s="528">
        <f t="shared" si="485"/>
        <v>4.5668036885341241</v>
      </c>
      <c r="BT194" s="528">
        <f t="shared" si="486"/>
        <v>5.2966287852672878</v>
      </c>
      <c r="BU194" s="528">
        <f t="shared" si="487"/>
        <v>0.65677456508937149</v>
      </c>
      <c r="BV194" s="528"/>
      <c r="BW194" s="528">
        <f t="shared" si="488"/>
        <v>2.2100014891238501E-2</v>
      </c>
      <c r="BX194" s="460">
        <f t="shared" si="489"/>
        <v>10542.307053782022</v>
      </c>
      <c r="BY194" s="173">
        <f t="shared" si="490"/>
        <v>19.937725679346528</v>
      </c>
      <c r="BZ194" s="5">
        <f t="shared" si="491"/>
        <v>126</v>
      </c>
      <c r="CA194" s="173">
        <f t="shared" si="492"/>
        <v>0.86338196250122756</v>
      </c>
      <c r="CB194" s="5">
        <f t="shared" si="493"/>
        <v>86.338196250122763</v>
      </c>
      <c r="CE194" s="562">
        <f t="shared" si="528"/>
        <v>-50</v>
      </c>
      <c r="CF194">
        <f t="shared" si="529"/>
        <v>-50</v>
      </c>
      <c r="CG194" s="173">
        <f t="shared" si="530"/>
        <v>0.55112933683497578</v>
      </c>
      <c r="CI194" s="170">
        <v>84</v>
      </c>
      <c r="CJ194" s="217">
        <f t="shared" si="589"/>
        <v>8.4</v>
      </c>
      <c r="CK194" s="217"/>
      <c r="CL194" s="217">
        <f t="shared" si="531"/>
        <v>126</v>
      </c>
      <c r="CM194" s="541">
        <f t="shared" si="532"/>
        <v>19</v>
      </c>
      <c r="CN194" s="443">
        <f t="shared" si="533"/>
        <v>15.4</v>
      </c>
      <c r="CO194" s="443">
        <f t="shared" si="534"/>
        <v>34.4</v>
      </c>
      <c r="CP194" s="443"/>
      <c r="CQ194" s="217">
        <f t="shared" si="535"/>
        <v>0.44767441860465118</v>
      </c>
      <c r="CR194" s="172">
        <f t="shared" si="590"/>
        <v>212.84736191860466</v>
      </c>
      <c r="CS194" s="172">
        <f t="shared" si="536"/>
        <v>126</v>
      </c>
      <c r="CT194" s="217">
        <f t="shared" si="537"/>
        <v>14.189824127906977</v>
      </c>
      <c r="CU194" s="217">
        <f t="shared" si="538"/>
        <v>15</v>
      </c>
      <c r="CV194" s="217"/>
      <c r="CW194" s="172">
        <f t="shared" si="539"/>
        <v>37.746849132744899</v>
      </c>
      <c r="CX194" s="536">
        <f t="shared" si="540"/>
        <v>15</v>
      </c>
      <c r="CY194" s="217">
        <f t="shared" si="541"/>
        <v>29.626794258373206</v>
      </c>
      <c r="CZ194" s="217">
        <f t="shared" si="542"/>
        <v>18.711659531604131</v>
      </c>
      <c r="DA194" s="217">
        <f t="shared" si="543"/>
        <v>23.085813707823277</v>
      </c>
      <c r="DB194" s="197">
        <f t="shared" si="544"/>
        <v>70.881782945736433</v>
      </c>
      <c r="DC194" s="443">
        <f t="shared" si="545"/>
        <v>23.924891207459492</v>
      </c>
      <c r="DE194" s="217">
        <f t="shared" si="546"/>
        <v>10.000000000000002</v>
      </c>
      <c r="DF194" s="173">
        <f t="shared" si="547"/>
        <v>7.792207792207793</v>
      </c>
      <c r="DG194" s="173">
        <f t="shared" si="548"/>
        <v>2.7616279069767451</v>
      </c>
      <c r="DH194" s="173"/>
      <c r="DI194" s="173">
        <f t="shared" si="549"/>
        <v>7.7922077922077913</v>
      </c>
      <c r="DJ194" s="545">
        <f t="shared" si="550"/>
        <v>215.60000000000002</v>
      </c>
      <c r="DK194" s="528">
        <f t="shared" si="551"/>
        <v>2.7616279069767442</v>
      </c>
      <c r="DM194" s="173">
        <f t="shared" si="552"/>
        <v>7.8485667481394339</v>
      </c>
      <c r="DN194" s="173">
        <f t="shared" si="553"/>
        <v>29.626794258373206</v>
      </c>
      <c r="DO194" s="173">
        <f t="shared" si="554"/>
        <v>15.738366117313484</v>
      </c>
      <c r="DQ194" s="545">
        <f t="shared" si="555"/>
        <v>8400</v>
      </c>
      <c r="DR194" s="460">
        <f t="shared" si="556"/>
        <v>23.924891207459492</v>
      </c>
      <c r="DT194">
        <f t="shared" si="591"/>
        <v>8400</v>
      </c>
      <c r="DU194">
        <f t="shared" si="592"/>
        <v>23.924891207459492</v>
      </c>
      <c r="DW194" s="5">
        <f t="shared" si="557"/>
        <v>41.797473239427397</v>
      </c>
      <c r="DX194" s="5">
        <f t="shared" si="558"/>
        <v>18.711659531604131</v>
      </c>
      <c r="DY194" s="5">
        <f t="shared" si="559"/>
        <v>23.085813707823267</v>
      </c>
      <c r="DZ194" s="5"/>
      <c r="EA194" s="173">
        <f t="shared" si="560"/>
        <v>0.44767441860465129</v>
      </c>
      <c r="EB194" s="173">
        <f t="shared" si="561"/>
        <v>126.00000000000003</v>
      </c>
      <c r="EC194" s="173">
        <f t="shared" si="562"/>
        <v>8.1818181818181799</v>
      </c>
      <c r="ED194" s="173">
        <f t="shared" si="563"/>
        <v>15.400000000000007</v>
      </c>
      <c r="EE194" s="460">
        <f t="shared" si="564"/>
        <v>1047.8529337698312</v>
      </c>
      <c r="EF194" s="5">
        <f t="shared" si="565"/>
        <v>52.79151591988623</v>
      </c>
      <c r="EH194" s="173">
        <f t="shared" si="566"/>
        <v>11.444720036821737</v>
      </c>
      <c r="EI194" s="173">
        <f t="shared" si="567"/>
        <v>12.712226239127547</v>
      </c>
      <c r="EK194" s="528">
        <f t="shared" si="568"/>
        <v>2.6196323344245789</v>
      </c>
      <c r="EL194" s="528">
        <f t="shared" si="569"/>
        <v>0.48766666666666675</v>
      </c>
      <c r="EM194" s="528">
        <f t="shared" si="570"/>
        <v>2.9906114009324363E-3</v>
      </c>
      <c r="EN194" s="528">
        <f t="shared" si="571"/>
        <v>2.8311759259259262E-3</v>
      </c>
      <c r="EO194">
        <f t="shared" si="572"/>
        <v>8.5500000000000003E-3</v>
      </c>
      <c r="EP194" s="460">
        <f t="shared" si="573"/>
        <v>11.540611400932436</v>
      </c>
      <c r="EQ194" s="460"/>
      <c r="ER194" s="460">
        <f t="shared" si="593"/>
        <v>3121.6707884181042</v>
      </c>
      <c r="ES194" s="528">
        <f t="shared" si="574"/>
        <v>5.88</v>
      </c>
      <c r="EV194" s="460">
        <f t="shared" si="494"/>
        <v>5880</v>
      </c>
      <c r="EW194" s="528">
        <f t="shared" si="575"/>
        <v>3.9294485016368679</v>
      </c>
      <c r="EX194" s="528">
        <f t="shared" si="576"/>
        <v>4.8480208786428864</v>
      </c>
      <c r="EY194" s="528">
        <f t="shared" si="577"/>
        <v>0.66881589702681288</v>
      </c>
      <c r="EZ194" s="528"/>
      <c r="FA194" s="528">
        <f t="shared" si="578"/>
        <v>2.1000000000000005E-2</v>
      </c>
      <c r="FB194" s="460">
        <f t="shared" si="579"/>
        <v>9467.2852773065679</v>
      </c>
      <c r="FC194" s="173">
        <f t="shared" si="580"/>
        <v>18.468956065724672</v>
      </c>
      <c r="FD194" s="5">
        <f t="shared" si="581"/>
        <v>126</v>
      </c>
      <c r="FE194" s="173">
        <f t="shared" si="582"/>
        <v>0.87215969043673014</v>
      </c>
      <c r="FF194" s="5">
        <f t="shared" si="583"/>
        <v>87.215969043673013</v>
      </c>
      <c r="FI194" s="562">
        <f t="shared" si="584"/>
        <v>-50</v>
      </c>
      <c r="FJ194">
        <f t="shared" si="585"/>
        <v>-50</v>
      </c>
      <c r="FL194">
        <f t="shared" si="586"/>
        <v>0.55232558139534871</v>
      </c>
    </row>
    <row r="195" spans="5:168">
      <c r="E195" s="170">
        <v>85</v>
      </c>
      <c r="F195" s="217">
        <f t="shared" si="587"/>
        <v>8.5</v>
      </c>
      <c r="G195" s="217"/>
      <c r="H195" s="217">
        <f t="shared" si="495"/>
        <v>127.5</v>
      </c>
      <c r="I195" s="541">
        <f t="shared" si="496"/>
        <v>18.228875838743384</v>
      </c>
      <c r="J195" s="172">
        <f t="shared" si="497"/>
        <v>15.86267449675397</v>
      </c>
      <c r="K195" s="172">
        <f t="shared" si="498"/>
        <v>34.091550335497352</v>
      </c>
      <c r="L195" s="443"/>
      <c r="M195" s="217">
        <f t="shared" si="499"/>
        <v>0.46528083397873404</v>
      </c>
      <c r="N195" s="172">
        <f t="shared" si="500"/>
        <v>212.24010054926063</v>
      </c>
      <c r="O195" s="172">
        <f t="shared" si="438"/>
        <v>127.5</v>
      </c>
      <c r="P195" s="217">
        <f t="shared" si="501"/>
        <v>14.149340036617376</v>
      </c>
      <c r="Q195" s="217">
        <f t="shared" si="502"/>
        <v>15</v>
      </c>
      <c r="R195" s="217"/>
      <c r="S195" s="172">
        <f t="shared" si="503"/>
        <v>35.588075042699529</v>
      </c>
      <c r="T195" s="536">
        <f t="shared" si="504"/>
        <v>15</v>
      </c>
      <c r="U195" s="217">
        <f t="shared" si="505"/>
        <v>31.792389501377812</v>
      </c>
      <c r="V195" s="217">
        <f t="shared" si="506"/>
        <v>20.928809729762975</v>
      </c>
      <c r="W195" s="217">
        <f t="shared" si="507"/>
        <v>24.050715665545752</v>
      </c>
      <c r="X195" s="197">
        <f t="shared" si="508"/>
        <v>70.681914097505555</v>
      </c>
      <c r="Y195" s="443">
        <f t="shared" si="509"/>
        <v>22.133919983671106</v>
      </c>
      <c r="AA195" s="217">
        <f t="shared" si="510"/>
        <v>10</v>
      </c>
      <c r="AB195" s="173">
        <f t="shared" si="511"/>
        <v>7.5649286017030732</v>
      </c>
      <c r="AC195" s="173">
        <f t="shared" si="512"/>
        <v>2.6735181678966975</v>
      </c>
      <c r="AD195" s="173"/>
      <c r="AE195" s="173">
        <f t="shared" si="513"/>
        <v>7.5649286017030732</v>
      </c>
      <c r="AF195" s="545">
        <f t="shared" si="514"/>
        <v>224.72122203734787</v>
      </c>
      <c r="AG195" s="528">
        <f t="shared" si="515"/>
        <v>2.6735181678966971</v>
      </c>
      <c r="AI195" s="173">
        <f t="shared" si="516"/>
        <v>8.0128686148745913</v>
      </c>
      <c r="AJ195" s="173">
        <f t="shared" si="517"/>
        <v>31.792389501377812</v>
      </c>
      <c r="AK195" s="173">
        <f t="shared" si="518"/>
        <v>17.342510741761341</v>
      </c>
      <c r="AM195" s="545">
        <f t="shared" si="519"/>
        <v>8500</v>
      </c>
      <c r="AN195" s="460">
        <f t="shared" si="520"/>
        <v>22.133919983671106</v>
      </c>
      <c r="AP195">
        <f t="shared" si="521"/>
        <v>8500</v>
      </c>
      <c r="AQ195">
        <f t="shared" si="522"/>
        <v>22.133919983671106</v>
      </c>
      <c r="AS195" s="5">
        <f t="shared" si="439"/>
        <v>45.179525395308723</v>
      </c>
      <c r="AT195" s="5">
        <f t="shared" si="523"/>
        <v>20.928809729762975</v>
      </c>
      <c r="AU195" s="5">
        <f t="shared" si="478"/>
        <v>24.250715665545748</v>
      </c>
      <c r="AV195" s="5"/>
      <c r="AW195" s="173">
        <f t="shared" si="479"/>
        <v>0.46323659991205102</v>
      </c>
      <c r="AX195" s="173">
        <f t="shared" si="435"/>
        <v>134.23195857373099</v>
      </c>
      <c r="AY195" s="173">
        <f t="shared" si="436"/>
        <v>8.5324955428399836</v>
      </c>
      <c r="AZ195" s="173">
        <f t="shared" si="440"/>
        <v>15.731852176163317</v>
      </c>
      <c r="BA195" s="460">
        <f t="shared" si="594"/>
        <v>1185.9658846865686</v>
      </c>
      <c r="BB195" s="5">
        <f t="shared" si="595"/>
        <v>58.489358704350991</v>
      </c>
      <c r="BD195" s="173">
        <f t="shared" si="441"/>
        <v>12.492920485536871</v>
      </c>
      <c r="BE195" s="173">
        <f t="shared" si="437"/>
        <v>13.447885130303051</v>
      </c>
      <c r="BG195" s="528">
        <f t="shared" si="480"/>
        <v>3.1214612451589363</v>
      </c>
      <c r="BH195" s="528">
        <f t="shared" si="524"/>
        <v>0.44981043853184033</v>
      </c>
      <c r="BI195" s="528">
        <f t="shared" si="525"/>
        <v>1.008691198017554E-2</v>
      </c>
      <c r="BJ195" s="528">
        <f t="shared" si="481"/>
        <v>2.5724790026201375E-3</v>
      </c>
      <c r="BK195">
        <f t="shared" si="482"/>
        <v>8.2029941274345229E-3</v>
      </c>
      <c r="BL195" s="460">
        <f t="shared" si="588"/>
        <v>18.289906107610062</v>
      </c>
      <c r="BM195" s="528">
        <f t="shared" si="526"/>
        <v>17.096171257302231</v>
      </c>
      <c r="BN195" s="460">
        <f t="shared" si="527"/>
        <v>17096.171257302231</v>
      </c>
      <c r="BO195" s="528">
        <f t="shared" si="483"/>
        <v>5.9499999999999993</v>
      </c>
      <c r="BR195" s="460">
        <f t="shared" si="484"/>
        <v>5949.9999999999991</v>
      </c>
      <c r="BS195" s="528">
        <f t="shared" si="485"/>
        <v>4.6821918677384042</v>
      </c>
      <c r="BT195" s="528">
        <f t="shared" si="486"/>
        <v>5.4253684343347768</v>
      </c>
      <c r="BU195" s="528">
        <f t="shared" si="487"/>
        <v>0.656785822742738</v>
      </c>
      <c r="BV195" s="528"/>
      <c r="BW195" s="528">
        <f t="shared" si="488"/>
        <v>2.2371993095621837E-2</v>
      </c>
      <c r="BX195" s="460">
        <f t="shared" si="489"/>
        <v>10786.718117911541</v>
      </c>
      <c r="BY195" s="173">
        <f t="shared" si="490"/>
        <v>20.328852186712545</v>
      </c>
      <c r="BZ195" s="5">
        <f t="shared" si="491"/>
        <v>127.5</v>
      </c>
      <c r="CA195" s="173">
        <f t="shared" si="492"/>
        <v>0.86248386640358576</v>
      </c>
      <c r="CB195" s="5">
        <f t="shared" si="493"/>
        <v>86.248386640358575</v>
      </c>
      <c r="CE195" s="562">
        <f t="shared" si="528"/>
        <v>-50</v>
      </c>
      <c r="CF195">
        <f t="shared" si="529"/>
        <v>-50</v>
      </c>
      <c r="CG195" s="173">
        <f t="shared" si="530"/>
        <v>0.55114341030039216</v>
      </c>
      <c r="CI195" s="170">
        <v>85</v>
      </c>
      <c r="CJ195" s="217">
        <f t="shared" si="589"/>
        <v>8.5</v>
      </c>
      <c r="CK195" s="217"/>
      <c r="CL195" s="217">
        <f t="shared" si="531"/>
        <v>127.5</v>
      </c>
      <c r="CM195" s="541">
        <f t="shared" si="532"/>
        <v>19</v>
      </c>
      <c r="CN195" s="443">
        <f t="shared" si="533"/>
        <v>15.4</v>
      </c>
      <c r="CO195" s="443">
        <f t="shared" si="534"/>
        <v>34.4</v>
      </c>
      <c r="CP195" s="443"/>
      <c r="CQ195" s="217">
        <f t="shared" si="535"/>
        <v>0.44767441860465118</v>
      </c>
      <c r="CR195" s="172">
        <f t="shared" si="590"/>
        <v>212.84736191860466</v>
      </c>
      <c r="CS195" s="172">
        <f t="shared" si="536"/>
        <v>127.5</v>
      </c>
      <c r="CT195" s="217">
        <f t="shared" si="537"/>
        <v>14.189824127906977</v>
      </c>
      <c r="CU195" s="217">
        <f t="shared" si="538"/>
        <v>15</v>
      </c>
      <c r="CV195" s="217"/>
      <c r="CW195" s="172">
        <f t="shared" si="539"/>
        <v>37.085100165180414</v>
      </c>
      <c r="CX195" s="536">
        <f t="shared" si="540"/>
        <v>15</v>
      </c>
      <c r="CY195" s="217">
        <f t="shared" si="541"/>
        <v>29.979494190020503</v>
      </c>
      <c r="CZ195" s="217">
        <f t="shared" si="542"/>
        <v>18.934417383170842</v>
      </c>
      <c r="DA195" s="217">
        <f t="shared" si="543"/>
        <v>23.360644823392601</v>
      </c>
      <c r="DB195" s="197">
        <f t="shared" si="544"/>
        <v>70.881782945736433</v>
      </c>
      <c r="DC195" s="443">
        <f t="shared" si="545"/>
        <v>23.643421899136438</v>
      </c>
      <c r="DE195" s="217">
        <f t="shared" si="546"/>
        <v>10.000000000000002</v>
      </c>
      <c r="DF195" s="173">
        <f t="shared" si="547"/>
        <v>7.792207792207793</v>
      </c>
      <c r="DG195" s="173">
        <f t="shared" si="548"/>
        <v>2.7616279069767451</v>
      </c>
      <c r="DH195" s="173"/>
      <c r="DI195" s="173">
        <f t="shared" si="549"/>
        <v>7.7922077922077913</v>
      </c>
      <c r="DJ195" s="545">
        <f t="shared" si="550"/>
        <v>218.16666666666669</v>
      </c>
      <c r="DK195" s="528">
        <f t="shared" si="551"/>
        <v>2.7616279069767442</v>
      </c>
      <c r="DM195" s="173">
        <f t="shared" si="552"/>
        <v>7.8951461882180078</v>
      </c>
      <c r="DN195" s="173">
        <f t="shared" si="553"/>
        <v>29.979494190020503</v>
      </c>
      <c r="DO195" s="173">
        <f t="shared" si="554"/>
        <v>15.999625325941114</v>
      </c>
      <c r="DQ195" s="545">
        <f t="shared" si="555"/>
        <v>8500</v>
      </c>
      <c r="DR195" s="460">
        <f t="shared" si="556"/>
        <v>23.643421899136438</v>
      </c>
      <c r="DT195">
        <f t="shared" si="591"/>
        <v>8500</v>
      </c>
      <c r="DU195">
        <f t="shared" si="592"/>
        <v>23.643421899136438</v>
      </c>
      <c r="DW195" s="5">
        <f t="shared" si="557"/>
        <v>42.295062206563443</v>
      </c>
      <c r="DX195" s="5">
        <f t="shared" si="558"/>
        <v>18.934417383170842</v>
      </c>
      <c r="DY195" s="5">
        <f t="shared" si="559"/>
        <v>23.360644823392601</v>
      </c>
      <c r="DZ195" s="5"/>
      <c r="EA195" s="173">
        <f t="shared" si="560"/>
        <v>0.44767441860465113</v>
      </c>
      <c r="EB195" s="173">
        <f t="shared" si="561"/>
        <v>127.5</v>
      </c>
      <c r="EC195" s="173">
        <f t="shared" si="562"/>
        <v>8.279220779220779</v>
      </c>
      <c r="ED195" s="173">
        <f t="shared" si="563"/>
        <v>15.4</v>
      </c>
      <c r="EE195" s="460">
        <f t="shared" si="564"/>
        <v>1072.9503183796812</v>
      </c>
      <c r="EF195" s="5">
        <f t="shared" si="565"/>
        <v>54.055938565926617</v>
      </c>
      <c r="EH195" s="173">
        <f t="shared" si="566"/>
        <v>11.580966703926753</v>
      </c>
      <c r="EI195" s="173">
        <f t="shared" si="567"/>
        <v>12.863562265783829</v>
      </c>
      <c r="EK195" s="528">
        <f t="shared" si="568"/>
        <v>2.6823757959492021</v>
      </c>
      <c r="EL195" s="528">
        <f t="shared" si="569"/>
        <v>0.48766666666666664</v>
      </c>
      <c r="EM195" s="528">
        <f t="shared" si="570"/>
        <v>2.9554277373920546E-3</v>
      </c>
      <c r="EN195" s="528">
        <f t="shared" si="571"/>
        <v>2.7978679738562095E-3</v>
      </c>
      <c r="EO195">
        <f t="shared" si="572"/>
        <v>8.5500000000000003E-3</v>
      </c>
      <c r="EP195" s="460">
        <f t="shared" si="573"/>
        <v>11.505427737392056</v>
      </c>
      <c r="EQ195" s="460"/>
      <c r="ER195" s="460">
        <f t="shared" si="593"/>
        <v>3184.345758327117</v>
      </c>
      <c r="ES195" s="528">
        <f t="shared" si="574"/>
        <v>5.9499999999999993</v>
      </c>
      <c r="EV195" s="460">
        <f t="shared" si="494"/>
        <v>5949.9999999999991</v>
      </c>
      <c r="EW195" s="528">
        <f t="shared" si="575"/>
        <v>4.0235636939238031</v>
      </c>
      <c r="EX195" s="528">
        <f t="shared" si="576"/>
        <v>4.9641370249709276</v>
      </c>
      <c r="EY195" s="528">
        <f t="shared" si="577"/>
        <v>0.66881589702681166</v>
      </c>
      <c r="EZ195" s="528"/>
      <c r="FA195" s="528">
        <f t="shared" si="578"/>
        <v>2.1250000000000002E-2</v>
      </c>
      <c r="FB195" s="460">
        <f t="shared" si="579"/>
        <v>9677.7666159215423</v>
      </c>
      <c r="FC195" s="173">
        <f t="shared" si="580"/>
        <v>18.812112374248656</v>
      </c>
      <c r="FD195" s="5">
        <f t="shared" si="581"/>
        <v>127.5</v>
      </c>
      <c r="FE195" s="173">
        <f t="shared" si="582"/>
        <v>0.87142477769626092</v>
      </c>
      <c r="FF195" s="5">
        <f t="shared" si="583"/>
        <v>87.142477769626097</v>
      </c>
      <c r="FI195" s="562">
        <f t="shared" si="584"/>
        <v>-50</v>
      </c>
      <c r="FJ195">
        <f t="shared" si="585"/>
        <v>-50</v>
      </c>
      <c r="FL195">
        <f t="shared" si="586"/>
        <v>0.55232558139534893</v>
      </c>
    </row>
    <row r="196" spans="5:168">
      <c r="E196" s="170">
        <v>86</v>
      </c>
      <c r="F196" s="217">
        <f t="shared" si="587"/>
        <v>8.6</v>
      </c>
      <c r="G196" s="217"/>
      <c r="H196" s="217">
        <f t="shared" si="495"/>
        <v>129</v>
      </c>
      <c r="I196" s="541">
        <f t="shared" si="496"/>
        <v>18.219823248328282</v>
      </c>
      <c r="J196" s="172">
        <f t="shared" si="497"/>
        <v>15.868106051003032</v>
      </c>
      <c r="K196" s="172">
        <f t="shared" si="498"/>
        <v>34.087929299331314</v>
      </c>
      <c r="L196" s="443"/>
      <c r="M196" s="217">
        <f t="shared" si="499"/>
        <v>0.46548960503250997</v>
      </c>
      <c r="N196" s="172">
        <f t="shared" si="500"/>
        <v>212.22988522594301</v>
      </c>
      <c r="O196" s="172">
        <f t="shared" si="438"/>
        <v>129</v>
      </c>
      <c r="P196" s="217">
        <f t="shared" si="501"/>
        <v>14.148659015062867</v>
      </c>
      <c r="Q196" s="217">
        <f t="shared" si="502"/>
        <v>15</v>
      </c>
      <c r="R196" s="217"/>
      <c r="S196" s="172">
        <f t="shared" si="503"/>
        <v>34.950938645991542</v>
      </c>
      <c r="T196" s="536">
        <f t="shared" si="504"/>
        <v>15</v>
      </c>
      <c r="U196" s="217">
        <f t="shared" si="505"/>
        <v>32.178981291928174</v>
      </c>
      <c r="V196" s="217">
        <f t="shared" si="506"/>
        <v>21.193826649145358</v>
      </c>
      <c r="W196" s="217">
        <f t="shared" si="507"/>
        <v>24.334837078980165</v>
      </c>
      <c r="X196" s="197">
        <f t="shared" si="508"/>
        <v>70.67851032063011</v>
      </c>
      <c r="Y196" s="443">
        <f t="shared" si="509"/>
        <v>21.868122058964683</v>
      </c>
      <c r="AA196" s="217">
        <f t="shared" si="510"/>
        <v>10</v>
      </c>
      <c r="AB196" s="173">
        <f t="shared" si="511"/>
        <v>7.562339173578609</v>
      </c>
      <c r="AC196" s="173">
        <f t="shared" si="512"/>
        <v>2.6724743366394055</v>
      </c>
      <c r="AD196" s="173"/>
      <c r="AE196" s="173">
        <f t="shared" si="513"/>
        <v>7.562339173578609</v>
      </c>
      <c r="AF196" s="545">
        <f t="shared" si="514"/>
        <v>227.44285339771011</v>
      </c>
      <c r="AG196" s="528">
        <f t="shared" si="515"/>
        <v>2.6724743366394059</v>
      </c>
      <c r="AI196" s="173">
        <f t="shared" si="516"/>
        <v>8.0612450898943475</v>
      </c>
      <c r="AJ196" s="173">
        <f t="shared" si="517"/>
        <v>32.178981291928174</v>
      </c>
      <c r="AK196" s="173">
        <f t="shared" si="518"/>
        <v>17.628875031057905</v>
      </c>
      <c r="AM196" s="545">
        <f t="shared" si="519"/>
        <v>8600</v>
      </c>
      <c r="AN196" s="460">
        <f t="shared" si="520"/>
        <v>21.868122058964683</v>
      </c>
      <c r="AP196">
        <f t="shared" si="521"/>
        <v>8600</v>
      </c>
      <c r="AQ196">
        <f t="shared" si="522"/>
        <v>21.868122058964683</v>
      </c>
      <c r="AS196" s="5">
        <f t="shared" si="439"/>
        <v>45.728663728125525</v>
      </c>
      <c r="AT196" s="5">
        <f t="shared" si="523"/>
        <v>21.193826649145358</v>
      </c>
      <c r="AU196" s="5">
        <f t="shared" si="478"/>
        <v>24.534837078980168</v>
      </c>
      <c r="AV196" s="5"/>
      <c r="AW196" s="173">
        <f t="shared" si="479"/>
        <v>0.46346918806004916</v>
      </c>
      <c r="AX196" s="173">
        <f t="shared" si="435"/>
        <v>135.86491525000125</v>
      </c>
      <c r="AY196" s="173">
        <f t="shared" si="436"/>
        <v>8.6325074799793544</v>
      </c>
      <c r="AZ196" s="173">
        <f t="shared" si="440"/>
        <v>15.738754419280987</v>
      </c>
      <c r="BA196" s="460">
        <f t="shared" si="594"/>
        <v>1215.1127278843339</v>
      </c>
      <c r="BB196" s="5">
        <f t="shared" si="595"/>
        <v>59.900539138455031</v>
      </c>
      <c r="BD196" s="173">
        <f t="shared" si="441"/>
        <v>12.648007004859066</v>
      </c>
      <c r="BE196" s="173">
        <f t="shared" si="437"/>
        <v>13.608460522794529</v>
      </c>
      <c r="BG196" s="528">
        <f t="shared" si="480"/>
        <v>3.19944162389928</v>
      </c>
      <c r="BH196" s="528">
        <f t="shared" si="524"/>
        <v>0.449765017349949</v>
      </c>
      <c r="BI196" s="528">
        <f t="shared" si="525"/>
        <v>9.9608329671801304E-3</v>
      </c>
      <c r="BJ196" s="528">
        <f t="shared" si="481"/>
        <v>2.5410471883120598E-3</v>
      </c>
      <c r="BK196">
        <f t="shared" si="482"/>
        <v>8.198920461747727E-3</v>
      </c>
      <c r="BL196" s="460">
        <f t="shared" si="588"/>
        <v>18.159753428927861</v>
      </c>
      <c r="BM196" s="528">
        <f t="shared" si="526"/>
        <v>18.829684536053769</v>
      </c>
      <c r="BN196" s="460">
        <f t="shared" si="527"/>
        <v>18829.68453605377</v>
      </c>
      <c r="BO196" s="528">
        <f t="shared" si="483"/>
        <v>6.02</v>
      </c>
      <c r="BR196" s="460">
        <f t="shared" si="484"/>
        <v>6020</v>
      </c>
      <c r="BS196" s="528">
        <f t="shared" si="485"/>
        <v>4.7991624358489196</v>
      </c>
      <c r="BT196" s="528">
        <f t="shared" si="486"/>
        <v>5.555705934013714</v>
      </c>
      <c r="BU196" s="528">
        <f t="shared" si="487"/>
        <v>0.65679442194607884</v>
      </c>
      <c r="BV196" s="528"/>
      <c r="BW196" s="528">
        <f t="shared" si="488"/>
        <v>2.2644152541666879E-2</v>
      </c>
      <c r="BX196" s="460">
        <f t="shared" si="489"/>
        <v>11034.306944350379</v>
      </c>
      <c r="BY196" s="173">
        <f t="shared" si="490"/>
        <v>20.724214386216847</v>
      </c>
      <c r="BZ196" s="5">
        <f t="shared" si="491"/>
        <v>129</v>
      </c>
      <c r="CA196" s="173">
        <f t="shared" si="492"/>
        <v>0.86158408330159408</v>
      </c>
      <c r="CB196" s="5">
        <f t="shared" si="493"/>
        <v>86.158408330159403</v>
      </c>
      <c r="CE196" s="562">
        <f t="shared" si="528"/>
        <v>-50</v>
      </c>
      <c r="CF196">
        <f t="shared" si="529"/>
        <v>-50</v>
      </c>
      <c r="CG196" s="173">
        <f t="shared" si="530"/>
        <v>0.55115715647591468</v>
      </c>
      <c r="CI196" s="170">
        <v>86</v>
      </c>
      <c r="CJ196" s="217">
        <f t="shared" si="589"/>
        <v>8.6</v>
      </c>
      <c r="CK196" s="217"/>
      <c r="CL196" s="217">
        <f t="shared" si="531"/>
        <v>129</v>
      </c>
      <c r="CM196" s="541">
        <f t="shared" si="532"/>
        <v>19</v>
      </c>
      <c r="CN196" s="443">
        <f t="shared" si="533"/>
        <v>15.4</v>
      </c>
      <c r="CO196" s="443">
        <f t="shared" si="534"/>
        <v>34.4</v>
      </c>
      <c r="CP196" s="443"/>
      <c r="CQ196" s="217">
        <f t="shared" si="535"/>
        <v>0.44767441860465118</v>
      </c>
      <c r="CR196" s="172">
        <f t="shared" si="590"/>
        <v>212.84736191860466</v>
      </c>
      <c r="CS196" s="172">
        <f t="shared" si="536"/>
        <v>129</v>
      </c>
      <c r="CT196" s="217">
        <f t="shared" si="537"/>
        <v>14.189824127906977</v>
      </c>
      <c r="CU196" s="217">
        <f t="shared" si="538"/>
        <v>15</v>
      </c>
      <c r="CV196" s="217"/>
      <c r="CW196" s="172">
        <f t="shared" si="539"/>
        <v>36.438862014961693</v>
      </c>
      <c r="CX196" s="536">
        <f t="shared" si="540"/>
        <v>15</v>
      </c>
      <c r="CY196" s="217">
        <f t="shared" si="541"/>
        <v>30.332194121667804</v>
      </c>
      <c r="CZ196" s="217">
        <f t="shared" si="542"/>
        <v>19.157175234737561</v>
      </c>
      <c r="DA196" s="217">
        <f t="shared" si="543"/>
        <v>23.635475938961925</v>
      </c>
      <c r="DB196" s="197">
        <f t="shared" si="544"/>
        <v>70.881782945736433</v>
      </c>
      <c r="DC196" s="443">
        <f t="shared" si="545"/>
        <v>23.368498388681363</v>
      </c>
      <c r="DE196" s="217">
        <f t="shared" si="546"/>
        <v>10.000000000000002</v>
      </c>
      <c r="DF196" s="173">
        <f t="shared" si="547"/>
        <v>7.792207792207793</v>
      </c>
      <c r="DG196" s="173">
        <f t="shared" si="548"/>
        <v>2.7616279069767451</v>
      </c>
      <c r="DH196" s="173"/>
      <c r="DI196" s="173">
        <f t="shared" si="549"/>
        <v>7.7922077922077913</v>
      </c>
      <c r="DJ196" s="545">
        <f t="shared" si="550"/>
        <v>220.73333333333335</v>
      </c>
      <c r="DK196" s="528">
        <f t="shared" si="551"/>
        <v>2.7616279069767442</v>
      </c>
      <c r="DM196" s="173">
        <f t="shared" si="552"/>
        <v>7.9414524280301944</v>
      </c>
      <c r="DN196" s="173">
        <f t="shared" si="553"/>
        <v>30.332194121667804</v>
      </c>
      <c r="DO196" s="173">
        <f t="shared" si="554"/>
        <v>16.260884534568742</v>
      </c>
      <c r="DQ196" s="545">
        <f t="shared" si="555"/>
        <v>8600</v>
      </c>
      <c r="DR196" s="460">
        <f t="shared" si="556"/>
        <v>23.368498388681363</v>
      </c>
      <c r="DT196">
        <f t="shared" si="591"/>
        <v>8600</v>
      </c>
      <c r="DU196">
        <f t="shared" si="592"/>
        <v>23.368498388681363</v>
      </c>
      <c r="DW196" s="5">
        <f t="shared" si="557"/>
        <v>42.792651173699483</v>
      </c>
      <c r="DX196" s="5">
        <f t="shared" si="558"/>
        <v>19.157175234737561</v>
      </c>
      <c r="DY196" s="5">
        <f t="shared" si="559"/>
        <v>23.635475938961921</v>
      </c>
      <c r="DZ196" s="5"/>
      <c r="EA196" s="173">
        <f t="shared" si="560"/>
        <v>0.44767441860465124</v>
      </c>
      <c r="EB196" s="173">
        <f t="shared" si="561"/>
        <v>129</v>
      </c>
      <c r="EC196" s="173">
        <f t="shared" si="562"/>
        <v>8.3766233766233746</v>
      </c>
      <c r="ED196" s="173">
        <f t="shared" si="563"/>
        <v>15.400000000000004</v>
      </c>
      <c r="EE196" s="460">
        <f t="shared" si="564"/>
        <v>1098.3447134582868</v>
      </c>
      <c r="EF196" s="5">
        <f t="shared" si="565"/>
        <v>55.335324793576909</v>
      </c>
      <c r="EH196" s="173">
        <f t="shared" si="566"/>
        <v>11.717213371031777</v>
      </c>
      <c r="EI196" s="173">
        <f t="shared" si="567"/>
        <v>13.014898292440108</v>
      </c>
      <c r="EK196" s="528">
        <f t="shared" si="568"/>
        <v>2.7458617836457173</v>
      </c>
      <c r="EL196" s="528">
        <f t="shared" si="569"/>
        <v>0.48766666666666675</v>
      </c>
      <c r="EM196" s="528">
        <f t="shared" si="570"/>
        <v>2.9210622985851704E-3</v>
      </c>
      <c r="EN196" s="528">
        <f t="shared" si="571"/>
        <v>2.7653346253229977E-3</v>
      </c>
      <c r="EO196">
        <f t="shared" si="572"/>
        <v>8.5500000000000003E-3</v>
      </c>
      <c r="EP196" s="460">
        <f t="shared" si="573"/>
        <v>11.471062298585171</v>
      </c>
      <c r="EQ196" s="460"/>
      <c r="ER196" s="460">
        <f t="shared" si="593"/>
        <v>3247.7648472362926</v>
      </c>
      <c r="ES196" s="528">
        <f t="shared" si="574"/>
        <v>6.02</v>
      </c>
      <c r="EV196" s="460">
        <f t="shared" si="494"/>
        <v>6020</v>
      </c>
      <c r="EW196" s="528">
        <f t="shared" si="575"/>
        <v>4.1187926754685753</v>
      </c>
      <c r="EX196" s="528">
        <f t="shared" si="576"/>
        <v>5.0816273268768128</v>
      </c>
      <c r="EY196" s="528">
        <f t="shared" si="577"/>
        <v>0.66881589702681221</v>
      </c>
      <c r="EZ196" s="528"/>
      <c r="FA196" s="528">
        <f t="shared" si="578"/>
        <v>2.1500000000000002E-2</v>
      </c>
      <c r="FB196" s="460">
        <f t="shared" si="579"/>
        <v>9890.7358993722009</v>
      </c>
      <c r="FC196" s="173">
        <f t="shared" si="580"/>
        <v>19.158500746608489</v>
      </c>
      <c r="FD196" s="5">
        <f t="shared" si="581"/>
        <v>129</v>
      </c>
      <c r="FE196" s="173">
        <f t="shared" si="582"/>
        <v>0.87068915620727849</v>
      </c>
      <c r="FF196" s="5">
        <f t="shared" si="583"/>
        <v>87.06891562072785</v>
      </c>
      <c r="FI196" s="562">
        <f t="shared" si="584"/>
        <v>-50</v>
      </c>
      <c r="FJ196">
        <f t="shared" si="585"/>
        <v>-50</v>
      </c>
      <c r="FL196">
        <f t="shared" si="586"/>
        <v>0.55232558139534871</v>
      </c>
    </row>
    <row r="197" spans="5:168">
      <c r="E197" s="170">
        <v>87</v>
      </c>
      <c r="F197" s="217">
        <f t="shared" si="587"/>
        <v>8.6999999999999993</v>
      </c>
      <c r="G197" s="217"/>
      <c r="H197" s="217">
        <f t="shared" si="495"/>
        <v>130.5</v>
      </c>
      <c r="I197" s="541">
        <f t="shared" si="496"/>
        <v>18.2107706569649</v>
      </c>
      <c r="J197" s="172">
        <f t="shared" si="497"/>
        <v>15.87353760582106</v>
      </c>
      <c r="K197" s="172">
        <f t="shared" si="498"/>
        <v>34.08430826278596</v>
      </c>
      <c r="L197" s="443"/>
      <c r="M197" s="217">
        <f t="shared" si="499"/>
        <v>0.46569842045891352</v>
      </c>
      <c r="N197" s="172">
        <f t="shared" si="500"/>
        <v>212.21959552654644</v>
      </c>
      <c r="O197" s="172">
        <f t="shared" si="438"/>
        <v>130.5</v>
      </c>
      <c r="P197" s="217">
        <f t="shared" si="501"/>
        <v>14.147973035103096</v>
      </c>
      <c r="Q197" s="217">
        <f t="shared" si="502"/>
        <v>15</v>
      </c>
      <c r="R197" s="217"/>
      <c r="S197" s="172">
        <f t="shared" si="503"/>
        <v>34.328778554206352</v>
      </c>
      <c r="T197" s="536">
        <f t="shared" si="504"/>
        <v>15</v>
      </c>
      <c r="U197" s="217">
        <f t="shared" si="505"/>
        <v>32.565877897918476</v>
      </c>
      <c r="V197" s="217">
        <f t="shared" si="506"/>
        <v>21.459307908287766</v>
      </c>
      <c r="W197" s="217">
        <f t="shared" si="507"/>
        <v>24.618994484991994</v>
      </c>
      <c r="X197" s="197">
        <f t="shared" si="508"/>
        <v>70.675081777031806</v>
      </c>
      <c r="Y197" s="443">
        <f t="shared" si="509"/>
        <v>21.608398499622009</v>
      </c>
      <c r="AA197" s="217">
        <f t="shared" si="510"/>
        <v>10</v>
      </c>
      <c r="AB197" s="173">
        <f t="shared" si="511"/>
        <v>7.5597515172669665</v>
      </c>
      <c r="AC197" s="173">
        <f t="shared" si="512"/>
        <v>2.6714302834844155</v>
      </c>
      <c r="AD197" s="173"/>
      <c r="AE197" s="173">
        <f t="shared" si="513"/>
        <v>7.5597515172669665</v>
      </c>
      <c r="AF197" s="545">
        <f t="shared" si="514"/>
        <v>230.16629528440535</v>
      </c>
      <c r="AG197" s="528">
        <f t="shared" si="515"/>
        <v>2.6714302834844155</v>
      </c>
      <c r="AI197" s="173">
        <f t="shared" si="516"/>
        <v>8.1093648735697705</v>
      </c>
      <c r="AJ197" s="173">
        <f t="shared" si="517"/>
        <v>32.565877897918476</v>
      </c>
      <c r="AK197" s="173">
        <f t="shared" si="518"/>
        <v>17.91546510956924</v>
      </c>
      <c r="AM197" s="545">
        <f t="shared" si="519"/>
        <v>8700</v>
      </c>
      <c r="AN197" s="460">
        <f t="shared" si="520"/>
        <v>21.608398499622009</v>
      </c>
      <c r="AP197">
        <f t="shared" si="521"/>
        <v>8700</v>
      </c>
      <c r="AQ197">
        <f t="shared" si="522"/>
        <v>21.608398499622009</v>
      </c>
      <c r="AS197" s="5">
        <f t="shared" si="439"/>
        <v>46.278302393279766</v>
      </c>
      <c r="AT197" s="5">
        <f t="shared" si="523"/>
        <v>21.459307908287766</v>
      </c>
      <c r="AU197" s="5">
        <f t="shared" si="478"/>
        <v>24.818994484992</v>
      </c>
      <c r="AV197" s="5"/>
      <c r="AW197" s="173">
        <f t="shared" si="479"/>
        <v>0.46370127680837203</v>
      </c>
      <c r="AX197" s="173">
        <f t="shared" ref="AX197:AX210" si="596">0.5*L*AJ197^2*AN197*1000</f>
        <v>137.49895935026427</v>
      </c>
      <c r="AY197" s="173">
        <f t="shared" ref="AY197:AY210" si="597">AJ197*Nps/2*(1-AW197)</f>
        <v>8.7325193681340672</v>
      </c>
      <c r="AZ197" s="173">
        <f t="shared" si="440"/>
        <v>15.745623176286701</v>
      </c>
      <c r="BA197" s="460">
        <f t="shared" si="594"/>
        <v>1244.6398586806904</v>
      </c>
      <c r="BB197" s="5">
        <f t="shared" si="595"/>
        <v>61.329351341728476</v>
      </c>
      <c r="BD197" s="173">
        <f t="shared" si="441"/>
        <v>12.803281926839572</v>
      </c>
      <c r="BE197" s="173">
        <f t="shared" ref="BE197:BE210" si="598">AJ197*Nps*SQRT((1-AW197)/3)</f>
        <v>13.76909969179448</v>
      </c>
      <c r="BG197" s="528">
        <f t="shared" si="480"/>
        <v>3.2784805619627369</v>
      </c>
      <c r="BH197" s="528">
        <f t="shared" si="524"/>
        <v>0.44971888703158486</v>
      </c>
      <c r="BI197" s="528">
        <f t="shared" si="525"/>
        <v>9.8376397335230206E-3</v>
      </c>
      <c r="BJ197" s="528">
        <f t="shared" si="481"/>
        <v>2.5103342380193264E-3</v>
      </c>
      <c r="BK197">
        <f t="shared" si="482"/>
        <v>8.1948467956342048E-3</v>
      </c>
      <c r="BL197" s="460">
        <f t="shared" si="588"/>
        <v>18.032486529157225</v>
      </c>
      <c r="BM197" s="528">
        <f t="shared" si="526"/>
        <v>20.883303167797727</v>
      </c>
      <c r="BN197" s="460">
        <f t="shared" si="527"/>
        <v>20883.303167797727</v>
      </c>
      <c r="BO197" s="528">
        <f t="shared" si="483"/>
        <v>6.089999999999999</v>
      </c>
      <c r="BR197" s="460">
        <f t="shared" si="484"/>
        <v>6089.9999999999991</v>
      </c>
      <c r="BS197" s="528">
        <f t="shared" si="485"/>
        <v>4.9177208429441048</v>
      </c>
      <c r="BT197" s="528">
        <f t="shared" si="486"/>
        <v>5.687643189677245</v>
      </c>
      <c r="BU197" s="528">
        <f t="shared" si="487"/>
        <v>0.65680043387997056</v>
      </c>
      <c r="BV197" s="528"/>
      <c r="BW197" s="528">
        <f t="shared" si="488"/>
        <v>2.2916493225044045E-2</v>
      </c>
      <c r="BX197" s="460">
        <f t="shared" si="489"/>
        <v>11285.080959726363</v>
      </c>
      <c r="BY197" s="173">
        <f t="shared" si="490"/>
        <v>21.123823229487858</v>
      </c>
      <c r="BZ197" s="5">
        <f t="shared" si="491"/>
        <v>130.5</v>
      </c>
      <c r="CA197" s="173">
        <f t="shared" si="492"/>
        <v>0.86068268970162931</v>
      </c>
      <c r="CB197" s="5">
        <f t="shared" si="493"/>
        <v>86.068268970162933</v>
      </c>
      <c r="CE197" s="562">
        <f t="shared" si="528"/>
        <v>-50</v>
      </c>
      <c r="CF197">
        <f t="shared" si="529"/>
        <v>-50</v>
      </c>
      <c r="CG197" s="173">
        <f t="shared" si="530"/>
        <v>0.55117058664740237</v>
      </c>
      <c r="CI197" s="170">
        <v>87</v>
      </c>
      <c r="CJ197" s="217">
        <f t="shared" si="589"/>
        <v>8.6999999999999993</v>
      </c>
      <c r="CK197" s="217"/>
      <c r="CL197" s="217">
        <f t="shared" si="531"/>
        <v>130.5</v>
      </c>
      <c r="CM197" s="541">
        <f t="shared" si="532"/>
        <v>19</v>
      </c>
      <c r="CN197" s="443">
        <f t="shared" si="533"/>
        <v>15.4</v>
      </c>
      <c r="CO197" s="443">
        <f t="shared" si="534"/>
        <v>34.4</v>
      </c>
      <c r="CP197" s="443"/>
      <c r="CQ197" s="217">
        <f t="shared" si="535"/>
        <v>0.44767441860465118</v>
      </c>
      <c r="CR197" s="172">
        <f t="shared" si="590"/>
        <v>212.84736191860466</v>
      </c>
      <c r="CS197" s="172">
        <f t="shared" si="536"/>
        <v>130.5</v>
      </c>
      <c r="CT197" s="217">
        <f t="shared" si="537"/>
        <v>14.189824127906977</v>
      </c>
      <c r="CU197" s="217">
        <f t="shared" si="538"/>
        <v>15</v>
      </c>
      <c r="CV197" s="217"/>
      <c r="CW197" s="172">
        <f t="shared" si="539"/>
        <v>35.807601822693215</v>
      </c>
      <c r="CX197" s="536">
        <f t="shared" si="540"/>
        <v>15</v>
      </c>
      <c r="CY197" s="217">
        <f t="shared" si="541"/>
        <v>30.684894053315105</v>
      </c>
      <c r="CZ197" s="217">
        <f t="shared" si="542"/>
        <v>19.37993308630428</v>
      </c>
      <c r="DA197" s="217">
        <f t="shared" si="543"/>
        <v>23.910307054531252</v>
      </c>
      <c r="DB197" s="197">
        <f t="shared" si="544"/>
        <v>70.881782945736433</v>
      </c>
      <c r="DC197" s="443">
        <f t="shared" si="545"/>
        <v>23.099894958926399</v>
      </c>
      <c r="DE197" s="217">
        <f t="shared" si="546"/>
        <v>10.000000000000002</v>
      </c>
      <c r="DF197" s="173">
        <f t="shared" si="547"/>
        <v>7.792207792207793</v>
      </c>
      <c r="DG197" s="173">
        <f t="shared" si="548"/>
        <v>2.7616279069767451</v>
      </c>
      <c r="DH197" s="173"/>
      <c r="DI197" s="173">
        <f t="shared" si="549"/>
        <v>7.7922077922077913</v>
      </c>
      <c r="DJ197" s="545">
        <f t="shared" si="550"/>
        <v>223.3</v>
      </c>
      <c r="DK197" s="528">
        <f t="shared" si="551"/>
        <v>2.7616279069767442</v>
      </c>
      <c r="DM197" s="173">
        <f t="shared" si="552"/>
        <v>7.987490219086343</v>
      </c>
      <c r="DN197" s="173">
        <f t="shared" si="553"/>
        <v>30.684894053315105</v>
      </c>
      <c r="DO197" s="173">
        <f t="shared" si="554"/>
        <v>16.522143743196374</v>
      </c>
      <c r="DQ197" s="545">
        <f t="shared" si="555"/>
        <v>8700</v>
      </c>
      <c r="DR197" s="460">
        <f t="shared" si="556"/>
        <v>23.099894958926399</v>
      </c>
      <c r="DT197">
        <f t="shared" si="591"/>
        <v>8700</v>
      </c>
      <c r="DU197">
        <f t="shared" si="592"/>
        <v>23.099894958926399</v>
      </c>
      <c r="DW197" s="5">
        <f t="shared" si="557"/>
        <v>43.290240140835529</v>
      </c>
      <c r="DX197" s="5">
        <f t="shared" si="558"/>
        <v>19.37993308630428</v>
      </c>
      <c r="DY197" s="5">
        <f t="shared" si="559"/>
        <v>23.910307054531248</v>
      </c>
      <c r="DZ197" s="5"/>
      <c r="EA197" s="173">
        <f t="shared" si="560"/>
        <v>0.44767441860465124</v>
      </c>
      <c r="EB197" s="173">
        <f t="shared" si="561"/>
        <v>130.49999999999997</v>
      </c>
      <c r="EC197" s="173">
        <f t="shared" si="562"/>
        <v>8.474025974025972</v>
      </c>
      <c r="ED197" s="173">
        <f t="shared" si="563"/>
        <v>15.4</v>
      </c>
      <c r="EE197" s="460">
        <f t="shared" si="564"/>
        <v>1124.0361190056483</v>
      </c>
      <c r="EF197" s="5">
        <f t="shared" si="565"/>
        <v>56.629674602837163</v>
      </c>
      <c r="EH197" s="173">
        <f t="shared" si="566"/>
        <v>11.853460038136797</v>
      </c>
      <c r="EI197" s="173">
        <f t="shared" si="567"/>
        <v>13.166234319096388</v>
      </c>
      <c r="EK197" s="528">
        <f t="shared" si="568"/>
        <v>2.8100902975141202</v>
      </c>
      <c r="EL197" s="528">
        <f t="shared" si="569"/>
        <v>0.48766666666666658</v>
      </c>
      <c r="EM197" s="528">
        <f t="shared" si="570"/>
        <v>2.8874868698657999E-3</v>
      </c>
      <c r="EN197" s="528">
        <f t="shared" si="571"/>
        <v>2.7335491698595141E-3</v>
      </c>
      <c r="EO197">
        <f t="shared" si="572"/>
        <v>8.5500000000000003E-3</v>
      </c>
      <c r="EP197" s="460">
        <f t="shared" si="573"/>
        <v>11.437486869865801</v>
      </c>
      <c r="EQ197" s="460"/>
      <c r="ER197" s="460">
        <f t="shared" si="593"/>
        <v>3311.9280002205119</v>
      </c>
      <c r="ES197" s="528">
        <f t="shared" si="574"/>
        <v>6.089999999999999</v>
      </c>
      <c r="EV197" s="460">
        <f t="shared" si="494"/>
        <v>6089.9999999999991</v>
      </c>
      <c r="EW197" s="528">
        <f t="shared" si="575"/>
        <v>4.2151354462711801</v>
      </c>
      <c r="EX197" s="528">
        <f t="shared" si="576"/>
        <v>5.2004917843605458</v>
      </c>
      <c r="EY197" s="528">
        <f t="shared" si="577"/>
        <v>0.66881589702681221</v>
      </c>
      <c r="EZ197" s="528"/>
      <c r="FA197" s="528">
        <f t="shared" si="578"/>
        <v>2.1749999999999995E-2</v>
      </c>
      <c r="FB197" s="460">
        <f t="shared" si="579"/>
        <v>10106.193127658538</v>
      </c>
      <c r="FC197" s="173">
        <f t="shared" si="580"/>
        <v>19.508121127879047</v>
      </c>
      <c r="FD197" s="5">
        <f t="shared" si="581"/>
        <v>130.5</v>
      </c>
      <c r="FE197" s="173">
        <f t="shared" si="582"/>
        <v>0.86995290000833525</v>
      </c>
      <c r="FF197" s="5">
        <f t="shared" si="583"/>
        <v>86.995290000833521</v>
      </c>
      <c r="FI197" s="562">
        <f t="shared" si="584"/>
        <v>-50</v>
      </c>
      <c r="FJ197">
        <f t="shared" si="585"/>
        <v>-50</v>
      </c>
      <c r="FL197">
        <f t="shared" si="586"/>
        <v>0.55232558139534871</v>
      </c>
    </row>
    <row r="198" spans="5:168">
      <c r="E198" s="170">
        <v>88</v>
      </c>
      <c r="F198" s="217">
        <f t="shared" si="587"/>
        <v>8.8000000000000007</v>
      </c>
      <c r="G198" s="217"/>
      <c r="H198" s="217">
        <f t="shared" si="495"/>
        <v>132</v>
      </c>
      <c r="I198" s="541">
        <f t="shared" si="496"/>
        <v>18.201718064685636</v>
      </c>
      <c r="J198" s="172">
        <f t="shared" si="497"/>
        <v>15.878969161188619</v>
      </c>
      <c r="K198" s="172">
        <f t="shared" si="498"/>
        <v>34.080687225874257</v>
      </c>
      <c r="L198" s="443"/>
      <c r="M198" s="217">
        <f t="shared" si="499"/>
        <v>0.46590728027166289</v>
      </c>
      <c r="N198" s="172">
        <f t="shared" si="500"/>
        <v>212.20923142752702</v>
      </c>
      <c r="O198" s="172">
        <f t="shared" ref="O198:O261" si="599">T198*F198</f>
        <v>132</v>
      </c>
      <c r="P198" s="217">
        <f t="shared" si="501"/>
        <v>14.147282095168467</v>
      </c>
      <c r="Q198" s="217">
        <f t="shared" si="502"/>
        <v>15</v>
      </c>
      <c r="R198" s="217"/>
      <c r="S198" s="172">
        <f t="shared" si="503"/>
        <v>33.721086199606816</v>
      </c>
      <c r="T198" s="536">
        <f t="shared" si="504"/>
        <v>15</v>
      </c>
      <c r="U198" s="217">
        <f t="shared" si="505"/>
        <v>32.953079774148819</v>
      </c>
      <c r="V198" s="217">
        <f t="shared" si="506"/>
        <v>21.725254499848525</v>
      </c>
      <c r="W198" s="217">
        <f t="shared" si="507"/>
        <v>24.90318819034632</v>
      </c>
      <c r="X198" s="197">
        <f t="shared" si="508"/>
        <v>70.67162845882109</v>
      </c>
      <c r="Y198" s="443">
        <f t="shared" si="509"/>
        <v>21.354543148396957</v>
      </c>
      <c r="AA198" s="217">
        <f t="shared" si="510"/>
        <v>10</v>
      </c>
      <c r="AB198" s="173">
        <f t="shared" si="511"/>
        <v>7.5571656309594726</v>
      </c>
      <c r="AC198" s="173">
        <f t="shared" si="512"/>
        <v>2.6703860083647006</v>
      </c>
      <c r="AD198" s="173"/>
      <c r="AE198" s="173">
        <f t="shared" si="513"/>
        <v>7.5571656309594726</v>
      </c>
      <c r="AF198" s="545">
        <f t="shared" si="514"/>
        <v>232.89154769743311</v>
      </c>
      <c r="AG198" s="528">
        <f t="shared" si="515"/>
        <v>2.6703860083647002</v>
      </c>
      <c r="AI198" s="173">
        <f t="shared" si="516"/>
        <v>8.1572325085942357</v>
      </c>
      <c r="AJ198" s="173">
        <f t="shared" si="517"/>
        <v>32.953079774148819</v>
      </c>
      <c r="AK198" s="173">
        <f t="shared" si="518"/>
        <v>18.202281314184312</v>
      </c>
      <c r="AM198" s="545">
        <f t="shared" si="519"/>
        <v>8800</v>
      </c>
      <c r="AN198" s="460">
        <f t="shared" si="520"/>
        <v>21.354543148396957</v>
      </c>
      <c r="AP198">
        <f t="shared" si="521"/>
        <v>8800</v>
      </c>
      <c r="AQ198">
        <f t="shared" si="522"/>
        <v>21.354543148396957</v>
      </c>
      <c r="AS198" s="5">
        <f t="shared" ref="AS198:AS262" si="600">1/AN198*1000</f>
        <v>46.828442690194848</v>
      </c>
      <c r="AT198" s="5">
        <f t="shared" si="523"/>
        <v>21.725254499848525</v>
      </c>
      <c r="AU198" s="5">
        <f t="shared" si="478"/>
        <v>25.103188190346323</v>
      </c>
      <c r="AV198" s="5"/>
      <c r="AW198" s="173">
        <f t="shared" si="479"/>
        <v>0.46393288462692051</v>
      </c>
      <c r="AX198" s="173">
        <f t="shared" si="596"/>
        <v>139.13409084972042</v>
      </c>
      <c r="AY198" s="173">
        <f t="shared" si="597"/>
        <v>8.8325312085934637</v>
      </c>
      <c r="AZ198" s="173">
        <f t="shared" ref="AZ198:AZ210" si="601">AX198/AY198</f>
        <v>15.752459579690161</v>
      </c>
      <c r="BA198" s="460">
        <f t="shared" si="594"/>
        <v>1274.5482639911133</v>
      </c>
      <c r="BB198" s="5">
        <f t="shared" si="595"/>
        <v>62.775825457220691</v>
      </c>
      <c r="BD198" s="173">
        <f t="shared" ref="BD198:BD210" si="602">AJ198*SQRT(AW198/3)</f>
        <v>12.958745509661766</v>
      </c>
      <c r="BE198" s="173">
        <f t="shared" si="598"/>
        <v>13.92980271514854</v>
      </c>
      <c r="BG198" s="528">
        <f t="shared" si="480"/>
        <v>3.3585817036835794</v>
      </c>
      <c r="BH198" s="528">
        <f t="shared" si="524"/>
        <v>0.44967206642791091</v>
      </c>
      <c r="BI198" s="528">
        <f t="shared" si="525"/>
        <v>9.7172343446821439E-3</v>
      </c>
      <c r="BJ198" s="528">
        <f t="shared" si="481"/>
        <v>2.4803157548330505E-3</v>
      </c>
      <c r="BK198">
        <f t="shared" si="482"/>
        <v>8.1907731291085365E-3</v>
      </c>
      <c r="BL198" s="460">
        <f t="shared" si="588"/>
        <v>17.908007473790679</v>
      </c>
      <c r="BM198" s="528">
        <f t="shared" si="526"/>
        <v>23.354099458327887</v>
      </c>
      <c r="BN198" s="460">
        <f t="shared" si="527"/>
        <v>23354.099458327888</v>
      </c>
      <c r="BO198" s="528">
        <f t="shared" si="483"/>
        <v>6.16</v>
      </c>
      <c r="BR198" s="460">
        <f t="shared" si="484"/>
        <v>6160</v>
      </c>
      <c r="BS198" s="528">
        <f t="shared" si="485"/>
        <v>5.0378725555253689</v>
      </c>
      <c r="BT198" s="528">
        <f t="shared" si="486"/>
        <v>5.8211821104887891</v>
      </c>
      <c r="BU198" s="528">
        <f t="shared" si="487"/>
        <v>0.65680392651282138</v>
      </c>
      <c r="BV198" s="528"/>
      <c r="BW198" s="528">
        <f t="shared" si="488"/>
        <v>2.318901514162007E-2</v>
      </c>
      <c r="BX198" s="460">
        <f t="shared" si="489"/>
        <v>11539.047607668599</v>
      </c>
      <c r="BY198" s="173">
        <f t="shared" si="490"/>
        <v>21.527689701008715</v>
      </c>
      <c r="BZ198" s="5">
        <f t="shared" si="491"/>
        <v>132</v>
      </c>
      <c r="CA198" s="173">
        <f t="shared" si="492"/>
        <v>0.85977975866807255</v>
      </c>
      <c r="CB198" s="5">
        <f t="shared" si="493"/>
        <v>85.977975866807256</v>
      </c>
      <c r="CE198" s="562">
        <f t="shared" si="528"/>
        <v>-50</v>
      </c>
      <c r="CF198">
        <f t="shared" si="529"/>
        <v>-50</v>
      </c>
      <c r="CG198" s="173">
        <f t="shared" si="530"/>
        <v>0.55118371158772017</v>
      </c>
      <c r="CI198" s="170">
        <v>88</v>
      </c>
      <c r="CJ198" s="217">
        <f t="shared" si="589"/>
        <v>8.8000000000000007</v>
      </c>
      <c r="CK198" s="217"/>
      <c r="CL198" s="217">
        <f t="shared" si="531"/>
        <v>132</v>
      </c>
      <c r="CM198" s="541">
        <f t="shared" si="532"/>
        <v>19</v>
      </c>
      <c r="CN198" s="443">
        <f t="shared" si="533"/>
        <v>15.4</v>
      </c>
      <c r="CO198" s="443">
        <f t="shared" si="534"/>
        <v>34.4</v>
      </c>
      <c r="CP198" s="443"/>
      <c r="CQ198" s="217">
        <f t="shared" si="535"/>
        <v>0.44767441860465118</v>
      </c>
      <c r="CR198" s="172">
        <f t="shared" si="590"/>
        <v>212.84736191860466</v>
      </c>
      <c r="CS198" s="172">
        <f t="shared" si="536"/>
        <v>132</v>
      </c>
      <c r="CT198" s="217">
        <f t="shared" si="537"/>
        <v>14.189824127906977</v>
      </c>
      <c r="CU198" s="217">
        <f t="shared" si="538"/>
        <v>15</v>
      </c>
      <c r="CV198" s="217"/>
      <c r="CW198" s="172">
        <f t="shared" si="539"/>
        <v>35.190810991456267</v>
      </c>
      <c r="CX198" s="536">
        <f t="shared" si="540"/>
        <v>15</v>
      </c>
      <c r="CY198" s="217">
        <f t="shared" si="541"/>
        <v>31.037593984962406</v>
      </c>
      <c r="CZ198" s="217">
        <f t="shared" si="542"/>
        <v>19.602690937870992</v>
      </c>
      <c r="DA198" s="217">
        <f t="shared" si="543"/>
        <v>24.185138170100579</v>
      </c>
      <c r="DB198" s="197">
        <f t="shared" si="544"/>
        <v>70.881782945736433</v>
      </c>
      <c r="DC198" s="443">
        <f t="shared" si="545"/>
        <v>22.837396152574961</v>
      </c>
      <c r="DE198" s="217">
        <f t="shared" si="546"/>
        <v>10.000000000000002</v>
      </c>
      <c r="DF198" s="173">
        <f t="shared" si="547"/>
        <v>7.792207792207793</v>
      </c>
      <c r="DG198" s="173">
        <f t="shared" si="548"/>
        <v>2.7616279069767451</v>
      </c>
      <c r="DH198" s="173"/>
      <c r="DI198" s="173">
        <f t="shared" si="549"/>
        <v>7.7922077922077913</v>
      </c>
      <c r="DJ198" s="545">
        <f t="shared" si="550"/>
        <v>225.86666666666667</v>
      </c>
      <c r="DK198" s="528">
        <f t="shared" si="551"/>
        <v>2.7616279069767442</v>
      </c>
      <c r="DM198" s="173">
        <f t="shared" si="552"/>
        <v>8.0332641767424366</v>
      </c>
      <c r="DN198" s="173">
        <f t="shared" si="553"/>
        <v>31.037593984962406</v>
      </c>
      <c r="DO198" s="173">
        <f t="shared" si="554"/>
        <v>16.783402951824005</v>
      </c>
      <c r="DQ198" s="545">
        <f t="shared" si="555"/>
        <v>8800</v>
      </c>
      <c r="DR198" s="460">
        <f t="shared" si="556"/>
        <v>22.837396152574961</v>
      </c>
      <c r="DT198">
        <f t="shared" si="591"/>
        <v>8800</v>
      </c>
      <c r="DU198">
        <f t="shared" si="592"/>
        <v>22.837396152574961</v>
      </c>
      <c r="DW198" s="5">
        <f t="shared" si="557"/>
        <v>43.787829107971575</v>
      </c>
      <c r="DX198" s="5">
        <f t="shared" si="558"/>
        <v>19.602690937870992</v>
      </c>
      <c r="DY198" s="5">
        <f t="shared" si="559"/>
        <v>24.185138170100583</v>
      </c>
      <c r="DZ198" s="5"/>
      <c r="EA198" s="173">
        <f t="shared" si="560"/>
        <v>0.44767441860465107</v>
      </c>
      <c r="EB198" s="173">
        <f t="shared" si="561"/>
        <v>131.99999999999997</v>
      </c>
      <c r="EC198" s="173">
        <f t="shared" si="562"/>
        <v>8.571428571428573</v>
      </c>
      <c r="ED198" s="173">
        <f t="shared" si="563"/>
        <v>15.399999999999993</v>
      </c>
      <c r="EE198" s="460">
        <f t="shared" si="564"/>
        <v>1150.0245350217651</v>
      </c>
      <c r="EF198" s="5">
        <f t="shared" si="565"/>
        <v>57.938987993707386</v>
      </c>
      <c r="EH198" s="173">
        <f t="shared" si="566"/>
        <v>11.989706705241817</v>
      </c>
      <c r="EI198" s="173">
        <f t="shared" si="567"/>
        <v>13.317570345752671</v>
      </c>
      <c r="EK198" s="528">
        <f t="shared" si="568"/>
        <v>2.8750613375544116</v>
      </c>
      <c r="EL198" s="528">
        <f t="shared" si="569"/>
        <v>0.48766666666666653</v>
      </c>
      <c r="EM198" s="528">
        <f t="shared" si="570"/>
        <v>2.8546745190718699E-3</v>
      </c>
      <c r="EN198" s="528">
        <f t="shared" si="571"/>
        <v>2.7024861111111104E-3</v>
      </c>
      <c r="EO198">
        <f t="shared" si="572"/>
        <v>8.5500000000000003E-3</v>
      </c>
      <c r="EP198" s="460">
        <f t="shared" si="573"/>
        <v>11.40467451907187</v>
      </c>
      <c r="EQ198" s="460"/>
      <c r="ER198" s="460">
        <f t="shared" si="593"/>
        <v>3376.8351648512612</v>
      </c>
      <c r="ES198" s="528">
        <f t="shared" si="574"/>
        <v>6.16</v>
      </c>
      <c r="EV198" s="460">
        <f t="shared" si="494"/>
        <v>6160</v>
      </c>
      <c r="EW198" s="528">
        <f t="shared" si="575"/>
        <v>4.3125920063316174</v>
      </c>
      <c r="EX198" s="528">
        <f t="shared" si="576"/>
        <v>5.3207303974221265</v>
      </c>
      <c r="EY198" s="528">
        <f t="shared" si="577"/>
        <v>0.66881589702681221</v>
      </c>
      <c r="EZ198" s="528"/>
      <c r="FA198" s="528">
        <f t="shared" si="578"/>
        <v>2.1999999999999999E-2</v>
      </c>
      <c r="FB198" s="460">
        <f t="shared" si="579"/>
        <v>10324.138300780558</v>
      </c>
      <c r="FC198" s="173">
        <f t="shared" si="580"/>
        <v>19.860973465631815</v>
      </c>
      <c r="FD198" s="5">
        <f t="shared" si="581"/>
        <v>132</v>
      </c>
      <c r="FE198" s="173">
        <f t="shared" si="582"/>
        <v>0.86921607959976221</v>
      </c>
      <c r="FF198" s="5">
        <f t="shared" si="583"/>
        <v>86.921607959976228</v>
      </c>
      <c r="FI198" s="562">
        <f t="shared" si="584"/>
        <v>-50</v>
      </c>
      <c r="FJ198">
        <f t="shared" si="585"/>
        <v>-50</v>
      </c>
      <c r="FL198">
        <f t="shared" si="586"/>
        <v>0.55232558139534893</v>
      </c>
    </row>
    <row r="199" spans="5:168">
      <c r="E199" s="170">
        <v>89</v>
      </c>
      <c r="F199" s="217">
        <f t="shared" si="587"/>
        <v>8.9</v>
      </c>
      <c r="G199" s="217"/>
      <c r="H199" s="217">
        <f t="shared" si="495"/>
        <v>133.5</v>
      </c>
      <c r="I199" s="541">
        <f t="shared" si="496"/>
        <v>18.192665471521423</v>
      </c>
      <c r="J199" s="172">
        <f t="shared" si="497"/>
        <v>15.884400717087148</v>
      </c>
      <c r="K199" s="172">
        <f t="shared" si="498"/>
        <v>34.077066188608569</v>
      </c>
      <c r="L199" s="443"/>
      <c r="M199" s="217">
        <f t="shared" si="499"/>
        <v>0.46611618448450165</v>
      </c>
      <c r="N199" s="172">
        <f t="shared" si="500"/>
        <v>212.19879290532327</v>
      </c>
      <c r="O199" s="172">
        <f t="shared" si="599"/>
        <v>133.5</v>
      </c>
      <c r="P199" s="217">
        <f t="shared" si="501"/>
        <v>14.146586193688218</v>
      </c>
      <c r="Q199" s="217">
        <f t="shared" si="502"/>
        <v>15</v>
      </c>
      <c r="R199" s="217"/>
      <c r="S199" s="172">
        <f t="shared" si="503"/>
        <v>33.127375912228587</v>
      </c>
      <c r="T199" s="536">
        <f t="shared" si="504"/>
        <v>15</v>
      </c>
      <c r="U199" s="217">
        <f t="shared" si="505"/>
        <v>33.340587376324542</v>
      </c>
      <c r="V199" s="217">
        <f t="shared" si="506"/>
        <v>21.991667419058846</v>
      </c>
      <c r="W199" s="217">
        <f t="shared" si="507"/>
        <v>25.1874185020725</v>
      </c>
      <c r="X199" s="197">
        <f t="shared" si="508"/>
        <v>70.668150358104782</v>
      </c>
      <c r="Y199" s="443">
        <f t="shared" si="509"/>
        <v>21.106359072959535</v>
      </c>
      <c r="AA199" s="217">
        <f t="shared" si="510"/>
        <v>9.9999999999999982</v>
      </c>
      <c r="AB199" s="173">
        <f t="shared" si="511"/>
        <v>7.554581512849504</v>
      </c>
      <c r="AC199" s="173">
        <f t="shared" si="512"/>
        <v>2.6693415112130365</v>
      </c>
      <c r="AD199" s="173"/>
      <c r="AE199" s="173">
        <f t="shared" si="513"/>
        <v>7.5545815128495057</v>
      </c>
      <c r="AF199" s="545">
        <f t="shared" si="514"/>
        <v>235.61861063679274</v>
      </c>
      <c r="AG199" s="528">
        <f t="shared" si="515"/>
        <v>2.6693415112130374</v>
      </c>
      <c r="AI199" s="173">
        <f t="shared" si="516"/>
        <v>8.2048524081231129</v>
      </c>
      <c r="AJ199" s="173">
        <f t="shared" si="517"/>
        <v>33.340587376324542</v>
      </c>
      <c r="AK199" s="173">
        <f t="shared" si="518"/>
        <v>18.489323982462622</v>
      </c>
      <c r="AM199" s="545">
        <f t="shared" si="519"/>
        <v>8900</v>
      </c>
      <c r="AN199" s="460">
        <f t="shared" si="520"/>
        <v>21.106359072959535</v>
      </c>
      <c r="AP199">
        <f t="shared" si="521"/>
        <v>8900</v>
      </c>
      <c r="AQ199">
        <f t="shared" si="522"/>
        <v>21.106359072959535</v>
      </c>
      <c r="AS199" s="5">
        <f t="shared" si="600"/>
        <v>47.379085921131349</v>
      </c>
      <c r="AT199" s="5">
        <f t="shared" si="523"/>
        <v>21.991667419058846</v>
      </c>
      <c r="AU199" s="5">
        <f t="shared" si="478"/>
        <v>25.387418502072503</v>
      </c>
      <c r="AV199" s="5"/>
      <c r="AW199" s="173">
        <f t="shared" si="479"/>
        <v>0.46416402915976129</v>
      </c>
      <c r="AX199" s="173">
        <f t="shared" si="596"/>
        <v>140.77030972468219</v>
      </c>
      <c r="AY199" s="173">
        <f t="shared" si="597"/>
        <v>8.9325430025883339</v>
      </c>
      <c r="AZ199" s="173">
        <f t="shared" si="601"/>
        <v>15.759264711503986</v>
      </c>
      <c r="BA199" s="460">
        <f t="shared" si="594"/>
        <v>1304.8389335308248</v>
      </c>
      <c r="BB199" s="5">
        <f t="shared" si="595"/>
        <v>64.239991723533194</v>
      </c>
      <c r="BD199" s="173">
        <f t="shared" si="602"/>
        <v>13.114398012072915</v>
      </c>
      <c r="BE199" s="173">
        <f t="shared" si="598"/>
        <v>14.090569670777988</v>
      </c>
      <c r="BG199" s="528">
        <f t="shared" si="480"/>
        <v>3.4397487043812403</v>
      </c>
      <c r="BH199" s="528">
        <f t="shared" si="524"/>
        <v>0.44962457354655666</v>
      </c>
      <c r="BI199" s="528">
        <f t="shared" si="525"/>
        <v>9.5995232484040963E-3</v>
      </c>
      <c r="BJ199" s="528">
        <f t="shared" si="481"/>
        <v>2.4509684335317383E-3</v>
      </c>
      <c r="BK199">
        <f t="shared" si="482"/>
        <v>8.1866994621846399E-3</v>
      </c>
      <c r="BL199" s="460">
        <f t="shared" si="588"/>
        <v>17.786222710588738</v>
      </c>
      <c r="BM199" s="528">
        <f t="shared" si="526"/>
        <v>26.382824189321681</v>
      </c>
      <c r="BN199" s="460">
        <f t="shared" si="527"/>
        <v>26382.82418932168</v>
      </c>
      <c r="BO199" s="528">
        <f t="shared" si="483"/>
        <v>6.2299999999999995</v>
      </c>
      <c r="BR199" s="460">
        <f t="shared" si="484"/>
        <v>6229.9999999999991</v>
      </c>
      <c r="BS199" s="528">
        <f t="shared" si="485"/>
        <v>5.1596230565718599</v>
      </c>
      <c r="BT199" s="528">
        <f t="shared" si="486"/>
        <v>5.9563246094114541</v>
      </c>
      <c r="BU199" s="528">
        <f t="shared" si="487"/>
        <v>0.65680496478000849</v>
      </c>
      <c r="BV199" s="528"/>
      <c r="BW199" s="528">
        <f t="shared" si="488"/>
        <v>2.3461718287447031E-2</v>
      </c>
      <c r="BX199" s="460">
        <f t="shared" si="489"/>
        <v>11796.214349050768</v>
      </c>
      <c r="BY199" s="173">
        <f t="shared" si="490"/>
        <v>21.935824818122686</v>
      </c>
      <c r="BZ199" s="5">
        <f t="shared" si="491"/>
        <v>133.5</v>
      </c>
      <c r="CA199" s="173">
        <f t="shared" si="492"/>
        <v>0.85887536001568454</v>
      </c>
      <c r="CB199" s="5">
        <f t="shared" si="493"/>
        <v>85.887536001568449</v>
      </c>
      <c r="CE199" s="562">
        <f t="shared" si="528"/>
        <v>-50</v>
      </c>
      <c r="CF199">
        <f t="shared" si="529"/>
        <v>-50</v>
      </c>
      <c r="CG199" s="173">
        <f t="shared" si="530"/>
        <v>0.55119654158555853</v>
      </c>
      <c r="CI199" s="170">
        <v>89</v>
      </c>
      <c r="CJ199" s="217">
        <f t="shared" si="589"/>
        <v>8.9</v>
      </c>
      <c r="CK199" s="217"/>
      <c r="CL199" s="217">
        <f t="shared" si="531"/>
        <v>133.5</v>
      </c>
      <c r="CM199" s="541">
        <f t="shared" si="532"/>
        <v>19</v>
      </c>
      <c r="CN199" s="443">
        <f t="shared" si="533"/>
        <v>15.4</v>
      </c>
      <c r="CO199" s="443">
        <f t="shared" si="534"/>
        <v>34.4</v>
      </c>
      <c r="CP199" s="443"/>
      <c r="CQ199" s="217">
        <f t="shared" si="535"/>
        <v>0.44767441860465118</v>
      </c>
      <c r="CR199" s="172">
        <f t="shared" si="590"/>
        <v>212.84736191860466</v>
      </c>
      <c r="CS199" s="172">
        <f t="shared" si="536"/>
        <v>133.5</v>
      </c>
      <c r="CT199" s="217">
        <f t="shared" si="537"/>
        <v>14.189824127906977</v>
      </c>
      <c r="CU199" s="217">
        <f t="shared" si="538"/>
        <v>15</v>
      </c>
      <c r="CV199" s="217"/>
      <c r="CW199" s="172">
        <f t="shared" si="539"/>
        <v>34.588003824765067</v>
      </c>
      <c r="CX199" s="536">
        <f t="shared" si="540"/>
        <v>15</v>
      </c>
      <c r="CY199" s="217">
        <f t="shared" si="541"/>
        <v>31.390293916609703</v>
      </c>
      <c r="CZ199" s="217">
        <f t="shared" si="542"/>
        <v>19.825448789437708</v>
      </c>
      <c r="DA199" s="217">
        <f t="shared" si="543"/>
        <v>24.459969285669899</v>
      </c>
      <c r="DB199" s="197">
        <f t="shared" si="544"/>
        <v>70.881782945736433</v>
      </c>
      <c r="DC199" s="443">
        <f t="shared" si="545"/>
        <v>22.580796195804464</v>
      </c>
      <c r="DE199" s="217">
        <f t="shared" si="546"/>
        <v>10.000000000000002</v>
      </c>
      <c r="DF199" s="173">
        <f t="shared" si="547"/>
        <v>7.792207792207793</v>
      </c>
      <c r="DG199" s="173">
        <f t="shared" si="548"/>
        <v>2.7616279069767451</v>
      </c>
      <c r="DH199" s="173"/>
      <c r="DI199" s="173">
        <f t="shared" si="549"/>
        <v>7.7922077922077913</v>
      </c>
      <c r="DJ199" s="545">
        <f t="shared" si="550"/>
        <v>228.43333333333334</v>
      </c>
      <c r="DK199" s="528">
        <f t="shared" si="551"/>
        <v>2.7616279069767442</v>
      </c>
      <c r="DM199" s="173">
        <f t="shared" si="552"/>
        <v>8.0787787856003757</v>
      </c>
      <c r="DN199" s="173">
        <f t="shared" si="553"/>
        <v>31.390293916609703</v>
      </c>
      <c r="DO199" s="173">
        <f t="shared" si="554"/>
        <v>17.044662160451633</v>
      </c>
      <c r="DQ199" s="545">
        <f t="shared" si="555"/>
        <v>8900</v>
      </c>
      <c r="DR199" s="460">
        <f t="shared" si="556"/>
        <v>22.580796195804464</v>
      </c>
      <c r="DT199">
        <f t="shared" si="591"/>
        <v>8900</v>
      </c>
      <c r="DU199">
        <f t="shared" si="592"/>
        <v>22.580796195804464</v>
      </c>
      <c r="DW199" s="5">
        <f t="shared" si="557"/>
        <v>44.2854180751076</v>
      </c>
      <c r="DX199" s="5">
        <f t="shared" si="558"/>
        <v>19.825448789437708</v>
      </c>
      <c r="DY199" s="5">
        <f t="shared" si="559"/>
        <v>24.459969285669892</v>
      </c>
      <c r="DZ199" s="5"/>
      <c r="EA199" s="173">
        <f t="shared" si="560"/>
        <v>0.44767441860465124</v>
      </c>
      <c r="EB199" s="173">
        <f t="shared" si="561"/>
        <v>133.5</v>
      </c>
      <c r="EC199" s="173">
        <f t="shared" si="562"/>
        <v>8.6688311688311668</v>
      </c>
      <c r="ED199" s="173">
        <f t="shared" si="563"/>
        <v>15.400000000000004</v>
      </c>
      <c r="EE199" s="460">
        <f t="shared" si="564"/>
        <v>1176.3099615066371</v>
      </c>
      <c r="EF199" s="5">
        <f t="shared" si="565"/>
        <v>59.263264966187485</v>
      </c>
      <c r="EH199" s="173">
        <f t="shared" si="566"/>
        <v>12.125953372346839</v>
      </c>
      <c r="EI199" s="173">
        <f t="shared" si="567"/>
        <v>13.468906372408949</v>
      </c>
      <c r="EK199" s="528">
        <f t="shared" si="568"/>
        <v>2.9407749037665933</v>
      </c>
      <c r="EL199" s="528">
        <f t="shared" si="569"/>
        <v>0.48766666666666675</v>
      </c>
      <c r="EM199" s="528">
        <f t="shared" si="570"/>
        <v>2.8225995244755579E-3</v>
      </c>
      <c r="EN199" s="528">
        <f t="shared" si="571"/>
        <v>2.672121098626717E-3</v>
      </c>
      <c r="EO199">
        <f t="shared" si="572"/>
        <v>8.5500000000000003E-3</v>
      </c>
      <c r="EP199" s="460">
        <f t="shared" si="573"/>
        <v>11.372599524475557</v>
      </c>
      <c r="EQ199" s="460"/>
      <c r="ER199" s="460">
        <f t="shared" si="593"/>
        <v>3442.4862910563625</v>
      </c>
      <c r="ES199" s="528">
        <f t="shared" si="574"/>
        <v>6.2299999999999995</v>
      </c>
      <c r="EV199" s="460">
        <f t="shared" si="494"/>
        <v>6229.9999999999991</v>
      </c>
      <c r="EW199" s="528">
        <f t="shared" si="575"/>
        <v>4.41116235564989</v>
      </c>
      <c r="EX199" s="528">
        <f t="shared" si="576"/>
        <v>5.4423431660615513</v>
      </c>
      <c r="EY199" s="528">
        <f t="shared" si="577"/>
        <v>0.66881589702681277</v>
      </c>
      <c r="EZ199" s="528"/>
      <c r="FA199" s="528">
        <f t="shared" si="578"/>
        <v>2.2249999999999999E-2</v>
      </c>
      <c r="FB199" s="460">
        <f t="shared" si="579"/>
        <v>10544.571418738253</v>
      </c>
      <c r="FC199" s="173">
        <f t="shared" si="580"/>
        <v>20.217057709794616</v>
      </c>
      <c r="FD199" s="5">
        <f t="shared" si="581"/>
        <v>133.5</v>
      </c>
      <c r="FE199" s="173">
        <f t="shared" si="582"/>
        <v>0.86847876214256714</v>
      </c>
      <c r="FF199" s="5">
        <f t="shared" si="583"/>
        <v>86.847876214256715</v>
      </c>
      <c r="FI199" s="562">
        <f t="shared" si="584"/>
        <v>-50</v>
      </c>
      <c r="FJ199">
        <f t="shared" si="585"/>
        <v>-50</v>
      </c>
      <c r="FL199">
        <f t="shared" si="586"/>
        <v>0.55232558139534871</v>
      </c>
    </row>
    <row r="200" spans="5:168">
      <c r="E200" s="170">
        <v>90</v>
      </c>
      <c r="F200" s="217">
        <f t="shared" si="587"/>
        <v>9</v>
      </c>
      <c r="G200" s="217"/>
      <c r="H200" s="217">
        <f t="shared" si="495"/>
        <v>135</v>
      </c>
      <c r="I200" s="541">
        <f t="shared" si="496"/>
        <v>18.183612877501819</v>
      </c>
      <c r="J200" s="172">
        <f t="shared" si="497"/>
        <v>15.889832273498909</v>
      </c>
      <c r="K200" s="172">
        <f t="shared" si="498"/>
        <v>34.073445151000726</v>
      </c>
      <c r="L200" s="443"/>
      <c r="M200" s="217">
        <f t="shared" si="499"/>
        <v>0.46632513311119733</v>
      </c>
      <c r="N200" s="172">
        <f t="shared" si="500"/>
        <v>212.18827993635708</v>
      </c>
      <c r="O200" s="172">
        <f t="shared" si="599"/>
        <v>135</v>
      </c>
      <c r="P200" s="217">
        <f t="shared" si="501"/>
        <v>14.145885329090472</v>
      </c>
      <c r="Q200" s="217">
        <f t="shared" si="502"/>
        <v>15</v>
      </c>
      <c r="R200" s="217"/>
      <c r="S200" s="172">
        <f t="shared" si="503"/>
        <v>32.547183648748721</v>
      </c>
      <c r="T200" s="536">
        <f t="shared" si="504"/>
        <v>15</v>
      </c>
      <c r="U200" s="217">
        <f t="shared" si="505"/>
        <v>33.72840116105845</v>
      </c>
      <c r="V200" s="217">
        <f t="shared" si="506"/>
        <v>22.258547663730688</v>
      </c>
      <c r="W200" s="217">
        <f t="shared" si="507"/>
        <v>25.471685727465413</v>
      </c>
      <c r="X200" s="197">
        <f t="shared" si="508"/>
        <v>70.664647466986182</v>
      </c>
      <c r="Y200" s="443">
        <f t="shared" si="509"/>
        <v>20.863658055620515</v>
      </c>
      <c r="AA200" s="217">
        <f t="shared" si="510"/>
        <v>10</v>
      </c>
      <c r="AB200" s="173">
        <f t="shared" si="511"/>
        <v>7.5519991611325068</v>
      </c>
      <c r="AC200" s="173">
        <f t="shared" si="512"/>
        <v>2.6682967919620202</v>
      </c>
      <c r="AD200" s="173"/>
      <c r="AE200" s="173">
        <f t="shared" si="513"/>
        <v>7.5519991611325068</v>
      </c>
      <c r="AF200" s="545">
        <f t="shared" si="514"/>
        <v>238.34748410248363</v>
      </c>
      <c r="AG200" s="528">
        <f t="shared" si="515"/>
        <v>2.6682967919620197</v>
      </c>
      <c r="AI200" s="173">
        <f t="shared" si="516"/>
        <v>8.2522288608677226</v>
      </c>
      <c r="AJ200" s="173">
        <f t="shared" si="517"/>
        <v>33.72840116105845</v>
      </c>
      <c r="AK200" s="173">
        <f t="shared" si="518"/>
        <v>18.776593452635886</v>
      </c>
      <c r="AM200" s="545">
        <f t="shared" si="519"/>
        <v>9000</v>
      </c>
      <c r="AN200" s="460">
        <f t="shared" si="520"/>
        <v>20.863658055620515</v>
      </c>
      <c r="AP200">
        <f t="shared" si="521"/>
        <v>9000</v>
      </c>
      <c r="AQ200">
        <f t="shared" si="522"/>
        <v>20.863658055620515</v>
      </c>
      <c r="AS200" s="5">
        <f t="shared" si="600"/>
        <v>47.930233391196104</v>
      </c>
      <c r="AT200" s="5">
        <f t="shared" si="523"/>
        <v>22.258547663730688</v>
      </c>
      <c r="AU200" s="5">
        <f t="shared" si="478"/>
        <v>25.671685727465416</v>
      </c>
      <c r="AV200" s="5"/>
      <c r="AW200" s="173">
        <f t="shared" si="479"/>
        <v>0.46439472727080799</v>
      </c>
      <c r="AX200" s="173">
        <f t="shared" si="596"/>
        <v>142.40761595251226</v>
      </c>
      <c r="AY200" s="173">
        <f t="shared" si="597"/>
        <v>9.0325547512941533</v>
      </c>
      <c r="AZ200" s="173">
        <f t="shared" si="601"/>
        <v>15.766039606027142</v>
      </c>
      <c r="BA200" s="460">
        <f t="shared" si="594"/>
        <v>1335.5128598238414</v>
      </c>
      <c r="BB200" s="5">
        <f t="shared" si="595"/>
        <v>65.721880475098217</v>
      </c>
      <c r="BD200" s="173">
        <f t="shared" si="602"/>
        <v>13.270239693383354</v>
      </c>
      <c r="BE200" s="173">
        <f t="shared" si="598"/>
        <v>14.251400636683019</v>
      </c>
      <c r="BG200" s="528">
        <f t="shared" si="480"/>
        <v>3.5219852303969432</v>
      </c>
      <c r="BH200" s="528">
        <f t="shared" si="524"/>
        <v>0.44957642559827737</v>
      </c>
      <c r="BI200" s="528">
        <f t="shared" si="525"/>
        <v>9.4844170322993943E-3</v>
      </c>
      <c r="BJ200" s="528">
        <f t="shared" si="481"/>
        <v>2.422270000194719E-3</v>
      </c>
      <c r="BK200">
        <f t="shared" si="482"/>
        <v>8.1826257948758186E-3</v>
      </c>
      <c r="BL200" s="460">
        <f t="shared" si="588"/>
        <v>17.667042827175212</v>
      </c>
      <c r="BM200" s="528">
        <f t="shared" si="526"/>
        <v>30.181586779397023</v>
      </c>
      <c r="BN200" s="460">
        <f t="shared" si="527"/>
        <v>30181.586779397021</v>
      </c>
      <c r="BO200" s="528">
        <f t="shared" si="483"/>
        <v>6.3</v>
      </c>
      <c r="BR200" s="460">
        <f t="shared" si="484"/>
        <v>6300</v>
      </c>
      <c r="BS200" s="528">
        <f t="shared" si="485"/>
        <v>5.2829778455954139</v>
      </c>
      <c r="BT200" s="528">
        <f t="shared" si="486"/>
        <v>6.0930726032174753</v>
      </c>
      <c r="BU200" s="528">
        <f t="shared" si="487"/>
        <v>0.65680361075113058</v>
      </c>
      <c r="BV200" s="528"/>
      <c r="BW200" s="528">
        <f t="shared" si="488"/>
        <v>2.3734602658752046E-2</v>
      </c>
      <c r="BX200" s="460">
        <f t="shared" si="489"/>
        <v>12056.588662222772</v>
      </c>
      <c r="BY200" s="173">
        <f t="shared" si="490"/>
        <v>22.348239631045363</v>
      </c>
      <c r="BZ200" s="5">
        <f t="shared" si="491"/>
        <v>135</v>
      </c>
      <c r="CA200" s="173">
        <f t="shared" si="492"/>
        <v>0.85796956048921702</v>
      </c>
      <c r="CB200" s="5">
        <f t="shared" si="493"/>
        <v>85.7969560489217</v>
      </c>
      <c r="CE200" s="562">
        <f t="shared" si="528"/>
        <v>-50</v>
      </c>
      <c r="CF200">
        <f t="shared" si="529"/>
        <v>-50</v>
      </c>
      <c r="CG200" s="173">
        <f t="shared" si="530"/>
        <v>0.55120908647233413</v>
      </c>
      <c r="CI200" s="170">
        <v>90</v>
      </c>
      <c r="CJ200" s="217">
        <f t="shared" si="589"/>
        <v>9</v>
      </c>
      <c r="CK200" s="217"/>
      <c r="CL200" s="217">
        <f t="shared" si="531"/>
        <v>135</v>
      </c>
      <c r="CM200" s="541">
        <f t="shared" si="532"/>
        <v>19</v>
      </c>
      <c r="CN200" s="443">
        <f t="shared" si="533"/>
        <v>15.4</v>
      </c>
      <c r="CO200" s="443">
        <f t="shared" si="534"/>
        <v>34.4</v>
      </c>
      <c r="CP200" s="443"/>
      <c r="CQ200" s="217">
        <f t="shared" si="535"/>
        <v>0.44767441860465118</v>
      </c>
      <c r="CR200" s="172">
        <f t="shared" si="590"/>
        <v>212.84736191860466</v>
      </c>
      <c r="CS200" s="172">
        <f t="shared" si="536"/>
        <v>135</v>
      </c>
      <c r="CT200" s="217">
        <f t="shared" si="537"/>
        <v>14.189824127906977</v>
      </c>
      <c r="CU200" s="217">
        <f t="shared" si="538"/>
        <v>15</v>
      </c>
      <c r="CV200" s="217"/>
      <c r="CW200" s="172">
        <f t="shared" si="539"/>
        <v>33.998716255353003</v>
      </c>
      <c r="CX200" s="536">
        <f t="shared" si="540"/>
        <v>15</v>
      </c>
      <c r="CY200" s="217">
        <f t="shared" si="541"/>
        <v>31.742993848257004</v>
      </c>
      <c r="CZ200" s="217">
        <f t="shared" si="542"/>
        <v>20.048206641004423</v>
      </c>
      <c r="DA200" s="217">
        <f t="shared" si="543"/>
        <v>24.734800401239227</v>
      </c>
      <c r="DB200" s="197">
        <f t="shared" si="544"/>
        <v>70.881782945736433</v>
      </c>
      <c r="DC200" s="443">
        <f t="shared" si="545"/>
        <v>22.329898460295521</v>
      </c>
      <c r="DE200" s="217">
        <f t="shared" si="546"/>
        <v>10.000000000000002</v>
      </c>
      <c r="DF200" s="173">
        <f t="shared" si="547"/>
        <v>7.792207792207793</v>
      </c>
      <c r="DG200" s="173">
        <f t="shared" si="548"/>
        <v>2.7616279069767451</v>
      </c>
      <c r="DH200" s="173"/>
      <c r="DI200" s="173">
        <f t="shared" si="549"/>
        <v>7.7922077922077913</v>
      </c>
      <c r="DJ200" s="545">
        <f t="shared" si="550"/>
        <v>231</v>
      </c>
      <c r="DK200" s="528">
        <f t="shared" si="551"/>
        <v>2.7616279069767442</v>
      </c>
      <c r="DM200" s="173">
        <f t="shared" si="552"/>
        <v>8.1240384046359608</v>
      </c>
      <c r="DN200" s="173">
        <f t="shared" si="553"/>
        <v>31.742993848257004</v>
      </c>
      <c r="DO200" s="173">
        <f t="shared" si="554"/>
        <v>17.305921369079261</v>
      </c>
      <c r="DQ200" s="545">
        <f t="shared" si="555"/>
        <v>9000</v>
      </c>
      <c r="DR200" s="460">
        <f t="shared" si="556"/>
        <v>22.329898460295521</v>
      </c>
      <c r="DT200">
        <f t="shared" si="591"/>
        <v>9000</v>
      </c>
      <c r="DU200">
        <f t="shared" si="592"/>
        <v>22.329898460295521</v>
      </c>
      <c r="DW200" s="5">
        <f t="shared" si="557"/>
        <v>44.783007042243653</v>
      </c>
      <c r="DX200" s="5">
        <f t="shared" si="558"/>
        <v>20.048206641004423</v>
      </c>
      <c r="DY200" s="5">
        <f t="shared" si="559"/>
        <v>24.73480040123923</v>
      </c>
      <c r="DZ200" s="5"/>
      <c r="EA200" s="173">
        <f t="shared" si="560"/>
        <v>0.44767441860465107</v>
      </c>
      <c r="EB200" s="173">
        <f t="shared" si="561"/>
        <v>134.99999999999997</v>
      </c>
      <c r="EC200" s="173">
        <f t="shared" si="562"/>
        <v>8.7662337662337677</v>
      </c>
      <c r="ED200" s="173">
        <f t="shared" si="563"/>
        <v>15.399999999999995</v>
      </c>
      <c r="EE200" s="460">
        <f t="shared" si="564"/>
        <v>1202.8923984602652</v>
      </c>
      <c r="EF200" s="5">
        <f t="shared" si="565"/>
        <v>60.602505520277603</v>
      </c>
      <c r="EH200" s="173">
        <f t="shared" si="566"/>
        <v>12.262200039451857</v>
      </c>
      <c r="EI200" s="173">
        <f t="shared" si="567"/>
        <v>13.62024239906523</v>
      </c>
      <c r="EK200" s="528">
        <f t="shared" si="568"/>
        <v>3.0072309961506627</v>
      </c>
      <c r="EL200" s="528">
        <f t="shared" si="569"/>
        <v>0.48766666666666658</v>
      </c>
      <c r="EM200" s="528">
        <f t="shared" si="570"/>
        <v>2.7912373075369402E-3</v>
      </c>
      <c r="EN200" s="528">
        <f t="shared" si="571"/>
        <v>2.6424308641975307E-3</v>
      </c>
      <c r="EO200">
        <f t="shared" si="572"/>
        <v>8.5500000000000003E-3</v>
      </c>
      <c r="EP200" s="460">
        <f t="shared" si="573"/>
        <v>11.341237307536941</v>
      </c>
      <c r="EQ200" s="460"/>
      <c r="ER200" s="460">
        <f t="shared" si="593"/>
        <v>3508.8813309890638</v>
      </c>
      <c r="ES200" s="528">
        <f t="shared" si="574"/>
        <v>6.3</v>
      </c>
      <c r="EV200" s="460">
        <f t="shared" si="494"/>
        <v>6300</v>
      </c>
      <c r="EW200" s="528">
        <f t="shared" si="575"/>
        <v>4.5108464942259934</v>
      </c>
      <c r="EX200" s="528">
        <f t="shared" si="576"/>
        <v>5.5653300902788247</v>
      </c>
      <c r="EY200" s="528">
        <f t="shared" si="577"/>
        <v>0.66881589702681166</v>
      </c>
      <c r="EZ200" s="528"/>
      <c r="FA200" s="528">
        <f t="shared" si="578"/>
        <v>2.2500000000000003E-2</v>
      </c>
      <c r="FB200" s="460">
        <f t="shared" si="579"/>
        <v>10767.492481531632</v>
      </c>
      <c r="FC200" s="173">
        <f t="shared" si="580"/>
        <v>20.576373812520693</v>
      </c>
      <c r="FD200" s="5">
        <f t="shared" si="581"/>
        <v>135</v>
      </c>
      <c r="FE200" s="173">
        <f t="shared" si="582"/>
        <v>0.86774101164411688</v>
      </c>
      <c r="FF200" s="5">
        <f t="shared" si="583"/>
        <v>86.77410116441169</v>
      </c>
      <c r="FI200" s="562">
        <f t="shared" si="584"/>
        <v>-50</v>
      </c>
      <c r="FJ200">
        <f t="shared" si="585"/>
        <v>-50</v>
      </c>
      <c r="FL200">
        <f t="shared" si="586"/>
        <v>0.55232558139534893</v>
      </c>
    </row>
    <row r="201" spans="5:168">
      <c r="E201" s="170">
        <v>91</v>
      </c>
      <c r="F201" s="217">
        <f t="shared" si="587"/>
        <v>9.1</v>
      </c>
      <c r="G201" s="217"/>
      <c r="H201" s="217">
        <f t="shared" si="495"/>
        <v>136.5</v>
      </c>
      <c r="I201" s="541">
        <f t="shared" si="496"/>
        <v>18.174560282655083</v>
      </c>
      <c r="J201" s="172">
        <f t="shared" si="497"/>
        <v>15.895263830406952</v>
      </c>
      <c r="K201" s="172">
        <f t="shared" si="498"/>
        <v>34.069824113062033</v>
      </c>
      <c r="L201" s="443"/>
      <c r="M201" s="217">
        <f t="shared" si="499"/>
        <v>0.4665341261655403</v>
      </c>
      <c r="N201" s="172">
        <f t="shared" si="500"/>
        <v>212.17769249703352</v>
      </c>
      <c r="O201" s="172">
        <f t="shared" si="599"/>
        <v>136.5</v>
      </c>
      <c r="P201" s="217">
        <f t="shared" si="501"/>
        <v>14.145179499802234</v>
      </c>
      <c r="Q201" s="217">
        <f t="shared" si="502"/>
        <v>15</v>
      </c>
      <c r="R201" s="217"/>
      <c r="S201" s="172">
        <f t="shared" si="503"/>
        <v>31.980065805189835</v>
      </c>
      <c r="T201" s="536">
        <f t="shared" si="504"/>
        <v>15</v>
      </c>
      <c r="U201" s="217">
        <f t="shared" si="505"/>
        <v>34.116521585873102</v>
      </c>
      <c r="V201" s="217">
        <f t="shared" si="506"/>
        <v>22.525896234264717</v>
      </c>
      <c r="W201" s="217">
        <f t="shared" si="507"/>
        <v>25.755990174086705</v>
      </c>
      <c r="X201" s="197">
        <f t="shared" si="508"/>
        <v>70.661119777565048</v>
      </c>
      <c r="Y201" s="443">
        <f t="shared" si="509"/>
        <v>20.626260116556463</v>
      </c>
      <c r="AA201" s="217">
        <f t="shared" si="510"/>
        <v>10</v>
      </c>
      <c r="AB201" s="173">
        <f t="shared" si="511"/>
        <v>7.5494185740060002</v>
      </c>
      <c r="AC201" s="173">
        <f t="shared" si="512"/>
        <v>2.6672518505440617</v>
      </c>
      <c r="AD201" s="173"/>
      <c r="AE201" s="173">
        <f t="shared" si="513"/>
        <v>7.5494185740060002</v>
      </c>
      <c r="AF201" s="545">
        <f t="shared" si="514"/>
        <v>241.0781680945054</v>
      </c>
      <c r="AG201" s="528">
        <f t="shared" si="515"/>
        <v>2.6672518505440617</v>
      </c>
      <c r="AI201" s="173">
        <f t="shared" si="516"/>
        <v>8.2993660359349217</v>
      </c>
      <c r="AJ201" s="173">
        <f t="shared" si="517"/>
        <v>34.116521585873102</v>
      </c>
      <c r="AK201" s="173">
        <f t="shared" si="518"/>
        <v>19.064090063609704</v>
      </c>
      <c r="AM201" s="545">
        <f t="shared" si="519"/>
        <v>9100</v>
      </c>
      <c r="AN201" s="460">
        <f t="shared" si="520"/>
        <v>20.626260116556463</v>
      </c>
      <c r="AP201">
        <f t="shared" si="521"/>
        <v>9100</v>
      </c>
      <c r="AQ201">
        <f t="shared" si="522"/>
        <v>20.626260116556463</v>
      </c>
      <c r="AS201" s="5">
        <f t="shared" si="600"/>
        <v>48.481886408351428</v>
      </c>
      <c r="AT201" s="5">
        <f t="shared" si="523"/>
        <v>22.525896234264717</v>
      </c>
      <c r="AU201" s="5">
        <f t="shared" si="478"/>
        <v>25.955990174086711</v>
      </c>
      <c r="AV201" s="5"/>
      <c r="AW201" s="173">
        <f t="shared" si="479"/>
        <v>0.46462499508650379</v>
      </c>
      <c r="AX201" s="173">
        <f t="shared" si="596"/>
        <v>144.04600951156641</v>
      </c>
      <c r="AY201" s="173">
        <f t="shared" si="597"/>
        <v>9.1325664558341053</v>
      </c>
      <c r="AZ201" s="173">
        <f t="shared" si="601"/>
        <v>15.772785252446351</v>
      </c>
      <c r="BA201" s="460">
        <f t="shared" si="594"/>
        <v>1366.5710382120594</v>
      </c>
      <c r="BB201" s="5">
        <f t="shared" si="595"/>
        <v>67.221522142458383</v>
      </c>
      <c r="BD201" s="173">
        <f t="shared" si="602"/>
        <v>13.426270813465859</v>
      </c>
      <c r="BE201" s="173">
        <f t="shared" si="598"/>
        <v>14.412295690945859</v>
      </c>
      <c r="BG201" s="528">
        <f t="shared" si="480"/>
        <v>3.6052949591305037</v>
      </c>
      <c r="BH201" s="528">
        <f t="shared" si="524"/>
        <v>0.44952763904055071</v>
      </c>
      <c r="BI201" s="528">
        <f t="shared" si="525"/>
        <v>9.3718301973519935E-3</v>
      </c>
      <c r="BJ201" s="528">
        <f t="shared" si="481"/>
        <v>2.39419915578003E-3</v>
      </c>
      <c r="BK201">
        <f t="shared" si="482"/>
        <v>8.1785521271947863E-3</v>
      </c>
      <c r="BL201" s="460">
        <f t="shared" si="588"/>
        <v>17.550382324546781</v>
      </c>
      <c r="BM201" s="528">
        <f t="shared" si="526"/>
        <v>35.085640620640305</v>
      </c>
      <c r="BN201" s="460">
        <f t="shared" si="527"/>
        <v>35085.640620640304</v>
      </c>
      <c r="BO201" s="528">
        <f t="shared" si="483"/>
        <v>6.3699999999999992</v>
      </c>
      <c r="BR201" s="460">
        <f t="shared" si="484"/>
        <v>6369.9999999999991</v>
      </c>
      <c r="BS201" s="528">
        <f t="shared" si="485"/>
        <v>5.4079424386957555</v>
      </c>
      <c r="BT201" s="528">
        <f t="shared" si="486"/>
        <v>6.2314280124976973</v>
      </c>
      <c r="BU201" s="528">
        <f t="shared" si="487"/>
        <v>0.65679992378634755</v>
      </c>
      <c r="BV201" s="528"/>
      <c r="BW201" s="528">
        <f t="shared" si="488"/>
        <v>2.4007668251927735E-2</v>
      </c>
      <c r="BX201" s="460">
        <f t="shared" si="489"/>
        <v>12320.17804323173</v>
      </c>
      <c r="BY201" s="173">
        <f t="shared" si="490"/>
        <v>22.76494522288311</v>
      </c>
      <c r="BZ201" s="5">
        <f t="shared" si="491"/>
        <v>136.5</v>
      </c>
      <c r="CA201" s="173">
        <f t="shared" si="492"/>
        <v>0.85706242393123766</v>
      </c>
      <c r="CB201" s="5">
        <f t="shared" si="493"/>
        <v>85.706242393123773</v>
      </c>
      <c r="CE201" s="562">
        <f t="shared" si="528"/>
        <v>-50</v>
      </c>
      <c r="CF201">
        <f t="shared" si="529"/>
        <v>-50</v>
      </c>
      <c r="CG201" s="173">
        <f t="shared" si="530"/>
        <v>0.55122135564731223</v>
      </c>
      <c r="CI201" s="170">
        <v>91</v>
      </c>
      <c r="CJ201" s="217">
        <f t="shared" si="589"/>
        <v>9.1</v>
      </c>
      <c r="CK201" s="217"/>
      <c r="CL201" s="217">
        <f t="shared" si="531"/>
        <v>136.5</v>
      </c>
      <c r="CM201" s="541">
        <f t="shared" si="532"/>
        <v>19</v>
      </c>
      <c r="CN201" s="443">
        <f t="shared" si="533"/>
        <v>15.4</v>
      </c>
      <c r="CO201" s="443">
        <f t="shared" si="534"/>
        <v>34.4</v>
      </c>
      <c r="CP201" s="443"/>
      <c r="CQ201" s="217">
        <f t="shared" si="535"/>
        <v>0.44767441860465118</v>
      </c>
      <c r="CR201" s="172">
        <f t="shared" si="590"/>
        <v>212.84736191860466</v>
      </c>
      <c r="CS201" s="172">
        <f t="shared" si="536"/>
        <v>136.5</v>
      </c>
      <c r="CT201" s="217">
        <f t="shared" si="537"/>
        <v>14.189824127906977</v>
      </c>
      <c r="CU201" s="217">
        <f t="shared" si="538"/>
        <v>15</v>
      </c>
      <c r="CV201" s="217"/>
      <c r="CW201" s="172">
        <f t="shared" si="539"/>
        <v>33.422504657803096</v>
      </c>
      <c r="CX201" s="536">
        <f t="shared" si="540"/>
        <v>15</v>
      </c>
      <c r="CY201" s="217">
        <f t="shared" si="541"/>
        <v>32.095693779904302</v>
      </c>
      <c r="CZ201" s="217">
        <f t="shared" si="542"/>
        <v>20.270964492571142</v>
      </c>
      <c r="DA201" s="217">
        <f t="shared" si="543"/>
        <v>25.009631516808547</v>
      </c>
      <c r="DB201" s="197">
        <f t="shared" si="544"/>
        <v>70.881782945736433</v>
      </c>
      <c r="DC201" s="443">
        <f t="shared" si="545"/>
        <v>22.084514960731834</v>
      </c>
      <c r="DE201" s="217">
        <f t="shared" si="546"/>
        <v>10.000000000000002</v>
      </c>
      <c r="DF201" s="173">
        <f t="shared" si="547"/>
        <v>7.792207792207793</v>
      </c>
      <c r="DG201" s="173">
        <f t="shared" si="548"/>
        <v>2.7616279069767451</v>
      </c>
      <c r="DH201" s="173"/>
      <c r="DI201" s="173">
        <f t="shared" si="549"/>
        <v>7.7922077922077913</v>
      </c>
      <c r="DJ201" s="545">
        <f t="shared" si="550"/>
        <v>233.56666666666666</v>
      </c>
      <c r="DK201" s="528">
        <f t="shared" si="551"/>
        <v>2.7616279069767442</v>
      </c>
      <c r="DM201" s="173">
        <f t="shared" si="552"/>
        <v>8.1690472720711647</v>
      </c>
      <c r="DN201" s="173">
        <f t="shared" si="553"/>
        <v>32.095693779904302</v>
      </c>
      <c r="DO201" s="173">
        <f t="shared" si="554"/>
        <v>17.567180577706889</v>
      </c>
      <c r="DQ201" s="545">
        <f t="shared" si="555"/>
        <v>9100</v>
      </c>
      <c r="DR201" s="460">
        <f t="shared" si="556"/>
        <v>22.084514960731834</v>
      </c>
      <c r="DT201">
        <f t="shared" si="591"/>
        <v>9100</v>
      </c>
      <c r="DU201">
        <f t="shared" si="592"/>
        <v>22.084514960731834</v>
      </c>
      <c r="DW201" s="5">
        <f t="shared" si="557"/>
        <v>45.280596009379693</v>
      </c>
      <c r="DX201" s="5">
        <f t="shared" si="558"/>
        <v>20.270964492571142</v>
      </c>
      <c r="DY201" s="5">
        <f t="shared" si="559"/>
        <v>25.00963151680855</v>
      </c>
      <c r="DZ201" s="5"/>
      <c r="EA201" s="173">
        <f t="shared" si="560"/>
        <v>0.44767441860465118</v>
      </c>
      <c r="EB201" s="173">
        <f t="shared" si="561"/>
        <v>136.49999999999994</v>
      </c>
      <c r="EC201" s="173">
        <f t="shared" si="562"/>
        <v>8.8636363636363615</v>
      </c>
      <c r="ED201" s="173">
        <f t="shared" si="563"/>
        <v>15.399999999999997</v>
      </c>
      <c r="EE201" s="460">
        <f t="shared" si="564"/>
        <v>1229.7718458826491</v>
      </c>
      <c r="EF201" s="5">
        <f t="shared" si="565"/>
        <v>61.956709655977619</v>
      </c>
      <c r="EH201" s="173">
        <f t="shared" si="566"/>
        <v>12.398446706556879</v>
      </c>
      <c r="EI201" s="173">
        <f t="shared" si="567"/>
        <v>13.771578425721509</v>
      </c>
      <c r="EK201" s="528">
        <f t="shared" si="568"/>
        <v>3.0744296147066223</v>
      </c>
      <c r="EL201" s="528">
        <f t="shared" si="569"/>
        <v>0.48766666666666658</v>
      </c>
      <c r="EM201" s="528">
        <f t="shared" si="570"/>
        <v>2.7605643700914792E-3</v>
      </c>
      <c r="EN201" s="528">
        <f t="shared" si="571"/>
        <v>2.6133931623931622E-3</v>
      </c>
      <c r="EO201">
        <f t="shared" si="572"/>
        <v>8.5500000000000003E-3</v>
      </c>
      <c r="EP201" s="460">
        <f t="shared" si="573"/>
        <v>11.31056437009148</v>
      </c>
      <c r="EQ201" s="460"/>
      <c r="ER201" s="460">
        <f t="shared" si="593"/>
        <v>3576.0202389057736</v>
      </c>
      <c r="ES201" s="528">
        <f t="shared" si="574"/>
        <v>6.3699999999999992</v>
      </c>
      <c r="EV201" s="460">
        <f t="shared" si="494"/>
        <v>6369.9999999999991</v>
      </c>
      <c r="EW201" s="528">
        <f t="shared" si="575"/>
        <v>4.6116444220599329</v>
      </c>
      <c r="EX201" s="528">
        <f t="shared" si="576"/>
        <v>5.6896911700739432</v>
      </c>
      <c r="EY201" s="528">
        <f t="shared" si="577"/>
        <v>0.66881589702681232</v>
      </c>
      <c r="EZ201" s="528"/>
      <c r="FA201" s="528">
        <f t="shared" si="578"/>
        <v>2.2749999999999996E-2</v>
      </c>
      <c r="FB201" s="460">
        <f t="shared" si="579"/>
        <v>10992.901489160689</v>
      </c>
      <c r="FC201" s="173">
        <f t="shared" si="580"/>
        <v>20.938921728066457</v>
      </c>
      <c r="FD201" s="5">
        <f t="shared" si="581"/>
        <v>136.5</v>
      </c>
      <c r="FE201" s="173">
        <f t="shared" si="582"/>
        <v>0.86700288913161627</v>
      </c>
      <c r="FF201" s="5">
        <f t="shared" si="583"/>
        <v>86.700288913161629</v>
      </c>
      <c r="FI201" s="562">
        <f t="shared" si="584"/>
        <v>-50</v>
      </c>
      <c r="FJ201">
        <f t="shared" si="585"/>
        <v>-50</v>
      </c>
      <c r="FL201">
        <f t="shared" si="586"/>
        <v>0.55232558139534882</v>
      </c>
    </row>
    <row r="202" spans="5:168">
      <c r="E202" s="170">
        <v>92</v>
      </c>
      <c r="F202" s="217">
        <f t="shared" si="587"/>
        <v>9.2000000000000011</v>
      </c>
      <c r="G202" s="217"/>
      <c r="H202" s="217">
        <f t="shared" si="495"/>
        <v>138.00000000000003</v>
      </c>
      <c r="I202" s="541">
        <f t="shared" si="496"/>
        <v>18.165507687008237</v>
      </c>
      <c r="J202" s="172">
        <f t="shared" si="497"/>
        <v>15.900695387795059</v>
      </c>
      <c r="K202" s="172">
        <f t="shared" si="498"/>
        <v>34.066203074803298</v>
      </c>
      <c r="L202" s="443"/>
      <c r="M202" s="217">
        <f t="shared" si="499"/>
        <v>0.46674316366134311</v>
      </c>
      <c r="N202" s="172">
        <f t="shared" si="500"/>
        <v>212.16703056374132</v>
      </c>
      <c r="O202" s="172">
        <f t="shared" si="599"/>
        <v>138.00000000000003</v>
      </c>
      <c r="P202" s="217">
        <f t="shared" si="501"/>
        <v>14.144468704249421</v>
      </c>
      <c r="Q202" s="217">
        <f t="shared" si="502"/>
        <v>15</v>
      </c>
      <c r="R202" s="217"/>
      <c r="S202" s="172">
        <f t="shared" si="503"/>
        <v>31.42559810708131</v>
      </c>
      <c r="T202" s="536">
        <f t="shared" si="504"/>
        <v>15</v>
      </c>
      <c r="U202" s="217">
        <f t="shared" si="505"/>
        <v>34.504949109203096</v>
      </c>
      <c r="V202" s="217">
        <f t="shared" si="506"/>
        <v>22.793714133658248</v>
      </c>
      <c r="W202" s="217">
        <f t="shared" si="507"/>
        <v>26.040332149766098</v>
      </c>
      <c r="X202" s="197">
        <f t="shared" si="508"/>
        <v>70.657567281937588</v>
      </c>
      <c r="Y202" s="443">
        <f t="shared" si="509"/>
        <v>20.393993067996995</v>
      </c>
      <c r="AA202" s="217">
        <f t="shared" si="510"/>
        <v>10</v>
      </c>
      <c r="AB202" s="173">
        <f t="shared" si="511"/>
        <v>7.5468397496696111</v>
      </c>
      <c r="AC202" s="173">
        <f t="shared" si="512"/>
        <v>2.6662066868914081</v>
      </c>
      <c r="AD202" s="173"/>
      <c r="AE202" s="173">
        <f t="shared" si="513"/>
        <v>7.5468397496696111</v>
      </c>
      <c r="AF202" s="545">
        <f t="shared" si="514"/>
        <v>243.81066261285758</v>
      </c>
      <c r="AG202" s="528">
        <f t="shared" si="515"/>
        <v>2.6662066868914081</v>
      </c>
      <c r="AI202" s="173">
        <f t="shared" si="516"/>
        <v>8.3462679874276322</v>
      </c>
      <c r="AJ202" s="173">
        <f t="shared" si="517"/>
        <v>34.504949109203096</v>
      </c>
      <c r="AK202" s="173">
        <f t="shared" si="518"/>
        <v>19.351814154965254</v>
      </c>
      <c r="AM202" s="545">
        <f t="shared" si="519"/>
        <v>9200.0000000000018</v>
      </c>
      <c r="AN202" s="460">
        <f t="shared" si="520"/>
        <v>20.393993067996995</v>
      </c>
      <c r="AP202">
        <f t="shared" si="521"/>
        <v>9200.0000000000018</v>
      </c>
      <c r="AQ202">
        <f t="shared" si="522"/>
        <v>20.393993067996995</v>
      </c>
      <c r="AS202" s="5">
        <f t="shared" si="600"/>
        <v>49.034046283424352</v>
      </c>
      <c r="AT202" s="5">
        <f t="shared" si="523"/>
        <v>22.793714133658248</v>
      </c>
      <c r="AU202" s="5">
        <f t="shared" si="478"/>
        <v>26.240332149766104</v>
      </c>
      <c r="AV202" s="5"/>
      <c r="AW202" s="173">
        <f t="shared" si="479"/>
        <v>0.4648548480357314</v>
      </c>
      <c r="AX202" s="173">
        <f t="shared" si="596"/>
        <v>145.68549038113963</v>
      </c>
      <c r="AY202" s="173">
        <f t="shared" si="597"/>
        <v>9.232578117281923</v>
      </c>
      <c r="AZ202" s="173">
        <f t="shared" si="601"/>
        <v>15.779502597269063</v>
      </c>
      <c r="BA202" s="460">
        <f t="shared" si="594"/>
        <v>1398.0144668643727</v>
      </c>
      <c r="BB202" s="5">
        <f t="shared" si="595"/>
        <v>68.738947252547632</v>
      </c>
      <c r="BD202" s="173">
        <f t="shared" si="602"/>
        <v>13.582491632755087</v>
      </c>
      <c r="BE202" s="173">
        <f t="shared" si="598"/>
        <v>14.573254911733683</v>
      </c>
      <c r="BG202" s="528">
        <f t="shared" si="480"/>
        <v>3.6896815790772388</v>
      </c>
      <c r="BH202" s="528">
        <f t="shared" si="524"/>
        <v>0.44947822961834333</v>
      </c>
      <c r="BI202" s="528">
        <f t="shared" si="525"/>
        <v>9.2616809461373035E-3</v>
      </c>
      <c r="BJ202" s="528">
        <f t="shared" si="481"/>
        <v>2.366735523366424E-3</v>
      </c>
      <c r="BK202">
        <f t="shared" si="482"/>
        <v>8.174478459153707E-3</v>
      </c>
      <c r="BL202" s="460">
        <f t="shared" si="588"/>
        <v>17.436159405291008</v>
      </c>
      <c r="BM202" s="528">
        <f t="shared" si="526"/>
        <v>41.657922251322823</v>
      </c>
      <c r="BN202" s="460">
        <f t="shared" si="527"/>
        <v>41657.922251322823</v>
      </c>
      <c r="BO202" s="528">
        <f t="shared" si="483"/>
        <v>6.44</v>
      </c>
      <c r="BR202" s="460">
        <f t="shared" si="484"/>
        <v>6440</v>
      </c>
      <c r="BS202" s="528">
        <f t="shared" si="485"/>
        <v>5.5345223686158578</v>
      </c>
      <c r="BT202" s="528">
        <f t="shared" si="486"/>
        <v>6.371392761671097</v>
      </c>
      <c r="BU202" s="528">
        <f t="shared" si="487"/>
        <v>0.65679396068257723</v>
      </c>
      <c r="BV202" s="528"/>
      <c r="BW202" s="528">
        <f t="shared" si="488"/>
        <v>2.4280915063523274E-2</v>
      </c>
      <c r="BX202" s="460">
        <f t="shared" si="489"/>
        <v>12586.990006033055</v>
      </c>
      <c r="BY202" s="173">
        <f t="shared" si="490"/>
        <v>23.185952709657293</v>
      </c>
      <c r="BZ202" s="5">
        <f t="shared" si="491"/>
        <v>138.00000000000003</v>
      </c>
      <c r="CA202" s="173">
        <f t="shared" si="492"/>
        <v>0.85615401143906178</v>
      </c>
      <c r="CB202" s="5">
        <f t="shared" si="493"/>
        <v>85.615401143906183</v>
      </c>
      <c r="CE202" s="562">
        <f t="shared" si="528"/>
        <v>-50</v>
      </c>
      <c r="CF202">
        <f t="shared" si="529"/>
        <v>-50</v>
      </c>
      <c r="CG202" s="173">
        <f t="shared" si="530"/>
        <v>0.55123335810109519</v>
      </c>
      <c r="CI202" s="170">
        <v>92</v>
      </c>
      <c r="CJ202" s="217">
        <f t="shared" si="589"/>
        <v>9.2000000000000011</v>
      </c>
      <c r="CK202" s="217"/>
      <c r="CL202" s="217">
        <f t="shared" si="531"/>
        <v>138.00000000000003</v>
      </c>
      <c r="CM202" s="541">
        <f t="shared" si="532"/>
        <v>19</v>
      </c>
      <c r="CN202" s="443">
        <f t="shared" si="533"/>
        <v>15.4</v>
      </c>
      <c r="CO202" s="443">
        <f t="shared" si="534"/>
        <v>34.4</v>
      </c>
      <c r="CP202" s="443"/>
      <c r="CQ202" s="217">
        <f t="shared" si="535"/>
        <v>0.44767441860465118</v>
      </c>
      <c r="CR202" s="172">
        <f t="shared" si="590"/>
        <v>212.84736191860466</v>
      </c>
      <c r="CS202" s="172">
        <f t="shared" si="536"/>
        <v>138.00000000000003</v>
      </c>
      <c r="CT202" s="217">
        <f t="shared" si="537"/>
        <v>14.189824127906977</v>
      </c>
      <c r="CU202" s="217">
        <f t="shared" si="538"/>
        <v>15</v>
      </c>
      <c r="CV202" s="217"/>
      <c r="CW202" s="172">
        <f t="shared" si="539"/>
        <v>32.85894473864375</v>
      </c>
      <c r="CX202" s="536">
        <f t="shared" si="540"/>
        <v>15</v>
      </c>
      <c r="CY202" s="217">
        <f t="shared" si="541"/>
        <v>32.44839371155161</v>
      </c>
      <c r="CZ202" s="217">
        <f t="shared" si="542"/>
        <v>20.493722344137858</v>
      </c>
      <c r="DA202" s="217">
        <f t="shared" si="543"/>
        <v>25.284462632377874</v>
      </c>
      <c r="DB202" s="197">
        <f t="shared" si="544"/>
        <v>70.881782945736433</v>
      </c>
      <c r="DC202" s="443">
        <f t="shared" si="545"/>
        <v>21.844465885071706</v>
      </c>
      <c r="DE202" s="217">
        <f t="shared" si="546"/>
        <v>10.000000000000002</v>
      </c>
      <c r="DF202" s="173">
        <f t="shared" si="547"/>
        <v>7.792207792207793</v>
      </c>
      <c r="DG202" s="173">
        <f t="shared" si="548"/>
        <v>2.7616279069767451</v>
      </c>
      <c r="DH202" s="173"/>
      <c r="DI202" s="173">
        <f t="shared" si="549"/>
        <v>7.7922077922077913</v>
      </c>
      <c r="DJ202" s="545">
        <f t="shared" si="550"/>
        <v>236.13333333333338</v>
      </c>
      <c r="DK202" s="528">
        <f t="shared" si="551"/>
        <v>2.7616279069767442</v>
      </c>
      <c r="DM202" s="173">
        <f t="shared" si="552"/>
        <v>8.2138095100061026</v>
      </c>
      <c r="DN202" s="173">
        <f t="shared" si="553"/>
        <v>32.44839371155161</v>
      </c>
      <c r="DO202" s="173">
        <f t="shared" si="554"/>
        <v>17.828439786334524</v>
      </c>
      <c r="DQ202" s="545">
        <f t="shared" si="555"/>
        <v>9200.0000000000018</v>
      </c>
      <c r="DR202" s="460">
        <f t="shared" si="556"/>
        <v>21.844465885071706</v>
      </c>
      <c r="DT202">
        <f t="shared" si="591"/>
        <v>9200.0000000000018</v>
      </c>
      <c r="DU202">
        <f t="shared" si="592"/>
        <v>21.844465885071706</v>
      </c>
      <c r="DW202" s="5">
        <f t="shared" si="557"/>
        <v>45.778184976515732</v>
      </c>
      <c r="DX202" s="5">
        <f t="shared" si="558"/>
        <v>20.493722344137858</v>
      </c>
      <c r="DY202" s="5">
        <f t="shared" si="559"/>
        <v>25.284462632377874</v>
      </c>
      <c r="DZ202" s="5"/>
      <c r="EA202" s="173">
        <f t="shared" si="560"/>
        <v>0.44767441860465118</v>
      </c>
      <c r="EB202" s="173">
        <f t="shared" si="561"/>
        <v>138.00000000000003</v>
      </c>
      <c r="EC202" s="173">
        <f t="shared" si="562"/>
        <v>8.9610389610389625</v>
      </c>
      <c r="ED202" s="173">
        <f t="shared" si="563"/>
        <v>15.4</v>
      </c>
      <c r="EE202" s="460">
        <f t="shared" si="564"/>
        <v>1256.9483037737887</v>
      </c>
      <c r="EF202" s="5">
        <f t="shared" si="565"/>
        <v>63.325877373287597</v>
      </c>
      <c r="EH202" s="173">
        <f t="shared" si="566"/>
        <v>12.534693373661902</v>
      </c>
      <c r="EI202" s="173">
        <f t="shared" si="567"/>
        <v>13.922914452377793</v>
      </c>
      <c r="EK202" s="528">
        <f t="shared" si="568"/>
        <v>3.1423707594344723</v>
      </c>
      <c r="EL202" s="528">
        <f t="shared" si="569"/>
        <v>0.48766666666666664</v>
      </c>
      <c r="EM202" s="528">
        <f t="shared" si="570"/>
        <v>2.730558235633963E-3</v>
      </c>
      <c r="EN202" s="528">
        <f t="shared" si="571"/>
        <v>2.5849867149758451E-3</v>
      </c>
      <c r="EO202">
        <f t="shared" si="572"/>
        <v>8.5500000000000003E-3</v>
      </c>
      <c r="EP202" s="460">
        <f t="shared" si="573"/>
        <v>11.280558235633963</v>
      </c>
      <c r="EQ202" s="460"/>
      <c r="ER202" s="460">
        <f t="shared" si="593"/>
        <v>3643.9029710517484</v>
      </c>
      <c r="ES202" s="528">
        <f t="shared" si="574"/>
        <v>6.44</v>
      </c>
      <c r="EV202" s="460">
        <f t="shared" si="494"/>
        <v>6440</v>
      </c>
      <c r="EW202" s="528">
        <f t="shared" si="575"/>
        <v>4.7135561391517085</v>
      </c>
      <c r="EX202" s="528">
        <f t="shared" si="576"/>
        <v>5.815426405446912</v>
      </c>
      <c r="EY202" s="528">
        <f t="shared" si="577"/>
        <v>0.66881589702681232</v>
      </c>
      <c r="EZ202" s="528"/>
      <c r="FA202" s="528">
        <f t="shared" si="578"/>
        <v>2.3000000000000007E-2</v>
      </c>
      <c r="FB202" s="460">
        <f t="shared" si="579"/>
        <v>11220.798441625431</v>
      </c>
      <c r="FC202" s="173">
        <f t="shared" si="580"/>
        <v>21.304701412677179</v>
      </c>
      <c r="FD202" s="5">
        <f t="shared" si="581"/>
        <v>138.00000000000003</v>
      </c>
      <c r="FE202" s="173">
        <f t="shared" si="582"/>
        <v>0.86626445281431097</v>
      </c>
      <c r="FF202" s="5">
        <f t="shared" si="583"/>
        <v>86.626445281431103</v>
      </c>
      <c r="FI202" s="562">
        <f t="shared" si="584"/>
        <v>-50</v>
      </c>
      <c r="FJ202">
        <f t="shared" si="585"/>
        <v>-50</v>
      </c>
      <c r="FL202">
        <f t="shared" si="586"/>
        <v>0.55232558139534882</v>
      </c>
    </row>
    <row r="203" spans="5:168">
      <c r="E203" s="170">
        <v>93</v>
      </c>
      <c r="F203" s="217">
        <f t="shared" si="587"/>
        <v>9.3000000000000007</v>
      </c>
      <c r="G203" s="217"/>
      <c r="H203" s="217">
        <f t="shared" si="495"/>
        <v>139.5</v>
      </c>
      <c r="I203" s="541">
        <f t="shared" si="496"/>
        <v>18.156455090587144</v>
      </c>
      <c r="J203" s="172">
        <f t="shared" si="497"/>
        <v>15.906126945647713</v>
      </c>
      <c r="K203" s="172">
        <f t="shared" si="498"/>
        <v>34.062582036234858</v>
      </c>
      <c r="L203" s="443"/>
      <c r="M203" s="217">
        <f t="shared" si="499"/>
        <v>0.46695224561243925</v>
      </c>
      <c r="N203" s="172">
        <f t="shared" si="500"/>
        <v>212.1562941128534</v>
      </c>
      <c r="O203" s="172">
        <f t="shared" si="599"/>
        <v>139.5</v>
      </c>
      <c r="P203" s="217">
        <f t="shared" si="501"/>
        <v>14.143752940856894</v>
      </c>
      <c r="Q203" s="217">
        <f t="shared" si="502"/>
        <v>15</v>
      </c>
      <c r="R203" s="217"/>
      <c r="S203" s="172">
        <f t="shared" si="503"/>
        <v>30.883374571248307</v>
      </c>
      <c r="T203" s="536">
        <f t="shared" si="504"/>
        <v>15</v>
      </c>
      <c r="U203" s="217">
        <f t="shared" si="505"/>
        <v>34.893684190397281</v>
      </c>
      <c r="V203" s="217">
        <f t="shared" si="506"/>
        <v>23.062002367513177</v>
      </c>
      <c r="W203" s="217">
        <f t="shared" si="507"/>
        <v>26.324711962602564</v>
      </c>
      <c r="X203" s="197">
        <f t="shared" si="508"/>
        <v>70.653989972196456</v>
      </c>
      <c r="Y203" s="443">
        <f t="shared" si="509"/>
        <v>20.166692097053609</v>
      </c>
      <c r="AA203" s="217">
        <f t="shared" si="510"/>
        <v>9.9999999999999982</v>
      </c>
      <c r="AB203" s="173">
        <f t="shared" si="511"/>
        <v>7.544262686325081</v>
      </c>
      <c r="AC203" s="173">
        <f t="shared" si="512"/>
        <v>2.6651613009361403</v>
      </c>
      <c r="AD203" s="173"/>
      <c r="AE203" s="173">
        <f t="shared" si="513"/>
        <v>7.5442626863250828</v>
      </c>
      <c r="AF203" s="545">
        <f t="shared" si="514"/>
        <v>246.54496765753956</v>
      </c>
      <c r="AG203" s="528">
        <f t="shared" si="515"/>
        <v>2.6651613009361417</v>
      </c>
      <c r="AI203" s="173">
        <f t="shared" si="516"/>
        <v>8.392938658820615</v>
      </c>
      <c r="AJ203" s="173">
        <f t="shared" si="517"/>
        <v>34.893684190397281</v>
      </c>
      <c r="AK203" s="173">
        <f t="shared" si="518"/>
        <v>19.639766066960949</v>
      </c>
      <c r="AM203" s="545">
        <f t="shared" si="519"/>
        <v>9300</v>
      </c>
      <c r="AN203" s="460">
        <f t="shared" si="520"/>
        <v>20.166692097053609</v>
      </c>
      <c r="AP203">
        <f t="shared" si="521"/>
        <v>9300</v>
      </c>
      <c r="AQ203">
        <f t="shared" si="522"/>
        <v>20.166692097053609</v>
      </c>
      <c r="AS203" s="5">
        <f t="shared" si="600"/>
        <v>49.58671433011574</v>
      </c>
      <c r="AT203" s="5">
        <f t="shared" si="523"/>
        <v>23.062002367513177</v>
      </c>
      <c r="AU203" s="5">
        <f t="shared" si="478"/>
        <v>26.524711962602563</v>
      </c>
      <c r="AV203" s="5"/>
      <c r="AW203" s="173">
        <f t="shared" si="479"/>
        <v>0.46508430088715957</v>
      </c>
      <c r="AX203" s="173">
        <f t="shared" si="596"/>
        <v>147.3260585414157</v>
      </c>
      <c r="AY203" s="173">
        <f t="shared" si="597"/>
        <v>9.3325897366645147</v>
      </c>
      <c r="AZ203" s="173">
        <f t="shared" si="601"/>
        <v>15.786192546600716</v>
      </c>
      <c r="BA203" s="460">
        <f t="shared" si="594"/>
        <v>1429.844146785817</v>
      </c>
      <c r="BB203" s="5">
        <f t="shared" si="595"/>
        <v>70.27418642897274</v>
      </c>
      <c r="BD203" s="173">
        <f t="shared" si="602"/>
        <v>13.738902412247157</v>
      </c>
      <c r="BE203" s="173">
        <f t="shared" si="598"/>
        <v>14.734278377301335</v>
      </c>
      <c r="BG203" s="528">
        <f t="shared" si="480"/>
        <v>3.7751487898650153</v>
      </c>
      <c r="BH203" s="528">
        <f t="shared" si="524"/>
        <v>0.4494282124022555</v>
      </c>
      <c r="BI203" s="528">
        <f t="shared" si="525"/>
        <v>9.153890984646312E-3</v>
      </c>
      <c r="BJ203" s="528">
        <f t="shared" si="481"/>
        <v>2.3398595987848374E-3</v>
      </c>
      <c r="BK203">
        <f t="shared" si="482"/>
        <v>8.1704047907642154E-3</v>
      </c>
      <c r="BL203" s="460">
        <f t="shared" si="588"/>
        <v>17.324295775410526</v>
      </c>
      <c r="BM203" s="528">
        <f t="shared" si="526"/>
        <v>50.921863466702035</v>
      </c>
      <c r="BN203" s="460">
        <f t="shared" si="527"/>
        <v>50921.863466702038</v>
      </c>
      <c r="BO203" s="528">
        <f t="shared" si="483"/>
        <v>6.51</v>
      </c>
      <c r="BR203" s="460">
        <f t="shared" si="484"/>
        <v>6510</v>
      </c>
      <c r="BS203" s="528">
        <f t="shared" si="485"/>
        <v>5.6627231847975228</v>
      </c>
      <c r="BT203" s="528">
        <f t="shared" si="486"/>
        <v>6.5129687789942894</v>
      </c>
      <c r="BU203" s="528">
        <f t="shared" si="487"/>
        <v>0.65678577581033692</v>
      </c>
      <c r="BV203" s="528"/>
      <c r="BW203" s="528">
        <f t="shared" si="488"/>
        <v>2.455434309023595E-2</v>
      </c>
      <c r="BX203" s="460">
        <f t="shared" si="489"/>
        <v>12857.032082692385</v>
      </c>
      <c r="BY203" s="173">
        <f t="shared" si="490"/>
        <v>23.611273240333851</v>
      </c>
      <c r="BZ203" s="5">
        <f t="shared" si="491"/>
        <v>139.5</v>
      </c>
      <c r="CA203" s="173">
        <f t="shared" si="492"/>
        <v>0.85524438151160664</v>
      </c>
      <c r="CB203" s="5">
        <f t="shared" si="493"/>
        <v>85.524438151160666</v>
      </c>
      <c r="CE203" s="562">
        <f t="shared" si="528"/>
        <v>-50</v>
      </c>
      <c r="CF203">
        <f t="shared" si="529"/>
        <v>-50</v>
      </c>
      <c r="CG203" s="173">
        <f t="shared" si="530"/>
        <v>0.55124510243759273</v>
      </c>
      <c r="CI203" s="170">
        <v>93</v>
      </c>
      <c r="CJ203" s="217">
        <f t="shared" si="589"/>
        <v>9.3000000000000007</v>
      </c>
      <c r="CK203" s="217"/>
      <c r="CL203" s="217">
        <f t="shared" si="531"/>
        <v>139.5</v>
      </c>
      <c r="CM203" s="541">
        <f t="shared" si="532"/>
        <v>19</v>
      </c>
      <c r="CN203" s="443">
        <f t="shared" si="533"/>
        <v>15.4</v>
      </c>
      <c r="CO203" s="443">
        <f t="shared" si="534"/>
        <v>34.4</v>
      </c>
      <c r="CP203" s="443"/>
      <c r="CQ203" s="217">
        <f t="shared" si="535"/>
        <v>0.44767441860465118</v>
      </c>
      <c r="CR203" s="172">
        <f t="shared" si="590"/>
        <v>212.84736191860466</v>
      </c>
      <c r="CS203" s="172">
        <f t="shared" si="536"/>
        <v>139.5</v>
      </c>
      <c r="CT203" s="217">
        <f t="shared" si="537"/>
        <v>14.189824127906977</v>
      </c>
      <c r="CU203" s="217">
        <f t="shared" si="538"/>
        <v>15</v>
      </c>
      <c r="CV203" s="217"/>
      <c r="CW203" s="172">
        <f t="shared" si="539"/>
        <v>32.307630498080144</v>
      </c>
      <c r="CX203" s="536">
        <f t="shared" si="540"/>
        <v>15</v>
      </c>
      <c r="CY203" s="217">
        <f t="shared" si="541"/>
        <v>32.801093643198904</v>
      </c>
      <c r="CZ203" s="217">
        <f t="shared" si="542"/>
        <v>20.71648019570457</v>
      </c>
      <c r="DA203" s="217">
        <f t="shared" si="543"/>
        <v>25.559293747947198</v>
      </c>
      <c r="DB203" s="197">
        <f t="shared" si="544"/>
        <v>70.881782945736433</v>
      </c>
      <c r="DC203" s="443">
        <f t="shared" si="545"/>
        <v>21.609579155124699</v>
      </c>
      <c r="DE203" s="217">
        <f t="shared" si="546"/>
        <v>10.000000000000002</v>
      </c>
      <c r="DF203" s="173">
        <f t="shared" si="547"/>
        <v>7.792207792207793</v>
      </c>
      <c r="DG203" s="173">
        <f t="shared" si="548"/>
        <v>2.7616279069767451</v>
      </c>
      <c r="DH203" s="173"/>
      <c r="DI203" s="173">
        <f t="shared" si="549"/>
        <v>7.7922077922077913</v>
      </c>
      <c r="DJ203" s="545">
        <f t="shared" si="550"/>
        <v>238.70000000000002</v>
      </c>
      <c r="DK203" s="528">
        <f t="shared" si="551"/>
        <v>2.7616279069767442</v>
      </c>
      <c r="DM203" s="173">
        <f t="shared" si="552"/>
        <v>8.2583291288250322</v>
      </c>
      <c r="DN203" s="173">
        <f t="shared" si="553"/>
        <v>32.801093643198904</v>
      </c>
      <c r="DO203" s="173">
        <f t="shared" si="554"/>
        <v>18.089698994962149</v>
      </c>
      <c r="DQ203" s="545">
        <f t="shared" si="555"/>
        <v>9300</v>
      </c>
      <c r="DR203" s="460">
        <f t="shared" si="556"/>
        <v>21.609579155124699</v>
      </c>
      <c r="DT203">
        <f t="shared" si="591"/>
        <v>9300</v>
      </c>
      <c r="DU203">
        <f t="shared" si="592"/>
        <v>21.609579155124699</v>
      </c>
      <c r="DW203" s="5">
        <f t="shared" si="557"/>
        <v>46.275773943651771</v>
      </c>
      <c r="DX203" s="5">
        <f t="shared" si="558"/>
        <v>20.71648019570457</v>
      </c>
      <c r="DY203" s="5">
        <f t="shared" si="559"/>
        <v>25.559293747947201</v>
      </c>
      <c r="DZ203" s="5"/>
      <c r="EA203" s="173">
        <f t="shared" si="560"/>
        <v>0.44767441860465113</v>
      </c>
      <c r="EB203" s="173">
        <f t="shared" si="561"/>
        <v>139.5</v>
      </c>
      <c r="EC203" s="173">
        <f t="shared" si="562"/>
        <v>9.0584415584415598</v>
      </c>
      <c r="ED203" s="173">
        <f t="shared" si="563"/>
        <v>15.399999999999997</v>
      </c>
      <c r="EE203" s="460">
        <f t="shared" si="564"/>
        <v>1284.4217721336834</v>
      </c>
      <c r="EF203" s="5">
        <f t="shared" si="565"/>
        <v>64.710008672207522</v>
      </c>
      <c r="EH203" s="173">
        <f t="shared" si="566"/>
        <v>12.670940040766919</v>
      </c>
      <c r="EI203" s="173">
        <f t="shared" si="567"/>
        <v>14.07425047903407</v>
      </c>
      <c r="EK203" s="528">
        <f t="shared" si="568"/>
        <v>3.2110544303342072</v>
      </c>
      <c r="EL203" s="528">
        <f t="shared" si="569"/>
        <v>0.48766666666666658</v>
      </c>
      <c r="EM203" s="528">
        <f t="shared" si="570"/>
        <v>2.7011973943905873E-3</v>
      </c>
      <c r="EN203" s="528">
        <f t="shared" si="571"/>
        <v>2.5571911589008364E-3</v>
      </c>
      <c r="EO203">
        <f t="shared" si="572"/>
        <v>8.5500000000000003E-3</v>
      </c>
      <c r="EP203" s="460">
        <f t="shared" si="573"/>
        <v>11.251197394390587</v>
      </c>
      <c r="EQ203" s="460"/>
      <c r="ER203" s="460">
        <f t="shared" si="593"/>
        <v>3712.5294855541651</v>
      </c>
      <c r="ES203" s="528">
        <f t="shared" si="574"/>
        <v>6.51</v>
      </c>
      <c r="EV203" s="460">
        <f t="shared" si="494"/>
        <v>6510</v>
      </c>
      <c r="EW203" s="528">
        <f t="shared" si="575"/>
        <v>4.8165816455013104</v>
      </c>
      <c r="EX203" s="528">
        <f t="shared" si="576"/>
        <v>5.9425357963977223</v>
      </c>
      <c r="EY203" s="528">
        <f t="shared" si="577"/>
        <v>0.66881589702681232</v>
      </c>
      <c r="EZ203" s="528"/>
      <c r="FA203" s="528">
        <f t="shared" si="578"/>
        <v>2.325E-2</v>
      </c>
      <c r="FB203" s="460">
        <f t="shared" si="579"/>
        <v>11451.183338925846</v>
      </c>
      <c r="FC203" s="173">
        <f t="shared" si="580"/>
        <v>21.67371282448001</v>
      </c>
      <c r="FD203" s="5">
        <f t="shared" si="581"/>
        <v>139.5</v>
      </c>
      <c r="FE203" s="173">
        <f t="shared" si="582"/>
        <v>0.86552575823525923</v>
      </c>
      <c r="FF203" s="5">
        <f t="shared" si="583"/>
        <v>86.552575823525927</v>
      </c>
      <c r="FI203" s="562">
        <f t="shared" si="584"/>
        <v>-50</v>
      </c>
      <c r="FJ203">
        <f t="shared" si="585"/>
        <v>-50</v>
      </c>
      <c r="FL203">
        <f t="shared" si="586"/>
        <v>0.55232558139534893</v>
      </c>
    </row>
    <row r="204" spans="5:168">
      <c r="E204" s="170">
        <v>94</v>
      </c>
      <c r="F204" s="217">
        <f t="shared" si="587"/>
        <v>9.3999999999999986</v>
      </c>
      <c r="G204" s="217"/>
      <c r="H204" s="217">
        <f t="shared" si="495"/>
        <v>140.99999999999997</v>
      </c>
      <c r="I204" s="541">
        <f>VIN_min-F204*(Rdcr_pri+RON/1000)/CG204/Nps</f>
        <v>18.147402493416561</v>
      </c>
      <c r="J204" s="172">
        <f t="shared" si="497"/>
        <v>15.911558503950065</v>
      </c>
      <c r="K204" s="172">
        <f t="shared" si="498"/>
        <v>34.058960997366626</v>
      </c>
      <c r="L204" s="443"/>
      <c r="M204" s="217">
        <f t="shared" si="499"/>
        <v>0.46716137203268276</v>
      </c>
      <c r="N204" s="172">
        <f t="shared" si="500"/>
        <v>212.14548312072699</v>
      </c>
      <c r="O204" s="172">
        <f t="shared" si="599"/>
        <v>140.99999999999997</v>
      </c>
      <c r="P204" s="217">
        <f t="shared" si="501"/>
        <v>14.143032208048465</v>
      </c>
      <c r="Q204" s="217">
        <f t="shared" si="502"/>
        <v>15</v>
      </c>
      <c r="R204" s="217"/>
      <c r="S204" s="172">
        <f>(SQRT(Isw_max^2*Nps^2*I204^2+4*Isw_max*F204/Efficiency*(Nps^2*Vfwd1*I204-Nps*I204^2)+4*(F204/Efficiency)^2*Nps^2*Vfwd1^2+8*(F204/Efficiency)^2*Nps*Vfwd1*I204+4*(F204/Efficiency)^2*I204^2)-2*0*F204/Efficiency*I204-2*F204/Efficiency*Nps*Vfwd1+Isw_max*Nps*I204)/(4*F204/Efficiency*Nps)</f>
        <v>39.426707780603159</v>
      </c>
      <c r="T204" s="536">
        <f t="shared" si="504"/>
        <v>15</v>
      </c>
      <c r="U204" s="217">
        <f t="shared" si="505"/>
        <v>35.282727289721073</v>
      </c>
      <c r="V204" s="217">
        <f t="shared" si="506"/>
        <v>23.330761944044035</v>
      </c>
      <c r="W204" s="217">
        <f t="shared" si="507"/>
        <v>26.609129920965636</v>
      </c>
      <c r="X204" s="197">
        <f t="shared" si="508"/>
        <v>70.650387840430781</v>
      </c>
      <c r="Y204" s="443">
        <f t="shared" si="509"/>
        <v>19.944199375065946</v>
      </c>
      <c r="AA204" s="217">
        <f t="shared" si="510"/>
        <v>10</v>
      </c>
      <c r="AB204" s="173">
        <f t="shared" si="511"/>
        <v>7.5416873821762866</v>
      </c>
      <c r="AC204" s="173">
        <f t="shared" si="512"/>
        <v>2.664115692610189</v>
      </c>
      <c r="AD204" s="173"/>
      <c r="AE204" s="173">
        <f t="shared" si="513"/>
        <v>7.5416873821762866</v>
      </c>
      <c r="AF204" s="545">
        <f t="shared" si="514"/>
        <v>249.28108322855095</v>
      </c>
      <c r="AG204" s="528">
        <f t="shared" si="515"/>
        <v>2.664115692610189</v>
      </c>
      <c r="AI204" s="173">
        <f t="shared" si="516"/>
        <v>8.439381887124723</v>
      </c>
      <c r="AJ204" s="173">
        <f t="shared" si="517"/>
        <v>35.282727289721073</v>
      </c>
      <c r="AK204" s="173">
        <f t="shared" si="518"/>
        <v>19.927946140534125</v>
      </c>
      <c r="AM204" s="545">
        <f t="shared" si="519"/>
        <v>9399.9999999999982</v>
      </c>
      <c r="AN204" s="460">
        <f t="shared" si="520"/>
        <v>19.944199375065946</v>
      </c>
      <c r="AP204">
        <f t="shared" si="521"/>
        <v>9399.9999999999982</v>
      </c>
      <c r="AQ204">
        <f t="shared" si="522"/>
        <v>19.944199375065946</v>
      </c>
      <c r="AS204" s="5">
        <f t="shared" si="600"/>
        <v>50.139891865009673</v>
      </c>
      <c r="AT204" s="5">
        <f t="shared" si="523"/>
        <v>23.330761944044035</v>
      </c>
      <c r="AU204" s="5">
        <f t="shared" si="478"/>
        <v>26.809129920965638</v>
      </c>
      <c r="AV204" s="5"/>
      <c r="AW204" s="173">
        <f t="shared" si="479"/>
        <v>0.46531336778421539</v>
      </c>
      <c r="AX204" s="173">
        <f t="shared" si="596"/>
        <v>148.96771397342002</v>
      </c>
      <c r="AY204" s="173">
        <f t="shared" si="597"/>
        <v>9.4326013149644599</v>
      </c>
      <c r="AZ204" s="173">
        <f t="shared" si="601"/>
        <v>15.792855968277644</v>
      </c>
      <c r="BA204" s="460">
        <f t="shared" si="594"/>
        <v>1462.0610818267592</v>
      </c>
      <c r="BB204" s="5">
        <f t="shared" si="595"/>
        <v>71.827270392296498</v>
      </c>
      <c r="BD204" s="173">
        <f t="shared" si="602"/>
        <v>13.895503413499362</v>
      </c>
      <c r="BE204" s="173">
        <f t="shared" si="598"/>
        <v>14.895366165993938</v>
      </c>
      <c r="BG204" s="528">
        <f t="shared" si="480"/>
        <v>3.8617003022914487</v>
      </c>
      <c r="BH204" s="528">
        <f t="shared" si="524"/>
        <v>0.44937760182424458</v>
      </c>
      <c r="BI204" s="528">
        <f t="shared" si="525"/>
        <v>9.0483853367067189E-3</v>
      </c>
      <c r="BJ204" s="528">
        <f t="shared" si="481"/>
        <v>2.3135527043879824E-3</v>
      </c>
      <c r="BK204">
        <f t="shared" si="482"/>
        <v>8.166331122037452E-3</v>
      </c>
      <c r="BL204" s="460">
        <f t="shared" si="588"/>
        <v>17.214716458744171</v>
      </c>
      <c r="BM204" s="528">
        <f t="shared" si="526"/>
        <v>64.953310785952098</v>
      </c>
      <c r="BN204" s="460">
        <f t="shared" si="527"/>
        <v>64953.310785952097</v>
      </c>
      <c r="BO204" s="528">
        <f t="shared" si="483"/>
        <v>6.5799999999999983</v>
      </c>
      <c r="BR204" s="460">
        <f t="shared" si="484"/>
        <v>6579.9999999999982</v>
      </c>
      <c r="BS204" s="528">
        <f t="shared" si="485"/>
        <v>5.7925504534371726</v>
      </c>
      <c r="BT204" s="528">
        <f t="shared" si="486"/>
        <v>6.6561579965711077</v>
      </c>
      <c r="BU204" s="528">
        <f t="shared" si="487"/>
        <v>0.65677542124192001</v>
      </c>
      <c r="BV204" s="528"/>
      <c r="BW204" s="528">
        <f t="shared" si="488"/>
        <v>2.4827952328903335E-2</v>
      </c>
      <c r="BX204" s="460">
        <f t="shared" si="489"/>
        <v>13130.311823579103</v>
      </c>
      <c r="BY204" s="173">
        <f t="shared" si="490"/>
        <v>24.040917996857925</v>
      </c>
      <c r="BZ204" s="5">
        <f t="shared" si="491"/>
        <v>140.99999999999997</v>
      </c>
      <c r="CA204" s="173">
        <f t="shared" si="492"/>
        <v>0.85433359018691579</v>
      </c>
      <c r="CB204" s="5">
        <f t="shared" si="493"/>
        <v>85.433359018691576</v>
      </c>
      <c r="CE204" s="562">
        <f t="shared" si="528"/>
        <v>-50</v>
      </c>
      <c r="CF204">
        <f t="shared" si="529"/>
        <v>-50</v>
      </c>
      <c r="CG204" s="173">
        <f t="shared" si="530"/>
        <v>0.55125659689458995</v>
      </c>
      <c r="CI204" s="170">
        <v>94</v>
      </c>
      <c r="CJ204" s="217">
        <f t="shared" si="589"/>
        <v>9.3999999999999986</v>
      </c>
      <c r="CK204" s="217"/>
      <c r="CL204" s="217">
        <f t="shared" si="531"/>
        <v>140.99999999999997</v>
      </c>
      <c r="CM204" s="541">
        <f t="shared" si="532"/>
        <v>19</v>
      </c>
      <c r="CN204" s="443">
        <f t="shared" si="533"/>
        <v>15.4</v>
      </c>
      <c r="CO204" s="443">
        <f t="shared" si="534"/>
        <v>34.4</v>
      </c>
      <c r="CP204" s="443"/>
      <c r="CQ204" s="217">
        <f t="shared" si="535"/>
        <v>0.44767441860465118</v>
      </c>
      <c r="CR204" s="172">
        <f t="shared" si="590"/>
        <v>212.84736191860466</v>
      </c>
      <c r="CS204" s="172">
        <f t="shared" si="536"/>
        <v>140.99999999999997</v>
      </c>
      <c r="CT204" s="217">
        <f t="shared" si="537"/>
        <v>14.189824127906977</v>
      </c>
      <c r="CU204" s="217">
        <f t="shared" si="538"/>
        <v>15</v>
      </c>
      <c r="CV204" s="217"/>
      <c r="CW204" s="172">
        <f t="shared" si="539"/>
        <v>31.768173258027062</v>
      </c>
      <c r="CX204" s="536">
        <f t="shared" si="540"/>
        <v>15</v>
      </c>
      <c r="CY204" s="217">
        <f t="shared" si="541"/>
        <v>33.153793574846198</v>
      </c>
      <c r="CZ204" s="217">
        <f t="shared" si="542"/>
        <v>20.939238047271285</v>
      </c>
      <c r="DA204" s="217">
        <f t="shared" si="543"/>
        <v>25.834124863516518</v>
      </c>
      <c r="DB204" s="197">
        <f t="shared" si="544"/>
        <v>70.881782945736433</v>
      </c>
      <c r="DC204" s="443">
        <f t="shared" si="545"/>
        <v>21.379690015176568</v>
      </c>
      <c r="DE204" s="217">
        <f t="shared" si="546"/>
        <v>10.000000000000002</v>
      </c>
      <c r="DF204" s="173">
        <f t="shared" si="547"/>
        <v>7.792207792207793</v>
      </c>
      <c r="DG204" s="173">
        <f t="shared" si="548"/>
        <v>2.7616279069767451</v>
      </c>
      <c r="DH204" s="173"/>
      <c r="DI204" s="173">
        <f t="shared" si="549"/>
        <v>7.7922077922077913</v>
      </c>
      <c r="DJ204" s="545">
        <f t="shared" si="550"/>
        <v>241.26666666666662</v>
      </c>
      <c r="DK204" s="528">
        <f t="shared" si="551"/>
        <v>2.7616279069767442</v>
      </c>
      <c r="DM204" s="173">
        <f t="shared" si="552"/>
        <v>8.3026100313897278</v>
      </c>
      <c r="DN204" s="173">
        <f t="shared" si="553"/>
        <v>33.153793574846198</v>
      </c>
      <c r="DO204" s="173">
        <f t="shared" si="554"/>
        <v>18.350958203589776</v>
      </c>
      <c r="DQ204" s="545">
        <f t="shared" si="555"/>
        <v>9399.9999999999982</v>
      </c>
      <c r="DR204" s="460">
        <f t="shared" si="556"/>
        <v>21.379690015176568</v>
      </c>
      <c r="DT204">
        <f t="shared" si="591"/>
        <v>9399.9999999999982</v>
      </c>
      <c r="DU204">
        <f t="shared" si="592"/>
        <v>21.379690015176568</v>
      </c>
      <c r="DW204" s="5">
        <f t="shared" si="557"/>
        <v>46.773362910787803</v>
      </c>
      <c r="DX204" s="5">
        <f t="shared" si="558"/>
        <v>20.939238047271285</v>
      </c>
      <c r="DY204" s="5">
        <f t="shared" si="559"/>
        <v>25.834124863516518</v>
      </c>
      <c r="DZ204" s="5"/>
      <c r="EA204" s="173">
        <f t="shared" si="560"/>
        <v>0.44767441860465118</v>
      </c>
      <c r="EB204" s="173">
        <f t="shared" si="561"/>
        <v>140.99999999999997</v>
      </c>
      <c r="EC204" s="173">
        <f t="shared" si="562"/>
        <v>9.1558441558441537</v>
      </c>
      <c r="ED204" s="173">
        <f t="shared" si="563"/>
        <v>15.4</v>
      </c>
      <c r="EE204" s="460">
        <f t="shared" si="564"/>
        <v>1312.1922509623337</v>
      </c>
      <c r="EF204" s="5">
        <f t="shared" si="565"/>
        <v>66.109103552737352</v>
      </c>
      <c r="EH204" s="173">
        <f t="shared" si="566"/>
        <v>12.807186707871939</v>
      </c>
      <c r="EI204" s="173">
        <f t="shared" si="567"/>
        <v>14.225586505690348</v>
      </c>
      <c r="EK204" s="528">
        <f t="shared" si="568"/>
        <v>3.2804806274058329</v>
      </c>
      <c r="EL204" s="528">
        <f t="shared" si="569"/>
        <v>0.48766666666666664</v>
      </c>
      <c r="EM204" s="528">
        <f t="shared" si="570"/>
        <v>2.672461251897071E-3</v>
      </c>
      <c r="EN204" s="528">
        <f t="shared" si="571"/>
        <v>2.5299869976359341E-3</v>
      </c>
      <c r="EO204">
        <f t="shared" si="572"/>
        <v>8.5500000000000003E-3</v>
      </c>
      <c r="EP204" s="460">
        <f t="shared" si="573"/>
        <v>11.222461251897073</v>
      </c>
      <c r="EQ204" s="460"/>
      <c r="ER204" s="460">
        <f t="shared" si="593"/>
        <v>3781.899742322033</v>
      </c>
      <c r="ES204" s="528">
        <f t="shared" si="574"/>
        <v>6.5799999999999983</v>
      </c>
      <c r="EV204" s="460">
        <f t="shared" si="494"/>
        <v>6579.9999999999982</v>
      </c>
      <c r="EW204" s="528">
        <f t="shared" si="575"/>
        <v>4.9207209411087494</v>
      </c>
      <c r="EX204" s="528">
        <f t="shared" si="576"/>
        <v>6.0710193429263803</v>
      </c>
      <c r="EY204" s="528">
        <f t="shared" si="577"/>
        <v>0.66881589702681343</v>
      </c>
      <c r="EZ204" s="528"/>
      <c r="FA204" s="528">
        <f t="shared" si="578"/>
        <v>2.3499999999999993E-2</v>
      </c>
      <c r="FB204" s="460">
        <f t="shared" si="579"/>
        <v>11684.056181061944</v>
      </c>
      <c r="FC204" s="173">
        <f t="shared" si="580"/>
        <v>22.045955923383975</v>
      </c>
      <c r="FD204" s="5">
        <f t="shared" si="581"/>
        <v>140.99999999999997</v>
      </c>
      <c r="FE204" s="173">
        <f t="shared" si="582"/>
        <v>0.86478685841344338</v>
      </c>
      <c r="FF204" s="5">
        <f t="shared" si="583"/>
        <v>86.478685841344344</v>
      </c>
      <c r="FI204" s="562">
        <f t="shared" si="584"/>
        <v>-50</v>
      </c>
      <c r="FJ204">
        <f t="shared" si="585"/>
        <v>-50</v>
      </c>
      <c r="FL204">
        <f t="shared" si="586"/>
        <v>0.55232558139534882</v>
      </c>
    </row>
    <row r="205" spans="5:168">
      <c r="E205" s="170">
        <v>95</v>
      </c>
      <c r="F205" s="217">
        <f t="shared" si="587"/>
        <v>9.5</v>
      </c>
      <c r="G205" s="217"/>
      <c r="H205" s="217">
        <f t="shared" si="495"/>
        <v>142.5</v>
      </c>
      <c r="I205" s="541">
        <f t="shared" si="496"/>
        <v>18.1383498955202</v>
      </c>
      <c r="J205" s="172">
        <f t="shared" si="497"/>
        <v>15.91699006268788</v>
      </c>
      <c r="K205" s="172">
        <f t="shared" si="498"/>
        <v>34.05533995820808</v>
      </c>
      <c r="L205" s="443"/>
      <c r="M205" s="217">
        <f t="shared" si="499"/>
        <v>0.46737054293594738</v>
      </c>
      <c r="N205" s="172">
        <f t="shared" si="500"/>
        <v>212.13459756370401</v>
      </c>
      <c r="O205" s="172">
        <f t="shared" si="599"/>
        <v>142.5</v>
      </c>
      <c r="P205" s="217">
        <f t="shared" si="501"/>
        <v>14.142306504246934</v>
      </c>
      <c r="Q205" s="217">
        <f t="shared" si="502"/>
        <v>15</v>
      </c>
      <c r="R205" s="217"/>
      <c r="S205" s="172">
        <f t="shared" si="503"/>
        <v>29.834121740097363</v>
      </c>
      <c r="T205" s="536">
        <f t="shared" si="504"/>
        <v>15</v>
      </c>
      <c r="U205" s="217">
        <f t="shared" si="505"/>
        <v>35.672078868358781</v>
      </c>
      <c r="V205" s="217">
        <f t="shared" si="506"/>
        <v>23.599993874086014</v>
      </c>
      <c r="W205" s="217">
        <f t="shared" si="507"/>
        <v>26.893586333496689</v>
      </c>
      <c r="X205" s="197">
        <f t="shared" si="508"/>
        <v>70.646760878726226</v>
      </c>
      <c r="Y205" s="443">
        <f t="shared" si="509"/>
        <v>19.726363691519676</v>
      </c>
      <c r="AA205" s="217">
        <f t="shared" si="510"/>
        <v>9.9999999999999982</v>
      </c>
      <c r="AB205" s="173">
        <f t="shared" si="511"/>
        <v>7.5391138354292435</v>
      </c>
      <c r="AC205" s="173">
        <f t="shared" si="512"/>
        <v>2.6630698618453312</v>
      </c>
      <c r="AD205" s="173"/>
      <c r="AE205" s="173">
        <f t="shared" si="513"/>
        <v>7.5391138354292444</v>
      </c>
      <c r="AF205" s="545">
        <f t="shared" si="514"/>
        <v>252.01900932589143</v>
      </c>
      <c r="AG205" s="528">
        <f t="shared" si="515"/>
        <v>2.6630698618453317</v>
      </c>
      <c r="AI205" s="173">
        <f t="shared" si="516"/>
        <v>8.4856014068520196</v>
      </c>
      <c r="AJ205" s="173">
        <f t="shared" si="517"/>
        <v>35.672078868358781</v>
      </c>
      <c r="AK205" s="173">
        <f t="shared" si="518"/>
        <v>20.216354717302799</v>
      </c>
      <c r="AM205" s="545">
        <f t="shared" si="519"/>
        <v>9500</v>
      </c>
      <c r="AN205" s="460">
        <f t="shared" si="520"/>
        <v>19.726363691519676</v>
      </c>
      <c r="AP205">
        <f t="shared" si="521"/>
        <v>9500</v>
      </c>
      <c r="AQ205">
        <f t="shared" si="522"/>
        <v>19.726363691519676</v>
      </c>
      <c r="AS205" s="5">
        <f t="shared" si="600"/>
        <v>50.693580207582713</v>
      </c>
      <c r="AT205" s="5">
        <f t="shared" si="523"/>
        <v>23.599993874086014</v>
      </c>
      <c r="AU205" s="5">
        <f t="shared" si="478"/>
        <v>27.093586333496699</v>
      </c>
      <c r="AV205" s="5"/>
      <c r="AW205" s="173">
        <f t="shared" si="479"/>
        <v>0.46554206227785705</v>
      </c>
      <c r="AX205" s="173">
        <f t="shared" si="596"/>
        <v>150.61045665897592</v>
      </c>
      <c r="AY205" s="173">
        <f t="shared" si="597"/>
        <v>9.5326128531223357</v>
      </c>
      <c r="AZ205" s="173">
        <f t="shared" si="601"/>
        <v>15.799493693866378</v>
      </c>
      <c r="BA205" s="460">
        <f t="shared" si="594"/>
        <v>1494.666278692114</v>
      </c>
      <c r="BB205" s="5">
        <f t="shared" si="595"/>
        <v>73.398229960321501</v>
      </c>
      <c r="BD205" s="173">
        <f t="shared" si="602"/>
        <v>14.052294898629997</v>
      </c>
      <c r="BE205" s="173">
        <f t="shared" si="598"/>
        <v>15.056518356249352</v>
      </c>
      <c r="BG205" s="528">
        <f t="shared" si="480"/>
        <v>3.9493398383612526</v>
      </c>
      <c r="BH205" s="528">
        <f t="shared" si="524"/>
        <v>0.44932641171109877</v>
      </c>
      <c r="BI205" s="528">
        <f t="shared" si="525"/>
        <v>8.9450921700767339E-3</v>
      </c>
      <c r="BJ205" s="528">
        <f t="shared" si="481"/>
        <v>2.2877969457277491E-3</v>
      </c>
      <c r="BK205">
        <f t="shared" si="482"/>
        <v>8.1622574529840904E-3</v>
      </c>
      <c r="BL205" s="460">
        <f t="shared" si="588"/>
        <v>17.107349623060827</v>
      </c>
      <c r="BM205" s="528">
        <f t="shared" si="526"/>
        <v>88.701408534235696</v>
      </c>
      <c r="BN205" s="460">
        <f t="shared" si="527"/>
        <v>88701.408534235699</v>
      </c>
      <c r="BO205" s="528">
        <f t="shared" si="483"/>
        <v>6.6499999999999995</v>
      </c>
      <c r="BR205" s="460">
        <f t="shared" si="484"/>
        <v>6649.9999999999991</v>
      </c>
      <c r="BS205" s="528">
        <f t="shared" si="485"/>
        <v>5.9240097575418789</v>
      </c>
      <c r="BT205" s="528">
        <f t="shared" si="486"/>
        <v>6.8009623503622105</v>
      </c>
      <c r="BU205" s="528">
        <f t="shared" si="487"/>
        <v>0.65676294687153103</v>
      </c>
      <c r="BV205" s="528"/>
      <c r="BW205" s="528">
        <f t="shared" si="488"/>
        <v>2.5101742776495985E-2</v>
      </c>
      <c r="BX205" s="460">
        <f t="shared" si="489"/>
        <v>13406.836797552118</v>
      </c>
      <c r="BY205" s="173">
        <f t="shared" si="490"/>
        <v>24.474898194193255</v>
      </c>
      <c r="BZ205" s="5">
        <f t="shared" si="491"/>
        <v>142.5</v>
      </c>
      <c r="CA205" s="173">
        <f t="shared" si="492"/>
        <v>0.85342169117103617</v>
      </c>
      <c r="CB205" s="5">
        <f t="shared" si="493"/>
        <v>85.342169117103623</v>
      </c>
      <c r="CE205" s="562">
        <f t="shared" si="528"/>
        <v>-50</v>
      </c>
      <c r="CF205">
        <f t="shared" si="529"/>
        <v>-50</v>
      </c>
      <c r="CG205" s="173">
        <f t="shared" si="530"/>
        <v>0.55126784936301898</v>
      </c>
      <c r="CI205" s="170">
        <v>95</v>
      </c>
      <c r="CJ205" s="217">
        <f t="shared" si="589"/>
        <v>9.5</v>
      </c>
      <c r="CK205" s="217"/>
      <c r="CL205" s="217">
        <f t="shared" si="531"/>
        <v>142.5</v>
      </c>
      <c r="CM205" s="541">
        <f t="shared" si="532"/>
        <v>19</v>
      </c>
      <c r="CN205" s="443">
        <f t="shared" si="533"/>
        <v>15.4</v>
      </c>
      <c r="CO205" s="443">
        <f t="shared" si="534"/>
        <v>34.4</v>
      </c>
      <c r="CP205" s="443"/>
      <c r="CQ205" s="217">
        <f t="shared" si="535"/>
        <v>0.44767441860465118</v>
      </c>
      <c r="CR205" s="172">
        <f t="shared" si="590"/>
        <v>212.84736191860466</v>
      </c>
      <c r="CS205" s="172">
        <f t="shared" si="536"/>
        <v>142.5</v>
      </c>
      <c r="CT205" s="217">
        <f t="shared" si="537"/>
        <v>14.189824127906977</v>
      </c>
      <c r="CU205" s="217">
        <f t="shared" si="538"/>
        <v>15</v>
      </c>
      <c r="CV205" s="217"/>
      <c r="CW205" s="172">
        <f t="shared" si="539"/>
        <v>31.240200751558937</v>
      </c>
      <c r="CX205" s="536">
        <f t="shared" si="540"/>
        <v>15</v>
      </c>
      <c r="CY205" s="217">
        <f t="shared" si="541"/>
        <v>33.506493506493506</v>
      </c>
      <c r="CZ205" s="217">
        <f t="shared" si="542"/>
        <v>21.161995898838004</v>
      </c>
      <c r="DA205" s="217">
        <f t="shared" si="543"/>
        <v>26.108955979085849</v>
      </c>
      <c r="DB205" s="197">
        <f t="shared" si="544"/>
        <v>70.881782945736433</v>
      </c>
      <c r="DC205" s="443">
        <f t="shared" si="545"/>
        <v>21.154640646595759</v>
      </c>
      <c r="DE205" s="217">
        <f t="shared" si="546"/>
        <v>10.000000000000002</v>
      </c>
      <c r="DF205" s="173">
        <f t="shared" si="547"/>
        <v>7.792207792207793</v>
      </c>
      <c r="DG205" s="173">
        <f t="shared" si="548"/>
        <v>2.7616279069767451</v>
      </c>
      <c r="DH205" s="173"/>
      <c r="DI205" s="173">
        <f t="shared" si="549"/>
        <v>7.7922077922077913</v>
      </c>
      <c r="DJ205" s="545">
        <f t="shared" si="550"/>
        <v>243.83333333333334</v>
      </c>
      <c r="DK205" s="528">
        <f t="shared" si="551"/>
        <v>2.7616279069767442</v>
      </c>
      <c r="DM205" s="173">
        <f t="shared" si="552"/>
        <v>8.3466560170326094</v>
      </c>
      <c r="DN205" s="173">
        <f t="shared" si="553"/>
        <v>33.506493506493506</v>
      </c>
      <c r="DO205" s="173">
        <f t="shared" si="554"/>
        <v>18.612217412217412</v>
      </c>
      <c r="DQ205" s="545">
        <f t="shared" si="555"/>
        <v>9500</v>
      </c>
      <c r="DR205" s="460">
        <f t="shared" si="556"/>
        <v>21.154640646595759</v>
      </c>
      <c r="DT205">
        <f t="shared" si="591"/>
        <v>9500</v>
      </c>
      <c r="DU205">
        <f t="shared" si="592"/>
        <v>21.154640646595759</v>
      </c>
      <c r="DW205" s="5">
        <f t="shared" si="557"/>
        <v>47.270951877923849</v>
      </c>
      <c r="DX205" s="5">
        <f t="shared" si="558"/>
        <v>21.161995898838004</v>
      </c>
      <c r="DY205" s="5">
        <f t="shared" si="559"/>
        <v>26.108955979085845</v>
      </c>
      <c r="DZ205" s="5"/>
      <c r="EA205" s="173">
        <f t="shared" si="560"/>
        <v>0.44767441860465118</v>
      </c>
      <c r="EB205" s="173">
        <f t="shared" si="561"/>
        <v>142.50000000000003</v>
      </c>
      <c r="EC205" s="173">
        <f t="shared" si="562"/>
        <v>9.2532467532467528</v>
      </c>
      <c r="ED205" s="173">
        <f t="shared" si="563"/>
        <v>15.400000000000004</v>
      </c>
      <c r="EE205" s="460">
        <f t="shared" si="564"/>
        <v>1340.2597402597403</v>
      </c>
      <c r="EF205" s="5">
        <f t="shared" si="565"/>
        <v>67.523162014877173</v>
      </c>
      <c r="EH205" s="173">
        <f t="shared" si="566"/>
        <v>12.943433374976964</v>
      </c>
      <c r="EI205" s="173">
        <f t="shared" si="567"/>
        <v>14.376922532346633</v>
      </c>
      <c r="EK205" s="528">
        <f t="shared" si="568"/>
        <v>3.3506493506493515</v>
      </c>
      <c r="EL205" s="528">
        <f t="shared" si="569"/>
        <v>0.48766666666666664</v>
      </c>
      <c r="EM205" s="528">
        <f t="shared" si="570"/>
        <v>2.6443300808244698E-3</v>
      </c>
      <c r="EN205" s="528">
        <f t="shared" si="571"/>
        <v>2.5033555555555556E-3</v>
      </c>
      <c r="EO205">
        <f t="shared" si="572"/>
        <v>8.5500000000000003E-3</v>
      </c>
      <c r="EP205" s="460">
        <f t="shared" si="573"/>
        <v>11.194330080824471</v>
      </c>
      <c r="EQ205" s="460"/>
      <c r="ER205" s="460">
        <f t="shared" si="593"/>
        <v>3852.0137029523985</v>
      </c>
      <c r="ES205" s="528">
        <f t="shared" si="574"/>
        <v>6.6499999999999995</v>
      </c>
      <c r="EV205" s="460">
        <f t="shared" si="494"/>
        <v>6649.9999999999991</v>
      </c>
      <c r="EW205" s="528">
        <f t="shared" si="575"/>
        <v>5.0259740259740271</v>
      </c>
      <c r="EX205" s="528">
        <f t="shared" si="576"/>
        <v>6.2008770450328896</v>
      </c>
      <c r="EY205" s="528">
        <f t="shared" si="577"/>
        <v>0.66881589702681299</v>
      </c>
      <c r="EZ205" s="528"/>
      <c r="FA205" s="528">
        <f t="shared" si="578"/>
        <v>2.3750000000000004E-2</v>
      </c>
      <c r="FB205" s="460">
        <f t="shared" si="579"/>
        <v>11919.416968033727</v>
      </c>
      <c r="FC205" s="173">
        <f t="shared" si="580"/>
        <v>22.42143067098613</v>
      </c>
      <c r="FD205" s="5">
        <f t="shared" si="581"/>
        <v>142.5</v>
      </c>
      <c r="FE205" s="173">
        <f t="shared" si="582"/>
        <v>0.86404780397693559</v>
      </c>
      <c r="FF205" s="5">
        <f t="shared" si="583"/>
        <v>86.404780397693557</v>
      </c>
      <c r="FI205" s="562">
        <f t="shared" si="584"/>
        <v>-50</v>
      </c>
      <c r="FJ205">
        <f t="shared" si="585"/>
        <v>-50</v>
      </c>
      <c r="FL205">
        <f t="shared" si="586"/>
        <v>0.55232558139534882</v>
      </c>
    </row>
    <row r="206" spans="5:168">
      <c r="E206" s="170">
        <v>96</v>
      </c>
      <c r="F206" s="217">
        <f t="shared" si="587"/>
        <v>9.6</v>
      </c>
      <c r="G206" s="217"/>
      <c r="H206" s="217">
        <f>F206*Vout</f>
        <v>144</v>
      </c>
      <c r="I206" s="541">
        <f t="shared" si="496"/>
        <v>18.129297296920786</v>
      </c>
      <c r="J206" s="172">
        <f t="shared" si="497"/>
        <v>15.922421621847528</v>
      </c>
      <c r="K206" s="172">
        <f t="shared" si="498"/>
        <v>34.051718918768316</v>
      </c>
      <c r="L206" s="443"/>
      <c r="M206" s="217">
        <f t="shared" si="499"/>
        <v>0.46757975833612569</v>
      </c>
      <c r="N206" s="172">
        <f>M206*I206*(Isw_max+VIN_min/Lmag*ILIM_delay)*0.5*Efficiency</f>
        <v>212.12363741811126</v>
      </c>
      <c r="O206" s="172">
        <f t="shared" si="599"/>
        <v>144</v>
      </c>
      <c r="P206" s="217">
        <f>N206/Vout</f>
        <v>14.141575827874084</v>
      </c>
      <c r="Q206" s="217">
        <f t="shared" si="502"/>
        <v>15</v>
      </c>
      <c r="R206" s="217"/>
      <c r="S206" s="172">
        <f t="shared" si="503"/>
        <v>29.326363490230474</v>
      </c>
      <c r="T206" s="536">
        <f>MIN(Vout, S206)</f>
        <v>15</v>
      </c>
      <c r="U206" s="217">
        <f t="shared" si="505"/>
        <v>36.061739388415809</v>
      </c>
      <c r="V206" s="217">
        <f>L*U206/I206*1000000</f>
        <v>23.869699171102987</v>
      </c>
      <c r="W206" s="217">
        <f t="shared" si="507"/>
        <v>27.178081509110136</v>
      </c>
      <c r="X206" s="197">
        <f t="shared" si="508"/>
        <v>70.643109079164873</v>
      </c>
      <c r="Y206" s="443">
        <f t="shared" si="509"/>
        <v>19.513040110751607</v>
      </c>
      <c r="AA206" s="217">
        <f t="shared" si="510"/>
        <v>10</v>
      </c>
      <c r="AB206" s="173">
        <f>L*AA206/J206*1000000</f>
        <v>7.5365420442921316</v>
      </c>
      <c r="AC206" s="173">
        <f>0.5*AB206*AA206*Nps*X206/1000</f>
        <v>2.6620238085732066</v>
      </c>
      <c r="AD206" s="173"/>
      <c r="AE206" s="173">
        <f t="shared" si="513"/>
        <v>7.5365420442921316</v>
      </c>
      <c r="AF206" s="545">
        <f>MAX(12000,F206/(0.5*AE206/1000000*Isw_min*Nps))/1000</f>
        <v>254.75874594956042</v>
      </c>
      <c r="AG206" s="528">
        <f t="shared" si="515"/>
        <v>2.6620238085732066</v>
      </c>
      <c r="AI206" s="173">
        <f t="shared" si="516"/>
        <v>8.5316008537932575</v>
      </c>
      <c r="AJ206" s="173">
        <f>MAX(IF(F206&gt;AC206,U206,AI206),Isw_min)</f>
        <v>36.061739388415809</v>
      </c>
      <c r="AK206" s="173">
        <f>IF(F206&gt;AG206, (AJ206-Isw_min)/1.08*0.8+1.2, AF206*0.2/350+1)</f>
        <v>20.504992139567264</v>
      </c>
      <c r="AM206" s="545">
        <f t="shared" si="519"/>
        <v>9600</v>
      </c>
      <c r="AN206" s="460">
        <f t="shared" si="520"/>
        <v>19.513040110751607</v>
      </c>
      <c r="AP206">
        <f t="shared" si="521"/>
        <v>9600</v>
      </c>
      <c r="AQ206">
        <f t="shared" si="522"/>
        <v>19.513040110751607</v>
      </c>
      <c r="AS206" s="5">
        <f t="shared" si="600"/>
        <v>51.247780680213125</v>
      </c>
      <c r="AT206" s="5">
        <f t="shared" si="523"/>
        <v>23.869699171102987</v>
      </c>
      <c r="AU206" s="5">
        <f t="shared" si="478"/>
        <v>27.378081509110139</v>
      </c>
      <c r="AV206" s="5"/>
      <c r="AW206" s="173">
        <f t="shared" si="479"/>
        <v>0.46577039735730696</v>
      </c>
      <c r="AX206" s="173">
        <f t="shared" si="596"/>
        <v>152.25428658066275</v>
      </c>
      <c r="AY206" s="173">
        <f t="shared" si="597"/>
        <v>9.6326243520388655</v>
      </c>
      <c r="AZ206" s="173">
        <f t="shared" si="601"/>
        <v>15.806106520538842</v>
      </c>
      <c r="BA206" s="460">
        <f t="shared" si="594"/>
        <v>1527.6607469505909</v>
      </c>
      <c r="BB206" s="5">
        <f t="shared" si="595"/>
        <v>74.987096048375022</v>
      </c>
      <c r="BD206" s="173">
        <f t="shared" si="602"/>
        <v>14.209277130318226</v>
      </c>
      <c r="BE206" s="173">
        <f t="shared" si="598"/>
        <v>15.217735026600449</v>
      </c>
      <c r="BG206" s="528">
        <f t="shared" si="480"/>
        <v>4.038071131323691</v>
      </c>
      <c r="BH206" s="528">
        <f t="shared" si="524"/>
        <v>0.44927465531582905</v>
      </c>
      <c r="BI206" s="528">
        <f t="shared" si="525"/>
        <v>8.8439426333638983E-3</v>
      </c>
      <c r="BJ206" s="528">
        <f t="shared" si="481"/>
        <v>2.2625751709292987E-3</v>
      </c>
      <c r="BK206">
        <f t="shared" si="482"/>
        <v>8.1581837836143534E-3</v>
      </c>
      <c r="BL206" s="460">
        <f t="shared" si="588"/>
        <v>17.00212641697825</v>
      </c>
      <c r="BM206" s="528">
        <f t="shared" si="526"/>
        <v>137.59053115663377</v>
      </c>
      <c r="BN206" s="460">
        <f t="shared" si="527"/>
        <v>137590.53115663378</v>
      </c>
      <c r="BO206" s="528">
        <f t="shared" si="483"/>
        <v>6.72</v>
      </c>
      <c r="BR206" s="460">
        <f t="shared" si="484"/>
        <v>6720</v>
      </c>
      <c r="BS206" s="528">
        <f t="shared" si="485"/>
        <v>6.0571066969855369</v>
      </c>
      <c r="BT206" s="528">
        <f t="shared" si="486"/>
        <v>6.9473837801946647</v>
      </c>
      <c r="BU206" s="528">
        <f t="shared" si="487"/>
        <v>0.65674840052795991</v>
      </c>
      <c r="BV206" s="528"/>
      <c r="BW206" s="528">
        <f t="shared" si="488"/>
        <v>2.5375714430110462E-2</v>
      </c>
      <c r="BX206" s="460">
        <f t="shared" si="489"/>
        <v>13686.614592138272</v>
      </c>
      <c r="BY206" s="173">
        <f t="shared" si="490"/>
        <v>24.913225080365699</v>
      </c>
      <c r="BZ206" s="5">
        <f t="shared" si="491"/>
        <v>144</v>
      </c>
      <c r="CA206" s="173">
        <f t="shared" si="492"/>
        <v>0.85250873595887799</v>
      </c>
      <c r="CB206" s="5">
        <f t="shared" si="493"/>
        <v>85.250873595887796</v>
      </c>
      <c r="CE206" s="562">
        <f t="shared" si="528"/>
        <v>-50</v>
      </c>
      <c r="CF206">
        <f t="shared" si="529"/>
        <v>-50</v>
      </c>
      <c r="CG206" s="173">
        <f t="shared" si="530"/>
        <v>0.55127886740502252</v>
      </c>
      <c r="CI206" s="170">
        <v>96</v>
      </c>
      <c r="CJ206" s="217">
        <f t="shared" si="589"/>
        <v>9.6</v>
      </c>
      <c r="CK206" s="217"/>
      <c r="CL206" s="217">
        <f t="shared" si="531"/>
        <v>144</v>
      </c>
      <c r="CM206" s="541">
        <f t="shared" si="532"/>
        <v>19</v>
      </c>
      <c r="CN206" s="443">
        <f t="shared" si="533"/>
        <v>15.4</v>
      </c>
      <c r="CO206" s="443">
        <f t="shared" si="534"/>
        <v>34.4</v>
      </c>
      <c r="CP206" s="443"/>
      <c r="CQ206" s="217">
        <f t="shared" si="535"/>
        <v>0.44767441860465118</v>
      </c>
      <c r="CR206" s="172">
        <f t="shared" si="590"/>
        <v>212.84736191860466</v>
      </c>
      <c r="CS206" s="172">
        <f t="shared" si="536"/>
        <v>144</v>
      </c>
      <c r="CT206" s="217">
        <f t="shared" si="537"/>
        <v>14.189824127906977</v>
      </c>
      <c r="CU206" s="217">
        <f t="shared" si="538"/>
        <v>15</v>
      </c>
      <c r="CV206" s="217"/>
      <c r="CW206" s="172">
        <f t="shared" si="539"/>
        <v>30.723356269299487</v>
      </c>
      <c r="CX206" s="536">
        <f t="shared" si="540"/>
        <v>15</v>
      </c>
      <c r="CY206" s="217">
        <f t="shared" si="541"/>
        <v>33.859193438140807</v>
      </c>
      <c r="CZ206" s="217">
        <f t="shared" si="542"/>
        <v>21.38475375040472</v>
      </c>
      <c r="DA206" s="217">
        <f t="shared" si="543"/>
        <v>26.383787094655172</v>
      </c>
      <c r="DB206" s="197">
        <f t="shared" si="544"/>
        <v>70.881782945736433</v>
      </c>
      <c r="DC206" s="443">
        <f t="shared" si="545"/>
        <v>20.934279806527055</v>
      </c>
      <c r="DE206" s="217">
        <f t="shared" si="546"/>
        <v>10.000000000000002</v>
      </c>
      <c r="DF206" s="173">
        <f t="shared" si="547"/>
        <v>7.792207792207793</v>
      </c>
      <c r="DG206" s="173">
        <f t="shared" si="548"/>
        <v>2.7616279069767451</v>
      </c>
      <c r="DH206" s="173"/>
      <c r="DI206" s="173">
        <f t="shared" si="549"/>
        <v>7.7922077922077913</v>
      </c>
      <c r="DJ206" s="545">
        <f t="shared" si="550"/>
        <v>246.4</v>
      </c>
      <c r="DK206" s="528">
        <f t="shared" si="551"/>
        <v>2.7616279069767442</v>
      </c>
      <c r="DM206" s="173">
        <f t="shared" si="552"/>
        <v>8.390470785361213</v>
      </c>
      <c r="DN206" s="173">
        <f t="shared" si="553"/>
        <v>33.859193438140807</v>
      </c>
      <c r="DO206" s="173">
        <f t="shared" si="554"/>
        <v>18.87347662084504</v>
      </c>
      <c r="DQ206" s="545">
        <f t="shared" si="555"/>
        <v>9600</v>
      </c>
      <c r="DR206" s="460">
        <f t="shared" si="556"/>
        <v>20.934279806527055</v>
      </c>
      <c r="DT206">
        <f t="shared" si="591"/>
        <v>9600</v>
      </c>
      <c r="DU206">
        <f t="shared" si="592"/>
        <v>20.934279806527055</v>
      </c>
      <c r="DW206" s="5">
        <f t="shared" si="557"/>
        <v>47.768540845059889</v>
      </c>
      <c r="DX206" s="5">
        <f t="shared" si="558"/>
        <v>21.38475375040472</v>
      </c>
      <c r="DY206" s="5">
        <f t="shared" si="559"/>
        <v>26.383787094655169</v>
      </c>
      <c r="DZ206" s="5"/>
      <c r="EA206" s="173">
        <f t="shared" si="560"/>
        <v>0.44767441860465118</v>
      </c>
      <c r="EB206" s="173">
        <f t="shared" si="561"/>
        <v>144.00000000000003</v>
      </c>
      <c r="EC206" s="173">
        <f t="shared" si="562"/>
        <v>9.3506493506493502</v>
      </c>
      <c r="ED206" s="173">
        <f t="shared" si="563"/>
        <v>15.400000000000004</v>
      </c>
      <c r="EE206" s="460">
        <f t="shared" si="564"/>
        <v>1368.6242400259018</v>
      </c>
      <c r="EF206" s="5">
        <f t="shared" si="565"/>
        <v>68.952184058626926</v>
      </c>
      <c r="EH206" s="173">
        <f t="shared" si="566"/>
        <v>13.079680042081984</v>
      </c>
      <c r="EI206" s="173">
        <f t="shared" si="567"/>
        <v>14.528258559002913</v>
      </c>
      <c r="EK206" s="528">
        <f t="shared" si="568"/>
        <v>3.4215606000647552</v>
      </c>
      <c r="EL206" s="528">
        <f t="shared" si="569"/>
        <v>0.48766666666666675</v>
      </c>
      <c r="EM206" s="528">
        <f t="shared" si="570"/>
        <v>2.6167849758158821E-3</v>
      </c>
      <c r="EN206" s="528">
        <f t="shared" si="571"/>
        <v>2.4772789351851857E-3</v>
      </c>
      <c r="EO206">
        <f t="shared" si="572"/>
        <v>8.5500000000000003E-3</v>
      </c>
      <c r="EP206" s="460">
        <f t="shared" si="573"/>
        <v>11.166784975815881</v>
      </c>
      <c r="EQ206" s="460"/>
      <c r="ER206" s="460">
        <f t="shared" si="593"/>
        <v>3922.8713306424229</v>
      </c>
      <c r="ES206" s="528">
        <f t="shared" si="574"/>
        <v>6.72</v>
      </c>
      <c r="EV206" s="460">
        <f t="shared" si="494"/>
        <v>6720</v>
      </c>
      <c r="EW206" s="528">
        <f t="shared" si="575"/>
        <v>5.132340900097133</v>
      </c>
      <c r="EX206" s="528">
        <f t="shared" si="576"/>
        <v>6.3321089027172413</v>
      </c>
      <c r="EY206" s="528">
        <f t="shared" si="577"/>
        <v>0.66881589702681232</v>
      </c>
      <c r="EZ206" s="528"/>
      <c r="FA206" s="528">
        <f t="shared" si="578"/>
        <v>2.4000000000000007E-2</v>
      </c>
      <c r="FB206" s="460">
        <f t="shared" si="579"/>
        <v>12157.265699841186</v>
      </c>
      <c r="FC206" s="173">
        <f t="shared" si="580"/>
        <v>22.800137030483612</v>
      </c>
      <c r="FD206" s="5">
        <f t="shared" si="581"/>
        <v>144</v>
      </c>
      <c r="FE206" s="173">
        <f t="shared" si="582"/>
        <v>0.86330864328776447</v>
      </c>
      <c r="FF206" s="5">
        <f t="shared" si="583"/>
        <v>86.330864328776443</v>
      </c>
      <c r="FI206" s="562">
        <f t="shared" si="584"/>
        <v>-50</v>
      </c>
      <c r="FJ206">
        <f t="shared" si="585"/>
        <v>-50</v>
      </c>
      <c r="FL206">
        <f t="shared" si="586"/>
        <v>0.55232558139534882</v>
      </c>
    </row>
    <row r="207" spans="5:168">
      <c r="E207" s="170">
        <v>97</v>
      </c>
      <c r="F207" s="217">
        <f>IF(PLOT_TYPE=1, E207/100*Iout_max, min_I*EXP(N207*rr/100))</f>
        <v>9.6999999999999993</v>
      </c>
      <c r="G207" s="217"/>
      <c r="H207" s="217">
        <f>F207*Vout</f>
        <v>145.5</v>
      </c>
      <c r="I207" s="541">
        <f t="shared" si="496"/>
        <v>18.120244697640107</v>
      </c>
      <c r="J207" s="172">
        <f t="shared" si="497"/>
        <v>15.927853181415937</v>
      </c>
      <c r="K207" s="172">
        <f t="shared" si="498"/>
        <v>34.048097879056044</v>
      </c>
      <c r="L207" s="443"/>
      <c r="M207" s="217">
        <f t="shared" si="499"/>
        <v>0.46778901824712832</v>
      </c>
      <c r="N207" s="172">
        <f>M207*I207*(Isw_max+VIN_min/Lmag*ILIM_delay)*0.5*Efficiency</f>
        <v>212.11260266026073</v>
      </c>
      <c r="O207" s="172">
        <f t="shared" si="599"/>
        <v>145.5</v>
      </c>
      <c r="P207" s="217">
        <f>N207/Vout</f>
        <v>14.140840177350716</v>
      </c>
      <c r="Q207" s="217">
        <f t="shared" si="502"/>
        <v>15</v>
      </c>
      <c r="R207" s="217"/>
      <c r="S207" s="172">
        <f t="shared" si="503"/>
        <v>28.829389839218308</v>
      </c>
      <c r="T207" s="536">
        <f>MIN(Vout, S207)</f>
        <v>15</v>
      </c>
      <c r="U207" s="217">
        <f t="shared" si="505"/>
        <v>36.451709312921047</v>
      </c>
      <c r="V207" s="217">
        <f>L*U207/I207*1000000</f>
        <v>24.139878851195654</v>
      </c>
      <c r="W207" s="217">
        <f t="shared" si="507"/>
        <v>27.462615756994769</v>
      </c>
      <c r="X207" s="197">
        <f t="shared" si="508"/>
        <v>70.639432433825363</v>
      </c>
      <c r="Y207" s="443">
        <f t="shared" si="509"/>
        <v>19.304089649804073</v>
      </c>
      <c r="AA207" s="217">
        <f t="shared" si="510"/>
        <v>10</v>
      </c>
      <c r="AB207" s="173">
        <f>L*AA207/J207*1000000</f>
        <v>7.5339720069752909</v>
      </c>
      <c r="AC207" s="173">
        <f>0.5*AB207*AA207*Nps*X207/1000</f>
        <v>2.6609775327253136</v>
      </c>
      <c r="AD207" s="173"/>
      <c r="AE207" s="173">
        <f t="shared" si="513"/>
        <v>7.5339720069752909</v>
      </c>
      <c r="AF207" s="545">
        <f>MAX(12000,F207/(0.5*AE207/1000000*Isw_min*Nps))/1000</f>
        <v>257.50029309955761</v>
      </c>
      <c r="AG207" s="528">
        <f t="shared" si="515"/>
        <v>2.6609775327253136</v>
      </c>
      <c r="AI207" s="173">
        <f t="shared" si="516"/>
        <v>8.5773837686184553</v>
      </c>
      <c r="AJ207" s="173">
        <f>MAX(IF(F207&gt;AC207,U207,AI207),Isw_min)</f>
        <v>36.451709312921047</v>
      </c>
      <c r="AK207" s="173">
        <f>IF(F207&gt;AG207, (AJ207-Isw_min)/1.08*0.8+1.2, AF207*0.2/350+1)</f>
        <v>20.793858750311884</v>
      </c>
      <c r="AM207" s="545">
        <f t="shared" si="519"/>
        <v>9700</v>
      </c>
      <c r="AN207" s="460">
        <f t="shared" si="520"/>
        <v>19.304089649804073</v>
      </c>
      <c r="AP207">
        <f t="shared" si="521"/>
        <v>9700</v>
      </c>
      <c r="AQ207">
        <f t="shared" si="522"/>
        <v>19.304089649804073</v>
      </c>
      <c r="AS207" s="5">
        <f t="shared" si="600"/>
        <v>51.802494608190422</v>
      </c>
      <c r="AT207" s="5">
        <f t="shared" si="523"/>
        <v>24.139878851195654</v>
      </c>
      <c r="AU207" s="5">
        <f t="shared" si="478"/>
        <v>27.662615756994768</v>
      </c>
      <c r="AV207" s="5"/>
      <c r="AW207" s="173">
        <f t="shared" si="479"/>
        <v>0.46599838547889028</v>
      </c>
      <c r="AX207" s="173">
        <f t="shared" si="596"/>
        <v>153.89920372177735</v>
      </c>
      <c r="AY207" s="173">
        <f t="shared" si="597"/>
        <v>9.7326358125770049</v>
      </c>
      <c r="AZ207" s="173">
        <f t="shared" si="601"/>
        <v>15.812695212832377</v>
      </c>
      <c r="BA207" s="460">
        <f t="shared" si="594"/>
        <v>1561.0454990439855</v>
      </c>
      <c r="BB207" s="5">
        <f t="shared" si="595"/>
        <v>76.59389966959543</v>
      </c>
      <c r="BD207" s="173">
        <f t="shared" si="602"/>
        <v>14.366450371804101</v>
      </c>
      <c r="BE207" s="173">
        <f t="shared" si="598"/>
        <v>15.379016255677346</v>
      </c>
      <c r="BG207" s="528">
        <f t="shared" si="480"/>
        <v>4.1278979257102035</v>
      </c>
      <c r="BH207" s="528">
        <f t="shared" si="524"/>
        <v>0.44922234534712585</v>
      </c>
      <c r="BI207" s="528">
        <f t="shared" si="525"/>
        <v>8.7448707029907872E-3</v>
      </c>
      <c r="BJ207" s="528">
        <f t="shared" si="481"/>
        <v>2.237870932567965E-3</v>
      </c>
      <c r="BK207">
        <f t="shared" si="482"/>
        <v>8.1541101139380474E-3</v>
      </c>
      <c r="BL207" s="460">
        <f t="shared" si="588"/>
        <v>16.898980816928834</v>
      </c>
      <c r="BM207" s="528">
        <f t="shared" si="526"/>
        <v>296.3800096752941</v>
      </c>
      <c r="BN207" s="460">
        <f t="shared" si="527"/>
        <v>296380.0096752941</v>
      </c>
      <c r="BO207" s="528">
        <f t="shared" si="483"/>
        <v>6.7899999999999991</v>
      </c>
      <c r="BR207" s="460">
        <f t="shared" si="484"/>
        <v>6789.9999999999991</v>
      </c>
      <c r="BS207" s="528">
        <f t="shared" si="485"/>
        <v>6.1918468885653057</v>
      </c>
      <c r="BT207" s="528">
        <f t="shared" si="486"/>
        <v>7.0954242297716421</v>
      </c>
      <c r="BU207" s="528">
        <f t="shared" si="487"/>
        <v>0.65673182808034936</v>
      </c>
      <c r="BV207" s="528"/>
      <c r="BW207" s="528">
        <f t="shared" si="488"/>
        <v>2.5649867286962894E-2</v>
      </c>
      <c r="BX207" s="460">
        <f t="shared" si="489"/>
        <v>13969.652813704261</v>
      </c>
      <c r="BY207" s="173">
        <f t="shared" si="490"/>
        <v>25.355909936511082</v>
      </c>
      <c r="BZ207" s="5">
        <f t="shared" si="491"/>
        <v>145.5</v>
      </c>
      <c r="CA207" s="173">
        <f t="shared" si="492"/>
        <v>0.85159477394763128</v>
      </c>
      <c r="CB207" s="5">
        <f t="shared" si="493"/>
        <v>85.15947739476313</v>
      </c>
      <c r="CE207" s="562">
        <f t="shared" si="528"/>
        <v>-50</v>
      </c>
      <c r="CF207">
        <f t="shared" si="529"/>
        <v>-50</v>
      </c>
      <c r="CG207" s="173">
        <f t="shared" si="530"/>
        <v>0.55128965827090226</v>
      </c>
      <c r="CI207" s="170">
        <v>97</v>
      </c>
      <c r="CJ207" s="217">
        <f t="shared" si="589"/>
        <v>9.6999999999999993</v>
      </c>
      <c r="CK207" s="217"/>
      <c r="CL207" s="217">
        <f t="shared" si="531"/>
        <v>145.5</v>
      </c>
      <c r="CM207" s="541">
        <f t="shared" si="532"/>
        <v>19</v>
      </c>
      <c r="CN207" s="443">
        <f t="shared" si="533"/>
        <v>15.4</v>
      </c>
      <c r="CO207" s="443">
        <f t="shared" si="534"/>
        <v>34.4</v>
      </c>
      <c r="CP207" s="443"/>
      <c r="CQ207" s="217">
        <f t="shared" si="535"/>
        <v>0.44767441860465118</v>
      </c>
      <c r="CR207" s="172">
        <f t="shared" si="590"/>
        <v>212.84736191860466</v>
      </c>
      <c r="CS207" s="172">
        <f t="shared" si="536"/>
        <v>145.5</v>
      </c>
      <c r="CT207" s="217">
        <f t="shared" si="537"/>
        <v>14.189824127906977</v>
      </c>
      <c r="CU207" s="217">
        <f t="shared" si="538"/>
        <v>15</v>
      </c>
      <c r="CV207" s="217"/>
      <c r="CW207" s="172">
        <f t="shared" si="539"/>
        <v>30.217297858642542</v>
      </c>
      <c r="CX207" s="536">
        <f t="shared" si="540"/>
        <v>15</v>
      </c>
      <c r="CY207" s="217">
        <f t="shared" si="541"/>
        <v>34.211893369788108</v>
      </c>
      <c r="CZ207" s="217">
        <f t="shared" si="542"/>
        <v>21.607511601971439</v>
      </c>
      <c r="DA207" s="217">
        <f t="shared" si="543"/>
        <v>26.6586182102245</v>
      </c>
      <c r="DB207" s="197">
        <f t="shared" si="544"/>
        <v>70.881782945736433</v>
      </c>
      <c r="DC207" s="443">
        <f t="shared" si="545"/>
        <v>20.718462488933987</v>
      </c>
      <c r="DE207" s="217">
        <f t="shared" si="546"/>
        <v>10.000000000000002</v>
      </c>
      <c r="DF207" s="173">
        <f t="shared" si="547"/>
        <v>7.792207792207793</v>
      </c>
      <c r="DG207" s="173">
        <f t="shared" si="548"/>
        <v>2.7616279069767451</v>
      </c>
      <c r="DH207" s="173"/>
      <c r="DI207" s="173">
        <f t="shared" si="549"/>
        <v>7.7922077922077913</v>
      </c>
      <c r="DJ207" s="545">
        <f t="shared" si="550"/>
        <v>248.96666666666667</v>
      </c>
      <c r="DK207" s="528">
        <f t="shared" si="551"/>
        <v>2.7616279069767442</v>
      </c>
      <c r="DM207" s="173">
        <f t="shared" si="552"/>
        <v>8.4340579398847701</v>
      </c>
      <c r="DN207" s="173">
        <f t="shared" si="553"/>
        <v>34.211893369788108</v>
      </c>
      <c r="DO207" s="173">
        <f t="shared" si="554"/>
        <v>19.134735829472671</v>
      </c>
      <c r="DQ207" s="545">
        <f t="shared" si="555"/>
        <v>9700</v>
      </c>
      <c r="DR207" s="460">
        <f t="shared" si="556"/>
        <v>20.718462488933987</v>
      </c>
      <c r="DT207">
        <f t="shared" si="591"/>
        <v>9700</v>
      </c>
      <c r="DU207">
        <f t="shared" si="592"/>
        <v>20.718462488933987</v>
      </c>
      <c r="DW207" s="5">
        <f t="shared" si="557"/>
        <v>48.266129812195942</v>
      </c>
      <c r="DX207" s="5">
        <f t="shared" si="558"/>
        <v>21.607511601971439</v>
      </c>
      <c r="DY207" s="5">
        <f t="shared" si="559"/>
        <v>26.658618210224503</v>
      </c>
      <c r="DZ207" s="5"/>
      <c r="EA207" s="173">
        <f t="shared" si="560"/>
        <v>0.44767441860465113</v>
      </c>
      <c r="EB207" s="173">
        <f t="shared" si="561"/>
        <v>145.50000000000003</v>
      </c>
      <c r="EC207" s="173">
        <f t="shared" si="562"/>
        <v>9.4480519480519494</v>
      </c>
      <c r="ED207" s="173">
        <f t="shared" si="563"/>
        <v>15.4</v>
      </c>
      <c r="EE207" s="460">
        <f t="shared" si="564"/>
        <v>1397.2857502608197</v>
      </c>
      <c r="EF207" s="5">
        <f t="shared" si="565"/>
        <v>70.396169683986656</v>
      </c>
      <c r="EH207" s="173">
        <f t="shared" si="566"/>
        <v>13.215926709187004</v>
      </c>
      <c r="EI207" s="173">
        <f t="shared" si="567"/>
        <v>14.679594585659194</v>
      </c>
      <c r="EK207" s="528">
        <f t="shared" si="568"/>
        <v>3.4932143756520486</v>
      </c>
      <c r="EL207" s="528">
        <f t="shared" si="569"/>
        <v>0.48766666666666664</v>
      </c>
      <c r="EM207" s="528">
        <f t="shared" si="570"/>
        <v>2.5898078111167484E-3</v>
      </c>
      <c r="EN207" s="528">
        <f t="shared" si="571"/>
        <v>2.4517399770904924E-3</v>
      </c>
      <c r="EO207">
        <f t="shared" si="572"/>
        <v>8.5500000000000003E-3</v>
      </c>
      <c r="EP207" s="460">
        <f t="shared" si="573"/>
        <v>11.139807811116748</v>
      </c>
      <c r="EQ207" s="460"/>
      <c r="ER207" s="460">
        <f t="shared" si="593"/>
        <v>3994.4725901069223</v>
      </c>
      <c r="ES207" s="528">
        <f t="shared" si="574"/>
        <v>6.7899999999999991</v>
      </c>
      <c r="EV207" s="460">
        <f t="shared" si="494"/>
        <v>6789.9999999999991</v>
      </c>
      <c r="EW207" s="528">
        <f t="shared" si="575"/>
        <v>5.2398215634780732</v>
      </c>
      <c r="EX207" s="528">
        <f t="shared" si="576"/>
        <v>6.4647149159794415</v>
      </c>
      <c r="EY207" s="528">
        <f t="shared" si="577"/>
        <v>0.66881589702681166</v>
      </c>
      <c r="EZ207" s="528"/>
      <c r="FA207" s="528">
        <f t="shared" si="578"/>
        <v>2.4250000000000004E-2</v>
      </c>
      <c r="FB207" s="460">
        <f t="shared" si="579"/>
        <v>12397.602376484327</v>
      </c>
      <c r="FC207" s="173">
        <f t="shared" si="580"/>
        <v>23.182074966591248</v>
      </c>
      <c r="FD207" s="5">
        <f t="shared" si="581"/>
        <v>145.5</v>
      </c>
      <c r="FE207" s="173">
        <f t="shared" si="582"/>
        <v>0.86256942255907965</v>
      </c>
      <c r="FF207" s="5">
        <f t="shared" si="583"/>
        <v>86.256942255907958</v>
      </c>
      <c r="FI207" s="562">
        <f t="shared" si="584"/>
        <v>-50</v>
      </c>
      <c r="FJ207">
        <f t="shared" si="585"/>
        <v>-50</v>
      </c>
      <c r="FL207">
        <f t="shared" si="586"/>
        <v>0.55232558139534893</v>
      </c>
    </row>
    <row r="208" spans="5:168">
      <c r="E208" s="170">
        <v>98</v>
      </c>
      <c r="F208" s="217">
        <f>IF(PLOT_TYPE=1, E208/100*Iout_max, min_I*EXP(N208*rr/100))</f>
        <v>9.8000000000000007</v>
      </c>
      <c r="G208" s="217"/>
      <c r="H208" s="217">
        <f>F208*Vout</f>
        <v>147</v>
      </c>
      <c r="I208" s="541">
        <f t="shared" si="496"/>
        <v>18.11119209769905</v>
      </c>
      <c r="J208" s="172">
        <f t="shared" si="497"/>
        <v>15.93328474138057</v>
      </c>
      <c r="K208" s="172">
        <f t="shared" si="498"/>
        <v>34.044476839079621</v>
      </c>
      <c r="L208" s="443"/>
      <c r="M208" s="217">
        <f t="shared" si="499"/>
        <v>0.46799832268288405</v>
      </c>
      <c r="N208" s="172">
        <f>M208*I208*(Isw_max+VIN_min/Lmag*ILIM_delay)*0.5*Efficiency</f>
        <v>212.10149326644986</v>
      </c>
      <c r="O208" s="172">
        <f t="shared" si="599"/>
        <v>147</v>
      </c>
      <c r="P208" s="217">
        <f>N208/Vout</f>
        <v>14.140099551096657</v>
      </c>
      <c r="Q208" s="217">
        <f t="shared" si="502"/>
        <v>15</v>
      </c>
      <c r="R208" s="217"/>
      <c r="S208" s="172">
        <f t="shared" si="503"/>
        <v>28.342872844837618</v>
      </c>
      <c r="T208" s="536">
        <f>MIN(Vout, S208)</f>
        <v>15</v>
      </c>
      <c r="U208" s="217">
        <f t="shared" si="505"/>
        <v>36.841989105829114</v>
      </c>
      <c r="V208" s="217">
        <f>L*U208/I208*1000000</f>
        <v>24.410533933109615</v>
      </c>
      <c r="W208" s="217">
        <f t="shared" si="507"/>
        <v>27.747189386614984</v>
      </c>
      <c r="X208" s="197">
        <f t="shared" si="508"/>
        <v>70.635730934782771</v>
      </c>
      <c r="Y208" s="443">
        <f t="shared" si="509"/>
        <v>19.099378975924118</v>
      </c>
      <c r="AA208" s="217">
        <f t="shared" si="510"/>
        <v>10</v>
      </c>
      <c r="AB208" s="173">
        <f>L*AA208/J208*1000000</f>
        <v>7.5314037216912482</v>
      </c>
      <c r="AC208" s="173">
        <f>0.5*AB208*AA208*Nps*X208/1000</f>
        <v>2.6599310342330229</v>
      </c>
      <c r="AD208" s="173"/>
      <c r="AE208" s="173">
        <f t="shared" si="513"/>
        <v>7.5314037216912482</v>
      </c>
      <c r="AF208" s="545">
        <f>MAX(12000,F208/(0.5*AE208/1000000*Isw_min*Nps))/1000</f>
        <v>260.24365077588266</v>
      </c>
      <c r="AG208" s="528">
        <f t="shared" si="515"/>
        <v>2.6599310342330229</v>
      </c>
      <c r="AI208" s="173">
        <f t="shared" si="516"/>
        <v>8.6229536003105878</v>
      </c>
      <c r="AJ208" s="173">
        <f>MAX(IF(F208&gt;AC208,U208,AI208),Isw_min)</f>
        <v>36.841989105829114</v>
      </c>
      <c r="AK208" s="173">
        <f>IF(F208&gt;AG208, (AJ208-Isw_min)/1.08*0.8+1.2, AF208*0.2/350+1)</f>
        <v>21.08295489320675</v>
      </c>
      <c r="AM208" s="545">
        <f t="shared" si="519"/>
        <v>9800</v>
      </c>
      <c r="AN208" s="460">
        <f t="shared" si="520"/>
        <v>19.099378975924118</v>
      </c>
      <c r="AP208">
        <f t="shared" si="521"/>
        <v>9800</v>
      </c>
      <c r="AQ208">
        <f t="shared" si="522"/>
        <v>19.099378975924118</v>
      </c>
      <c r="AS208" s="5">
        <f t="shared" si="600"/>
        <v>52.357723319724606</v>
      </c>
      <c r="AT208" s="5">
        <f t="shared" si="523"/>
        <v>24.410533933109615</v>
      </c>
      <c r="AU208" s="5">
        <f t="shared" si="478"/>
        <v>27.947189386614991</v>
      </c>
      <c r="AV208" s="5"/>
      <c r="AW208" s="173">
        <f t="shared" si="479"/>
        <v>0.46622603859311601</v>
      </c>
      <c r="AX208" s="173">
        <f t="shared" si="596"/>
        <v>155.54520806629725</v>
      </c>
      <c r="AY208" s="173">
        <f t="shared" si="597"/>
        <v>9.8326472355638348</v>
      </c>
      <c r="AZ208" s="173">
        <f t="shared" si="601"/>
        <v>15.819260504302816</v>
      </c>
      <c r="BA208" s="460">
        <f t="shared" si="594"/>
        <v>1594.8215502964952</v>
      </c>
      <c r="BB208" s="5">
        <f t="shared" si="595"/>
        <v>78.218671935219191</v>
      </c>
      <c r="BD208" s="173">
        <f t="shared" si="602"/>
        <v>14.523814886888639</v>
      </c>
      <c r="BE208" s="173">
        <f t="shared" si="598"/>
        <v>15.540362122209453</v>
      </c>
      <c r="BG208" s="528">
        <f t="shared" si="480"/>
        <v>4.2188239773721605</v>
      </c>
      <c r="BH208" s="528">
        <f t="shared" si="524"/>
        <v>0.44916949399702011</v>
      </c>
      <c r="BI208" s="528">
        <f t="shared" si="525"/>
        <v>8.6478130394929062E-3</v>
      </c>
      <c r="BJ208" s="528">
        <f t="shared" si="481"/>
        <v>2.213668451870961E-3</v>
      </c>
      <c r="BK208">
        <f t="shared" si="482"/>
        <v>8.1500364439645728E-3</v>
      </c>
      <c r="BL208" s="460">
        <f t="shared" si="588"/>
        <v>16.79784948345748</v>
      </c>
      <c r="BM208" s="528">
        <f t="shared" si="526"/>
        <v>-2428.0470623717665</v>
      </c>
      <c r="BN208" s="460">
        <f t="shared" si="527"/>
        <v>-2428047.0623717667</v>
      </c>
      <c r="BO208" s="528">
        <f t="shared" si="483"/>
        <v>6.86</v>
      </c>
      <c r="BR208" s="460">
        <f t="shared" si="484"/>
        <v>6860</v>
      </c>
      <c r="BS208" s="528">
        <f t="shared" si="485"/>
        <v>6.3282359660582408</v>
      </c>
      <c r="BT208" s="528">
        <f t="shared" si="486"/>
        <v>7.2450856466820683</v>
      </c>
      <c r="BU208" s="528">
        <f t="shared" si="487"/>
        <v>0.65671327353751585</v>
      </c>
      <c r="BV208" s="528"/>
      <c r="BW208" s="528">
        <f t="shared" si="488"/>
        <v>2.5924201344382874E-2</v>
      </c>
      <c r="BX208" s="460">
        <f t="shared" si="489"/>
        <v>14255.959087622206</v>
      </c>
      <c r="BY208" s="173">
        <f t="shared" si="490"/>
        <v>25.802964076926717</v>
      </c>
      <c r="BZ208" s="5">
        <f t="shared" si="491"/>
        <v>147</v>
      </c>
      <c r="CA208" s="173">
        <f t="shared" si="492"/>
        <v>0.85067985254327005</v>
      </c>
      <c r="CB208" s="5">
        <f t="shared" si="493"/>
        <v>85.067985254326999</v>
      </c>
      <c r="CE208" s="562">
        <f t="shared" si="528"/>
        <v>-50</v>
      </c>
      <c r="CF208">
        <f t="shared" si="529"/>
        <v>-50</v>
      </c>
      <c r="CG208" s="173">
        <f t="shared" si="530"/>
        <v>0.55130022891502906</v>
      </c>
      <c r="CI208" s="170">
        <v>98</v>
      </c>
      <c r="CJ208" s="217">
        <f t="shared" si="589"/>
        <v>9.8000000000000007</v>
      </c>
      <c r="CK208" s="217"/>
      <c r="CL208" s="217">
        <f t="shared" si="531"/>
        <v>147</v>
      </c>
      <c r="CM208" s="541">
        <f t="shared" si="532"/>
        <v>19</v>
      </c>
      <c r="CN208" s="443">
        <f t="shared" si="533"/>
        <v>15.4</v>
      </c>
      <c r="CO208" s="443">
        <f t="shared" si="534"/>
        <v>34.4</v>
      </c>
      <c r="CP208" s="443"/>
      <c r="CQ208" s="217">
        <f t="shared" si="535"/>
        <v>0.44767441860465118</v>
      </c>
      <c r="CR208" s="172">
        <f t="shared" si="590"/>
        <v>212.84736191860466</v>
      </c>
      <c r="CS208" s="172">
        <f t="shared" si="536"/>
        <v>147</v>
      </c>
      <c r="CT208" s="217">
        <f t="shared" si="537"/>
        <v>14.189824127906977</v>
      </c>
      <c r="CU208" s="217">
        <f t="shared" si="538"/>
        <v>15</v>
      </c>
      <c r="CV208" s="217"/>
      <c r="CW208" s="172">
        <f t="shared" si="539"/>
        <v>29.721697572031374</v>
      </c>
      <c r="CX208" s="536">
        <f t="shared" si="540"/>
        <v>15</v>
      </c>
      <c r="CY208" s="217">
        <f t="shared" si="541"/>
        <v>34.564593301435401</v>
      </c>
      <c r="CZ208" s="217">
        <f t="shared" si="542"/>
        <v>21.830269453538151</v>
      </c>
      <c r="DA208" s="217">
        <f t="shared" si="543"/>
        <v>26.933449325793816</v>
      </c>
      <c r="DB208" s="197">
        <f t="shared" si="544"/>
        <v>70.881782945736433</v>
      </c>
      <c r="DC208" s="443">
        <f t="shared" si="545"/>
        <v>20.507049606393853</v>
      </c>
      <c r="DE208" s="217">
        <f t="shared" si="546"/>
        <v>10.000000000000002</v>
      </c>
      <c r="DF208" s="173">
        <f t="shared" si="547"/>
        <v>7.792207792207793</v>
      </c>
      <c r="DG208" s="173">
        <f t="shared" si="548"/>
        <v>2.7616279069767451</v>
      </c>
      <c r="DH208" s="173"/>
      <c r="DI208" s="173">
        <f t="shared" si="549"/>
        <v>7.7922077922077913</v>
      </c>
      <c r="DJ208" s="545">
        <f t="shared" si="550"/>
        <v>251.53333333333336</v>
      </c>
      <c r="DK208" s="528">
        <f t="shared" si="551"/>
        <v>2.7616279069767442</v>
      </c>
      <c r="DM208" s="173">
        <f t="shared" si="552"/>
        <v>8.477420991472977</v>
      </c>
      <c r="DN208" s="173">
        <f t="shared" si="553"/>
        <v>34.564593301435401</v>
      </c>
      <c r="DO208" s="173">
        <f t="shared" si="554"/>
        <v>19.395995038100295</v>
      </c>
      <c r="DQ208" s="545">
        <f t="shared" si="555"/>
        <v>9800</v>
      </c>
      <c r="DR208" s="460">
        <f t="shared" si="556"/>
        <v>20.507049606393853</v>
      </c>
      <c r="DT208">
        <f t="shared" si="591"/>
        <v>9800</v>
      </c>
      <c r="DU208">
        <f t="shared" si="592"/>
        <v>20.507049606393853</v>
      </c>
      <c r="DW208" s="5">
        <f t="shared" si="557"/>
        <v>48.76371877933196</v>
      </c>
      <c r="DX208" s="5">
        <f t="shared" si="558"/>
        <v>21.830269453538151</v>
      </c>
      <c r="DY208" s="5">
        <f t="shared" si="559"/>
        <v>26.933449325793809</v>
      </c>
      <c r="DZ208" s="5"/>
      <c r="EA208" s="173">
        <f t="shared" si="560"/>
        <v>0.44767441860465129</v>
      </c>
      <c r="EB208" s="173">
        <f t="shared" si="561"/>
        <v>147.00000000000003</v>
      </c>
      <c r="EC208" s="173">
        <f t="shared" si="562"/>
        <v>9.5454545454545414</v>
      </c>
      <c r="ED208" s="173">
        <f t="shared" si="563"/>
        <v>15.400000000000009</v>
      </c>
      <c r="EE208" s="460">
        <f t="shared" si="564"/>
        <v>1426.2442709644927</v>
      </c>
      <c r="EF208" s="5">
        <f t="shared" si="565"/>
        <v>71.855118890956248</v>
      </c>
      <c r="EH208" s="173">
        <f t="shared" si="566"/>
        <v>13.352173376292026</v>
      </c>
      <c r="EI208" s="173">
        <f t="shared" si="567"/>
        <v>14.83093061231547</v>
      </c>
      <c r="EK208" s="528">
        <f t="shared" si="568"/>
        <v>3.5656106774112319</v>
      </c>
      <c r="EL208" s="528">
        <f t="shared" si="569"/>
        <v>0.48766666666666675</v>
      </c>
      <c r="EM208" s="528">
        <f t="shared" si="570"/>
        <v>2.5633812007992314E-3</v>
      </c>
      <c r="EN208" s="528">
        <f t="shared" si="571"/>
        <v>2.4267222222222229E-3</v>
      </c>
      <c r="EO208">
        <f t="shared" si="572"/>
        <v>8.5500000000000003E-3</v>
      </c>
      <c r="EP208" s="460">
        <f t="shared" si="573"/>
        <v>11.113381200799232</v>
      </c>
      <c r="EQ208" s="460"/>
      <c r="ER208" s="460">
        <f t="shared" si="593"/>
        <v>4066.81744750092</v>
      </c>
      <c r="ES208" s="528">
        <f t="shared" si="574"/>
        <v>6.86</v>
      </c>
      <c r="EV208" s="460">
        <f t="shared" si="494"/>
        <v>6860</v>
      </c>
      <c r="EW208" s="528">
        <f t="shared" si="575"/>
        <v>5.3484160161168477</v>
      </c>
      <c r="EX208" s="528">
        <f t="shared" si="576"/>
        <v>6.5986950848194832</v>
      </c>
      <c r="EY208" s="528">
        <f t="shared" si="577"/>
        <v>0.66881589702681221</v>
      </c>
      <c r="EZ208" s="528"/>
      <c r="FA208" s="528">
        <f t="shared" si="578"/>
        <v>2.4500000000000001E-2</v>
      </c>
      <c r="FB208" s="460">
        <f t="shared" si="579"/>
        <v>12640.426997963143</v>
      </c>
      <c r="FC208" s="173">
        <f t="shared" si="580"/>
        <v>23.567244445464059</v>
      </c>
      <c r="FD208" s="5">
        <f t="shared" si="581"/>
        <v>147</v>
      </c>
      <c r="FE208" s="173">
        <f t="shared" si="582"/>
        <v>0.8618301859651647</v>
      </c>
      <c r="FF208" s="5">
        <f t="shared" si="583"/>
        <v>86.183018596516476</v>
      </c>
      <c r="FI208" s="562">
        <f t="shared" si="584"/>
        <v>-50</v>
      </c>
      <c r="FJ208">
        <f t="shared" si="585"/>
        <v>-50</v>
      </c>
      <c r="FL208">
        <f t="shared" si="586"/>
        <v>0.55232558139534871</v>
      </c>
    </row>
    <row r="209" spans="5:168">
      <c r="E209" s="170">
        <v>99</v>
      </c>
      <c r="F209" s="217">
        <f>IF(PLOT_TYPE=1, E209/100*Iout_max, min_I*EXP(N209*rr/100))</f>
        <v>9.9</v>
      </c>
      <c r="G209" s="217"/>
      <c r="H209" s="217">
        <f>F209*Vout</f>
        <v>148.5</v>
      </c>
      <c r="I209" s="541">
        <f t="shared" si="496"/>
        <v>18.102139497117669</v>
      </c>
      <c r="J209" s="172">
        <f t="shared" si="497"/>
        <v>15.938716301729398</v>
      </c>
      <c r="K209" s="172">
        <f t="shared" si="498"/>
        <v>34.040855798847069</v>
      </c>
      <c r="L209" s="443"/>
      <c r="M209" s="217">
        <f t="shared" si="499"/>
        <v>0.46820767165733801</v>
      </c>
      <c r="N209" s="172">
        <f>M209*I209*(Isw_max+VIN_min/Lmag*ILIM_delay)*0.5*Efficiency</f>
        <v>212.09030921296159</v>
      </c>
      <c r="O209" s="172">
        <f t="shared" si="599"/>
        <v>148.5</v>
      </c>
      <c r="P209" s="217">
        <f>N209/Vout</f>
        <v>14.139353947530772</v>
      </c>
      <c r="Q209" s="217">
        <f t="shared" si="502"/>
        <v>15</v>
      </c>
      <c r="R209" s="217"/>
      <c r="S209" s="172">
        <f t="shared" si="503"/>
        <v>27.866497861605737</v>
      </c>
      <c r="T209" s="536">
        <f>MIN(Vout, S209)</f>
        <v>15</v>
      </c>
      <c r="U209" s="217">
        <f t="shared" si="505"/>
        <v>37.232579232022715</v>
      </c>
      <c r="V209" s="217">
        <f>L*U209/I209*1000000</f>
        <v>24.681665438243545</v>
      </c>
      <c r="W209" s="217">
        <f t="shared" si="507"/>
        <v>28.031802707712064</v>
      </c>
      <c r="X209" s="197">
        <f t="shared" si="508"/>
        <v>70.63200457410872</v>
      </c>
      <c r="Y209" s="443">
        <f t="shared" si="509"/>
        <v>18.89878012232381</v>
      </c>
      <c r="AA209" s="217">
        <f t="shared" si="510"/>
        <v>10</v>
      </c>
      <c r="AB209" s="173">
        <f>L*AA209/J209*1000000</f>
        <v>7.528837186654715</v>
      </c>
      <c r="AC209" s="173">
        <f>0.5*AB209*AA209*Nps*X209/1000</f>
        <v>2.6588843130275781</v>
      </c>
      <c r="AD209" s="173"/>
      <c r="AE209" s="173">
        <f t="shared" si="513"/>
        <v>7.528837186654715</v>
      </c>
      <c r="AF209" s="545">
        <f>MAX(12000,F209/(0.5*AE209/1000000*Isw_min*Nps))/1000</f>
        <v>262.98881897853505</v>
      </c>
      <c r="AG209" s="528">
        <f t="shared" si="515"/>
        <v>2.6588843130275781</v>
      </c>
      <c r="AI209" s="173">
        <f t="shared" si="516"/>
        <v>8.6683137094417475</v>
      </c>
      <c r="AJ209" s="173">
        <f>MAX(IF(F209&gt;AC209,U209,AI209),Isw_min)</f>
        <v>37.232579232022715</v>
      </c>
      <c r="AK209" s="173">
        <f>IF(F209&gt;AG209, (AJ209-Isw_min)/1.08*0.8+1.2, AF209*0.2/350+1)</f>
        <v>21.372280912609419</v>
      </c>
      <c r="AM209" s="545">
        <f t="shared" si="519"/>
        <v>9900</v>
      </c>
      <c r="AN209" s="460">
        <f t="shared" si="520"/>
        <v>18.89878012232381</v>
      </c>
      <c r="AP209">
        <f t="shared" si="521"/>
        <v>9900</v>
      </c>
      <c r="AQ209">
        <f t="shared" si="522"/>
        <v>18.89878012232381</v>
      </c>
      <c r="AS209" s="5">
        <f t="shared" si="600"/>
        <v>52.913468145955605</v>
      </c>
      <c r="AT209" s="5">
        <f t="shared" si="523"/>
        <v>24.681665438243545</v>
      </c>
      <c r="AU209" s="5">
        <f t="shared" si="478"/>
        <v>28.23180270771206</v>
      </c>
      <c r="AV209" s="5"/>
      <c r="AW209" s="173">
        <f t="shared" si="479"/>
        <v>0.46645336817012373</v>
      </c>
      <c r="AX209" s="173">
        <f t="shared" si="596"/>
        <v>157.19229959884686</v>
      </c>
      <c r="AY209" s="173">
        <f t="shared" si="597"/>
        <v>9.9326586217923598</v>
      </c>
      <c r="AZ209" s="173">
        <f t="shared" si="601"/>
        <v>15.825803099078152</v>
      </c>
      <c r="BA209" s="460">
        <f t="shared" si="594"/>
        <v>1628.9899189240739</v>
      </c>
      <c r="BB209" s="5">
        <f t="shared" si="595"/>
        <v>79.861444054868983</v>
      </c>
      <c r="BD209" s="173">
        <f t="shared" si="602"/>
        <v>14.681370939933981</v>
      </c>
      <c r="BE209" s="173">
        <f t="shared" si="598"/>
        <v>15.70177270502745</v>
      </c>
      <c r="BG209" s="528">
        <f t="shared" si="480"/>
        <v>4.3108530535187599</v>
      </c>
      <c r="BH209" s="528">
        <f t="shared" si="524"/>
        <v>0.44911611296687476</v>
      </c>
      <c r="BI209" s="528">
        <f t="shared" si="525"/>
        <v>8.5527088524915019E-3</v>
      </c>
      <c r="BJ209" s="528">
        <f t="shared" si="481"/>
        <v>2.1899525850801187E-3</v>
      </c>
      <c r="BK209">
        <f t="shared" si="482"/>
        <v>8.1459627737029503E-3</v>
      </c>
      <c r="BL209" s="460">
        <f t="shared" si="588"/>
        <v>16.698671626194454</v>
      </c>
      <c r="BM209" s="528">
        <f t="shared" si="526"/>
        <v>-244.28732709355458</v>
      </c>
      <c r="BN209" s="460">
        <f t="shared" si="527"/>
        <v>-244287.32709355457</v>
      </c>
      <c r="BO209" s="528">
        <f t="shared" si="483"/>
        <v>6.93</v>
      </c>
      <c r="BR209" s="460">
        <f t="shared" si="484"/>
        <v>6930</v>
      </c>
      <c r="BS209" s="528">
        <f t="shared" si="485"/>
        <v>6.4662795802781385</v>
      </c>
      <c r="BT209" s="528">
        <f t="shared" si="486"/>
        <v>7.3963699824103504</v>
      </c>
      <c r="BU209" s="528">
        <f t="shared" si="487"/>
        <v>0.65669277914131186</v>
      </c>
      <c r="BV209" s="528"/>
      <c r="BW209" s="528">
        <f t="shared" si="488"/>
        <v>2.6198716599807811E-2</v>
      </c>
      <c r="BX209" s="460">
        <f t="shared" si="489"/>
        <v>14545.541058429608</v>
      </c>
      <c r="BY209" s="173">
        <f t="shared" si="490"/>
        <v>26.25439884912652</v>
      </c>
      <c r="BZ209" s="5">
        <f t="shared" si="491"/>
        <v>148.5</v>
      </c>
      <c r="CA209" s="173">
        <f t="shared" si="492"/>
        <v>0.84976401726062911</v>
      </c>
      <c r="CB209" s="5">
        <f t="shared" si="493"/>
        <v>84.976401726062917</v>
      </c>
      <c r="CE209" s="562">
        <f t="shared" si="528"/>
        <v>-50</v>
      </c>
      <c r="CF209">
        <f t="shared" si="529"/>
        <v>-50</v>
      </c>
      <c r="CG209" s="173">
        <f t="shared" si="530"/>
        <v>0.55131058601078997</v>
      </c>
      <c r="CI209" s="170">
        <v>99</v>
      </c>
      <c r="CJ209" s="217">
        <f t="shared" si="589"/>
        <v>9.9</v>
      </c>
      <c r="CK209" s="217"/>
      <c r="CL209" s="217">
        <f t="shared" si="531"/>
        <v>148.5</v>
      </c>
      <c r="CM209" s="541">
        <f t="shared" si="532"/>
        <v>19</v>
      </c>
      <c r="CN209" s="443">
        <f t="shared" si="533"/>
        <v>15.4</v>
      </c>
      <c r="CO209" s="443">
        <f t="shared" si="534"/>
        <v>34.4</v>
      </c>
      <c r="CP209" s="443"/>
      <c r="CQ209" s="217">
        <f t="shared" si="535"/>
        <v>0.44767441860465118</v>
      </c>
      <c r="CR209" s="172">
        <f t="shared" si="590"/>
        <v>212.84736191860466</v>
      </c>
      <c r="CS209" s="172">
        <f t="shared" si="536"/>
        <v>148.5</v>
      </c>
      <c r="CT209" s="217">
        <f t="shared" si="537"/>
        <v>14.189824127906977</v>
      </c>
      <c r="CU209" s="217">
        <f t="shared" si="538"/>
        <v>15</v>
      </c>
      <c r="CV209" s="217"/>
      <c r="CW209" s="172">
        <f t="shared" si="539"/>
        <v>29.236240760828601</v>
      </c>
      <c r="CX209" s="536">
        <f t="shared" si="540"/>
        <v>15</v>
      </c>
      <c r="CY209" s="217">
        <f t="shared" si="541"/>
        <v>34.917293233082702</v>
      </c>
      <c r="CZ209" s="217">
        <f t="shared" si="542"/>
        <v>22.053027305104866</v>
      </c>
      <c r="DA209" s="217">
        <f t="shared" si="543"/>
        <v>27.208280441363147</v>
      </c>
      <c r="DB209" s="197">
        <f t="shared" si="544"/>
        <v>70.881782945736433</v>
      </c>
      <c r="DC209" s="443">
        <f t="shared" si="545"/>
        <v>20.299907691177751</v>
      </c>
      <c r="DE209" s="217">
        <f t="shared" si="546"/>
        <v>10.000000000000002</v>
      </c>
      <c r="DF209" s="173">
        <f t="shared" si="547"/>
        <v>7.792207792207793</v>
      </c>
      <c r="DG209" s="173">
        <f t="shared" si="548"/>
        <v>2.7616279069767451</v>
      </c>
      <c r="DH209" s="173"/>
      <c r="DI209" s="173">
        <f t="shared" si="549"/>
        <v>7.7922077922077913</v>
      </c>
      <c r="DJ209" s="545">
        <f t="shared" si="550"/>
        <v>254.10000000000002</v>
      </c>
      <c r="DK209" s="528">
        <f t="shared" si="551"/>
        <v>2.7616279069767442</v>
      </c>
      <c r="DM209" s="173">
        <f t="shared" si="552"/>
        <v>8.5205633616563183</v>
      </c>
      <c r="DN209" s="173">
        <f t="shared" si="553"/>
        <v>34.917293233082702</v>
      </c>
      <c r="DO209" s="173">
        <f t="shared" si="554"/>
        <v>19.657254246727927</v>
      </c>
      <c r="DQ209" s="545">
        <f t="shared" si="555"/>
        <v>9900</v>
      </c>
      <c r="DR209" s="460">
        <f t="shared" si="556"/>
        <v>20.299907691177751</v>
      </c>
      <c r="DT209">
        <f t="shared" si="591"/>
        <v>9900</v>
      </c>
      <c r="DU209">
        <f t="shared" si="592"/>
        <v>20.299907691177751</v>
      </c>
      <c r="DW209" s="5">
        <f t="shared" si="557"/>
        <v>49.261307746468013</v>
      </c>
      <c r="DX209" s="5">
        <f t="shared" si="558"/>
        <v>22.053027305104866</v>
      </c>
      <c r="DY209" s="5">
        <f t="shared" si="559"/>
        <v>27.208280441363147</v>
      </c>
      <c r="DZ209" s="5"/>
      <c r="EA209" s="173">
        <f t="shared" si="560"/>
        <v>0.44767441860465118</v>
      </c>
      <c r="EB209" s="173">
        <f t="shared" si="561"/>
        <v>148.5</v>
      </c>
      <c r="EC209" s="173">
        <f t="shared" si="562"/>
        <v>9.6428571428571406</v>
      </c>
      <c r="ED209" s="173">
        <f t="shared" si="563"/>
        <v>15.400000000000004</v>
      </c>
      <c r="EE209" s="460">
        <f t="shared" si="564"/>
        <v>1455.4998021369213</v>
      </c>
      <c r="EF209" s="5">
        <f t="shared" si="565"/>
        <v>73.329031679535873</v>
      </c>
      <c r="EH209" s="173">
        <f t="shared" si="566"/>
        <v>13.488420043397044</v>
      </c>
      <c r="EI209" s="173">
        <f t="shared" si="567"/>
        <v>14.982266638971753</v>
      </c>
      <c r="EK209" s="528">
        <f t="shared" si="568"/>
        <v>3.638749505342302</v>
      </c>
      <c r="EL209" s="528">
        <f t="shared" si="569"/>
        <v>0.48766666666666664</v>
      </c>
      <c r="EM209" s="528">
        <f t="shared" si="570"/>
        <v>2.5374884613972187E-3</v>
      </c>
      <c r="EN209" s="528">
        <f t="shared" si="571"/>
        <v>2.4022098765432102E-3</v>
      </c>
      <c r="EO209">
        <f t="shared" si="572"/>
        <v>8.5500000000000003E-3</v>
      </c>
      <c r="EP209" s="460">
        <f t="shared" si="573"/>
        <v>11.087488461397218</v>
      </c>
      <c r="EQ209" s="460"/>
      <c r="ER209" s="460">
        <f t="shared" si="593"/>
        <v>4139.9058703469082</v>
      </c>
      <c r="ES209" s="528">
        <f t="shared" si="574"/>
        <v>6.93</v>
      </c>
      <c r="EV209" s="460">
        <f t="shared" si="494"/>
        <v>6930</v>
      </c>
      <c r="EW209" s="528">
        <f t="shared" si="575"/>
        <v>5.458124258013453</v>
      </c>
      <c r="EX209" s="528">
        <f t="shared" si="576"/>
        <v>6.7340494092373779</v>
      </c>
      <c r="EY209" s="528">
        <f t="shared" si="577"/>
        <v>0.66881589702681288</v>
      </c>
      <c r="EZ209" s="528"/>
      <c r="FA209" s="528">
        <f t="shared" si="578"/>
        <v>2.4750000000000001E-2</v>
      </c>
      <c r="FB209" s="460">
        <f t="shared" si="579"/>
        <v>12885.739564277643</v>
      </c>
      <c r="FC209" s="173">
        <f t="shared" si="580"/>
        <v>23.955645434624554</v>
      </c>
      <c r="FD209" s="5">
        <f t="shared" si="581"/>
        <v>148.5</v>
      </c>
      <c r="FE209" s="173">
        <f t="shared" si="582"/>
        <v>0.86109097574479931</v>
      </c>
      <c r="FF209" s="5">
        <f t="shared" si="583"/>
        <v>86.109097574479932</v>
      </c>
      <c r="FI209" s="562">
        <f t="shared" si="584"/>
        <v>-50</v>
      </c>
      <c r="FJ209">
        <f t="shared" si="585"/>
        <v>-50</v>
      </c>
      <c r="FL209">
        <f t="shared" si="586"/>
        <v>0.55232558139534882</v>
      </c>
    </row>
    <row r="210" spans="5:168">
      <c r="E210" s="170">
        <v>100</v>
      </c>
      <c r="F210" s="217">
        <f>IF(PLOT_TYPE=1, E210/100*Iout_max, min_I*EXP(N210*rr/100))</f>
        <v>10</v>
      </c>
      <c r="G210" s="217"/>
      <c r="H210" s="217">
        <f>F210*Vout</f>
        <v>150</v>
      </c>
      <c r="I210" s="541">
        <f t="shared" si="496"/>
        <v>18.093086895915206</v>
      </c>
      <c r="J210" s="172">
        <f t="shared" si="497"/>
        <v>15.944147862450876</v>
      </c>
      <c r="K210" s="172">
        <f t="shared" si="498"/>
        <v>34.037234758366083</v>
      </c>
      <c r="L210" s="443"/>
      <c r="M210" s="217">
        <f>(Vout+Vfwd1+F210/FL210*Rdcr_sec)*Nps/((Vout+Vfwd1+F210/FL210*Rdcr_sec)*Nps+I210)</f>
        <v>0.46841706518445247</v>
      </c>
      <c r="N210" s="172">
        <f>M210*I210*(Isw_max+VIN_min/Lmag*ILIM_delay)*0.5*Efficiency</f>
        <v>212.07905047606479</v>
      </c>
      <c r="O210" s="172">
        <f t="shared" si="599"/>
        <v>150</v>
      </c>
      <c r="P210" s="217">
        <f>N210/Vout</f>
        <v>14.138603365070987</v>
      </c>
      <c r="Q210" s="217">
        <f t="shared" si="502"/>
        <v>15</v>
      </c>
      <c r="R210" s="217"/>
      <c r="S210" s="172">
        <f t="shared" si="503"/>
        <v>27.399962877062535</v>
      </c>
      <c r="T210" s="536">
        <f>MIN(Vout, S210)</f>
        <v>15</v>
      </c>
      <c r="U210" s="217">
        <f>MIN(2*(Vout+Vfwd1+F210/FL210*Rdcr_sec)*F210/(I210*M210), Isw_max)</f>
        <v>37.623480157314958</v>
      </c>
      <c r="V210" s="217">
        <f>L*U210/I210*1000000</f>
        <v>24.953274390657377</v>
      </c>
      <c r="W210" s="217">
        <f t="shared" si="507"/>
        <v>28.316456030305492</v>
      </c>
      <c r="X210" s="197">
        <f t="shared" si="508"/>
        <v>70.62825334387135</v>
      </c>
      <c r="Y210" s="443">
        <f>MIN(1/(V210+W210+0.2)*1000, 350)</f>
        <v>18.702170220928377</v>
      </c>
      <c r="AA210" s="217">
        <f t="shared" si="510"/>
        <v>10</v>
      </c>
      <c r="AB210" s="173">
        <f>L*AA210/J210*1000000</f>
        <v>7.5262724000825996</v>
      </c>
      <c r="AC210" s="173">
        <f>0.5*AB210*AA210*Nps*X210/1000</f>
        <v>2.6578373690401027</v>
      </c>
      <c r="AD210" s="173"/>
      <c r="AE210" s="173">
        <f t="shared" si="513"/>
        <v>7.5262724000825996</v>
      </c>
      <c r="AF210" s="545">
        <f>MAX(12000,F210/(0.5*AE210/1000000*Isw_min*Nps))/1000</f>
        <v>265.73579770751462</v>
      </c>
      <c r="AG210" s="528">
        <f t="shared" si="515"/>
        <v>2.6578373690401023</v>
      </c>
      <c r="AI210" s="173">
        <f t="shared" si="516"/>
        <v>8.7134673713005011</v>
      </c>
      <c r="AJ210" s="173">
        <f>MAX(IF(F210&gt;AC210,U210,AI210),Isw_min)</f>
        <v>37.623480157314958</v>
      </c>
      <c r="AK210" s="173">
        <f>IF(F210&gt;AG210, (AJ210-Isw_min)/1.08*0.8+1.2, AF210*0.2/350+1)</f>
        <v>21.661837153566633</v>
      </c>
      <c r="AM210" s="545">
        <f t="shared" si="519"/>
        <v>10000</v>
      </c>
      <c r="AN210" s="460">
        <f t="shared" si="520"/>
        <v>18.702170220928377</v>
      </c>
      <c r="AP210">
        <f t="shared" si="521"/>
        <v>10000</v>
      </c>
      <c r="AQ210">
        <f t="shared" si="522"/>
        <v>18.702170220928377</v>
      </c>
      <c r="AS210" s="5">
        <f t="shared" si="600"/>
        <v>53.469730420962875</v>
      </c>
      <c r="AT210" s="5">
        <f t="shared" si="523"/>
        <v>24.953274390657377</v>
      </c>
      <c r="AU210" s="5">
        <f t="shared" si="478"/>
        <v>28.516456030305498</v>
      </c>
      <c r="AV210" s="5"/>
      <c r="AW210" s="173">
        <f t="shared" si="479"/>
        <v>0.46668038522360705</v>
      </c>
      <c r="AX210" s="173">
        <f t="shared" si="596"/>
        <v>158.84047830466491</v>
      </c>
      <c r="AY210" s="173">
        <f t="shared" si="597"/>
        <v>10.032669972023239</v>
      </c>
      <c r="AZ210" s="173">
        <f t="shared" si="601"/>
        <v>15.83232367331947</v>
      </c>
      <c r="BA210" s="460">
        <f t="shared" si="594"/>
        <v>1663.5516260438253</v>
      </c>
      <c r="BB210" s="5">
        <f t="shared" si="595"/>
        <v>81.522247336843492</v>
      </c>
      <c r="BD210" s="173">
        <f t="shared" si="602"/>
        <v>14.839118795863637</v>
      </c>
      <c r="BE210" s="173">
        <f t="shared" si="598"/>
        <v>15.863248083065164</v>
      </c>
      <c r="BG210" s="528">
        <f t="shared" si="480"/>
        <v>4.4039889327550696</v>
      </c>
      <c r="BH210" s="528">
        <f t="shared" si="524"/>
        <v>0.44906221349182157</v>
      </c>
      <c r="BI210" s="528">
        <f t="shared" si="525"/>
        <v>8.4594997737363706E-3</v>
      </c>
      <c r="BJ210" s="528">
        <f t="shared" si="481"/>
        <v>2.1667087918249904E-3</v>
      </c>
      <c r="BK210">
        <f t="shared" si="482"/>
        <v>8.141889103161843E-3</v>
      </c>
      <c r="BL210" s="460">
        <f t="shared" si="588"/>
        <v>16.601388876898216</v>
      </c>
      <c r="BM210" s="528">
        <f t="shared" si="526"/>
        <v>-130.29931837244015</v>
      </c>
      <c r="BN210" s="460">
        <f t="shared" si="527"/>
        <v>-130299.31837244016</v>
      </c>
      <c r="BO210" s="528">
        <f t="shared" si="483"/>
        <v>7</v>
      </c>
      <c r="BR210" s="460">
        <f t="shared" si="484"/>
        <v>7000</v>
      </c>
      <c r="BS210" s="528">
        <f t="shared" si="485"/>
        <v>6.6059833991326045</v>
      </c>
      <c r="BT210" s="528">
        <f t="shared" si="486"/>
        <v>7.5492791923461171</v>
      </c>
      <c r="BU210" s="528">
        <f t="shared" si="487"/>
        <v>0.6566703854544037</v>
      </c>
      <c r="BV210" s="528"/>
      <c r="BW210" s="528">
        <f t="shared" si="488"/>
        <v>2.6473413050777484E-2</v>
      </c>
      <c r="BX210" s="460">
        <f t="shared" si="489"/>
        <v>14838.406389983902</v>
      </c>
      <c r="BY210" s="173">
        <f t="shared" si="490"/>
        <v>26.710225633899515</v>
      </c>
      <c r="BZ210" s="5">
        <f t="shared" si="491"/>
        <v>150</v>
      </c>
      <c r="CA210" s="173">
        <f t="shared" si="492"/>
        <v>0.84884731181750295</v>
      </c>
      <c r="CB210" s="5">
        <f t="shared" si="493"/>
        <v>84.884731181750297</v>
      </c>
      <c r="CE210" s="562">
        <f t="shared" si="528"/>
        <v>-50</v>
      </c>
      <c r="CF210">
        <f t="shared" si="529"/>
        <v>-50</v>
      </c>
      <c r="CG210" s="173">
        <f t="shared" si="530"/>
        <v>0.55132073596463538</v>
      </c>
      <c r="CI210" s="170">
        <v>100</v>
      </c>
      <c r="CJ210" s="217">
        <f t="shared" si="589"/>
        <v>10</v>
      </c>
      <c r="CK210" s="217"/>
      <c r="CL210" s="217">
        <f t="shared" si="531"/>
        <v>150</v>
      </c>
      <c r="CM210" s="541">
        <f t="shared" si="532"/>
        <v>19</v>
      </c>
      <c r="CN210" s="443">
        <f t="shared" si="533"/>
        <v>15.4</v>
      </c>
      <c r="CO210" s="443">
        <f t="shared" si="534"/>
        <v>34.4</v>
      </c>
      <c r="CP210" s="443"/>
      <c r="CQ210" s="217">
        <f t="shared" si="535"/>
        <v>0.44767441860465118</v>
      </c>
      <c r="CR210" s="172">
        <f t="shared" si="590"/>
        <v>212.84736191860466</v>
      </c>
      <c r="CS210" s="172">
        <f t="shared" si="536"/>
        <v>150</v>
      </c>
      <c r="CT210" s="217">
        <f t="shared" si="537"/>
        <v>14.189824127906977</v>
      </c>
      <c r="CU210" s="217">
        <f t="shared" si="538"/>
        <v>15</v>
      </c>
      <c r="CV210" s="217"/>
      <c r="CW210" s="172">
        <f t="shared" si="539"/>
        <v>28.760625411586012</v>
      </c>
      <c r="CX210" s="536">
        <f t="shared" si="540"/>
        <v>15</v>
      </c>
      <c r="CY210" s="217">
        <f t="shared" si="541"/>
        <v>35.269993164730003</v>
      </c>
      <c r="CZ210" s="217">
        <f t="shared" si="542"/>
        <v>22.275785156671581</v>
      </c>
      <c r="DA210" s="217">
        <f t="shared" si="543"/>
        <v>27.483111556932467</v>
      </c>
      <c r="DB210" s="197">
        <f t="shared" si="544"/>
        <v>70.881782945736433</v>
      </c>
      <c r="DC210" s="443">
        <f t="shared" si="545"/>
        <v>20.096908614265974</v>
      </c>
      <c r="DE210" s="217">
        <f t="shared" si="546"/>
        <v>10.000000000000002</v>
      </c>
      <c r="DF210" s="173">
        <f t="shared" si="547"/>
        <v>7.792207792207793</v>
      </c>
      <c r="DG210" s="173">
        <f t="shared" si="548"/>
        <v>2.7616279069767451</v>
      </c>
      <c r="DH210" s="173"/>
      <c r="DI210" s="173">
        <f t="shared" si="549"/>
        <v>7.7922077922077913</v>
      </c>
      <c r="DJ210" s="545">
        <f t="shared" si="550"/>
        <v>256.66666666666669</v>
      </c>
      <c r="DK210" s="528">
        <f t="shared" si="551"/>
        <v>2.7616279069767442</v>
      </c>
      <c r="DM210" s="173">
        <f t="shared" si="552"/>
        <v>8.5634883857767541</v>
      </c>
      <c r="DN210" s="173">
        <f t="shared" si="553"/>
        <v>35.269993164730003</v>
      </c>
      <c r="DO210" s="173">
        <f t="shared" si="554"/>
        <v>19.918513455355559</v>
      </c>
      <c r="DQ210" s="545">
        <f t="shared" si="555"/>
        <v>10000</v>
      </c>
      <c r="DR210" s="460">
        <f t="shared" si="556"/>
        <v>20.096908614265974</v>
      </c>
      <c r="DT210">
        <f>IF(CL210&gt;CR210, " ",DQ210)</f>
        <v>10000</v>
      </c>
      <c r="DU210">
        <f>IF(CL210&gt;CR210, " ",DR210)</f>
        <v>20.096908614265974</v>
      </c>
      <c r="DW210" s="5">
        <f t="shared" si="557"/>
        <v>49.758896713604045</v>
      </c>
      <c r="DX210" s="5">
        <f t="shared" si="558"/>
        <v>22.275785156671581</v>
      </c>
      <c r="DY210" s="5">
        <f t="shared" si="559"/>
        <v>27.483111556932464</v>
      </c>
      <c r="DZ210" s="5"/>
      <c r="EA210" s="173">
        <f t="shared" si="560"/>
        <v>0.44767441860465124</v>
      </c>
      <c r="EB210" s="173">
        <f t="shared" si="561"/>
        <v>150</v>
      </c>
      <c r="EC210" s="173">
        <f t="shared" si="562"/>
        <v>9.7402597402597362</v>
      </c>
      <c r="ED210" s="173">
        <f t="shared" si="563"/>
        <v>15.400000000000006</v>
      </c>
      <c r="EE210" s="460">
        <f t="shared" si="564"/>
        <v>1485.0523437781055</v>
      </c>
      <c r="EF210" s="5">
        <f t="shared" si="565"/>
        <v>74.817908049725389</v>
      </c>
      <c r="EH210" s="173">
        <f t="shared" si="566"/>
        <v>13.624666710502066</v>
      </c>
      <c r="EI210" s="173">
        <f t="shared" si="567"/>
        <v>15.133602665628031</v>
      </c>
      <c r="EK210" s="528">
        <f t="shared" si="568"/>
        <v>3.7126308594452633</v>
      </c>
      <c r="EL210" s="528">
        <f t="shared" si="569"/>
        <v>0.48766666666666675</v>
      </c>
      <c r="EM210" s="528">
        <f t="shared" si="570"/>
        <v>2.5121135767832464E-3</v>
      </c>
      <c r="EN210" s="528">
        <f t="shared" si="571"/>
        <v>2.3781877777777783E-3</v>
      </c>
      <c r="EO210">
        <f t="shared" si="572"/>
        <v>8.5500000000000003E-3</v>
      </c>
      <c r="EP210" s="460">
        <f t="shared" si="573"/>
        <v>11.062113576783247</v>
      </c>
      <c r="EQ210" s="460"/>
      <c r="ER210" s="460">
        <f t="shared" si="593"/>
        <v>4213.7378274664898</v>
      </c>
      <c r="ES210" s="528">
        <f t="shared" si="574"/>
        <v>7</v>
      </c>
      <c r="EV210" s="460">
        <f t="shared" si="494"/>
        <v>7000</v>
      </c>
      <c r="EW210" s="528">
        <f t="shared" si="575"/>
        <v>5.5689462891678945</v>
      </c>
      <c r="EX210" s="528">
        <f t="shared" si="576"/>
        <v>6.8707778892331151</v>
      </c>
      <c r="EY210" s="528">
        <f t="shared" si="577"/>
        <v>0.66881589702681232</v>
      </c>
      <c r="EZ210" s="528"/>
      <c r="FA210" s="528">
        <f t="shared" si="578"/>
        <v>2.5000000000000001E-2</v>
      </c>
      <c r="FB210" s="460">
        <f t="shared" si="579"/>
        <v>13133.540075427822</v>
      </c>
      <c r="FC210" s="173">
        <f t="shared" si="580"/>
        <v>24.347277902894312</v>
      </c>
      <c r="FD210" s="5">
        <f t="shared" si="581"/>
        <v>150</v>
      </c>
      <c r="FE210" s="173">
        <f t="shared" si="582"/>
        <v>0.86035183229843748</v>
      </c>
      <c r="FF210" s="5">
        <f t="shared" si="583"/>
        <v>86.035183229843753</v>
      </c>
      <c r="FI210" s="562">
        <f t="shared" si="584"/>
        <v>-50</v>
      </c>
      <c r="FJ210">
        <f t="shared" si="585"/>
        <v>-50</v>
      </c>
      <c r="FL210">
        <f t="shared" si="586"/>
        <v>0.55232558139534871</v>
      </c>
    </row>
    <row r="211" spans="5:168" ht="13">
      <c r="E211" s="170"/>
      <c r="F211" s="217"/>
      <c r="G211" s="217"/>
      <c r="H211" s="217"/>
      <c r="I211" s="541"/>
      <c r="J211" s="443"/>
      <c r="K211" s="443"/>
      <c r="L211" s="443"/>
      <c r="M211" s="217"/>
      <c r="N211" s="172"/>
      <c r="O211" s="172"/>
      <c r="P211" s="217"/>
      <c r="Q211" s="217"/>
      <c r="R211" s="217"/>
      <c r="S211" s="172"/>
      <c r="T211" s="536"/>
      <c r="U211" s="217"/>
      <c r="V211" s="217"/>
      <c r="W211" s="217"/>
      <c r="X211" s="197"/>
      <c r="Y211" s="443"/>
      <c r="AA211" s="217"/>
      <c r="AB211" s="173"/>
      <c r="AC211" s="173"/>
      <c r="AD211" s="173"/>
      <c r="AE211" s="173"/>
      <c r="AF211" s="545"/>
      <c r="AG211" s="528"/>
      <c r="AI211" s="173"/>
      <c r="AJ211" s="173"/>
      <c r="AK211" s="173"/>
      <c r="AM211" s="545"/>
      <c r="AN211" s="460"/>
      <c r="AS211" s="5"/>
      <c r="AT211" s="5"/>
      <c r="AU211" s="5"/>
      <c r="AV211" s="5"/>
      <c r="AW211" s="173"/>
      <c r="AX211" s="173"/>
      <c r="BA211" s="460"/>
      <c r="BB211" s="5"/>
      <c r="CE211" s="562"/>
      <c r="CF211" s="530">
        <f>MAX(CF110:CF210)</f>
        <v>-50</v>
      </c>
      <c r="CH211" s="76"/>
      <c r="CI211" s="170"/>
      <c r="CJ211" s="217"/>
      <c r="CK211" s="217"/>
      <c r="CL211" s="217"/>
      <c r="CM211" s="541"/>
      <c r="CN211" s="443"/>
      <c r="CO211" s="443"/>
      <c r="CP211" s="443"/>
      <c r="CQ211" s="217"/>
      <c r="CR211" s="172"/>
      <c r="CS211" s="172"/>
      <c r="CT211" s="217"/>
      <c r="CU211" s="217"/>
      <c r="CV211" s="217"/>
      <c r="CW211" s="172"/>
      <c r="CX211" s="536"/>
      <c r="CY211" s="217"/>
      <c r="CZ211" s="217"/>
      <c r="DA211" s="217"/>
      <c r="DB211" s="197"/>
      <c r="DC211" s="443"/>
      <c r="DE211" s="217"/>
      <c r="DF211" s="173"/>
      <c r="DG211" s="173"/>
      <c r="DH211" s="173"/>
      <c r="DI211" s="173"/>
      <c r="DJ211" s="545"/>
      <c r="DK211" s="528"/>
      <c r="DM211" s="173"/>
      <c r="DN211" s="173"/>
      <c r="DO211" s="173"/>
      <c r="DQ211" s="545"/>
      <c r="DR211" s="460"/>
      <c r="DW211" s="5"/>
      <c r="DX211" s="5"/>
      <c r="DY211" s="5"/>
      <c r="DZ211" s="5"/>
      <c r="EA211" s="173"/>
      <c r="EB211" s="173"/>
      <c r="EE211" s="460"/>
      <c r="EF211" s="5"/>
      <c r="FI211" s="562"/>
    </row>
    <row r="212" spans="5:168">
      <c r="E212" s="170">
        <v>110</v>
      </c>
      <c r="F212" s="217">
        <f>Ioutmax_Vinmin</f>
        <v>14.189823843315455</v>
      </c>
      <c r="G212" s="217"/>
      <c r="H212" s="217">
        <f>F212*Vout</f>
        <v>212.84735764973183</v>
      </c>
      <c r="I212" s="541">
        <f>VIN_min-F212*(Rdcr_pri+RON/1000)/CG212/Nps</f>
        <v>17.713106281184238</v>
      </c>
      <c r="J212" s="172">
        <f>(T212+Vfwd1+F212/CG212*Rdcr_sec)*Nps</f>
        <v>15.15892303363524</v>
      </c>
      <c r="K212" s="172">
        <f>(Vout+Vfwd1+F212/CG212*Rdcr_sec)*Nps++I212</f>
        <v>33.885242512473695</v>
      </c>
      <c r="L212" s="443"/>
      <c r="M212" s="217">
        <f>(Vout+Vfwd1+F212/FL212*Rdcr_sec)*Nps/((Vout+Vfwd1+F212/FL212*Rdcr_sec)*Nps+I212)</f>
        <v>0.47724025821239519</v>
      </c>
      <c r="N212" s="172">
        <f>M212*I212*(Isw_max+VIN_min/Lmag*ILIM_delay)*0.5*Efficiency</f>
        <v>211.53595381051431</v>
      </c>
      <c r="O212" s="172">
        <f>T212*F212</f>
        <v>198.47004085929612</v>
      </c>
      <c r="P212" s="217">
        <f>N212/Vout</f>
        <v>14.102396920700954</v>
      </c>
      <c r="Q212" s="217">
        <f>MIN(Vout,N212/F212)</f>
        <v>14.907581386936295</v>
      </c>
      <c r="R212" s="217"/>
      <c r="S212" s="172">
        <f>(SQRT(Isw_max^2*Nps^2*I212^2+4*Isw_max*F212/Efficiency*(Nps^2*Vfwd1*I212-Nps*I212^2)+4*(F212/Efficiency)^2*Nps^2*Vfwd1^2+8*(F212/Efficiency)^2*Nps*Vfwd1*I212+4*(F212/Efficiency)^2*I212^2)-2*F212/Efficiency*I212-2*F212/Efficiency*Nps*Vfwd1+Isw_max*Nps*I212)/(4*F212/Efficiency*Nps)</f>
        <v>13.986786802345783</v>
      </c>
      <c r="T212" s="536">
        <f>MIN(Vout, S212)</f>
        <v>13.986786802345783</v>
      </c>
      <c r="U212" s="217">
        <f>MIN(2*(Vout+Vfwd1+F212/FL212*Rdcr_sec)*F212/(I212*M212), Isw_max)</f>
        <v>50</v>
      </c>
      <c r="V212" s="217">
        <f>L*U212/I212*1000000</f>
        <v>33.873223051642306</v>
      </c>
      <c r="W212" s="217">
        <f>L*U212/J212*1000000</f>
        <v>39.580648220767102</v>
      </c>
      <c r="X212" s="197">
        <f>IF(1/((350000*L)*(1/I212+1/J212))&gt;Isw_min, 350, 0.001/((Isw_min*L)*(1/I212+1/J212)))</f>
        <v>68.069931691647824</v>
      </c>
      <c r="Y212" s="443">
        <f>MIN(1/(V212+W212+0.2)*1000, 350)</f>
        <v>13.577018868451495</v>
      </c>
      <c r="AA212" s="217">
        <f>1/((X212*1000*L)*(1/I212+1/J212))</f>
        <v>10</v>
      </c>
      <c r="AB212" s="173">
        <f>L*AA212/J212*1000000</f>
        <v>7.9161296441534192</v>
      </c>
      <c r="AC212" s="173">
        <f>0.5*AB212*AA212*Nps*X212/1000</f>
        <v>2.6942520206987584</v>
      </c>
      <c r="AD212" s="173"/>
      <c r="AE212" s="173">
        <f>L*Isw_min/J212*1000000</f>
        <v>7.9161296441534192</v>
      </c>
      <c r="AF212" s="545">
        <f>MAX(12000,F212/(0.5*AE212/1000000*Isw_min*Nps))/1000</f>
        <v>358.50407916943527</v>
      </c>
      <c r="AG212" s="528">
        <f>0.5*AE212/1000000*Isw_min*Nps*X212*1000</f>
        <v>2.6942520206987584</v>
      </c>
      <c r="AI212" s="173">
        <f>SQRT(F212/(0.5*L/J212*Fsw_DCM*Nps))</f>
        <v>10.120757723883766</v>
      </c>
      <c r="AJ212" s="173">
        <f>MAX(IF(F212&gt;AC212,U212,AI212),Isw_min)</f>
        <v>50</v>
      </c>
      <c r="AK212" s="173">
        <f>IF(F212&gt;AG212, (AJ212-Isw_min)/1.08*0.8+1.2, AF212*0.2/350+1)</f>
        <v>30.829629629629633</v>
      </c>
      <c r="AM212" s="545">
        <f>F212*1000</f>
        <v>14189.823843315455</v>
      </c>
      <c r="AN212" s="460">
        <f>IF(F212&gt;AG212, Y212, AF212)</f>
        <v>13.577018868451495</v>
      </c>
      <c r="AP212" t="str">
        <f>IF(H212&gt;N212, "",AM212)</f>
        <v/>
      </c>
      <c r="AQ212" t="str">
        <f>IF(H212&gt;N212, "",AN212)</f>
        <v/>
      </c>
      <c r="AS212" s="5">
        <f>1/AN212*1000</f>
        <v>73.653871272409404</v>
      </c>
      <c r="AT212" s="5">
        <f>L*AJ212/I212*1000000</f>
        <v>33.873223051642306</v>
      </c>
      <c r="AU212" s="5">
        <f>AS212-AT212</f>
        <v>39.780648220767098</v>
      </c>
      <c r="AV212" s="5"/>
      <c r="AW212" s="173">
        <f>AT212/AS212</f>
        <v>0.45989738850741374</v>
      </c>
      <c r="AX212" s="173">
        <f>0.5*L*AJ212^2*AN212*1000</f>
        <v>203.65528302677245</v>
      </c>
      <c r="AY212" s="173">
        <f>AJ212*Nps/2*(1-AW212)</f>
        <v>13.502565287314654</v>
      </c>
      <c r="AZ212" s="173">
        <f>AX212/AY212</f>
        <v>15.082710484510809</v>
      </c>
      <c r="BA212" s="460">
        <f>F212*AT212/Vout_ripple*1000</f>
        <v>3204.3671207209109</v>
      </c>
      <c r="BB212" s="5">
        <f>H212/Efficiency/I212*AU212/Vinripple1</f>
        <v>164.83422568912616</v>
      </c>
      <c r="BD212" s="173">
        <f>AJ212*SQRT(AW212/3)</f>
        <v>19.576716368078127</v>
      </c>
      <c r="BE212" s="173">
        <f>AJ212*Nps*SQRT((1-AW212)/3)</f>
        <v>21.215218819921589</v>
      </c>
      <c r="BG212" s="528">
        <f>Rdson*BD212^2</f>
        <v>7.664956475123561</v>
      </c>
      <c r="BH212" s="528">
        <f>0.5*K212*AJ212*AN212*1000*Tfall</f>
        <v>0.43130679089429075</v>
      </c>
      <c r="BI212" s="528">
        <f>Qg*Vdd*AN212*1000*0+Qg*I212*AN212*1000</f>
        <v>6.0122794549631268E-3</v>
      </c>
      <c r="BJ212" s="528">
        <f>0.5*(Coss+Csw)*K212^2*AN212*1000</f>
        <v>1.5589264220511811E-3</v>
      </c>
      <c r="BK212">
        <f>I212*IQ</f>
        <v>7.9708978265329074E-3</v>
      </c>
      <c r="BL212" s="460">
        <f>(BK212+BI212)*1000</f>
        <v>13.983177281496035</v>
      </c>
      <c r="BM212" s="528">
        <f>(BH212+BI212*0+BJ212+BK212*0+BG212*(1+RdsonTC*(Ta-25)))/(1-BG212*RdsonTC*ThetaJA)</f>
        <v>-12.381196975420906</v>
      </c>
      <c r="BN212" s="460">
        <f>BM212*1000</f>
        <v>-12381.196975420906</v>
      </c>
      <c r="BO212" s="528">
        <f>Vfwd2*F212</f>
        <v>9.9328766903208177</v>
      </c>
      <c r="BR212" s="460">
        <f>SUM(BO212:BQ212)*1000</f>
        <v>9932.8766903208179</v>
      </c>
      <c r="BS212" s="528">
        <f>Rdcr_pri*BD212^2</f>
        <v>11.49743471268534</v>
      </c>
      <c r="BT212" s="528">
        <f>Rdcr_sec*BE212^2</f>
        <v>13.502565287314654</v>
      </c>
      <c r="BU212" s="528">
        <f>AJ212^2.5*AN212^2.5*k_core</f>
        <v>0.6003521483212152</v>
      </c>
      <c r="BV212" s="528"/>
      <c r="BW212" s="528">
        <f>0.5*Lleak*0.000000001*AJ212^2*AN212*1000</f>
        <v>3.394254717112874E-2</v>
      </c>
      <c r="BX212" s="460">
        <f>SUM(BS212:BW212)*1000</f>
        <v>25634.294695492335</v>
      </c>
      <c r="BY212" s="173">
        <f>SUM(BG212:BK212,BO212:BQ212,BS212:BW212)</f>
        <v>43.678976755534556</v>
      </c>
      <c r="BZ212" s="5">
        <f>MIN(H212,O212)</f>
        <v>198.47004085929612</v>
      </c>
      <c r="CA212" s="173">
        <f>BZ212/(BZ212+BY212)</f>
        <v>0.81961943440542206</v>
      </c>
      <c r="CB212" s="5">
        <f>CA212*100</f>
        <v>81.9619434405422</v>
      </c>
      <c r="CE212" s="562">
        <f>IF(ABS(F212-Ioutmax_Vinmin)&lt;Iout/200, AN212, -50)</f>
        <v>13.577018868451495</v>
      </c>
      <c r="CF212">
        <f>IF(ABS(F212-Ioutmax_Vinmin)&lt;Iout/200, N212*CA212, -50)</f>
        <v>173.37897881858524</v>
      </c>
      <c r="CG212" s="173">
        <f>MIN(SQRT(2*DU212*1000*Ls1_*CL212)/CU212,1-EA212-0.00000005*DU212*1000)</f>
        <v>0.55132073596463538</v>
      </c>
      <c r="CI212" s="170">
        <v>100</v>
      </c>
      <c r="CJ212" s="217">
        <f>IF(PLOT_TYPE=1, CI212/100*Iout_max, min_I*EXP(CR212*rr/100))</f>
        <v>10</v>
      </c>
      <c r="CK212" s="217"/>
      <c r="CL212" s="217">
        <f>CJ212*Vout</f>
        <v>150</v>
      </c>
      <c r="CM212" s="541">
        <f t="shared" si="532"/>
        <v>19</v>
      </c>
      <c r="CN212" s="443">
        <f>(CX212+Vfwd1)*Nps</f>
        <v>15.4</v>
      </c>
      <c r="CO212" s="443">
        <f>(Vout+Vfwd1)*Nps+CM212</f>
        <v>34.4</v>
      </c>
      <c r="CP212" s="443"/>
      <c r="CQ212" s="217">
        <f>(Vout+Vfwd1)*Nps/((Vout+Vfwd1)*Nps+CM212)</f>
        <v>0.44767441860465118</v>
      </c>
      <c r="CR212" s="172">
        <f>CQ212*CM212*(Isw_max+VIN_min/Lmag*ILIM_delay)*0.5*Efficiency</f>
        <v>212.84736191860466</v>
      </c>
      <c r="CS212" s="172">
        <f>CX212*CJ212</f>
        <v>150</v>
      </c>
      <c r="CT212" s="217">
        <f>CR212/Vout</f>
        <v>14.189824127906977</v>
      </c>
      <c r="CU212" s="217">
        <f>MIN(Vout,CR212/CJ212)</f>
        <v>15</v>
      </c>
      <c r="CV212" s="217"/>
      <c r="CW212" s="172">
        <f>(SQRT(Isw_max^2*Nps^2*CM212^2+4*Isw_max*CJ212/Efficiency*(Nps^2*Vfwd1*CM212-Nps*CM212^2)+4*(CJ212/Efficiency)^2*Nps^2*Vfwd1^2+8*(CJ212/Efficiency)^2*Nps*Vfwd1*CM212+4*(CJ212/Efficiency)^2*CM212^2)-2*CJ212/Efficiency*CM212-2*CJ212/Efficiency*Nps*Vfwd1+Isw_max*Nps*CM212)/(4*CJ212/Efficiency*Nps)</f>
        <v>28.760625411586012</v>
      </c>
      <c r="CX212" s="536">
        <f>MIN(Vout, CW212)</f>
        <v>15</v>
      </c>
      <c r="CY212" s="217">
        <f>MIN(2*Vout*CJ212/(Efficiency*CM212*CQ212), Isw_max)</f>
        <v>35.269993164730003</v>
      </c>
      <c r="CZ212" s="217">
        <f>L*CY212/CM212*1000000</f>
        <v>22.275785156671581</v>
      </c>
      <c r="DA212" s="217">
        <f>L*CY212/CN212*1000000</f>
        <v>27.483111556932467</v>
      </c>
      <c r="DB212" s="197">
        <f>IF(1/((350000*L)*(1/CM212+1/CN212))&gt;Isw_min, 350, 0.001/((Isw_min*L)*(1/CM212+1/CN212)))</f>
        <v>70.881782945736433</v>
      </c>
      <c r="DC212" s="443">
        <f>MIN(1/(CZ212+DA212)*1000, 350)</f>
        <v>20.096908614265974</v>
      </c>
      <c r="DE212" s="217">
        <f>1/((DB212*1000*L)*(1/CM212+1/CN212))</f>
        <v>10.000000000000002</v>
      </c>
      <c r="DF212" s="173">
        <f>L*DE212/CN212*1000000</f>
        <v>7.792207792207793</v>
      </c>
      <c r="DG212" s="173">
        <f>0.5*DF212*DE212*Nps*DB212/1000</f>
        <v>2.7616279069767451</v>
      </c>
      <c r="DH212" s="173"/>
      <c r="DI212" s="173">
        <f>L*Isw_min/CN212*1000000</f>
        <v>7.7922077922077913</v>
      </c>
      <c r="DJ212" s="545">
        <f>MAX(12000,CJ212/(0.5*DI212/1000000*Isw_min*Nps))/1000</f>
        <v>256.66666666666669</v>
      </c>
      <c r="DK212" s="528">
        <f>0.5*DI212/1000000*Isw_min*Nps*DB212*1000</f>
        <v>2.7616279069767442</v>
      </c>
      <c r="DM212" s="173">
        <f>SQRT(CJ212/(0.5*L/CN212*Fsw_DCM*Nps))</f>
        <v>8.5634883857767541</v>
      </c>
      <c r="DN212" s="173">
        <f>MAX(IF(CJ212&gt;DG212,CY212,DM212),Isw_min)</f>
        <v>35.269993164730003</v>
      </c>
      <c r="DO212" s="173">
        <f>IF(CJ212&gt;DK212, (DN212-Isw_min)/1.08*0.8+1.2, DJ212*0.2/350+1)</f>
        <v>19.918513455355559</v>
      </c>
      <c r="DQ212" s="545">
        <f>CJ212*1000</f>
        <v>10000</v>
      </c>
      <c r="DR212" s="460">
        <f>IF(CJ212&gt;DK212, DC212, DJ212)</f>
        <v>20.096908614265974</v>
      </c>
      <c r="DT212">
        <f>IF(CL212&gt;CR212, " ",DQ212)</f>
        <v>10000</v>
      </c>
      <c r="DU212">
        <f>IF(CL212&gt;CR212, " ",DR212)</f>
        <v>20.096908614265974</v>
      </c>
      <c r="DW212" s="5">
        <f>1/DR212*1000</f>
        <v>49.758896713604045</v>
      </c>
      <c r="DX212" s="5">
        <f>L*DN212/CM212*1000000</f>
        <v>22.275785156671581</v>
      </c>
      <c r="DY212" s="5">
        <f>DW212-DX212</f>
        <v>27.483111556932464</v>
      </c>
      <c r="DZ212" s="5"/>
      <c r="EA212" s="173">
        <f>DX212/DW212</f>
        <v>0.44767441860465124</v>
      </c>
      <c r="EB212" s="173">
        <f>0.5*L*DN212^2*DR212*1000</f>
        <v>150</v>
      </c>
      <c r="EC212" s="173">
        <f>DN212*Nps/2*(1-EA212)</f>
        <v>9.7402597402597362</v>
      </c>
      <c r="ED212" s="173">
        <f>EB212/EC212</f>
        <v>15.400000000000006</v>
      </c>
      <c r="EE212" s="460">
        <f>CJ212*DX212/Vout_ripple*1000</f>
        <v>1485.0523437781055</v>
      </c>
      <c r="EF212" s="5">
        <f>CL212/Efficiency/CM212*DY212/Vinripple1</f>
        <v>74.817908049725389</v>
      </c>
      <c r="EH212" s="173">
        <f>DN212*SQRT(EA212/3)</f>
        <v>13.624666710502066</v>
      </c>
      <c r="EI212" s="173">
        <f>DN212*Nps*SQRT((1-EA212)/3)</f>
        <v>15.133602665628031</v>
      </c>
      <c r="EK212" s="528">
        <f>Rdson*EH212^2</f>
        <v>3.7126308594452633</v>
      </c>
      <c r="EL212" s="528">
        <f>0.5*CO212*DN212*DR212*1000*Trise</f>
        <v>0.48766666666666675</v>
      </c>
      <c r="EM212" s="528">
        <f>Qg*Vdd*DR212*1000</f>
        <v>2.5121135767832464E-3</v>
      </c>
      <c r="EN212" s="528">
        <f>0.5*(Coss+Csw)*CO212^2*DR212*1000</f>
        <v>2.3781877777777783E-3</v>
      </c>
      <c r="EO212">
        <f>CM212*IQ</f>
        <v>8.5500000000000003E-3</v>
      </c>
      <c r="EP212" s="460">
        <f>(EO212+EM212)*1000</f>
        <v>11.062113576783247</v>
      </c>
      <c r="EQ212" s="460"/>
      <c r="ER212" s="460">
        <f>SUM(EK212:EO212)*1000</f>
        <v>4213.7378274664898</v>
      </c>
      <c r="ES212" s="528">
        <f>Vfwd2*CJ212</f>
        <v>7</v>
      </c>
      <c r="EV212" s="460">
        <f>SUM(ES212:EU212)*1000</f>
        <v>7000</v>
      </c>
      <c r="EW212" s="528">
        <f>Rdcr_pri*EH212^2</f>
        <v>5.5689462891678945</v>
      </c>
      <c r="EX212" s="528">
        <f>Rdcr_sec*EI212^2</f>
        <v>6.8707778892331151</v>
      </c>
      <c r="EY212" s="528">
        <f>DN212^2.5*DR212^2.5*k_core</f>
        <v>0.66881589702681232</v>
      </c>
      <c r="EZ212" s="528"/>
      <c r="FA212" s="528">
        <f>0.5*Lleak*0.000000001*DN212^2*DR212*1000</f>
        <v>2.5000000000000001E-2</v>
      </c>
      <c r="FB212" s="460">
        <f>SUM(EW212:FA212)*1000</f>
        <v>13133.540075427822</v>
      </c>
      <c r="FC212" s="173">
        <f>SUM(EK212:EO212,ES212:EU212,EW212:FA212)</f>
        <v>24.347277902894312</v>
      </c>
      <c r="FD212" s="5">
        <f>MIN(CL212,CS212)</f>
        <v>150</v>
      </c>
      <c r="FE212" s="173">
        <f>FD212/(FD212+FC212)</f>
        <v>0.86035183229843748</v>
      </c>
      <c r="FF212" s="5">
        <f>FE212*100</f>
        <v>86.035183229843753</v>
      </c>
      <c r="FI212" s="562">
        <f>IF(ABS(CJ212-Ioutmax_Vinmin)&lt;Iout/200, DR212, -50)</f>
        <v>-50</v>
      </c>
      <c r="FJ212">
        <f>IF(ABS(CJ212-Ioutmax_Vinmin)&lt;Iout/200, CR212*FE212, -50)</f>
        <v>-50</v>
      </c>
      <c r="FL212">
        <f>MIN(SQRT(2*L*DR212*1000*CJ212*(CX212+Vfwd1))/(Nps*(CX212+Vfwd1)), 1-EA212)</f>
        <v>0.55232558139534871</v>
      </c>
    </row>
    <row r="213" spans="5:168">
      <c r="H213" s="217"/>
      <c r="I213" s="541"/>
      <c r="J213" s="443"/>
      <c r="K213" s="443"/>
      <c r="L213" s="443"/>
      <c r="M213" s="217"/>
      <c r="N213" s="172"/>
      <c r="O213" s="172"/>
      <c r="P213" s="217"/>
      <c r="Q213" s="217"/>
      <c r="R213" s="217"/>
      <c r="S213" s="172"/>
      <c r="T213" s="172"/>
      <c r="U213" s="217"/>
      <c r="V213" s="217"/>
      <c r="W213" s="217"/>
      <c r="X213" s="197"/>
      <c r="Y213" s="443"/>
      <c r="AA213" s="217"/>
      <c r="AB213" s="173"/>
      <c r="AC213" s="173"/>
      <c r="AD213" s="173"/>
      <c r="AE213" s="173"/>
      <c r="AF213" s="545"/>
      <c r="AI213" s="173"/>
      <c r="AJ213" s="173"/>
      <c r="AK213" s="173"/>
      <c r="AM213" s="545"/>
      <c r="AN213" s="460"/>
      <c r="AS213" s="5"/>
      <c r="AT213" s="5"/>
      <c r="AU213" s="5"/>
      <c r="AV213" s="5"/>
      <c r="AW213" s="173"/>
      <c r="AX213" s="173"/>
      <c r="BA213" s="460"/>
      <c r="BB213" s="5"/>
      <c r="CE213" s="562"/>
      <c r="CL213" s="217"/>
      <c r="CM213" s="541"/>
      <c r="CN213" s="443"/>
      <c r="CO213" s="443"/>
      <c r="CP213" s="443"/>
      <c r="CQ213" s="217"/>
      <c r="CR213" s="172"/>
      <c r="CS213" s="172"/>
      <c r="CT213" s="217"/>
      <c r="CU213" s="217"/>
      <c r="CV213" s="217"/>
      <c r="CW213" s="172"/>
      <c r="CX213" s="172"/>
      <c r="CY213" s="217"/>
      <c r="CZ213" s="217"/>
      <c r="DA213" s="217"/>
      <c r="DB213" s="197"/>
      <c r="DC213" s="443"/>
      <c r="DE213" s="217"/>
      <c r="DF213" s="173"/>
      <c r="DG213" s="173"/>
      <c r="DH213" s="173"/>
      <c r="DI213" s="173"/>
      <c r="DJ213" s="545"/>
      <c r="DM213" s="173"/>
      <c r="DN213" s="173"/>
      <c r="DO213" s="173"/>
      <c r="DQ213" s="545"/>
      <c r="DR213" s="460"/>
      <c r="DW213" s="5"/>
      <c r="DX213" s="5"/>
      <c r="DY213" s="5"/>
      <c r="DZ213" s="5"/>
      <c r="EA213" s="173"/>
      <c r="EB213" s="173"/>
      <c r="EE213" s="460"/>
      <c r="EF213" s="5"/>
      <c r="FI213" s="562"/>
    </row>
    <row r="214" spans="5:168" ht="13">
      <c r="E214" s="445" t="s">
        <v>435</v>
      </c>
      <c r="H214" s="217"/>
      <c r="I214" s="541"/>
      <c r="J214" s="443"/>
      <c r="K214" s="443"/>
      <c r="L214" s="443"/>
      <c r="M214" s="217"/>
      <c r="N214" s="172"/>
      <c r="O214" s="172"/>
      <c r="P214" s="217"/>
      <c r="Q214" s="217"/>
      <c r="R214" s="217"/>
      <c r="S214" s="172"/>
      <c r="T214" s="172"/>
      <c r="U214" s="217"/>
      <c r="V214" s="217"/>
      <c r="W214" s="217"/>
      <c r="X214" s="197"/>
      <c r="Y214" s="443"/>
      <c r="AA214" s="217"/>
      <c r="AB214" s="173"/>
      <c r="AC214" s="173"/>
      <c r="AD214" s="173"/>
      <c r="AE214" s="173"/>
      <c r="AF214" s="545"/>
      <c r="AI214" s="173"/>
      <c r="AJ214" s="173"/>
      <c r="AK214" s="173"/>
      <c r="AM214" s="545"/>
      <c r="AN214" s="460"/>
      <c r="AS214" s="5"/>
      <c r="AT214" s="5"/>
      <c r="AU214" s="5"/>
      <c r="AV214" s="5"/>
      <c r="AW214" s="173"/>
      <c r="AX214" s="173"/>
      <c r="BA214" s="460"/>
      <c r="BB214" s="5"/>
      <c r="CE214" s="562"/>
      <c r="CI214" s="445" t="s">
        <v>435</v>
      </c>
      <c r="CL214" s="217"/>
      <c r="CM214" s="541"/>
      <c r="CN214" s="443"/>
      <c r="CO214" s="443"/>
      <c r="CP214" s="443"/>
      <c r="CQ214" s="217"/>
      <c r="CR214" s="172"/>
      <c r="CS214" s="172"/>
      <c r="CT214" s="217"/>
      <c r="CU214" s="217"/>
      <c r="CV214" s="217"/>
      <c r="CW214" s="172"/>
      <c r="CX214" s="172"/>
      <c r="CY214" s="217"/>
      <c r="CZ214" s="217"/>
      <c r="DA214" s="217"/>
      <c r="DB214" s="197"/>
      <c r="DC214" s="443"/>
      <c r="DE214" s="217"/>
      <c r="DF214" s="173"/>
      <c r="DG214" s="173"/>
      <c r="DH214" s="173"/>
      <c r="DI214" s="173"/>
      <c r="DJ214" s="545"/>
      <c r="DM214" s="173"/>
      <c r="DN214" s="173"/>
      <c r="DO214" s="173"/>
      <c r="DQ214" s="545"/>
      <c r="DR214" s="460"/>
      <c r="DW214" s="5"/>
      <c r="DX214" s="5"/>
      <c r="DY214" s="5"/>
      <c r="DZ214" s="5"/>
      <c r="EA214" s="173"/>
      <c r="EB214" s="173"/>
      <c r="EE214" s="460"/>
      <c r="EF214" s="5"/>
      <c r="FI214" s="562"/>
    </row>
    <row r="215" spans="5:168" ht="45" customHeight="1" thickBot="1">
      <c r="E215" s="241" t="s">
        <v>25</v>
      </c>
      <c r="F215" s="444" t="s">
        <v>194</v>
      </c>
      <c r="G215" s="260"/>
      <c r="H215" s="527" t="s">
        <v>223</v>
      </c>
      <c r="I215" s="242" t="s">
        <v>412</v>
      </c>
      <c r="J215" s="243" t="s">
        <v>418</v>
      </c>
      <c r="K215" s="527" t="s">
        <v>413</v>
      </c>
      <c r="L215" s="527"/>
      <c r="M215" s="244" t="s">
        <v>48</v>
      </c>
      <c r="N215" s="527" t="s">
        <v>402</v>
      </c>
      <c r="O215" s="527" t="s">
        <v>656</v>
      </c>
      <c r="P215" s="527" t="s">
        <v>403</v>
      </c>
      <c r="Q215" s="527" t="s">
        <v>433</v>
      </c>
      <c r="R215" s="527" t="s">
        <v>654</v>
      </c>
      <c r="S215" s="527" t="s">
        <v>657</v>
      </c>
      <c r="T215" s="527" t="s">
        <v>655</v>
      </c>
      <c r="U215" s="527" t="s">
        <v>414</v>
      </c>
      <c r="V215" s="527" t="s">
        <v>466</v>
      </c>
      <c r="W215" s="527" t="s">
        <v>465</v>
      </c>
      <c r="X215" s="546" t="s">
        <v>420</v>
      </c>
      <c r="Y215" s="542" t="s">
        <v>425</v>
      </c>
      <c r="AA215" s="245" t="s">
        <v>417</v>
      </c>
      <c r="AB215" s="245" t="s">
        <v>464</v>
      </c>
      <c r="AC215" s="245" t="s">
        <v>423</v>
      </c>
      <c r="AD215" s="544"/>
      <c r="AE215" s="245" t="s">
        <v>463</v>
      </c>
      <c r="AF215" s="245" t="s">
        <v>681</v>
      </c>
      <c r="AG215" s="245" t="s">
        <v>427</v>
      </c>
      <c r="AH215" s="544"/>
      <c r="AI215" s="245" t="s">
        <v>429</v>
      </c>
      <c r="AJ215" s="547" t="s">
        <v>430</v>
      </c>
      <c r="AK215" s="547" t="s">
        <v>431</v>
      </c>
      <c r="AM215" s="543" t="s">
        <v>275</v>
      </c>
      <c r="AN215" s="543" t="s">
        <v>432</v>
      </c>
      <c r="AP215" s="245" t="s">
        <v>275</v>
      </c>
      <c r="AQ215" s="245" t="s">
        <v>432</v>
      </c>
      <c r="AR215" s="548"/>
      <c r="AS215" s="245" t="s">
        <v>467</v>
      </c>
      <c r="AT215" s="245" t="s">
        <v>461</v>
      </c>
      <c r="AU215" s="245" t="s">
        <v>462</v>
      </c>
      <c r="AV215" s="245" t="s">
        <v>653</v>
      </c>
      <c r="AW215" s="245" t="s">
        <v>48</v>
      </c>
      <c r="AX215" s="548" t="s">
        <v>651</v>
      </c>
      <c r="AY215" s="544" t="s">
        <v>650</v>
      </c>
      <c r="AZ215" s="544" t="s">
        <v>652</v>
      </c>
      <c r="BA215" s="245" t="s">
        <v>481</v>
      </c>
      <c r="BB215" s="245" t="s">
        <v>514</v>
      </c>
      <c r="BC215" s="544"/>
      <c r="BD215" s="557" t="s">
        <v>456</v>
      </c>
      <c r="BE215" s="245" t="s">
        <v>457</v>
      </c>
      <c r="BF215" s="544"/>
      <c r="BG215" s="557" t="s">
        <v>474</v>
      </c>
      <c r="BH215" s="245" t="s">
        <v>475</v>
      </c>
      <c r="BI215" s="245" t="s">
        <v>473</v>
      </c>
      <c r="BJ215" s="245" t="s">
        <v>469</v>
      </c>
      <c r="BK215" s="245" t="s">
        <v>478</v>
      </c>
      <c r="BL215" s="245" t="s">
        <v>777</v>
      </c>
      <c r="BM215" s="245" t="s">
        <v>776</v>
      </c>
      <c r="BN215" s="245" t="s">
        <v>491</v>
      </c>
      <c r="BO215" s="557" t="s">
        <v>476</v>
      </c>
      <c r="BP215" s="245" t="s">
        <v>477</v>
      </c>
      <c r="BQ215" s="245" t="s">
        <v>483</v>
      </c>
      <c r="BR215" s="245" t="s">
        <v>487</v>
      </c>
      <c r="BS215" s="557" t="s">
        <v>458</v>
      </c>
      <c r="BT215" s="245" t="s">
        <v>459</v>
      </c>
      <c r="BU215" s="245" t="s">
        <v>468</v>
      </c>
      <c r="BV215" s="245" t="s">
        <v>666</v>
      </c>
      <c r="BW215" s="245" t="s">
        <v>484</v>
      </c>
      <c r="BX215" s="245" t="s">
        <v>667</v>
      </c>
      <c r="BY215" s="557" t="s">
        <v>482</v>
      </c>
      <c r="BZ215" s="245" t="s">
        <v>223</v>
      </c>
      <c r="CA215" s="245" t="s">
        <v>47</v>
      </c>
      <c r="CB215" s="245" t="s">
        <v>485</v>
      </c>
      <c r="CC215" s="245"/>
      <c r="CE215" s="569" t="s">
        <v>664</v>
      </c>
      <c r="CF215" s="569" t="s">
        <v>665</v>
      </c>
      <c r="CG215" s="781" t="s">
        <v>828</v>
      </c>
      <c r="CI215" s="241" t="s">
        <v>25</v>
      </c>
      <c r="CJ215" s="444" t="s">
        <v>194</v>
      </c>
      <c r="CK215" s="260"/>
      <c r="CL215" s="527" t="s">
        <v>223</v>
      </c>
      <c r="CM215" s="242" t="s">
        <v>412</v>
      </c>
      <c r="CN215" s="243" t="s">
        <v>418</v>
      </c>
      <c r="CO215" s="527" t="s">
        <v>413</v>
      </c>
      <c r="CP215" s="527"/>
      <c r="CQ215" s="244" t="s">
        <v>48</v>
      </c>
      <c r="CR215" s="527" t="s">
        <v>402</v>
      </c>
      <c r="CS215" s="527" t="s">
        <v>656</v>
      </c>
      <c r="CT215" s="527" t="s">
        <v>403</v>
      </c>
      <c r="CU215" s="527" t="s">
        <v>433</v>
      </c>
      <c r="CV215" s="527" t="s">
        <v>654</v>
      </c>
      <c r="CW215" s="527" t="s">
        <v>657</v>
      </c>
      <c r="CX215" s="527" t="s">
        <v>655</v>
      </c>
      <c r="CY215" s="527" t="s">
        <v>414</v>
      </c>
      <c r="CZ215" s="527" t="s">
        <v>466</v>
      </c>
      <c r="DA215" s="527" t="s">
        <v>465</v>
      </c>
      <c r="DB215" s="546" t="s">
        <v>420</v>
      </c>
      <c r="DC215" s="542" t="s">
        <v>425</v>
      </c>
      <c r="DE215" s="245" t="s">
        <v>417</v>
      </c>
      <c r="DF215" s="245" t="s">
        <v>464</v>
      </c>
      <c r="DG215" s="245" t="s">
        <v>423</v>
      </c>
      <c r="DH215" s="544"/>
      <c r="DI215" s="245" t="s">
        <v>463</v>
      </c>
      <c r="DJ215" s="245" t="s">
        <v>681</v>
      </c>
      <c r="DK215" s="245" t="s">
        <v>427</v>
      </c>
      <c r="DL215" s="544"/>
      <c r="DM215" s="245" t="s">
        <v>429</v>
      </c>
      <c r="DN215" s="547" t="s">
        <v>430</v>
      </c>
      <c r="DO215" s="547" t="s">
        <v>431</v>
      </c>
      <c r="DQ215" s="543" t="s">
        <v>275</v>
      </c>
      <c r="DR215" s="543" t="s">
        <v>432</v>
      </c>
      <c r="DT215" s="245" t="s">
        <v>275</v>
      </c>
      <c r="DU215" s="245" t="s">
        <v>432</v>
      </c>
      <c r="DV215" s="548"/>
      <c r="DW215" s="245" t="s">
        <v>467</v>
      </c>
      <c r="DX215" s="245" t="s">
        <v>461</v>
      </c>
      <c r="DY215" s="245" t="s">
        <v>462</v>
      </c>
      <c r="DZ215" s="245" t="s">
        <v>653</v>
      </c>
      <c r="EA215" s="245" t="s">
        <v>48</v>
      </c>
      <c r="EB215" s="548" t="s">
        <v>651</v>
      </c>
      <c r="EC215" s="544" t="s">
        <v>650</v>
      </c>
      <c r="ED215" s="544" t="s">
        <v>652</v>
      </c>
      <c r="EE215" s="245" t="s">
        <v>481</v>
      </c>
      <c r="EF215" s="245" t="s">
        <v>514</v>
      </c>
      <c r="EG215" s="544"/>
      <c r="EH215" s="557" t="s">
        <v>456</v>
      </c>
      <c r="EI215" s="245" t="s">
        <v>457</v>
      </c>
      <c r="EJ215" s="544"/>
      <c r="EK215" s="557" t="s">
        <v>474</v>
      </c>
      <c r="EL215" s="245" t="s">
        <v>475</v>
      </c>
      <c r="EM215" s="245" t="s">
        <v>473</v>
      </c>
      <c r="EN215" s="245" t="s">
        <v>469</v>
      </c>
      <c r="EO215" s="245" t="s">
        <v>478</v>
      </c>
      <c r="EP215" s="245" t="s">
        <v>777</v>
      </c>
      <c r="EQ215" s="245" t="s">
        <v>776</v>
      </c>
      <c r="ER215" s="245" t="s">
        <v>491</v>
      </c>
      <c r="ES215" s="557" t="s">
        <v>476</v>
      </c>
      <c r="ET215" s="245" t="s">
        <v>477</v>
      </c>
      <c r="EU215" s="245" t="s">
        <v>483</v>
      </c>
      <c r="EV215" s="245" t="s">
        <v>487</v>
      </c>
      <c r="EW215" s="557" t="s">
        <v>458</v>
      </c>
      <c r="EX215" s="245" t="s">
        <v>459</v>
      </c>
      <c r="EY215" s="245" t="s">
        <v>468</v>
      </c>
      <c r="EZ215" s="245" t="s">
        <v>666</v>
      </c>
      <c r="FA215" s="245" t="s">
        <v>484</v>
      </c>
      <c r="FB215" s="245" t="s">
        <v>667</v>
      </c>
      <c r="FC215" s="557" t="s">
        <v>482</v>
      </c>
      <c r="FD215" s="245" t="s">
        <v>223</v>
      </c>
      <c r="FE215" s="245" t="s">
        <v>47</v>
      </c>
      <c r="FF215" s="245" t="s">
        <v>485</v>
      </c>
      <c r="FG215" s="245"/>
      <c r="FI215" s="569" t="s">
        <v>664</v>
      </c>
      <c r="FJ215" s="569" t="s">
        <v>665</v>
      </c>
      <c r="FL215" t="s">
        <v>825</v>
      </c>
    </row>
    <row r="216" spans="5:168">
      <c r="E216" s="170">
        <v>0.1</v>
      </c>
      <c r="F216" s="217">
        <v>1.0000000000000001E-9</v>
      </c>
      <c r="G216" s="217"/>
      <c r="H216" s="217">
        <f t="shared" ref="H216:H247" si="603">F216*Vout</f>
        <v>1.5000000000000002E-8</v>
      </c>
      <c r="I216" s="541">
        <f t="shared" ref="I216:I247" si="604">VIN_max-F216*(Rdcr_pri+RON/1000)/CG216/Nps</f>
        <v>84.999988589113386</v>
      </c>
      <c r="J216" s="172">
        <f t="shared" ref="J216:J247" si="605">(T216+Vfwd1+F216/CG216*Rdcr_sec)*Nps</f>
        <v>15.400006846531969</v>
      </c>
      <c r="K216" s="172">
        <f t="shared" ref="K216:K247" si="606">(Vout+Vfwd1+F216/CG216*Rdcr_sec)*Nps+I216</f>
        <v>100.39999543564535</v>
      </c>
      <c r="L216" s="443"/>
      <c r="M216" s="217">
        <f t="shared" ref="M216:M247" si="607">(Vout+Vfwd1+F216/FL216*Rdcr_sec)*Nps/((Vout+Vfwd1+F216/FL216*Rdcr_sec)*Nps+I216)</f>
        <v>0.15338653011373404</v>
      </c>
      <c r="N216" s="172">
        <f t="shared" ref="N216:N247" si="608">M216*I216*(Isw_max+VIN_max/Lmag*ILIM_delay)*0.5*Efficiency</f>
        <v>327.33160464890005</v>
      </c>
      <c r="O216" s="172">
        <f t="shared" si="599"/>
        <v>1.5000000000000002E-8</v>
      </c>
      <c r="P216" s="217">
        <f t="shared" ref="P216:P247" si="609">N216/Vout</f>
        <v>21.822106976593336</v>
      </c>
      <c r="Q216" s="217">
        <f t="shared" ref="Q216:Q247" si="610">MIN(Vout,N216/F216)</f>
        <v>15</v>
      </c>
      <c r="R216" s="217"/>
      <c r="S216" s="172">
        <f t="shared" ref="S216:S247" si="611">(SQRT(Isw_max^2*Nps^2*I216^2+4*Isw_max*F216/Efficiency*(Nps^2*Vfwd1*I216-Nps*I216^2)+4*(F216/Efficiency)^2*Nps^2*Vfwd1^2+8*(F216/Efficiency)^2*Nps*Vfwd1*I216+4*(F216/Efficiency)^2*I216^2)-2*F216/Efficiency*I216-2*F216/Efficiency*Nps*Vfwd1+Isw_max*Nps*I216)/(4*F216/Efficiency*Nps)</f>
        <v>2124999714642.8345</v>
      </c>
      <c r="T216" s="172">
        <f t="shared" ref="T216:T247" si="612">MIN(Vout, S216)</f>
        <v>15</v>
      </c>
      <c r="U216" s="217">
        <f t="shared" ref="U216:U247" si="613">MIN(2*(Vout+Vfwd1+F216/FL216*Rdcr_sec)*F216/(I216*M216), Isw_max)</f>
        <v>2.3623531530495018E-9</v>
      </c>
      <c r="V216" s="217">
        <f t="shared" ref="V216:V247" si="614">L*U216/I216*1000000</f>
        <v>3.3350872520263849E-10</v>
      </c>
      <c r="W216" s="217">
        <f t="shared" ref="W216:W247" si="615">L*U216/J216*1000000</f>
        <v>1.840793846333773E-9</v>
      </c>
      <c r="X216" s="197">
        <f t="shared" ref="X216:X247" si="616">IF(1/((350000*L)*(1/I216+1/J216))&gt;Isw_min, 350, 0.001/((Isw_min*L)*(1/I216+1/J216)))</f>
        <v>108.6487770365929</v>
      </c>
      <c r="Y216" s="443">
        <f>MIN(1/(V216+W216+0.2)*1000, 350)</f>
        <v>350</v>
      </c>
      <c r="AA216" s="217">
        <f t="shared" ref="AA216:AA247" si="617">1/((X216*1000*L)*(1/I216+1/J216))</f>
        <v>10</v>
      </c>
      <c r="AB216" s="173">
        <f t="shared" ref="AB216:AB247" si="618">L*AA216/J216*1000000</f>
        <v>7.7922043279496078</v>
      </c>
      <c r="AC216" s="173">
        <f t="shared" ref="AC216:AC247" si="619">0.5*AB216*AA216*Nps*X216/1000</f>
        <v>4.2330673532548566</v>
      </c>
      <c r="AD216" s="173"/>
      <c r="AE216" s="173">
        <f t="shared" ref="AE216:AE247" si="620">L*Isw_min/J216*1000000</f>
        <v>7.7922043279496078</v>
      </c>
      <c r="AF216" s="545">
        <f t="shared" ref="AF216:AF247" si="621">MAX(12000,F216/(0.5*AE216/1000000*Isw_min*Nps))/1000</f>
        <v>12</v>
      </c>
      <c r="AG216" s="528">
        <f t="shared" ref="AG216:AG247" si="622">0.5*AE216/1000000*Isw_min*Nps*X216*1000</f>
        <v>4.2330673532548557</v>
      </c>
      <c r="AI216" s="173">
        <f t="shared" ref="AI216:AI247" si="623">SQRT(F216/(0.5*L/J216*Fsw_DCM*Nps))</f>
        <v>8.5634902893543663E-5</v>
      </c>
      <c r="AJ216" s="173">
        <f t="shared" ref="AJ216:AJ247" si="624">MAX(IF(F216&gt;AC216,U216,AI216),Isw_min)</f>
        <v>10</v>
      </c>
      <c r="AK216" s="173">
        <f t="shared" ref="AK216:AK247" si="625">IF(F216&gt;AG216, (AJ216-Isw_min)/1.08*0.8+1.2, AF216*0.2/350+1)</f>
        <v>1.0068571428571429</v>
      </c>
      <c r="AM216" s="545">
        <f t="shared" ref="AM216:AM247" si="626">F216*1000</f>
        <v>1.0000000000000002E-6</v>
      </c>
      <c r="AN216" s="460">
        <f t="shared" ref="AN216:AN247" si="627">IF(F216&gt;AG216, Y216, AF216)</f>
        <v>12</v>
      </c>
      <c r="AP216">
        <f t="shared" ref="AP216:AP247" si="628">IF(H216&gt;N216, "",AM216)</f>
        <v>1.0000000000000002E-6</v>
      </c>
      <c r="AQ216">
        <f t="shared" ref="AQ216:AQ247" si="629">IF(H216&gt;N216, "",AN216)</f>
        <v>12</v>
      </c>
      <c r="AS216" s="5">
        <f t="shared" si="600"/>
        <v>83.333333333333329</v>
      </c>
      <c r="AT216" s="5">
        <f t="shared" ref="AT216:AT247" si="630">L*AJ216/I216*1000000</f>
        <v>1.4117648954057547</v>
      </c>
      <c r="AU216" s="5">
        <f t="shared" si="478"/>
        <v>81.921568437927576</v>
      </c>
      <c r="AV216" s="5"/>
      <c r="AW216" s="173">
        <f t="shared" si="479"/>
        <v>1.6941178744869057E-2</v>
      </c>
      <c r="AX216" s="173">
        <f t="shared" ref="AX216:AX279" si="631">0.5*L*AJ216^2*AN216*1000</f>
        <v>7.2000000000000011</v>
      </c>
      <c r="AY216" s="173">
        <f t="shared" ref="AY216:AY279" si="632">AJ216*Nps/2*(1-AW216)</f>
        <v>4.9152941062756552</v>
      </c>
      <c r="AZ216" s="173">
        <f t="shared" ref="AZ216:AZ279" si="633">AX216/AY216</f>
        <v>1.4648157046812973</v>
      </c>
      <c r="BA216" s="460">
        <f t="shared" si="594"/>
        <v>9.4117659693716989E-9</v>
      </c>
      <c r="BB216" s="5">
        <f t="shared" si="595"/>
        <v>4.9850859697088881E-9</v>
      </c>
      <c r="BD216" s="173">
        <f>AJ216*SQRT(AW216/3)</f>
        <v>0.75146919974294479</v>
      </c>
      <c r="BE216" s="173">
        <f>AJ216*Nps*SQRT((1-AW216)/3)</f>
        <v>5.7243888211031777</v>
      </c>
      <c r="BG216" s="528">
        <f>Rdson*BD216^2</f>
        <v>1.1294119163246037E-2</v>
      </c>
      <c r="BH216" s="528">
        <f t="shared" ref="BH216:BH247" si="634">0.5*K216*AJ216*AN216*1000*Tfall</f>
        <v>0.22589998973020201</v>
      </c>
      <c r="BI216" s="528">
        <f t="shared" ref="BI216:BI247" si="635">Qg*Vdd*AN216*1000*0+Qg*I216*AN216*1000</f>
        <v>2.5499996576734015E-2</v>
      </c>
      <c r="BJ216" s="528">
        <f>0.5*(Coss+Csw)*K216^2*AN216*1000</f>
        <v>1.209619090017313E-2</v>
      </c>
      <c r="BK216">
        <f>I216*IQ</f>
        <v>3.8249994865101021E-2</v>
      </c>
      <c r="BL216" s="460">
        <f>(BK216+BI216)*1000</f>
        <v>63.749991441835036</v>
      </c>
      <c r="BM216" s="528">
        <f t="shared" ref="BM216:BM247" si="636">(BH216+BI216*0+BJ216+BK216*0+BG216*(1+RdsonTC*(Ta-25)))/(1-BG216*RdsonTC*ThetaJA)</f>
        <v>0.25301868323025944</v>
      </c>
      <c r="BN216" s="460">
        <f>BM216*1000</f>
        <v>253.01868323025946</v>
      </c>
      <c r="BO216" s="528">
        <f t="shared" ref="BO216:BO279" si="637">Vfwd2*F216</f>
        <v>6.9999999999999996E-10</v>
      </c>
      <c r="BR216" s="460">
        <f>SUM(BO216:BQ216)*1000</f>
        <v>6.9999999999999997E-7</v>
      </c>
      <c r="BS216" s="528">
        <f>Rdcr_pri*BD216^2</f>
        <v>1.6941178744869053E-2</v>
      </c>
      <c r="BT216" s="528">
        <f>Rdcr_sec*BE216^2</f>
        <v>0.98305882125513078</v>
      </c>
      <c r="BU216" s="528">
        <f>AJ216^2.5*AN216^2.5*k_core</f>
        <v>7.8872048280743991E-3</v>
      </c>
      <c r="BV216" s="528"/>
      <c r="BW216" s="528">
        <f>0.5*Lleak*0.000000001*AJ216^2*AN216*1000</f>
        <v>1.2000000000000001E-3</v>
      </c>
      <c r="BX216" s="460">
        <f>SUM(BS216:BW216)*1000</f>
        <v>1009.0872048280744</v>
      </c>
      <c r="BY216" s="173">
        <f>SUM(BG216:BK216,BO216:BQ216,BS216:BW216)</f>
        <v>1.3221274967635306</v>
      </c>
      <c r="BZ216" s="5">
        <f>MIN(H216,O216)</f>
        <v>1.5000000000000002E-8</v>
      </c>
      <c r="CA216" s="173">
        <f>BZ216/(BZ216+BY216)</f>
        <v>1.1345350479842999E-8</v>
      </c>
      <c r="CB216" s="5">
        <f>CA216*100</f>
        <v>1.1345350479842998E-6</v>
      </c>
      <c r="CE216" s="562">
        <f t="shared" ref="CE216:CE247" si="638">IF(ABS(F216-Ioutmax_Vinmax)&lt;Iout/200, AN216, -50)</f>
        <v>-50</v>
      </c>
      <c r="CF216">
        <f t="shared" ref="CF216:CF247" si="639">IF(ABS(F216-Ioutmax_Vinmin)&lt;Iout/200, N216*CA216, -50)</f>
        <v>-50</v>
      </c>
      <c r="CG216" s="173">
        <f t="shared" ref="CG216:CG247" si="640">MIN(SQRT(2*DU216*1000*Ls1_*CL216)/CU216,1-EA216-0.00000005*DU216*1000)</f>
        <v>4.3817804600413293E-6</v>
      </c>
      <c r="CI216" s="170">
        <v>0.1</v>
      </c>
      <c r="CJ216" s="217">
        <v>1.0000000000000001E-9</v>
      </c>
      <c r="CK216" s="217"/>
      <c r="CL216" s="217">
        <f t="shared" ref="CL216:CL279" si="641">CJ216*Vout</f>
        <v>1.5000000000000002E-8</v>
      </c>
      <c r="CM216" s="541">
        <f t="shared" ref="CM216:CM279" si="642">VIN_max</f>
        <v>85</v>
      </c>
      <c r="CN216" s="443">
        <f t="shared" ref="CN216:CN279" si="643">(CX216+Vfwd1)*Nps</f>
        <v>15.4</v>
      </c>
      <c r="CO216" s="443">
        <f t="shared" ref="CO216:CO279" si="644">(Vout+Vfwd1)*Nps+CM216</f>
        <v>100.4</v>
      </c>
      <c r="CP216" s="443"/>
      <c r="CQ216" s="217">
        <f t="shared" ref="CQ216:CQ279" si="645">(Vout+Vfwd1)*Nps/((Vout+Vfwd1)*Nps+CM216)</f>
        <v>0.15338645418326693</v>
      </c>
      <c r="CR216" s="172">
        <f t="shared" ref="CR216:CR279" si="646">CQ216*CM216*(Isw_max+VIN_max/Lmag*ILIM_delay)*0.5*Efficiency</f>
        <v>327.33148655378488</v>
      </c>
      <c r="CS216" s="172">
        <f t="shared" ref="CS216:CS279" si="647">CX216*CJ216</f>
        <v>1.5000000000000002E-8</v>
      </c>
      <c r="CT216" s="217">
        <f t="shared" ref="CT216:CT279" si="648">CR216/Vout</f>
        <v>21.822099103585661</v>
      </c>
      <c r="CU216" s="217">
        <f t="shared" ref="CU216:CU279" si="649">MIN(Vout,CR216/CJ216)</f>
        <v>15</v>
      </c>
      <c r="CV216" s="217"/>
      <c r="CW216" s="172">
        <f t="shared" ref="CW216:CW279" si="650">(SQRT(Isw_max^2*Nps^2*CM216^2+4*Isw_max*CJ216/Efficiency*(Nps^2*Vfwd1*CM216-Nps*CM216^2)+4*(CJ216/Efficiency)^2*Nps^2*Vfwd1^2+8*(CJ216/Efficiency)^2*Nps*Vfwd1*CM216+4*(CJ216/Efficiency)^2*CM216^2)-2*CJ216/Efficiency*CM216-2*CJ216/Efficiency*Nps*Vfwd1+Isw_max*Nps*CM216)/(4*CJ216/Efficiency*Nps)</f>
        <v>2124999999914.9998</v>
      </c>
      <c r="CX216" s="172">
        <f t="shared" ref="CX216:CX279" si="651">MIN(Vout, CW216)</f>
        <v>15</v>
      </c>
      <c r="CY216" s="217">
        <f t="shared" ref="CY216:CY279" si="652">MIN(2*Vout*CJ216/(Efficiency*CM216*CQ216), Isw_max)</f>
        <v>2.3009931245225366E-9</v>
      </c>
      <c r="CZ216" s="217">
        <f t="shared" ref="CZ216:CZ279" si="653">L*CY216/CM216*1000000</f>
        <v>3.2484608816788751E-10</v>
      </c>
      <c r="DA216" s="217">
        <f t="shared" ref="DA216:DA279" si="654">L*CY216/CN216*1000000</f>
        <v>1.7929816554721063E-9</v>
      </c>
      <c r="DB216" s="197">
        <f t="shared" ref="DB216:DB279" si="655">IF(1/((350000*L)*(1/CM216+1/CN216))&gt;Isw_min, 350, 0.001/((Isw_min*L)*(1/CM216+1/CN216)))</f>
        <v>108.64873837981409</v>
      </c>
      <c r="DC216" s="443">
        <f t="shared" ref="DC216:DC279" si="656">MIN(1/(CZ216+DA216)*1000, 350)</f>
        <v>350</v>
      </c>
      <c r="DE216" s="217">
        <f t="shared" ref="DE216:DE279" si="657">1/((DB216*1000*L)*(1/CM216+1/CN216))</f>
        <v>10</v>
      </c>
      <c r="DF216" s="173">
        <f t="shared" ref="DF216:DF279" si="658">L*DE216/CN216*1000000</f>
        <v>7.7922077922077913</v>
      </c>
      <c r="DG216" s="173">
        <f t="shared" ref="DG216:DG279" si="659">0.5*DF216*DE216*Nps*DB216/1000</f>
        <v>4.2330677290836656</v>
      </c>
      <c r="DH216" s="173"/>
      <c r="DI216" s="173">
        <f t="shared" ref="DI216:DI279" si="660">L*Isw_min/CN216*1000000</f>
        <v>7.7922077922077913</v>
      </c>
      <c r="DJ216" s="545">
        <f t="shared" ref="DJ216:DJ279" si="661">MAX(12000,CJ216/(0.5*DI216/1000000*Isw_min*Nps))/1000</f>
        <v>12</v>
      </c>
      <c r="DK216" s="528">
        <f t="shared" ref="DK216:DK279" si="662">0.5*DI216/1000000*Isw_min*Nps*DB216*1000</f>
        <v>4.2330677290836656</v>
      </c>
      <c r="DM216" s="173">
        <f t="shared" ref="DM216:DM279" si="663">SQRT(CJ216/(0.5*L/CN216*Fsw_DCM*Nps))</f>
        <v>8.5634883857767534E-5</v>
      </c>
      <c r="DN216" s="173">
        <f t="shared" ref="DN216:DN279" si="664">MAX(IF(CJ216&gt;DG216,CY216,DM216),Isw_min)</f>
        <v>10</v>
      </c>
      <c r="DO216" s="173">
        <f t="shared" ref="DO216:DO279" si="665">IF(CJ216&gt;DK216, (DN216-Isw_min)/1.08*0.8+1.2, DJ216*0.2/350+1)</f>
        <v>1.0068571428571429</v>
      </c>
      <c r="DQ216" s="545">
        <f t="shared" ref="DQ216:DQ279" si="666">CJ216*1000</f>
        <v>1.0000000000000002E-6</v>
      </c>
      <c r="DR216" s="460">
        <f t="shared" ref="DR216:DR279" si="667">IF(CJ216&gt;DK216, DC216, DJ216)</f>
        <v>12</v>
      </c>
      <c r="DT216">
        <f t="shared" ref="DT216:DT279" si="668">IF(CL216&gt;CR216, "",DQ216)</f>
        <v>1.0000000000000002E-6</v>
      </c>
      <c r="DU216">
        <f t="shared" ref="DU216:DU279" si="669">IF(CL216&gt;CR216, "",DR216)</f>
        <v>12</v>
      </c>
      <c r="DW216" s="5">
        <f t="shared" ref="DW216:DW280" si="670">1/DR216*1000</f>
        <v>83.333333333333329</v>
      </c>
      <c r="DX216" s="5">
        <f t="shared" ref="DX216:DX279" si="671">L*DN216/CM216*1000000</f>
        <v>1.4117647058823528</v>
      </c>
      <c r="DY216" s="5">
        <f t="shared" ref="DY216:DY279" si="672">DW216-DX216</f>
        <v>81.921568627450981</v>
      </c>
      <c r="DZ216" s="5"/>
      <c r="EA216" s="173">
        <f t="shared" ref="EA216:EA279" si="673">DX216/DW216</f>
        <v>1.6941176470588234E-2</v>
      </c>
      <c r="EB216" s="173">
        <f>0.5*L*DN216^2*DR216*1000</f>
        <v>7.2000000000000011</v>
      </c>
      <c r="EC216" s="173">
        <f>DN216*Nps/2*(1-EA216)</f>
        <v>4.9152941176470586</v>
      </c>
      <c r="ED216" s="173">
        <f>EB216/EC216</f>
        <v>1.4648157012924847</v>
      </c>
      <c r="EE216" s="460">
        <f t="shared" ref="EE216:EE279" si="674">CJ216*DX216/Vout_ripple*1000</f>
        <v>9.4117647058823523E-9</v>
      </c>
      <c r="EF216" s="5">
        <f t="shared" ref="EF216:EF279" si="675">CL216/Efficiency/CM216*DY216/Vinripple1</f>
        <v>4.9850853120152727E-9</v>
      </c>
      <c r="EH216" s="173">
        <f>DN216*SQRT(EA216/3)</f>
        <v>0.75146914930217945</v>
      </c>
      <c r="EI216" s="173">
        <f>DN216*Nps*SQRT((1-EA216)/3)</f>
        <v>5.7243888277247903</v>
      </c>
      <c r="EK216" s="528">
        <f>Rdson*EH216^2</f>
        <v>1.1294117647058826E-2</v>
      </c>
      <c r="EL216" s="528">
        <f>0.5*CO216*DN216*DR216*1000*Trise</f>
        <v>0.24096000000000001</v>
      </c>
      <c r="EM216" s="528">
        <f>Qg*Vdd*DR216*1000</f>
        <v>1.5E-3</v>
      </c>
      <c r="EN216" s="528">
        <f>0.5*(Coss+Csw)*CO216^2*DR216*1000</f>
        <v>1.2096192000000002E-2</v>
      </c>
      <c r="EO216">
        <f>CM216*IQ</f>
        <v>3.8249999999999999E-2</v>
      </c>
      <c r="EP216" s="460">
        <f>(EO216+EM216)*1000</f>
        <v>39.75</v>
      </c>
      <c r="EQ216" s="460"/>
      <c r="ER216" s="460">
        <f>SUM(EK216:EO216)*1000</f>
        <v>304.10030964705885</v>
      </c>
      <c r="ES216" s="528">
        <f>Vfwd2*CJ216</f>
        <v>6.9999999999999996E-10</v>
      </c>
      <c r="EV216" s="460">
        <f>SUM(ES216:EU216)*1000</f>
        <v>6.9999999999999997E-7</v>
      </c>
      <c r="EW216" s="528">
        <f>Rdcr_pri*EH216^2</f>
        <v>1.6941176470588237E-2</v>
      </c>
      <c r="EX216" s="528">
        <f>Rdcr_sec*EI216^2</f>
        <v>0.98305882352941187</v>
      </c>
      <c r="EY216" s="528">
        <f>DN216^2.5*DR216^2.5*k_core</f>
        <v>7.8872048280743991E-3</v>
      </c>
      <c r="EZ216" s="528"/>
      <c r="FA216" s="528">
        <f>0.5*Lleak*0.000000001*DN216^2*DR216*1000</f>
        <v>1.2000000000000001E-3</v>
      </c>
      <c r="FB216" s="460">
        <f>SUM(EW216:FA216)*1000</f>
        <v>1009.0872048280746</v>
      </c>
      <c r="FC216" s="173">
        <f>SUM(EK216:EO216,ES216:EU216,EW216:FA216)</f>
        <v>1.3131875151751335</v>
      </c>
      <c r="FD216" s="5">
        <f>MIN(CL216,CS216)</f>
        <v>1.5000000000000002E-8</v>
      </c>
      <c r="FE216" s="173">
        <f>FD216/(FD216+FC216)</f>
        <v>1.1422587905628015E-8</v>
      </c>
      <c r="FF216" s="5">
        <f>FE216*100</f>
        <v>1.1422587905628014E-6</v>
      </c>
      <c r="FI216" s="562">
        <f t="shared" ref="FI216:FI279" si="676">IF(ABS(CJ216-Ioutmax_Vinmax)&lt;Iout/200, DR216, -50)</f>
        <v>-50</v>
      </c>
      <c r="FJ216">
        <f t="shared" ref="FJ216:FJ279" si="677">IF(ABS(CJ216-Ioutmax_Vinmin)&lt;Iout/200, CR216*FE216, -50)</f>
        <v>-50</v>
      </c>
      <c r="FL216">
        <f t="shared" ref="FL216:FL247" si="678">MIN(SQRT(2*L*DR216*1000*CJ216*(CX216+Vfwd1))/(Nps*(CX216+Vfwd1)), 1-EA216)</f>
        <v>4.3244998209386832E-6</v>
      </c>
    </row>
    <row r="217" spans="5:168">
      <c r="E217" s="170">
        <v>1</v>
      </c>
      <c r="F217" s="217">
        <f t="shared" ref="F217:F248" si="679">IF(PLOT_TYPE=1, E217/100*Iout_max, min_I*EXP(N217*rr/100))</f>
        <v>0.1</v>
      </c>
      <c r="G217" s="217"/>
      <c r="H217" s="217">
        <f t="shared" si="603"/>
        <v>1.5</v>
      </c>
      <c r="I217" s="541">
        <f t="shared" si="604"/>
        <v>84.885891133853093</v>
      </c>
      <c r="J217" s="172">
        <f t="shared" si="605"/>
        <v>15.468465319688146</v>
      </c>
      <c r="K217" s="172">
        <f t="shared" si="606"/>
        <v>100.35435645354124</v>
      </c>
      <c r="L217" s="443"/>
      <c r="M217" s="217">
        <f t="shared" si="607"/>
        <v>0.15414609730567899</v>
      </c>
      <c r="N217" s="172">
        <f t="shared" si="608"/>
        <v>328.51098392863088</v>
      </c>
      <c r="O217" s="172">
        <f t="shared" si="599"/>
        <v>1.5</v>
      </c>
      <c r="P217" s="217">
        <f t="shared" si="609"/>
        <v>21.900732261908725</v>
      </c>
      <c r="Q217" s="217">
        <f t="shared" si="610"/>
        <v>15</v>
      </c>
      <c r="R217" s="217"/>
      <c r="S217" s="172">
        <f t="shared" si="611"/>
        <v>21136.588498724603</v>
      </c>
      <c r="T217" s="172">
        <f t="shared" si="612"/>
        <v>15</v>
      </c>
      <c r="U217" s="217">
        <f t="shared" si="613"/>
        <v>0.23644745193340683</v>
      </c>
      <c r="V217" s="217">
        <f t="shared" si="614"/>
        <v>3.3425689302439561E-2</v>
      </c>
      <c r="W217" s="217">
        <f t="shared" si="615"/>
        <v>0.18342927786051921</v>
      </c>
      <c r="X217" s="197">
        <f t="shared" si="616"/>
        <v>109.03483329285469</v>
      </c>
      <c r="Y217" s="443">
        <f t="shared" ref="Y217:Y280" si="680">MIN(1/(V217+W217+0.2)*1000, 350)</f>
        <v>350</v>
      </c>
      <c r="AA217" s="217">
        <f t="shared" si="617"/>
        <v>10</v>
      </c>
      <c r="AB217" s="173">
        <f t="shared" si="618"/>
        <v>7.757718527336058</v>
      </c>
      <c r="AC217" s="173">
        <f t="shared" si="619"/>
        <v>4.2293077318048864</v>
      </c>
      <c r="AD217" s="173"/>
      <c r="AE217" s="173">
        <f t="shared" si="620"/>
        <v>7.757718527336058</v>
      </c>
      <c r="AF217" s="545">
        <f t="shared" si="621"/>
        <v>12</v>
      </c>
      <c r="AG217" s="528">
        <f t="shared" si="622"/>
        <v>4.2293077318048864</v>
      </c>
      <c r="AI217" s="173">
        <f t="shared" si="623"/>
        <v>0.85825030536074765</v>
      </c>
      <c r="AJ217" s="173">
        <f t="shared" si="624"/>
        <v>10</v>
      </c>
      <c r="AK217" s="173">
        <f t="shared" si="625"/>
        <v>1.0068571428571429</v>
      </c>
      <c r="AM217" s="545">
        <f t="shared" si="626"/>
        <v>100</v>
      </c>
      <c r="AN217" s="460">
        <f t="shared" si="627"/>
        <v>12</v>
      </c>
      <c r="AP217">
        <f t="shared" si="628"/>
        <v>100</v>
      </c>
      <c r="AQ217">
        <f t="shared" si="629"/>
        <v>12</v>
      </c>
      <c r="AS217" s="5">
        <f t="shared" si="600"/>
        <v>83.333333333333329</v>
      </c>
      <c r="AT217" s="5">
        <f t="shared" si="630"/>
        <v>1.4136624873358155</v>
      </c>
      <c r="AU217" s="5">
        <f t="shared" si="478"/>
        <v>81.919670845997516</v>
      </c>
      <c r="AV217" s="5"/>
      <c r="AW217" s="173">
        <f t="shared" si="479"/>
        <v>1.6963949848029788E-2</v>
      </c>
      <c r="AX217" s="173">
        <f t="shared" si="631"/>
        <v>7.2000000000000011</v>
      </c>
      <c r="AY217" s="173">
        <f t="shared" si="632"/>
        <v>4.9151802507598514</v>
      </c>
      <c r="AZ217" s="173">
        <f t="shared" si="633"/>
        <v>1.4648496357558674</v>
      </c>
      <c r="BA217" s="460">
        <f t="shared" si="594"/>
        <v>0.94244165822387704</v>
      </c>
      <c r="BB217" s="5">
        <f t="shared" si="595"/>
        <v>0.49916709331846598</v>
      </c>
      <c r="BD217" s="173">
        <f t="shared" ref="BD217:BD280" si="681">AJ217*SQRT(AW217/3)</f>
        <v>0.7519740653335899</v>
      </c>
      <c r="BE217" s="173">
        <f t="shared" ref="BE217:BE280" si="682">AJ217*Nps*SQRT((1-AW217)/3)</f>
        <v>5.7243225222203371</v>
      </c>
      <c r="BG217" s="528">
        <f t="shared" ref="BG217:BG280" si="683">Rdson*BD217^2</f>
        <v>1.1309299898686523E-2</v>
      </c>
      <c r="BH217" s="528">
        <f t="shared" si="634"/>
        <v>0.2257973020204678</v>
      </c>
      <c r="BI217" s="528">
        <f t="shared" si="635"/>
        <v>2.5465767340155928E-2</v>
      </c>
      <c r="BJ217" s="528">
        <f t="shared" ref="BJ217:BJ280" si="684">0.5*(Coss+Csw)*K217^2*AN217*1000</f>
        <v>1.2085196231045299E-2</v>
      </c>
      <c r="BK217">
        <f t="shared" ref="BK217:BK280" si="685">I217*IQ</f>
        <v>3.819865101023389E-2</v>
      </c>
      <c r="BL217" s="460">
        <f t="shared" ref="BL217:BL280" si="686">(BK217+BI217)*1000</f>
        <v>63.664418350389816</v>
      </c>
      <c r="BM217" s="528">
        <f t="shared" si="636"/>
        <v>0.25292494111584352</v>
      </c>
      <c r="BN217" s="460">
        <f t="shared" ref="BN217:BN280" si="687">BM217*1000</f>
        <v>252.92494111584352</v>
      </c>
      <c r="BO217" s="528">
        <f t="shared" si="637"/>
        <v>6.9999999999999993E-2</v>
      </c>
      <c r="BR217" s="460">
        <f t="shared" ref="BR217:BR280" si="688">SUM(BO217:BQ217)*1000</f>
        <v>69.999999999999986</v>
      </c>
      <c r="BS217" s="528">
        <f t="shared" ref="BS217:BS280" si="689">Rdcr_pri*BD217^2</f>
        <v>1.6963949848029784E-2</v>
      </c>
      <c r="BT217" s="528">
        <f t="shared" ref="BT217:BT280" si="690">Rdcr_sec*BE217^2</f>
        <v>0.98303605015197015</v>
      </c>
      <c r="BU217" s="528">
        <f t="shared" ref="BU217:BU280" si="691">AJ217^2.5*AN217^2.5*k_core</f>
        <v>7.8872048280743991E-3</v>
      </c>
      <c r="BV217" s="528"/>
      <c r="BW217" s="528">
        <f t="shared" ref="BW217:BW280" si="692">0.5*Lleak*0.000000001*AJ217^2*AN217*1000</f>
        <v>1.2000000000000001E-3</v>
      </c>
      <c r="BX217" s="460">
        <f t="shared" ref="BX217:BX280" si="693">SUM(BS217:BW217)*1000</f>
        <v>1009.0872048280744</v>
      </c>
      <c r="BY217" s="173">
        <f t="shared" ref="BY217:BY280" si="694">SUM(BG217:BK217,BO217:BQ217,BS217:BW217)</f>
        <v>1.3919434213286639</v>
      </c>
      <c r="BZ217" s="5">
        <f t="shared" ref="BZ217:BZ280" si="695">MIN(H217,O217)</f>
        <v>1.5</v>
      </c>
      <c r="CA217" s="173">
        <f t="shared" ref="CA217:CA280" si="696">BZ217/(BZ217+BY217)</f>
        <v>0.51868234659682433</v>
      </c>
      <c r="CB217" s="5">
        <f t="shared" ref="CB217:CB280" si="697">CA217*100</f>
        <v>51.868234659682436</v>
      </c>
      <c r="CE217" s="562">
        <f t="shared" si="638"/>
        <v>-50</v>
      </c>
      <c r="CF217">
        <f t="shared" si="639"/>
        <v>-50</v>
      </c>
      <c r="CG217" s="173">
        <f t="shared" si="640"/>
        <v>4.381780460041329E-2</v>
      </c>
      <c r="CI217" s="170">
        <v>1</v>
      </c>
      <c r="CJ217" s="217">
        <f t="shared" ref="CJ217:CJ280" si="698">IF(PLOT_TYPE=1, CI217/100*Iout_max, min_I*EXP(CR217*rr/100))</f>
        <v>0.1</v>
      </c>
      <c r="CK217" s="217"/>
      <c r="CL217" s="217">
        <f t="shared" si="641"/>
        <v>1.5</v>
      </c>
      <c r="CM217" s="541">
        <f t="shared" si="642"/>
        <v>85</v>
      </c>
      <c r="CN217" s="443">
        <f t="shared" si="643"/>
        <v>15.4</v>
      </c>
      <c r="CO217" s="443">
        <f t="shared" si="644"/>
        <v>100.4</v>
      </c>
      <c r="CP217" s="443"/>
      <c r="CQ217" s="217">
        <f t="shared" si="645"/>
        <v>0.15338645418326693</v>
      </c>
      <c r="CR217" s="172">
        <f t="shared" si="646"/>
        <v>327.33148655378488</v>
      </c>
      <c r="CS217" s="172">
        <f t="shared" si="647"/>
        <v>1.5</v>
      </c>
      <c r="CT217" s="217">
        <f t="shared" si="648"/>
        <v>21.822099103585661</v>
      </c>
      <c r="CU217" s="217">
        <f t="shared" si="649"/>
        <v>15</v>
      </c>
      <c r="CV217" s="217"/>
      <c r="CW217" s="172">
        <f t="shared" si="650"/>
        <v>21165.001606395221</v>
      </c>
      <c r="CX217" s="172">
        <f t="shared" si="651"/>
        <v>15</v>
      </c>
      <c r="CY217" s="217">
        <f t="shared" si="652"/>
        <v>0.23009931245225362</v>
      </c>
      <c r="CZ217" s="217">
        <f t="shared" si="653"/>
        <v>3.2484608816788746E-2</v>
      </c>
      <c r="DA217" s="217">
        <f t="shared" si="654"/>
        <v>0.17929816554721062</v>
      </c>
      <c r="DB217" s="197">
        <f t="shared" si="655"/>
        <v>108.64873837981409</v>
      </c>
      <c r="DC217" s="443">
        <f t="shared" si="656"/>
        <v>350</v>
      </c>
      <c r="DE217" s="217">
        <f t="shared" si="657"/>
        <v>10</v>
      </c>
      <c r="DF217" s="173">
        <f t="shared" si="658"/>
        <v>7.7922077922077913</v>
      </c>
      <c r="DG217" s="173">
        <f t="shared" si="659"/>
        <v>4.2330677290836656</v>
      </c>
      <c r="DH217" s="173"/>
      <c r="DI217" s="173">
        <f t="shared" si="660"/>
        <v>7.7922077922077913</v>
      </c>
      <c r="DJ217" s="545">
        <f t="shared" si="661"/>
        <v>12</v>
      </c>
      <c r="DK217" s="528">
        <f t="shared" si="662"/>
        <v>4.2330677290836656</v>
      </c>
      <c r="DM217" s="173">
        <f t="shared" si="663"/>
        <v>0.8563488385776753</v>
      </c>
      <c r="DN217" s="173">
        <f t="shared" si="664"/>
        <v>10</v>
      </c>
      <c r="DO217" s="173">
        <f t="shared" si="665"/>
        <v>1.0068571428571429</v>
      </c>
      <c r="DQ217" s="545">
        <f t="shared" si="666"/>
        <v>100</v>
      </c>
      <c r="DR217" s="460">
        <f t="shared" si="667"/>
        <v>12</v>
      </c>
      <c r="DT217">
        <f t="shared" si="668"/>
        <v>100</v>
      </c>
      <c r="DU217">
        <f t="shared" si="669"/>
        <v>12</v>
      </c>
      <c r="DW217" s="5">
        <f t="shared" si="670"/>
        <v>83.333333333333329</v>
      </c>
      <c r="DX217" s="5">
        <f t="shared" si="671"/>
        <v>1.4117647058823528</v>
      </c>
      <c r="DY217" s="5">
        <f t="shared" si="672"/>
        <v>81.921568627450981</v>
      </c>
      <c r="DZ217" s="5"/>
      <c r="EA217" s="173">
        <f t="shared" si="673"/>
        <v>1.6941176470588234E-2</v>
      </c>
      <c r="EB217" s="173">
        <f t="shared" ref="EB217:EB280" si="699">0.5*L*DN217^2*DR217*1000</f>
        <v>7.2000000000000011</v>
      </c>
      <c r="EC217" s="173">
        <f t="shared" ref="EC217:EC280" si="700">DN217*Nps/2*(1-EA217)</f>
        <v>4.9152941176470586</v>
      </c>
      <c r="ED217" s="173">
        <f t="shared" ref="ED217:ED280" si="701">EB217/EC217</f>
        <v>1.4648157012924847</v>
      </c>
      <c r="EE217" s="460">
        <f t="shared" si="674"/>
        <v>0.94117647058823528</v>
      </c>
      <c r="EF217" s="5">
        <f t="shared" si="675"/>
        <v>0.49850853120152716</v>
      </c>
      <c r="EH217" s="173">
        <f t="shared" ref="EH217:EH280" si="702">DN217*SQRT(EA217/3)</f>
        <v>0.75146914930217945</v>
      </c>
      <c r="EI217" s="173">
        <f t="shared" ref="EI217:EI280" si="703">DN217*Nps*SQRT((1-EA217)/3)</f>
        <v>5.7243888277247903</v>
      </c>
      <c r="EK217" s="528">
        <f t="shared" ref="EK217:EK280" si="704">Rdson*EH217^2</f>
        <v>1.1294117647058826E-2</v>
      </c>
      <c r="EL217" s="528">
        <f t="shared" ref="EL217:EL280" si="705">0.5*CO217*DN217*DR217*1000*Trise</f>
        <v>0.24096000000000001</v>
      </c>
      <c r="EM217" s="528">
        <f t="shared" ref="EM217:EM280" si="706">Qg*Vdd*DR217*1000</f>
        <v>1.5E-3</v>
      </c>
      <c r="EN217" s="528">
        <f t="shared" ref="EN217:EN280" si="707">0.5*(Coss+Csw)*CO217^2*DR217*1000</f>
        <v>1.2096192000000002E-2</v>
      </c>
      <c r="EO217">
        <f t="shared" ref="EO217:EO280" si="708">CM217*IQ</f>
        <v>3.8249999999999999E-2</v>
      </c>
      <c r="EP217" s="460">
        <f t="shared" ref="EP217:EP280" si="709">(EO217+EM217)*1000</f>
        <v>39.75</v>
      </c>
      <c r="EQ217" s="460"/>
      <c r="ER217" s="460">
        <f t="shared" ref="ER217:ER280" si="710">SUM(EK217:EO217)*1000</f>
        <v>304.10030964705885</v>
      </c>
      <c r="ES217" s="528">
        <f t="shared" ref="ES217:ES280" si="711">Vfwd2*CJ217</f>
        <v>6.9999999999999993E-2</v>
      </c>
      <c r="EV217" s="460">
        <f t="shared" ref="EV217:EV280" si="712">SUM(ES217:EU217)*1000</f>
        <v>69.999999999999986</v>
      </c>
      <c r="EW217" s="528">
        <f t="shared" ref="EW217:EW280" si="713">Rdcr_pri*EH217^2</f>
        <v>1.6941176470588237E-2</v>
      </c>
      <c r="EX217" s="528">
        <f t="shared" ref="EX217:EX280" si="714">Rdcr_sec*EI217^2</f>
        <v>0.98305882352941187</v>
      </c>
      <c r="EY217" s="528">
        <f t="shared" ref="EY217:EY280" si="715">DN217^2.5*DR217^2.5*k_core</f>
        <v>7.8872048280743991E-3</v>
      </c>
      <c r="EZ217" s="528"/>
      <c r="FA217" s="528">
        <f t="shared" ref="FA217:FA280" si="716">0.5*Lleak*0.000000001*DN217^2*DR217*1000</f>
        <v>1.2000000000000001E-3</v>
      </c>
      <c r="FB217" s="460">
        <f t="shared" ref="FB217:FB280" si="717">SUM(EW217:FA217)*1000</f>
        <v>1009.0872048280746</v>
      </c>
      <c r="FC217" s="173">
        <f t="shared" ref="FC217:FC280" si="718">SUM(EK217:EO217,ES217:EU217,EW217:FA217)</f>
        <v>1.3831875144751336</v>
      </c>
      <c r="FD217" s="5">
        <f t="shared" ref="FD217:FD280" si="719">MIN(CL217,CS217)</f>
        <v>1.5</v>
      </c>
      <c r="FE217" s="173">
        <f t="shared" ref="FE217:FE280" si="720">FD217/(FD217+FC217)</f>
        <v>0.52025752486413135</v>
      </c>
      <c r="FF217" s="5">
        <f t="shared" ref="FF217:FF280" si="721">FE217*100</f>
        <v>52.025752486413133</v>
      </c>
      <c r="FI217" s="562">
        <f t="shared" si="676"/>
        <v>-50</v>
      </c>
      <c r="FJ217">
        <f t="shared" si="677"/>
        <v>-50</v>
      </c>
      <c r="FL217">
        <f t="shared" si="678"/>
        <v>4.3244998209386834E-2</v>
      </c>
    </row>
    <row r="218" spans="5:168">
      <c r="E218" s="170">
        <v>2</v>
      </c>
      <c r="F218" s="217">
        <f t="shared" si="679"/>
        <v>0.2</v>
      </c>
      <c r="G218" s="217"/>
      <c r="H218" s="217">
        <f t="shared" si="603"/>
        <v>3</v>
      </c>
      <c r="I218" s="541">
        <f t="shared" si="604"/>
        <v>84.838625693908028</v>
      </c>
      <c r="J218" s="172">
        <f t="shared" si="605"/>
        <v>15.496824583655187</v>
      </c>
      <c r="K218" s="172">
        <f t="shared" si="606"/>
        <v>100.33545027756321</v>
      </c>
      <c r="L218" s="443"/>
      <c r="M218" s="217">
        <f t="shared" si="607"/>
        <v>0.15446095019460071</v>
      </c>
      <c r="N218" s="172">
        <f t="shared" si="608"/>
        <v>328.99869551302777</v>
      </c>
      <c r="O218" s="172">
        <f t="shared" si="599"/>
        <v>3</v>
      </c>
      <c r="P218" s="217">
        <f t="shared" si="609"/>
        <v>21.933246367535183</v>
      </c>
      <c r="Q218" s="217">
        <f t="shared" si="610"/>
        <v>15</v>
      </c>
      <c r="R218" s="217"/>
      <c r="S218" s="172">
        <f t="shared" si="611"/>
        <v>10519.992811727408</v>
      </c>
      <c r="T218" s="172">
        <f t="shared" si="612"/>
        <v>15</v>
      </c>
      <c r="U218" s="217">
        <f t="shared" si="613"/>
        <v>0.47307099546976572</v>
      </c>
      <c r="V218" s="217">
        <f t="shared" si="614"/>
        <v>6.6913530237027674E-2</v>
      </c>
      <c r="W218" s="217">
        <f t="shared" si="615"/>
        <v>0.36632355970684982</v>
      </c>
      <c r="X218" s="197">
        <f t="shared" si="616"/>
        <v>109.1944818323492</v>
      </c>
      <c r="Y218" s="443">
        <f t="shared" si="680"/>
        <v>350</v>
      </c>
      <c r="AA218" s="217">
        <f t="shared" si="617"/>
        <v>10</v>
      </c>
      <c r="AB218" s="173">
        <f t="shared" si="618"/>
        <v>7.7435218648965307</v>
      </c>
      <c r="AC218" s="173">
        <f t="shared" si="619"/>
        <v>4.2277492879742145</v>
      </c>
      <c r="AD218" s="173"/>
      <c r="AE218" s="173">
        <f t="shared" si="620"/>
        <v>7.7435218648965307</v>
      </c>
      <c r="AF218" s="545">
        <f t="shared" si="621"/>
        <v>12</v>
      </c>
      <c r="AG218" s="528">
        <f t="shared" si="622"/>
        <v>4.2277492879742145</v>
      </c>
      <c r="AI218" s="173">
        <f t="shared" si="623"/>
        <v>1.2148613318342998</v>
      </c>
      <c r="AJ218" s="173">
        <f t="shared" si="624"/>
        <v>10</v>
      </c>
      <c r="AK218" s="173">
        <f t="shared" si="625"/>
        <v>1.0068571428571429</v>
      </c>
      <c r="AM218" s="545">
        <f t="shared" si="626"/>
        <v>200</v>
      </c>
      <c r="AN218" s="460">
        <f t="shared" si="627"/>
        <v>12</v>
      </c>
      <c r="AP218">
        <f t="shared" si="628"/>
        <v>200</v>
      </c>
      <c r="AQ218">
        <f t="shared" si="629"/>
        <v>12</v>
      </c>
      <c r="AS218" s="5">
        <f t="shared" si="600"/>
        <v>83.333333333333329</v>
      </c>
      <c r="AT218" s="5">
        <f t="shared" si="630"/>
        <v>1.4144500693935309</v>
      </c>
      <c r="AU218" s="5">
        <f t="shared" si="478"/>
        <v>81.918883263939804</v>
      </c>
      <c r="AV218" s="5"/>
      <c r="AW218" s="173">
        <f t="shared" si="479"/>
        <v>1.6973400832722373E-2</v>
      </c>
      <c r="AX218" s="173">
        <f t="shared" si="631"/>
        <v>7.2000000000000011</v>
      </c>
      <c r="AY218" s="173">
        <f t="shared" si="632"/>
        <v>4.9151329958363883</v>
      </c>
      <c r="AZ218" s="173">
        <f t="shared" si="633"/>
        <v>1.4648637190690719</v>
      </c>
      <c r="BA218" s="460">
        <f t="shared" si="594"/>
        <v>1.8859334258580414</v>
      </c>
      <c r="BB218" s="5">
        <f t="shared" si="595"/>
        <v>0.99888077687345</v>
      </c>
      <c r="BD218" s="173">
        <f t="shared" si="681"/>
        <v>0.7521835067039242</v>
      </c>
      <c r="BE218" s="173">
        <f t="shared" si="682"/>
        <v>5.7242950051142474</v>
      </c>
      <c r="BG218" s="528">
        <f t="shared" si="683"/>
        <v>1.1315600555148249E-2</v>
      </c>
      <c r="BH218" s="528">
        <f t="shared" si="634"/>
        <v>0.2257547631245172</v>
      </c>
      <c r="BI218" s="528">
        <f t="shared" si="635"/>
        <v>2.5451587708172404E-2</v>
      </c>
      <c r="BJ218" s="528">
        <f t="shared" si="684"/>
        <v>1.2080643098881632E-2</v>
      </c>
      <c r="BK218">
        <f t="shared" si="685"/>
        <v>3.8177381562258611E-2</v>
      </c>
      <c r="BL218" s="460">
        <f t="shared" si="686"/>
        <v>63.628969270431021</v>
      </c>
      <c r="BM218" s="528">
        <f t="shared" si="636"/>
        <v>0.25288612519921466</v>
      </c>
      <c r="BN218" s="460">
        <f t="shared" si="687"/>
        <v>252.88612519921466</v>
      </c>
      <c r="BO218" s="528">
        <f t="shared" si="637"/>
        <v>0.13999999999999999</v>
      </c>
      <c r="BR218" s="460">
        <f t="shared" si="688"/>
        <v>139.99999999999997</v>
      </c>
      <c r="BS218" s="528">
        <f t="shared" si="689"/>
        <v>1.6973400832722373E-2</v>
      </c>
      <c r="BT218" s="528">
        <f t="shared" si="690"/>
        <v>0.98302659916727764</v>
      </c>
      <c r="BU218" s="528">
        <f t="shared" si="691"/>
        <v>7.8872048280743991E-3</v>
      </c>
      <c r="BV218" s="528"/>
      <c r="BW218" s="528">
        <f t="shared" si="692"/>
        <v>1.2000000000000001E-3</v>
      </c>
      <c r="BX218" s="460">
        <f t="shared" si="693"/>
        <v>1009.0872048280746</v>
      </c>
      <c r="BY218" s="173">
        <f t="shared" si="694"/>
        <v>1.4618671808770527</v>
      </c>
      <c r="BZ218" s="5">
        <f t="shared" si="695"/>
        <v>3</v>
      </c>
      <c r="CA218" s="173">
        <f t="shared" si="696"/>
        <v>0.67236425433226388</v>
      </c>
      <c r="CB218" s="5">
        <f t="shared" si="697"/>
        <v>67.236425433226387</v>
      </c>
      <c r="CE218" s="562">
        <f t="shared" si="638"/>
        <v>-50</v>
      </c>
      <c r="CF218">
        <f t="shared" si="639"/>
        <v>-50</v>
      </c>
      <c r="CG218" s="173">
        <f t="shared" si="640"/>
        <v>6.1967733539318677E-2</v>
      </c>
      <c r="CI218" s="170">
        <v>2</v>
      </c>
      <c r="CJ218" s="217">
        <f t="shared" si="698"/>
        <v>0.2</v>
      </c>
      <c r="CK218" s="217"/>
      <c r="CL218" s="217">
        <f t="shared" si="641"/>
        <v>3</v>
      </c>
      <c r="CM218" s="541">
        <f t="shared" si="642"/>
        <v>85</v>
      </c>
      <c r="CN218" s="443">
        <f t="shared" si="643"/>
        <v>15.4</v>
      </c>
      <c r="CO218" s="443">
        <f t="shared" si="644"/>
        <v>100.4</v>
      </c>
      <c r="CP218" s="443"/>
      <c r="CQ218" s="217">
        <f t="shared" si="645"/>
        <v>0.15338645418326693</v>
      </c>
      <c r="CR218" s="172">
        <f t="shared" si="646"/>
        <v>327.33148655378488</v>
      </c>
      <c r="CS218" s="172">
        <f t="shared" si="647"/>
        <v>3</v>
      </c>
      <c r="CT218" s="217">
        <f t="shared" si="648"/>
        <v>21.822099103585661</v>
      </c>
      <c r="CU218" s="217">
        <f t="shared" si="649"/>
        <v>15</v>
      </c>
      <c r="CV218" s="217"/>
      <c r="CW218" s="172">
        <f t="shared" si="650"/>
        <v>10540.003225683049</v>
      </c>
      <c r="CX218" s="172">
        <f t="shared" si="651"/>
        <v>15</v>
      </c>
      <c r="CY218" s="217">
        <f t="shared" si="652"/>
        <v>0.46019862490450725</v>
      </c>
      <c r="CZ218" s="217">
        <f t="shared" si="653"/>
        <v>6.4969217633577492E-2</v>
      </c>
      <c r="DA218" s="217">
        <f t="shared" si="654"/>
        <v>0.35859633109442124</v>
      </c>
      <c r="DB218" s="197">
        <f t="shared" si="655"/>
        <v>108.64873837981409</v>
      </c>
      <c r="DC218" s="443">
        <f t="shared" si="656"/>
        <v>350</v>
      </c>
      <c r="DE218" s="217">
        <f t="shared" si="657"/>
        <v>10</v>
      </c>
      <c r="DF218" s="173">
        <f t="shared" si="658"/>
        <v>7.7922077922077913</v>
      </c>
      <c r="DG218" s="173">
        <f t="shared" si="659"/>
        <v>4.2330677290836656</v>
      </c>
      <c r="DH218" s="173"/>
      <c r="DI218" s="173">
        <f t="shared" si="660"/>
        <v>7.7922077922077913</v>
      </c>
      <c r="DJ218" s="545">
        <f t="shared" si="661"/>
        <v>12</v>
      </c>
      <c r="DK218" s="528">
        <f t="shared" si="662"/>
        <v>4.2330677290836656</v>
      </c>
      <c r="DM218" s="173">
        <f t="shared" si="663"/>
        <v>1.2110601416389968</v>
      </c>
      <c r="DN218" s="173">
        <f t="shared" si="664"/>
        <v>10</v>
      </c>
      <c r="DO218" s="173">
        <f t="shared" si="665"/>
        <v>1.0068571428571429</v>
      </c>
      <c r="DQ218" s="545">
        <f t="shared" si="666"/>
        <v>200</v>
      </c>
      <c r="DR218" s="460">
        <f t="shared" si="667"/>
        <v>12</v>
      </c>
      <c r="DT218">
        <f t="shared" si="668"/>
        <v>200</v>
      </c>
      <c r="DU218">
        <f t="shared" si="669"/>
        <v>12</v>
      </c>
      <c r="DW218" s="5">
        <f t="shared" si="670"/>
        <v>83.333333333333329</v>
      </c>
      <c r="DX218" s="5">
        <f t="shared" si="671"/>
        <v>1.4117647058823528</v>
      </c>
      <c r="DY218" s="5">
        <f t="shared" si="672"/>
        <v>81.921568627450981</v>
      </c>
      <c r="DZ218" s="5"/>
      <c r="EA218" s="173">
        <f t="shared" si="673"/>
        <v>1.6941176470588234E-2</v>
      </c>
      <c r="EB218" s="173">
        <f t="shared" si="699"/>
        <v>7.2000000000000011</v>
      </c>
      <c r="EC218" s="173">
        <f t="shared" si="700"/>
        <v>4.9152941176470586</v>
      </c>
      <c r="ED218" s="173">
        <f t="shared" si="701"/>
        <v>1.4648157012924847</v>
      </c>
      <c r="EE218" s="460">
        <f t="shared" si="674"/>
        <v>1.8823529411764706</v>
      </c>
      <c r="EF218" s="5">
        <f t="shared" si="675"/>
        <v>0.99701706240305432</v>
      </c>
      <c r="EH218" s="173">
        <f t="shared" si="702"/>
        <v>0.75146914930217945</v>
      </c>
      <c r="EI218" s="173">
        <f t="shared" si="703"/>
        <v>5.7243888277247903</v>
      </c>
      <c r="EK218" s="528">
        <f t="shared" si="704"/>
        <v>1.1294117647058826E-2</v>
      </c>
      <c r="EL218" s="528">
        <f t="shared" si="705"/>
        <v>0.24096000000000001</v>
      </c>
      <c r="EM218" s="528">
        <f t="shared" si="706"/>
        <v>1.5E-3</v>
      </c>
      <c r="EN218" s="528">
        <f t="shared" si="707"/>
        <v>1.2096192000000002E-2</v>
      </c>
      <c r="EO218">
        <f t="shared" si="708"/>
        <v>3.8249999999999999E-2</v>
      </c>
      <c r="EP218" s="460">
        <f t="shared" si="709"/>
        <v>39.75</v>
      </c>
      <c r="EQ218" s="460"/>
      <c r="ER218" s="460">
        <f t="shared" si="710"/>
        <v>304.10030964705885</v>
      </c>
      <c r="ES218" s="528">
        <f t="shared" si="711"/>
        <v>0.13999999999999999</v>
      </c>
      <c r="EV218" s="460">
        <f t="shared" si="712"/>
        <v>139.99999999999997</v>
      </c>
      <c r="EW218" s="528">
        <f t="shared" si="713"/>
        <v>1.6941176470588237E-2</v>
      </c>
      <c r="EX218" s="528">
        <f t="shared" si="714"/>
        <v>0.98305882352941187</v>
      </c>
      <c r="EY218" s="528">
        <f t="shared" si="715"/>
        <v>7.8872048280743991E-3</v>
      </c>
      <c r="EZ218" s="528"/>
      <c r="FA218" s="528">
        <f t="shared" si="716"/>
        <v>1.2000000000000001E-3</v>
      </c>
      <c r="FB218" s="460">
        <f t="shared" si="717"/>
        <v>1009.0872048280746</v>
      </c>
      <c r="FC218" s="173">
        <f t="shared" si="718"/>
        <v>1.4531875144751334</v>
      </c>
      <c r="FD218" s="5">
        <f t="shared" si="719"/>
        <v>3</v>
      </c>
      <c r="FE218" s="173">
        <f t="shared" si="720"/>
        <v>0.67367475325224191</v>
      </c>
      <c r="FF218" s="5">
        <f t="shared" si="721"/>
        <v>67.367475325224191</v>
      </c>
      <c r="FI218" s="562">
        <f t="shared" si="676"/>
        <v>-50</v>
      </c>
      <c r="FJ218">
        <f t="shared" si="677"/>
        <v>-50</v>
      </c>
      <c r="FL218">
        <f t="shared" si="678"/>
        <v>6.115766297251507E-2</v>
      </c>
    </row>
    <row r="219" spans="5:168">
      <c r="E219" s="170">
        <v>3</v>
      </c>
      <c r="F219" s="217">
        <f t="shared" si="679"/>
        <v>0.3</v>
      </c>
      <c r="G219" s="217"/>
      <c r="H219" s="217">
        <f t="shared" si="603"/>
        <v>4.5</v>
      </c>
      <c r="I219" s="541">
        <f t="shared" si="604"/>
        <v>84.802357646239471</v>
      </c>
      <c r="J219" s="172">
        <f t="shared" si="605"/>
        <v>15.518585412256314</v>
      </c>
      <c r="K219" s="172">
        <f t="shared" si="606"/>
        <v>100.32094305849579</v>
      </c>
      <c r="L219" s="443"/>
      <c r="M219" s="217">
        <f t="shared" si="607"/>
        <v>0.15470262418040792</v>
      </c>
      <c r="N219" s="172">
        <f t="shared" si="608"/>
        <v>329.37259101082753</v>
      </c>
      <c r="O219" s="172">
        <f t="shared" si="599"/>
        <v>4.5</v>
      </c>
      <c r="P219" s="217">
        <f t="shared" si="609"/>
        <v>21.958172734055168</v>
      </c>
      <c r="Q219" s="217">
        <f t="shared" si="610"/>
        <v>15</v>
      </c>
      <c r="R219" s="217"/>
      <c r="S219" s="172">
        <f t="shared" si="611"/>
        <v>6982.0656375582839</v>
      </c>
      <c r="T219" s="172">
        <f t="shared" si="612"/>
        <v>15</v>
      </c>
      <c r="U219" s="217">
        <f t="shared" si="613"/>
        <v>0.70980937261072874</v>
      </c>
      <c r="V219" s="217">
        <f t="shared" si="614"/>
        <v>0.10044193000931809</v>
      </c>
      <c r="W219" s="217">
        <f t="shared" si="615"/>
        <v>0.54887170737879254</v>
      </c>
      <c r="X219" s="197">
        <f t="shared" si="616"/>
        <v>109.31687427141753</v>
      </c>
      <c r="Y219" s="443">
        <f t="shared" si="680"/>
        <v>350</v>
      </c>
      <c r="AA219" s="217">
        <f t="shared" si="617"/>
        <v>10</v>
      </c>
      <c r="AB219" s="173">
        <f t="shared" si="618"/>
        <v>7.7326635651485374</v>
      </c>
      <c r="AC219" s="173">
        <f t="shared" si="619"/>
        <v>4.2265530536725704</v>
      </c>
      <c r="AD219" s="173"/>
      <c r="AE219" s="173">
        <f t="shared" si="620"/>
        <v>7.7326635651485374</v>
      </c>
      <c r="AF219" s="545">
        <f t="shared" si="621"/>
        <v>12</v>
      </c>
      <c r="AG219" s="528">
        <f t="shared" si="622"/>
        <v>4.2265530536725695</v>
      </c>
      <c r="AI219" s="173">
        <f t="shared" si="623"/>
        <v>1.4889394793541721</v>
      </c>
      <c r="AJ219" s="173">
        <f t="shared" si="624"/>
        <v>10</v>
      </c>
      <c r="AK219" s="173">
        <f t="shared" si="625"/>
        <v>1.0068571428571429</v>
      </c>
      <c r="AM219" s="545">
        <f t="shared" si="626"/>
        <v>300</v>
      </c>
      <c r="AN219" s="460">
        <f t="shared" si="627"/>
        <v>12</v>
      </c>
      <c r="AP219">
        <f t="shared" si="628"/>
        <v>300</v>
      </c>
      <c r="AQ219">
        <f t="shared" si="629"/>
        <v>12</v>
      </c>
      <c r="AS219" s="5">
        <f t="shared" si="600"/>
        <v>83.333333333333329</v>
      </c>
      <c r="AT219" s="5">
        <f t="shared" si="630"/>
        <v>1.4150549976521951</v>
      </c>
      <c r="AU219" s="5">
        <f t="shared" si="478"/>
        <v>81.918278335681137</v>
      </c>
      <c r="AV219" s="5"/>
      <c r="AW219" s="173">
        <f t="shared" si="479"/>
        <v>1.6980659971826344E-2</v>
      </c>
      <c r="AX219" s="173">
        <f t="shared" si="631"/>
        <v>7.2000000000000011</v>
      </c>
      <c r="AY219" s="173">
        <f t="shared" si="632"/>
        <v>4.9150967001408681</v>
      </c>
      <c r="AZ219" s="173">
        <f t="shared" si="633"/>
        <v>1.4648745364040645</v>
      </c>
      <c r="BA219" s="460">
        <f t="shared" si="594"/>
        <v>2.8301099953043907</v>
      </c>
      <c r="BB219" s="5">
        <f t="shared" si="595"/>
        <v>1.4989508942840835</v>
      </c>
      <c r="BD219" s="173">
        <f t="shared" si="681"/>
        <v>0.75234433543483137</v>
      </c>
      <c r="BE219" s="173">
        <f t="shared" si="682"/>
        <v>5.7242738696076074</v>
      </c>
      <c r="BG219" s="528">
        <f t="shared" si="683"/>
        <v>1.132043998121756E-2</v>
      </c>
      <c r="BH219" s="528">
        <f t="shared" si="634"/>
        <v>0.22572212188161553</v>
      </c>
      <c r="BI219" s="528">
        <f t="shared" si="635"/>
        <v>2.5440707293871836E-2</v>
      </c>
      <c r="BJ219" s="528">
        <f t="shared" si="684"/>
        <v>1.2077149939375144E-2</v>
      </c>
      <c r="BK219">
        <f t="shared" si="685"/>
        <v>3.8161060940807762E-2</v>
      </c>
      <c r="BL219" s="460">
        <f t="shared" si="686"/>
        <v>63.601768234679597</v>
      </c>
      <c r="BM219" s="528">
        <f t="shared" si="636"/>
        <v>0.252856347554408</v>
      </c>
      <c r="BN219" s="460">
        <f t="shared" si="687"/>
        <v>252.85634755440799</v>
      </c>
      <c r="BO219" s="528">
        <f t="shared" si="637"/>
        <v>0.21</v>
      </c>
      <c r="BR219" s="460">
        <f t="shared" si="688"/>
        <v>210</v>
      </c>
      <c r="BS219" s="528">
        <f t="shared" si="689"/>
        <v>1.698065997182634E-2</v>
      </c>
      <c r="BT219" s="528">
        <f t="shared" si="690"/>
        <v>0.98301934002817348</v>
      </c>
      <c r="BU219" s="528">
        <f t="shared" si="691"/>
        <v>7.8872048280743991E-3</v>
      </c>
      <c r="BV219" s="528"/>
      <c r="BW219" s="528">
        <f t="shared" si="692"/>
        <v>1.2000000000000001E-3</v>
      </c>
      <c r="BX219" s="460">
        <f t="shared" si="693"/>
        <v>1009.0872048280744</v>
      </c>
      <c r="BY219" s="173">
        <f t="shared" si="694"/>
        <v>1.5318086848649621</v>
      </c>
      <c r="BZ219" s="5">
        <f t="shared" si="695"/>
        <v>4.5</v>
      </c>
      <c r="CA219" s="173">
        <f t="shared" si="696"/>
        <v>0.74604488224094667</v>
      </c>
      <c r="CB219" s="5">
        <f t="shared" si="697"/>
        <v>74.604488224094666</v>
      </c>
      <c r="CE219" s="562">
        <f t="shared" si="638"/>
        <v>-50</v>
      </c>
      <c r="CF219">
        <f t="shared" si="639"/>
        <v>-50</v>
      </c>
      <c r="CG219" s="173">
        <f t="shared" si="640"/>
        <v>7.5894663844041116E-2</v>
      </c>
      <c r="CI219" s="170">
        <v>3</v>
      </c>
      <c r="CJ219" s="217">
        <f t="shared" si="698"/>
        <v>0.3</v>
      </c>
      <c r="CK219" s="217"/>
      <c r="CL219" s="217">
        <f t="shared" si="641"/>
        <v>4.5</v>
      </c>
      <c r="CM219" s="541">
        <f t="shared" si="642"/>
        <v>85</v>
      </c>
      <c r="CN219" s="443">
        <f t="shared" si="643"/>
        <v>15.4</v>
      </c>
      <c r="CO219" s="443">
        <f t="shared" si="644"/>
        <v>100.4</v>
      </c>
      <c r="CP219" s="443"/>
      <c r="CQ219" s="217">
        <f t="shared" si="645"/>
        <v>0.15338645418326693</v>
      </c>
      <c r="CR219" s="172">
        <f t="shared" si="646"/>
        <v>327.33148655378488</v>
      </c>
      <c r="CS219" s="172">
        <f t="shared" si="647"/>
        <v>4.5</v>
      </c>
      <c r="CT219" s="217">
        <f t="shared" si="648"/>
        <v>21.822099103585661</v>
      </c>
      <c r="CU219" s="217">
        <f t="shared" si="649"/>
        <v>15</v>
      </c>
      <c r="CV219" s="217"/>
      <c r="CW219" s="172">
        <f t="shared" si="650"/>
        <v>6998.3381913518897</v>
      </c>
      <c r="CX219" s="172">
        <f t="shared" si="651"/>
        <v>15</v>
      </c>
      <c r="CY219" s="217">
        <f t="shared" si="652"/>
        <v>0.69029793735676082</v>
      </c>
      <c r="CZ219" s="217">
        <f t="shared" si="653"/>
        <v>9.7453826450366238E-2</v>
      </c>
      <c r="DA219" s="217">
        <f t="shared" si="654"/>
        <v>0.5378944966416318</v>
      </c>
      <c r="DB219" s="197">
        <f t="shared" si="655"/>
        <v>108.64873837981409</v>
      </c>
      <c r="DC219" s="443">
        <f t="shared" si="656"/>
        <v>350</v>
      </c>
      <c r="DE219" s="217">
        <f t="shared" si="657"/>
        <v>10</v>
      </c>
      <c r="DF219" s="173">
        <f t="shared" si="658"/>
        <v>7.7922077922077913</v>
      </c>
      <c r="DG219" s="173">
        <f t="shared" si="659"/>
        <v>4.2330677290836656</v>
      </c>
      <c r="DH219" s="173"/>
      <c r="DI219" s="173">
        <f t="shared" si="660"/>
        <v>7.7922077922077913</v>
      </c>
      <c r="DJ219" s="545">
        <f t="shared" si="661"/>
        <v>12</v>
      </c>
      <c r="DK219" s="528">
        <f t="shared" si="662"/>
        <v>4.2330677290836656</v>
      </c>
      <c r="DM219" s="173">
        <f t="shared" si="663"/>
        <v>1.4832396974191326</v>
      </c>
      <c r="DN219" s="173">
        <f t="shared" si="664"/>
        <v>10</v>
      </c>
      <c r="DO219" s="173">
        <f t="shared" si="665"/>
        <v>1.0068571428571429</v>
      </c>
      <c r="DQ219" s="545">
        <f t="shared" si="666"/>
        <v>300</v>
      </c>
      <c r="DR219" s="460">
        <f t="shared" si="667"/>
        <v>12</v>
      </c>
      <c r="DT219">
        <f t="shared" si="668"/>
        <v>300</v>
      </c>
      <c r="DU219">
        <f t="shared" si="669"/>
        <v>12</v>
      </c>
      <c r="DW219" s="5">
        <f t="shared" si="670"/>
        <v>83.333333333333329</v>
      </c>
      <c r="DX219" s="5">
        <f t="shared" si="671"/>
        <v>1.4117647058823528</v>
      </c>
      <c r="DY219" s="5">
        <f t="shared" si="672"/>
        <v>81.921568627450981</v>
      </c>
      <c r="DZ219" s="5"/>
      <c r="EA219" s="173">
        <f t="shared" si="673"/>
        <v>1.6941176470588234E-2</v>
      </c>
      <c r="EB219" s="173">
        <f t="shared" si="699"/>
        <v>7.2000000000000011</v>
      </c>
      <c r="EC219" s="173">
        <f t="shared" si="700"/>
        <v>4.9152941176470586</v>
      </c>
      <c r="ED219" s="173">
        <f t="shared" si="701"/>
        <v>1.4648157012924847</v>
      </c>
      <c r="EE219" s="460">
        <f t="shared" si="674"/>
        <v>2.8235294117647056</v>
      </c>
      <c r="EF219" s="5">
        <f t="shared" si="675"/>
        <v>1.4955255936045817</v>
      </c>
      <c r="EH219" s="173">
        <f t="shared" si="702"/>
        <v>0.75146914930217945</v>
      </c>
      <c r="EI219" s="173">
        <f t="shared" si="703"/>
        <v>5.7243888277247903</v>
      </c>
      <c r="EK219" s="528">
        <f t="shared" si="704"/>
        <v>1.1294117647058826E-2</v>
      </c>
      <c r="EL219" s="528">
        <f t="shared" si="705"/>
        <v>0.24096000000000001</v>
      </c>
      <c r="EM219" s="528">
        <f t="shared" si="706"/>
        <v>1.5E-3</v>
      </c>
      <c r="EN219" s="528">
        <f t="shared" si="707"/>
        <v>1.2096192000000002E-2</v>
      </c>
      <c r="EO219">
        <f t="shared" si="708"/>
        <v>3.8249999999999999E-2</v>
      </c>
      <c r="EP219" s="460">
        <f t="shared" si="709"/>
        <v>39.75</v>
      </c>
      <c r="EQ219" s="460"/>
      <c r="ER219" s="460">
        <f t="shared" si="710"/>
        <v>304.10030964705885</v>
      </c>
      <c r="ES219" s="528">
        <f t="shared" si="711"/>
        <v>0.21</v>
      </c>
      <c r="EV219" s="460">
        <f t="shared" si="712"/>
        <v>210</v>
      </c>
      <c r="EW219" s="528">
        <f t="shared" si="713"/>
        <v>1.6941176470588237E-2</v>
      </c>
      <c r="EX219" s="528">
        <f t="shared" si="714"/>
        <v>0.98305882352941187</v>
      </c>
      <c r="EY219" s="528">
        <f t="shared" si="715"/>
        <v>7.8872048280743991E-3</v>
      </c>
      <c r="EZ219" s="528"/>
      <c r="FA219" s="528">
        <f t="shared" si="716"/>
        <v>1.2000000000000001E-3</v>
      </c>
      <c r="FB219" s="460">
        <f t="shared" si="717"/>
        <v>1009.0872048280746</v>
      </c>
      <c r="FC219" s="173">
        <f t="shared" si="718"/>
        <v>1.5231875144751337</v>
      </c>
      <c r="FD219" s="5">
        <f t="shared" si="719"/>
        <v>4.5</v>
      </c>
      <c r="FE219" s="173">
        <f t="shared" si="720"/>
        <v>0.74711271883623809</v>
      </c>
      <c r="FF219" s="5">
        <f t="shared" si="721"/>
        <v>74.711271883623809</v>
      </c>
      <c r="FI219" s="562">
        <f t="shared" si="676"/>
        <v>-50</v>
      </c>
      <c r="FJ219">
        <f t="shared" si="677"/>
        <v>-50</v>
      </c>
      <c r="FL219">
        <f t="shared" si="678"/>
        <v>7.4902534071883117E-2</v>
      </c>
    </row>
    <row r="220" spans="5:168">
      <c r="E220" s="170">
        <v>4</v>
      </c>
      <c r="F220" s="217">
        <f t="shared" si="679"/>
        <v>0.4</v>
      </c>
      <c r="G220" s="217"/>
      <c r="H220" s="217">
        <f t="shared" si="603"/>
        <v>6</v>
      </c>
      <c r="I220" s="541">
        <f t="shared" si="604"/>
        <v>84.771782267706186</v>
      </c>
      <c r="J220" s="172">
        <f t="shared" si="605"/>
        <v>15.536930639376292</v>
      </c>
      <c r="K220" s="172">
        <f t="shared" si="606"/>
        <v>100.30871290708248</v>
      </c>
      <c r="L220" s="443"/>
      <c r="M220" s="217">
        <f t="shared" si="607"/>
        <v>0.15490641800229143</v>
      </c>
      <c r="N220" s="172">
        <f t="shared" si="608"/>
        <v>329.68757086500659</v>
      </c>
      <c r="O220" s="172">
        <f t="shared" si="599"/>
        <v>6</v>
      </c>
      <c r="P220" s="217">
        <f t="shared" si="609"/>
        <v>21.979171391000438</v>
      </c>
      <c r="Q220" s="217">
        <f t="shared" si="610"/>
        <v>15</v>
      </c>
      <c r="R220" s="217"/>
      <c r="S220" s="172">
        <f t="shared" si="611"/>
        <v>5213.4711130218757</v>
      </c>
      <c r="T220" s="172">
        <f t="shared" si="612"/>
        <v>15</v>
      </c>
      <c r="U220" s="217">
        <f t="shared" si="613"/>
        <v>0.9466407236331007</v>
      </c>
      <c r="V220" s="217">
        <f t="shared" si="614"/>
        <v>0.13400318336735836</v>
      </c>
      <c r="W220" s="217">
        <f t="shared" si="615"/>
        <v>0.73114110806465105</v>
      </c>
      <c r="X220" s="197">
        <f t="shared" si="616"/>
        <v>109.41998149998729</v>
      </c>
      <c r="Y220" s="443">
        <f t="shared" si="680"/>
        <v>350</v>
      </c>
      <c r="AA220" s="217">
        <f t="shared" si="617"/>
        <v>10</v>
      </c>
      <c r="AB220" s="173">
        <f t="shared" si="618"/>
        <v>7.7235332245016206</v>
      </c>
      <c r="AC220" s="173">
        <f t="shared" si="619"/>
        <v>4.2255443126975223</v>
      </c>
      <c r="AD220" s="173"/>
      <c r="AE220" s="173">
        <f t="shared" si="620"/>
        <v>7.7235332245016206</v>
      </c>
      <c r="AF220" s="545">
        <f t="shared" si="621"/>
        <v>12</v>
      </c>
      <c r="AG220" s="528">
        <f t="shared" si="622"/>
        <v>4.2255443126975232</v>
      </c>
      <c r="AI220" s="173">
        <f t="shared" si="623"/>
        <v>1.7202951374346203</v>
      </c>
      <c r="AJ220" s="173">
        <f t="shared" si="624"/>
        <v>10</v>
      </c>
      <c r="AK220" s="173">
        <f t="shared" si="625"/>
        <v>1.0068571428571429</v>
      </c>
      <c r="AM220" s="545">
        <f t="shared" si="626"/>
        <v>400</v>
      </c>
      <c r="AN220" s="460">
        <f t="shared" si="627"/>
        <v>12</v>
      </c>
      <c r="AP220">
        <f t="shared" si="628"/>
        <v>400</v>
      </c>
      <c r="AQ220">
        <f t="shared" si="629"/>
        <v>12</v>
      </c>
      <c r="AS220" s="5">
        <f t="shared" si="600"/>
        <v>83.333333333333329</v>
      </c>
      <c r="AT220" s="5">
        <f t="shared" si="630"/>
        <v>1.4155653778877078</v>
      </c>
      <c r="AU220" s="5">
        <f t="shared" si="478"/>
        <v>81.917767955445626</v>
      </c>
      <c r="AV220" s="5"/>
      <c r="AW220" s="173">
        <f t="shared" si="479"/>
        <v>1.6986784534652494E-2</v>
      </c>
      <c r="AX220" s="173">
        <f t="shared" si="631"/>
        <v>7.2000000000000011</v>
      </c>
      <c r="AY220" s="173">
        <f t="shared" si="632"/>
        <v>4.9150660773267374</v>
      </c>
      <c r="AZ220" s="173">
        <f t="shared" si="633"/>
        <v>1.4648836631543354</v>
      </c>
      <c r="BA220" s="460">
        <f t="shared" si="594"/>
        <v>3.7748410077005543</v>
      </c>
      <c r="BB220" s="5">
        <f t="shared" si="595"/>
        <v>1.9993095888201369</v>
      </c>
      <c r="BD220" s="173">
        <f t="shared" si="681"/>
        <v>0.7524800005017297</v>
      </c>
      <c r="BE220" s="173">
        <f t="shared" si="682"/>
        <v>5.7242560374408704</v>
      </c>
      <c r="BG220" s="528">
        <f t="shared" si="683"/>
        <v>1.1324523023101662E-2</v>
      </c>
      <c r="BH220" s="528">
        <f t="shared" si="634"/>
        <v>0.22569460404093561</v>
      </c>
      <c r="BI220" s="528">
        <f t="shared" si="635"/>
        <v>2.5431534680311858E-2</v>
      </c>
      <c r="BJ220" s="528">
        <f t="shared" si="684"/>
        <v>1.2074205462090596E-2</v>
      </c>
      <c r="BK220">
        <f t="shared" si="685"/>
        <v>3.8147302020467781E-2</v>
      </c>
      <c r="BL220" s="460">
        <f t="shared" si="686"/>
        <v>63.57883670077964</v>
      </c>
      <c r="BM220" s="528">
        <f t="shared" si="636"/>
        <v>0.25283124846907851</v>
      </c>
      <c r="BN220" s="460">
        <f t="shared" si="687"/>
        <v>252.8312484690785</v>
      </c>
      <c r="BO220" s="528">
        <f t="shared" si="637"/>
        <v>0.27999999999999997</v>
      </c>
      <c r="BR220" s="460">
        <f t="shared" si="688"/>
        <v>279.99999999999994</v>
      </c>
      <c r="BS220" s="528">
        <f t="shared" si="689"/>
        <v>1.6986784534652494E-2</v>
      </c>
      <c r="BT220" s="528">
        <f t="shared" si="690"/>
        <v>0.9830132154653477</v>
      </c>
      <c r="BU220" s="528">
        <f t="shared" si="691"/>
        <v>7.8872048280743991E-3</v>
      </c>
      <c r="BV220" s="528"/>
      <c r="BW220" s="528">
        <f t="shared" si="692"/>
        <v>1.2000000000000001E-3</v>
      </c>
      <c r="BX220" s="460">
        <f t="shared" si="693"/>
        <v>1009.0872048280748</v>
      </c>
      <c r="BY220" s="173">
        <f t="shared" si="694"/>
        <v>1.6017593740549823</v>
      </c>
      <c r="BZ220" s="5">
        <f t="shared" si="695"/>
        <v>6</v>
      </c>
      <c r="CA220" s="173">
        <f t="shared" si="696"/>
        <v>0.78929096604638238</v>
      </c>
      <c r="CB220" s="5">
        <f t="shared" si="697"/>
        <v>78.929096604638232</v>
      </c>
      <c r="CE220" s="562">
        <f t="shared" si="638"/>
        <v>-50</v>
      </c>
      <c r="CF220">
        <f t="shared" si="639"/>
        <v>-50</v>
      </c>
      <c r="CG220" s="173">
        <f t="shared" si="640"/>
        <v>8.7635609200826581E-2</v>
      </c>
      <c r="CI220" s="170">
        <v>4</v>
      </c>
      <c r="CJ220" s="217">
        <f t="shared" si="698"/>
        <v>0.4</v>
      </c>
      <c r="CK220" s="217"/>
      <c r="CL220" s="217">
        <f t="shared" si="641"/>
        <v>6</v>
      </c>
      <c r="CM220" s="541">
        <f t="shared" si="642"/>
        <v>85</v>
      </c>
      <c r="CN220" s="443">
        <f t="shared" si="643"/>
        <v>15.4</v>
      </c>
      <c r="CO220" s="443">
        <f t="shared" si="644"/>
        <v>100.4</v>
      </c>
      <c r="CP220" s="443"/>
      <c r="CQ220" s="217">
        <f t="shared" si="645"/>
        <v>0.15338645418326693</v>
      </c>
      <c r="CR220" s="172">
        <f t="shared" si="646"/>
        <v>327.33148655378488</v>
      </c>
      <c r="CS220" s="172">
        <f t="shared" si="647"/>
        <v>6</v>
      </c>
      <c r="CT220" s="217">
        <f t="shared" si="648"/>
        <v>21.822099103585661</v>
      </c>
      <c r="CU220" s="217">
        <f t="shared" si="649"/>
        <v>15</v>
      </c>
      <c r="CV220" s="217"/>
      <c r="CW220" s="172">
        <f t="shared" si="650"/>
        <v>5227.506503559307</v>
      </c>
      <c r="CX220" s="172">
        <f t="shared" si="651"/>
        <v>15</v>
      </c>
      <c r="CY220" s="217">
        <f t="shared" si="652"/>
        <v>0.92039724980901449</v>
      </c>
      <c r="CZ220" s="217">
        <f t="shared" si="653"/>
        <v>0.12993843526715498</v>
      </c>
      <c r="DA220" s="217">
        <f t="shared" si="654"/>
        <v>0.71719266218884248</v>
      </c>
      <c r="DB220" s="197">
        <f t="shared" si="655"/>
        <v>108.64873837981409</v>
      </c>
      <c r="DC220" s="443">
        <f t="shared" si="656"/>
        <v>350</v>
      </c>
      <c r="DE220" s="217">
        <f t="shared" si="657"/>
        <v>10</v>
      </c>
      <c r="DF220" s="173">
        <f t="shared" si="658"/>
        <v>7.7922077922077913</v>
      </c>
      <c r="DG220" s="173">
        <f t="shared" si="659"/>
        <v>4.2330677290836656</v>
      </c>
      <c r="DH220" s="173"/>
      <c r="DI220" s="173">
        <f t="shared" si="660"/>
        <v>7.7922077922077913</v>
      </c>
      <c r="DJ220" s="545">
        <f t="shared" si="661"/>
        <v>12</v>
      </c>
      <c r="DK220" s="528">
        <f t="shared" si="662"/>
        <v>4.2330677290836656</v>
      </c>
      <c r="DM220" s="173">
        <f t="shared" si="663"/>
        <v>1.7126976771553506</v>
      </c>
      <c r="DN220" s="173">
        <f t="shared" si="664"/>
        <v>10</v>
      </c>
      <c r="DO220" s="173">
        <f t="shared" si="665"/>
        <v>1.0068571428571429</v>
      </c>
      <c r="DQ220" s="545">
        <f t="shared" si="666"/>
        <v>400</v>
      </c>
      <c r="DR220" s="460">
        <f t="shared" si="667"/>
        <v>12</v>
      </c>
      <c r="DT220">
        <f t="shared" si="668"/>
        <v>400</v>
      </c>
      <c r="DU220">
        <f t="shared" si="669"/>
        <v>12</v>
      </c>
      <c r="DW220" s="5">
        <f t="shared" si="670"/>
        <v>83.333333333333329</v>
      </c>
      <c r="DX220" s="5">
        <f t="shared" si="671"/>
        <v>1.4117647058823528</v>
      </c>
      <c r="DY220" s="5">
        <f t="shared" si="672"/>
        <v>81.921568627450981</v>
      </c>
      <c r="DZ220" s="5"/>
      <c r="EA220" s="173">
        <f t="shared" si="673"/>
        <v>1.6941176470588234E-2</v>
      </c>
      <c r="EB220" s="173">
        <f t="shared" si="699"/>
        <v>7.2000000000000011</v>
      </c>
      <c r="EC220" s="173">
        <f t="shared" si="700"/>
        <v>4.9152941176470586</v>
      </c>
      <c r="ED220" s="173">
        <f t="shared" si="701"/>
        <v>1.4648157012924847</v>
      </c>
      <c r="EE220" s="460">
        <f t="shared" si="674"/>
        <v>3.7647058823529411</v>
      </c>
      <c r="EF220" s="5">
        <f t="shared" si="675"/>
        <v>1.9940341248061086</v>
      </c>
      <c r="EH220" s="173">
        <f t="shared" si="702"/>
        <v>0.75146914930217945</v>
      </c>
      <c r="EI220" s="173">
        <f t="shared" si="703"/>
        <v>5.7243888277247903</v>
      </c>
      <c r="EK220" s="528">
        <f t="shared" si="704"/>
        <v>1.1294117647058826E-2</v>
      </c>
      <c r="EL220" s="528">
        <f t="shared" si="705"/>
        <v>0.24096000000000001</v>
      </c>
      <c r="EM220" s="528">
        <f t="shared" si="706"/>
        <v>1.5E-3</v>
      </c>
      <c r="EN220" s="528">
        <f t="shared" si="707"/>
        <v>1.2096192000000002E-2</v>
      </c>
      <c r="EO220">
        <f t="shared" si="708"/>
        <v>3.8249999999999999E-2</v>
      </c>
      <c r="EP220" s="460">
        <f t="shared" si="709"/>
        <v>39.75</v>
      </c>
      <c r="EQ220" s="460"/>
      <c r="ER220" s="460">
        <f t="shared" si="710"/>
        <v>304.10030964705885</v>
      </c>
      <c r="ES220" s="528">
        <f t="shared" si="711"/>
        <v>0.27999999999999997</v>
      </c>
      <c r="EV220" s="460">
        <f t="shared" si="712"/>
        <v>279.99999999999994</v>
      </c>
      <c r="EW220" s="528">
        <f t="shared" si="713"/>
        <v>1.6941176470588237E-2</v>
      </c>
      <c r="EX220" s="528">
        <f t="shared" si="714"/>
        <v>0.98305882352941187</v>
      </c>
      <c r="EY220" s="528">
        <f t="shared" si="715"/>
        <v>7.8872048280743991E-3</v>
      </c>
      <c r="EZ220" s="528"/>
      <c r="FA220" s="528">
        <f t="shared" si="716"/>
        <v>1.2000000000000001E-3</v>
      </c>
      <c r="FB220" s="460">
        <f t="shared" si="717"/>
        <v>1009.0872048280746</v>
      </c>
      <c r="FC220" s="173">
        <f t="shared" si="718"/>
        <v>1.5931875144751335</v>
      </c>
      <c r="FD220" s="5">
        <f t="shared" si="719"/>
        <v>6</v>
      </c>
      <c r="FE220" s="173">
        <f t="shared" si="720"/>
        <v>0.7901819872829442</v>
      </c>
      <c r="FF220" s="5">
        <f t="shared" si="721"/>
        <v>79.018198728294422</v>
      </c>
      <c r="FI220" s="562">
        <f t="shared" si="676"/>
        <v>-50</v>
      </c>
      <c r="FJ220">
        <f t="shared" si="677"/>
        <v>-50</v>
      </c>
      <c r="FL220">
        <f t="shared" si="678"/>
        <v>8.6489996418773668E-2</v>
      </c>
    </row>
    <row r="221" spans="5:168">
      <c r="E221" s="170">
        <v>5</v>
      </c>
      <c r="F221" s="217">
        <f t="shared" si="679"/>
        <v>0.5</v>
      </c>
      <c r="G221" s="217"/>
      <c r="H221" s="217">
        <f t="shared" si="603"/>
        <v>7.5</v>
      </c>
      <c r="I221" s="541">
        <f t="shared" si="604"/>
        <v>84.753268114390082</v>
      </c>
      <c r="J221" s="172">
        <f t="shared" si="605"/>
        <v>15.548039131365949</v>
      </c>
      <c r="K221" s="172">
        <f t="shared" si="606"/>
        <v>100.30130724575604</v>
      </c>
      <c r="L221" s="443"/>
      <c r="M221" s="217">
        <f t="shared" si="607"/>
        <v>0.15502984391561525</v>
      </c>
      <c r="N221" s="172">
        <f t="shared" si="608"/>
        <v>329.8781973075603</v>
      </c>
      <c r="O221" s="172">
        <f t="shared" si="599"/>
        <v>7.5</v>
      </c>
      <c r="P221" s="217">
        <f t="shared" si="609"/>
        <v>21.991879820504021</v>
      </c>
      <c r="Q221" s="217">
        <f t="shared" si="610"/>
        <v>15</v>
      </c>
      <c r="R221" s="217"/>
      <c r="S221" s="172">
        <f t="shared" si="611"/>
        <v>4152.9183000681851</v>
      </c>
      <c r="T221" s="172">
        <f t="shared" si="612"/>
        <v>15</v>
      </c>
      <c r="U221" s="217">
        <f t="shared" si="613"/>
        <v>1.1834737508766318</v>
      </c>
      <c r="V221" s="217">
        <f t="shared" si="614"/>
        <v>0.1675650429355928</v>
      </c>
      <c r="W221" s="217">
        <f t="shared" si="615"/>
        <v>0.91340682194899492</v>
      </c>
      <c r="X221" s="197">
        <f t="shared" si="616"/>
        <v>109.48238241177424</v>
      </c>
      <c r="Y221" s="443">
        <f t="shared" si="680"/>
        <v>350</v>
      </c>
      <c r="AA221" s="217">
        <f t="shared" si="617"/>
        <v>10</v>
      </c>
      <c r="AB221" s="173">
        <f t="shared" si="618"/>
        <v>7.7180150491078416</v>
      </c>
      <c r="AC221" s="173">
        <f t="shared" si="619"/>
        <v>4.2249333753312666</v>
      </c>
      <c r="AD221" s="173"/>
      <c r="AE221" s="173">
        <f t="shared" si="620"/>
        <v>7.7180150491078416</v>
      </c>
      <c r="AF221" s="545">
        <f t="shared" si="621"/>
        <v>12.956699276138288</v>
      </c>
      <c r="AG221" s="528">
        <f t="shared" si="622"/>
        <v>4.2249333753312666</v>
      </c>
      <c r="AI221" s="173">
        <f t="shared" si="623"/>
        <v>1.9240358829545394</v>
      </c>
      <c r="AJ221" s="173">
        <f t="shared" si="624"/>
        <v>10</v>
      </c>
      <c r="AK221" s="173">
        <f t="shared" si="625"/>
        <v>1.0074038281577933</v>
      </c>
      <c r="AM221" s="545">
        <f t="shared" si="626"/>
        <v>500</v>
      </c>
      <c r="AN221" s="460">
        <f t="shared" si="627"/>
        <v>12.956699276138288</v>
      </c>
      <c r="AP221">
        <f t="shared" si="628"/>
        <v>500</v>
      </c>
      <c r="AQ221">
        <f t="shared" si="629"/>
        <v>12.956699276138288</v>
      </c>
      <c r="AS221" s="5">
        <f t="shared" si="600"/>
        <v>77.180150491078436</v>
      </c>
      <c r="AT221" s="5">
        <f t="shared" si="630"/>
        <v>1.4158746048357451</v>
      </c>
      <c r="AU221" s="5">
        <f t="shared" si="478"/>
        <v>75.764275886242686</v>
      </c>
      <c r="AV221" s="5"/>
      <c r="AW221" s="173">
        <f t="shared" si="479"/>
        <v>1.8345061467577882E-2</v>
      </c>
      <c r="AX221" s="173">
        <f t="shared" si="631"/>
        <v>7.7740195656829734</v>
      </c>
      <c r="AY221" s="173">
        <f t="shared" si="632"/>
        <v>4.9082746926621104</v>
      </c>
      <c r="AZ221" s="173">
        <f t="shared" si="633"/>
        <v>1.5838599207385771</v>
      </c>
      <c r="BA221" s="460">
        <f t="shared" si="594"/>
        <v>4.7195820161191504</v>
      </c>
      <c r="BB221" s="5">
        <f t="shared" si="595"/>
        <v>2.3119119435581941</v>
      </c>
      <c r="BD221" s="173">
        <f t="shared" si="681"/>
        <v>0.78198596465618397</v>
      </c>
      <c r="BE221" s="173">
        <f t="shared" si="682"/>
        <v>5.7202999295853418</v>
      </c>
      <c r="BG221" s="528">
        <f t="shared" si="683"/>
        <v>1.2230040978385252E-2</v>
      </c>
      <c r="BH221" s="528">
        <f t="shared" si="634"/>
        <v>0.24367010156002711</v>
      </c>
      <c r="BI221" s="528">
        <f t="shared" si="635"/>
        <v>2.7453065190701804E-2</v>
      </c>
      <c r="BJ221" s="528">
        <f t="shared" si="684"/>
        <v>1.3034895852360989E-2</v>
      </c>
      <c r="BK221">
        <f t="shared" si="685"/>
        <v>3.8138970651475534E-2</v>
      </c>
      <c r="BL221" s="460">
        <f t="shared" si="686"/>
        <v>65.592035842177339</v>
      </c>
      <c r="BM221" s="528">
        <f t="shared" si="636"/>
        <v>0.27303053735419908</v>
      </c>
      <c r="BN221" s="460">
        <f t="shared" si="687"/>
        <v>273.03053735419905</v>
      </c>
      <c r="BO221" s="528">
        <f t="shared" si="637"/>
        <v>0.35</v>
      </c>
      <c r="BR221" s="460">
        <f t="shared" si="688"/>
        <v>350</v>
      </c>
      <c r="BS221" s="528">
        <f t="shared" si="689"/>
        <v>1.8345061467577879E-2</v>
      </c>
      <c r="BT221" s="528">
        <f t="shared" si="690"/>
        <v>0.98165493853242192</v>
      </c>
      <c r="BU221" s="528">
        <f t="shared" si="691"/>
        <v>9.5544557126780744E-3</v>
      </c>
      <c r="BV221" s="528"/>
      <c r="BW221" s="528">
        <f t="shared" si="692"/>
        <v>1.295669927613829E-3</v>
      </c>
      <c r="BX221" s="460">
        <f t="shared" si="693"/>
        <v>1010.8501256402917</v>
      </c>
      <c r="BY221" s="173">
        <f t="shared" si="694"/>
        <v>1.6953771998732425</v>
      </c>
      <c r="BZ221" s="5">
        <f t="shared" si="695"/>
        <v>7.5</v>
      </c>
      <c r="CA221" s="173">
        <f t="shared" si="696"/>
        <v>0.81562722626575745</v>
      </c>
      <c r="CB221" s="5">
        <f t="shared" si="697"/>
        <v>81.562722626575749</v>
      </c>
      <c r="CE221" s="562">
        <f t="shared" si="638"/>
        <v>-50</v>
      </c>
      <c r="CF221">
        <f t="shared" si="639"/>
        <v>-50</v>
      </c>
      <c r="CG221" s="173">
        <f t="shared" si="640"/>
        <v>0.10132456102380442</v>
      </c>
      <c r="CI221" s="170">
        <v>5</v>
      </c>
      <c r="CJ221" s="217">
        <f t="shared" si="698"/>
        <v>0.5</v>
      </c>
      <c r="CK221" s="217"/>
      <c r="CL221" s="217">
        <f t="shared" si="641"/>
        <v>7.5</v>
      </c>
      <c r="CM221" s="541">
        <f t="shared" si="642"/>
        <v>85</v>
      </c>
      <c r="CN221" s="443">
        <f t="shared" si="643"/>
        <v>15.4</v>
      </c>
      <c r="CO221" s="443">
        <f t="shared" si="644"/>
        <v>100.4</v>
      </c>
      <c r="CP221" s="443"/>
      <c r="CQ221" s="217">
        <f t="shared" si="645"/>
        <v>0.15338645418326693</v>
      </c>
      <c r="CR221" s="172">
        <f t="shared" si="646"/>
        <v>327.33148655378488</v>
      </c>
      <c r="CS221" s="172">
        <f t="shared" si="647"/>
        <v>7.5</v>
      </c>
      <c r="CT221" s="217">
        <f t="shared" si="648"/>
        <v>21.822099103585661</v>
      </c>
      <c r="CU221" s="217">
        <f t="shared" si="649"/>
        <v>15</v>
      </c>
      <c r="CV221" s="217"/>
      <c r="CW221" s="172">
        <f t="shared" si="650"/>
        <v>4165.0081624653994</v>
      </c>
      <c r="CX221" s="172">
        <f t="shared" si="651"/>
        <v>15</v>
      </c>
      <c r="CY221" s="217">
        <f t="shared" si="652"/>
        <v>1.1504965622612682</v>
      </c>
      <c r="CZ221" s="217">
        <f t="shared" si="653"/>
        <v>0.16242304408394373</v>
      </c>
      <c r="DA221" s="217">
        <f t="shared" si="654"/>
        <v>0.89649082773605304</v>
      </c>
      <c r="DB221" s="197">
        <f t="shared" si="655"/>
        <v>108.64873837981409</v>
      </c>
      <c r="DC221" s="443">
        <f t="shared" si="656"/>
        <v>350</v>
      </c>
      <c r="DE221" s="217">
        <f t="shared" si="657"/>
        <v>10</v>
      </c>
      <c r="DF221" s="173">
        <f t="shared" si="658"/>
        <v>7.7922077922077913</v>
      </c>
      <c r="DG221" s="173">
        <f t="shared" si="659"/>
        <v>4.2330677290836656</v>
      </c>
      <c r="DH221" s="173"/>
      <c r="DI221" s="173">
        <f t="shared" si="660"/>
        <v>7.7922077922077913</v>
      </c>
      <c r="DJ221" s="545">
        <f t="shared" si="661"/>
        <v>12.833333333333334</v>
      </c>
      <c r="DK221" s="528">
        <f t="shared" si="662"/>
        <v>4.2330677290836656</v>
      </c>
      <c r="DM221" s="173">
        <f t="shared" si="663"/>
        <v>1.9148542155126762</v>
      </c>
      <c r="DN221" s="173">
        <f t="shared" si="664"/>
        <v>10</v>
      </c>
      <c r="DO221" s="173">
        <f t="shared" si="665"/>
        <v>1.0073333333333334</v>
      </c>
      <c r="DQ221" s="545">
        <f t="shared" si="666"/>
        <v>500</v>
      </c>
      <c r="DR221" s="460">
        <f t="shared" si="667"/>
        <v>12.833333333333334</v>
      </c>
      <c r="DT221">
        <f t="shared" si="668"/>
        <v>500</v>
      </c>
      <c r="DU221">
        <f t="shared" si="669"/>
        <v>12.833333333333334</v>
      </c>
      <c r="DW221" s="5">
        <f t="shared" si="670"/>
        <v>77.922077922077918</v>
      </c>
      <c r="DX221" s="5">
        <f t="shared" si="671"/>
        <v>1.4117647058823528</v>
      </c>
      <c r="DY221" s="5">
        <f t="shared" si="672"/>
        <v>76.51031321619557</v>
      </c>
      <c r="DZ221" s="5"/>
      <c r="EA221" s="173">
        <f t="shared" si="673"/>
        <v>1.811764705882353E-2</v>
      </c>
      <c r="EB221" s="173">
        <f t="shared" si="699"/>
        <v>7.7000000000000011</v>
      </c>
      <c r="EC221" s="173">
        <f t="shared" si="700"/>
        <v>4.9094117647058821</v>
      </c>
      <c r="ED221" s="173">
        <f t="shared" si="701"/>
        <v>1.5684160076683444</v>
      </c>
      <c r="EE221" s="460">
        <f t="shared" si="674"/>
        <v>4.7058823529411757</v>
      </c>
      <c r="EF221" s="5">
        <f t="shared" si="675"/>
        <v>2.3278999964359706</v>
      </c>
      <c r="EH221" s="173">
        <f t="shared" si="702"/>
        <v>0.77712390815586874</v>
      </c>
      <c r="EI221" s="173">
        <f t="shared" si="703"/>
        <v>5.7209624858677302</v>
      </c>
      <c r="EK221" s="528">
        <f t="shared" si="704"/>
        <v>1.2078431372549022E-2</v>
      </c>
      <c r="EL221" s="528">
        <f t="shared" si="705"/>
        <v>0.25769333333333339</v>
      </c>
      <c r="EM221" s="528">
        <f t="shared" si="706"/>
        <v>1.6041666666666667E-3</v>
      </c>
      <c r="EN221" s="528">
        <f t="shared" si="707"/>
        <v>1.2936205333333336E-2</v>
      </c>
      <c r="EO221">
        <f t="shared" si="708"/>
        <v>3.8249999999999999E-2</v>
      </c>
      <c r="EP221" s="460">
        <f t="shared" si="709"/>
        <v>39.854166666666664</v>
      </c>
      <c r="EQ221" s="460"/>
      <c r="ER221" s="460">
        <f t="shared" si="710"/>
        <v>322.56213670588244</v>
      </c>
      <c r="ES221" s="528">
        <f t="shared" si="711"/>
        <v>0.35</v>
      </c>
      <c r="EV221" s="460">
        <f t="shared" si="712"/>
        <v>350</v>
      </c>
      <c r="EW221" s="528">
        <f t="shared" si="713"/>
        <v>1.811764705882353E-2</v>
      </c>
      <c r="EX221" s="528">
        <f t="shared" si="714"/>
        <v>0.98188235294117632</v>
      </c>
      <c r="EY221" s="528">
        <f t="shared" si="715"/>
        <v>9.3286476832938024E-3</v>
      </c>
      <c r="EZ221" s="528"/>
      <c r="FA221" s="528">
        <f t="shared" si="716"/>
        <v>1.2833333333333334E-3</v>
      </c>
      <c r="FB221" s="460">
        <f t="shared" si="717"/>
        <v>1010.6119810166269</v>
      </c>
      <c r="FC221" s="173">
        <f t="shared" si="718"/>
        <v>1.6831741177225095</v>
      </c>
      <c r="FD221" s="5">
        <f t="shared" si="719"/>
        <v>7.5</v>
      </c>
      <c r="FE221" s="173">
        <f t="shared" si="720"/>
        <v>0.81671107439048007</v>
      </c>
      <c r="FF221" s="5">
        <f t="shared" si="721"/>
        <v>81.671107439048001</v>
      </c>
      <c r="FI221" s="562">
        <f t="shared" si="676"/>
        <v>-50</v>
      </c>
      <c r="FJ221">
        <f t="shared" si="677"/>
        <v>-50</v>
      </c>
      <c r="FL221">
        <f t="shared" si="678"/>
        <v>0.1</v>
      </c>
    </row>
    <row r="222" spans="5:168">
      <c r="E222" s="170">
        <v>6</v>
      </c>
      <c r="F222" s="217">
        <f t="shared" si="679"/>
        <v>0.6</v>
      </c>
      <c r="G222" s="217"/>
      <c r="H222" s="217">
        <f t="shared" si="603"/>
        <v>9</v>
      </c>
      <c r="I222" s="541">
        <f t="shared" si="604"/>
        <v>84.753268114390082</v>
      </c>
      <c r="J222" s="172">
        <f t="shared" si="605"/>
        <v>15.548039131365949</v>
      </c>
      <c r="K222" s="172">
        <f t="shared" si="606"/>
        <v>100.30130724575604</v>
      </c>
      <c r="L222" s="443"/>
      <c r="M222" s="217">
        <f t="shared" si="607"/>
        <v>0.15502984391561525</v>
      </c>
      <c r="N222" s="172">
        <f t="shared" si="608"/>
        <v>329.8781973075603</v>
      </c>
      <c r="O222" s="172">
        <f t="shared" si="599"/>
        <v>9</v>
      </c>
      <c r="P222" s="217">
        <f t="shared" si="609"/>
        <v>21.991879820504021</v>
      </c>
      <c r="Q222" s="217">
        <f t="shared" si="610"/>
        <v>15</v>
      </c>
      <c r="R222" s="217"/>
      <c r="S222" s="172">
        <f t="shared" si="611"/>
        <v>3446.6427382146489</v>
      </c>
      <c r="T222" s="172">
        <f t="shared" si="612"/>
        <v>15</v>
      </c>
      <c r="U222" s="217">
        <f t="shared" si="613"/>
        <v>1.420168501051958</v>
      </c>
      <c r="V222" s="217">
        <f t="shared" si="614"/>
        <v>0.20107805152271133</v>
      </c>
      <c r="W222" s="217">
        <f t="shared" si="615"/>
        <v>1.0960881863387937</v>
      </c>
      <c r="X222" s="197">
        <f t="shared" si="616"/>
        <v>109.48238241177424</v>
      </c>
      <c r="Y222" s="443">
        <f t="shared" si="680"/>
        <v>350</v>
      </c>
      <c r="AA222" s="217">
        <f t="shared" si="617"/>
        <v>10</v>
      </c>
      <c r="AB222" s="173">
        <f t="shared" si="618"/>
        <v>7.7180150491078416</v>
      </c>
      <c r="AC222" s="173">
        <f t="shared" si="619"/>
        <v>4.2249333753312666</v>
      </c>
      <c r="AD222" s="173"/>
      <c r="AE222" s="173">
        <f t="shared" si="620"/>
        <v>7.7180150491078416</v>
      </c>
      <c r="AF222" s="545">
        <f t="shared" si="621"/>
        <v>15.548039131365945</v>
      </c>
      <c r="AG222" s="528">
        <f t="shared" si="622"/>
        <v>4.2249333753312666</v>
      </c>
      <c r="AI222" s="173">
        <f t="shared" si="623"/>
        <v>2.1076757090871414</v>
      </c>
      <c r="AJ222" s="173">
        <f t="shared" si="624"/>
        <v>10</v>
      </c>
      <c r="AK222" s="173">
        <f t="shared" si="625"/>
        <v>1.008884593789352</v>
      </c>
      <c r="AM222" s="545">
        <f t="shared" si="626"/>
        <v>600</v>
      </c>
      <c r="AN222" s="460">
        <f>IF(F222&gt;AG222, Y222, AF222)</f>
        <v>15.548039131365945</v>
      </c>
      <c r="AP222">
        <f t="shared" si="628"/>
        <v>600</v>
      </c>
      <c r="AQ222">
        <f t="shared" si="629"/>
        <v>15.548039131365945</v>
      </c>
      <c r="AS222" s="5">
        <f t="shared" si="600"/>
        <v>64.31679207589869</v>
      </c>
      <c r="AT222" s="5">
        <f t="shared" si="630"/>
        <v>1.4158746048357451</v>
      </c>
      <c r="AU222" s="5">
        <f t="shared" si="478"/>
        <v>62.900917471062947</v>
      </c>
      <c r="AV222" s="5"/>
      <c r="AW222" s="173">
        <f t="shared" si="479"/>
        <v>2.2014073761093461E-2</v>
      </c>
      <c r="AX222" s="173">
        <f t="shared" si="631"/>
        <v>9.328823478819567</v>
      </c>
      <c r="AY222" s="173">
        <f t="shared" si="632"/>
        <v>4.8899296311945326</v>
      </c>
      <c r="AZ222" s="173">
        <f t="shared" si="633"/>
        <v>1.9077623161093797</v>
      </c>
      <c r="BA222" s="460">
        <f t="shared" si="594"/>
        <v>5.6634984193429805</v>
      </c>
      <c r="BB222" s="5">
        <f t="shared" si="595"/>
        <v>2.3032709914175959</v>
      </c>
      <c r="BD222" s="173">
        <f t="shared" si="681"/>
        <v>0.85662270498925919</v>
      </c>
      <c r="BE222" s="173">
        <f t="shared" si="682"/>
        <v>5.7095998874378413</v>
      </c>
      <c r="BG222" s="528">
        <f t="shared" si="683"/>
        <v>1.4676049174062306E-2</v>
      </c>
      <c r="BH222" s="528">
        <f t="shared" si="634"/>
        <v>0.29240412187203252</v>
      </c>
      <c r="BI222" s="528">
        <f t="shared" si="635"/>
        <v>3.2943678228842158E-2</v>
      </c>
      <c r="BJ222" s="528">
        <f t="shared" si="684"/>
        <v>1.5641875022833186E-2</v>
      </c>
      <c r="BK222">
        <f t="shared" si="685"/>
        <v>3.8138970651475534E-2</v>
      </c>
      <c r="BL222" s="460">
        <f t="shared" si="686"/>
        <v>71.082648880317691</v>
      </c>
      <c r="BM222" s="528">
        <f t="shared" si="636"/>
        <v>0.32782772422030859</v>
      </c>
      <c r="BN222" s="460">
        <f t="shared" si="687"/>
        <v>327.8277242203086</v>
      </c>
      <c r="BO222" s="528">
        <f t="shared" si="637"/>
        <v>0.42</v>
      </c>
      <c r="BR222" s="460">
        <f t="shared" si="688"/>
        <v>420</v>
      </c>
      <c r="BS222" s="528">
        <f t="shared" si="689"/>
        <v>2.2014073761093458E-2</v>
      </c>
      <c r="BT222" s="528">
        <f t="shared" si="690"/>
        <v>0.97798592623890634</v>
      </c>
      <c r="BU222" s="528">
        <f t="shared" si="691"/>
        <v>1.507158984533149E-2</v>
      </c>
      <c r="BV222" s="528"/>
      <c r="BW222" s="528">
        <f t="shared" si="692"/>
        <v>1.5548039131365948E-3</v>
      </c>
      <c r="BX222" s="460">
        <f t="shared" si="693"/>
        <v>1016.6263937584679</v>
      </c>
      <c r="BY222" s="173">
        <f t="shared" si="694"/>
        <v>1.8304310887077135</v>
      </c>
      <c r="BZ222" s="5">
        <f t="shared" si="695"/>
        <v>9</v>
      </c>
      <c r="CA222" s="173">
        <f t="shared" si="696"/>
        <v>0.83099185307441714</v>
      </c>
      <c r="CB222" s="5">
        <f t="shared" si="697"/>
        <v>83.099185307441715</v>
      </c>
      <c r="CE222" s="562">
        <f t="shared" si="638"/>
        <v>-50</v>
      </c>
      <c r="CF222">
        <f t="shared" si="639"/>
        <v>-50</v>
      </c>
      <c r="CG222" s="173">
        <f t="shared" si="640"/>
        <v>0.12158947322856531</v>
      </c>
      <c r="CI222" s="170">
        <v>6</v>
      </c>
      <c r="CJ222" s="217">
        <f t="shared" si="698"/>
        <v>0.6</v>
      </c>
      <c r="CK222" s="217"/>
      <c r="CL222" s="217">
        <f t="shared" si="641"/>
        <v>9</v>
      </c>
      <c r="CM222" s="541">
        <f t="shared" si="642"/>
        <v>85</v>
      </c>
      <c r="CN222" s="443">
        <f t="shared" si="643"/>
        <v>15.4</v>
      </c>
      <c r="CO222" s="443">
        <f t="shared" si="644"/>
        <v>100.4</v>
      </c>
      <c r="CP222" s="443"/>
      <c r="CQ222" s="217">
        <f t="shared" si="645"/>
        <v>0.15338645418326693</v>
      </c>
      <c r="CR222" s="172">
        <f t="shared" si="646"/>
        <v>327.33148655378488</v>
      </c>
      <c r="CS222" s="172">
        <f t="shared" si="647"/>
        <v>9</v>
      </c>
      <c r="CT222" s="217">
        <f t="shared" si="648"/>
        <v>21.822099103585661</v>
      </c>
      <c r="CU222" s="217">
        <f t="shared" si="649"/>
        <v>15</v>
      </c>
      <c r="CV222" s="217"/>
      <c r="CW222" s="172">
        <f t="shared" si="650"/>
        <v>3456.6765015661799</v>
      </c>
      <c r="CX222" s="172">
        <f t="shared" si="651"/>
        <v>15</v>
      </c>
      <c r="CY222" s="217">
        <f t="shared" si="652"/>
        <v>1.3805958747135216</v>
      </c>
      <c r="CZ222" s="217">
        <f t="shared" si="653"/>
        <v>0.19490765290073248</v>
      </c>
      <c r="DA222" s="217">
        <f t="shared" si="654"/>
        <v>1.0757889932832636</v>
      </c>
      <c r="DB222" s="197">
        <f t="shared" si="655"/>
        <v>108.64873837981409</v>
      </c>
      <c r="DC222" s="443">
        <f t="shared" si="656"/>
        <v>350</v>
      </c>
      <c r="DE222" s="217">
        <f t="shared" si="657"/>
        <v>10</v>
      </c>
      <c r="DF222" s="173">
        <f t="shared" si="658"/>
        <v>7.7922077922077913</v>
      </c>
      <c r="DG222" s="173">
        <f t="shared" si="659"/>
        <v>4.2330677290836656</v>
      </c>
      <c r="DH222" s="173"/>
      <c r="DI222" s="173">
        <f t="shared" si="660"/>
        <v>7.7922077922077913</v>
      </c>
      <c r="DJ222" s="545">
        <f t="shared" si="661"/>
        <v>15.4</v>
      </c>
      <c r="DK222" s="528">
        <f t="shared" si="662"/>
        <v>4.2330677290836656</v>
      </c>
      <c r="DM222" s="173">
        <f t="shared" si="663"/>
        <v>2.0976176963403033</v>
      </c>
      <c r="DN222" s="173">
        <f t="shared" si="664"/>
        <v>10</v>
      </c>
      <c r="DO222" s="173">
        <f t="shared" si="665"/>
        <v>1.0087999999999999</v>
      </c>
      <c r="DQ222" s="545">
        <f t="shared" si="666"/>
        <v>600</v>
      </c>
      <c r="DR222" s="460">
        <f t="shared" si="667"/>
        <v>15.4</v>
      </c>
      <c r="DT222">
        <f t="shared" si="668"/>
        <v>600</v>
      </c>
      <c r="DU222">
        <f t="shared" si="669"/>
        <v>15.4</v>
      </c>
      <c r="DW222" s="5">
        <f t="shared" si="670"/>
        <v>64.935064935064929</v>
      </c>
      <c r="DX222" s="5">
        <f t="shared" si="671"/>
        <v>1.4117647058823528</v>
      </c>
      <c r="DY222" s="5">
        <f t="shared" si="672"/>
        <v>63.523300229182574</v>
      </c>
      <c r="DZ222" s="5"/>
      <c r="EA222" s="173">
        <f t="shared" si="673"/>
        <v>2.1741176470588236E-2</v>
      </c>
      <c r="EB222" s="173">
        <f t="shared" si="699"/>
        <v>9.240000000000002</v>
      </c>
      <c r="EC222" s="173">
        <f t="shared" si="700"/>
        <v>4.8912941176470586</v>
      </c>
      <c r="ED222" s="173">
        <f t="shared" si="701"/>
        <v>1.8890706176640375</v>
      </c>
      <c r="EE222" s="460">
        <f t="shared" si="674"/>
        <v>5.6470588235294112</v>
      </c>
      <c r="EF222" s="5">
        <f t="shared" si="675"/>
        <v>2.3193091361567668</v>
      </c>
      <c r="EH222" s="173">
        <f t="shared" si="702"/>
        <v>0.85129658894708449</v>
      </c>
      <c r="EI222" s="173">
        <f t="shared" si="703"/>
        <v>5.710396435535837</v>
      </c>
      <c r="EK222" s="528">
        <f t="shared" si="704"/>
        <v>1.4494117647058826E-2</v>
      </c>
      <c r="EL222" s="528">
        <f t="shared" si="705"/>
        <v>0.30923200000000001</v>
      </c>
      <c r="EM222" s="528">
        <f t="shared" si="706"/>
        <v>1.9249999999999998E-3</v>
      </c>
      <c r="EN222" s="528">
        <f t="shared" si="707"/>
        <v>1.5523446400000003E-2</v>
      </c>
      <c r="EO222">
        <f t="shared" si="708"/>
        <v>3.8249999999999999E-2</v>
      </c>
      <c r="EP222" s="460">
        <f t="shared" si="709"/>
        <v>40.175000000000004</v>
      </c>
      <c r="EQ222" s="460"/>
      <c r="ER222" s="460">
        <f t="shared" si="710"/>
        <v>379.42456404705888</v>
      </c>
      <c r="ES222" s="528">
        <f t="shared" si="711"/>
        <v>0.42</v>
      </c>
      <c r="EV222" s="460">
        <f t="shared" si="712"/>
        <v>420</v>
      </c>
      <c r="EW222" s="528">
        <f t="shared" si="713"/>
        <v>2.1741176470588239E-2</v>
      </c>
      <c r="EX222" s="528">
        <f t="shared" si="714"/>
        <v>0.97825882352941174</v>
      </c>
      <c r="EY222" s="528">
        <f t="shared" si="715"/>
        <v>1.4715391009415983E-2</v>
      </c>
      <c r="EZ222" s="528"/>
      <c r="FA222" s="528">
        <f t="shared" si="716"/>
        <v>1.5400000000000001E-3</v>
      </c>
      <c r="FB222" s="460">
        <f t="shared" si="717"/>
        <v>1016.2553910094161</v>
      </c>
      <c r="FC222" s="173">
        <f t="shared" si="718"/>
        <v>1.8156799550564751</v>
      </c>
      <c r="FD222" s="5">
        <f t="shared" si="719"/>
        <v>9</v>
      </c>
      <c r="FE222" s="173">
        <f t="shared" si="720"/>
        <v>0.83212521426287034</v>
      </c>
      <c r="FF222" s="5">
        <f t="shared" si="721"/>
        <v>83.21252142628704</v>
      </c>
      <c r="FI222" s="562">
        <f t="shared" si="676"/>
        <v>-50</v>
      </c>
      <c r="FJ222">
        <f t="shared" si="677"/>
        <v>-50</v>
      </c>
      <c r="FL222">
        <f t="shared" si="678"/>
        <v>0.12000000000000001</v>
      </c>
    </row>
    <row r="223" spans="5:168">
      <c r="E223" s="170">
        <v>7</v>
      </c>
      <c r="F223" s="217">
        <f t="shared" si="679"/>
        <v>0.70000000000000007</v>
      </c>
      <c r="G223" s="217"/>
      <c r="H223" s="217">
        <f t="shared" si="603"/>
        <v>10.500000000000002</v>
      </c>
      <c r="I223" s="541">
        <f t="shared" si="604"/>
        <v>84.753268114390082</v>
      </c>
      <c r="J223" s="172">
        <f t="shared" si="605"/>
        <v>15.548039131365949</v>
      </c>
      <c r="K223" s="172">
        <f t="shared" si="606"/>
        <v>100.30130724575604</v>
      </c>
      <c r="L223" s="443"/>
      <c r="M223" s="217">
        <f t="shared" si="607"/>
        <v>0.15502984391561525</v>
      </c>
      <c r="N223" s="172">
        <f t="shared" si="608"/>
        <v>329.8781973075603</v>
      </c>
      <c r="O223" s="172">
        <f t="shared" si="599"/>
        <v>10.500000000000002</v>
      </c>
      <c r="P223" s="217">
        <f t="shared" si="609"/>
        <v>21.991879820504021</v>
      </c>
      <c r="Q223" s="217">
        <f t="shared" si="610"/>
        <v>15</v>
      </c>
      <c r="R223" s="217"/>
      <c r="S223" s="172">
        <f t="shared" si="611"/>
        <v>2942.1606855646869</v>
      </c>
      <c r="T223" s="172">
        <f t="shared" si="612"/>
        <v>15</v>
      </c>
      <c r="U223" s="217">
        <f t="shared" si="613"/>
        <v>1.6568632512272847</v>
      </c>
      <c r="V223" s="217">
        <f t="shared" si="614"/>
        <v>0.23459106010982997</v>
      </c>
      <c r="W223" s="217">
        <f t="shared" si="615"/>
        <v>1.278769550728593</v>
      </c>
      <c r="X223" s="197">
        <f t="shared" si="616"/>
        <v>109.48238241177424</v>
      </c>
      <c r="Y223" s="443">
        <f t="shared" si="680"/>
        <v>350</v>
      </c>
      <c r="AA223" s="217">
        <f t="shared" si="617"/>
        <v>10</v>
      </c>
      <c r="AB223" s="173">
        <f t="shared" si="618"/>
        <v>7.7180150491078416</v>
      </c>
      <c r="AC223" s="173">
        <f t="shared" si="619"/>
        <v>4.2249333753312666</v>
      </c>
      <c r="AD223" s="173"/>
      <c r="AE223" s="173">
        <f t="shared" si="620"/>
        <v>7.7180150491078416</v>
      </c>
      <c r="AF223" s="545">
        <f t="shared" si="621"/>
        <v>18.139378986593606</v>
      </c>
      <c r="AG223" s="528">
        <f t="shared" si="622"/>
        <v>4.2249333753312666</v>
      </c>
      <c r="AI223" s="173">
        <f t="shared" si="623"/>
        <v>2.2765499578211141</v>
      </c>
      <c r="AJ223" s="173">
        <f t="shared" si="624"/>
        <v>10</v>
      </c>
      <c r="AK223" s="173">
        <f t="shared" si="625"/>
        <v>1.0103653594209105</v>
      </c>
      <c r="AM223" s="545">
        <f t="shared" si="626"/>
        <v>700.00000000000011</v>
      </c>
      <c r="AN223" s="460">
        <f t="shared" si="627"/>
        <v>18.139378986593606</v>
      </c>
      <c r="AP223">
        <f t="shared" si="628"/>
        <v>700.00000000000011</v>
      </c>
      <c r="AQ223">
        <f t="shared" si="629"/>
        <v>18.139378986593606</v>
      </c>
      <c r="AS223" s="5">
        <f t="shared" si="600"/>
        <v>55.128678922198866</v>
      </c>
      <c r="AT223" s="5">
        <f t="shared" si="630"/>
        <v>1.4158746048357451</v>
      </c>
      <c r="AU223" s="5">
        <f t="shared" si="478"/>
        <v>53.712804317363123</v>
      </c>
      <c r="AV223" s="5"/>
      <c r="AW223" s="173">
        <f t="shared" si="479"/>
        <v>2.5683086054609044E-2</v>
      </c>
      <c r="AX223" s="173">
        <f t="shared" si="631"/>
        <v>10.883627391956164</v>
      </c>
      <c r="AY223" s="173">
        <f t="shared" si="632"/>
        <v>4.8715845697269549</v>
      </c>
      <c r="AZ223" s="173">
        <f t="shared" si="633"/>
        <v>2.2341041679927516</v>
      </c>
      <c r="BA223" s="460">
        <f t="shared" si="594"/>
        <v>6.6074148225668115</v>
      </c>
      <c r="BB223" s="5">
        <f t="shared" si="595"/>
        <v>2.2946300392769978</v>
      </c>
      <c r="BD223" s="173">
        <f t="shared" si="681"/>
        <v>0.92525827123402049</v>
      </c>
      <c r="BE223" s="173">
        <f t="shared" si="682"/>
        <v>5.6988797552542172</v>
      </c>
      <c r="BG223" s="528">
        <f t="shared" si="683"/>
        <v>1.7122057369739367E-2</v>
      </c>
      <c r="BH223" s="528">
        <f t="shared" si="634"/>
        <v>0.34113814218403804</v>
      </c>
      <c r="BI223" s="528">
        <f t="shared" si="635"/>
        <v>3.8434291266982529E-2</v>
      </c>
      <c r="BJ223" s="528">
        <f t="shared" si="684"/>
        <v>1.8248854193305387E-2</v>
      </c>
      <c r="BK223">
        <f t="shared" si="685"/>
        <v>3.8138970651475534E-2</v>
      </c>
      <c r="BL223" s="460">
        <f t="shared" si="686"/>
        <v>76.573261918458059</v>
      </c>
      <c r="BM223" s="528">
        <f t="shared" si="636"/>
        <v>0.38268886439306993</v>
      </c>
      <c r="BN223" s="460">
        <f t="shared" si="687"/>
        <v>382.68886439306993</v>
      </c>
      <c r="BO223" s="528">
        <f t="shared" si="637"/>
        <v>0.49</v>
      </c>
      <c r="BR223" s="460">
        <f t="shared" si="688"/>
        <v>490</v>
      </c>
      <c r="BS223" s="528">
        <f t="shared" si="689"/>
        <v>2.5683086054609047E-2</v>
      </c>
      <c r="BT223" s="528">
        <f t="shared" si="690"/>
        <v>0.97431691394539088</v>
      </c>
      <c r="BU223" s="528">
        <f t="shared" si="691"/>
        <v>2.2157769533875802E-2</v>
      </c>
      <c r="BV223" s="528"/>
      <c r="BW223" s="528">
        <f t="shared" si="692"/>
        <v>1.8139378986593607E-3</v>
      </c>
      <c r="BX223" s="460">
        <f t="shared" si="693"/>
        <v>1023.9717074325351</v>
      </c>
      <c r="BY223" s="173">
        <f t="shared" si="694"/>
        <v>1.967054023098076</v>
      </c>
      <c r="BZ223" s="5">
        <f t="shared" si="695"/>
        <v>10.500000000000002</v>
      </c>
      <c r="CA223" s="173">
        <f t="shared" si="696"/>
        <v>0.8422198203798863</v>
      </c>
      <c r="CB223" s="5">
        <f t="shared" si="697"/>
        <v>84.221982037988624</v>
      </c>
      <c r="CE223" s="562">
        <f t="shared" si="638"/>
        <v>-50</v>
      </c>
      <c r="CF223">
        <f t="shared" si="639"/>
        <v>-50</v>
      </c>
      <c r="CG223" s="173">
        <f t="shared" si="640"/>
        <v>0.14185438543332621</v>
      </c>
      <c r="CI223" s="170">
        <v>7</v>
      </c>
      <c r="CJ223" s="217">
        <f t="shared" si="698"/>
        <v>0.70000000000000007</v>
      </c>
      <c r="CK223" s="217"/>
      <c r="CL223" s="217">
        <f t="shared" si="641"/>
        <v>10.500000000000002</v>
      </c>
      <c r="CM223" s="541">
        <f t="shared" si="642"/>
        <v>85</v>
      </c>
      <c r="CN223" s="443">
        <f t="shared" si="643"/>
        <v>15.4</v>
      </c>
      <c r="CO223" s="443">
        <f t="shared" si="644"/>
        <v>100.4</v>
      </c>
      <c r="CP223" s="443"/>
      <c r="CQ223" s="217">
        <f t="shared" si="645"/>
        <v>0.15338645418326693</v>
      </c>
      <c r="CR223" s="172">
        <f t="shared" si="646"/>
        <v>327.33148655378488</v>
      </c>
      <c r="CS223" s="172">
        <f t="shared" si="647"/>
        <v>10.500000000000002</v>
      </c>
      <c r="CT223" s="217">
        <f t="shared" si="648"/>
        <v>21.822099103585661</v>
      </c>
      <c r="CU223" s="217">
        <f t="shared" si="649"/>
        <v>15</v>
      </c>
      <c r="CV223" s="217"/>
      <c r="CW223" s="172">
        <f t="shared" si="650"/>
        <v>2950.7258067412517</v>
      </c>
      <c r="CX223" s="172">
        <f t="shared" si="651"/>
        <v>15</v>
      </c>
      <c r="CY223" s="217">
        <f t="shared" si="652"/>
        <v>1.6106951871657755</v>
      </c>
      <c r="CZ223" s="217">
        <f t="shared" si="653"/>
        <v>0.22739226171752122</v>
      </c>
      <c r="DA223" s="217">
        <f t="shared" si="654"/>
        <v>1.2550871588304744</v>
      </c>
      <c r="DB223" s="197">
        <f t="shared" si="655"/>
        <v>108.64873837981409</v>
      </c>
      <c r="DC223" s="443">
        <f t="shared" si="656"/>
        <v>350</v>
      </c>
      <c r="DE223" s="217">
        <f t="shared" si="657"/>
        <v>10</v>
      </c>
      <c r="DF223" s="173">
        <f t="shared" si="658"/>
        <v>7.7922077922077913</v>
      </c>
      <c r="DG223" s="173">
        <f t="shared" si="659"/>
        <v>4.2330677290836656</v>
      </c>
      <c r="DH223" s="173"/>
      <c r="DI223" s="173">
        <f t="shared" si="660"/>
        <v>7.7922077922077913</v>
      </c>
      <c r="DJ223" s="545">
        <f t="shared" si="661"/>
        <v>17.966666666666669</v>
      </c>
      <c r="DK223" s="528">
        <f t="shared" si="662"/>
        <v>4.2330677290836656</v>
      </c>
      <c r="DM223" s="173">
        <f t="shared" si="663"/>
        <v>2.2656860623955239</v>
      </c>
      <c r="DN223" s="173">
        <f t="shared" si="664"/>
        <v>10</v>
      </c>
      <c r="DO223" s="173">
        <f t="shared" si="665"/>
        <v>1.0102666666666666</v>
      </c>
      <c r="DQ223" s="545">
        <f t="shared" si="666"/>
        <v>700.00000000000011</v>
      </c>
      <c r="DR223" s="460">
        <f t="shared" si="667"/>
        <v>17.966666666666669</v>
      </c>
      <c r="DT223">
        <f t="shared" si="668"/>
        <v>700.00000000000011</v>
      </c>
      <c r="DU223">
        <f t="shared" si="669"/>
        <v>17.966666666666669</v>
      </c>
      <c r="DW223" s="5">
        <f t="shared" si="670"/>
        <v>55.658627087198511</v>
      </c>
      <c r="DX223" s="5">
        <f t="shared" si="671"/>
        <v>1.4117647058823528</v>
      </c>
      <c r="DY223" s="5">
        <f t="shared" si="672"/>
        <v>54.246862381316156</v>
      </c>
      <c r="DZ223" s="5"/>
      <c r="EA223" s="173">
        <f t="shared" si="673"/>
        <v>2.5364705882352942E-2</v>
      </c>
      <c r="EB223" s="173">
        <f t="shared" si="699"/>
        <v>10.780000000000001</v>
      </c>
      <c r="EC223" s="173">
        <f t="shared" si="700"/>
        <v>4.873176470588235</v>
      </c>
      <c r="ED223" s="173">
        <f t="shared" si="701"/>
        <v>2.2121095070252528</v>
      </c>
      <c r="EE223" s="460">
        <f t="shared" si="674"/>
        <v>6.5882352941176476</v>
      </c>
      <c r="EF223" s="5">
        <f t="shared" si="675"/>
        <v>2.3107182758775644</v>
      </c>
      <c r="EH223" s="173">
        <f t="shared" si="702"/>
        <v>0.91950540840085937</v>
      </c>
      <c r="EI223" s="173">
        <f t="shared" si="703"/>
        <v>5.6998107983734778</v>
      </c>
      <c r="EK223" s="528">
        <f t="shared" si="704"/>
        <v>1.6909803921568625E-2</v>
      </c>
      <c r="EL223" s="528">
        <f t="shared" si="705"/>
        <v>0.36077066666666674</v>
      </c>
      <c r="EM223" s="528">
        <f t="shared" si="706"/>
        <v>2.2458333333333336E-3</v>
      </c>
      <c r="EN223" s="528">
        <f t="shared" si="707"/>
        <v>1.8110687466666671E-2</v>
      </c>
      <c r="EO223">
        <f t="shared" si="708"/>
        <v>3.8249999999999999E-2</v>
      </c>
      <c r="EP223" s="460">
        <f t="shared" si="709"/>
        <v>40.495833333333337</v>
      </c>
      <c r="EQ223" s="460"/>
      <c r="ER223" s="460">
        <f t="shared" si="710"/>
        <v>436.28699138823532</v>
      </c>
      <c r="ES223" s="528">
        <f t="shared" si="711"/>
        <v>0.49</v>
      </c>
      <c r="EV223" s="460">
        <f t="shared" si="712"/>
        <v>490</v>
      </c>
      <c r="EW223" s="528">
        <f t="shared" si="713"/>
        <v>2.5364705882352935E-2</v>
      </c>
      <c r="EX223" s="528">
        <f t="shared" si="714"/>
        <v>0.97463529411764716</v>
      </c>
      <c r="EY223" s="528">
        <f t="shared" si="715"/>
        <v>2.1634097393415055E-2</v>
      </c>
      <c r="EZ223" s="528"/>
      <c r="FA223" s="528">
        <f t="shared" si="716"/>
        <v>1.7966666666666671E-3</v>
      </c>
      <c r="FB223" s="460">
        <f t="shared" si="717"/>
        <v>1023.4307640600817</v>
      </c>
      <c r="FC223" s="173">
        <f t="shared" si="718"/>
        <v>1.9497177554483172</v>
      </c>
      <c r="FD223" s="5">
        <f t="shared" si="719"/>
        <v>10.500000000000002</v>
      </c>
      <c r="FE223" s="173">
        <f t="shared" si="720"/>
        <v>0.84339261389318887</v>
      </c>
      <c r="FF223" s="5">
        <f t="shared" si="721"/>
        <v>84.339261389318892</v>
      </c>
      <c r="FI223" s="562">
        <f t="shared" si="676"/>
        <v>-50</v>
      </c>
      <c r="FJ223">
        <f t="shared" si="677"/>
        <v>-50</v>
      </c>
      <c r="FL223">
        <f t="shared" si="678"/>
        <v>0.14000000000000001</v>
      </c>
    </row>
    <row r="224" spans="5:168">
      <c r="E224" s="170">
        <v>8</v>
      </c>
      <c r="F224" s="217">
        <f t="shared" si="679"/>
        <v>0.8</v>
      </c>
      <c r="G224" s="217"/>
      <c r="H224" s="217">
        <f t="shared" si="603"/>
        <v>12</v>
      </c>
      <c r="I224" s="541">
        <f t="shared" si="604"/>
        <v>84.753268114390082</v>
      </c>
      <c r="J224" s="172">
        <f t="shared" si="605"/>
        <v>15.548039131365949</v>
      </c>
      <c r="K224" s="172">
        <f t="shared" si="606"/>
        <v>100.30130724575604</v>
      </c>
      <c r="L224" s="443"/>
      <c r="M224" s="217">
        <f t="shared" si="607"/>
        <v>0.15502984391561525</v>
      </c>
      <c r="N224" s="172">
        <f t="shared" si="608"/>
        <v>329.8781973075603</v>
      </c>
      <c r="O224" s="172">
        <f t="shared" si="599"/>
        <v>12</v>
      </c>
      <c r="P224" s="217">
        <f t="shared" si="609"/>
        <v>21.991879820504021</v>
      </c>
      <c r="Q224" s="217">
        <f t="shared" si="610"/>
        <v>15</v>
      </c>
      <c r="R224" s="217"/>
      <c r="S224" s="172">
        <f t="shared" si="611"/>
        <v>2563.7995814698852</v>
      </c>
      <c r="T224" s="172">
        <f t="shared" si="612"/>
        <v>15</v>
      </c>
      <c r="U224" s="217">
        <f t="shared" si="613"/>
        <v>1.893558001402611</v>
      </c>
      <c r="V224" s="217">
        <f t="shared" si="614"/>
        <v>0.26810406869694847</v>
      </c>
      <c r="W224" s="217">
        <f t="shared" si="615"/>
        <v>1.4614509151183916</v>
      </c>
      <c r="X224" s="197">
        <f t="shared" si="616"/>
        <v>109.48238241177424</v>
      </c>
      <c r="Y224" s="443">
        <f t="shared" si="680"/>
        <v>350</v>
      </c>
      <c r="AA224" s="217">
        <f t="shared" si="617"/>
        <v>10</v>
      </c>
      <c r="AB224" s="173">
        <f t="shared" si="618"/>
        <v>7.7180150491078416</v>
      </c>
      <c r="AC224" s="173">
        <f t="shared" si="619"/>
        <v>4.2249333753312666</v>
      </c>
      <c r="AD224" s="173"/>
      <c r="AE224" s="173">
        <f t="shared" si="620"/>
        <v>7.7180150491078416</v>
      </c>
      <c r="AF224" s="545">
        <f t="shared" si="621"/>
        <v>20.730718841821265</v>
      </c>
      <c r="AG224" s="528">
        <f t="shared" si="622"/>
        <v>4.2249333753312666</v>
      </c>
      <c r="AI224" s="173">
        <f t="shared" si="623"/>
        <v>2.4337342760117933</v>
      </c>
      <c r="AJ224" s="173">
        <f t="shared" si="624"/>
        <v>10</v>
      </c>
      <c r="AK224" s="173">
        <f t="shared" si="625"/>
        <v>1.0118461250524693</v>
      </c>
      <c r="AM224" s="545">
        <f t="shared" si="626"/>
        <v>800</v>
      </c>
      <c r="AN224" s="460">
        <f t="shared" si="627"/>
        <v>20.730718841821265</v>
      </c>
      <c r="AP224">
        <f t="shared" si="628"/>
        <v>800</v>
      </c>
      <c r="AQ224">
        <f t="shared" si="629"/>
        <v>20.730718841821265</v>
      </c>
      <c r="AS224" s="5">
        <f t="shared" si="600"/>
        <v>48.23759405692401</v>
      </c>
      <c r="AT224" s="5">
        <f t="shared" si="630"/>
        <v>1.4158746048357451</v>
      </c>
      <c r="AU224" s="5">
        <f t="shared" si="478"/>
        <v>46.821719452088267</v>
      </c>
      <c r="AV224" s="5"/>
      <c r="AW224" s="173">
        <f t="shared" si="479"/>
        <v>2.9352098348124619E-2</v>
      </c>
      <c r="AX224" s="173">
        <f t="shared" si="631"/>
        <v>12.43843130509276</v>
      </c>
      <c r="AY224" s="173">
        <f t="shared" si="632"/>
        <v>4.8532395082593771</v>
      </c>
      <c r="AZ224" s="173">
        <f t="shared" si="633"/>
        <v>2.5629131395482734</v>
      </c>
      <c r="BA224" s="460">
        <f t="shared" si="594"/>
        <v>7.5513312257906406</v>
      </c>
      <c r="BB224" s="5">
        <f t="shared" si="595"/>
        <v>2.2859890871363993</v>
      </c>
      <c r="BD224" s="173">
        <f t="shared" si="681"/>
        <v>0.9891426986389884</v>
      </c>
      <c r="BE224" s="173">
        <f t="shared" si="682"/>
        <v>5.6881394194466184</v>
      </c>
      <c r="BG224" s="528">
        <f t="shared" si="683"/>
        <v>1.9568065565416414E-2</v>
      </c>
      <c r="BH224" s="528">
        <f t="shared" si="634"/>
        <v>0.38987216249604345</v>
      </c>
      <c r="BI224" s="528">
        <f t="shared" si="635"/>
        <v>4.3924904305122893E-2</v>
      </c>
      <c r="BJ224" s="528">
        <f t="shared" si="684"/>
        <v>2.0855833363777585E-2</v>
      </c>
      <c r="BK224">
        <f t="shared" si="685"/>
        <v>3.8138970651475534E-2</v>
      </c>
      <c r="BL224" s="460">
        <f t="shared" si="686"/>
        <v>82.063874956598426</v>
      </c>
      <c r="BM224" s="528">
        <f t="shared" si="636"/>
        <v>0.43761406989685259</v>
      </c>
      <c r="BN224" s="460">
        <f t="shared" si="687"/>
        <v>437.61406989685258</v>
      </c>
      <c r="BO224" s="528">
        <f t="shared" si="637"/>
        <v>0.55999999999999994</v>
      </c>
      <c r="BR224" s="460">
        <f t="shared" si="688"/>
        <v>559.99999999999989</v>
      </c>
      <c r="BS224" s="528">
        <f t="shared" si="689"/>
        <v>2.9352098348124619E-2</v>
      </c>
      <c r="BT224" s="528">
        <f t="shared" si="690"/>
        <v>0.97064790165187531</v>
      </c>
      <c r="BU224" s="528">
        <f t="shared" si="691"/>
        <v>3.093897405979653E-2</v>
      </c>
      <c r="BV224" s="528"/>
      <c r="BW224" s="528">
        <f t="shared" si="692"/>
        <v>2.0730718841821265E-3</v>
      </c>
      <c r="BX224" s="460">
        <f t="shared" si="693"/>
        <v>1033.0120459439786</v>
      </c>
      <c r="BY224" s="173">
        <f t="shared" si="694"/>
        <v>2.1053719823258144</v>
      </c>
      <c r="BZ224" s="5">
        <f t="shared" si="695"/>
        <v>12</v>
      </c>
      <c r="CA224" s="173">
        <f t="shared" si="696"/>
        <v>0.8507397050596136</v>
      </c>
      <c r="CB224" s="5">
        <f t="shared" si="697"/>
        <v>85.073970505961356</v>
      </c>
      <c r="CE224" s="562">
        <f t="shared" si="638"/>
        <v>-50</v>
      </c>
      <c r="CF224">
        <f t="shared" si="639"/>
        <v>-50</v>
      </c>
      <c r="CG224" s="173">
        <f t="shared" si="640"/>
        <v>0.16211929763808711</v>
      </c>
      <c r="CI224" s="170">
        <v>8</v>
      </c>
      <c r="CJ224" s="217">
        <f t="shared" si="698"/>
        <v>0.8</v>
      </c>
      <c r="CK224" s="217"/>
      <c r="CL224" s="217">
        <f t="shared" si="641"/>
        <v>12</v>
      </c>
      <c r="CM224" s="541">
        <f t="shared" si="642"/>
        <v>85</v>
      </c>
      <c r="CN224" s="443">
        <f t="shared" si="643"/>
        <v>15.4</v>
      </c>
      <c r="CO224" s="443">
        <f t="shared" si="644"/>
        <v>100.4</v>
      </c>
      <c r="CP224" s="443"/>
      <c r="CQ224" s="217">
        <f t="shared" si="645"/>
        <v>0.15338645418326693</v>
      </c>
      <c r="CR224" s="172">
        <f t="shared" si="646"/>
        <v>327.33148655378488</v>
      </c>
      <c r="CS224" s="172">
        <f t="shared" si="647"/>
        <v>12</v>
      </c>
      <c r="CT224" s="217">
        <f t="shared" si="648"/>
        <v>21.822099103585661</v>
      </c>
      <c r="CU224" s="217">
        <f t="shared" si="649"/>
        <v>15</v>
      </c>
      <c r="CV224" s="217"/>
      <c r="CW224" s="172">
        <f t="shared" si="650"/>
        <v>2571.2632210157699</v>
      </c>
      <c r="CX224" s="172">
        <f t="shared" si="651"/>
        <v>15</v>
      </c>
      <c r="CY224" s="217">
        <f t="shared" si="652"/>
        <v>1.840794499618029</v>
      </c>
      <c r="CZ224" s="217">
        <f t="shared" si="653"/>
        <v>0.25987687053430997</v>
      </c>
      <c r="DA224" s="217">
        <f t="shared" si="654"/>
        <v>1.434385324377685</v>
      </c>
      <c r="DB224" s="197">
        <f t="shared" si="655"/>
        <v>108.64873837981409</v>
      </c>
      <c r="DC224" s="443">
        <f t="shared" si="656"/>
        <v>350</v>
      </c>
      <c r="DE224" s="217">
        <f t="shared" si="657"/>
        <v>10</v>
      </c>
      <c r="DF224" s="173">
        <f t="shared" si="658"/>
        <v>7.7922077922077913</v>
      </c>
      <c r="DG224" s="173">
        <f t="shared" si="659"/>
        <v>4.2330677290836656</v>
      </c>
      <c r="DH224" s="173"/>
      <c r="DI224" s="173">
        <f t="shared" si="660"/>
        <v>7.7922077922077913</v>
      </c>
      <c r="DJ224" s="545">
        <f t="shared" si="661"/>
        <v>20.533333333333335</v>
      </c>
      <c r="DK224" s="528">
        <f t="shared" si="662"/>
        <v>4.2330677290836656</v>
      </c>
      <c r="DM224" s="173">
        <f t="shared" si="663"/>
        <v>2.4221202832779936</v>
      </c>
      <c r="DN224" s="173">
        <f t="shared" si="664"/>
        <v>10</v>
      </c>
      <c r="DO224" s="173">
        <f t="shared" si="665"/>
        <v>1.0117333333333334</v>
      </c>
      <c r="DQ224" s="545">
        <f t="shared" si="666"/>
        <v>800</v>
      </c>
      <c r="DR224" s="460">
        <f t="shared" si="667"/>
        <v>20.533333333333335</v>
      </c>
      <c r="DT224">
        <f t="shared" si="668"/>
        <v>800</v>
      </c>
      <c r="DU224">
        <f t="shared" si="669"/>
        <v>20.533333333333335</v>
      </c>
      <c r="DW224" s="5">
        <f t="shared" si="670"/>
        <v>48.701298701298697</v>
      </c>
      <c r="DX224" s="5">
        <f t="shared" si="671"/>
        <v>1.4117647058823528</v>
      </c>
      <c r="DY224" s="5">
        <f t="shared" si="672"/>
        <v>47.289533995416342</v>
      </c>
      <c r="DZ224" s="5"/>
      <c r="EA224" s="173">
        <f t="shared" si="673"/>
        <v>2.8988235294117648E-2</v>
      </c>
      <c r="EB224" s="173">
        <f t="shared" si="699"/>
        <v>12.320000000000002</v>
      </c>
      <c r="EC224" s="173">
        <f t="shared" si="700"/>
        <v>4.8550588235294114</v>
      </c>
      <c r="ED224" s="173">
        <f t="shared" si="701"/>
        <v>2.5375593680333437</v>
      </c>
      <c r="EE224" s="460">
        <f t="shared" si="674"/>
        <v>7.5294117647058822</v>
      </c>
      <c r="EF224" s="5">
        <f t="shared" si="675"/>
        <v>2.3021274155983611</v>
      </c>
      <c r="EH224" s="173">
        <f t="shared" si="702"/>
        <v>0.98299262957761879</v>
      </c>
      <c r="EI224" s="173">
        <f t="shared" si="703"/>
        <v>5.6892054650477695</v>
      </c>
      <c r="EK224" s="528">
        <f t="shared" si="704"/>
        <v>1.9325490196078435E-2</v>
      </c>
      <c r="EL224" s="528">
        <f t="shared" si="705"/>
        <v>0.41230933333333336</v>
      </c>
      <c r="EM224" s="528">
        <f t="shared" si="706"/>
        <v>2.5666666666666667E-3</v>
      </c>
      <c r="EN224" s="528">
        <f t="shared" si="707"/>
        <v>2.0697928533333337E-2</v>
      </c>
      <c r="EO224">
        <f t="shared" si="708"/>
        <v>3.8249999999999999E-2</v>
      </c>
      <c r="EP224" s="460">
        <f t="shared" si="709"/>
        <v>40.81666666666667</v>
      </c>
      <c r="EQ224" s="460"/>
      <c r="ER224" s="460">
        <f t="shared" si="710"/>
        <v>493.14941872941182</v>
      </c>
      <c r="ES224" s="528">
        <f t="shared" si="711"/>
        <v>0.55999999999999994</v>
      </c>
      <c r="EV224" s="460">
        <f t="shared" si="712"/>
        <v>559.99999999999989</v>
      </c>
      <c r="EW224" s="528">
        <f t="shared" si="713"/>
        <v>2.8988235294117651E-2</v>
      </c>
      <c r="EX224" s="528">
        <f t="shared" si="714"/>
        <v>0.97101176470588213</v>
      </c>
      <c r="EY224" s="528">
        <f t="shared" si="715"/>
        <v>3.0207768748504567E-2</v>
      </c>
      <c r="EZ224" s="528"/>
      <c r="FA224" s="528">
        <f t="shared" si="716"/>
        <v>2.0533333333333337E-3</v>
      </c>
      <c r="FB224" s="460">
        <f t="shared" si="717"/>
        <v>1032.2611020818376</v>
      </c>
      <c r="FC224" s="173">
        <f t="shared" si="718"/>
        <v>2.0854105208112497</v>
      </c>
      <c r="FD224" s="5">
        <f t="shared" si="719"/>
        <v>12</v>
      </c>
      <c r="FE224" s="173">
        <f t="shared" si="720"/>
        <v>0.85194535028070018</v>
      </c>
      <c r="FF224" s="5">
        <f t="shared" si="721"/>
        <v>85.194535028070021</v>
      </c>
      <c r="FI224" s="562">
        <f t="shared" si="676"/>
        <v>-50</v>
      </c>
      <c r="FJ224">
        <f t="shared" si="677"/>
        <v>-50</v>
      </c>
      <c r="FL224">
        <f t="shared" si="678"/>
        <v>0.16000000000000003</v>
      </c>
    </row>
    <row r="225" spans="5:168">
      <c r="E225" s="170">
        <v>9</v>
      </c>
      <c r="F225" s="217">
        <f t="shared" si="679"/>
        <v>0.89999999999999991</v>
      </c>
      <c r="G225" s="217"/>
      <c r="H225" s="217">
        <f t="shared" si="603"/>
        <v>13.499999999999998</v>
      </c>
      <c r="I225" s="541">
        <f t="shared" si="604"/>
        <v>84.753268114390082</v>
      </c>
      <c r="J225" s="172">
        <f t="shared" si="605"/>
        <v>15.548039131365949</v>
      </c>
      <c r="K225" s="172">
        <f t="shared" si="606"/>
        <v>100.30130724575604</v>
      </c>
      <c r="L225" s="443"/>
      <c r="M225" s="217">
        <f t="shared" si="607"/>
        <v>0.15502984391561525</v>
      </c>
      <c r="N225" s="172">
        <f t="shared" si="608"/>
        <v>329.8781973075603</v>
      </c>
      <c r="O225" s="172">
        <f t="shared" si="599"/>
        <v>13.499999999999998</v>
      </c>
      <c r="P225" s="217">
        <f t="shared" si="609"/>
        <v>21.991879820504021</v>
      </c>
      <c r="Q225" s="217">
        <f t="shared" si="610"/>
        <v>15</v>
      </c>
      <c r="R225" s="217"/>
      <c r="S225" s="172">
        <f t="shared" si="611"/>
        <v>2269.5191145363115</v>
      </c>
      <c r="T225" s="172">
        <f t="shared" si="612"/>
        <v>15</v>
      </c>
      <c r="U225" s="217">
        <f t="shared" si="613"/>
        <v>2.1302527515779373</v>
      </c>
      <c r="V225" s="217">
        <f t="shared" si="614"/>
        <v>0.30161707728406706</v>
      </c>
      <c r="W225" s="217">
        <f t="shared" si="615"/>
        <v>1.644132279508191</v>
      </c>
      <c r="X225" s="197">
        <f t="shared" si="616"/>
        <v>109.48238241177424</v>
      </c>
      <c r="Y225" s="443">
        <f t="shared" si="680"/>
        <v>350</v>
      </c>
      <c r="AA225" s="217">
        <f t="shared" si="617"/>
        <v>10</v>
      </c>
      <c r="AB225" s="173">
        <f t="shared" si="618"/>
        <v>7.7180150491078416</v>
      </c>
      <c r="AC225" s="173">
        <f t="shared" si="619"/>
        <v>4.2249333753312666</v>
      </c>
      <c r="AD225" s="173"/>
      <c r="AE225" s="173">
        <f t="shared" si="620"/>
        <v>7.7180150491078416</v>
      </c>
      <c r="AF225" s="545">
        <f t="shared" si="621"/>
        <v>23.322058697048917</v>
      </c>
      <c r="AG225" s="528">
        <f t="shared" si="622"/>
        <v>4.2249333753312666</v>
      </c>
      <c r="AI225" s="173">
        <f t="shared" si="623"/>
        <v>2.5813650152611074</v>
      </c>
      <c r="AJ225" s="173">
        <f t="shared" si="624"/>
        <v>10</v>
      </c>
      <c r="AK225" s="173">
        <f t="shared" si="625"/>
        <v>1.013326890684028</v>
      </c>
      <c r="AM225" s="545">
        <f t="shared" si="626"/>
        <v>899.99999999999989</v>
      </c>
      <c r="AN225" s="460">
        <f t="shared" si="627"/>
        <v>23.322058697048917</v>
      </c>
      <c r="AP225">
        <f t="shared" si="628"/>
        <v>899.99999999999989</v>
      </c>
      <c r="AQ225">
        <f t="shared" si="629"/>
        <v>23.322058697048917</v>
      </c>
      <c r="AS225" s="5">
        <f t="shared" si="600"/>
        <v>42.877861383932462</v>
      </c>
      <c r="AT225" s="5">
        <f t="shared" si="630"/>
        <v>1.4158746048357451</v>
      </c>
      <c r="AU225" s="5">
        <f t="shared" si="478"/>
        <v>41.461986779096719</v>
      </c>
      <c r="AV225" s="5"/>
      <c r="AW225" s="173">
        <f t="shared" si="479"/>
        <v>3.3021110641640192E-2</v>
      </c>
      <c r="AX225" s="173">
        <f t="shared" si="631"/>
        <v>13.993235218229351</v>
      </c>
      <c r="AY225" s="173">
        <f t="shared" si="632"/>
        <v>4.8348944467917994</v>
      </c>
      <c r="AZ225" s="173">
        <f t="shared" si="633"/>
        <v>2.894217313785326</v>
      </c>
      <c r="BA225" s="460">
        <f t="shared" si="594"/>
        <v>8.4952476290144698</v>
      </c>
      <c r="BB225" s="5">
        <f t="shared" si="595"/>
        <v>2.2773481349958011</v>
      </c>
      <c r="BD225" s="173">
        <f t="shared" si="681"/>
        <v>1.0491442646531854</v>
      </c>
      <c r="BE225" s="173">
        <f t="shared" si="682"/>
        <v>5.6773787653527812</v>
      </c>
      <c r="BG225" s="528">
        <f t="shared" si="683"/>
        <v>2.2014073761093465E-2</v>
      </c>
      <c r="BH225" s="528">
        <f t="shared" si="634"/>
        <v>0.43860618280804875</v>
      </c>
      <c r="BI225" s="528">
        <f t="shared" si="635"/>
        <v>4.9415517343263243E-2</v>
      </c>
      <c r="BJ225" s="528">
        <f t="shared" si="684"/>
        <v>2.3462812534249779E-2</v>
      </c>
      <c r="BK225">
        <f t="shared" si="685"/>
        <v>3.8138970651475534E-2</v>
      </c>
      <c r="BL225" s="460">
        <f t="shared" si="686"/>
        <v>87.554487994738778</v>
      </c>
      <c r="BM225" s="528">
        <f t="shared" si="636"/>
        <v>0.49260345301781677</v>
      </c>
      <c r="BN225" s="460">
        <f t="shared" si="687"/>
        <v>492.60345301781678</v>
      </c>
      <c r="BO225" s="528">
        <f t="shared" si="637"/>
        <v>0.62999999999999989</v>
      </c>
      <c r="BR225" s="460">
        <f t="shared" si="688"/>
        <v>629.99999999999989</v>
      </c>
      <c r="BS225" s="528">
        <f t="shared" si="689"/>
        <v>3.3021110641640199E-2</v>
      </c>
      <c r="BT225" s="528">
        <f t="shared" si="690"/>
        <v>0.96697888935836007</v>
      </c>
      <c r="BU225" s="528">
        <f t="shared" si="691"/>
        <v>4.1532417825271388E-2</v>
      </c>
      <c r="BV225" s="528"/>
      <c r="BW225" s="528">
        <f t="shared" si="692"/>
        <v>2.3322058697048918E-3</v>
      </c>
      <c r="BX225" s="460">
        <f t="shared" si="693"/>
        <v>1043.8646236949764</v>
      </c>
      <c r="BY225" s="173">
        <f t="shared" si="694"/>
        <v>2.2455021807931073</v>
      </c>
      <c r="BZ225" s="5">
        <f t="shared" si="695"/>
        <v>13.499999999999998</v>
      </c>
      <c r="CA225" s="173">
        <f t="shared" si="696"/>
        <v>0.85738770634243433</v>
      </c>
      <c r="CB225" s="5">
        <f t="shared" si="697"/>
        <v>85.738770634243437</v>
      </c>
      <c r="CE225" s="562">
        <f t="shared" si="638"/>
        <v>-50</v>
      </c>
      <c r="CF225">
        <f t="shared" si="639"/>
        <v>-50</v>
      </c>
      <c r="CG225" s="173">
        <f t="shared" si="640"/>
        <v>0.18238420984284795</v>
      </c>
      <c r="CI225" s="170">
        <v>9</v>
      </c>
      <c r="CJ225" s="217">
        <f t="shared" si="698"/>
        <v>0.89999999999999991</v>
      </c>
      <c r="CK225" s="217"/>
      <c r="CL225" s="217">
        <f t="shared" si="641"/>
        <v>13.499999999999998</v>
      </c>
      <c r="CM225" s="541">
        <f t="shared" si="642"/>
        <v>85</v>
      </c>
      <c r="CN225" s="443">
        <f t="shared" si="643"/>
        <v>15.4</v>
      </c>
      <c r="CO225" s="443">
        <f t="shared" si="644"/>
        <v>100.4</v>
      </c>
      <c r="CP225" s="443"/>
      <c r="CQ225" s="217">
        <f t="shared" si="645"/>
        <v>0.15338645418326693</v>
      </c>
      <c r="CR225" s="172">
        <f t="shared" si="646"/>
        <v>327.33148655378488</v>
      </c>
      <c r="CS225" s="172">
        <f t="shared" si="647"/>
        <v>13.499999999999998</v>
      </c>
      <c r="CT225" s="217">
        <f t="shared" si="648"/>
        <v>21.822099103585661</v>
      </c>
      <c r="CU225" s="217">
        <f t="shared" si="649"/>
        <v>15</v>
      </c>
      <c r="CV225" s="217"/>
      <c r="CW225" s="172">
        <f t="shared" si="650"/>
        <v>2276.1260461477905</v>
      </c>
      <c r="CX225" s="172">
        <f t="shared" si="651"/>
        <v>15</v>
      </c>
      <c r="CY225" s="217">
        <f t="shared" si="652"/>
        <v>2.0708938120702824</v>
      </c>
      <c r="CZ225" s="217">
        <f t="shared" si="653"/>
        <v>0.29236147935109874</v>
      </c>
      <c r="DA225" s="217">
        <f t="shared" si="654"/>
        <v>1.6136834899248955</v>
      </c>
      <c r="DB225" s="197">
        <f t="shared" si="655"/>
        <v>108.64873837981409</v>
      </c>
      <c r="DC225" s="443">
        <f t="shared" si="656"/>
        <v>350</v>
      </c>
      <c r="DE225" s="217">
        <f t="shared" si="657"/>
        <v>10</v>
      </c>
      <c r="DF225" s="173">
        <f t="shared" si="658"/>
        <v>7.7922077922077913</v>
      </c>
      <c r="DG225" s="173">
        <f t="shared" si="659"/>
        <v>4.2330677290836656</v>
      </c>
      <c r="DH225" s="173"/>
      <c r="DI225" s="173">
        <f t="shared" si="660"/>
        <v>7.7922077922077913</v>
      </c>
      <c r="DJ225" s="545">
        <f t="shared" si="661"/>
        <v>23.1</v>
      </c>
      <c r="DK225" s="528">
        <f t="shared" si="662"/>
        <v>4.2330677290836656</v>
      </c>
      <c r="DM225" s="173">
        <f t="shared" si="663"/>
        <v>2.5690465157330258</v>
      </c>
      <c r="DN225" s="173">
        <f t="shared" si="664"/>
        <v>10</v>
      </c>
      <c r="DO225" s="173">
        <f t="shared" si="665"/>
        <v>1.0132000000000001</v>
      </c>
      <c r="DQ225" s="545">
        <f t="shared" si="666"/>
        <v>899.99999999999989</v>
      </c>
      <c r="DR225" s="460">
        <f t="shared" si="667"/>
        <v>23.1</v>
      </c>
      <c r="DT225">
        <f t="shared" si="668"/>
        <v>899.99999999999989</v>
      </c>
      <c r="DU225">
        <f t="shared" si="669"/>
        <v>23.1</v>
      </c>
      <c r="DW225" s="5">
        <f t="shared" si="670"/>
        <v>43.290043290043286</v>
      </c>
      <c r="DX225" s="5">
        <f t="shared" si="671"/>
        <v>1.4117647058823528</v>
      </c>
      <c r="DY225" s="5">
        <f t="shared" si="672"/>
        <v>41.878278584160931</v>
      </c>
      <c r="DZ225" s="5"/>
      <c r="EA225" s="173">
        <f t="shared" si="673"/>
        <v>3.2611764705882354E-2</v>
      </c>
      <c r="EB225" s="173">
        <f t="shared" si="699"/>
        <v>13.860000000000003</v>
      </c>
      <c r="EC225" s="173">
        <f t="shared" si="700"/>
        <v>4.8369411764705887</v>
      </c>
      <c r="ED225" s="173">
        <f t="shared" si="701"/>
        <v>2.8654472928929322</v>
      </c>
      <c r="EE225" s="460">
        <f t="shared" si="674"/>
        <v>8.470588235294116</v>
      </c>
      <c r="EF225" s="5">
        <f t="shared" si="675"/>
        <v>2.2935365553191582</v>
      </c>
      <c r="EH225" s="173">
        <f t="shared" si="702"/>
        <v>1.0426211313460954</v>
      </c>
      <c r="EI225" s="173">
        <f t="shared" si="703"/>
        <v>5.6785803252048774</v>
      </c>
      <c r="EK225" s="528">
        <f t="shared" si="704"/>
        <v>2.1741176470588236E-2</v>
      </c>
      <c r="EL225" s="528">
        <f t="shared" si="705"/>
        <v>0.46384799999999998</v>
      </c>
      <c r="EM225" s="528">
        <f t="shared" si="706"/>
        <v>2.8874999999999999E-3</v>
      </c>
      <c r="EN225" s="528">
        <f t="shared" si="707"/>
        <v>2.3285169600000002E-2</v>
      </c>
      <c r="EO225">
        <f t="shared" si="708"/>
        <v>3.8249999999999999E-2</v>
      </c>
      <c r="EP225" s="460">
        <f t="shared" si="709"/>
        <v>41.137500000000003</v>
      </c>
      <c r="EQ225" s="460"/>
      <c r="ER225" s="460">
        <f t="shared" si="710"/>
        <v>550.01184607058815</v>
      </c>
      <c r="ES225" s="528">
        <f t="shared" si="711"/>
        <v>0.62999999999999989</v>
      </c>
      <c r="EV225" s="460">
        <f t="shared" si="712"/>
        <v>629.99999999999989</v>
      </c>
      <c r="EW225" s="528">
        <f t="shared" si="713"/>
        <v>3.2611764705882354E-2</v>
      </c>
      <c r="EX225" s="528">
        <f t="shared" si="714"/>
        <v>0.96738823529411788</v>
      </c>
      <c r="EY225" s="528">
        <f t="shared" si="715"/>
        <v>4.0550849255934246E-2</v>
      </c>
      <c r="EZ225" s="528"/>
      <c r="FA225" s="528">
        <f t="shared" si="716"/>
        <v>2.3100000000000004E-3</v>
      </c>
      <c r="FB225" s="460">
        <f t="shared" si="717"/>
        <v>1042.8608492559347</v>
      </c>
      <c r="FC225" s="173">
        <f t="shared" si="718"/>
        <v>2.2228726953265223</v>
      </c>
      <c r="FD225" s="5">
        <f t="shared" si="719"/>
        <v>13.499999999999998</v>
      </c>
      <c r="FE225" s="173">
        <f t="shared" si="720"/>
        <v>0.85862172019065885</v>
      </c>
      <c r="FF225" s="5">
        <f t="shared" si="721"/>
        <v>85.862172019065881</v>
      </c>
      <c r="FI225" s="562">
        <f t="shared" si="676"/>
        <v>-50</v>
      </c>
      <c r="FJ225">
        <f t="shared" si="677"/>
        <v>-50</v>
      </c>
      <c r="FL225">
        <f t="shared" si="678"/>
        <v>0.18</v>
      </c>
    </row>
    <row r="226" spans="5:168">
      <c r="E226" s="170">
        <v>10</v>
      </c>
      <c r="F226" s="217">
        <f t="shared" si="679"/>
        <v>1</v>
      </c>
      <c r="G226" s="217"/>
      <c r="H226" s="217">
        <f t="shared" si="603"/>
        <v>15</v>
      </c>
      <c r="I226" s="541">
        <f t="shared" si="604"/>
        <v>84.753268114390082</v>
      </c>
      <c r="J226" s="172">
        <f t="shared" si="605"/>
        <v>15.548039131365949</v>
      </c>
      <c r="K226" s="172">
        <f t="shared" si="606"/>
        <v>100.30130724575604</v>
      </c>
      <c r="L226" s="443"/>
      <c r="M226" s="217">
        <f t="shared" si="607"/>
        <v>0.15502984391561525</v>
      </c>
      <c r="N226" s="172">
        <f t="shared" si="608"/>
        <v>329.8781973075603</v>
      </c>
      <c r="O226" s="172">
        <f t="shared" si="599"/>
        <v>15</v>
      </c>
      <c r="P226" s="217">
        <f t="shared" si="609"/>
        <v>21.991879820504021</v>
      </c>
      <c r="Q226" s="217">
        <f t="shared" si="610"/>
        <v>15</v>
      </c>
      <c r="R226" s="217"/>
      <c r="S226" s="172">
        <f t="shared" si="611"/>
        <v>2034.0950979987063</v>
      </c>
      <c r="T226" s="172">
        <f t="shared" si="612"/>
        <v>15</v>
      </c>
      <c r="U226" s="217">
        <f t="shared" si="613"/>
        <v>2.3669475017532635</v>
      </c>
      <c r="V226" s="217">
        <f t="shared" si="614"/>
        <v>0.33513008587118559</v>
      </c>
      <c r="W226" s="217">
        <f t="shared" si="615"/>
        <v>1.8268136438979898</v>
      </c>
      <c r="X226" s="197">
        <f t="shared" si="616"/>
        <v>109.48238241177424</v>
      </c>
      <c r="Y226" s="443">
        <f t="shared" si="680"/>
        <v>350</v>
      </c>
      <c r="AA226" s="217">
        <f t="shared" si="617"/>
        <v>10</v>
      </c>
      <c r="AB226" s="173">
        <f t="shared" si="618"/>
        <v>7.7180150491078416</v>
      </c>
      <c r="AC226" s="173">
        <f t="shared" si="619"/>
        <v>4.2249333753312666</v>
      </c>
      <c r="AD226" s="173"/>
      <c r="AE226" s="173">
        <f t="shared" si="620"/>
        <v>7.7180150491078416</v>
      </c>
      <c r="AF226" s="545">
        <f t="shared" si="621"/>
        <v>25.913398552276576</v>
      </c>
      <c r="AG226" s="528">
        <f t="shared" si="622"/>
        <v>4.2249333753312666</v>
      </c>
      <c r="AI226" s="173">
        <f t="shared" si="623"/>
        <v>2.7209976401668023</v>
      </c>
      <c r="AJ226" s="173">
        <f t="shared" si="624"/>
        <v>10</v>
      </c>
      <c r="AK226" s="173">
        <f t="shared" si="625"/>
        <v>1.0148076563155866</v>
      </c>
      <c r="AM226" s="545">
        <f t="shared" si="626"/>
        <v>1000</v>
      </c>
      <c r="AN226" s="460">
        <f t="shared" si="627"/>
        <v>25.913398552276576</v>
      </c>
      <c r="AP226">
        <f t="shared" si="628"/>
        <v>1000</v>
      </c>
      <c r="AQ226">
        <f t="shared" si="629"/>
        <v>25.913398552276576</v>
      </c>
      <c r="AS226" s="5">
        <f t="shared" si="600"/>
        <v>38.590075245539218</v>
      </c>
      <c r="AT226" s="5">
        <f t="shared" si="630"/>
        <v>1.4158746048357451</v>
      </c>
      <c r="AU226" s="5">
        <f t="shared" si="478"/>
        <v>37.174200640703475</v>
      </c>
      <c r="AV226" s="5"/>
      <c r="AW226" s="173">
        <f t="shared" si="479"/>
        <v>3.6690122935155764E-2</v>
      </c>
      <c r="AX226" s="173">
        <f t="shared" si="631"/>
        <v>15.548039131365947</v>
      </c>
      <c r="AY226" s="173">
        <f t="shared" si="632"/>
        <v>4.8165493853242216</v>
      </c>
      <c r="AZ226" s="173">
        <f t="shared" si="633"/>
        <v>3.2280452015586141</v>
      </c>
      <c r="BA226" s="460">
        <f t="shared" si="594"/>
        <v>9.4391640322383008</v>
      </c>
      <c r="BB226" s="5">
        <f t="shared" si="595"/>
        <v>2.2687071828552035</v>
      </c>
      <c r="BD226" s="173">
        <f t="shared" si="681"/>
        <v>1.1058951568021833</v>
      </c>
      <c r="BE226" s="173">
        <f t="shared" si="682"/>
        <v>5.6665976772217395</v>
      </c>
      <c r="BG226" s="528">
        <f t="shared" si="683"/>
        <v>2.4460081956770515E-2</v>
      </c>
      <c r="BH226" s="528">
        <f t="shared" si="634"/>
        <v>0.48734020312005422</v>
      </c>
      <c r="BI226" s="528">
        <f t="shared" si="635"/>
        <v>5.4906130381403608E-2</v>
      </c>
      <c r="BJ226" s="528">
        <f t="shared" si="684"/>
        <v>2.6069791704721977E-2</v>
      </c>
      <c r="BK226">
        <f t="shared" si="685"/>
        <v>3.8138970651475534E-2</v>
      </c>
      <c r="BL226" s="460">
        <f t="shared" si="686"/>
        <v>93.045101032879131</v>
      </c>
      <c r="BM226" s="528">
        <f t="shared" si="636"/>
        <v>0.54765712630467933</v>
      </c>
      <c r="BN226" s="460">
        <f t="shared" si="687"/>
        <v>547.65712630467931</v>
      </c>
      <c r="BO226" s="528">
        <f t="shared" si="637"/>
        <v>0.7</v>
      </c>
      <c r="BR226" s="460">
        <f t="shared" si="688"/>
        <v>700</v>
      </c>
      <c r="BS226" s="528">
        <f t="shared" si="689"/>
        <v>3.6690122935155771E-2</v>
      </c>
      <c r="BT226" s="528">
        <f t="shared" si="690"/>
        <v>0.96330987706484428</v>
      </c>
      <c r="BU226" s="528">
        <f t="shared" si="691"/>
        <v>5.4048163399849726E-2</v>
      </c>
      <c r="BV226" s="528"/>
      <c r="BW226" s="528">
        <f t="shared" si="692"/>
        <v>2.591339855227658E-3</v>
      </c>
      <c r="BX226" s="460">
        <f t="shared" si="693"/>
        <v>1056.6395032550774</v>
      </c>
      <c r="BY226" s="173">
        <f t="shared" si="694"/>
        <v>2.3875546810695032</v>
      </c>
      <c r="BZ226" s="5">
        <f t="shared" si="695"/>
        <v>15</v>
      </c>
      <c r="CA226" s="173">
        <f t="shared" si="696"/>
        <v>0.86268600013842511</v>
      </c>
      <c r="CB226" s="5">
        <f t="shared" si="697"/>
        <v>86.268600013842516</v>
      </c>
      <c r="CE226" s="562">
        <f t="shared" si="638"/>
        <v>-50</v>
      </c>
      <c r="CF226">
        <f t="shared" si="639"/>
        <v>-50</v>
      </c>
      <c r="CG226" s="173">
        <f t="shared" si="640"/>
        <v>0.20264912204760885</v>
      </c>
      <c r="CI226" s="170">
        <v>10</v>
      </c>
      <c r="CJ226" s="217">
        <f t="shared" si="698"/>
        <v>1</v>
      </c>
      <c r="CK226" s="217"/>
      <c r="CL226" s="217">
        <f t="shared" si="641"/>
        <v>15</v>
      </c>
      <c r="CM226" s="541">
        <f t="shared" si="642"/>
        <v>85</v>
      </c>
      <c r="CN226" s="443">
        <f t="shared" si="643"/>
        <v>15.4</v>
      </c>
      <c r="CO226" s="443">
        <f t="shared" si="644"/>
        <v>100.4</v>
      </c>
      <c r="CP226" s="443"/>
      <c r="CQ226" s="217">
        <f t="shared" si="645"/>
        <v>0.15338645418326693</v>
      </c>
      <c r="CR226" s="172">
        <f t="shared" si="646"/>
        <v>327.33148655378488</v>
      </c>
      <c r="CS226" s="172">
        <f t="shared" si="647"/>
        <v>15</v>
      </c>
      <c r="CT226" s="217">
        <f t="shared" si="648"/>
        <v>21.822099103585661</v>
      </c>
      <c r="CU226" s="217">
        <f t="shared" si="649"/>
        <v>15</v>
      </c>
      <c r="CV226" s="217"/>
      <c r="CW226" s="172">
        <f t="shared" si="650"/>
        <v>2040.0166632632502</v>
      </c>
      <c r="CX226" s="172">
        <f t="shared" si="651"/>
        <v>15</v>
      </c>
      <c r="CY226" s="217">
        <f t="shared" si="652"/>
        <v>2.3009931245225363</v>
      </c>
      <c r="CZ226" s="217">
        <f t="shared" si="653"/>
        <v>0.32484608816788746</v>
      </c>
      <c r="DA226" s="217">
        <f t="shared" si="654"/>
        <v>1.7929816554721061</v>
      </c>
      <c r="DB226" s="197">
        <f t="shared" si="655"/>
        <v>108.64873837981409</v>
      </c>
      <c r="DC226" s="443">
        <f t="shared" si="656"/>
        <v>350</v>
      </c>
      <c r="DE226" s="217">
        <f t="shared" si="657"/>
        <v>10</v>
      </c>
      <c r="DF226" s="173">
        <f t="shared" si="658"/>
        <v>7.7922077922077913</v>
      </c>
      <c r="DG226" s="173">
        <f t="shared" si="659"/>
        <v>4.2330677290836656</v>
      </c>
      <c r="DH226" s="173"/>
      <c r="DI226" s="173">
        <f t="shared" si="660"/>
        <v>7.7922077922077913</v>
      </c>
      <c r="DJ226" s="545">
        <f t="shared" si="661"/>
        <v>25.666666666666668</v>
      </c>
      <c r="DK226" s="528">
        <f t="shared" si="662"/>
        <v>4.2330677290836656</v>
      </c>
      <c r="DM226" s="173">
        <f t="shared" si="663"/>
        <v>2.7080128015453204</v>
      </c>
      <c r="DN226" s="173">
        <f t="shared" si="664"/>
        <v>10</v>
      </c>
      <c r="DO226" s="173">
        <f t="shared" si="665"/>
        <v>1.0146666666666666</v>
      </c>
      <c r="DQ226" s="545">
        <f t="shared" si="666"/>
        <v>1000</v>
      </c>
      <c r="DR226" s="460">
        <f t="shared" si="667"/>
        <v>25.666666666666668</v>
      </c>
      <c r="DT226">
        <f t="shared" si="668"/>
        <v>1000</v>
      </c>
      <c r="DU226">
        <f t="shared" si="669"/>
        <v>25.666666666666668</v>
      </c>
      <c r="DW226" s="5">
        <f t="shared" si="670"/>
        <v>38.961038961038959</v>
      </c>
      <c r="DX226" s="5">
        <f t="shared" si="671"/>
        <v>1.4117647058823528</v>
      </c>
      <c r="DY226" s="5">
        <f t="shared" si="672"/>
        <v>37.549274255156604</v>
      </c>
      <c r="DZ226" s="5"/>
      <c r="EA226" s="173">
        <f t="shared" si="673"/>
        <v>3.623529411764706E-2</v>
      </c>
      <c r="EB226" s="173">
        <f t="shared" si="699"/>
        <v>15.400000000000002</v>
      </c>
      <c r="EC226" s="173">
        <f t="shared" si="700"/>
        <v>4.8188235294117652</v>
      </c>
      <c r="ED226" s="173">
        <f t="shared" si="701"/>
        <v>3.19580078125</v>
      </c>
      <c r="EE226" s="460">
        <f t="shared" si="674"/>
        <v>9.4117647058823515</v>
      </c>
      <c r="EF226" s="5">
        <f t="shared" si="675"/>
        <v>2.2849456950399554</v>
      </c>
      <c r="EH226" s="173">
        <f t="shared" si="702"/>
        <v>1.0990191705584129</v>
      </c>
      <c r="EI226" s="173">
        <f t="shared" si="703"/>
        <v>5.6679352674566097</v>
      </c>
      <c r="EK226" s="528">
        <f t="shared" si="704"/>
        <v>2.415686274509804E-2</v>
      </c>
      <c r="EL226" s="528">
        <f t="shared" si="705"/>
        <v>0.51538666666666677</v>
      </c>
      <c r="EM226" s="528">
        <f t="shared" si="706"/>
        <v>3.2083333333333334E-3</v>
      </c>
      <c r="EN226" s="528">
        <f t="shared" si="707"/>
        <v>2.5872410666666672E-2</v>
      </c>
      <c r="EO226">
        <f t="shared" si="708"/>
        <v>3.8249999999999999E-2</v>
      </c>
      <c r="EP226" s="460">
        <f t="shared" si="709"/>
        <v>41.458333333333336</v>
      </c>
      <c r="EQ226" s="460"/>
      <c r="ER226" s="460">
        <f t="shared" si="710"/>
        <v>606.87427341176476</v>
      </c>
      <c r="ES226" s="528">
        <f t="shared" si="711"/>
        <v>0.7</v>
      </c>
      <c r="EV226" s="460">
        <f t="shared" si="712"/>
        <v>700</v>
      </c>
      <c r="EW226" s="528">
        <f t="shared" si="713"/>
        <v>3.6235294117647053E-2</v>
      </c>
      <c r="EX226" s="528">
        <f t="shared" si="714"/>
        <v>0.96376470588235286</v>
      </c>
      <c r="EY226" s="528">
        <f t="shared" si="715"/>
        <v>5.2770800289257756E-2</v>
      </c>
      <c r="EZ226" s="528"/>
      <c r="FA226" s="528">
        <f t="shared" si="716"/>
        <v>2.5666666666666667E-3</v>
      </c>
      <c r="FB226" s="460">
        <f t="shared" si="717"/>
        <v>1055.3374669559244</v>
      </c>
      <c r="FC226" s="173">
        <f t="shared" si="718"/>
        <v>2.3622117403676892</v>
      </c>
      <c r="FD226" s="5">
        <f t="shared" si="719"/>
        <v>15</v>
      </c>
      <c r="FE226" s="173">
        <f t="shared" si="720"/>
        <v>0.86394522911643368</v>
      </c>
      <c r="FF226" s="5">
        <f t="shared" si="721"/>
        <v>86.394522911643364</v>
      </c>
      <c r="FI226" s="562">
        <f t="shared" si="676"/>
        <v>-50</v>
      </c>
      <c r="FJ226">
        <f t="shared" si="677"/>
        <v>-50</v>
      </c>
      <c r="FL226">
        <f t="shared" si="678"/>
        <v>0.2</v>
      </c>
    </row>
    <row r="227" spans="5:168">
      <c r="E227" s="170">
        <v>11</v>
      </c>
      <c r="F227" s="217">
        <f t="shared" si="679"/>
        <v>1.1000000000000001</v>
      </c>
      <c r="G227" s="217"/>
      <c r="H227" s="217">
        <f t="shared" si="603"/>
        <v>16.5</v>
      </c>
      <c r="I227" s="541">
        <f t="shared" si="604"/>
        <v>84.753268114390082</v>
      </c>
      <c r="J227" s="172">
        <f t="shared" si="605"/>
        <v>15.548039131365949</v>
      </c>
      <c r="K227" s="172">
        <f t="shared" si="606"/>
        <v>100.30130724575604</v>
      </c>
      <c r="L227" s="443"/>
      <c r="M227" s="217">
        <f t="shared" si="607"/>
        <v>0.15502984391561525</v>
      </c>
      <c r="N227" s="172">
        <f t="shared" si="608"/>
        <v>329.8781973075603</v>
      </c>
      <c r="O227" s="172">
        <f t="shared" si="599"/>
        <v>16.5</v>
      </c>
      <c r="P227" s="217">
        <f t="shared" si="609"/>
        <v>21.991879820504021</v>
      </c>
      <c r="Q227" s="217">
        <f t="shared" si="610"/>
        <v>15</v>
      </c>
      <c r="R227" s="217"/>
      <c r="S227" s="172">
        <f t="shared" si="611"/>
        <v>1841.4757767087831</v>
      </c>
      <c r="T227" s="172">
        <f t="shared" si="612"/>
        <v>15</v>
      </c>
      <c r="U227" s="217">
        <f t="shared" si="613"/>
        <v>2.6036422519285898</v>
      </c>
      <c r="V227" s="217">
        <f t="shared" si="614"/>
        <v>0.36864309445830418</v>
      </c>
      <c r="W227" s="217">
        <f t="shared" si="615"/>
        <v>2.0094950082877889</v>
      </c>
      <c r="X227" s="197">
        <f t="shared" si="616"/>
        <v>109.48238241177424</v>
      </c>
      <c r="Y227" s="443">
        <f t="shared" si="680"/>
        <v>350</v>
      </c>
      <c r="AA227" s="217">
        <f t="shared" si="617"/>
        <v>10</v>
      </c>
      <c r="AB227" s="173">
        <f t="shared" si="618"/>
        <v>7.7180150491078416</v>
      </c>
      <c r="AC227" s="173">
        <f t="shared" si="619"/>
        <v>4.2249333753312666</v>
      </c>
      <c r="AD227" s="173"/>
      <c r="AE227" s="173">
        <f t="shared" si="620"/>
        <v>7.7180150491078416</v>
      </c>
      <c r="AF227" s="545">
        <f t="shared" si="621"/>
        <v>28.504738407504238</v>
      </c>
      <c r="AG227" s="528">
        <f t="shared" si="622"/>
        <v>4.2249333753312666</v>
      </c>
      <c r="AI227" s="173">
        <f t="shared" si="623"/>
        <v>2.853806400857045</v>
      </c>
      <c r="AJ227" s="173">
        <f t="shared" si="624"/>
        <v>10</v>
      </c>
      <c r="AK227" s="173">
        <f t="shared" si="625"/>
        <v>1.0162884219471453</v>
      </c>
      <c r="AM227" s="545">
        <f t="shared" si="626"/>
        <v>1100</v>
      </c>
      <c r="AN227" s="460">
        <f t="shared" si="627"/>
        <v>28.504738407504238</v>
      </c>
      <c r="AP227">
        <f t="shared" si="628"/>
        <v>1100</v>
      </c>
      <c r="AQ227">
        <f t="shared" si="629"/>
        <v>28.504738407504238</v>
      </c>
      <c r="AS227" s="5">
        <f t="shared" si="600"/>
        <v>35.08188658685382</v>
      </c>
      <c r="AT227" s="5">
        <f t="shared" si="630"/>
        <v>1.4158746048357451</v>
      </c>
      <c r="AU227" s="5">
        <f t="shared" si="478"/>
        <v>33.666011982018077</v>
      </c>
      <c r="AV227" s="5"/>
      <c r="AW227" s="173">
        <f t="shared" si="479"/>
        <v>4.0359135228671357E-2</v>
      </c>
      <c r="AX227" s="173">
        <f t="shared" si="631"/>
        <v>17.102843044502542</v>
      </c>
      <c r="AY227" s="173">
        <f t="shared" si="632"/>
        <v>4.798204323856643</v>
      </c>
      <c r="AZ227" s="173">
        <f t="shared" si="633"/>
        <v>3.5644257497471106</v>
      </c>
      <c r="BA227" s="460">
        <f t="shared" si="594"/>
        <v>10.383080435462134</v>
      </c>
      <c r="BB227" s="5">
        <f t="shared" si="595"/>
        <v>2.2600662307146044</v>
      </c>
      <c r="BD227" s="173">
        <f t="shared" si="681"/>
        <v>1.1598726256026473</v>
      </c>
      <c r="BE227" s="173">
        <f t="shared" si="682"/>
        <v>5.6557960381993047</v>
      </c>
      <c r="BG227" s="528">
        <f t="shared" si="683"/>
        <v>2.6906090152447572E-2</v>
      </c>
      <c r="BH227" s="528">
        <f t="shared" si="634"/>
        <v>0.53607422343205979</v>
      </c>
      <c r="BI227" s="528">
        <f t="shared" si="635"/>
        <v>6.0396743419543979E-2</v>
      </c>
      <c r="BJ227" s="528">
        <f t="shared" si="684"/>
        <v>2.8676770875194182E-2</v>
      </c>
      <c r="BK227">
        <f t="shared" si="685"/>
        <v>3.8138970651475534E-2</v>
      </c>
      <c r="BL227" s="460">
        <f t="shared" si="686"/>
        <v>98.535714071019527</v>
      </c>
      <c r="BM227" s="528">
        <f t="shared" si="636"/>
        <v>0.60277520256948025</v>
      </c>
      <c r="BN227" s="460">
        <f t="shared" si="687"/>
        <v>602.77520256948026</v>
      </c>
      <c r="BO227" s="528">
        <f t="shared" si="637"/>
        <v>0.77</v>
      </c>
      <c r="BR227" s="460">
        <f t="shared" si="688"/>
        <v>770</v>
      </c>
      <c r="BS227" s="528">
        <f t="shared" si="689"/>
        <v>4.0359135228671357E-2</v>
      </c>
      <c r="BT227" s="528">
        <f t="shared" si="690"/>
        <v>0.95964086477132848</v>
      </c>
      <c r="BU227" s="528">
        <f t="shared" si="691"/>
        <v>6.859029232134134E-2</v>
      </c>
      <c r="BV227" s="528"/>
      <c r="BW227" s="528">
        <f t="shared" si="692"/>
        <v>2.8504738407504242E-3</v>
      </c>
      <c r="BX227" s="460">
        <f t="shared" si="693"/>
        <v>1071.4407661620917</v>
      </c>
      <c r="BY227" s="173">
        <f t="shared" si="694"/>
        <v>2.5316335646928123</v>
      </c>
      <c r="BZ227" s="5">
        <f t="shared" si="695"/>
        <v>16.5</v>
      </c>
      <c r="CA227" s="173">
        <f t="shared" si="696"/>
        <v>0.86697760042051997</v>
      </c>
      <c r="CB227" s="5">
        <f t="shared" si="697"/>
        <v>86.697760042051996</v>
      </c>
      <c r="CE227" s="562">
        <f t="shared" si="638"/>
        <v>-50</v>
      </c>
      <c r="CF227">
        <f t="shared" si="639"/>
        <v>-50</v>
      </c>
      <c r="CG227" s="173">
        <f t="shared" si="640"/>
        <v>0.22291403425236975</v>
      </c>
      <c r="CI227" s="170">
        <v>11</v>
      </c>
      <c r="CJ227" s="217">
        <f t="shared" si="698"/>
        <v>1.1000000000000001</v>
      </c>
      <c r="CK227" s="217"/>
      <c r="CL227" s="217">
        <f t="shared" si="641"/>
        <v>16.5</v>
      </c>
      <c r="CM227" s="541">
        <f t="shared" si="642"/>
        <v>85</v>
      </c>
      <c r="CN227" s="443">
        <f t="shared" si="643"/>
        <v>15.4</v>
      </c>
      <c r="CO227" s="443">
        <f t="shared" si="644"/>
        <v>100.4</v>
      </c>
      <c r="CP227" s="443"/>
      <c r="CQ227" s="217">
        <f t="shared" si="645"/>
        <v>0.15338645418326693</v>
      </c>
      <c r="CR227" s="172">
        <f t="shared" si="646"/>
        <v>327.33148655378488</v>
      </c>
      <c r="CS227" s="172">
        <f t="shared" si="647"/>
        <v>16.5</v>
      </c>
      <c r="CT227" s="217">
        <f t="shared" si="648"/>
        <v>21.822099103585661</v>
      </c>
      <c r="CU227" s="217">
        <f t="shared" si="649"/>
        <v>15</v>
      </c>
      <c r="CV227" s="217"/>
      <c r="CW227" s="172">
        <f t="shared" si="650"/>
        <v>1846.8365876900807</v>
      </c>
      <c r="CX227" s="172">
        <f t="shared" si="651"/>
        <v>15</v>
      </c>
      <c r="CY227" s="217">
        <f t="shared" si="652"/>
        <v>2.5310924369747898</v>
      </c>
      <c r="CZ227" s="217">
        <f t="shared" si="653"/>
        <v>0.35733069698467618</v>
      </c>
      <c r="DA227" s="217">
        <f t="shared" si="654"/>
        <v>1.9722798210193166</v>
      </c>
      <c r="DB227" s="197">
        <f t="shared" si="655"/>
        <v>108.64873837981409</v>
      </c>
      <c r="DC227" s="443">
        <f t="shared" si="656"/>
        <v>350</v>
      </c>
      <c r="DE227" s="217">
        <f t="shared" si="657"/>
        <v>10</v>
      </c>
      <c r="DF227" s="173">
        <f t="shared" si="658"/>
        <v>7.7922077922077913</v>
      </c>
      <c r="DG227" s="173">
        <f t="shared" si="659"/>
        <v>4.2330677290836656</v>
      </c>
      <c r="DH227" s="173"/>
      <c r="DI227" s="173">
        <f t="shared" si="660"/>
        <v>7.7922077922077913</v>
      </c>
      <c r="DJ227" s="545">
        <f t="shared" si="661"/>
        <v>28.233333333333334</v>
      </c>
      <c r="DK227" s="528">
        <f t="shared" si="662"/>
        <v>4.2330677290836656</v>
      </c>
      <c r="DM227" s="173">
        <f t="shared" si="663"/>
        <v>2.8401877872187726</v>
      </c>
      <c r="DN227" s="173">
        <f t="shared" si="664"/>
        <v>10</v>
      </c>
      <c r="DO227" s="173">
        <f t="shared" si="665"/>
        <v>1.0161333333333333</v>
      </c>
      <c r="DQ227" s="545">
        <f t="shared" si="666"/>
        <v>1100</v>
      </c>
      <c r="DR227" s="460">
        <f t="shared" si="667"/>
        <v>28.233333333333334</v>
      </c>
      <c r="DT227">
        <f t="shared" si="668"/>
        <v>1100</v>
      </c>
      <c r="DU227">
        <f t="shared" si="669"/>
        <v>28.233333333333334</v>
      </c>
      <c r="DW227" s="5">
        <f t="shared" si="670"/>
        <v>35.419126328217232</v>
      </c>
      <c r="DX227" s="5">
        <f t="shared" si="671"/>
        <v>1.4117647058823528</v>
      </c>
      <c r="DY227" s="5">
        <f t="shared" si="672"/>
        <v>34.007361622334876</v>
      </c>
      <c r="DZ227" s="5"/>
      <c r="EA227" s="173">
        <f t="shared" si="673"/>
        <v>3.9858823529411766E-2</v>
      </c>
      <c r="EB227" s="173">
        <f t="shared" si="699"/>
        <v>16.940000000000005</v>
      </c>
      <c r="EC227" s="173">
        <f t="shared" si="700"/>
        <v>4.8007058823529416</v>
      </c>
      <c r="ED227" s="173">
        <f t="shared" si="701"/>
        <v>3.5286477478802145</v>
      </c>
      <c r="EE227" s="460">
        <f t="shared" si="674"/>
        <v>10.352941176470589</v>
      </c>
      <c r="EF227" s="5">
        <f t="shared" si="675"/>
        <v>2.2763548347607521</v>
      </c>
      <c r="EH227" s="173">
        <f t="shared" si="702"/>
        <v>1.1526610303902844</v>
      </c>
      <c r="EI227" s="173">
        <f t="shared" si="703"/>
        <v>5.6572701793668063</v>
      </c>
      <c r="EK227" s="528">
        <f t="shared" si="704"/>
        <v>2.6572549019607844E-2</v>
      </c>
      <c r="EL227" s="528">
        <f t="shared" si="705"/>
        <v>0.56692533333333339</v>
      </c>
      <c r="EM227" s="528">
        <f t="shared" si="706"/>
        <v>3.5291666666666666E-3</v>
      </c>
      <c r="EN227" s="528">
        <f t="shared" si="707"/>
        <v>2.8459651733333338E-2</v>
      </c>
      <c r="EO227">
        <f t="shared" si="708"/>
        <v>3.8249999999999999E-2</v>
      </c>
      <c r="EP227" s="460">
        <f t="shared" si="709"/>
        <v>41.779166666666669</v>
      </c>
      <c r="EQ227" s="460"/>
      <c r="ER227" s="460">
        <f t="shared" si="710"/>
        <v>663.73670075294126</v>
      </c>
      <c r="ES227" s="528">
        <f t="shared" si="711"/>
        <v>0.77</v>
      </c>
      <c r="EV227" s="460">
        <f t="shared" si="712"/>
        <v>770</v>
      </c>
      <c r="EW227" s="528">
        <f t="shared" si="713"/>
        <v>3.9858823529411766E-2</v>
      </c>
      <c r="EX227" s="528">
        <f t="shared" si="714"/>
        <v>0.96014117647058805</v>
      </c>
      <c r="EY227" s="528">
        <f t="shared" si="715"/>
        <v>6.6969243544756182E-2</v>
      </c>
      <c r="EZ227" s="528"/>
      <c r="FA227" s="528">
        <f t="shared" si="716"/>
        <v>2.8233333333333335E-3</v>
      </c>
      <c r="FB227" s="460">
        <f t="shared" si="717"/>
        <v>1069.7925768780894</v>
      </c>
      <c r="FC227" s="173">
        <f t="shared" si="718"/>
        <v>2.5035292776310301</v>
      </c>
      <c r="FD227" s="5">
        <f t="shared" si="719"/>
        <v>16.5</v>
      </c>
      <c r="FE227" s="173">
        <f t="shared" si="720"/>
        <v>0.86825977211622873</v>
      </c>
      <c r="FF227" s="5">
        <f t="shared" si="721"/>
        <v>86.82597721162287</v>
      </c>
      <c r="FI227" s="562">
        <f t="shared" si="676"/>
        <v>-50</v>
      </c>
      <c r="FJ227">
        <f t="shared" si="677"/>
        <v>-50</v>
      </c>
      <c r="FL227">
        <f t="shared" si="678"/>
        <v>0.22000000000000003</v>
      </c>
    </row>
    <row r="228" spans="5:168">
      <c r="E228" s="170">
        <v>12</v>
      </c>
      <c r="F228" s="217">
        <f t="shared" si="679"/>
        <v>1.2</v>
      </c>
      <c r="G228" s="217"/>
      <c r="H228" s="217">
        <f t="shared" si="603"/>
        <v>18</v>
      </c>
      <c r="I228" s="541">
        <f t="shared" si="604"/>
        <v>84.753268114390082</v>
      </c>
      <c r="J228" s="172">
        <f t="shared" si="605"/>
        <v>15.548039131365949</v>
      </c>
      <c r="K228" s="172">
        <f t="shared" si="606"/>
        <v>100.30130724575604</v>
      </c>
      <c r="L228" s="443"/>
      <c r="M228" s="217">
        <f t="shared" si="607"/>
        <v>0.15502984391561525</v>
      </c>
      <c r="N228" s="172">
        <f t="shared" si="608"/>
        <v>329.8781973075603</v>
      </c>
      <c r="O228" s="172">
        <f t="shared" si="599"/>
        <v>18</v>
      </c>
      <c r="P228" s="217">
        <f t="shared" si="609"/>
        <v>21.991879820504021</v>
      </c>
      <c r="Q228" s="217">
        <f t="shared" si="610"/>
        <v>15</v>
      </c>
      <c r="R228" s="217"/>
      <c r="S228" s="172">
        <f t="shared" si="611"/>
        <v>1680.9599806294029</v>
      </c>
      <c r="T228" s="172">
        <f t="shared" si="612"/>
        <v>15</v>
      </c>
      <c r="U228" s="217">
        <f t="shared" si="613"/>
        <v>2.840337002103916</v>
      </c>
      <c r="V228" s="217">
        <f t="shared" si="614"/>
        <v>0.40215610304542265</v>
      </c>
      <c r="W228" s="217">
        <f t="shared" si="615"/>
        <v>2.1921763726775874</v>
      </c>
      <c r="X228" s="197">
        <f t="shared" si="616"/>
        <v>109.48238241177424</v>
      </c>
      <c r="Y228" s="443">
        <f t="shared" si="680"/>
        <v>350</v>
      </c>
      <c r="AA228" s="217">
        <f t="shared" si="617"/>
        <v>10</v>
      </c>
      <c r="AB228" s="173">
        <f t="shared" si="618"/>
        <v>7.7180150491078416</v>
      </c>
      <c r="AC228" s="173">
        <f t="shared" si="619"/>
        <v>4.2249333753312666</v>
      </c>
      <c r="AD228" s="173"/>
      <c r="AE228" s="173">
        <f t="shared" si="620"/>
        <v>7.7180150491078416</v>
      </c>
      <c r="AF228" s="545">
        <f t="shared" si="621"/>
        <v>31.09607826273189</v>
      </c>
      <c r="AG228" s="528">
        <f t="shared" si="622"/>
        <v>4.2249333753312666</v>
      </c>
      <c r="AI228" s="173">
        <f t="shared" si="623"/>
        <v>2.9807035728753655</v>
      </c>
      <c r="AJ228" s="173">
        <f t="shared" si="624"/>
        <v>10</v>
      </c>
      <c r="AK228" s="173">
        <f t="shared" si="625"/>
        <v>1.017769187578704</v>
      </c>
      <c r="AM228" s="545">
        <f t="shared" si="626"/>
        <v>1200</v>
      </c>
      <c r="AN228" s="460">
        <f t="shared" si="627"/>
        <v>31.09607826273189</v>
      </c>
      <c r="AP228">
        <f t="shared" si="628"/>
        <v>1200</v>
      </c>
      <c r="AQ228">
        <f t="shared" si="629"/>
        <v>31.09607826273189</v>
      </c>
      <c r="AS228" s="5">
        <f t="shared" si="600"/>
        <v>32.158396037949345</v>
      </c>
      <c r="AT228" s="5">
        <f t="shared" si="630"/>
        <v>1.4158746048357451</v>
      </c>
      <c r="AU228" s="5">
        <f t="shared" si="478"/>
        <v>30.742521433113598</v>
      </c>
      <c r="AV228" s="5"/>
      <c r="AW228" s="173">
        <f t="shared" si="479"/>
        <v>4.4028147522186922E-2</v>
      </c>
      <c r="AX228" s="173">
        <f t="shared" si="631"/>
        <v>18.657646957639134</v>
      </c>
      <c r="AY228" s="173">
        <f t="shared" si="632"/>
        <v>4.7798592623890652</v>
      </c>
      <c r="AZ228" s="173">
        <f t="shared" si="633"/>
        <v>3.9033883496213408</v>
      </c>
      <c r="BA228" s="460">
        <f t="shared" si="594"/>
        <v>11.326996838685961</v>
      </c>
      <c r="BB228" s="5">
        <f t="shared" si="595"/>
        <v>2.2514252785740068</v>
      </c>
      <c r="BD228" s="173">
        <f t="shared" si="681"/>
        <v>1.2114474472325369</v>
      </c>
      <c r="BE228" s="173">
        <f t="shared" si="682"/>
        <v>5.6449737303132865</v>
      </c>
      <c r="BG228" s="528">
        <f t="shared" si="683"/>
        <v>2.9352098348124609E-2</v>
      </c>
      <c r="BH228" s="528">
        <f t="shared" si="634"/>
        <v>0.58480824374406504</v>
      </c>
      <c r="BI228" s="528">
        <f t="shared" si="635"/>
        <v>6.5887356457684315E-2</v>
      </c>
      <c r="BJ228" s="528">
        <f t="shared" si="684"/>
        <v>3.1283750045666373E-2</v>
      </c>
      <c r="BK228">
        <f t="shared" si="685"/>
        <v>3.8138970651475534E-2</v>
      </c>
      <c r="BL228" s="460">
        <f t="shared" si="686"/>
        <v>104.02632710915985</v>
      </c>
      <c r="BM228" s="528">
        <f t="shared" si="636"/>
        <v>0.65795779488835382</v>
      </c>
      <c r="BN228" s="460">
        <f t="shared" si="687"/>
        <v>657.95779488835387</v>
      </c>
      <c r="BO228" s="528">
        <f t="shared" si="637"/>
        <v>0.84</v>
      </c>
      <c r="BR228" s="460">
        <f t="shared" si="688"/>
        <v>840</v>
      </c>
      <c r="BS228" s="528">
        <f t="shared" si="689"/>
        <v>4.4028147522186908E-2</v>
      </c>
      <c r="BT228" s="528">
        <f t="shared" si="690"/>
        <v>0.95597185247781302</v>
      </c>
      <c r="BU228" s="528">
        <f t="shared" si="691"/>
        <v>8.5257787063169596E-2</v>
      </c>
      <c r="BV228" s="528"/>
      <c r="BW228" s="528">
        <f t="shared" si="692"/>
        <v>3.1096078262731895E-3</v>
      </c>
      <c r="BX228" s="460">
        <f t="shared" si="693"/>
        <v>1088.3673948894425</v>
      </c>
      <c r="BY228" s="173">
        <f t="shared" si="694"/>
        <v>2.6778378141364585</v>
      </c>
      <c r="BZ228" s="5">
        <f t="shared" si="695"/>
        <v>18</v>
      </c>
      <c r="CA228" s="173">
        <f t="shared" si="696"/>
        <v>0.870497203904668</v>
      </c>
      <c r="CB228" s="5">
        <f t="shared" si="697"/>
        <v>87.049720390466803</v>
      </c>
      <c r="CE228" s="562">
        <f t="shared" si="638"/>
        <v>-50</v>
      </c>
      <c r="CF228">
        <f t="shared" si="639"/>
        <v>-50</v>
      </c>
      <c r="CG228" s="173">
        <f t="shared" si="640"/>
        <v>0.24317894645713062</v>
      </c>
      <c r="CI228" s="170">
        <v>12</v>
      </c>
      <c r="CJ228" s="217">
        <f t="shared" si="698"/>
        <v>1.2</v>
      </c>
      <c r="CK228" s="217"/>
      <c r="CL228" s="217">
        <f t="shared" si="641"/>
        <v>18</v>
      </c>
      <c r="CM228" s="541">
        <f t="shared" si="642"/>
        <v>85</v>
      </c>
      <c r="CN228" s="443">
        <f t="shared" si="643"/>
        <v>15.4</v>
      </c>
      <c r="CO228" s="443">
        <f t="shared" si="644"/>
        <v>100.4</v>
      </c>
      <c r="CP228" s="443"/>
      <c r="CQ228" s="217">
        <f t="shared" si="645"/>
        <v>0.15338645418326693</v>
      </c>
      <c r="CR228" s="172">
        <f t="shared" si="646"/>
        <v>327.33148655378488</v>
      </c>
      <c r="CS228" s="172">
        <f t="shared" si="647"/>
        <v>18</v>
      </c>
      <c r="CT228" s="217">
        <f t="shared" si="648"/>
        <v>21.822099103585661</v>
      </c>
      <c r="CU228" s="217">
        <f t="shared" si="649"/>
        <v>15</v>
      </c>
      <c r="CV228" s="217"/>
      <c r="CW228" s="172">
        <f t="shared" si="650"/>
        <v>1685.8534963752918</v>
      </c>
      <c r="CX228" s="172">
        <f t="shared" si="651"/>
        <v>15</v>
      </c>
      <c r="CY228" s="217">
        <f t="shared" si="652"/>
        <v>2.7611917494270433</v>
      </c>
      <c r="CZ228" s="217">
        <f t="shared" si="653"/>
        <v>0.38981530580146495</v>
      </c>
      <c r="DA228" s="217">
        <f t="shared" si="654"/>
        <v>2.1515779865665272</v>
      </c>
      <c r="DB228" s="197">
        <f t="shared" si="655"/>
        <v>108.64873837981409</v>
      </c>
      <c r="DC228" s="443">
        <f t="shared" si="656"/>
        <v>350</v>
      </c>
      <c r="DE228" s="217">
        <f t="shared" si="657"/>
        <v>10</v>
      </c>
      <c r="DF228" s="173">
        <f t="shared" si="658"/>
        <v>7.7922077922077913</v>
      </c>
      <c r="DG228" s="173">
        <f t="shared" si="659"/>
        <v>4.2330677290836656</v>
      </c>
      <c r="DH228" s="173"/>
      <c r="DI228" s="173">
        <f t="shared" si="660"/>
        <v>7.7922077922077913</v>
      </c>
      <c r="DJ228" s="545">
        <f t="shared" si="661"/>
        <v>30.8</v>
      </c>
      <c r="DK228" s="528">
        <f t="shared" si="662"/>
        <v>4.2330677290836656</v>
      </c>
      <c r="DM228" s="173">
        <f t="shared" si="663"/>
        <v>2.9664793948382653</v>
      </c>
      <c r="DN228" s="173">
        <f t="shared" si="664"/>
        <v>10</v>
      </c>
      <c r="DO228" s="173">
        <f t="shared" si="665"/>
        <v>1.0176000000000001</v>
      </c>
      <c r="DQ228" s="545">
        <f t="shared" si="666"/>
        <v>1200</v>
      </c>
      <c r="DR228" s="460">
        <f t="shared" si="667"/>
        <v>30.8</v>
      </c>
      <c r="DT228">
        <f t="shared" si="668"/>
        <v>1200</v>
      </c>
      <c r="DU228">
        <f t="shared" si="669"/>
        <v>30.8</v>
      </c>
      <c r="DW228" s="5">
        <f t="shared" si="670"/>
        <v>32.467532467532465</v>
      </c>
      <c r="DX228" s="5">
        <f t="shared" si="671"/>
        <v>1.4117647058823528</v>
      </c>
      <c r="DY228" s="5">
        <f t="shared" si="672"/>
        <v>31.055767761650113</v>
      </c>
      <c r="DZ228" s="5"/>
      <c r="EA228" s="173">
        <f t="shared" si="673"/>
        <v>4.3482352941176472E-2</v>
      </c>
      <c r="EB228" s="173">
        <f t="shared" si="699"/>
        <v>18.480000000000004</v>
      </c>
      <c r="EC228" s="173">
        <f t="shared" si="700"/>
        <v>4.7825882352941171</v>
      </c>
      <c r="ED228" s="173">
        <f t="shared" si="701"/>
        <v>3.8640165305520036</v>
      </c>
      <c r="EE228" s="460">
        <f t="shared" si="674"/>
        <v>11.294117647058822</v>
      </c>
      <c r="EF228" s="5">
        <f t="shared" si="675"/>
        <v>2.2677639744815492</v>
      </c>
      <c r="EH228" s="173">
        <f t="shared" si="702"/>
        <v>1.2039151816909206</v>
      </c>
      <c r="EI228" s="173">
        <f t="shared" si="703"/>
        <v>5.6465849474374732</v>
      </c>
      <c r="EK228" s="528">
        <f t="shared" si="704"/>
        <v>2.8988235294117648E-2</v>
      </c>
      <c r="EL228" s="528">
        <f t="shared" si="705"/>
        <v>0.61846400000000001</v>
      </c>
      <c r="EM228" s="528">
        <f t="shared" si="706"/>
        <v>3.8499999999999997E-3</v>
      </c>
      <c r="EN228" s="528">
        <f t="shared" si="707"/>
        <v>3.1046892800000007E-2</v>
      </c>
      <c r="EO228">
        <f t="shared" si="708"/>
        <v>3.8249999999999999E-2</v>
      </c>
      <c r="EP228" s="460">
        <f t="shared" si="709"/>
        <v>42.1</v>
      </c>
      <c r="EQ228" s="460"/>
      <c r="ER228" s="460">
        <f t="shared" si="710"/>
        <v>720.59912809411776</v>
      </c>
      <c r="ES228" s="528">
        <f t="shared" si="711"/>
        <v>0.84</v>
      </c>
      <c r="EV228" s="460">
        <f t="shared" si="712"/>
        <v>840</v>
      </c>
      <c r="EW228" s="528">
        <f t="shared" si="713"/>
        <v>4.3482352941176472E-2</v>
      </c>
      <c r="EX228" s="528">
        <f t="shared" si="714"/>
        <v>0.95651764705882358</v>
      </c>
      <c r="EY228" s="528">
        <f t="shared" si="715"/>
        <v>8.3242822164556723E-2</v>
      </c>
      <c r="EZ228" s="528"/>
      <c r="FA228" s="528">
        <f t="shared" si="716"/>
        <v>3.0800000000000003E-3</v>
      </c>
      <c r="FB228" s="460">
        <f t="shared" si="717"/>
        <v>1086.3228221645566</v>
      </c>
      <c r="FC228" s="173">
        <f t="shared" si="718"/>
        <v>2.6469219502586747</v>
      </c>
      <c r="FD228" s="5">
        <f t="shared" si="719"/>
        <v>18</v>
      </c>
      <c r="FE228" s="173">
        <f t="shared" si="720"/>
        <v>0.87180065112681293</v>
      </c>
      <c r="FF228" s="5">
        <f t="shared" si="721"/>
        <v>87.180065112681291</v>
      </c>
      <c r="FI228" s="562">
        <f t="shared" si="676"/>
        <v>-50</v>
      </c>
      <c r="FJ228">
        <f t="shared" si="677"/>
        <v>-50</v>
      </c>
      <c r="FL228">
        <f t="shared" si="678"/>
        <v>0.24000000000000002</v>
      </c>
    </row>
    <row r="229" spans="5:168">
      <c r="E229" s="170">
        <v>13</v>
      </c>
      <c r="F229" s="217">
        <f t="shared" si="679"/>
        <v>1.3</v>
      </c>
      <c r="G229" s="217"/>
      <c r="H229" s="217">
        <f t="shared" si="603"/>
        <v>19.5</v>
      </c>
      <c r="I229" s="541">
        <f t="shared" si="604"/>
        <v>84.753268114390082</v>
      </c>
      <c r="J229" s="172">
        <f t="shared" si="605"/>
        <v>15.548039131365949</v>
      </c>
      <c r="K229" s="172">
        <f t="shared" si="606"/>
        <v>100.30130724575604</v>
      </c>
      <c r="L229" s="443"/>
      <c r="M229" s="217">
        <f t="shared" si="607"/>
        <v>0.15502984391561525</v>
      </c>
      <c r="N229" s="172">
        <f t="shared" si="608"/>
        <v>329.8781973075603</v>
      </c>
      <c r="O229" s="172">
        <f t="shared" si="599"/>
        <v>19.5</v>
      </c>
      <c r="P229" s="217">
        <f t="shared" si="609"/>
        <v>21.991879820504021</v>
      </c>
      <c r="Q229" s="217">
        <f t="shared" si="610"/>
        <v>15</v>
      </c>
      <c r="R229" s="217"/>
      <c r="S229" s="172">
        <f t="shared" si="611"/>
        <v>1545.1392074853154</v>
      </c>
      <c r="T229" s="172">
        <f t="shared" si="612"/>
        <v>15</v>
      </c>
      <c r="U229" s="217">
        <f t="shared" si="613"/>
        <v>3.0770317522792427</v>
      </c>
      <c r="V229" s="217">
        <f t="shared" si="614"/>
        <v>0.43566911163254129</v>
      </c>
      <c r="W229" s="217">
        <f t="shared" si="615"/>
        <v>2.3748577370673867</v>
      </c>
      <c r="X229" s="197">
        <f t="shared" si="616"/>
        <v>109.48238241177424</v>
      </c>
      <c r="Y229" s="443">
        <f t="shared" si="680"/>
        <v>332.16777336891778</v>
      </c>
      <c r="AA229" s="217">
        <f t="shared" si="617"/>
        <v>10</v>
      </c>
      <c r="AB229" s="173">
        <f t="shared" si="618"/>
        <v>7.7180150491078416</v>
      </c>
      <c r="AC229" s="173">
        <f t="shared" si="619"/>
        <v>4.2249333753312666</v>
      </c>
      <c r="AD229" s="173"/>
      <c r="AE229" s="173">
        <f t="shared" si="620"/>
        <v>7.7180150491078416</v>
      </c>
      <c r="AF229" s="545">
        <f t="shared" si="621"/>
        <v>33.687418117959552</v>
      </c>
      <c r="AG229" s="528">
        <f t="shared" si="622"/>
        <v>4.2249333753312666</v>
      </c>
      <c r="AI229" s="173">
        <f t="shared" si="623"/>
        <v>3.1024146410709355</v>
      </c>
      <c r="AJ229" s="173">
        <f t="shared" si="624"/>
        <v>10</v>
      </c>
      <c r="AK229" s="173">
        <f t="shared" si="625"/>
        <v>1.0192499532102626</v>
      </c>
      <c r="AM229" s="545">
        <f t="shared" si="626"/>
        <v>1300</v>
      </c>
      <c r="AN229" s="460">
        <f t="shared" si="627"/>
        <v>33.687418117959552</v>
      </c>
      <c r="AP229">
        <f t="shared" si="628"/>
        <v>1300</v>
      </c>
      <c r="AQ229">
        <f t="shared" si="629"/>
        <v>33.687418117959552</v>
      </c>
      <c r="AS229" s="5">
        <f t="shared" si="600"/>
        <v>29.68467326579939</v>
      </c>
      <c r="AT229" s="5">
        <f t="shared" si="630"/>
        <v>1.4158746048357451</v>
      </c>
      <c r="AU229" s="5">
        <f t="shared" si="478"/>
        <v>28.268798660963643</v>
      </c>
      <c r="AV229" s="5"/>
      <c r="AW229" s="173">
        <f t="shared" si="479"/>
        <v>4.7697159815702508E-2</v>
      </c>
      <c r="AX229" s="173">
        <f t="shared" si="631"/>
        <v>20.212450870775733</v>
      </c>
      <c r="AY229" s="173">
        <f t="shared" si="632"/>
        <v>4.7615142009214875</v>
      </c>
      <c r="AZ229" s="173">
        <f t="shared" si="633"/>
        <v>4.2449628454041051</v>
      </c>
      <c r="BA229" s="460">
        <f t="shared" si="594"/>
        <v>12.27091324190979</v>
      </c>
      <c r="BB229" s="5">
        <f t="shared" si="595"/>
        <v>2.2427843264334082</v>
      </c>
      <c r="BD229" s="173">
        <f t="shared" si="681"/>
        <v>1.2609144805220074</v>
      </c>
      <c r="BE229" s="173">
        <f t="shared" si="682"/>
        <v>5.6341306344584563</v>
      </c>
      <c r="BG229" s="528">
        <f t="shared" si="683"/>
        <v>3.1798106543801677E-2</v>
      </c>
      <c r="BH229" s="528">
        <f t="shared" si="634"/>
        <v>0.6335422640560705</v>
      </c>
      <c r="BI229" s="528">
        <f t="shared" si="635"/>
        <v>7.13779694958247E-2</v>
      </c>
      <c r="BJ229" s="528">
        <f t="shared" si="684"/>
        <v>3.3890729216138574E-2</v>
      </c>
      <c r="BK229">
        <f t="shared" si="685"/>
        <v>3.8138970651475534E-2</v>
      </c>
      <c r="BL229" s="460">
        <f t="shared" si="686"/>
        <v>109.51694014730023</v>
      </c>
      <c r="BM229" s="528">
        <f t="shared" si="636"/>
        <v>0.71320501660230251</v>
      </c>
      <c r="BN229" s="460">
        <f t="shared" si="687"/>
        <v>713.20501660230252</v>
      </c>
      <c r="BO229" s="528">
        <f t="shared" si="637"/>
        <v>0.90999999999999992</v>
      </c>
      <c r="BR229" s="460">
        <f t="shared" si="688"/>
        <v>909.99999999999989</v>
      </c>
      <c r="BS229" s="528">
        <f t="shared" si="689"/>
        <v>4.7697159815702515E-2</v>
      </c>
      <c r="BT229" s="528">
        <f t="shared" si="690"/>
        <v>0.95230284018429734</v>
      </c>
      <c r="BU229" s="528">
        <f t="shared" si="691"/>
        <v>0.10414521517962472</v>
      </c>
      <c r="BV229" s="528"/>
      <c r="BW229" s="528">
        <f t="shared" si="692"/>
        <v>3.3687418117959553E-3</v>
      </c>
      <c r="BX229" s="460">
        <f t="shared" si="693"/>
        <v>1107.5139569914209</v>
      </c>
      <c r="BY229" s="173">
        <f t="shared" si="694"/>
        <v>2.8262619969547318</v>
      </c>
      <c r="BZ229" s="5">
        <f t="shared" si="695"/>
        <v>19.5</v>
      </c>
      <c r="CA229" s="173">
        <f t="shared" si="696"/>
        <v>0.87341087382472582</v>
      </c>
      <c r="CB229" s="5">
        <f t="shared" si="697"/>
        <v>87.34108738247258</v>
      </c>
      <c r="CE229" s="562">
        <f t="shared" si="638"/>
        <v>-50</v>
      </c>
      <c r="CF229">
        <f t="shared" si="639"/>
        <v>-50</v>
      </c>
      <c r="CG229" s="173">
        <f t="shared" si="640"/>
        <v>0.26344385866189157</v>
      </c>
      <c r="CI229" s="170">
        <v>13</v>
      </c>
      <c r="CJ229" s="217">
        <f t="shared" si="698"/>
        <v>1.3</v>
      </c>
      <c r="CK229" s="217"/>
      <c r="CL229" s="217">
        <f t="shared" si="641"/>
        <v>19.5</v>
      </c>
      <c r="CM229" s="541">
        <f t="shared" si="642"/>
        <v>85</v>
      </c>
      <c r="CN229" s="443">
        <f t="shared" si="643"/>
        <v>15.4</v>
      </c>
      <c r="CO229" s="443">
        <f t="shared" si="644"/>
        <v>100.4</v>
      </c>
      <c r="CP229" s="443"/>
      <c r="CQ229" s="217">
        <f t="shared" si="645"/>
        <v>0.15338645418326693</v>
      </c>
      <c r="CR229" s="172">
        <f t="shared" si="646"/>
        <v>327.33148655378488</v>
      </c>
      <c r="CS229" s="172">
        <f t="shared" si="647"/>
        <v>19.5</v>
      </c>
      <c r="CT229" s="217">
        <f t="shared" si="648"/>
        <v>21.822099103585661</v>
      </c>
      <c r="CU229" s="217">
        <f t="shared" si="649"/>
        <v>15</v>
      </c>
      <c r="CV229" s="217"/>
      <c r="CW229" s="172">
        <f t="shared" si="650"/>
        <v>1549.6373195711244</v>
      </c>
      <c r="CX229" s="172">
        <f t="shared" si="651"/>
        <v>15</v>
      </c>
      <c r="CY229" s="217">
        <f t="shared" si="652"/>
        <v>2.9912910618792972</v>
      </c>
      <c r="CZ229" s="217">
        <f t="shared" si="653"/>
        <v>0.42229991461825378</v>
      </c>
      <c r="DA229" s="217">
        <f t="shared" si="654"/>
        <v>2.330876152113738</v>
      </c>
      <c r="DB229" s="197">
        <f t="shared" si="655"/>
        <v>108.64873837981409</v>
      </c>
      <c r="DC229" s="443">
        <f t="shared" si="656"/>
        <v>350</v>
      </c>
      <c r="DE229" s="217">
        <f t="shared" si="657"/>
        <v>10</v>
      </c>
      <c r="DF229" s="173">
        <f t="shared" si="658"/>
        <v>7.7922077922077913</v>
      </c>
      <c r="DG229" s="173">
        <f t="shared" si="659"/>
        <v>4.2330677290836656</v>
      </c>
      <c r="DH229" s="173"/>
      <c r="DI229" s="173">
        <f t="shared" si="660"/>
        <v>7.7922077922077913</v>
      </c>
      <c r="DJ229" s="545">
        <f t="shared" si="661"/>
        <v>33.366666666666674</v>
      </c>
      <c r="DK229" s="528">
        <f t="shared" si="662"/>
        <v>4.2330677290836656</v>
      </c>
      <c r="DM229" s="173">
        <f t="shared" si="663"/>
        <v>3.0876096471758432</v>
      </c>
      <c r="DN229" s="173">
        <f t="shared" si="664"/>
        <v>10</v>
      </c>
      <c r="DO229" s="173">
        <f t="shared" si="665"/>
        <v>1.0190666666666666</v>
      </c>
      <c r="DQ229" s="545">
        <f t="shared" si="666"/>
        <v>1300</v>
      </c>
      <c r="DR229" s="460">
        <f t="shared" si="667"/>
        <v>33.366666666666674</v>
      </c>
      <c r="DT229">
        <f t="shared" si="668"/>
        <v>1300</v>
      </c>
      <c r="DU229">
        <f t="shared" si="669"/>
        <v>33.366666666666674</v>
      </c>
      <c r="DW229" s="5">
        <f t="shared" si="670"/>
        <v>29.970029970029966</v>
      </c>
      <c r="DX229" s="5">
        <f t="shared" si="671"/>
        <v>1.4117647058823528</v>
      </c>
      <c r="DY229" s="5">
        <f t="shared" si="672"/>
        <v>28.558265264147614</v>
      </c>
      <c r="DZ229" s="5"/>
      <c r="EA229" s="173">
        <f t="shared" si="673"/>
        <v>4.7105882352941178E-2</v>
      </c>
      <c r="EB229" s="173">
        <f t="shared" si="699"/>
        <v>20.020000000000007</v>
      </c>
      <c r="EC229" s="173">
        <f t="shared" si="700"/>
        <v>4.7644705882352936</v>
      </c>
      <c r="ED229" s="173">
        <f t="shared" si="701"/>
        <v>4.201935898069042</v>
      </c>
      <c r="EE229" s="460">
        <f t="shared" si="674"/>
        <v>12.235294117647058</v>
      </c>
      <c r="EF229" s="5">
        <f t="shared" si="675"/>
        <v>2.2591731142023463</v>
      </c>
      <c r="EH229" s="173">
        <f t="shared" si="702"/>
        <v>1.2530746499835406</v>
      </c>
      <c r="EI229" s="173">
        <f t="shared" si="703"/>
        <v>5.6358794570946911</v>
      </c>
      <c r="EK229" s="528">
        <f t="shared" si="704"/>
        <v>3.1403921568627452E-2</v>
      </c>
      <c r="EL229" s="528">
        <f t="shared" si="705"/>
        <v>0.67000266666666686</v>
      </c>
      <c r="EM229" s="528">
        <f t="shared" si="706"/>
        <v>4.1708333333333346E-3</v>
      </c>
      <c r="EN229" s="528">
        <f t="shared" si="707"/>
        <v>3.3634133866666679E-2</v>
      </c>
      <c r="EO229">
        <f t="shared" si="708"/>
        <v>3.8249999999999999E-2</v>
      </c>
      <c r="EP229" s="460">
        <f t="shared" si="709"/>
        <v>42.420833333333334</v>
      </c>
      <c r="EQ229" s="460"/>
      <c r="ER229" s="460">
        <f t="shared" si="710"/>
        <v>777.46155543529437</v>
      </c>
      <c r="ES229" s="528">
        <f t="shared" si="711"/>
        <v>0.90999999999999992</v>
      </c>
      <c r="EV229" s="460">
        <f t="shared" si="712"/>
        <v>909.99999999999989</v>
      </c>
      <c r="EW229" s="528">
        <f t="shared" si="713"/>
        <v>4.7105882352941178E-2</v>
      </c>
      <c r="EX229" s="528">
        <f t="shared" si="714"/>
        <v>0.95289411764705845</v>
      </c>
      <c r="EY229" s="528">
        <f t="shared" si="715"/>
        <v>0.10168386871293837</v>
      </c>
      <c r="EZ229" s="528"/>
      <c r="FA229" s="528">
        <f t="shared" si="716"/>
        <v>3.3366666666666675E-3</v>
      </c>
      <c r="FB229" s="460">
        <f t="shared" si="717"/>
        <v>1105.0205353796048</v>
      </c>
      <c r="FC229" s="173">
        <f t="shared" si="718"/>
        <v>2.7924820908148993</v>
      </c>
      <c r="FD229" s="5">
        <f t="shared" si="719"/>
        <v>19.5</v>
      </c>
      <c r="FE229" s="173">
        <f t="shared" si="720"/>
        <v>0.87473435755431306</v>
      </c>
      <c r="FF229" s="5">
        <f t="shared" si="721"/>
        <v>87.473435755431311</v>
      </c>
      <c r="FI229" s="562">
        <f t="shared" si="676"/>
        <v>-50</v>
      </c>
      <c r="FJ229">
        <f t="shared" si="677"/>
        <v>-50</v>
      </c>
      <c r="FL229">
        <f t="shared" si="678"/>
        <v>0.26</v>
      </c>
    </row>
    <row r="230" spans="5:168">
      <c r="E230" s="170">
        <v>14</v>
      </c>
      <c r="F230" s="217">
        <f t="shared" si="679"/>
        <v>1.4000000000000001</v>
      </c>
      <c r="G230" s="217"/>
      <c r="H230" s="217">
        <f t="shared" si="603"/>
        <v>21.000000000000004</v>
      </c>
      <c r="I230" s="541">
        <f t="shared" si="604"/>
        <v>84.753268114390082</v>
      </c>
      <c r="J230" s="172">
        <f t="shared" si="605"/>
        <v>15.548039131365949</v>
      </c>
      <c r="K230" s="172">
        <f t="shared" si="606"/>
        <v>100.30130724575604</v>
      </c>
      <c r="L230" s="443"/>
      <c r="M230" s="217">
        <f t="shared" si="607"/>
        <v>0.15502984391561525</v>
      </c>
      <c r="N230" s="172">
        <f t="shared" si="608"/>
        <v>329.8781973075603</v>
      </c>
      <c r="O230" s="172">
        <f t="shared" si="599"/>
        <v>21.000000000000004</v>
      </c>
      <c r="P230" s="217">
        <f t="shared" si="609"/>
        <v>21.991879820504021</v>
      </c>
      <c r="Q230" s="217">
        <f t="shared" si="610"/>
        <v>15</v>
      </c>
      <c r="R230" s="217"/>
      <c r="S230" s="172">
        <f t="shared" si="611"/>
        <v>1428.7216699921826</v>
      </c>
      <c r="T230" s="172">
        <f t="shared" si="612"/>
        <v>15</v>
      </c>
      <c r="U230" s="217">
        <f t="shared" si="613"/>
        <v>3.3137265024545695</v>
      </c>
      <c r="V230" s="217">
        <f t="shared" si="614"/>
        <v>0.46918212021965994</v>
      </c>
      <c r="W230" s="217">
        <f t="shared" si="615"/>
        <v>2.557539101457186</v>
      </c>
      <c r="X230" s="197">
        <f t="shared" si="616"/>
        <v>109.48238241177424</v>
      </c>
      <c r="Y230" s="443">
        <f t="shared" si="680"/>
        <v>309.9121155190237</v>
      </c>
      <c r="AA230" s="217">
        <f t="shared" si="617"/>
        <v>10</v>
      </c>
      <c r="AB230" s="173">
        <f t="shared" si="618"/>
        <v>7.7180150491078416</v>
      </c>
      <c r="AC230" s="173">
        <f t="shared" si="619"/>
        <v>4.2249333753312666</v>
      </c>
      <c r="AD230" s="173"/>
      <c r="AE230" s="173">
        <f t="shared" si="620"/>
        <v>7.7180150491078416</v>
      </c>
      <c r="AF230" s="545">
        <f t="shared" si="621"/>
        <v>36.278757973187211</v>
      </c>
      <c r="AG230" s="528">
        <f t="shared" si="622"/>
        <v>4.2249333753312666</v>
      </c>
      <c r="AI230" s="173">
        <f t="shared" si="623"/>
        <v>3.2195278257705171</v>
      </c>
      <c r="AJ230" s="173">
        <f t="shared" si="624"/>
        <v>10</v>
      </c>
      <c r="AK230" s="173">
        <f t="shared" si="625"/>
        <v>1.0207307188418213</v>
      </c>
      <c r="AM230" s="545">
        <f t="shared" si="626"/>
        <v>1400.0000000000002</v>
      </c>
      <c r="AN230" s="460">
        <f t="shared" si="627"/>
        <v>36.278757973187211</v>
      </c>
      <c r="AP230">
        <f t="shared" si="628"/>
        <v>1400.0000000000002</v>
      </c>
      <c r="AQ230">
        <f t="shared" si="629"/>
        <v>36.278757973187211</v>
      </c>
      <c r="AS230" s="5">
        <f t="shared" si="600"/>
        <v>27.564339461099433</v>
      </c>
      <c r="AT230" s="5">
        <f t="shared" si="630"/>
        <v>1.4158746048357451</v>
      </c>
      <c r="AU230" s="5">
        <f t="shared" si="478"/>
        <v>26.148464856263686</v>
      </c>
      <c r="AV230" s="5"/>
      <c r="AW230" s="173">
        <f t="shared" si="479"/>
        <v>5.1366172109218088E-2</v>
      </c>
      <c r="AX230" s="173">
        <f t="shared" si="631"/>
        <v>21.767254783912328</v>
      </c>
      <c r="AY230" s="173">
        <f t="shared" si="632"/>
        <v>4.7431691394539097</v>
      </c>
      <c r="AZ230" s="173">
        <f t="shared" si="633"/>
        <v>4.5891795430298394</v>
      </c>
      <c r="BA230" s="460">
        <f t="shared" si="594"/>
        <v>13.214829645133623</v>
      </c>
      <c r="BB230" s="5">
        <f t="shared" si="595"/>
        <v>2.2341433742928101</v>
      </c>
      <c r="BD230" s="173">
        <f t="shared" si="681"/>
        <v>1.3085127958770353</v>
      </c>
      <c r="BE230" s="173">
        <f t="shared" si="682"/>
        <v>5.6232666303812584</v>
      </c>
      <c r="BG230" s="528">
        <f t="shared" si="683"/>
        <v>3.424411473947872E-2</v>
      </c>
      <c r="BH230" s="528">
        <f t="shared" si="634"/>
        <v>0.68227628436807608</v>
      </c>
      <c r="BI230" s="528">
        <f t="shared" si="635"/>
        <v>7.6868582533965057E-2</v>
      </c>
      <c r="BJ230" s="528">
        <f t="shared" si="684"/>
        <v>3.6497708386610775E-2</v>
      </c>
      <c r="BK230">
        <f t="shared" si="685"/>
        <v>3.8138970651475534E-2</v>
      </c>
      <c r="BL230" s="460">
        <f t="shared" si="686"/>
        <v>115.00755318544059</v>
      </c>
      <c r="BM230" s="528">
        <f t="shared" si="636"/>
        <v>0.76851698131797264</v>
      </c>
      <c r="BN230" s="460">
        <f t="shared" si="687"/>
        <v>768.51698131797264</v>
      </c>
      <c r="BO230" s="528">
        <f t="shared" si="637"/>
        <v>0.98</v>
      </c>
      <c r="BR230" s="460">
        <f t="shared" si="688"/>
        <v>980</v>
      </c>
      <c r="BS230" s="528">
        <f t="shared" si="689"/>
        <v>5.1366172109218074E-2</v>
      </c>
      <c r="BT230" s="528">
        <f t="shared" si="690"/>
        <v>0.94863382789078177</v>
      </c>
      <c r="BU230" s="528">
        <f t="shared" si="691"/>
        <v>0.12534327274697807</v>
      </c>
      <c r="BV230" s="528"/>
      <c r="BW230" s="528">
        <f t="shared" si="692"/>
        <v>3.6278757973187215E-3</v>
      </c>
      <c r="BX230" s="460">
        <f t="shared" si="693"/>
        <v>1128.9711485442965</v>
      </c>
      <c r="BY230" s="173">
        <f t="shared" si="694"/>
        <v>2.9769968092239028</v>
      </c>
      <c r="BZ230" s="5">
        <f t="shared" si="695"/>
        <v>21.000000000000004</v>
      </c>
      <c r="CA230" s="173">
        <f t="shared" si="696"/>
        <v>0.87583946259363654</v>
      </c>
      <c r="CB230" s="5">
        <f t="shared" si="697"/>
        <v>87.583946259363657</v>
      </c>
      <c r="CE230" s="562">
        <f t="shared" si="638"/>
        <v>-50</v>
      </c>
      <c r="CF230">
        <f t="shared" si="639"/>
        <v>-50</v>
      </c>
      <c r="CG230" s="173">
        <f t="shared" si="640"/>
        <v>0.28370877086665242</v>
      </c>
      <c r="CI230" s="170">
        <v>14</v>
      </c>
      <c r="CJ230" s="217">
        <f t="shared" si="698"/>
        <v>1.4000000000000001</v>
      </c>
      <c r="CK230" s="217"/>
      <c r="CL230" s="217">
        <f t="shared" si="641"/>
        <v>21.000000000000004</v>
      </c>
      <c r="CM230" s="541">
        <f t="shared" si="642"/>
        <v>85</v>
      </c>
      <c r="CN230" s="443">
        <f t="shared" si="643"/>
        <v>15.4</v>
      </c>
      <c r="CO230" s="443">
        <f t="shared" si="644"/>
        <v>100.4</v>
      </c>
      <c r="CP230" s="443"/>
      <c r="CQ230" s="217">
        <f t="shared" si="645"/>
        <v>0.15338645418326693</v>
      </c>
      <c r="CR230" s="172">
        <f t="shared" si="646"/>
        <v>327.33148655378488</v>
      </c>
      <c r="CS230" s="172">
        <f t="shared" si="647"/>
        <v>21.000000000000004</v>
      </c>
      <c r="CT230" s="217">
        <f t="shared" si="648"/>
        <v>21.822099103585661</v>
      </c>
      <c r="CU230" s="217">
        <f t="shared" si="649"/>
        <v>15</v>
      </c>
      <c r="CV230" s="217"/>
      <c r="CW230" s="172">
        <f t="shared" si="650"/>
        <v>1432.8808646557368</v>
      </c>
      <c r="CX230" s="172">
        <f t="shared" si="651"/>
        <v>15</v>
      </c>
      <c r="CY230" s="217">
        <f t="shared" si="652"/>
        <v>3.2213903743315511</v>
      </c>
      <c r="CZ230" s="217">
        <f t="shared" si="653"/>
        <v>0.45478452343504244</v>
      </c>
      <c r="DA230" s="217">
        <f t="shared" si="654"/>
        <v>2.5101743176609488</v>
      </c>
      <c r="DB230" s="197">
        <f t="shared" si="655"/>
        <v>108.64873837981409</v>
      </c>
      <c r="DC230" s="443">
        <f t="shared" si="656"/>
        <v>337.27281004357957</v>
      </c>
      <c r="DE230" s="217">
        <f t="shared" si="657"/>
        <v>10</v>
      </c>
      <c r="DF230" s="173">
        <f t="shared" si="658"/>
        <v>7.7922077922077913</v>
      </c>
      <c r="DG230" s="173">
        <f t="shared" si="659"/>
        <v>4.2330677290836656</v>
      </c>
      <c r="DH230" s="173"/>
      <c r="DI230" s="173">
        <f t="shared" si="660"/>
        <v>7.7922077922077913</v>
      </c>
      <c r="DJ230" s="545">
        <f t="shared" si="661"/>
        <v>35.933333333333337</v>
      </c>
      <c r="DK230" s="528">
        <f t="shared" si="662"/>
        <v>4.2330677290836656</v>
      </c>
      <c r="DM230" s="173">
        <f t="shared" si="663"/>
        <v>3.2041639575194445</v>
      </c>
      <c r="DN230" s="173">
        <f t="shared" si="664"/>
        <v>10</v>
      </c>
      <c r="DO230" s="173">
        <f t="shared" si="665"/>
        <v>1.0205333333333333</v>
      </c>
      <c r="DQ230" s="545">
        <f t="shared" si="666"/>
        <v>1400.0000000000002</v>
      </c>
      <c r="DR230" s="460">
        <f t="shared" si="667"/>
        <v>35.933333333333337</v>
      </c>
      <c r="DT230">
        <f t="shared" si="668"/>
        <v>1400.0000000000002</v>
      </c>
      <c r="DU230">
        <f t="shared" si="669"/>
        <v>35.933333333333337</v>
      </c>
      <c r="DW230" s="5">
        <f t="shared" si="670"/>
        <v>27.829313543599255</v>
      </c>
      <c r="DX230" s="5">
        <f t="shared" si="671"/>
        <v>1.4117647058823528</v>
      </c>
      <c r="DY230" s="5">
        <f t="shared" si="672"/>
        <v>26.417548837716904</v>
      </c>
      <c r="DZ230" s="5"/>
      <c r="EA230" s="173">
        <f t="shared" si="673"/>
        <v>5.0729411764705884E-2</v>
      </c>
      <c r="EB230" s="173">
        <f t="shared" si="699"/>
        <v>21.560000000000002</v>
      </c>
      <c r="EC230" s="173">
        <f t="shared" si="700"/>
        <v>4.74635294117647</v>
      </c>
      <c r="ED230" s="173">
        <f t="shared" si="701"/>
        <v>4.5424350584969275</v>
      </c>
      <c r="EE230" s="460">
        <f t="shared" si="674"/>
        <v>13.176470588235295</v>
      </c>
      <c r="EF230" s="5">
        <f t="shared" si="675"/>
        <v>2.2505822539231439</v>
      </c>
      <c r="EH230" s="173">
        <f t="shared" si="702"/>
        <v>1.3003770192359072</v>
      </c>
      <c r="EI230" s="173">
        <f t="shared" si="703"/>
        <v>5.6251535926742902</v>
      </c>
      <c r="EK230" s="528">
        <f t="shared" si="704"/>
        <v>3.3819607843137256E-2</v>
      </c>
      <c r="EL230" s="528">
        <f t="shared" si="705"/>
        <v>0.72154133333333348</v>
      </c>
      <c r="EM230" s="528">
        <f t="shared" si="706"/>
        <v>4.4916666666666672E-3</v>
      </c>
      <c r="EN230" s="528">
        <f t="shared" si="707"/>
        <v>3.6221374933333342E-2</v>
      </c>
      <c r="EO230">
        <f t="shared" si="708"/>
        <v>3.8249999999999999E-2</v>
      </c>
      <c r="EP230" s="460">
        <f t="shared" si="709"/>
        <v>42.741666666666667</v>
      </c>
      <c r="EQ230" s="460"/>
      <c r="ER230" s="460">
        <f t="shared" si="710"/>
        <v>834.32398277647076</v>
      </c>
      <c r="ES230" s="528">
        <f t="shared" si="711"/>
        <v>0.98</v>
      </c>
      <c r="EV230" s="460">
        <f t="shared" si="712"/>
        <v>980</v>
      </c>
      <c r="EW230" s="528">
        <f t="shared" si="713"/>
        <v>5.0729411764705884E-2</v>
      </c>
      <c r="EX230" s="528">
        <f t="shared" si="714"/>
        <v>0.94927058823529409</v>
      </c>
      <c r="EY230" s="528">
        <f t="shared" si="715"/>
        <v>0.12238093577387191</v>
      </c>
      <c r="EZ230" s="528"/>
      <c r="FA230" s="528">
        <f t="shared" si="716"/>
        <v>3.5933333333333342E-3</v>
      </c>
      <c r="FB230" s="460">
        <f t="shared" si="717"/>
        <v>1125.9742691072051</v>
      </c>
      <c r="FC230" s="173">
        <f t="shared" si="718"/>
        <v>2.940298251883676</v>
      </c>
      <c r="FD230" s="5">
        <f t="shared" si="719"/>
        <v>21.000000000000004</v>
      </c>
      <c r="FE230" s="173">
        <f t="shared" si="720"/>
        <v>0.87718205425229712</v>
      </c>
      <c r="FF230" s="5">
        <f t="shared" si="721"/>
        <v>87.718205425229712</v>
      </c>
      <c r="FI230" s="562">
        <f t="shared" si="676"/>
        <v>-50</v>
      </c>
      <c r="FJ230">
        <f t="shared" si="677"/>
        <v>-50</v>
      </c>
      <c r="FL230">
        <f t="shared" si="678"/>
        <v>0.28000000000000003</v>
      </c>
    </row>
    <row r="231" spans="5:168">
      <c r="E231" s="170">
        <v>15</v>
      </c>
      <c r="F231" s="217">
        <f t="shared" si="679"/>
        <v>1.5</v>
      </c>
      <c r="G231" s="217"/>
      <c r="H231" s="217">
        <f t="shared" si="603"/>
        <v>22.5</v>
      </c>
      <c r="I231" s="541">
        <f t="shared" si="604"/>
        <v>84.753268114390082</v>
      </c>
      <c r="J231" s="172">
        <f t="shared" si="605"/>
        <v>15.548039131365949</v>
      </c>
      <c r="K231" s="172">
        <f t="shared" si="606"/>
        <v>100.30130724575604</v>
      </c>
      <c r="L231" s="443"/>
      <c r="M231" s="217">
        <f t="shared" si="607"/>
        <v>0.15502984391561525</v>
      </c>
      <c r="N231" s="172">
        <f t="shared" si="608"/>
        <v>329.8781973075603</v>
      </c>
      <c r="O231" s="172">
        <f t="shared" si="599"/>
        <v>22.5</v>
      </c>
      <c r="P231" s="217">
        <f t="shared" si="609"/>
        <v>21.991879820504021</v>
      </c>
      <c r="Q231" s="217">
        <f t="shared" si="610"/>
        <v>15</v>
      </c>
      <c r="R231" s="217"/>
      <c r="S231" s="172">
        <f t="shared" si="611"/>
        <v>1327.8267241940168</v>
      </c>
      <c r="T231" s="172">
        <f t="shared" si="612"/>
        <v>15</v>
      </c>
      <c r="U231" s="217">
        <f t="shared" si="613"/>
        <v>3.5504212526298957</v>
      </c>
      <c r="V231" s="217">
        <f t="shared" si="614"/>
        <v>0.50269512880677847</v>
      </c>
      <c r="W231" s="217">
        <f t="shared" si="615"/>
        <v>2.7402204658469849</v>
      </c>
      <c r="X231" s="197">
        <f t="shared" si="616"/>
        <v>109.48238241177424</v>
      </c>
      <c r="Y231" s="443">
        <f t="shared" si="680"/>
        <v>290.451500336756</v>
      </c>
      <c r="AA231" s="217">
        <f t="shared" si="617"/>
        <v>10</v>
      </c>
      <c r="AB231" s="173">
        <f t="shared" si="618"/>
        <v>7.7180150491078416</v>
      </c>
      <c r="AC231" s="173">
        <f t="shared" si="619"/>
        <v>4.2249333753312666</v>
      </c>
      <c r="AD231" s="173"/>
      <c r="AE231" s="173">
        <f t="shared" si="620"/>
        <v>7.7180150491078416</v>
      </c>
      <c r="AF231" s="545">
        <f t="shared" si="621"/>
        <v>38.870097828414863</v>
      </c>
      <c r="AG231" s="528">
        <f t="shared" si="622"/>
        <v>4.2249333753312666</v>
      </c>
      <c r="AI231" s="173">
        <f t="shared" si="623"/>
        <v>3.332527904862908</v>
      </c>
      <c r="AJ231" s="173">
        <f t="shared" si="624"/>
        <v>10</v>
      </c>
      <c r="AK231" s="173">
        <f t="shared" si="625"/>
        <v>1.0222114844733798</v>
      </c>
      <c r="AM231" s="545">
        <f t="shared" si="626"/>
        <v>1500</v>
      </c>
      <c r="AN231" s="460">
        <f t="shared" si="627"/>
        <v>38.870097828414863</v>
      </c>
      <c r="AP231">
        <f t="shared" si="628"/>
        <v>1500</v>
      </c>
      <c r="AQ231">
        <f t="shared" si="629"/>
        <v>38.870097828414863</v>
      </c>
      <c r="AS231" s="5">
        <f t="shared" si="600"/>
        <v>25.726716830359475</v>
      </c>
      <c r="AT231" s="5">
        <f t="shared" si="630"/>
        <v>1.4158746048357451</v>
      </c>
      <c r="AU231" s="5">
        <f t="shared" si="478"/>
        <v>24.310842225523729</v>
      </c>
      <c r="AV231" s="5"/>
      <c r="AW231" s="173">
        <f t="shared" si="479"/>
        <v>5.5035184402733653E-2</v>
      </c>
      <c r="AX231" s="173">
        <f t="shared" si="631"/>
        <v>23.32205869704892</v>
      </c>
      <c r="AY231" s="173">
        <f t="shared" si="632"/>
        <v>4.724824077986332</v>
      </c>
      <c r="AZ231" s="173">
        <f t="shared" si="633"/>
        <v>4.9360692191080533</v>
      </c>
      <c r="BA231" s="460">
        <f t="shared" si="594"/>
        <v>14.158746048357454</v>
      </c>
      <c r="BB231" s="5">
        <f t="shared" si="595"/>
        <v>2.2255024221522119</v>
      </c>
      <c r="BD231" s="173">
        <f t="shared" si="681"/>
        <v>1.3544394215902713</v>
      </c>
      <c r="BE231" s="173">
        <f t="shared" si="682"/>
        <v>5.6123815966642487</v>
      </c>
      <c r="BG231" s="528">
        <f t="shared" si="683"/>
        <v>3.6690122935155778E-2</v>
      </c>
      <c r="BH231" s="528">
        <f t="shared" si="634"/>
        <v>0.73101030468008132</v>
      </c>
      <c r="BI231" s="528">
        <f t="shared" si="635"/>
        <v>8.2359195572105415E-2</v>
      </c>
      <c r="BJ231" s="528">
        <f t="shared" si="684"/>
        <v>3.9104687557082969E-2</v>
      </c>
      <c r="BK231">
        <f t="shared" si="685"/>
        <v>3.8138970651475534E-2</v>
      </c>
      <c r="BL231" s="460">
        <f t="shared" si="686"/>
        <v>120.49816622358095</v>
      </c>
      <c r="BM231" s="528">
        <f t="shared" si="636"/>
        <v>0.82389380290843162</v>
      </c>
      <c r="BN231" s="460">
        <f t="shared" si="687"/>
        <v>823.89380290843167</v>
      </c>
      <c r="BO231" s="528">
        <f t="shared" si="637"/>
        <v>1.0499999999999998</v>
      </c>
      <c r="BR231" s="460">
        <f t="shared" si="688"/>
        <v>1049.9999999999998</v>
      </c>
      <c r="BS231" s="528">
        <f t="shared" si="689"/>
        <v>5.503518440273366E-2</v>
      </c>
      <c r="BT231" s="528">
        <f t="shared" si="690"/>
        <v>0.94496481559726631</v>
      </c>
      <c r="BU231" s="528">
        <f t="shared" si="691"/>
        <v>0.14893922459722625</v>
      </c>
      <c r="BV231" s="528"/>
      <c r="BW231" s="528">
        <f t="shared" si="692"/>
        <v>3.8870097828414868E-3</v>
      </c>
      <c r="BX231" s="460">
        <f t="shared" si="693"/>
        <v>1152.8262343800677</v>
      </c>
      <c r="BY231" s="173">
        <f t="shared" si="694"/>
        <v>3.1301295157759683</v>
      </c>
      <c r="BZ231" s="5">
        <f t="shared" si="695"/>
        <v>22.5</v>
      </c>
      <c r="CA231" s="173">
        <f t="shared" si="696"/>
        <v>0.87787305117403724</v>
      </c>
      <c r="CB231" s="5">
        <f t="shared" si="697"/>
        <v>87.787305117403719</v>
      </c>
      <c r="CE231" s="562">
        <f t="shared" si="638"/>
        <v>-50</v>
      </c>
      <c r="CF231">
        <f t="shared" si="639"/>
        <v>-50</v>
      </c>
      <c r="CG231" s="173">
        <f t="shared" si="640"/>
        <v>0.30397368307141331</v>
      </c>
      <c r="CI231" s="170">
        <v>15</v>
      </c>
      <c r="CJ231" s="217">
        <f t="shared" si="698"/>
        <v>1.5</v>
      </c>
      <c r="CK231" s="217"/>
      <c r="CL231" s="217">
        <f t="shared" si="641"/>
        <v>22.5</v>
      </c>
      <c r="CM231" s="541">
        <f t="shared" si="642"/>
        <v>85</v>
      </c>
      <c r="CN231" s="443">
        <f t="shared" si="643"/>
        <v>15.4</v>
      </c>
      <c r="CO231" s="443">
        <f t="shared" si="644"/>
        <v>100.4</v>
      </c>
      <c r="CP231" s="443"/>
      <c r="CQ231" s="217">
        <f t="shared" si="645"/>
        <v>0.15338645418326693</v>
      </c>
      <c r="CR231" s="172">
        <f t="shared" si="646"/>
        <v>327.33148655378488</v>
      </c>
      <c r="CS231" s="172">
        <f t="shared" si="647"/>
        <v>22.5</v>
      </c>
      <c r="CT231" s="217">
        <f t="shared" si="648"/>
        <v>21.822099103585661</v>
      </c>
      <c r="CU231" s="217">
        <f t="shared" si="649"/>
        <v>15</v>
      </c>
      <c r="CV231" s="217"/>
      <c r="CW231" s="172">
        <f t="shared" si="650"/>
        <v>1331.692190425641</v>
      </c>
      <c r="CX231" s="172">
        <f t="shared" si="651"/>
        <v>15</v>
      </c>
      <c r="CY231" s="217">
        <f t="shared" si="652"/>
        <v>3.4514896867838045</v>
      </c>
      <c r="CZ231" s="217">
        <f t="shared" si="653"/>
        <v>0.48726913225183116</v>
      </c>
      <c r="DA231" s="217">
        <f t="shared" si="654"/>
        <v>2.6894724832081591</v>
      </c>
      <c r="DB231" s="197">
        <f t="shared" si="655"/>
        <v>108.64873837981409</v>
      </c>
      <c r="DC231" s="443">
        <f t="shared" si="656"/>
        <v>314.78795604067426</v>
      </c>
      <c r="DE231" s="217">
        <f t="shared" si="657"/>
        <v>10</v>
      </c>
      <c r="DF231" s="173">
        <f t="shared" si="658"/>
        <v>7.7922077922077913</v>
      </c>
      <c r="DG231" s="173">
        <f t="shared" si="659"/>
        <v>4.2330677290836656</v>
      </c>
      <c r="DH231" s="173"/>
      <c r="DI231" s="173">
        <f t="shared" si="660"/>
        <v>7.7922077922077913</v>
      </c>
      <c r="DJ231" s="545">
        <f t="shared" si="661"/>
        <v>38.5</v>
      </c>
      <c r="DK231" s="528">
        <f t="shared" si="662"/>
        <v>4.2330677290836656</v>
      </c>
      <c r="DM231" s="173">
        <f t="shared" si="663"/>
        <v>3.3166247903553998</v>
      </c>
      <c r="DN231" s="173">
        <f t="shared" si="664"/>
        <v>10</v>
      </c>
      <c r="DO231" s="173">
        <f t="shared" si="665"/>
        <v>1.022</v>
      </c>
      <c r="DQ231" s="545">
        <f t="shared" si="666"/>
        <v>1500</v>
      </c>
      <c r="DR231" s="460">
        <f t="shared" si="667"/>
        <v>38.5</v>
      </c>
      <c r="DT231">
        <f t="shared" si="668"/>
        <v>1500</v>
      </c>
      <c r="DU231">
        <f t="shared" si="669"/>
        <v>38.5</v>
      </c>
      <c r="DW231" s="5">
        <f t="shared" si="670"/>
        <v>25.974025974025977</v>
      </c>
      <c r="DX231" s="5">
        <f t="shared" si="671"/>
        <v>1.4117647058823528</v>
      </c>
      <c r="DY231" s="5">
        <f t="shared" si="672"/>
        <v>24.562261268143626</v>
      </c>
      <c r="DZ231" s="5"/>
      <c r="EA231" s="173">
        <f t="shared" si="673"/>
        <v>5.4352941176470576E-2</v>
      </c>
      <c r="EB231" s="173">
        <f t="shared" si="699"/>
        <v>23.1</v>
      </c>
      <c r="EC231" s="173">
        <f t="shared" si="700"/>
        <v>4.7282352941176473</v>
      </c>
      <c r="ED231" s="173">
        <f t="shared" si="701"/>
        <v>4.8855436675789994</v>
      </c>
      <c r="EE231" s="460">
        <f t="shared" si="674"/>
        <v>14.117647058823527</v>
      </c>
      <c r="EF231" s="5">
        <f t="shared" si="675"/>
        <v>2.2419913936439415</v>
      </c>
      <c r="EH231" s="173">
        <f t="shared" si="702"/>
        <v>1.3460180927024543</v>
      </c>
      <c r="EI231" s="173">
        <f t="shared" si="703"/>
        <v>5.6144072374072564</v>
      </c>
      <c r="EK231" s="528">
        <f t="shared" si="704"/>
        <v>3.623529411764706E-2</v>
      </c>
      <c r="EL231" s="528">
        <f t="shared" si="705"/>
        <v>0.77307999999999999</v>
      </c>
      <c r="EM231" s="528">
        <f t="shared" si="706"/>
        <v>4.8124999999999999E-3</v>
      </c>
      <c r="EN231" s="528">
        <f t="shared" si="707"/>
        <v>3.8808616000000004E-2</v>
      </c>
      <c r="EO231">
        <f t="shared" si="708"/>
        <v>3.8249999999999999E-2</v>
      </c>
      <c r="EP231" s="460">
        <f t="shared" si="709"/>
        <v>43.0625</v>
      </c>
      <c r="EQ231" s="460"/>
      <c r="ER231" s="460">
        <f t="shared" si="710"/>
        <v>891.18641011764703</v>
      </c>
      <c r="ES231" s="528">
        <f t="shared" si="711"/>
        <v>1.0499999999999998</v>
      </c>
      <c r="EV231" s="460">
        <f t="shared" si="712"/>
        <v>1049.9999999999998</v>
      </c>
      <c r="EW231" s="528">
        <f t="shared" si="713"/>
        <v>5.4352941176470583E-2</v>
      </c>
      <c r="EX231" s="528">
        <f t="shared" si="714"/>
        <v>0.9456470588235294</v>
      </c>
      <c r="EY231" s="528">
        <f t="shared" si="715"/>
        <v>0.14541922578037128</v>
      </c>
      <c r="EZ231" s="528"/>
      <c r="FA231" s="528">
        <f t="shared" si="716"/>
        <v>3.8500000000000006E-3</v>
      </c>
      <c r="FB231" s="460">
        <f t="shared" si="717"/>
        <v>1149.2692257803712</v>
      </c>
      <c r="FC231" s="173">
        <f t="shared" si="718"/>
        <v>3.0904556358980177</v>
      </c>
      <c r="FD231" s="5">
        <f t="shared" si="719"/>
        <v>22.5</v>
      </c>
      <c r="FE231" s="173">
        <f t="shared" si="720"/>
        <v>0.8792340519501044</v>
      </c>
      <c r="FF231" s="5">
        <f t="shared" si="721"/>
        <v>87.923405195010446</v>
      </c>
      <c r="FI231" s="562">
        <f t="shared" si="676"/>
        <v>-50</v>
      </c>
      <c r="FJ231">
        <f t="shared" si="677"/>
        <v>-50</v>
      </c>
      <c r="FL231">
        <f t="shared" si="678"/>
        <v>0.3</v>
      </c>
    </row>
    <row r="232" spans="5:168">
      <c r="E232" s="170">
        <v>16</v>
      </c>
      <c r="F232" s="217">
        <f t="shared" si="679"/>
        <v>1.6</v>
      </c>
      <c r="G232" s="217"/>
      <c r="H232" s="217">
        <f t="shared" si="603"/>
        <v>24</v>
      </c>
      <c r="I232" s="541">
        <f t="shared" si="604"/>
        <v>84.753268114390082</v>
      </c>
      <c r="J232" s="172">
        <f t="shared" si="605"/>
        <v>15.548039131365949</v>
      </c>
      <c r="K232" s="172">
        <f t="shared" si="606"/>
        <v>100.30130724575604</v>
      </c>
      <c r="L232" s="443"/>
      <c r="M232" s="217">
        <f t="shared" si="607"/>
        <v>0.15502984391561525</v>
      </c>
      <c r="N232" s="172">
        <f t="shared" si="608"/>
        <v>329.8781973075603</v>
      </c>
      <c r="O232" s="172">
        <f t="shared" si="599"/>
        <v>24</v>
      </c>
      <c r="P232" s="217">
        <f t="shared" si="609"/>
        <v>21.991879820504021</v>
      </c>
      <c r="Q232" s="217">
        <f t="shared" si="610"/>
        <v>15</v>
      </c>
      <c r="R232" s="217"/>
      <c r="S232" s="172">
        <f t="shared" si="611"/>
        <v>1239.5438871741053</v>
      </c>
      <c r="T232" s="172">
        <f t="shared" si="612"/>
        <v>15</v>
      </c>
      <c r="U232" s="217">
        <f t="shared" si="613"/>
        <v>3.787116002805222</v>
      </c>
      <c r="V232" s="217">
        <f t="shared" si="614"/>
        <v>0.53620813739389694</v>
      </c>
      <c r="W232" s="217">
        <f t="shared" si="615"/>
        <v>2.9229018302367833</v>
      </c>
      <c r="X232" s="197">
        <f t="shared" si="616"/>
        <v>109.48238241177424</v>
      </c>
      <c r="Y232" s="443">
        <f t="shared" si="680"/>
        <v>273.29050201995233</v>
      </c>
      <c r="AA232" s="217">
        <f t="shared" si="617"/>
        <v>10</v>
      </c>
      <c r="AB232" s="173">
        <f t="shared" si="618"/>
        <v>7.7180150491078416</v>
      </c>
      <c r="AC232" s="173">
        <f t="shared" si="619"/>
        <v>4.2249333753312666</v>
      </c>
      <c r="AD232" s="173"/>
      <c r="AE232" s="173">
        <f t="shared" si="620"/>
        <v>7.7180150491078416</v>
      </c>
      <c r="AF232" s="545">
        <f t="shared" si="621"/>
        <v>41.461437683642529</v>
      </c>
      <c r="AG232" s="528">
        <f t="shared" si="622"/>
        <v>4.2249333753312666</v>
      </c>
      <c r="AI232" s="173">
        <f t="shared" si="623"/>
        <v>3.4418200203481435</v>
      </c>
      <c r="AJ232" s="173">
        <f t="shared" si="624"/>
        <v>10</v>
      </c>
      <c r="AK232" s="173">
        <f t="shared" si="625"/>
        <v>1.0236922501049386</v>
      </c>
      <c r="AM232" s="545">
        <f t="shared" si="626"/>
        <v>1600</v>
      </c>
      <c r="AN232" s="460">
        <f t="shared" si="627"/>
        <v>41.461437683642529</v>
      </c>
      <c r="AP232">
        <f t="shared" si="628"/>
        <v>1600</v>
      </c>
      <c r="AQ232">
        <f t="shared" si="629"/>
        <v>41.461437683642529</v>
      </c>
      <c r="AS232" s="5">
        <f t="shared" si="600"/>
        <v>24.118797028462005</v>
      </c>
      <c r="AT232" s="5">
        <f t="shared" si="630"/>
        <v>1.4158746048357451</v>
      </c>
      <c r="AU232" s="5">
        <f t="shared" si="478"/>
        <v>22.702922423626259</v>
      </c>
      <c r="AV232" s="5"/>
      <c r="AW232" s="173">
        <f t="shared" si="479"/>
        <v>5.8704196696249239E-2</v>
      </c>
      <c r="AX232" s="173">
        <f t="shared" si="631"/>
        <v>24.876862610185519</v>
      </c>
      <c r="AY232" s="173">
        <f t="shared" si="632"/>
        <v>4.7064790165187533</v>
      </c>
      <c r="AZ232" s="173">
        <f t="shared" si="633"/>
        <v>5.2856631300963954</v>
      </c>
      <c r="BA232" s="460">
        <f t="shared" si="594"/>
        <v>15.102662451581281</v>
      </c>
      <c r="BB232" s="5">
        <f t="shared" si="595"/>
        <v>2.2168614700116134</v>
      </c>
      <c r="BD232" s="173">
        <f t="shared" si="681"/>
        <v>1.3988590195375805</v>
      </c>
      <c r="BE232" s="173">
        <f t="shared" si="682"/>
        <v>5.6014754107102611</v>
      </c>
      <c r="BG232" s="528">
        <f t="shared" si="683"/>
        <v>3.9136131130832821E-2</v>
      </c>
      <c r="BH232" s="528">
        <f t="shared" si="634"/>
        <v>0.7797443249920869</v>
      </c>
      <c r="BI232" s="528">
        <f t="shared" si="635"/>
        <v>8.7849808610245786E-2</v>
      </c>
      <c r="BJ232" s="528">
        <f t="shared" si="684"/>
        <v>4.171166672755517E-2</v>
      </c>
      <c r="BK232">
        <f t="shared" si="685"/>
        <v>3.8138970651475534E-2</v>
      </c>
      <c r="BL232" s="460">
        <f t="shared" si="686"/>
        <v>125.98877926172131</v>
      </c>
      <c r="BM232" s="528">
        <f t="shared" si="636"/>
        <v>0.87933559551395246</v>
      </c>
      <c r="BN232" s="460">
        <f t="shared" si="687"/>
        <v>879.33559551395251</v>
      </c>
      <c r="BO232" s="528">
        <f t="shared" si="637"/>
        <v>1.1199999999999999</v>
      </c>
      <c r="BR232" s="460">
        <f t="shared" si="688"/>
        <v>1119.9999999999998</v>
      </c>
      <c r="BS232" s="528">
        <f t="shared" si="689"/>
        <v>5.8704196696249232E-2</v>
      </c>
      <c r="BT232" s="528">
        <f t="shared" si="690"/>
        <v>0.94129580330375062</v>
      </c>
      <c r="BU232" s="528">
        <f t="shared" si="691"/>
        <v>0.17501726688509442</v>
      </c>
      <c r="BV232" s="528"/>
      <c r="BW232" s="528">
        <f t="shared" si="692"/>
        <v>4.146143768364253E-3</v>
      </c>
      <c r="BX232" s="460">
        <f t="shared" si="693"/>
        <v>1179.1634106534586</v>
      </c>
      <c r="BY232" s="173">
        <f t="shared" si="694"/>
        <v>3.2857443127656545</v>
      </c>
      <c r="BZ232" s="5">
        <f t="shared" si="695"/>
        <v>24</v>
      </c>
      <c r="CA232" s="173">
        <f t="shared" si="696"/>
        <v>0.87958018388274584</v>
      </c>
      <c r="CB232" s="5">
        <f t="shared" si="697"/>
        <v>87.958018388274581</v>
      </c>
      <c r="CE232" s="562">
        <f t="shared" si="638"/>
        <v>-50</v>
      </c>
      <c r="CF232">
        <f t="shared" si="639"/>
        <v>-50</v>
      </c>
      <c r="CG232" s="173">
        <f t="shared" si="640"/>
        <v>0.32423859527617421</v>
      </c>
      <c r="CI232" s="170">
        <v>16</v>
      </c>
      <c r="CJ232" s="217">
        <f t="shared" si="698"/>
        <v>1.6</v>
      </c>
      <c r="CK232" s="217"/>
      <c r="CL232" s="217">
        <f t="shared" si="641"/>
        <v>24</v>
      </c>
      <c r="CM232" s="541">
        <f t="shared" si="642"/>
        <v>85</v>
      </c>
      <c r="CN232" s="443">
        <f t="shared" si="643"/>
        <v>15.4</v>
      </c>
      <c r="CO232" s="443">
        <f t="shared" si="644"/>
        <v>100.4</v>
      </c>
      <c r="CP232" s="443"/>
      <c r="CQ232" s="217">
        <f t="shared" si="645"/>
        <v>0.15338645418326693</v>
      </c>
      <c r="CR232" s="172">
        <f t="shared" si="646"/>
        <v>327.33148655378488</v>
      </c>
      <c r="CS232" s="172">
        <f t="shared" si="647"/>
        <v>24</v>
      </c>
      <c r="CT232" s="217">
        <f t="shared" si="648"/>
        <v>21.822099103585661</v>
      </c>
      <c r="CU232" s="217">
        <f t="shared" si="649"/>
        <v>15</v>
      </c>
      <c r="CV232" s="217"/>
      <c r="CW232" s="172">
        <f t="shared" si="650"/>
        <v>1243.152341028502</v>
      </c>
      <c r="CX232" s="172">
        <f t="shared" si="651"/>
        <v>15</v>
      </c>
      <c r="CY232" s="217">
        <f t="shared" si="652"/>
        <v>3.681588999236058</v>
      </c>
      <c r="CZ232" s="217">
        <f t="shared" si="653"/>
        <v>0.51975374106861993</v>
      </c>
      <c r="DA232" s="217">
        <f t="shared" si="654"/>
        <v>2.8687706487553699</v>
      </c>
      <c r="DB232" s="197">
        <f t="shared" si="655"/>
        <v>108.64873837981409</v>
      </c>
      <c r="DC232" s="443">
        <f t="shared" si="656"/>
        <v>295.1137087881321</v>
      </c>
      <c r="DE232" s="217">
        <f t="shared" si="657"/>
        <v>10</v>
      </c>
      <c r="DF232" s="173">
        <f t="shared" si="658"/>
        <v>7.7922077922077913</v>
      </c>
      <c r="DG232" s="173">
        <f t="shared" si="659"/>
        <v>4.2330677290836656</v>
      </c>
      <c r="DH232" s="173"/>
      <c r="DI232" s="173">
        <f t="shared" si="660"/>
        <v>7.7922077922077913</v>
      </c>
      <c r="DJ232" s="545">
        <f t="shared" si="661"/>
        <v>41.06666666666667</v>
      </c>
      <c r="DK232" s="528">
        <f t="shared" si="662"/>
        <v>4.2330677290836656</v>
      </c>
      <c r="DM232" s="173">
        <f t="shared" si="663"/>
        <v>3.4253953543107012</v>
      </c>
      <c r="DN232" s="173">
        <f t="shared" si="664"/>
        <v>10</v>
      </c>
      <c r="DO232" s="173">
        <f t="shared" si="665"/>
        <v>1.0234666666666667</v>
      </c>
      <c r="DQ232" s="545">
        <f t="shared" si="666"/>
        <v>1600</v>
      </c>
      <c r="DR232" s="460">
        <f t="shared" si="667"/>
        <v>41.06666666666667</v>
      </c>
      <c r="DT232">
        <f t="shared" si="668"/>
        <v>1600</v>
      </c>
      <c r="DU232">
        <f t="shared" si="669"/>
        <v>41.06666666666667</v>
      </c>
      <c r="DW232" s="5">
        <f t="shared" si="670"/>
        <v>24.350649350649348</v>
      </c>
      <c r="DX232" s="5">
        <f t="shared" si="671"/>
        <v>1.4117647058823528</v>
      </c>
      <c r="DY232" s="5">
        <f t="shared" si="672"/>
        <v>22.938884644766997</v>
      </c>
      <c r="DZ232" s="5"/>
      <c r="EA232" s="173">
        <f t="shared" si="673"/>
        <v>5.7976470588235296E-2</v>
      </c>
      <c r="EB232" s="173">
        <f t="shared" si="699"/>
        <v>24.640000000000004</v>
      </c>
      <c r="EC232" s="173">
        <f t="shared" si="700"/>
        <v>4.7101176470588237</v>
      </c>
      <c r="ED232" s="173">
        <f t="shared" si="701"/>
        <v>5.2312918373463893</v>
      </c>
      <c r="EE232" s="460">
        <f t="shared" si="674"/>
        <v>15.058823529411764</v>
      </c>
      <c r="EF232" s="5">
        <f t="shared" si="675"/>
        <v>2.2334005333647378</v>
      </c>
      <c r="EH232" s="173">
        <f t="shared" si="702"/>
        <v>1.3901615084614605</v>
      </c>
      <c r="EI232" s="173">
        <f t="shared" si="703"/>
        <v>5.6036402734049133</v>
      </c>
      <c r="EK232" s="528">
        <f t="shared" si="704"/>
        <v>3.8650980392156864E-2</v>
      </c>
      <c r="EL232" s="528">
        <f t="shared" si="705"/>
        <v>0.82461866666666672</v>
      </c>
      <c r="EM232" s="528">
        <f t="shared" si="706"/>
        <v>5.1333333333333335E-3</v>
      </c>
      <c r="EN232" s="528">
        <f t="shared" si="707"/>
        <v>4.1395857066666673E-2</v>
      </c>
      <c r="EO232">
        <f t="shared" si="708"/>
        <v>3.8249999999999999E-2</v>
      </c>
      <c r="EP232" s="460">
        <f t="shared" si="709"/>
        <v>43.383333333333326</v>
      </c>
      <c r="EQ232" s="460"/>
      <c r="ER232" s="460">
        <f t="shared" si="710"/>
        <v>948.04883745882364</v>
      </c>
      <c r="ES232" s="528">
        <f t="shared" si="711"/>
        <v>1.1199999999999999</v>
      </c>
      <c r="EV232" s="460">
        <f t="shared" si="712"/>
        <v>1119.9999999999998</v>
      </c>
      <c r="EW232" s="528">
        <f t="shared" si="713"/>
        <v>5.7976470588235296E-2</v>
      </c>
      <c r="EX232" s="528">
        <f t="shared" si="714"/>
        <v>0.9420235294117647</v>
      </c>
      <c r="EY232" s="528">
        <f t="shared" si="715"/>
        <v>0.17088094501266138</v>
      </c>
      <c r="EZ232" s="528"/>
      <c r="FA232" s="528">
        <f t="shared" si="716"/>
        <v>4.1066666666666673E-3</v>
      </c>
      <c r="FB232" s="460">
        <f t="shared" si="717"/>
        <v>1174.987611679328</v>
      </c>
      <c r="FC232" s="173">
        <f t="shared" si="718"/>
        <v>3.2430364491381511</v>
      </c>
      <c r="FD232" s="5">
        <f t="shared" si="719"/>
        <v>24</v>
      </c>
      <c r="FE232" s="173">
        <f t="shared" si="720"/>
        <v>0.88095906801017598</v>
      </c>
      <c r="FF232" s="5">
        <f t="shared" si="721"/>
        <v>88.095906801017605</v>
      </c>
      <c r="FI232" s="562">
        <f t="shared" si="676"/>
        <v>-50</v>
      </c>
      <c r="FJ232">
        <f t="shared" si="677"/>
        <v>-50</v>
      </c>
      <c r="FL232">
        <f t="shared" si="678"/>
        <v>0.32000000000000006</v>
      </c>
    </row>
    <row r="233" spans="5:168">
      <c r="E233" s="170">
        <v>17</v>
      </c>
      <c r="F233" s="217">
        <f t="shared" si="679"/>
        <v>1.7000000000000002</v>
      </c>
      <c r="G233" s="217"/>
      <c r="H233" s="217">
        <f t="shared" si="603"/>
        <v>25.500000000000004</v>
      </c>
      <c r="I233" s="541">
        <f t="shared" si="604"/>
        <v>84.753268114390082</v>
      </c>
      <c r="J233" s="172">
        <f t="shared" si="605"/>
        <v>15.548039131365949</v>
      </c>
      <c r="K233" s="172">
        <f t="shared" si="606"/>
        <v>100.30130724575604</v>
      </c>
      <c r="L233" s="443"/>
      <c r="M233" s="217">
        <f t="shared" si="607"/>
        <v>0.15502984391561525</v>
      </c>
      <c r="N233" s="172">
        <f t="shared" si="608"/>
        <v>329.8781973075603</v>
      </c>
      <c r="O233" s="172">
        <f t="shared" si="599"/>
        <v>25.500000000000004</v>
      </c>
      <c r="P233" s="217">
        <f t="shared" si="609"/>
        <v>21.991879820504021</v>
      </c>
      <c r="Q233" s="217">
        <f t="shared" si="610"/>
        <v>15</v>
      </c>
      <c r="R233" s="217"/>
      <c r="S233" s="172">
        <f t="shared" si="611"/>
        <v>1161.647495573869</v>
      </c>
      <c r="T233" s="172">
        <f t="shared" si="612"/>
        <v>15</v>
      </c>
      <c r="U233" s="217">
        <f t="shared" si="613"/>
        <v>4.0238107529805482</v>
      </c>
      <c r="V233" s="217">
        <f t="shared" si="614"/>
        <v>0.56972114598101553</v>
      </c>
      <c r="W233" s="217">
        <f t="shared" si="615"/>
        <v>3.1055831946265826</v>
      </c>
      <c r="X233" s="197">
        <f t="shared" si="616"/>
        <v>109.48238241177424</v>
      </c>
      <c r="Y233" s="443">
        <f t="shared" si="680"/>
        <v>258.04424945969862</v>
      </c>
      <c r="AA233" s="217">
        <f t="shared" si="617"/>
        <v>10</v>
      </c>
      <c r="AB233" s="173">
        <f t="shared" si="618"/>
        <v>7.7180150491078416</v>
      </c>
      <c r="AC233" s="173">
        <f t="shared" si="619"/>
        <v>4.2249333753312666</v>
      </c>
      <c r="AD233" s="173"/>
      <c r="AE233" s="173">
        <f t="shared" si="620"/>
        <v>7.7180150491078416</v>
      </c>
      <c r="AF233" s="545">
        <f t="shared" si="621"/>
        <v>44.052777538870188</v>
      </c>
      <c r="AG233" s="528">
        <f t="shared" si="622"/>
        <v>4.2249333753312666</v>
      </c>
      <c r="AI233" s="173">
        <f t="shared" si="623"/>
        <v>3.5477468720652303</v>
      </c>
      <c r="AJ233" s="173">
        <f t="shared" si="624"/>
        <v>10</v>
      </c>
      <c r="AK233" s="173">
        <f t="shared" si="625"/>
        <v>1.0251730157364973</v>
      </c>
      <c r="AM233" s="545">
        <f t="shared" si="626"/>
        <v>1700.0000000000002</v>
      </c>
      <c r="AN233" s="460">
        <f t="shared" si="627"/>
        <v>44.052777538870188</v>
      </c>
      <c r="AP233">
        <f t="shared" si="628"/>
        <v>1700.0000000000002</v>
      </c>
      <c r="AQ233">
        <f t="shared" si="629"/>
        <v>44.052777538870188</v>
      </c>
      <c r="AS233" s="5">
        <f t="shared" si="600"/>
        <v>22.700044262081885</v>
      </c>
      <c r="AT233" s="5">
        <f t="shared" si="630"/>
        <v>1.4158746048357451</v>
      </c>
      <c r="AU233" s="5">
        <f t="shared" si="478"/>
        <v>21.284169657246139</v>
      </c>
      <c r="AV233" s="5"/>
      <c r="AW233" s="173">
        <f t="shared" si="479"/>
        <v>6.2373208989764818E-2</v>
      </c>
      <c r="AX233" s="173">
        <f t="shared" si="631"/>
        <v>26.431666523322114</v>
      </c>
      <c r="AY233" s="173">
        <f t="shared" si="632"/>
        <v>4.6881339550511756</v>
      </c>
      <c r="AZ233" s="173">
        <f t="shared" si="633"/>
        <v>5.6379930216890717</v>
      </c>
      <c r="BA233" s="460">
        <f t="shared" si="594"/>
        <v>16.046578854805116</v>
      </c>
      <c r="BB233" s="5">
        <f t="shared" si="595"/>
        <v>2.2082205178710157</v>
      </c>
      <c r="BD233" s="173">
        <f t="shared" si="681"/>
        <v>1.4419108732253507</v>
      </c>
      <c r="BE233" s="173">
        <f t="shared" si="682"/>
        <v>5.5905479487263001</v>
      </c>
      <c r="BG233" s="528">
        <f t="shared" si="683"/>
        <v>4.1582139326509865E-2</v>
      </c>
      <c r="BH233" s="528">
        <f t="shared" si="634"/>
        <v>0.82847834530409237</v>
      </c>
      <c r="BI233" s="528">
        <f t="shared" si="635"/>
        <v>9.3340421648386157E-2</v>
      </c>
      <c r="BJ233" s="528">
        <f t="shared" si="684"/>
        <v>4.4318645898027378E-2</v>
      </c>
      <c r="BK233">
        <f t="shared" si="685"/>
        <v>3.8138970651475534E-2</v>
      </c>
      <c r="BL233" s="460">
        <f t="shared" si="686"/>
        <v>131.4793922998617</v>
      </c>
      <c r="BM233" s="528">
        <f t="shared" si="636"/>
        <v>0.93484247354279459</v>
      </c>
      <c r="BN233" s="460">
        <f t="shared" si="687"/>
        <v>934.84247354279455</v>
      </c>
      <c r="BO233" s="528">
        <f t="shared" si="637"/>
        <v>1.19</v>
      </c>
      <c r="BR233" s="460">
        <f t="shared" si="688"/>
        <v>1190</v>
      </c>
      <c r="BS233" s="528">
        <f t="shared" si="689"/>
        <v>6.2373208989764797E-2</v>
      </c>
      <c r="BT233" s="528">
        <f t="shared" si="690"/>
        <v>0.93762679101023527</v>
      </c>
      <c r="BU233" s="528">
        <f t="shared" si="691"/>
        <v>0.2036588299295235</v>
      </c>
      <c r="BV233" s="528"/>
      <c r="BW233" s="528">
        <f t="shared" si="692"/>
        <v>4.4052777538870188E-3</v>
      </c>
      <c r="BX233" s="460">
        <f t="shared" si="693"/>
        <v>1208.0641076834104</v>
      </c>
      <c r="BY233" s="173">
        <f t="shared" si="694"/>
        <v>3.4439226305119024</v>
      </c>
      <c r="BZ233" s="5">
        <f t="shared" si="695"/>
        <v>25.500000000000004</v>
      </c>
      <c r="CA233" s="173">
        <f t="shared" si="696"/>
        <v>0.88101396364011109</v>
      </c>
      <c r="CB233" s="5">
        <f t="shared" si="697"/>
        <v>88.101396364011109</v>
      </c>
      <c r="CE233" s="562">
        <f t="shared" si="638"/>
        <v>-50</v>
      </c>
      <c r="CF233">
        <f t="shared" si="639"/>
        <v>-50</v>
      </c>
      <c r="CG233" s="173">
        <f t="shared" si="640"/>
        <v>0.34450350748093511</v>
      </c>
      <c r="CI233" s="170">
        <v>17</v>
      </c>
      <c r="CJ233" s="217">
        <f t="shared" si="698"/>
        <v>1.7000000000000002</v>
      </c>
      <c r="CK233" s="217"/>
      <c r="CL233" s="217">
        <f t="shared" si="641"/>
        <v>25.500000000000004</v>
      </c>
      <c r="CM233" s="541">
        <f t="shared" si="642"/>
        <v>85</v>
      </c>
      <c r="CN233" s="443">
        <f t="shared" si="643"/>
        <v>15.4</v>
      </c>
      <c r="CO233" s="443">
        <f t="shared" si="644"/>
        <v>100.4</v>
      </c>
      <c r="CP233" s="443"/>
      <c r="CQ233" s="217">
        <f t="shared" si="645"/>
        <v>0.15338645418326693</v>
      </c>
      <c r="CR233" s="172">
        <f t="shared" si="646"/>
        <v>327.33148655378488</v>
      </c>
      <c r="CS233" s="172">
        <f t="shared" si="647"/>
        <v>25.500000000000004</v>
      </c>
      <c r="CT233" s="217">
        <f t="shared" si="648"/>
        <v>21.822099103585661</v>
      </c>
      <c r="CU233" s="217">
        <f t="shared" si="649"/>
        <v>15</v>
      </c>
      <c r="CV233" s="217"/>
      <c r="CW233" s="172">
        <f t="shared" si="650"/>
        <v>1165.029173802033</v>
      </c>
      <c r="CX233" s="172">
        <f t="shared" si="651"/>
        <v>15</v>
      </c>
      <c r="CY233" s="217">
        <f t="shared" si="652"/>
        <v>3.9116883116883123</v>
      </c>
      <c r="CZ233" s="217">
        <f t="shared" si="653"/>
        <v>0.55223834988540876</v>
      </c>
      <c r="DA233" s="217">
        <f t="shared" si="654"/>
        <v>3.0480688143025811</v>
      </c>
      <c r="DB233" s="197">
        <f t="shared" si="655"/>
        <v>108.64873837981409</v>
      </c>
      <c r="DC233" s="443">
        <f t="shared" si="656"/>
        <v>277.75407885941843</v>
      </c>
      <c r="DE233" s="217">
        <f t="shared" si="657"/>
        <v>10</v>
      </c>
      <c r="DF233" s="173">
        <f t="shared" si="658"/>
        <v>7.7922077922077913</v>
      </c>
      <c r="DG233" s="173">
        <f t="shared" si="659"/>
        <v>4.2330677290836656</v>
      </c>
      <c r="DH233" s="173"/>
      <c r="DI233" s="173">
        <f t="shared" si="660"/>
        <v>7.7922077922077913</v>
      </c>
      <c r="DJ233" s="545">
        <f t="shared" si="661"/>
        <v>43.63333333333334</v>
      </c>
      <c r="DK233" s="528">
        <f t="shared" si="662"/>
        <v>4.2330677290836656</v>
      </c>
      <c r="DM233" s="173">
        <f t="shared" si="663"/>
        <v>3.5308167138307631</v>
      </c>
      <c r="DN233" s="173">
        <f t="shared" si="664"/>
        <v>10</v>
      </c>
      <c r="DO233" s="173">
        <f t="shared" si="665"/>
        <v>1.0249333333333333</v>
      </c>
      <c r="DQ233" s="545">
        <f t="shared" si="666"/>
        <v>1700.0000000000002</v>
      </c>
      <c r="DR233" s="460">
        <f t="shared" si="667"/>
        <v>43.63333333333334</v>
      </c>
      <c r="DT233">
        <f t="shared" si="668"/>
        <v>1700.0000000000002</v>
      </c>
      <c r="DU233">
        <f t="shared" si="669"/>
        <v>43.63333333333334</v>
      </c>
      <c r="DW233" s="5">
        <f t="shared" si="670"/>
        <v>22.918258212375857</v>
      </c>
      <c r="DX233" s="5">
        <f t="shared" si="671"/>
        <v>1.4117647058823528</v>
      </c>
      <c r="DY233" s="5">
        <f t="shared" si="672"/>
        <v>21.506493506493506</v>
      </c>
      <c r="DZ233" s="5"/>
      <c r="EA233" s="173">
        <f t="shared" si="673"/>
        <v>6.1600000000000002E-2</v>
      </c>
      <c r="EB233" s="173">
        <f t="shared" si="699"/>
        <v>26.180000000000007</v>
      </c>
      <c r="EC233" s="173">
        <f t="shared" si="700"/>
        <v>4.6920000000000002</v>
      </c>
      <c r="ED233" s="173">
        <f t="shared" si="701"/>
        <v>5.5797101449275379</v>
      </c>
      <c r="EE233" s="460">
        <f t="shared" si="674"/>
        <v>16</v>
      </c>
      <c r="EF233" s="5">
        <f t="shared" si="675"/>
        <v>2.2248096730855353</v>
      </c>
      <c r="EH233" s="173">
        <f t="shared" si="702"/>
        <v>1.432945684013645</v>
      </c>
      <c r="EI233" s="173">
        <f t="shared" si="703"/>
        <v>5.5928525816438253</v>
      </c>
      <c r="EK233" s="528">
        <f t="shared" si="704"/>
        <v>4.1066666666666654E-2</v>
      </c>
      <c r="EL233" s="528">
        <f t="shared" si="705"/>
        <v>0.87615733333333357</v>
      </c>
      <c r="EM233" s="528">
        <f t="shared" si="706"/>
        <v>5.4541666666666679E-3</v>
      </c>
      <c r="EN233" s="528">
        <f t="shared" si="707"/>
        <v>4.3983098133333343E-2</v>
      </c>
      <c r="EO233">
        <f t="shared" si="708"/>
        <v>3.8249999999999999E-2</v>
      </c>
      <c r="EP233" s="460">
        <f t="shared" si="709"/>
        <v>43.704166666666666</v>
      </c>
      <c r="EQ233" s="460"/>
      <c r="ER233" s="460">
        <f t="shared" si="710"/>
        <v>1004.9112648000003</v>
      </c>
      <c r="ES233" s="528">
        <f t="shared" si="711"/>
        <v>1.19</v>
      </c>
      <c r="EV233" s="460">
        <f t="shared" si="712"/>
        <v>1190</v>
      </c>
      <c r="EW233" s="528">
        <f t="shared" si="713"/>
        <v>6.1599999999999981E-2</v>
      </c>
      <c r="EX233" s="528">
        <f t="shared" si="714"/>
        <v>0.93840000000000001</v>
      </c>
      <c r="EY233" s="528">
        <f t="shared" si="715"/>
        <v>0.19884559928237447</v>
      </c>
      <c r="EZ233" s="528"/>
      <c r="FA233" s="528">
        <f t="shared" si="716"/>
        <v>4.3633333333333345E-3</v>
      </c>
      <c r="FB233" s="460">
        <f t="shared" si="717"/>
        <v>1203.2089326157079</v>
      </c>
      <c r="FC233" s="173">
        <f t="shared" si="718"/>
        <v>3.3981201974157078</v>
      </c>
      <c r="FD233" s="5">
        <f t="shared" si="719"/>
        <v>25.500000000000004</v>
      </c>
      <c r="FE233" s="173">
        <f t="shared" si="720"/>
        <v>0.88241033762052135</v>
      </c>
      <c r="FF233" s="5">
        <f t="shared" si="721"/>
        <v>88.24103376205214</v>
      </c>
      <c r="FI233" s="562">
        <f t="shared" si="676"/>
        <v>-50</v>
      </c>
      <c r="FJ233">
        <f t="shared" si="677"/>
        <v>-50</v>
      </c>
      <c r="FL233">
        <f t="shared" si="678"/>
        <v>0.34</v>
      </c>
    </row>
    <row r="234" spans="5:168">
      <c r="E234" s="170">
        <v>18</v>
      </c>
      <c r="F234" s="217">
        <f t="shared" si="679"/>
        <v>1.7999999999999998</v>
      </c>
      <c r="G234" s="217"/>
      <c r="H234" s="217">
        <f t="shared" si="603"/>
        <v>26.999999999999996</v>
      </c>
      <c r="I234" s="541">
        <f t="shared" si="604"/>
        <v>84.753268114390082</v>
      </c>
      <c r="J234" s="172">
        <f t="shared" si="605"/>
        <v>15.548039131365949</v>
      </c>
      <c r="K234" s="172">
        <f t="shared" si="606"/>
        <v>100.30130724575604</v>
      </c>
      <c r="L234" s="443"/>
      <c r="M234" s="217">
        <f t="shared" si="607"/>
        <v>0.15502984391561525</v>
      </c>
      <c r="N234" s="172">
        <f t="shared" si="608"/>
        <v>329.8781973075603</v>
      </c>
      <c r="O234" s="172">
        <f t="shared" si="599"/>
        <v>26.999999999999996</v>
      </c>
      <c r="P234" s="217">
        <f t="shared" si="609"/>
        <v>21.991879820504021</v>
      </c>
      <c r="Q234" s="217">
        <f t="shared" si="610"/>
        <v>15</v>
      </c>
      <c r="R234" s="217"/>
      <c r="S234" s="172">
        <f t="shared" si="611"/>
        <v>1092.406477938792</v>
      </c>
      <c r="T234" s="172">
        <f t="shared" si="612"/>
        <v>15</v>
      </c>
      <c r="U234" s="217">
        <f t="shared" si="613"/>
        <v>4.2605055031558745</v>
      </c>
      <c r="V234" s="217">
        <f t="shared" si="614"/>
        <v>0.60323415456813412</v>
      </c>
      <c r="W234" s="217">
        <f t="shared" si="615"/>
        <v>3.2882645590163819</v>
      </c>
      <c r="X234" s="197">
        <f t="shared" si="616"/>
        <v>109.48238241177424</v>
      </c>
      <c r="Y234" s="443">
        <f t="shared" si="680"/>
        <v>244.40921774698816</v>
      </c>
      <c r="AA234" s="217">
        <f t="shared" si="617"/>
        <v>10</v>
      </c>
      <c r="AB234" s="173">
        <f t="shared" si="618"/>
        <v>7.7180150491078416</v>
      </c>
      <c r="AC234" s="173">
        <f t="shared" si="619"/>
        <v>4.2249333753312666</v>
      </c>
      <c r="AD234" s="173"/>
      <c r="AE234" s="173">
        <f t="shared" si="620"/>
        <v>7.7180150491078416</v>
      </c>
      <c r="AF234" s="545">
        <f t="shared" si="621"/>
        <v>46.644117394097833</v>
      </c>
      <c r="AG234" s="528">
        <f t="shared" si="622"/>
        <v>4.2249333753312666</v>
      </c>
      <c r="AI234" s="173">
        <f t="shared" si="623"/>
        <v>3.6506014140176895</v>
      </c>
      <c r="AJ234" s="173">
        <f t="shared" si="624"/>
        <v>10</v>
      </c>
      <c r="AK234" s="173">
        <f t="shared" si="625"/>
        <v>1.0266537813680559</v>
      </c>
      <c r="AM234" s="545">
        <f t="shared" si="626"/>
        <v>1799.9999999999998</v>
      </c>
      <c r="AN234" s="460">
        <f t="shared" si="627"/>
        <v>46.644117394097833</v>
      </c>
      <c r="AP234">
        <f t="shared" si="628"/>
        <v>1799.9999999999998</v>
      </c>
      <c r="AQ234">
        <f t="shared" si="629"/>
        <v>46.644117394097833</v>
      </c>
      <c r="AS234" s="5">
        <f t="shared" si="600"/>
        <v>21.438930691966231</v>
      </c>
      <c r="AT234" s="5">
        <f t="shared" si="630"/>
        <v>1.4158746048357451</v>
      </c>
      <c r="AU234" s="5">
        <f t="shared" ref="AU234:AU297" si="722">AS234-AT234</f>
        <v>20.023056087130485</v>
      </c>
      <c r="AV234" s="5"/>
      <c r="AW234" s="173">
        <f t="shared" ref="AW234:AW297" si="723">AT234/AS234</f>
        <v>6.6042221283280383E-2</v>
      </c>
      <c r="AX234" s="173">
        <f t="shared" si="631"/>
        <v>27.986470436458703</v>
      </c>
      <c r="AY234" s="173">
        <f t="shared" si="632"/>
        <v>4.6697888935835978</v>
      </c>
      <c r="AZ234" s="173">
        <f t="shared" si="633"/>
        <v>5.9930911384265757</v>
      </c>
      <c r="BA234" s="460">
        <f t="shared" si="594"/>
        <v>16.99049525802894</v>
      </c>
      <c r="BB234" s="5">
        <f t="shared" si="595"/>
        <v>2.1995795657304176</v>
      </c>
      <c r="BD234" s="173">
        <f t="shared" si="681"/>
        <v>1.4837140479584825</v>
      </c>
      <c r="BE234" s="173">
        <f t="shared" si="682"/>
        <v>5.5795990857071427</v>
      </c>
      <c r="BG234" s="528">
        <f t="shared" si="683"/>
        <v>4.4028147522186922E-2</v>
      </c>
      <c r="BH234" s="528">
        <f t="shared" si="634"/>
        <v>0.8772123656160975</v>
      </c>
      <c r="BI234" s="528">
        <f t="shared" si="635"/>
        <v>9.8831034686526487E-2</v>
      </c>
      <c r="BJ234" s="528">
        <f t="shared" si="684"/>
        <v>4.6925625068499559E-2</v>
      </c>
      <c r="BK234">
        <f t="shared" si="685"/>
        <v>3.8138970651475534E-2</v>
      </c>
      <c r="BL234" s="460">
        <f t="shared" si="686"/>
        <v>136.97000533800201</v>
      </c>
      <c r="BM234" s="528">
        <f t="shared" si="636"/>
        <v>0.99041455167199299</v>
      </c>
      <c r="BN234" s="460">
        <f t="shared" si="687"/>
        <v>990.41455167199297</v>
      </c>
      <c r="BO234" s="528">
        <f t="shared" si="637"/>
        <v>1.2599999999999998</v>
      </c>
      <c r="BR234" s="460">
        <f t="shared" si="688"/>
        <v>1259.9999999999998</v>
      </c>
      <c r="BS234" s="528">
        <f t="shared" si="689"/>
        <v>6.6042221283280383E-2</v>
      </c>
      <c r="BT234" s="528">
        <f t="shared" si="690"/>
        <v>0.93395777871671948</v>
      </c>
      <c r="BU234" s="528">
        <f t="shared" si="691"/>
        <v>0.23494283426657955</v>
      </c>
      <c r="BV234" s="528"/>
      <c r="BW234" s="528">
        <f t="shared" si="692"/>
        <v>4.6644117394097837E-3</v>
      </c>
      <c r="BX234" s="460">
        <f t="shared" si="693"/>
        <v>1239.6072460059891</v>
      </c>
      <c r="BY234" s="173">
        <f t="shared" si="694"/>
        <v>3.6047433895507748</v>
      </c>
      <c r="BZ234" s="5">
        <f t="shared" si="695"/>
        <v>26.999999999999996</v>
      </c>
      <c r="CA234" s="173">
        <f t="shared" si="696"/>
        <v>0.88221618643659261</v>
      </c>
      <c r="CB234" s="5">
        <f t="shared" si="697"/>
        <v>88.221618643659255</v>
      </c>
      <c r="CE234" s="562">
        <f t="shared" si="638"/>
        <v>-50</v>
      </c>
      <c r="CF234">
        <f t="shared" si="639"/>
        <v>-50</v>
      </c>
      <c r="CG234" s="173">
        <f t="shared" si="640"/>
        <v>0.3647684196856959</v>
      </c>
      <c r="CI234" s="170">
        <v>18</v>
      </c>
      <c r="CJ234" s="217">
        <f t="shared" si="698"/>
        <v>1.7999999999999998</v>
      </c>
      <c r="CK234" s="217"/>
      <c r="CL234" s="217">
        <f t="shared" si="641"/>
        <v>26.999999999999996</v>
      </c>
      <c r="CM234" s="541">
        <f t="shared" si="642"/>
        <v>85</v>
      </c>
      <c r="CN234" s="443">
        <f t="shared" si="643"/>
        <v>15.4</v>
      </c>
      <c r="CO234" s="443">
        <f t="shared" si="644"/>
        <v>100.4</v>
      </c>
      <c r="CP234" s="443"/>
      <c r="CQ234" s="217">
        <f t="shared" si="645"/>
        <v>0.15338645418326693</v>
      </c>
      <c r="CR234" s="172">
        <f t="shared" si="646"/>
        <v>327.33148655378488</v>
      </c>
      <c r="CS234" s="172">
        <f t="shared" si="647"/>
        <v>26.999999999999996</v>
      </c>
      <c r="CT234" s="217">
        <f t="shared" si="648"/>
        <v>21.822099103585661</v>
      </c>
      <c r="CU234" s="217">
        <f t="shared" si="649"/>
        <v>15</v>
      </c>
      <c r="CV234" s="217"/>
      <c r="CW234" s="172">
        <f t="shared" si="650"/>
        <v>1095.5865778332802</v>
      </c>
      <c r="CX234" s="172">
        <f t="shared" si="651"/>
        <v>15</v>
      </c>
      <c r="CY234" s="217">
        <f t="shared" si="652"/>
        <v>4.1417876241405649</v>
      </c>
      <c r="CZ234" s="217">
        <f t="shared" si="653"/>
        <v>0.58472295870219748</v>
      </c>
      <c r="DA234" s="217">
        <f t="shared" si="654"/>
        <v>3.227366979849791</v>
      </c>
      <c r="DB234" s="197">
        <f t="shared" si="655"/>
        <v>108.64873837981409</v>
      </c>
      <c r="DC234" s="443">
        <f t="shared" si="656"/>
        <v>262.32329670056185</v>
      </c>
      <c r="DE234" s="217">
        <f t="shared" si="657"/>
        <v>10</v>
      </c>
      <c r="DF234" s="173">
        <f t="shared" si="658"/>
        <v>7.7922077922077913</v>
      </c>
      <c r="DG234" s="173">
        <f t="shared" si="659"/>
        <v>4.2330677290836656</v>
      </c>
      <c r="DH234" s="173"/>
      <c r="DI234" s="173">
        <f t="shared" si="660"/>
        <v>7.7922077922077913</v>
      </c>
      <c r="DJ234" s="545">
        <f t="shared" si="661"/>
        <v>46.2</v>
      </c>
      <c r="DK234" s="528">
        <f t="shared" si="662"/>
        <v>4.2330677290836656</v>
      </c>
      <c r="DM234" s="173">
        <f t="shared" si="663"/>
        <v>3.6331804249169899</v>
      </c>
      <c r="DN234" s="173">
        <f t="shared" si="664"/>
        <v>10</v>
      </c>
      <c r="DO234" s="173">
        <f t="shared" si="665"/>
        <v>1.0264</v>
      </c>
      <c r="DQ234" s="545">
        <f t="shared" si="666"/>
        <v>1799.9999999999998</v>
      </c>
      <c r="DR234" s="460">
        <f t="shared" si="667"/>
        <v>46.2</v>
      </c>
      <c r="DT234">
        <f t="shared" si="668"/>
        <v>1799.9999999999998</v>
      </c>
      <c r="DU234">
        <f t="shared" si="669"/>
        <v>46.2</v>
      </c>
      <c r="DW234" s="5">
        <f t="shared" si="670"/>
        <v>21.645021645021643</v>
      </c>
      <c r="DX234" s="5">
        <f t="shared" si="671"/>
        <v>1.4117647058823528</v>
      </c>
      <c r="DY234" s="5">
        <f t="shared" si="672"/>
        <v>20.233256939139292</v>
      </c>
      <c r="DZ234" s="5"/>
      <c r="EA234" s="173">
        <f t="shared" si="673"/>
        <v>6.5223529411764708E-2</v>
      </c>
      <c r="EB234" s="173">
        <f t="shared" si="699"/>
        <v>27.720000000000006</v>
      </c>
      <c r="EC234" s="173">
        <f t="shared" si="700"/>
        <v>4.6738823529411766</v>
      </c>
      <c r="ED234" s="173">
        <f t="shared" si="701"/>
        <v>5.9308296415626272</v>
      </c>
      <c r="EE234" s="460">
        <f t="shared" si="674"/>
        <v>16.941176470588232</v>
      </c>
      <c r="EF234" s="5">
        <f t="shared" si="675"/>
        <v>2.2162188128063316</v>
      </c>
      <c r="EH234" s="173">
        <f t="shared" si="702"/>
        <v>1.474488944366428</v>
      </c>
      <c r="EI234" s="173">
        <f t="shared" si="703"/>
        <v>5.5820440419504491</v>
      </c>
      <c r="EK234" s="528">
        <f t="shared" si="704"/>
        <v>4.3482352941176465E-2</v>
      </c>
      <c r="EL234" s="528">
        <f t="shared" si="705"/>
        <v>0.92769599999999997</v>
      </c>
      <c r="EM234" s="528">
        <f t="shared" si="706"/>
        <v>5.7749999999999998E-3</v>
      </c>
      <c r="EN234" s="528">
        <f t="shared" si="707"/>
        <v>4.6570339200000005E-2</v>
      </c>
      <c r="EO234">
        <f t="shared" si="708"/>
        <v>3.8249999999999999E-2</v>
      </c>
      <c r="EP234" s="460">
        <f t="shared" si="709"/>
        <v>44.024999999999999</v>
      </c>
      <c r="EQ234" s="460"/>
      <c r="ER234" s="460">
        <f t="shared" si="710"/>
        <v>1061.7736921411763</v>
      </c>
      <c r="ES234" s="528">
        <f t="shared" si="711"/>
        <v>1.2599999999999998</v>
      </c>
      <c r="EV234" s="460">
        <f t="shared" si="712"/>
        <v>1259.9999999999998</v>
      </c>
      <c r="EW234" s="528">
        <f t="shared" si="713"/>
        <v>6.5223529411764694E-2</v>
      </c>
      <c r="EX234" s="528">
        <f t="shared" si="714"/>
        <v>0.93477647058823521</v>
      </c>
      <c r="EY234" s="528">
        <f t="shared" si="715"/>
        <v>0.22939024393395663</v>
      </c>
      <c r="EZ234" s="528"/>
      <c r="FA234" s="528">
        <f t="shared" si="716"/>
        <v>4.6200000000000008E-3</v>
      </c>
      <c r="FB234" s="460">
        <f t="shared" si="717"/>
        <v>1234.0102439339566</v>
      </c>
      <c r="FC234" s="173">
        <f t="shared" si="718"/>
        <v>3.5557839360751324</v>
      </c>
      <c r="FD234" s="5">
        <f t="shared" si="719"/>
        <v>26.999999999999996</v>
      </c>
      <c r="FE234" s="173">
        <f t="shared" si="720"/>
        <v>0.88362975914759423</v>
      </c>
      <c r="FF234" s="5">
        <f t="shared" si="721"/>
        <v>88.362975914759417</v>
      </c>
      <c r="FI234" s="562">
        <f t="shared" si="676"/>
        <v>-50</v>
      </c>
      <c r="FJ234">
        <f t="shared" si="677"/>
        <v>-50</v>
      </c>
      <c r="FL234">
        <f t="shared" si="678"/>
        <v>0.36</v>
      </c>
    </row>
    <row r="235" spans="5:168">
      <c r="E235" s="170">
        <v>19</v>
      </c>
      <c r="F235" s="217">
        <f t="shared" si="679"/>
        <v>1.9</v>
      </c>
      <c r="G235" s="217"/>
      <c r="H235" s="217">
        <f t="shared" si="603"/>
        <v>28.5</v>
      </c>
      <c r="I235" s="541">
        <f t="shared" si="604"/>
        <v>84.753268114390082</v>
      </c>
      <c r="J235" s="172">
        <f t="shared" si="605"/>
        <v>15.548039131365949</v>
      </c>
      <c r="K235" s="172">
        <f t="shared" si="606"/>
        <v>100.30130724575604</v>
      </c>
      <c r="L235" s="443"/>
      <c r="M235" s="217">
        <f t="shared" si="607"/>
        <v>0.15502984391561525</v>
      </c>
      <c r="N235" s="172">
        <f t="shared" si="608"/>
        <v>329.8781973075603</v>
      </c>
      <c r="O235" s="172">
        <f t="shared" si="599"/>
        <v>28.5</v>
      </c>
      <c r="P235" s="217">
        <f t="shared" si="609"/>
        <v>21.991879820504021</v>
      </c>
      <c r="Q235" s="217">
        <f t="shared" si="610"/>
        <v>15</v>
      </c>
      <c r="R235" s="217"/>
      <c r="S235" s="172">
        <f t="shared" si="611"/>
        <v>1030.4541989551324</v>
      </c>
      <c r="T235" s="172">
        <f t="shared" si="612"/>
        <v>15</v>
      </c>
      <c r="U235" s="217">
        <f t="shared" si="613"/>
        <v>4.4972002533312008</v>
      </c>
      <c r="V235" s="217">
        <f t="shared" si="614"/>
        <v>0.63674716315525259</v>
      </c>
      <c r="W235" s="217">
        <f t="shared" si="615"/>
        <v>3.4709459234061808</v>
      </c>
      <c r="X235" s="197">
        <f t="shared" si="616"/>
        <v>109.48238241177424</v>
      </c>
      <c r="Y235" s="443">
        <f t="shared" si="680"/>
        <v>232.14281516936913</v>
      </c>
      <c r="AA235" s="217">
        <f t="shared" si="617"/>
        <v>10</v>
      </c>
      <c r="AB235" s="173">
        <f t="shared" si="618"/>
        <v>7.7180150491078416</v>
      </c>
      <c r="AC235" s="173">
        <f t="shared" si="619"/>
        <v>4.2249333753312666</v>
      </c>
      <c r="AD235" s="173"/>
      <c r="AE235" s="173">
        <f t="shared" si="620"/>
        <v>7.7180150491078416</v>
      </c>
      <c r="AF235" s="545">
        <f t="shared" si="621"/>
        <v>49.235457249325499</v>
      </c>
      <c r="AG235" s="528">
        <f t="shared" si="622"/>
        <v>4.2249333753312666</v>
      </c>
      <c r="AI235" s="173">
        <f t="shared" si="623"/>
        <v>3.7506364126381651</v>
      </c>
      <c r="AJ235" s="173">
        <f t="shared" si="624"/>
        <v>10</v>
      </c>
      <c r="AK235" s="173">
        <f t="shared" si="625"/>
        <v>1.0281345469996146</v>
      </c>
      <c r="AM235" s="545">
        <f t="shared" si="626"/>
        <v>1900</v>
      </c>
      <c r="AN235" s="460">
        <f t="shared" si="627"/>
        <v>49.235457249325499</v>
      </c>
      <c r="AP235">
        <f t="shared" si="628"/>
        <v>1900</v>
      </c>
      <c r="AQ235">
        <f t="shared" si="629"/>
        <v>49.235457249325499</v>
      </c>
      <c r="AS235" s="5">
        <f t="shared" si="600"/>
        <v>20.310565918704846</v>
      </c>
      <c r="AT235" s="5">
        <f t="shared" si="630"/>
        <v>1.4158746048357451</v>
      </c>
      <c r="AU235" s="5">
        <f t="shared" si="722"/>
        <v>18.8946913138691</v>
      </c>
      <c r="AV235" s="5"/>
      <c r="AW235" s="173">
        <f t="shared" si="723"/>
        <v>6.971123357679597E-2</v>
      </c>
      <c r="AX235" s="173">
        <f t="shared" si="631"/>
        <v>29.541274349595305</v>
      </c>
      <c r="AY235" s="173">
        <f t="shared" si="632"/>
        <v>4.6514438321160201</v>
      </c>
      <c r="AZ235" s="173">
        <f t="shared" si="633"/>
        <v>6.3509902335328174</v>
      </c>
      <c r="BA235" s="460">
        <f t="shared" si="594"/>
        <v>17.934411661252767</v>
      </c>
      <c r="BB235" s="5">
        <f t="shared" si="595"/>
        <v>2.190938613589819</v>
      </c>
      <c r="BD235" s="173">
        <f t="shared" si="681"/>
        <v>1.5243712756061756</v>
      </c>
      <c r="BE235" s="173">
        <f t="shared" si="682"/>
        <v>5.5686286954186599</v>
      </c>
      <c r="BG235" s="528">
        <f t="shared" si="683"/>
        <v>4.6474155717863973E-2</v>
      </c>
      <c r="BH235" s="528">
        <f t="shared" si="634"/>
        <v>0.92594638592810297</v>
      </c>
      <c r="BI235" s="528">
        <f t="shared" si="635"/>
        <v>0.10432164772466686</v>
      </c>
      <c r="BJ235" s="528">
        <f t="shared" si="684"/>
        <v>4.9532604238971767E-2</v>
      </c>
      <c r="BK235">
        <f t="shared" si="685"/>
        <v>3.8138970651475534E-2</v>
      </c>
      <c r="BL235" s="460">
        <f t="shared" si="686"/>
        <v>142.46061837614238</v>
      </c>
      <c r="BM235" s="528">
        <f t="shared" si="636"/>
        <v>1.046051944848148</v>
      </c>
      <c r="BN235" s="460">
        <f t="shared" si="687"/>
        <v>1046.051944848148</v>
      </c>
      <c r="BO235" s="528">
        <f t="shared" si="637"/>
        <v>1.3299999999999998</v>
      </c>
      <c r="BR235" s="460">
        <f t="shared" si="688"/>
        <v>1329.9999999999998</v>
      </c>
      <c r="BS235" s="528">
        <f t="shared" si="689"/>
        <v>6.9711233576795956E-2</v>
      </c>
      <c r="BT235" s="528">
        <f t="shared" si="690"/>
        <v>0.93028876642320379</v>
      </c>
      <c r="BU235" s="528">
        <f t="shared" si="691"/>
        <v>0.26894590945447239</v>
      </c>
      <c r="BV235" s="528"/>
      <c r="BW235" s="528">
        <f t="shared" si="692"/>
        <v>4.9235457249325503E-3</v>
      </c>
      <c r="BX235" s="460">
        <f t="shared" si="693"/>
        <v>1273.8694551794047</v>
      </c>
      <c r="BY235" s="173">
        <f t="shared" si="694"/>
        <v>3.7682832194404856</v>
      </c>
      <c r="BZ235" s="5">
        <f t="shared" si="695"/>
        <v>28.5</v>
      </c>
      <c r="CA235" s="173">
        <f t="shared" si="696"/>
        <v>0.88322021367501113</v>
      </c>
      <c r="CB235" s="5">
        <f t="shared" si="697"/>
        <v>88.322021367501108</v>
      </c>
      <c r="CE235" s="562">
        <f t="shared" si="638"/>
        <v>-50</v>
      </c>
      <c r="CF235">
        <f t="shared" si="639"/>
        <v>-50</v>
      </c>
      <c r="CG235" s="173">
        <f t="shared" si="640"/>
        <v>0.38503333189045674</v>
      </c>
      <c r="CI235" s="170">
        <v>19</v>
      </c>
      <c r="CJ235" s="217">
        <f t="shared" si="698"/>
        <v>1.9</v>
      </c>
      <c r="CK235" s="217"/>
      <c r="CL235" s="217">
        <f t="shared" si="641"/>
        <v>28.5</v>
      </c>
      <c r="CM235" s="541">
        <f t="shared" si="642"/>
        <v>85</v>
      </c>
      <c r="CN235" s="443">
        <f t="shared" si="643"/>
        <v>15.4</v>
      </c>
      <c r="CO235" s="443">
        <f t="shared" si="644"/>
        <v>100.4</v>
      </c>
      <c r="CP235" s="443"/>
      <c r="CQ235" s="217">
        <f t="shared" si="645"/>
        <v>0.15338645418326693</v>
      </c>
      <c r="CR235" s="172">
        <f t="shared" si="646"/>
        <v>327.33148655378488</v>
      </c>
      <c r="CS235" s="172">
        <f t="shared" si="647"/>
        <v>28.5</v>
      </c>
      <c r="CT235" s="217">
        <f t="shared" si="648"/>
        <v>21.822099103585661</v>
      </c>
      <c r="CU235" s="217">
        <f t="shared" si="649"/>
        <v>15</v>
      </c>
      <c r="CV235" s="217"/>
      <c r="CW235" s="172">
        <f t="shared" si="650"/>
        <v>1033.4539392886859</v>
      </c>
      <c r="CX235" s="172">
        <f t="shared" si="651"/>
        <v>15</v>
      </c>
      <c r="CY235" s="217">
        <f t="shared" si="652"/>
        <v>4.3718869365928192</v>
      </c>
      <c r="CZ235" s="217">
        <f t="shared" si="653"/>
        <v>0.6172075675189862</v>
      </c>
      <c r="DA235" s="217">
        <f t="shared" si="654"/>
        <v>3.4066651453970018</v>
      </c>
      <c r="DB235" s="197">
        <f t="shared" si="655"/>
        <v>108.64873837981409</v>
      </c>
      <c r="DC235" s="443">
        <f t="shared" si="656"/>
        <v>248.51680740053229</v>
      </c>
      <c r="DE235" s="217">
        <f t="shared" si="657"/>
        <v>10</v>
      </c>
      <c r="DF235" s="173">
        <f t="shared" si="658"/>
        <v>7.7922077922077913</v>
      </c>
      <c r="DG235" s="173">
        <f t="shared" si="659"/>
        <v>4.2330677290836656</v>
      </c>
      <c r="DH235" s="173"/>
      <c r="DI235" s="173">
        <f t="shared" si="660"/>
        <v>7.7922077922077913</v>
      </c>
      <c r="DJ235" s="545">
        <f t="shared" si="661"/>
        <v>48.766666666666666</v>
      </c>
      <c r="DK235" s="528">
        <f t="shared" si="662"/>
        <v>4.2330677290836656</v>
      </c>
      <c r="DM235" s="173">
        <f t="shared" si="663"/>
        <v>3.7327380477785117</v>
      </c>
      <c r="DN235" s="173">
        <f t="shared" si="664"/>
        <v>10</v>
      </c>
      <c r="DO235" s="173">
        <f t="shared" si="665"/>
        <v>1.0278666666666667</v>
      </c>
      <c r="DQ235" s="545">
        <f t="shared" si="666"/>
        <v>1900</v>
      </c>
      <c r="DR235" s="460">
        <f t="shared" si="667"/>
        <v>48.766666666666666</v>
      </c>
      <c r="DT235">
        <f t="shared" si="668"/>
        <v>1900</v>
      </c>
      <c r="DU235">
        <f t="shared" si="669"/>
        <v>48.766666666666666</v>
      </c>
      <c r="DW235" s="5">
        <f t="shared" si="670"/>
        <v>20.505809979494192</v>
      </c>
      <c r="DX235" s="5">
        <f t="shared" si="671"/>
        <v>1.4117647058823528</v>
      </c>
      <c r="DY235" s="5">
        <f t="shared" si="672"/>
        <v>19.09404527361184</v>
      </c>
      <c r="DZ235" s="5"/>
      <c r="EA235" s="173">
        <f t="shared" si="673"/>
        <v>6.88470588235294E-2</v>
      </c>
      <c r="EB235" s="173">
        <f t="shared" si="699"/>
        <v>29.26</v>
      </c>
      <c r="EC235" s="173">
        <f t="shared" si="700"/>
        <v>4.655764705882353</v>
      </c>
      <c r="ED235" s="173">
        <f t="shared" si="701"/>
        <v>6.2846818618284734</v>
      </c>
      <c r="EE235" s="460">
        <f t="shared" si="674"/>
        <v>17.882352941176471</v>
      </c>
      <c r="EF235" s="5">
        <f t="shared" si="675"/>
        <v>2.2076279525271292</v>
      </c>
      <c r="EH235" s="173">
        <f t="shared" si="702"/>
        <v>1.5148933826458921</v>
      </c>
      <c r="EI235" s="173">
        <f t="shared" si="703"/>
        <v>5.5712145329855156</v>
      </c>
      <c r="EK235" s="528">
        <f t="shared" si="704"/>
        <v>4.5898039215686269E-2</v>
      </c>
      <c r="EL235" s="528">
        <f t="shared" si="705"/>
        <v>0.97923466666666659</v>
      </c>
      <c r="EM235" s="528">
        <f t="shared" si="706"/>
        <v>6.0958333333333324E-3</v>
      </c>
      <c r="EN235" s="528">
        <f t="shared" si="707"/>
        <v>4.9157580266666667E-2</v>
      </c>
      <c r="EO235">
        <f t="shared" si="708"/>
        <v>3.8249999999999999E-2</v>
      </c>
      <c r="EP235" s="460">
        <f t="shared" si="709"/>
        <v>44.345833333333331</v>
      </c>
      <c r="EQ235" s="460"/>
      <c r="ER235" s="460">
        <f t="shared" si="710"/>
        <v>1118.6361194823528</v>
      </c>
      <c r="ES235" s="528">
        <f t="shared" si="711"/>
        <v>1.3299999999999998</v>
      </c>
      <c r="EV235" s="460">
        <f t="shared" si="712"/>
        <v>1329.9999999999998</v>
      </c>
      <c r="EW235" s="528">
        <f t="shared" si="713"/>
        <v>6.88470588235294E-2</v>
      </c>
      <c r="EX235" s="528">
        <f t="shared" si="714"/>
        <v>0.93115294117647052</v>
      </c>
      <c r="EY235" s="528">
        <f t="shared" si="715"/>
        <v>0.2625896974784947</v>
      </c>
      <c r="EZ235" s="528"/>
      <c r="FA235" s="528">
        <f t="shared" si="716"/>
        <v>4.8766666666666672E-3</v>
      </c>
      <c r="FB235" s="460">
        <f t="shared" si="717"/>
        <v>1267.4663641451614</v>
      </c>
      <c r="FC235" s="173">
        <f t="shared" si="718"/>
        <v>3.7161024836275138</v>
      </c>
      <c r="FD235" s="5">
        <f t="shared" si="719"/>
        <v>28.5</v>
      </c>
      <c r="FE235" s="173">
        <f t="shared" si="720"/>
        <v>0.88465077408056825</v>
      </c>
      <c r="FF235" s="5">
        <f t="shared" si="721"/>
        <v>88.465077408056828</v>
      </c>
      <c r="FI235" s="562">
        <f t="shared" si="676"/>
        <v>-50</v>
      </c>
      <c r="FJ235">
        <f t="shared" si="677"/>
        <v>-50</v>
      </c>
      <c r="FL235">
        <f t="shared" si="678"/>
        <v>0.38</v>
      </c>
    </row>
    <row r="236" spans="5:168">
      <c r="E236" s="170">
        <v>20</v>
      </c>
      <c r="F236" s="217">
        <f t="shared" si="679"/>
        <v>2</v>
      </c>
      <c r="G236" s="217"/>
      <c r="H236" s="217">
        <f t="shared" si="603"/>
        <v>30</v>
      </c>
      <c r="I236" s="541">
        <f t="shared" si="604"/>
        <v>84.753268114390082</v>
      </c>
      <c r="J236" s="172">
        <f t="shared" si="605"/>
        <v>15.548039131365949</v>
      </c>
      <c r="K236" s="172">
        <f t="shared" si="606"/>
        <v>100.30130724575604</v>
      </c>
      <c r="L236" s="443"/>
      <c r="M236" s="217">
        <f t="shared" si="607"/>
        <v>0.15502984391561525</v>
      </c>
      <c r="N236" s="172">
        <f t="shared" si="608"/>
        <v>329.8781973075603</v>
      </c>
      <c r="O236" s="172">
        <f t="shared" si="599"/>
        <v>30</v>
      </c>
      <c r="P236" s="217">
        <f t="shared" si="609"/>
        <v>21.991879820504021</v>
      </c>
      <c r="Q236" s="217">
        <f t="shared" si="610"/>
        <v>15</v>
      </c>
      <c r="R236" s="217"/>
      <c r="S236" s="172">
        <f t="shared" si="611"/>
        <v>974.697350415644</v>
      </c>
      <c r="T236" s="172">
        <f t="shared" si="612"/>
        <v>15</v>
      </c>
      <c r="U236" s="217">
        <f t="shared" si="613"/>
        <v>4.733895003506527</v>
      </c>
      <c r="V236" s="217">
        <f t="shared" si="614"/>
        <v>0.67026017174237118</v>
      </c>
      <c r="W236" s="217">
        <f t="shared" si="615"/>
        <v>3.6536272877959797</v>
      </c>
      <c r="X236" s="197">
        <f t="shared" si="616"/>
        <v>109.48238241177424</v>
      </c>
      <c r="Y236" s="443">
        <f t="shared" si="680"/>
        <v>221.04882337237609</v>
      </c>
      <c r="AA236" s="217">
        <f t="shared" si="617"/>
        <v>10</v>
      </c>
      <c r="AB236" s="173">
        <f t="shared" si="618"/>
        <v>7.7180150491078416</v>
      </c>
      <c r="AC236" s="173">
        <f t="shared" si="619"/>
        <v>4.2249333753312666</v>
      </c>
      <c r="AD236" s="173"/>
      <c r="AE236" s="173">
        <f t="shared" si="620"/>
        <v>7.7180150491078416</v>
      </c>
      <c r="AF236" s="545">
        <f t="shared" si="621"/>
        <v>51.826797104553151</v>
      </c>
      <c r="AG236" s="528">
        <f t="shared" si="622"/>
        <v>4.2249333753312666</v>
      </c>
      <c r="AI236" s="173">
        <f t="shared" si="623"/>
        <v>3.8480717659090788</v>
      </c>
      <c r="AJ236" s="173">
        <f t="shared" si="624"/>
        <v>10</v>
      </c>
      <c r="AK236" s="173">
        <f t="shared" si="625"/>
        <v>1.0296153126311731</v>
      </c>
      <c r="AM236" s="545">
        <f t="shared" si="626"/>
        <v>2000</v>
      </c>
      <c r="AN236" s="460">
        <f t="shared" si="627"/>
        <v>51.826797104553151</v>
      </c>
      <c r="AP236">
        <f t="shared" si="628"/>
        <v>2000</v>
      </c>
      <c r="AQ236">
        <f t="shared" si="629"/>
        <v>51.826797104553151</v>
      </c>
      <c r="AS236" s="5">
        <f t="shared" si="600"/>
        <v>19.295037622769609</v>
      </c>
      <c r="AT236" s="5">
        <f t="shared" si="630"/>
        <v>1.4158746048357451</v>
      </c>
      <c r="AU236" s="5">
        <f t="shared" si="722"/>
        <v>17.879163017933863</v>
      </c>
      <c r="AV236" s="5"/>
      <c r="AW236" s="173">
        <f t="shared" si="723"/>
        <v>7.3380245870311528E-2</v>
      </c>
      <c r="AX236" s="173">
        <f t="shared" si="631"/>
        <v>31.096078262731893</v>
      </c>
      <c r="AY236" s="173">
        <f t="shared" si="632"/>
        <v>4.6330987706484423</v>
      </c>
      <c r="AZ236" s="173">
        <f t="shared" si="633"/>
        <v>6.711723578985934</v>
      </c>
      <c r="BA236" s="460">
        <f t="shared" si="594"/>
        <v>18.878328064476602</v>
      </c>
      <c r="BB236" s="5">
        <f t="shared" si="595"/>
        <v>2.1822976614492213</v>
      </c>
      <c r="BD236" s="173">
        <f t="shared" si="681"/>
        <v>1.5639719293123679</v>
      </c>
      <c r="BE236" s="173">
        <f t="shared" si="682"/>
        <v>5.5576366503808323</v>
      </c>
      <c r="BG236" s="528">
        <f t="shared" si="683"/>
        <v>4.8920163913541009E-2</v>
      </c>
      <c r="BH236" s="528">
        <f t="shared" si="634"/>
        <v>0.97468040624010843</v>
      </c>
      <c r="BI236" s="528">
        <f t="shared" si="635"/>
        <v>0.10981226076280722</v>
      </c>
      <c r="BJ236" s="528">
        <f t="shared" si="684"/>
        <v>5.2139583409443954E-2</v>
      </c>
      <c r="BK236">
        <f t="shared" si="685"/>
        <v>3.8138970651475534E-2</v>
      </c>
      <c r="BL236" s="460">
        <f t="shared" si="686"/>
        <v>147.95123141428274</v>
      </c>
      <c r="BM236" s="528">
        <f t="shared" si="636"/>
        <v>1.1017547682882167</v>
      </c>
      <c r="BN236" s="460">
        <f t="shared" si="687"/>
        <v>1101.7547682882168</v>
      </c>
      <c r="BO236" s="528">
        <f t="shared" si="637"/>
        <v>1.4</v>
      </c>
      <c r="BR236" s="460">
        <f t="shared" si="688"/>
        <v>1400</v>
      </c>
      <c r="BS236" s="528">
        <f t="shared" si="689"/>
        <v>7.3380245870311514E-2</v>
      </c>
      <c r="BT236" s="528">
        <f t="shared" si="690"/>
        <v>0.92661975412968822</v>
      </c>
      <c r="BU236" s="528">
        <f t="shared" si="691"/>
        <v>0.30574258280569822</v>
      </c>
      <c r="BV236" s="528"/>
      <c r="BW236" s="528">
        <f t="shared" si="692"/>
        <v>5.182679710455316E-3</v>
      </c>
      <c r="BX236" s="460">
        <f t="shared" si="693"/>
        <v>1310.9252625161532</v>
      </c>
      <c r="BY236" s="173">
        <f t="shared" si="694"/>
        <v>3.9346166474935296</v>
      </c>
      <c r="BZ236" s="5">
        <f t="shared" si="695"/>
        <v>30</v>
      </c>
      <c r="CA236" s="173">
        <f t="shared" si="696"/>
        <v>0.88405301028252092</v>
      </c>
      <c r="CB236" s="5">
        <f t="shared" si="697"/>
        <v>88.405301028252097</v>
      </c>
      <c r="CE236" s="562">
        <f t="shared" si="638"/>
        <v>-50</v>
      </c>
      <c r="CF236">
        <f t="shared" si="639"/>
        <v>-50</v>
      </c>
      <c r="CG236" s="173">
        <f t="shared" si="640"/>
        <v>0.4052982440952177</v>
      </c>
      <c r="CI236" s="170">
        <v>20</v>
      </c>
      <c r="CJ236" s="217">
        <f t="shared" si="698"/>
        <v>2</v>
      </c>
      <c r="CK236" s="217"/>
      <c r="CL236" s="217">
        <f t="shared" si="641"/>
        <v>30</v>
      </c>
      <c r="CM236" s="541">
        <f t="shared" si="642"/>
        <v>85</v>
      </c>
      <c r="CN236" s="443">
        <f t="shared" si="643"/>
        <v>15.4</v>
      </c>
      <c r="CO236" s="443">
        <f t="shared" si="644"/>
        <v>100.4</v>
      </c>
      <c r="CP236" s="443"/>
      <c r="CQ236" s="217">
        <f t="shared" si="645"/>
        <v>0.15338645418326693</v>
      </c>
      <c r="CR236" s="172">
        <f t="shared" si="646"/>
        <v>327.33148655378488</v>
      </c>
      <c r="CS236" s="172">
        <f t="shared" si="647"/>
        <v>30</v>
      </c>
      <c r="CT236" s="217">
        <f t="shared" si="648"/>
        <v>21.822099103585661</v>
      </c>
      <c r="CU236" s="217">
        <f t="shared" si="649"/>
        <v>15</v>
      </c>
      <c r="CV236" s="217"/>
      <c r="CW236" s="172">
        <f t="shared" si="650"/>
        <v>977.53476714515352</v>
      </c>
      <c r="CX236" s="172">
        <f t="shared" si="651"/>
        <v>15</v>
      </c>
      <c r="CY236" s="217">
        <f t="shared" si="652"/>
        <v>4.6019862490450727</v>
      </c>
      <c r="CZ236" s="217">
        <f t="shared" si="653"/>
        <v>0.64969217633577492</v>
      </c>
      <c r="DA236" s="217">
        <f t="shared" si="654"/>
        <v>3.5859633109442122</v>
      </c>
      <c r="DB236" s="197">
        <f t="shared" si="655"/>
        <v>108.64873837981409</v>
      </c>
      <c r="DC236" s="443">
        <f t="shared" si="656"/>
        <v>236.09096703050568</v>
      </c>
      <c r="DE236" s="217">
        <f t="shared" si="657"/>
        <v>10</v>
      </c>
      <c r="DF236" s="173">
        <f t="shared" si="658"/>
        <v>7.7922077922077913</v>
      </c>
      <c r="DG236" s="173">
        <f t="shared" si="659"/>
        <v>4.2330677290836656</v>
      </c>
      <c r="DH236" s="173"/>
      <c r="DI236" s="173">
        <f t="shared" si="660"/>
        <v>7.7922077922077913</v>
      </c>
      <c r="DJ236" s="545">
        <f t="shared" si="661"/>
        <v>51.333333333333336</v>
      </c>
      <c r="DK236" s="528">
        <f t="shared" si="662"/>
        <v>4.2330677290836656</v>
      </c>
      <c r="DM236" s="173">
        <f t="shared" si="663"/>
        <v>3.8297084310253524</v>
      </c>
      <c r="DN236" s="173">
        <f t="shared" si="664"/>
        <v>10</v>
      </c>
      <c r="DO236" s="173">
        <f t="shared" si="665"/>
        <v>1.0293333333333334</v>
      </c>
      <c r="DQ236" s="545">
        <f t="shared" si="666"/>
        <v>2000</v>
      </c>
      <c r="DR236" s="460">
        <f t="shared" si="667"/>
        <v>51.333333333333336</v>
      </c>
      <c r="DT236">
        <f t="shared" si="668"/>
        <v>2000</v>
      </c>
      <c r="DU236">
        <f t="shared" si="669"/>
        <v>51.333333333333336</v>
      </c>
      <c r="DW236" s="5">
        <f t="shared" si="670"/>
        <v>19.480519480519479</v>
      </c>
      <c r="DX236" s="5">
        <f t="shared" si="671"/>
        <v>1.4117647058823528</v>
      </c>
      <c r="DY236" s="5">
        <f t="shared" si="672"/>
        <v>18.068754774637128</v>
      </c>
      <c r="DZ236" s="5"/>
      <c r="EA236" s="173">
        <f t="shared" si="673"/>
        <v>7.247058823529412E-2</v>
      </c>
      <c r="EB236" s="173">
        <f t="shared" si="699"/>
        <v>30.800000000000004</v>
      </c>
      <c r="EC236" s="173">
        <f t="shared" si="700"/>
        <v>4.6376470588235295</v>
      </c>
      <c r="ED236" s="173">
        <f t="shared" si="701"/>
        <v>6.6412988330796559</v>
      </c>
      <c r="EE236" s="460">
        <f t="shared" si="674"/>
        <v>18.823529411764703</v>
      </c>
      <c r="EF236" s="5">
        <f t="shared" si="675"/>
        <v>2.1990370922479263</v>
      </c>
      <c r="EH236" s="173">
        <f t="shared" si="702"/>
        <v>1.5542478163117375</v>
      </c>
      <c r="EI236" s="173">
        <f t="shared" si="703"/>
        <v>5.5603639322281353</v>
      </c>
      <c r="EK236" s="528">
        <f t="shared" si="704"/>
        <v>4.8313725490196087E-2</v>
      </c>
      <c r="EL236" s="528">
        <f t="shared" si="705"/>
        <v>1.0307733333333335</v>
      </c>
      <c r="EM236" s="528">
        <f t="shared" si="706"/>
        <v>6.4166666666666669E-3</v>
      </c>
      <c r="EN236" s="528">
        <f t="shared" si="707"/>
        <v>5.1744821333333343E-2</v>
      </c>
      <c r="EO236">
        <f t="shared" si="708"/>
        <v>3.8249999999999999E-2</v>
      </c>
      <c r="EP236" s="460">
        <f t="shared" si="709"/>
        <v>44.666666666666664</v>
      </c>
      <c r="EQ236" s="460"/>
      <c r="ER236" s="460">
        <f t="shared" si="710"/>
        <v>1175.4985468235298</v>
      </c>
      <c r="ES236" s="528">
        <f t="shared" si="711"/>
        <v>1.4</v>
      </c>
      <c r="EV236" s="460">
        <f t="shared" si="712"/>
        <v>1400</v>
      </c>
      <c r="EW236" s="528">
        <f t="shared" si="713"/>
        <v>7.247058823529412E-2</v>
      </c>
      <c r="EX236" s="528">
        <f t="shared" si="714"/>
        <v>0.92752941176470582</v>
      </c>
      <c r="EY236" s="528">
        <f t="shared" si="715"/>
        <v>0.29851672586540179</v>
      </c>
      <c r="EZ236" s="528"/>
      <c r="FA236" s="528">
        <f t="shared" si="716"/>
        <v>5.1333333333333335E-3</v>
      </c>
      <c r="FB236" s="460">
        <f t="shared" si="717"/>
        <v>1303.6500591987353</v>
      </c>
      <c r="FC236" s="173">
        <f t="shared" si="718"/>
        <v>3.8791486060222646</v>
      </c>
      <c r="FD236" s="5">
        <f t="shared" si="719"/>
        <v>30</v>
      </c>
      <c r="FE236" s="173">
        <f t="shared" si="720"/>
        <v>0.88550041055834805</v>
      </c>
      <c r="FF236" s="5">
        <f t="shared" si="721"/>
        <v>88.550041055834811</v>
      </c>
      <c r="FI236" s="562">
        <f t="shared" si="676"/>
        <v>-50</v>
      </c>
      <c r="FJ236">
        <f t="shared" si="677"/>
        <v>-50</v>
      </c>
      <c r="FL236">
        <f t="shared" si="678"/>
        <v>0.4</v>
      </c>
    </row>
    <row r="237" spans="5:168">
      <c r="E237" s="170">
        <v>21</v>
      </c>
      <c r="F237" s="217">
        <f t="shared" si="679"/>
        <v>2.1</v>
      </c>
      <c r="G237" s="217"/>
      <c r="H237" s="217">
        <f t="shared" si="603"/>
        <v>31.5</v>
      </c>
      <c r="I237" s="541">
        <f t="shared" si="604"/>
        <v>84.753268114390082</v>
      </c>
      <c r="J237" s="172">
        <f t="shared" si="605"/>
        <v>15.548039131365949</v>
      </c>
      <c r="K237" s="172">
        <f t="shared" si="606"/>
        <v>100.30130724575604</v>
      </c>
      <c r="L237" s="443"/>
      <c r="M237" s="217">
        <f t="shared" si="607"/>
        <v>0.15502984391561525</v>
      </c>
      <c r="N237" s="172">
        <f t="shared" si="608"/>
        <v>329.8781973075603</v>
      </c>
      <c r="O237" s="172">
        <f t="shared" si="599"/>
        <v>31.5</v>
      </c>
      <c r="P237" s="217">
        <f t="shared" si="609"/>
        <v>21.991879820504021</v>
      </c>
      <c r="Q237" s="217">
        <f t="shared" si="610"/>
        <v>15</v>
      </c>
      <c r="R237" s="217"/>
      <c r="S237" s="172">
        <f t="shared" si="611"/>
        <v>924.25087333797103</v>
      </c>
      <c r="T237" s="172">
        <f t="shared" si="612"/>
        <v>15</v>
      </c>
      <c r="U237" s="217">
        <f t="shared" si="613"/>
        <v>4.9705897536818533</v>
      </c>
      <c r="V237" s="217">
        <f t="shared" si="614"/>
        <v>0.70377318032948977</v>
      </c>
      <c r="W237" s="217">
        <f t="shared" si="615"/>
        <v>3.8363086521857785</v>
      </c>
      <c r="X237" s="197">
        <f t="shared" si="616"/>
        <v>109.48238241177424</v>
      </c>
      <c r="Y237" s="443">
        <f t="shared" si="680"/>
        <v>210.9668219523885</v>
      </c>
      <c r="AA237" s="217">
        <f t="shared" si="617"/>
        <v>10</v>
      </c>
      <c r="AB237" s="173">
        <f t="shared" si="618"/>
        <v>7.7180150491078416</v>
      </c>
      <c r="AC237" s="173">
        <f t="shared" si="619"/>
        <v>4.2249333753312666</v>
      </c>
      <c r="AD237" s="173"/>
      <c r="AE237" s="173">
        <f t="shared" si="620"/>
        <v>7.7180150491078416</v>
      </c>
      <c r="AF237" s="545">
        <f t="shared" si="621"/>
        <v>54.418136959780817</v>
      </c>
      <c r="AG237" s="528">
        <f t="shared" si="622"/>
        <v>4.2249333753312666</v>
      </c>
      <c r="AI237" s="173">
        <f t="shared" si="623"/>
        <v>3.9431001929149541</v>
      </c>
      <c r="AJ237" s="173">
        <f t="shared" si="624"/>
        <v>10</v>
      </c>
      <c r="AK237" s="173">
        <f t="shared" si="625"/>
        <v>1.0310960782627319</v>
      </c>
      <c r="AM237" s="545">
        <f t="shared" si="626"/>
        <v>2100</v>
      </c>
      <c r="AN237" s="460">
        <f t="shared" si="627"/>
        <v>54.418136959780817</v>
      </c>
      <c r="AP237">
        <f t="shared" si="628"/>
        <v>2100</v>
      </c>
      <c r="AQ237">
        <f t="shared" si="629"/>
        <v>54.418136959780817</v>
      </c>
      <c r="AS237" s="5">
        <f t="shared" si="600"/>
        <v>18.376226307399623</v>
      </c>
      <c r="AT237" s="5">
        <f t="shared" si="630"/>
        <v>1.4158746048357451</v>
      </c>
      <c r="AU237" s="5">
        <f t="shared" si="722"/>
        <v>16.960351702563877</v>
      </c>
      <c r="AV237" s="5"/>
      <c r="AW237" s="173">
        <f t="shared" si="723"/>
        <v>7.7049258163827128E-2</v>
      </c>
      <c r="AX237" s="173">
        <f t="shared" si="631"/>
        <v>32.650882175868496</v>
      </c>
      <c r="AY237" s="173">
        <f t="shared" si="632"/>
        <v>4.6147537091808646</v>
      </c>
      <c r="AZ237" s="173">
        <f t="shared" si="633"/>
        <v>7.0753249758293482</v>
      </c>
      <c r="BA237" s="460">
        <f t="shared" si="594"/>
        <v>19.822244467700433</v>
      </c>
      <c r="BB237" s="5">
        <f t="shared" si="595"/>
        <v>2.1736567093086228</v>
      </c>
      <c r="BD237" s="173">
        <f t="shared" si="681"/>
        <v>1.6025943359006685</v>
      </c>
      <c r="BE237" s="173">
        <f t="shared" si="682"/>
        <v>5.5466228218504661</v>
      </c>
      <c r="BG237" s="528">
        <f t="shared" si="683"/>
        <v>5.1366172109218095E-2</v>
      </c>
      <c r="BH237" s="528">
        <f t="shared" si="634"/>
        <v>1.0234144265521139</v>
      </c>
      <c r="BI237" s="528">
        <f t="shared" si="635"/>
        <v>0.11530287380094759</v>
      </c>
      <c r="BJ237" s="528">
        <f t="shared" si="684"/>
        <v>5.4746562579916162E-2</v>
      </c>
      <c r="BK237">
        <f t="shared" si="685"/>
        <v>3.8138970651475534E-2</v>
      </c>
      <c r="BL237" s="460">
        <f t="shared" si="686"/>
        <v>153.44184445242311</v>
      </c>
      <c r="BM237" s="528">
        <f t="shared" si="636"/>
        <v>1.1575231374803083</v>
      </c>
      <c r="BN237" s="460">
        <f t="shared" si="687"/>
        <v>1157.5231374803084</v>
      </c>
      <c r="BO237" s="528">
        <f t="shared" si="637"/>
        <v>1.47</v>
      </c>
      <c r="BR237" s="460">
        <f t="shared" si="688"/>
        <v>1470</v>
      </c>
      <c r="BS237" s="528">
        <f t="shared" si="689"/>
        <v>7.7049258163827128E-2</v>
      </c>
      <c r="BT237" s="528">
        <f t="shared" si="690"/>
        <v>0.92295074183617276</v>
      </c>
      <c r="BU237" s="528">
        <f t="shared" si="691"/>
        <v>0.34540544353567165</v>
      </c>
      <c r="BV237" s="528"/>
      <c r="BW237" s="528">
        <f t="shared" si="692"/>
        <v>5.4418136959780818E-3</v>
      </c>
      <c r="BX237" s="460">
        <f t="shared" si="693"/>
        <v>1350.8472572316496</v>
      </c>
      <c r="BY237" s="173">
        <f t="shared" si="694"/>
        <v>4.1038162629253208</v>
      </c>
      <c r="BZ237" s="5">
        <f t="shared" si="695"/>
        <v>31.5</v>
      </c>
      <c r="CA237" s="173">
        <f t="shared" si="696"/>
        <v>0.88473661832710127</v>
      </c>
      <c r="CB237" s="5">
        <f t="shared" si="697"/>
        <v>88.473661832710121</v>
      </c>
      <c r="CE237" s="562">
        <f t="shared" si="638"/>
        <v>-50</v>
      </c>
      <c r="CF237">
        <f t="shared" si="639"/>
        <v>-50</v>
      </c>
      <c r="CG237" s="173">
        <f t="shared" si="640"/>
        <v>0.42556315629997865</v>
      </c>
      <c r="CI237" s="170">
        <v>21</v>
      </c>
      <c r="CJ237" s="217">
        <f t="shared" si="698"/>
        <v>2.1</v>
      </c>
      <c r="CK237" s="217"/>
      <c r="CL237" s="217">
        <f t="shared" si="641"/>
        <v>31.5</v>
      </c>
      <c r="CM237" s="541">
        <f t="shared" si="642"/>
        <v>85</v>
      </c>
      <c r="CN237" s="443">
        <f t="shared" si="643"/>
        <v>15.4</v>
      </c>
      <c r="CO237" s="443">
        <f t="shared" si="644"/>
        <v>100.4</v>
      </c>
      <c r="CP237" s="443"/>
      <c r="CQ237" s="217">
        <f t="shared" si="645"/>
        <v>0.15338645418326693</v>
      </c>
      <c r="CR237" s="172">
        <f t="shared" si="646"/>
        <v>327.33148655378488</v>
      </c>
      <c r="CS237" s="172">
        <f t="shared" si="647"/>
        <v>31.5</v>
      </c>
      <c r="CT237" s="217">
        <f t="shared" si="648"/>
        <v>21.822099103585661</v>
      </c>
      <c r="CU237" s="217">
        <f t="shared" si="649"/>
        <v>15</v>
      </c>
      <c r="CV237" s="217"/>
      <c r="CW237" s="172">
        <f t="shared" si="650"/>
        <v>926.94142585511725</v>
      </c>
      <c r="CX237" s="172">
        <f t="shared" si="651"/>
        <v>15</v>
      </c>
      <c r="CY237" s="217">
        <f t="shared" si="652"/>
        <v>4.8320855614973262</v>
      </c>
      <c r="CZ237" s="217">
        <f t="shared" si="653"/>
        <v>0.68217678515256375</v>
      </c>
      <c r="DA237" s="217">
        <f t="shared" si="654"/>
        <v>3.765261476491423</v>
      </c>
      <c r="DB237" s="197">
        <f t="shared" si="655"/>
        <v>108.64873837981409</v>
      </c>
      <c r="DC237" s="443">
        <f t="shared" si="656"/>
        <v>224.84854002905305</v>
      </c>
      <c r="DE237" s="217">
        <f t="shared" si="657"/>
        <v>10</v>
      </c>
      <c r="DF237" s="173">
        <f t="shared" si="658"/>
        <v>7.7922077922077913</v>
      </c>
      <c r="DG237" s="173">
        <f t="shared" si="659"/>
        <v>4.2330677290836656</v>
      </c>
      <c r="DH237" s="173"/>
      <c r="DI237" s="173">
        <f t="shared" si="660"/>
        <v>7.7922077922077913</v>
      </c>
      <c r="DJ237" s="545">
        <f t="shared" si="661"/>
        <v>53.900000000000006</v>
      </c>
      <c r="DK237" s="528">
        <f t="shared" si="662"/>
        <v>4.2330677290836656</v>
      </c>
      <c r="DM237" s="173">
        <f t="shared" si="663"/>
        <v>3.9242833740697169</v>
      </c>
      <c r="DN237" s="173">
        <f t="shared" si="664"/>
        <v>10</v>
      </c>
      <c r="DO237" s="173">
        <f t="shared" si="665"/>
        <v>1.0307999999999999</v>
      </c>
      <c r="DQ237" s="545">
        <f t="shared" si="666"/>
        <v>2100</v>
      </c>
      <c r="DR237" s="460">
        <f t="shared" si="667"/>
        <v>53.900000000000006</v>
      </c>
      <c r="DT237">
        <f t="shared" si="668"/>
        <v>2100</v>
      </c>
      <c r="DU237">
        <f t="shared" si="669"/>
        <v>53.900000000000006</v>
      </c>
      <c r="DW237" s="5">
        <f t="shared" si="670"/>
        <v>18.552875695732837</v>
      </c>
      <c r="DX237" s="5">
        <f t="shared" si="671"/>
        <v>1.4117647058823528</v>
      </c>
      <c r="DY237" s="5">
        <f t="shared" si="672"/>
        <v>17.141110989850485</v>
      </c>
      <c r="DZ237" s="5"/>
      <c r="EA237" s="173">
        <f t="shared" si="673"/>
        <v>7.6094117647058826E-2</v>
      </c>
      <c r="EB237" s="173">
        <f t="shared" si="699"/>
        <v>32.340000000000011</v>
      </c>
      <c r="EC237" s="173">
        <f t="shared" si="700"/>
        <v>4.6195294117647059</v>
      </c>
      <c r="ED237" s="173">
        <f t="shared" si="701"/>
        <v>7.000713085111804</v>
      </c>
      <c r="EE237" s="460">
        <f t="shared" si="674"/>
        <v>19.764705882352938</v>
      </c>
      <c r="EF237" s="5">
        <f t="shared" si="675"/>
        <v>2.190446231968723</v>
      </c>
      <c r="EH237" s="173">
        <f t="shared" si="702"/>
        <v>1.5926300851846589</v>
      </c>
      <c r="EI237" s="173">
        <f t="shared" si="703"/>
        <v>5.5494921159596249</v>
      </c>
      <c r="EK237" s="528">
        <f t="shared" si="704"/>
        <v>5.0729411764705877E-2</v>
      </c>
      <c r="EL237" s="528">
        <f t="shared" si="705"/>
        <v>1.0823120000000002</v>
      </c>
      <c r="EM237" s="528">
        <f t="shared" si="706"/>
        <v>6.7375000000000004E-3</v>
      </c>
      <c r="EN237" s="528">
        <f t="shared" si="707"/>
        <v>5.433206240000002E-2</v>
      </c>
      <c r="EO237">
        <f t="shared" si="708"/>
        <v>3.8249999999999999E-2</v>
      </c>
      <c r="EP237" s="460">
        <f t="shared" si="709"/>
        <v>44.987499999999997</v>
      </c>
      <c r="EQ237" s="460"/>
      <c r="ER237" s="460">
        <f t="shared" si="710"/>
        <v>1232.360974164706</v>
      </c>
      <c r="ES237" s="528">
        <f t="shared" si="711"/>
        <v>1.47</v>
      </c>
      <c r="EV237" s="460">
        <f t="shared" si="712"/>
        <v>1470</v>
      </c>
      <c r="EW237" s="528">
        <f t="shared" si="713"/>
        <v>7.6094117647058812E-2</v>
      </c>
      <c r="EX237" s="528">
        <f t="shared" si="714"/>
        <v>0.92390588235294102</v>
      </c>
      <c r="EY237" s="528">
        <f t="shared" si="715"/>
        <v>0.33724220275159505</v>
      </c>
      <c r="EZ237" s="528"/>
      <c r="FA237" s="528">
        <f t="shared" si="716"/>
        <v>5.3900000000000007E-3</v>
      </c>
      <c r="FB237" s="460">
        <f t="shared" si="717"/>
        <v>1342.6322027515948</v>
      </c>
      <c r="FC237" s="173">
        <f t="shared" si="718"/>
        <v>4.044993176916301</v>
      </c>
      <c r="FD237" s="5">
        <f t="shared" si="719"/>
        <v>31.5</v>
      </c>
      <c r="FE237" s="173">
        <f t="shared" si="720"/>
        <v>0.88620076091213862</v>
      </c>
      <c r="FF237" s="5">
        <f t="shared" si="721"/>
        <v>88.620076091213861</v>
      </c>
      <c r="FI237" s="562">
        <f t="shared" si="676"/>
        <v>-50</v>
      </c>
      <c r="FJ237">
        <f t="shared" si="677"/>
        <v>-50</v>
      </c>
      <c r="FL237">
        <f t="shared" si="678"/>
        <v>0.42000000000000004</v>
      </c>
    </row>
    <row r="238" spans="5:168">
      <c r="E238" s="170">
        <v>22</v>
      </c>
      <c r="F238" s="217">
        <f t="shared" si="679"/>
        <v>2.2000000000000002</v>
      </c>
      <c r="G238" s="217"/>
      <c r="H238" s="217">
        <f t="shared" si="603"/>
        <v>33</v>
      </c>
      <c r="I238" s="541">
        <f t="shared" si="604"/>
        <v>84.753268114390082</v>
      </c>
      <c r="J238" s="172">
        <f t="shared" si="605"/>
        <v>15.548039131365949</v>
      </c>
      <c r="K238" s="172">
        <f t="shared" si="606"/>
        <v>100.30130724575604</v>
      </c>
      <c r="L238" s="443"/>
      <c r="M238" s="217">
        <f t="shared" si="607"/>
        <v>0.15502984391561525</v>
      </c>
      <c r="N238" s="172">
        <f t="shared" si="608"/>
        <v>329.8781973075603</v>
      </c>
      <c r="O238" s="172">
        <f t="shared" si="599"/>
        <v>33</v>
      </c>
      <c r="P238" s="217">
        <f t="shared" si="609"/>
        <v>21.991879820504021</v>
      </c>
      <c r="Q238" s="217">
        <f t="shared" si="610"/>
        <v>15</v>
      </c>
      <c r="R238" s="217"/>
      <c r="S238" s="172">
        <f t="shared" si="611"/>
        <v>878.390628596228</v>
      </c>
      <c r="T238" s="172">
        <f t="shared" si="612"/>
        <v>15</v>
      </c>
      <c r="U238" s="217">
        <f t="shared" si="613"/>
        <v>5.2072845038571796</v>
      </c>
      <c r="V238" s="217">
        <f t="shared" si="614"/>
        <v>0.73728618891660835</v>
      </c>
      <c r="W238" s="217">
        <f t="shared" si="615"/>
        <v>4.0189900165755779</v>
      </c>
      <c r="X238" s="197">
        <f t="shared" si="616"/>
        <v>109.48238241177424</v>
      </c>
      <c r="Y238" s="443">
        <f t="shared" si="680"/>
        <v>201.76438086559267</v>
      </c>
      <c r="AA238" s="217">
        <f t="shared" si="617"/>
        <v>10</v>
      </c>
      <c r="AB238" s="173">
        <f t="shared" si="618"/>
        <v>7.7180150491078416</v>
      </c>
      <c r="AC238" s="173">
        <f t="shared" si="619"/>
        <v>4.2249333753312666</v>
      </c>
      <c r="AD238" s="173"/>
      <c r="AE238" s="173">
        <f t="shared" si="620"/>
        <v>7.7180150491078416</v>
      </c>
      <c r="AF238" s="545">
        <f t="shared" si="621"/>
        <v>57.009476815008476</v>
      </c>
      <c r="AG238" s="528">
        <f t="shared" si="622"/>
        <v>4.2249333753312666</v>
      </c>
      <c r="AI238" s="173">
        <f t="shared" si="623"/>
        <v>4.0358917164791821</v>
      </c>
      <c r="AJ238" s="173">
        <f t="shared" si="624"/>
        <v>10</v>
      </c>
      <c r="AK238" s="173">
        <f t="shared" si="625"/>
        <v>1.0325768438942906</v>
      </c>
      <c r="AM238" s="545">
        <f t="shared" si="626"/>
        <v>2200</v>
      </c>
      <c r="AN238" s="460">
        <f t="shared" si="627"/>
        <v>57.009476815008476</v>
      </c>
      <c r="AP238">
        <f t="shared" si="628"/>
        <v>2200</v>
      </c>
      <c r="AQ238">
        <f t="shared" si="629"/>
        <v>57.009476815008476</v>
      </c>
      <c r="AS238" s="5">
        <f t="shared" si="600"/>
        <v>17.54094329342691</v>
      </c>
      <c r="AT238" s="5">
        <f t="shared" si="630"/>
        <v>1.4158746048357451</v>
      </c>
      <c r="AU238" s="5">
        <f t="shared" si="722"/>
        <v>16.125068688591163</v>
      </c>
      <c r="AV238" s="5"/>
      <c r="AW238" s="173">
        <f t="shared" si="723"/>
        <v>8.0718270457342714E-2</v>
      </c>
      <c r="AX238" s="173">
        <f t="shared" si="631"/>
        <v>34.205686089005084</v>
      </c>
      <c r="AY238" s="173">
        <f t="shared" si="632"/>
        <v>4.5964086477132868</v>
      </c>
      <c r="AZ238" s="173">
        <f t="shared" si="633"/>
        <v>7.441828764729701</v>
      </c>
      <c r="BA238" s="460">
        <f t="shared" si="594"/>
        <v>20.766160870924267</v>
      </c>
      <c r="BB238" s="5">
        <f t="shared" si="595"/>
        <v>2.1650157571680242</v>
      </c>
      <c r="BD238" s="173">
        <f t="shared" si="681"/>
        <v>1.640307597752555</v>
      </c>
      <c r="BE238" s="173">
        <f t="shared" si="682"/>
        <v>5.5355870798036024</v>
      </c>
      <c r="BG238" s="528">
        <f t="shared" si="683"/>
        <v>5.3812180304895152E-2</v>
      </c>
      <c r="BH238" s="528">
        <f t="shared" si="634"/>
        <v>1.0721484468641196</v>
      </c>
      <c r="BI238" s="528">
        <f t="shared" si="635"/>
        <v>0.12079348683908796</v>
      </c>
      <c r="BJ238" s="528">
        <f t="shared" si="684"/>
        <v>5.7353541750388363E-2</v>
      </c>
      <c r="BK238">
        <f t="shared" si="685"/>
        <v>3.8138970651475534E-2</v>
      </c>
      <c r="BL238" s="460">
        <f t="shared" si="686"/>
        <v>158.93245749056351</v>
      </c>
      <c r="BM238" s="528">
        <f t="shared" si="636"/>
        <v>1.2133571681844835</v>
      </c>
      <c r="BN238" s="460">
        <f t="shared" si="687"/>
        <v>1213.3571681844835</v>
      </c>
      <c r="BO238" s="528">
        <f t="shared" si="637"/>
        <v>1.54</v>
      </c>
      <c r="BR238" s="460">
        <f t="shared" si="688"/>
        <v>1540</v>
      </c>
      <c r="BS238" s="528">
        <f t="shared" si="689"/>
        <v>8.0718270457342728E-2</v>
      </c>
      <c r="BT238" s="528">
        <f t="shared" si="690"/>
        <v>0.91928172954265719</v>
      </c>
      <c r="BU238" s="528">
        <f t="shared" si="691"/>
        <v>0.38800528659190409</v>
      </c>
      <c r="BV238" s="528"/>
      <c r="BW238" s="528">
        <f t="shared" si="692"/>
        <v>5.7009476815008484E-3</v>
      </c>
      <c r="BX238" s="460">
        <f t="shared" si="693"/>
        <v>1393.7062342734048</v>
      </c>
      <c r="BY238" s="173">
        <f t="shared" si="694"/>
        <v>4.275952860683371</v>
      </c>
      <c r="BZ238" s="5">
        <f t="shared" si="695"/>
        <v>33</v>
      </c>
      <c r="CA238" s="173">
        <f t="shared" si="696"/>
        <v>0.88528924058187097</v>
      </c>
      <c r="CB238" s="5">
        <f t="shared" si="697"/>
        <v>88.528924058187101</v>
      </c>
      <c r="CE238" s="562">
        <f t="shared" si="638"/>
        <v>-50</v>
      </c>
      <c r="CF238">
        <f t="shared" si="639"/>
        <v>-50</v>
      </c>
      <c r="CG238" s="173">
        <f t="shared" si="640"/>
        <v>0.44582806850473949</v>
      </c>
      <c r="CI238" s="170">
        <v>22</v>
      </c>
      <c r="CJ238" s="217">
        <f t="shared" si="698"/>
        <v>2.2000000000000002</v>
      </c>
      <c r="CK238" s="217"/>
      <c r="CL238" s="217">
        <f t="shared" si="641"/>
        <v>33</v>
      </c>
      <c r="CM238" s="541">
        <f t="shared" si="642"/>
        <v>85</v>
      </c>
      <c r="CN238" s="443">
        <f t="shared" si="643"/>
        <v>15.4</v>
      </c>
      <c r="CO238" s="443">
        <f t="shared" si="644"/>
        <v>100.4</v>
      </c>
      <c r="CP238" s="443"/>
      <c r="CQ238" s="217">
        <f t="shared" si="645"/>
        <v>0.15338645418326693</v>
      </c>
      <c r="CR238" s="172">
        <f t="shared" si="646"/>
        <v>327.33148655378488</v>
      </c>
      <c r="CS238" s="172">
        <f t="shared" si="647"/>
        <v>33</v>
      </c>
      <c r="CT238" s="217">
        <f t="shared" si="648"/>
        <v>21.822099103585661</v>
      </c>
      <c r="CU238" s="217">
        <f t="shared" si="649"/>
        <v>15</v>
      </c>
      <c r="CV238" s="217"/>
      <c r="CW238" s="172">
        <f t="shared" si="650"/>
        <v>880.94766819388656</v>
      </c>
      <c r="CX238" s="172">
        <f t="shared" si="651"/>
        <v>15</v>
      </c>
      <c r="CY238" s="217">
        <f t="shared" si="652"/>
        <v>5.0621848739495796</v>
      </c>
      <c r="CZ238" s="217">
        <f t="shared" si="653"/>
        <v>0.71466139396935235</v>
      </c>
      <c r="DA238" s="217">
        <f t="shared" si="654"/>
        <v>3.9445596420386333</v>
      </c>
      <c r="DB238" s="197">
        <f t="shared" si="655"/>
        <v>108.64873837981409</v>
      </c>
      <c r="DC238" s="443">
        <f t="shared" si="656"/>
        <v>214.62815184591429</v>
      </c>
      <c r="DE238" s="217">
        <f t="shared" si="657"/>
        <v>10</v>
      </c>
      <c r="DF238" s="173">
        <f t="shared" si="658"/>
        <v>7.7922077922077913</v>
      </c>
      <c r="DG238" s="173">
        <f t="shared" si="659"/>
        <v>4.2330677290836656</v>
      </c>
      <c r="DH238" s="173"/>
      <c r="DI238" s="173">
        <f t="shared" si="660"/>
        <v>7.7922077922077913</v>
      </c>
      <c r="DJ238" s="545">
        <f t="shared" si="661"/>
        <v>56.466666666666669</v>
      </c>
      <c r="DK238" s="528">
        <f t="shared" si="662"/>
        <v>4.2330677290836656</v>
      </c>
      <c r="DM238" s="173">
        <f t="shared" si="663"/>
        <v>4.0166320883712183</v>
      </c>
      <c r="DN238" s="173">
        <f t="shared" si="664"/>
        <v>10</v>
      </c>
      <c r="DO238" s="173">
        <f t="shared" si="665"/>
        <v>1.0322666666666667</v>
      </c>
      <c r="DQ238" s="545">
        <f t="shared" si="666"/>
        <v>2200</v>
      </c>
      <c r="DR238" s="460">
        <f t="shared" si="667"/>
        <v>56.466666666666669</v>
      </c>
      <c r="DT238">
        <f t="shared" si="668"/>
        <v>2200</v>
      </c>
      <c r="DU238">
        <f t="shared" si="669"/>
        <v>56.466666666666669</v>
      </c>
      <c r="DW238" s="5">
        <f t="shared" si="670"/>
        <v>17.709563164108616</v>
      </c>
      <c r="DX238" s="5">
        <f t="shared" si="671"/>
        <v>1.4117647058823528</v>
      </c>
      <c r="DY238" s="5">
        <f t="shared" si="672"/>
        <v>16.297798458226264</v>
      </c>
      <c r="DZ238" s="5"/>
      <c r="EA238" s="173">
        <f t="shared" si="673"/>
        <v>7.9717647058823532E-2</v>
      </c>
      <c r="EB238" s="173">
        <f t="shared" si="699"/>
        <v>33.88000000000001</v>
      </c>
      <c r="EC238" s="173">
        <f t="shared" si="700"/>
        <v>4.6014117647058823</v>
      </c>
      <c r="ED238" s="173">
        <f t="shared" si="701"/>
        <v>7.3629576600531825</v>
      </c>
      <c r="EE238" s="460">
        <f t="shared" si="674"/>
        <v>20.705882352941178</v>
      </c>
      <c r="EF238" s="5">
        <f t="shared" si="675"/>
        <v>2.1818553716895202</v>
      </c>
      <c r="EH238" s="173">
        <f t="shared" si="702"/>
        <v>1.6301088619968864</v>
      </c>
      <c r="EI238" s="173">
        <f t="shared" si="703"/>
        <v>5.5385989592470537</v>
      </c>
      <c r="EK238" s="528">
        <f t="shared" si="704"/>
        <v>5.3145098039215688E-2</v>
      </c>
      <c r="EL238" s="528">
        <f t="shared" si="705"/>
        <v>1.1338506666666668</v>
      </c>
      <c r="EM238" s="528">
        <f t="shared" si="706"/>
        <v>7.0583333333333331E-3</v>
      </c>
      <c r="EN238" s="528">
        <f t="shared" si="707"/>
        <v>5.6919303466666675E-2</v>
      </c>
      <c r="EO238">
        <f t="shared" si="708"/>
        <v>3.8249999999999999E-2</v>
      </c>
      <c r="EP238" s="460">
        <f t="shared" si="709"/>
        <v>45.30833333333333</v>
      </c>
      <c r="EQ238" s="460"/>
      <c r="ER238" s="460">
        <f t="shared" si="710"/>
        <v>1289.2234015058823</v>
      </c>
      <c r="ES238" s="528">
        <f t="shared" si="711"/>
        <v>1.54</v>
      </c>
      <c r="EV238" s="460">
        <f t="shared" si="712"/>
        <v>1540</v>
      </c>
      <c r="EW238" s="528">
        <f t="shared" si="713"/>
        <v>7.9717647058823532E-2</v>
      </c>
      <c r="EX238" s="528">
        <f t="shared" si="714"/>
        <v>0.92028235294117633</v>
      </c>
      <c r="EY238" s="528">
        <f t="shared" si="715"/>
        <v>0.37883524993144391</v>
      </c>
      <c r="EZ238" s="528"/>
      <c r="FA238" s="528">
        <f t="shared" si="716"/>
        <v>5.646666666666667E-3</v>
      </c>
      <c r="FB238" s="460">
        <f t="shared" si="717"/>
        <v>1384.4819165981103</v>
      </c>
      <c r="FC238" s="173">
        <f t="shared" si="718"/>
        <v>4.213705318103993</v>
      </c>
      <c r="FD238" s="5">
        <f t="shared" si="719"/>
        <v>33</v>
      </c>
      <c r="FE238" s="173">
        <f t="shared" si="720"/>
        <v>0.88677006812180892</v>
      </c>
      <c r="FF238" s="5">
        <f t="shared" si="721"/>
        <v>88.677006812180892</v>
      </c>
      <c r="FI238" s="562">
        <f t="shared" si="676"/>
        <v>-50</v>
      </c>
      <c r="FJ238">
        <f t="shared" si="677"/>
        <v>-50</v>
      </c>
      <c r="FL238">
        <f t="shared" si="678"/>
        <v>0.44000000000000006</v>
      </c>
    </row>
    <row r="239" spans="5:168">
      <c r="E239" s="170">
        <v>23</v>
      </c>
      <c r="F239" s="217">
        <f t="shared" si="679"/>
        <v>2.3000000000000003</v>
      </c>
      <c r="G239" s="217"/>
      <c r="H239" s="217">
        <f t="shared" si="603"/>
        <v>34.500000000000007</v>
      </c>
      <c r="I239" s="541">
        <f t="shared" si="604"/>
        <v>84.753268114390082</v>
      </c>
      <c r="J239" s="172">
        <f t="shared" si="605"/>
        <v>15.548039131365949</v>
      </c>
      <c r="K239" s="172">
        <f t="shared" si="606"/>
        <v>100.30130724575604</v>
      </c>
      <c r="L239" s="443"/>
      <c r="M239" s="217">
        <f t="shared" si="607"/>
        <v>0.15502984391561525</v>
      </c>
      <c r="N239" s="172">
        <f t="shared" si="608"/>
        <v>329.8781973075603</v>
      </c>
      <c r="O239" s="172">
        <f t="shared" si="599"/>
        <v>34.500000000000007</v>
      </c>
      <c r="P239" s="217">
        <f t="shared" si="609"/>
        <v>21.991879820504021</v>
      </c>
      <c r="Q239" s="217">
        <f t="shared" si="610"/>
        <v>15</v>
      </c>
      <c r="R239" s="217"/>
      <c r="S239" s="172">
        <f t="shared" si="611"/>
        <v>836.51841434436608</v>
      </c>
      <c r="T239" s="172">
        <f t="shared" si="612"/>
        <v>15</v>
      </c>
      <c r="U239" s="217">
        <f t="shared" si="613"/>
        <v>5.4439792540325076</v>
      </c>
      <c r="V239" s="217">
        <f t="shared" si="614"/>
        <v>0.77079919750372716</v>
      </c>
      <c r="W239" s="217">
        <f t="shared" si="615"/>
        <v>4.2016713809653776</v>
      </c>
      <c r="X239" s="197">
        <f t="shared" si="616"/>
        <v>109.48238241177424</v>
      </c>
      <c r="Y239" s="443">
        <f t="shared" si="680"/>
        <v>193.33121084585653</v>
      </c>
      <c r="AA239" s="217">
        <f t="shared" si="617"/>
        <v>10</v>
      </c>
      <c r="AB239" s="173">
        <f t="shared" si="618"/>
        <v>7.7180150491078416</v>
      </c>
      <c r="AC239" s="173">
        <f t="shared" si="619"/>
        <v>4.2249333753312666</v>
      </c>
      <c r="AD239" s="173"/>
      <c r="AE239" s="173">
        <f t="shared" si="620"/>
        <v>7.7180150491078416</v>
      </c>
      <c r="AF239" s="545">
        <f t="shared" si="621"/>
        <v>59.600816670236135</v>
      </c>
      <c r="AG239" s="528">
        <f t="shared" si="622"/>
        <v>4.2249333753312666</v>
      </c>
      <c r="AI239" s="173">
        <f t="shared" si="623"/>
        <v>4.1265972377886131</v>
      </c>
      <c r="AJ239" s="173">
        <f t="shared" si="624"/>
        <v>10</v>
      </c>
      <c r="AK239" s="173">
        <f t="shared" si="625"/>
        <v>1.0340576095258491</v>
      </c>
      <c r="AM239" s="545">
        <f t="shared" si="626"/>
        <v>2300.0000000000005</v>
      </c>
      <c r="AN239" s="460">
        <f t="shared" si="627"/>
        <v>59.600816670236135</v>
      </c>
      <c r="AP239">
        <f t="shared" si="628"/>
        <v>2300.0000000000005</v>
      </c>
      <c r="AQ239">
        <f t="shared" si="629"/>
        <v>59.600816670236135</v>
      </c>
      <c r="AS239" s="5">
        <f t="shared" si="600"/>
        <v>16.77829358501705</v>
      </c>
      <c r="AT239" s="5">
        <f t="shared" si="630"/>
        <v>1.4158746048357451</v>
      </c>
      <c r="AU239" s="5">
        <f t="shared" si="722"/>
        <v>15.362418980181305</v>
      </c>
      <c r="AV239" s="5"/>
      <c r="AW239" s="173">
        <f t="shared" si="723"/>
        <v>8.4387282750858258E-2</v>
      </c>
      <c r="AX239" s="173">
        <f t="shared" si="631"/>
        <v>35.76049000214168</v>
      </c>
      <c r="AY239" s="173">
        <f t="shared" si="632"/>
        <v>4.5780635862457082</v>
      </c>
      <c r="AZ239" s="173">
        <f t="shared" si="633"/>
        <v>7.8112698367886733</v>
      </c>
      <c r="BA239" s="460">
        <f t="shared" si="594"/>
        <v>21.710077274148095</v>
      </c>
      <c r="BB239" s="5">
        <f t="shared" si="595"/>
        <v>2.1563748050274274</v>
      </c>
      <c r="BD239" s="173">
        <f t="shared" si="681"/>
        <v>1.677173045642163</v>
      </c>
      <c r="BE239" s="173">
        <f t="shared" si="682"/>
        <v>5.5245292929176077</v>
      </c>
      <c r="BG239" s="528">
        <f t="shared" si="683"/>
        <v>5.6258188500572175E-2</v>
      </c>
      <c r="BH239" s="528">
        <f t="shared" si="634"/>
        <v>1.1208824671761248</v>
      </c>
      <c r="BI239" s="528">
        <f t="shared" si="635"/>
        <v>0.1262840998772283</v>
      </c>
      <c r="BJ239" s="528">
        <f t="shared" si="684"/>
        <v>5.9960520920860558E-2</v>
      </c>
      <c r="BK239">
        <f t="shared" si="685"/>
        <v>3.8138970651475534E-2</v>
      </c>
      <c r="BL239" s="460">
        <f t="shared" si="686"/>
        <v>164.42307052870385</v>
      </c>
      <c r="BM239" s="528">
        <f t="shared" si="636"/>
        <v>1.2692569764335535</v>
      </c>
      <c r="BN239" s="460">
        <f t="shared" si="687"/>
        <v>1269.2569764335535</v>
      </c>
      <c r="BO239" s="528">
        <f t="shared" si="637"/>
        <v>1.61</v>
      </c>
      <c r="BR239" s="460">
        <f t="shared" si="688"/>
        <v>1610</v>
      </c>
      <c r="BS239" s="528">
        <f t="shared" si="689"/>
        <v>8.4387282750858258E-2</v>
      </c>
      <c r="BT239" s="528">
        <f t="shared" si="690"/>
        <v>0.91561271724914162</v>
      </c>
      <c r="BU239" s="528">
        <f t="shared" si="691"/>
        <v>0.43361123952117253</v>
      </c>
      <c r="BV239" s="528"/>
      <c r="BW239" s="528">
        <f t="shared" si="692"/>
        <v>5.9600816670236142E-3</v>
      </c>
      <c r="BX239" s="460">
        <f t="shared" si="693"/>
        <v>1439.571321188196</v>
      </c>
      <c r="BY239" s="173">
        <f t="shared" si="694"/>
        <v>4.4510955683144573</v>
      </c>
      <c r="BZ239" s="5">
        <f t="shared" si="695"/>
        <v>34.500000000000007</v>
      </c>
      <c r="CA239" s="173">
        <f t="shared" si="696"/>
        <v>0.88572604946354094</v>
      </c>
      <c r="CB239" s="5">
        <f t="shared" si="697"/>
        <v>88.57260494635409</v>
      </c>
      <c r="CE239" s="562">
        <f t="shared" si="638"/>
        <v>-50</v>
      </c>
      <c r="CF239">
        <f t="shared" si="639"/>
        <v>-50</v>
      </c>
      <c r="CG239" s="173">
        <f t="shared" si="640"/>
        <v>0.46609298070950039</v>
      </c>
      <c r="CI239" s="170">
        <v>23</v>
      </c>
      <c r="CJ239" s="217">
        <f t="shared" si="698"/>
        <v>2.3000000000000003</v>
      </c>
      <c r="CK239" s="217"/>
      <c r="CL239" s="217">
        <f t="shared" si="641"/>
        <v>34.500000000000007</v>
      </c>
      <c r="CM239" s="541">
        <f t="shared" si="642"/>
        <v>85</v>
      </c>
      <c r="CN239" s="443">
        <f t="shared" si="643"/>
        <v>15.4</v>
      </c>
      <c r="CO239" s="443">
        <f t="shared" si="644"/>
        <v>100.4</v>
      </c>
      <c r="CP239" s="443"/>
      <c r="CQ239" s="217">
        <f t="shared" si="645"/>
        <v>0.15338645418326693</v>
      </c>
      <c r="CR239" s="172">
        <f t="shared" si="646"/>
        <v>327.33148655378488</v>
      </c>
      <c r="CS239" s="172">
        <f t="shared" si="647"/>
        <v>34.500000000000007</v>
      </c>
      <c r="CT239" s="217">
        <f t="shared" si="648"/>
        <v>21.822099103585661</v>
      </c>
      <c r="CU239" s="217">
        <f t="shared" si="649"/>
        <v>15</v>
      </c>
      <c r="CV239" s="217"/>
      <c r="CW239" s="172">
        <f t="shared" si="650"/>
        <v>838.95355084248865</v>
      </c>
      <c r="CX239" s="172">
        <f t="shared" si="651"/>
        <v>15</v>
      </c>
      <c r="CY239" s="217">
        <f t="shared" si="652"/>
        <v>5.292284186401834</v>
      </c>
      <c r="CZ239" s="217">
        <f t="shared" si="653"/>
        <v>0.74714600278614141</v>
      </c>
      <c r="DA239" s="217">
        <f t="shared" si="654"/>
        <v>4.1238578075858445</v>
      </c>
      <c r="DB239" s="197">
        <f t="shared" si="655"/>
        <v>108.64873837981409</v>
      </c>
      <c r="DC239" s="443">
        <f t="shared" si="656"/>
        <v>205.29649307000491</v>
      </c>
      <c r="DE239" s="217">
        <f t="shared" si="657"/>
        <v>10</v>
      </c>
      <c r="DF239" s="173">
        <f t="shared" si="658"/>
        <v>7.7922077922077913</v>
      </c>
      <c r="DG239" s="173">
        <f t="shared" si="659"/>
        <v>4.2330677290836656</v>
      </c>
      <c r="DH239" s="173"/>
      <c r="DI239" s="173">
        <f t="shared" si="660"/>
        <v>7.7922077922077913</v>
      </c>
      <c r="DJ239" s="545">
        <f t="shared" si="661"/>
        <v>59.033333333333346</v>
      </c>
      <c r="DK239" s="528">
        <f t="shared" si="662"/>
        <v>4.2330677290836656</v>
      </c>
      <c r="DM239" s="173">
        <f t="shared" si="663"/>
        <v>4.1069047550030513</v>
      </c>
      <c r="DN239" s="173">
        <f t="shared" si="664"/>
        <v>10</v>
      </c>
      <c r="DO239" s="173">
        <f t="shared" si="665"/>
        <v>1.0337333333333334</v>
      </c>
      <c r="DQ239" s="545">
        <f t="shared" si="666"/>
        <v>2300.0000000000005</v>
      </c>
      <c r="DR239" s="460">
        <f t="shared" si="667"/>
        <v>59.033333333333346</v>
      </c>
      <c r="DT239">
        <f t="shared" si="668"/>
        <v>2300.0000000000005</v>
      </c>
      <c r="DU239">
        <f t="shared" si="669"/>
        <v>59.033333333333346</v>
      </c>
      <c r="DW239" s="5">
        <f t="shared" si="670"/>
        <v>16.939582156973458</v>
      </c>
      <c r="DX239" s="5">
        <f t="shared" si="671"/>
        <v>1.4117647058823528</v>
      </c>
      <c r="DY239" s="5">
        <f t="shared" si="672"/>
        <v>15.527817451091105</v>
      </c>
      <c r="DZ239" s="5"/>
      <c r="EA239" s="173">
        <f t="shared" si="673"/>
        <v>8.3341176470588238E-2</v>
      </c>
      <c r="EB239" s="173">
        <f t="shared" si="699"/>
        <v>35.420000000000016</v>
      </c>
      <c r="EC239" s="173">
        <f t="shared" si="700"/>
        <v>4.5832941176470587</v>
      </c>
      <c r="ED239" s="173">
        <f t="shared" si="701"/>
        <v>7.7280661224908913</v>
      </c>
      <c r="EE239" s="460">
        <f t="shared" si="674"/>
        <v>21.647058823529413</v>
      </c>
      <c r="EF239" s="5">
        <f t="shared" si="675"/>
        <v>2.1732645114103168</v>
      </c>
      <c r="EH239" s="173">
        <f t="shared" si="702"/>
        <v>1.6667450961938584</v>
      </c>
      <c r="EI239" s="173">
        <f t="shared" si="703"/>
        <v>5.5276843359264882</v>
      </c>
      <c r="EK239" s="528">
        <f t="shared" si="704"/>
        <v>5.5560784313725485E-2</v>
      </c>
      <c r="EL239" s="528">
        <f t="shared" si="705"/>
        <v>1.1853893333333336</v>
      </c>
      <c r="EM239" s="528">
        <f t="shared" si="706"/>
        <v>7.3791666666666676E-3</v>
      </c>
      <c r="EN239" s="528">
        <f t="shared" si="707"/>
        <v>5.9506544533333358E-2</v>
      </c>
      <c r="EO239">
        <f t="shared" si="708"/>
        <v>3.8249999999999999E-2</v>
      </c>
      <c r="EP239" s="460">
        <f t="shared" si="709"/>
        <v>45.629166666666663</v>
      </c>
      <c r="EQ239" s="460"/>
      <c r="ER239" s="460">
        <f t="shared" si="710"/>
        <v>1346.0858288470592</v>
      </c>
      <c r="ES239" s="528">
        <f t="shared" si="711"/>
        <v>1.61</v>
      </c>
      <c r="EV239" s="460">
        <f t="shared" si="712"/>
        <v>1610</v>
      </c>
      <c r="EW239" s="528">
        <f t="shared" si="713"/>
        <v>8.3341176470588224E-2</v>
      </c>
      <c r="EX239" s="528">
        <f t="shared" si="714"/>
        <v>0.91665882352941186</v>
      </c>
      <c r="EY239" s="528">
        <f t="shared" si="715"/>
        <v>0.42336336120559115</v>
      </c>
      <c r="EZ239" s="528"/>
      <c r="FA239" s="528">
        <f t="shared" si="716"/>
        <v>5.9033333333333351E-3</v>
      </c>
      <c r="FB239" s="460">
        <f t="shared" si="717"/>
        <v>1429.2666945389244</v>
      </c>
      <c r="FC239" s="173">
        <f t="shared" si="718"/>
        <v>4.3853525233859836</v>
      </c>
      <c r="FD239" s="5">
        <f t="shared" si="719"/>
        <v>34.500000000000007</v>
      </c>
      <c r="FE239" s="173">
        <f t="shared" si="720"/>
        <v>0.88722353691538236</v>
      </c>
      <c r="FF239" s="5">
        <f t="shared" si="721"/>
        <v>88.722353691538231</v>
      </c>
      <c r="FI239" s="562">
        <f t="shared" si="676"/>
        <v>-50</v>
      </c>
      <c r="FJ239">
        <f t="shared" si="677"/>
        <v>-50</v>
      </c>
      <c r="FL239">
        <f t="shared" si="678"/>
        <v>0.46000000000000008</v>
      </c>
    </row>
    <row r="240" spans="5:168">
      <c r="E240" s="170">
        <v>24</v>
      </c>
      <c r="F240" s="217">
        <f t="shared" si="679"/>
        <v>2.4</v>
      </c>
      <c r="G240" s="217"/>
      <c r="H240" s="217">
        <f t="shared" si="603"/>
        <v>36</v>
      </c>
      <c r="I240" s="541">
        <f t="shared" si="604"/>
        <v>84.753268114390082</v>
      </c>
      <c r="J240" s="172">
        <f t="shared" si="605"/>
        <v>15.548039131365949</v>
      </c>
      <c r="K240" s="172">
        <f t="shared" si="606"/>
        <v>100.30130724575604</v>
      </c>
      <c r="L240" s="443"/>
      <c r="M240" s="217">
        <f t="shared" si="607"/>
        <v>0.15502984391561525</v>
      </c>
      <c r="N240" s="172">
        <f t="shared" si="608"/>
        <v>329.8781973075603</v>
      </c>
      <c r="O240" s="172">
        <f t="shared" si="599"/>
        <v>36</v>
      </c>
      <c r="P240" s="217">
        <f t="shared" si="609"/>
        <v>21.991879820504021</v>
      </c>
      <c r="Q240" s="217">
        <f t="shared" si="610"/>
        <v>15</v>
      </c>
      <c r="R240" s="217"/>
      <c r="S240" s="172">
        <f t="shared" si="611"/>
        <v>798.13572908371611</v>
      </c>
      <c r="T240" s="172">
        <f t="shared" si="612"/>
        <v>15</v>
      </c>
      <c r="U240" s="217">
        <f t="shared" si="613"/>
        <v>5.6806740042078321</v>
      </c>
      <c r="V240" s="217">
        <f t="shared" si="614"/>
        <v>0.80431220609084531</v>
      </c>
      <c r="W240" s="217">
        <f t="shared" si="615"/>
        <v>4.3843527453551747</v>
      </c>
      <c r="X240" s="197">
        <f t="shared" si="616"/>
        <v>109.48238241177424</v>
      </c>
      <c r="Y240" s="443">
        <f t="shared" si="680"/>
        <v>185.57472194140689</v>
      </c>
      <c r="AA240" s="217">
        <f t="shared" si="617"/>
        <v>10</v>
      </c>
      <c r="AB240" s="173">
        <f t="shared" si="618"/>
        <v>7.7180150491078416</v>
      </c>
      <c r="AC240" s="173">
        <f t="shared" si="619"/>
        <v>4.2249333753312666</v>
      </c>
      <c r="AD240" s="173"/>
      <c r="AE240" s="173">
        <f t="shared" si="620"/>
        <v>7.7180150491078416</v>
      </c>
      <c r="AF240" s="545">
        <f t="shared" si="621"/>
        <v>62.19215652546378</v>
      </c>
      <c r="AG240" s="528">
        <f t="shared" si="622"/>
        <v>4.2249333753312666</v>
      </c>
      <c r="AI240" s="173">
        <f t="shared" si="623"/>
        <v>4.2153514181742828</v>
      </c>
      <c r="AJ240" s="173">
        <f t="shared" si="624"/>
        <v>10</v>
      </c>
      <c r="AK240" s="173">
        <f t="shared" si="625"/>
        <v>1.0355383751574079</v>
      </c>
      <c r="AM240" s="545">
        <f t="shared" si="626"/>
        <v>2400</v>
      </c>
      <c r="AN240" s="460">
        <f t="shared" si="627"/>
        <v>62.19215652546378</v>
      </c>
      <c r="AP240">
        <f t="shared" si="628"/>
        <v>2400</v>
      </c>
      <c r="AQ240">
        <f t="shared" si="629"/>
        <v>62.19215652546378</v>
      </c>
      <c r="AS240" s="5">
        <f t="shared" si="600"/>
        <v>16.079198018974672</v>
      </c>
      <c r="AT240" s="5">
        <f t="shared" si="630"/>
        <v>1.4158746048357451</v>
      </c>
      <c r="AU240" s="5">
        <f t="shared" si="722"/>
        <v>14.663323414138928</v>
      </c>
      <c r="AV240" s="5"/>
      <c r="AW240" s="173">
        <f t="shared" si="723"/>
        <v>8.8056295044373845E-2</v>
      </c>
      <c r="AX240" s="173">
        <f t="shared" si="631"/>
        <v>37.315293915278268</v>
      </c>
      <c r="AY240" s="173">
        <f t="shared" si="632"/>
        <v>4.5597185247781304</v>
      </c>
      <c r="AZ240" s="173">
        <f t="shared" si="633"/>
        <v>8.1836836446157566</v>
      </c>
      <c r="BA240" s="460">
        <f t="shared" si="594"/>
        <v>22.653993677371922</v>
      </c>
      <c r="BB240" s="5">
        <f t="shared" si="595"/>
        <v>2.1477338528868288</v>
      </c>
      <c r="BD240" s="173">
        <f t="shared" si="681"/>
        <v>1.7132454099785184</v>
      </c>
      <c r="BE240" s="173">
        <f t="shared" si="682"/>
        <v>5.5134493285529409</v>
      </c>
      <c r="BG240" s="528">
        <f t="shared" si="683"/>
        <v>5.8704196696249225E-2</v>
      </c>
      <c r="BH240" s="528">
        <f t="shared" si="634"/>
        <v>1.1696164874881301</v>
      </c>
      <c r="BI240" s="528">
        <f t="shared" si="635"/>
        <v>0.13177471291536863</v>
      </c>
      <c r="BJ240" s="528">
        <f t="shared" si="684"/>
        <v>6.2567500091332745E-2</v>
      </c>
      <c r="BK240">
        <f t="shared" si="685"/>
        <v>3.8138970651475534E-2</v>
      </c>
      <c r="BL240" s="460">
        <f t="shared" si="686"/>
        <v>169.91368356684416</v>
      </c>
      <c r="BM240" s="528">
        <f t="shared" si="636"/>
        <v>1.3252226785338868</v>
      </c>
      <c r="BN240" s="460">
        <f t="shared" si="687"/>
        <v>1325.2226785338867</v>
      </c>
      <c r="BO240" s="528">
        <f t="shared" si="637"/>
        <v>1.68</v>
      </c>
      <c r="BR240" s="460">
        <f t="shared" si="688"/>
        <v>1680</v>
      </c>
      <c r="BS240" s="528">
        <f t="shared" si="689"/>
        <v>8.8056295044373831E-2</v>
      </c>
      <c r="BT240" s="528">
        <f t="shared" si="690"/>
        <v>0.91194370495562616</v>
      </c>
      <c r="BU240" s="528">
        <f t="shared" si="691"/>
        <v>0.48229087505060703</v>
      </c>
      <c r="BV240" s="528"/>
      <c r="BW240" s="528">
        <f t="shared" si="692"/>
        <v>6.2192156525463791E-3</v>
      </c>
      <c r="BX240" s="460">
        <f t="shared" si="693"/>
        <v>1488.5100907031535</v>
      </c>
      <c r="BY240" s="173">
        <f t="shared" si="694"/>
        <v>4.629311958545709</v>
      </c>
      <c r="BZ240" s="5">
        <f t="shared" si="695"/>
        <v>36</v>
      </c>
      <c r="CA240" s="173">
        <f t="shared" si="696"/>
        <v>0.88605979930772594</v>
      </c>
      <c r="CB240" s="5">
        <f t="shared" si="697"/>
        <v>88.605979930772591</v>
      </c>
      <c r="CE240" s="562">
        <f t="shared" si="638"/>
        <v>-50</v>
      </c>
      <c r="CF240">
        <f t="shared" si="639"/>
        <v>-50</v>
      </c>
      <c r="CG240" s="173">
        <f t="shared" si="640"/>
        <v>0.48635789291426124</v>
      </c>
      <c r="CI240" s="170">
        <v>24</v>
      </c>
      <c r="CJ240" s="217">
        <f t="shared" si="698"/>
        <v>2.4</v>
      </c>
      <c r="CK240" s="217"/>
      <c r="CL240" s="217">
        <f t="shared" si="641"/>
        <v>36</v>
      </c>
      <c r="CM240" s="541">
        <f t="shared" si="642"/>
        <v>85</v>
      </c>
      <c r="CN240" s="443">
        <f t="shared" si="643"/>
        <v>15.4</v>
      </c>
      <c r="CO240" s="443">
        <f t="shared" si="644"/>
        <v>100.4</v>
      </c>
      <c r="CP240" s="443"/>
      <c r="CQ240" s="217">
        <f t="shared" si="645"/>
        <v>0.15338645418326693</v>
      </c>
      <c r="CR240" s="172">
        <f t="shared" si="646"/>
        <v>327.33148655378488</v>
      </c>
      <c r="CS240" s="172">
        <f t="shared" si="647"/>
        <v>36</v>
      </c>
      <c r="CT240" s="217">
        <f t="shared" si="648"/>
        <v>21.822099103585661</v>
      </c>
      <c r="CU240" s="217">
        <f t="shared" si="649"/>
        <v>15</v>
      </c>
      <c r="CV240" s="217"/>
      <c r="CW240" s="172">
        <f t="shared" si="650"/>
        <v>800.4591210748207</v>
      </c>
      <c r="CX240" s="172">
        <f t="shared" si="651"/>
        <v>15</v>
      </c>
      <c r="CY240" s="217">
        <f t="shared" si="652"/>
        <v>5.5223834988540865</v>
      </c>
      <c r="CZ240" s="217">
        <f t="shared" si="653"/>
        <v>0.7796306116029299</v>
      </c>
      <c r="DA240" s="217">
        <f t="shared" si="654"/>
        <v>4.3031559731330544</v>
      </c>
      <c r="DB240" s="197">
        <f t="shared" si="655"/>
        <v>108.64873837981409</v>
      </c>
      <c r="DC240" s="443">
        <f t="shared" si="656"/>
        <v>196.74247252542142</v>
      </c>
      <c r="DE240" s="217">
        <f t="shared" si="657"/>
        <v>10</v>
      </c>
      <c r="DF240" s="173">
        <f t="shared" si="658"/>
        <v>7.7922077922077913</v>
      </c>
      <c r="DG240" s="173">
        <f t="shared" si="659"/>
        <v>4.2330677290836656</v>
      </c>
      <c r="DH240" s="173"/>
      <c r="DI240" s="173">
        <f t="shared" si="660"/>
        <v>7.7922077922077913</v>
      </c>
      <c r="DJ240" s="545">
        <f t="shared" si="661"/>
        <v>61.6</v>
      </c>
      <c r="DK240" s="528">
        <f t="shared" si="662"/>
        <v>4.2330677290836656</v>
      </c>
      <c r="DM240" s="173">
        <f t="shared" si="663"/>
        <v>4.1952353926806065</v>
      </c>
      <c r="DN240" s="173">
        <f t="shared" si="664"/>
        <v>10</v>
      </c>
      <c r="DO240" s="173">
        <f t="shared" si="665"/>
        <v>1.0351999999999999</v>
      </c>
      <c r="DQ240" s="545">
        <f t="shared" si="666"/>
        <v>2400</v>
      </c>
      <c r="DR240" s="460">
        <f t="shared" si="667"/>
        <v>61.6</v>
      </c>
      <c r="DT240">
        <f t="shared" si="668"/>
        <v>2400</v>
      </c>
      <c r="DU240">
        <f t="shared" si="669"/>
        <v>61.6</v>
      </c>
      <c r="DW240" s="5">
        <f t="shared" si="670"/>
        <v>16.233766233766232</v>
      </c>
      <c r="DX240" s="5">
        <f t="shared" si="671"/>
        <v>1.4117647058823528</v>
      </c>
      <c r="DY240" s="5">
        <f t="shared" si="672"/>
        <v>14.822001527883879</v>
      </c>
      <c r="DZ240" s="5"/>
      <c r="EA240" s="173">
        <f t="shared" si="673"/>
        <v>8.6964705882352944E-2</v>
      </c>
      <c r="EB240" s="173">
        <f t="shared" si="699"/>
        <v>36.960000000000008</v>
      </c>
      <c r="EC240" s="173">
        <f t="shared" si="700"/>
        <v>4.5651764705882352</v>
      </c>
      <c r="ED240" s="173">
        <f t="shared" si="701"/>
        <v>8.0960725698381637</v>
      </c>
      <c r="EE240" s="460">
        <f t="shared" si="674"/>
        <v>22.588235294117645</v>
      </c>
      <c r="EF240" s="5">
        <f t="shared" si="675"/>
        <v>2.164673651131114</v>
      </c>
      <c r="EH240" s="173">
        <f t="shared" si="702"/>
        <v>1.702593177894169</v>
      </c>
      <c r="EI240" s="173">
        <f t="shared" si="703"/>
        <v>5.5167481185859462</v>
      </c>
      <c r="EK240" s="528">
        <f t="shared" si="704"/>
        <v>5.7976470588235303E-2</v>
      </c>
      <c r="EL240" s="528">
        <f t="shared" si="705"/>
        <v>1.236928</v>
      </c>
      <c r="EM240" s="528">
        <f t="shared" si="706"/>
        <v>7.6999999999999994E-3</v>
      </c>
      <c r="EN240" s="528">
        <f t="shared" si="707"/>
        <v>6.2093785600000014E-2</v>
      </c>
      <c r="EO240">
        <f t="shared" si="708"/>
        <v>3.8249999999999999E-2</v>
      </c>
      <c r="EP240" s="460">
        <f t="shared" si="709"/>
        <v>45.949999999999996</v>
      </c>
      <c r="EQ240" s="460"/>
      <c r="ER240" s="460">
        <f t="shared" si="710"/>
        <v>1402.9482561882353</v>
      </c>
      <c r="ES240" s="528">
        <f t="shared" si="711"/>
        <v>1.68</v>
      </c>
      <c r="EV240" s="460">
        <f t="shared" si="712"/>
        <v>1680</v>
      </c>
      <c r="EW240" s="528">
        <f t="shared" si="713"/>
        <v>8.6964705882352958E-2</v>
      </c>
      <c r="EX240" s="528">
        <f t="shared" si="714"/>
        <v>0.91303529411764717</v>
      </c>
      <c r="EY240" s="528">
        <f t="shared" si="715"/>
        <v>0.47089251230131174</v>
      </c>
      <c r="EZ240" s="528"/>
      <c r="FA240" s="528">
        <f t="shared" si="716"/>
        <v>6.1600000000000005E-3</v>
      </c>
      <c r="FB240" s="460">
        <f t="shared" si="717"/>
        <v>1477.0525123013119</v>
      </c>
      <c r="FC240" s="173">
        <f t="shared" si="718"/>
        <v>4.5600007684895472</v>
      </c>
      <c r="FD240" s="5">
        <f t="shared" si="719"/>
        <v>36</v>
      </c>
      <c r="FE240" s="173">
        <f t="shared" si="720"/>
        <v>0.88757394768019482</v>
      </c>
      <c r="FF240" s="5">
        <f t="shared" si="721"/>
        <v>88.757394768019481</v>
      </c>
      <c r="FI240" s="562">
        <f t="shared" si="676"/>
        <v>-50</v>
      </c>
      <c r="FJ240">
        <f t="shared" si="677"/>
        <v>-50</v>
      </c>
      <c r="FL240">
        <f t="shared" si="678"/>
        <v>0.48000000000000004</v>
      </c>
    </row>
    <row r="241" spans="5:168">
      <c r="E241" s="170">
        <v>25</v>
      </c>
      <c r="F241" s="217">
        <f t="shared" si="679"/>
        <v>2.5</v>
      </c>
      <c r="G241" s="217"/>
      <c r="H241" s="217">
        <f t="shared" si="603"/>
        <v>37.5</v>
      </c>
      <c r="I241" s="541">
        <f t="shared" si="604"/>
        <v>84.753268114390082</v>
      </c>
      <c r="J241" s="172">
        <f t="shared" si="605"/>
        <v>15.548039131365949</v>
      </c>
      <c r="K241" s="172">
        <f t="shared" si="606"/>
        <v>100.30130724575604</v>
      </c>
      <c r="L241" s="443"/>
      <c r="M241" s="217">
        <f t="shared" si="607"/>
        <v>0.15502984391561525</v>
      </c>
      <c r="N241" s="172">
        <f t="shared" si="608"/>
        <v>329.8781973075603</v>
      </c>
      <c r="O241" s="172">
        <f t="shared" si="599"/>
        <v>37.5</v>
      </c>
      <c r="P241" s="217">
        <f t="shared" si="609"/>
        <v>21.991879820504021</v>
      </c>
      <c r="Q241" s="217">
        <f t="shared" si="610"/>
        <v>15</v>
      </c>
      <c r="R241" s="217"/>
      <c r="S241" s="172">
        <f t="shared" si="611"/>
        <v>762.8238315943438</v>
      </c>
      <c r="T241" s="172">
        <f t="shared" si="612"/>
        <v>15</v>
      </c>
      <c r="U241" s="217">
        <f t="shared" si="613"/>
        <v>5.9173687543831592</v>
      </c>
      <c r="V241" s="217">
        <f t="shared" si="614"/>
        <v>0.837825214677964</v>
      </c>
      <c r="W241" s="217">
        <f t="shared" si="615"/>
        <v>4.5670341097449754</v>
      </c>
      <c r="X241" s="197">
        <f t="shared" si="616"/>
        <v>109.48238241177424</v>
      </c>
      <c r="Y241" s="443">
        <f t="shared" si="680"/>
        <v>178.41660996602394</v>
      </c>
      <c r="AA241" s="217">
        <f t="shared" si="617"/>
        <v>10</v>
      </c>
      <c r="AB241" s="173">
        <f t="shared" si="618"/>
        <v>7.7180150491078416</v>
      </c>
      <c r="AC241" s="173">
        <f t="shared" si="619"/>
        <v>4.2249333753312666</v>
      </c>
      <c r="AD241" s="173"/>
      <c r="AE241" s="173">
        <f t="shared" si="620"/>
        <v>7.7180150491078416</v>
      </c>
      <c r="AF241" s="545">
        <f t="shared" si="621"/>
        <v>64.783496380691446</v>
      </c>
      <c r="AG241" s="528">
        <f t="shared" si="622"/>
        <v>4.2249333753312666</v>
      </c>
      <c r="AI241" s="173">
        <f t="shared" si="623"/>
        <v>4.3022750254351791</v>
      </c>
      <c r="AJ241" s="173">
        <f t="shared" si="624"/>
        <v>10</v>
      </c>
      <c r="AK241" s="173">
        <f t="shared" si="625"/>
        <v>1.0370191407889666</v>
      </c>
      <c r="AM241" s="545">
        <f t="shared" si="626"/>
        <v>2500</v>
      </c>
      <c r="AN241" s="460">
        <f t="shared" si="627"/>
        <v>64.783496380691446</v>
      </c>
      <c r="AP241">
        <f t="shared" si="628"/>
        <v>2500</v>
      </c>
      <c r="AQ241">
        <f t="shared" si="629"/>
        <v>64.783496380691446</v>
      </c>
      <c r="AS241" s="5">
        <f t="shared" si="600"/>
        <v>15.436030098215683</v>
      </c>
      <c r="AT241" s="5">
        <f t="shared" si="630"/>
        <v>1.4158746048357451</v>
      </c>
      <c r="AU241" s="5">
        <f t="shared" si="722"/>
        <v>14.020155493379939</v>
      </c>
      <c r="AV241" s="5"/>
      <c r="AW241" s="173">
        <f t="shared" si="723"/>
        <v>9.1725307337889431E-2</v>
      </c>
      <c r="AX241" s="173">
        <f t="shared" si="631"/>
        <v>38.87009782841487</v>
      </c>
      <c r="AY241" s="173">
        <f t="shared" si="632"/>
        <v>4.5413734633105527</v>
      </c>
      <c r="AZ241" s="173">
        <f t="shared" si="633"/>
        <v>8.5591062136694429</v>
      </c>
      <c r="BA241" s="460">
        <f t="shared" si="594"/>
        <v>23.597910080595753</v>
      </c>
      <c r="BB241" s="5">
        <f t="shared" si="595"/>
        <v>2.1390929007462303</v>
      </c>
      <c r="BD241" s="173">
        <f t="shared" si="681"/>
        <v>1.7485737744219756</v>
      </c>
      <c r="BE241" s="173">
        <f t="shared" si="682"/>
        <v>5.5023470527345895</v>
      </c>
      <c r="BG241" s="528">
        <f t="shared" si="683"/>
        <v>6.1150204891926283E-2</v>
      </c>
      <c r="BH241" s="528">
        <f t="shared" si="634"/>
        <v>1.2183505078001358</v>
      </c>
      <c r="BI241" s="528">
        <f t="shared" si="635"/>
        <v>0.13726532595350902</v>
      </c>
      <c r="BJ241" s="528">
        <f t="shared" si="684"/>
        <v>6.5174479261804946E-2</v>
      </c>
      <c r="BK241">
        <f t="shared" si="685"/>
        <v>3.8138970651475534E-2</v>
      </c>
      <c r="BL241" s="460">
        <f t="shared" si="686"/>
        <v>175.40429660498455</v>
      </c>
      <c r="BM241" s="528">
        <f t="shared" si="636"/>
        <v>1.3812543910662127</v>
      </c>
      <c r="BN241" s="460">
        <f t="shared" si="687"/>
        <v>1381.2543910662127</v>
      </c>
      <c r="BO241" s="528">
        <f t="shared" si="637"/>
        <v>1.75</v>
      </c>
      <c r="BR241" s="460">
        <f t="shared" si="688"/>
        <v>1750</v>
      </c>
      <c r="BS241" s="528">
        <f t="shared" si="689"/>
        <v>9.1725307337889417E-2</v>
      </c>
      <c r="BT241" s="528">
        <f t="shared" si="690"/>
        <v>0.90827469266211069</v>
      </c>
      <c r="BU241" s="528">
        <f t="shared" si="691"/>
        <v>0.53411031153898481</v>
      </c>
      <c r="BV241" s="528"/>
      <c r="BW241" s="528">
        <f t="shared" si="692"/>
        <v>6.4783496380691448E-3</v>
      </c>
      <c r="BX241" s="460">
        <f t="shared" si="693"/>
        <v>1540.5886611770541</v>
      </c>
      <c r="BY241" s="173">
        <f t="shared" si="694"/>
        <v>4.8106681497359052</v>
      </c>
      <c r="BZ241" s="5">
        <f t="shared" si="695"/>
        <v>37.5</v>
      </c>
      <c r="CA241" s="173">
        <f t="shared" si="696"/>
        <v>0.88630129562806415</v>
      </c>
      <c r="CB241" s="5">
        <f t="shared" si="697"/>
        <v>88.630129562806417</v>
      </c>
      <c r="CE241" s="562">
        <f t="shared" si="638"/>
        <v>-50</v>
      </c>
      <c r="CF241">
        <f t="shared" si="639"/>
        <v>-50</v>
      </c>
      <c r="CG241" s="173">
        <f t="shared" si="640"/>
        <v>0.50662280511902213</v>
      </c>
      <c r="CI241" s="170">
        <v>25</v>
      </c>
      <c r="CJ241" s="217">
        <f t="shared" si="698"/>
        <v>2.5</v>
      </c>
      <c r="CK241" s="217"/>
      <c r="CL241" s="217">
        <f t="shared" si="641"/>
        <v>37.5</v>
      </c>
      <c r="CM241" s="541">
        <f t="shared" si="642"/>
        <v>85</v>
      </c>
      <c r="CN241" s="443">
        <f t="shared" si="643"/>
        <v>15.4</v>
      </c>
      <c r="CO241" s="443">
        <f t="shared" si="644"/>
        <v>100.4</v>
      </c>
      <c r="CP241" s="443"/>
      <c r="CQ241" s="217">
        <f t="shared" si="645"/>
        <v>0.15338645418326693</v>
      </c>
      <c r="CR241" s="172">
        <f t="shared" si="646"/>
        <v>327.33148655378488</v>
      </c>
      <c r="CS241" s="172">
        <f t="shared" si="647"/>
        <v>37.5</v>
      </c>
      <c r="CT241" s="217">
        <f t="shared" si="648"/>
        <v>21.822099103585661</v>
      </c>
      <c r="CU241" s="217">
        <f t="shared" si="649"/>
        <v>15</v>
      </c>
      <c r="CV241" s="217"/>
      <c r="CW241" s="172">
        <f t="shared" si="650"/>
        <v>765.04441863990655</v>
      </c>
      <c r="CX241" s="172">
        <f t="shared" si="651"/>
        <v>15</v>
      </c>
      <c r="CY241" s="217">
        <f t="shared" si="652"/>
        <v>5.7524828113063409</v>
      </c>
      <c r="CZ241" s="217">
        <f t="shared" si="653"/>
        <v>0.81211522041971873</v>
      </c>
      <c r="DA241" s="217">
        <f t="shared" si="654"/>
        <v>4.4824541386802661</v>
      </c>
      <c r="DB241" s="197">
        <f t="shared" si="655"/>
        <v>108.64873837981409</v>
      </c>
      <c r="DC241" s="443">
        <f t="shared" si="656"/>
        <v>188.87277362440454</v>
      </c>
      <c r="DE241" s="217">
        <f t="shared" si="657"/>
        <v>10</v>
      </c>
      <c r="DF241" s="173">
        <f t="shared" si="658"/>
        <v>7.7922077922077913</v>
      </c>
      <c r="DG241" s="173">
        <f t="shared" si="659"/>
        <v>4.2330677290836656</v>
      </c>
      <c r="DH241" s="173"/>
      <c r="DI241" s="173">
        <f t="shared" si="660"/>
        <v>7.7922077922077913</v>
      </c>
      <c r="DJ241" s="545">
        <f t="shared" si="661"/>
        <v>64.166666666666671</v>
      </c>
      <c r="DK241" s="528">
        <f t="shared" si="662"/>
        <v>4.2330677290836656</v>
      </c>
      <c r="DM241" s="173">
        <f t="shared" si="663"/>
        <v>4.281744192888377</v>
      </c>
      <c r="DN241" s="173">
        <f t="shared" si="664"/>
        <v>10</v>
      </c>
      <c r="DO241" s="173">
        <f t="shared" si="665"/>
        <v>1.0366666666666666</v>
      </c>
      <c r="DQ241" s="545">
        <f t="shared" si="666"/>
        <v>2500</v>
      </c>
      <c r="DR241" s="460">
        <f t="shared" si="667"/>
        <v>64.166666666666671</v>
      </c>
      <c r="DT241">
        <f t="shared" si="668"/>
        <v>2500</v>
      </c>
      <c r="DU241">
        <f t="shared" si="669"/>
        <v>64.166666666666671</v>
      </c>
      <c r="DW241" s="5">
        <f t="shared" si="670"/>
        <v>15.584415584415583</v>
      </c>
      <c r="DX241" s="5">
        <f t="shared" si="671"/>
        <v>1.4117647058823528</v>
      </c>
      <c r="DY241" s="5">
        <f t="shared" si="672"/>
        <v>14.172650878533229</v>
      </c>
      <c r="DZ241" s="5"/>
      <c r="EA241" s="173">
        <f t="shared" si="673"/>
        <v>9.058823529411765E-2</v>
      </c>
      <c r="EB241" s="173">
        <f t="shared" si="699"/>
        <v>38.500000000000007</v>
      </c>
      <c r="EC241" s="173">
        <f t="shared" si="700"/>
        <v>4.5470588235294116</v>
      </c>
      <c r="ED241" s="173">
        <f t="shared" si="701"/>
        <v>8.467011642949549</v>
      </c>
      <c r="EE241" s="460">
        <f t="shared" si="674"/>
        <v>23.52941176470588</v>
      </c>
      <c r="EF241" s="5">
        <f t="shared" si="675"/>
        <v>2.1560827908519107</v>
      </c>
      <c r="EH241" s="173">
        <f t="shared" si="702"/>
        <v>1.7377018855768256</v>
      </c>
      <c r="EI241" s="173">
        <f t="shared" si="703"/>
        <v>5.5057901785480423</v>
      </c>
      <c r="EK241" s="528">
        <f t="shared" si="704"/>
        <v>6.03921568627451E-2</v>
      </c>
      <c r="EL241" s="528">
        <f t="shared" si="705"/>
        <v>1.2884666666666666</v>
      </c>
      <c r="EM241" s="528">
        <f t="shared" si="706"/>
        <v>8.0208333333333329E-3</v>
      </c>
      <c r="EN241" s="528">
        <f t="shared" si="707"/>
        <v>6.4681026666666683E-2</v>
      </c>
      <c r="EO241">
        <f t="shared" si="708"/>
        <v>3.8249999999999999E-2</v>
      </c>
      <c r="EP241" s="460">
        <f t="shared" si="709"/>
        <v>46.270833333333329</v>
      </c>
      <c r="EQ241" s="460"/>
      <c r="ER241" s="460">
        <f t="shared" si="710"/>
        <v>1459.8106835294116</v>
      </c>
      <c r="ES241" s="528">
        <f t="shared" si="711"/>
        <v>1.75</v>
      </c>
      <c r="EV241" s="460">
        <f t="shared" si="712"/>
        <v>1750</v>
      </c>
      <c r="EW241" s="528">
        <f t="shared" si="713"/>
        <v>9.0588235294117636E-2</v>
      </c>
      <c r="EX241" s="528">
        <f t="shared" si="714"/>
        <v>0.90941176470588247</v>
      </c>
      <c r="EY241" s="528">
        <f t="shared" si="715"/>
        <v>0.52148725894977166</v>
      </c>
      <c r="EZ241" s="528"/>
      <c r="FA241" s="528">
        <f t="shared" si="716"/>
        <v>6.4166666666666677E-3</v>
      </c>
      <c r="FB241" s="460">
        <f t="shared" si="717"/>
        <v>1527.9039256164383</v>
      </c>
      <c r="FC241" s="173">
        <f t="shared" si="718"/>
        <v>4.7377146091458497</v>
      </c>
      <c r="FD241" s="5">
        <f t="shared" si="719"/>
        <v>37.5</v>
      </c>
      <c r="FE241" s="173">
        <f t="shared" si="720"/>
        <v>0.8878321269749766</v>
      </c>
      <c r="FF241" s="5">
        <f t="shared" si="721"/>
        <v>88.78321269749766</v>
      </c>
      <c r="FI241" s="562">
        <f t="shared" si="676"/>
        <v>-50</v>
      </c>
      <c r="FJ241">
        <f t="shared" si="677"/>
        <v>-50</v>
      </c>
      <c r="FL241">
        <f t="shared" si="678"/>
        <v>0.5</v>
      </c>
    </row>
    <row r="242" spans="5:168">
      <c r="E242" s="170">
        <v>26</v>
      </c>
      <c r="F242" s="217">
        <f t="shared" si="679"/>
        <v>2.6</v>
      </c>
      <c r="G242" s="217"/>
      <c r="H242" s="217">
        <f t="shared" si="603"/>
        <v>39</v>
      </c>
      <c r="I242" s="541">
        <f t="shared" si="604"/>
        <v>84.753268114390082</v>
      </c>
      <c r="J242" s="172">
        <f t="shared" si="605"/>
        <v>15.548039131365949</v>
      </c>
      <c r="K242" s="172">
        <f t="shared" si="606"/>
        <v>100.30130724575604</v>
      </c>
      <c r="L242" s="443"/>
      <c r="M242" s="217">
        <f t="shared" si="607"/>
        <v>0.15502984391561525</v>
      </c>
      <c r="N242" s="172">
        <f t="shared" si="608"/>
        <v>329.8781973075603</v>
      </c>
      <c r="O242" s="172">
        <f t="shared" si="599"/>
        <v>39</v>
      </c>
      <c r="P242" s="217">
        <f t="shared" si="609"/>
        <v>21.991879820504021</v>
      </c>
      <c r="Q242" s="217">
        <f t="shared" si="610"/>
        <v>15</v>
      </c>
      <c r="R242" s="217"/>
      <c r="S242" s="172">
        <f t="shared" si="611"/>
        <v>730.22840242072891</v>
      </c>
      <c r="T242" s="172">
        <f t="shared" si="612"/>
        <v>15</v>
      </c>
      <c r="U242" s="217">
        <f t="shared" si="613"/>
        <v>6.1540635045584855</v>
      </c>
      <c r="V242" s="217">
        <f t="shared" si="614"/>
        <v>0.87133822326508259</v>
      </c>
      <c r="W242" s="217">
        <f t="shared" si="615"/>
        <v>4.7497154741347734</v>
      </c>
      <c r="X242" s="197">
        <f t="shared" si="616"/>
        <v>109.48238241177424</v>
      </c>
      <c r="Y242" s="443">
        <f t="shared" si="680"/>
        <v>171.79020362699612</v>
      </c>
      <c r="AA242" s="217">
        <f t="shared" si="617"/>
        <v>10</v>
      </c>
      <c r="AB242" s="173">
        <f t="shared" si="618"/>
        <v>7.7180150491078416</v>
      </c>
      <c r="AC242" s="173">
        <f t="shared" si="619"/>
        <v>4.2249333753312666</v>
      </c>
      <c r="AD242" s="173"/>
      <c r="AE242" s="173">
        <f t="shared" si="620"/>
        <v>7.7180150491078416</v>
      </c>
      <c r="AF242" s="545">
        <f t="shared" si="621"/>
        <v>67.374836235919105</v>
      </c>
      <c r="AG242" s="528">
        <f t="shared" si="622"/>
        <v>4.2249333753312666</v>
      </c>
      <c r="AI242" s="173">
        <f t="shared" si="623"/>
        <v>4.3874768615073751</v>
      </c>
      <c r="AJ242" s="173">
        <f t="shared" si="624"/>
        <v>10</v>
      </c>
      <c r="AK242" s="173">
        <f t="shared" si="625"/>
        <v>1.0384999064205251</v>
      </c>
      <c r="AM242" s="545">
        <f t="shared" si="626"/>
        <v>2600</v>
      </c>
      <c r="AN242" s="460">
        <f t="shared" si="627"/>
        <v>67.374836235919105</v>
      </c>
      <c r="AP242">
        <f t="shared" si="628"/>
        <v>2600</v>
      </c>
      <c r="AQ242">
        <f t="shared" si="629"/>
        <v>67.374836235919105</v>
      </c>
      <c r="AS242" s="5">
        <f t="shared" si="600"/>
        <v>14.842336632899695</v>
      </c>
      <c r="AT242" s="5">
        <f t="shared" si="630"/>
        <v>1.4158746048357451</v>
      </c>
      <c r="AU242" s="5">
        <f t="shared" si="722"/>
        <v>13.42646202806395</v>
      </c>
      <c r="AV242" s="5"/>
      <c r="AW242" s="173">
        <f t="shared" si="723"/>
        <v>9.5394319631405017E-2</v>
      </c>
      <c r="AX242" s="173">
        <f t="shared" si="631"/>
        <v>40.424901741551466</v>
      </c>
      <c r="AY242" s="173">
        <f t="shared" si="632"/>
        <v>4.5230284018429749</v>
      </c>
      <c r="AZ242" s="173">
        <f t="shared" si="633"/>
        <v>8.9375741538743689</v>
      </c>
      <c r="BA242" s="460">
        <f t="shared" si="594"/>
        <v>24.54182648381958</v>
      </c>
      <c r="BB242" s="5">
        <f t="shared" si="595"/>
        <v>2.1304519486056321</v>
      </c>
      <c r="BD242" s="173">
        <f t="shared" si="681"/>
        <v>1.7832023593468485</v>
      </c>
      <c r="BE242" s="173">
        <f t="shared" si="682"/>
        <v>5.4912223301331711</v>
      </c>
      <c r="BG242" s="528">
        <f t="shared" si="683"/>
        <v>6.359621308760334E-2</v>
      </c>
      <c r="BH242" s="528">
        <f t="shared" si="634"/>
        <v>1.267084528112141</v>
      </c>
      <c r="BI242" s="528">
        <f t="shared" si="635"/>
        <v>0.1427559389916494</v>
      </c>
      <c r="BJ242" s="528">
        <f t="shared" si="684"/>
        <v>6.7781458432277147E-2</v>
      </c>
      <c r="BK242">
        <f t="shared" si="685"/>
        <v>3.8138970651475534E-2</v>
      </c>
      <c r="BL242" s="460">
        <f t="shared" si="686"/>
        <v>180.89490964312495</v>
      </c>
      <c r="BM242" s="528">
        <f t="shared" si="636"/>
        <v>1.4373522308864315</v>
      </c>
      <c r="BN242" s="460">
        <f t="shared" si="687"/>
        <v>1437.3522308864315</v>
      </c>
      <c r="BO242" s="528">
        <f t="shared" si="637"/>
        <v>1.8199999999999998</v>
      </c>
      <c r="BR242" s="460">
        <f t="shared" si="688"/>
        <v>1819.9999999999998</v>
      </c>
      <c r="BS242" s="528">
        <f t="shared" si="689"/>
        <v>9.5394319631405003E-2</v>
      </c>
      <c r="BT242" s="528">
        <f t="shared" si="690"/>
        <v>0.90460568036859512</v>
      </c>
      <c r="BU242" s="528">
        <f t="shared" si="691"/>
        <v>0.58913430305315906</v>
      </c>
      <c r="BV242" s="528"/>
      <c r="BW242" s="528">
        <f t="shared" si="692"/>
        <v>6.7374836235919106E-3</v>
      </c>
      <c r="BX242" s="460">
        <f t="shared" si="693"/>
        <v>1595.8717866767511</v>
      </c>
      <c r="BY242" s="173">
        <f t="shared" si="694"/>
        <v>4.9952288959518976</v>
      </c>
      <c r="BZ242" s="5">
        <f t="shared" si="695"/>
        <v>39</v>
      </c>
      <c r="CA242" s="173">
        <f t="shared" si="696"/>
        <v>0.88645975890327688</v>
      </c>
      <c r="CB242" s="5">
        <f t="shared" si="697"/>
        <v>88.645975890327691</v>
      </c>
      <c r="CE242" s="562">
        <f t="shared" si="638"/>
        <v>-50</v>
      </c>
      <c r="CF242">
        <f t="shared" si="639"/>
        <v>-50</v>
      </c>
      <c r="CG242" s="173">
        <f t="shared" si="640"/>
        <v>0.52688771732378314</v>
      </c>
      <c r="CI242" s="170">
        <v>26</v>
      </c>
      <c r="CJ242" s="217">
        <f t="shared" si="698"/>
        <v>2.6</v>
      </c>
      <c r="CK242" s="217"/>
      <c r="CL242" s="217">
        <f t="shared" si="641"/>
        <v>39</v>
      </c>
      <c r="CM242" s="541">
        <f t="shared" si="642"/>
        <v>85</v>
      </c>
      <c r="CN242" s="443">
        <f t="shared" si="643"/>
        <v>15.4</v>
      </c>
      <c r="CO242" s="443">
        <f t="shared" si="644"/>
        <v>100.4</v>
      </c>
      <c r="CP242" s="443"/>
      <c r="CQ242" s="217">
        <f t="shared" si="645"/>
        <v>0.15338645418326693</v>
      </c>
      <c r="CR242" s="172">
        <f t="shared" si="646"/>
        <v>327.33148655378488</v>
      </c>
      <c r="CS242" s="172">
        <f t="shared" si="647"/>
        <v>39</v>
      </c>
      <c r="CT242" s="217">
        <f t="shared" si="648"/>
        <v>21.822099103585661</v>
      </c>
      <c r="CU242" s="217">
        <f t="shared" si="649"/>
        <v>15</v>
      </c>
      <c r="CV242" s="217"/>
      <c r="CW242" s="172">
        <f t="shared" si="650"/>
        <v>732.35409259442372</v>
      </c>
      <c r="CX242" s="172">
        <f t="shared" si="651"/>
        <v>15</v>
      </c>
      <c r="CY242" s="217">
        <f t="shared" si="652"/>
        <v>5.9825821237585943</v>
      </c>
      <c r="CZ242" s="217">
        <f t="shared" si="653"/>
        <v>0.84459982923650756</v>
      </c>
      <c r="DA242" s="217">
        <f t="shared" si="654"/>
        <v>4.661752304227476</v>
      </c>
      <c r="DB242" s="197">
        <f t="shared" si="655"/>
        <v>108.64873837981409</v>
      </c>
      <c r="DC242" s="443">
        <f t="shared" si="656"/>
        <v>181.60843617731206</v>
      </c>
      <c r="DE242" s="217">
        <f t="shared" si="657"/>
        <v>10</v>
      </c>
      <c r="DF242" s="173">
        <f t="shared" si="658"/>
        <v>7.7922077922077913</v>
      </c>
      <c r="DG242" s="173">
        <f t="shared" si="659"/>
        <v>4.2330677290836656</v>
      </c>
      <c r="DH242" s="173"/>
      <c r="DI242" s="173">
        <f t="shared" si="660"/>
        <v>7.7922077922077913</v>
      </c>
      <c r="DJ242" s="545">
        <f t="shared" si="661"/>
        <v>66.733333333333348</v>
      </c>
      <c r="DK242" s="528">
        <f t="shared" si="662"/>
        <v>4.2330677290836656</v>
      </c>
      <c r="DM242" s="173">
        <f t="shared" si="663"/>
        <v>4.3665394383500846</v>
      </c>
      <c r="DN242" s="173">
        <f t="shared" si="664"/>
        <v>10</v>
      </c>
      <c r="DO242" s="173">
        <f t="shared" si="665"/>
        <v>1.0381333333333334</v>
      </c>
      <c r="DQ242" s="545">
        <f t="shared" si="666"/>
        <v>2600</v>
      </c>
      <c r="DR242" s="460">
        <f t="shared" si="667"/>
        <v>66.733333333333348</v>
      </c>
      <c r="DT242">
        <f t="shared" si="668"/>
        <v>2600</v>
      </c>
      <c r="DU242">
        <f t="shared" si="669"/>
        <v>66.733333333333348</v>
      </c>
      <c r="DW242" s="5">
        <f t="shared" si="670"/>
        <v>14.985014985014983</v>
      </c>
      <c r="DX242" s="5">
        <f t="shared" si="671"/>
        <v>1.4117647058823528</v>
      </c>
      <c r="DY242" s="5">
        <f t="shared" si="672"/>
        <v>13.57325027913263</v>
      </c>
      <c r="DZ242" s="5"/>
      <c r="EA242" s="173">
        <f t="shared" si="673"/>
        <v>9.4211764705882356E-2</v>
      </c>
      <c r="EB242" s="173">
        <f t="shared" si="699"/>
        <v>40.040000000000013</v>
      </c>
      <c r="EC242" s="173">
        <f t="shared" si="700"/>
        <v>4.528941176470588</v>
      </c>
      <c r="ED242" s="173">
        <f t="shared" si="701"/>
        <v>8.8409185369908592</v>
      </c>
      <c r="EE242" s="460">
        <f t="shared" si="674"/>
        <v>24.470588235294116</v>
      </c>
      <c r="EF242" s="5">
        <f t="shared" si="675"/>
        <v>2.1474919305727078</v>
      </c>
      <c r="EH242" s="173">
        <f t="shared" si="702"/>
        <v>1.7721151646726421</v>
      </c>
      <c r="EI242" s="173">
        <f t="shared" si="703"/>
        <v>5.4948103858523254</v>
      </c>
      <c r="EK242" s="528">
        <f t="shared" si="704"/>
        <v>6.2807843137254904E-2</v>
      </c>
      <c r="EL242" s="528">
        <f t="shared" si="705"/>
        <v>1.3400053333333337</v>
      </c>
      <c r="EM242" s="528">
        <f t="shared" si="706"/>
        <v>8.3416666666666691E-3</v>
      </c>
      <c r="EN242" s="528">
        <f t="shared" si="707"/>
        <v>6.7268267733333359E-2</v>
      </c>
      <c r="EO242">
        <f t="shared" si="708"/>
        <v>3.8249999999999999E-2</v>
      </c>
      <c r="EP242" s="460">
        <f t="shared" si="709"/>
        <v>46.591666666666669</v>
      </c>
      <c r="EQ242" s="460"/>
      <c r="ER242" s="460">
        <f t="shared" si="710"/>
        <v>1516.6731108705887</v>
      </c>
      <c r="ES242" s="528">
        <f t="shared" si="711"/>
        <v>1.8199999999999998</v>
      </c>
      <c r="EV242" s="460">
        <f t="shared" si="712"/>
        <v>1819.9999999999998</v>
      </c>
      <c r="EW242" s="528">
        <f t="shared" si="713"/>
        <v>9.4211764705882356E-2</v>
      </c>
      <c r="EX242" s="528">
        <f t="shared" si="714"/>
        <v>0.90578823529411734</v>
      </c>
      <c r="EY242" s="528">
        <f t="shared" si="715"/>
        <v>0.57521082483361041</v>
      </c>
      <c r="EZ242" s="528"/>
      <c r="FA242" s="528">
        <f t="shared" si="716"/>
        <v>6.6733333333333349E-3</v>
      </c>
      <c r="FB242" s="460">
        <f t="shared" si="717"/>
        <v>1581.8841581669433</v>
      </c>
      <c r="FC242" s="173">
        <f t="shared" si="718"/>
        <v>4.9185572690375325</v>
      </c>
      <c r="FD242" s="5">
        <f t="shared" si="719"/>
        <v>39</v>
      </c>
      <c r="FE242" s="173">
        <f t="shared" si="720"/>
        <v>0.88800731228698382</v>
      </c>
      <c r="FF242" s="5">
        <f t="shared" si="721"/>
        <v>88.800731228698382</v>
      </c>
      <c r="FI242" s="562">
        <f t="shared" si="676"/>
        <v>-50</v>
      </c>
      <c r="FJ242">
        <f t="shared" si="677"/>
        <v>-50</v>
      </c>
      <c r="FL242">
        <f t="shared" si="678"/>
        <v>0.52</v>
      </c>
    </row>
    <row r="243" spans="5:168">
      <c r="E243" s="170">
        <v>27</v>
      </c>
      <c r="F243" s="217">
        <f t="shared" si="679"/>
        <v>2.7</v>
      </c>
      <c r="G243" s="217"/>
      <c r="H243" s="217">
        <f t="shared" si="603"/>
        <v>40.5</v>
      </c>
      <c r="I243" s="541">
        <f t="shared" si="604"/>
        <v>84.753268114390082</v>
      </c>
      <c r="J243" s="172">
        <f t="shared" si="605"/>
        <v>15.548039131365949</v>
      </c>
      <c r="K243" s="172">
        <f t="shared" si="606"/>
        <v>100.30130724575604</v>
      </c>
      <c r="L243" s="443"/>
      <c r="M243" s="217">
        <f t="shared" si="607"/>
        <v>0.15502984391561525</v>
      </c>
      <c r="N243" s="172">
        <f t="shared" si="608"/>
        <v>329.8781973075603</v>
      </c>
      <c r="O243" s="172">
        <f t="shared" si="599"/>
        <v>40.5</v>
      </c>
      <c r="P243" s="217">
        <f t="shared" si="609"/>
        <v>21.991879820504021</v>
      </c>
      <c r="Q243" s="217">
        <f t="shared" si="610"/>
        <v>15</v>
      </c>
      <c r="R243" s="217"/>
      <c r="S243" s="172">
        <f t="shared" si="611"/>
        <v>700.04761391620241</v>
      </c>
      <c r="T243" s="172">
        <f t="shared" si="612"/>
        <v>15</v>
      </c>
      <c r="U243" s="217">
        <f t="shared" si="613"/>
        <v>6.3907582547338126</v>
      </c>
      <c r="V243" s="217">
        <f t="shared" si="614"/>
        <v>0.90485123185220129</v>
      </c>
      <c r="W243" s="217">
        <f t="shared" si="615"/>
        <v>4.9323968385245731</v>
      </c>
      <c r="X243" s="197">
        <f t="shared" si="616"/>
        <v>109.48238241177424</v>
      </c>
      <c r="Y243" s="443">
        <f t="shared" si="680"/>
        <v>165.63838165053099</v>
      </c>
      <c r="AA243" s="217">
        <f t="shared" si="617"/>
        <v>10</v>
      </c>
      <c r="AB243" s="173">
        <f t="shared" si="618"/>
        <v>7.7180150491078416</v>
      </c>
      <c r="AC243" s="173">
        <f t="shared" si="619"/>
        <v>4.2249333753312666</v>
      </c>
      <c r="AD243" s="173"/>
      <c r="AE243" s="173">
        <f t="shared" si="620"/>
        <v>7.7180150491078416</v>
      </c>
      <c r="AF243" s="545">
        <f t="shared" si="621"/>
        <v>69.966176091146764</v>
      </c>
      <c r="AG243" s="528">
        <f t="shared" si="622"/>
        <v>4.2249333753312666</v>
      </c>
      <c r="AI243" s="173">
        <f t="shared" si="623"/>
        <v>4.4710553593130484</v>
      </c>
      <c r="AJ243" s="173">
        <f t="shared" si="624"/>
        <v>10</v>
      </c>
      <c r="AK243" s="173">
        <f t="shared" si="625"/>
        <v>1.0399806720520839</v>
      </c>
      <c r="AM243" s="545">
        <f t="shared" si="626"/>
        <v>2700</v>
      </c>
      <c r="AN243" s="460">
        <f t="shared" si="627"/>
        <v>69.966176091146764</v>
      </c>
      <c r="AP243">
        <f t="shared" si="628"/>
        <v>2700</v>
      </c>
      <c r="AQ243">
        <f t="shared" si="629"/>
        <v>69.966176091146764</v>
      </c>
      <c r="AS243" s="5">
        <f t="shared" si="600"/>
        <v>14.292620461310818</v>
      </c>
      <c r="AT243" s="5">
        <f t="shared" si="630"/>
        <v>1.4158746048357451</v>
      </c>
      <c r="AU243" s="5">
        <f t="shared" si="722"/>
        <v>12.876745856475074</v>
      </c>
      <c r="AV243" s="5"/>
      <c r="AW243" s="173">
        <f t="shared" si="723"/>
        <v>9.9063331924920575E-2</v>
      </c>
      <c r="AX243" s="173">
        <f t="shared" si="631"/>
        <v>41.979705654688061</v>
      </c>
      <c r="AY243" s="173">
        <f t="shared" si="632"/>
        <v>4.5046833403753972</v>
      </c>
      <c r="AZ243" s="173">
        <f t="shared" si="633"/>
        <v>9.3191246715223475</v>
      </c>
      <c r="BA243" s="460">
        <f t="shared" si="594"/>
        <v>25.485742887043415</v>
      </c>
      <c r="BB243" s="5">
        <f t="shared" si="595"/>
        <v>2.1218109964650345</v>
      </c>
      <c r="BD243" s="173">
        <f t="shared" si="681"/>
        <v>1.8171711708488056</v>
      </c>
      <c r="BE243" s="173">
        <f t="shared" si="682"/>
        <v>5.4800750240456857</v>
      </c>
      <c r="BG243" s="528">
        <f t="shared" si="683"/>
        <v>6.6042221283280383E-2</v>
      </c>
      <c r="BH243" s="528">
        <f t="shared" si="634"/>
        <v>1.3158185484241465</v>
      </c>
      <c r="BI243" s="528">
        <f t="shared" si="635"/>
        <v>0.14824655202978976</v>
      </c>
      <c r="BJ243" s="528">
        <f t="shared" si="684"/>
        <v>7.0388437602749362E-2</v>
      </c>
      <c r="BK243">
        <f t="shared" si="685"/>
        <v>3.8138970651475534E-2</v>
      </c>
      <c r="BL243" s="460">
        <f t="shared" si="686"/>
        <v>186.38552268126529</v>
      </c>
      <c r="BM243" s="528">
        <f t="shared" si="636"/>
        <v>1.4935163151264295</v>
      </c>
      <c r="BN243" s="460">
        <f t="shared" si="687"/>
        <v>1493.5163151264294</v>
      </c>
      <c r="BO243" s="528">
        <f t="shared" si="637"/>
        <v>1.89</v>
      </c>
      <c r="BR243" s="460">
        <f t="shared" si="688"/>
        <v>1890</v>
      </c>
      <c r="BS243" s="528">
        <f t="shared" si="689"/>
        <v>9.9063331924920561E-2</v>
      </c>
      <c r="BT243" s="528">
        <f t="shared" si="690"/>
        <v>0.90093666807507966</v>
      </c>
      <c r="BU243" s="528">
        <f t="shared" si="691"/>
        <v>0.64742632051094418</v>
      </c>
      <c r="BV243" s="528"/>
      <c r="BW243" s="528">
        <f t="shared" si="692"/>
        <v>6.9966176091146772E-3</v>
      </c>
      <c r="BX243" s="460">
        <f t="shared" si="693"/>
        <v>1654.4229381200589</v>
      </c>
      <c r="BY243" s="173">
        <f t="shared" si="694"/>
        <v>5.1830576681115001</v>
      </c>
      <c r="BZ243" s="5">
        <f t="shared" si="695"/>
        <v>40.5</v>
      </c>
      <c r="CA243" s="173">
        <f t="shared" si="696"/>
        <v>0.88654310957540239</v>
      </c>
      <c r="CB243" s="5">
        <f t="shared" si="697"/>
        <v>88.654310957540233</v>
      </c>
      <c r="CE243" s="562">
        <f t="shared" si="638"/>
        <v>-50</v>
      </c>
      <c r="CF243">
        <f t="shared" si="639"/>
        <v>-50</v>
      </c>
      <c r="CG243" s="173">
        <f t="shared" si="640"/>
        <v>0.54715262952854382</v>
      </c>
      <c r="CI243" s="170">
        <v>27</v>
      </c>
      <c r="CJ243" s="217">
        <f t="shared" si="698"/>
        <v>2.7</v>
      </c>
      <c r="CK243" s="217"/>
      <c r="CL243" s="217">
        <f t="shared" si="641"/>
        <v>40.5</v>
      </c>
      <c r="CM243" s="541">
        <f t="shared" si="642"/>
        <v>85</v>
      </c>
      <c r="CN243" s="443">
        <f t="shared" si="643"/>
        <v>15.4</v>
      </c>
      <c r="CO243" s="443">
        <f t="shared" si="644"/>
        <v>100.4</v>
      </c>
      <c r="CP243" s="443"/>
      <c r="CQ243" s="217">
        <f t="shared" si="645"/>
        <v>0.15338645418326693</v>
      </c>
      <c r="CR243" s="172">
        <f t="shared" si="646"/>
        <v>327.33148655378488</v>
      </c>
      <c r="CS243" s="172">
        <f t="shared" si="647"/>
        <v>40.5</v>
      </c>
      <c r="CT243" s="217">
        <f t="shared" si="648"/>
        <v>21.822099103585661</v>
      </c>
      <c r="CU243" s="217">
        <f t="shared" si="649"/>
        <v>15</v>
      </c>
      <c r="CV243" s="217"/>
      <c r="CW243" s="172">
        <f t="shared" si="650"/>
        <v>702.08543661691112</v>
      </c>
      <c r="CX243" s="172">
        <f t="shared" si="651"/>
        <v>15</v>
      </c>
      <c r="CY243" s="217">
        <f t="shared" si="652"/>
        <v>6.2126814362108478</v>
      </c>
      <c r="CZ243" s="217">
        <f t="shared" si="653"/>
        <v>0.87708443805329628</v>
      </c>
      <c r="DA243" s="217">
        <f t="shared" si="654"/>
        <v>4.8410504697746868</v>
      </c>
      <c r="DB243" s="197">
        <f t="shared" si="655"/>
        <v>108.64873837981409</v>
      </c>
      <c r="DC243" s="443">
        <f t="shared" si="656"/>
        <v>174.8821978003746</v>
      </c>
      <c r="DE243" s="217">
        <f t="shared" si="657"/>
        <v>10</v>
      </c>
      <c r="DF243" s="173">
        <f t="shared" si="658"/>
        <v>7.7922077922077913</v>
      </c>
      <c r="DG243" s="173">
        <f t="shared" si="659"/>
        <v>4.2330677290836656</v>
      </c>
      <c r="DH243" s="173"/>
      <c r="DI243" s="173">
        <f t="shared" si="660"/>
        <v>7.7922077922077913</v>
      </c>
      <c r="DJ243" s="545">
        <f t="shared" si="661"/>
        <v>69.3</v>
      </c>
      <c r="DK243" s="528">
        <f t="shared" si="662"/>
        <v>4.2330677290836656</v>
      </c>
      <c r="DM243" s="173">
        <f t="shared" si="663"/>
        <v>4.4497190922573981</v>
      </c>
      <c r="DN243" s="173">
        <f t="shared" si="664"/>
        <v>10</v>
      </c>
      <c r="DO243" s="173">
        <f t="shared" si="665"/>
        <v>1.0396000000000001</v>
      </c>
      <c r="DQ243" s="545">
        <f t="shared" si="666"/>
        <v>2700</v>
      </c>
      <c r="DR243" s="460">
        <f t="shared" si="667"/>
        <v>69.3</v>
      </c>
      <c r="DT243">
        <f t="shared" si="668"/>
        <v>2700</v>
      </c>
      <c r="DU243">
        <f t="shared" si="669"/>
        <v>69.3</v>
      </c>
      <c r="DW243" s="5">
        <f t="shared" si="670"/>
        <v>14.430014430014429</v>
      </c>
      <c r="DX243" s="5">
        <f t="shared" si="671"/>
        <v>1.4117647058823528</v>
      </c>
      <c r="DY243" s="5">
        <f t="shared" si="672"/>
        <v>13.018249724132076</v>
      </c>
      <c r="DZ243" s="5"/>
      <c r="EA243" s="173">
        <f t="shared" si="673"/>
        <v>9.7835294117647048E-2</v>
      </c>
      <c r="EB243" s="173">
        <f t="shared" si="699"/>
        <v>41.58</v>
      </c>
      <c r="EC243" s="173">
        <f t="shared" si="700"/>
        <v>4.5108235294117645</v>
      </c>
      <c r="ED243" s="173">
        <f t="shared" si="701"/>
        <v>9.2178290125710713</v>
      </c>
      <c r="EE243" s="460">
        <f t="shared" si="674"/>
        <v>25.411764705882351</v>
      </c>
      <c r="EF243" s="5">
        <f t="shared" si="675"/>
        <v>2.138901070293505</v>
      </c>
      <c r="EH243" s="173">
        <f t="shared" si="702"/>
        <v>1.8058727725363808</v>
      </c>
      <c r="EI243" s="173">
        <f t="shared" si="703"/>
        <v>5.4838086092372968</v>
      </c>
      <c r="EK243" s="528">
        <f t="shared" si="704"/>
        <v>6.5223529411764694E-2</v>
      </c>
      <c r="EL243" s="528">
        <f t="shared" si="705"/>
        <v>1.3915440000000001</v>
      </c>
      <c r="EM243" s="528">
        <f t="shared" si="706"/>
        <v>8.6624999999999983E-3</v>
      </c>
      <c r="EN243" s="528">
        <f t="shared" si="707"/>
        <v>6.9855508800000007E-2</v>
      </c>
      <c r="EO243">
        <f t="shared" si="708"/>
        <v>3.8249999999999999E-2</v>
      </c>
      <c r="EP243" s="460">
        <f t="shared" si="709"/>
        <v>46.912499999999994</v>
      </c>
      <c r="EQ243" s="460"/>
      <c r="ER243" s="460">
        <f t="shared" si="710"/>
        <v>1573.5355382117646</v>
      </c>
      <c r="ES243" s="528">
        <f t="shared" si="711"/>
        <v>1.89</v>
      </c>
      <c r="EV243" s="460">
        <f t="shared" si="712"/>
        <v>1890</v>
      </c>
      <c r="EW243" s="528">
        <f t="shared" si="713"/>
        <v>9.7835294117647048E-2</v>
      </c>
      <c r="EX243" s="528">
        <f t="shared" si="714"/>
        <v>0.90216470588235287</v>
      </c>
      <c r="EY243" s="528">
        <f t="shared" si="715"/>
        <v>0.63212518081210267</v>
      </c>
      <c r="EZ243" s="528"/>
      <c r="FA243" s="528">
        <f t="shared" si="716"/>
        <v>6.9300000000000004E-3</v>
      </c>
      <c r="FB243" s="460">
        <f t="shared" si="717"/>
        <v>1639.0551808121027</v>
      </c>
      <c r="FC243" s="173">
        <f t="shared" si="718"/>
        <v>5.1025907190238664</v>
      </c>
      <c r="FD243" s="5">
        <f t="shared" si="719"/>
        <v>40.5</v>
      </c>
      <c r="FE243" s="173">
        <f t="shared" si="720"/>
        <v>0.88810743778872114</v>
      </c>
      <c r="FF243" s="5">
        <f t="shared" si="721"/>
        <v>88.810743778872109</v>
      </c>
      <c r="FI243" s="562">
        <f t="shared" si="676"/>
        <v>-50</v>
      </c>
      <c r="FJ243">
        <f t="shared" si="677"/>
        <v>-50</v>
      </c>
      <c r="FL243">
        <f t="shared" si="678"/>
        <v>0.54</v>
      </c>
    </row>
    <row r="244" spans="5:168">
      <c r="E244" s="170">
        <v>28</v>
      </c>
      <c r="F244" s="217">
        <f t="shared" si="679"/>
        <v>2.8000000000000003</v>
      </c>
      <c r="G244" s="217"/>
      <c r="H244" s="217">
        <f t="shared" si="603"/>
        <v>42.000000000000007</v>
      </c>
      <c r="I244" s="541">
        <f t="shared" si="604"/>
        <v>84.753268114390082</v>
      </c>
      <c r="J244" s="172">
        <f t="shared" si="605"/>
        <v>15.548039131365949</v>
      </c>
      <c r="K244" s="172">
        <f t="shared" si="606"/>
        <v>100.30130724575604</v>
      </c>
      <c r="L244" s="443"/>
      <c r="M244" s="217">
        <f t="shared" si="607"/>
        <v>0.15502984391561525</v>
      </c>
      <c r="N244" s="172">
        <f t="shared" si="608"/>
        <v>329.8781973075603</v>
      </c>
      <c r="O244" s="172">
        <f t="shared" si="599"/>
        <v>42.000000000000007</v>
      </c>
      <c r="P244" s="217">
        <f t="shared" si="609"/>
        <v>21.991879820504021</v>
      </c>
      <c r="Q244" s="217">
        <f t="shared" si="610"/>
        <v>15</v>
      </c>
      <c r="R244" s="217"/>
      <c r="S244" s="172">
        <f t="shared" si="611"/>
        <v>672.02275670645292</v>
      </c>
      <c r="T244" s="172">
        <f t="shared" si="612"/>
        <v>15</v>
      </c>
      <c r="U244" s="217">
        <f t="shared" si="613"/>
        <v>6.6274530049091389</v>
      </c>
      <c r="V244" s="217">
        <f t="shared" si="614"/>
        <v>0.93836424043931987</v>
      </c>
      <c r="W244" s="217">
        <f t="shared" si="615"/>
        <v>5.115078202914372</v>
      </c>
      <c r="X244" s="197">
        <f t="shared" si="616"/>
        <v>109.48238241177424</v>
      </c>
      <c r="Y244" s="443">
        <f t="shared" si="680"/>
        <v>159.91192196273013</v>
      </c>
      <c r="AA244" s="217">
        <f t="shared" si="617"/>
        <v>10</v>
      </c>
      <c r="AB244" s="173">
        <f t="shared" si="618"/>
        <v>7.7180150491078416</v>
      </c>
      <c r="AC244" s="173">
        <f t="shared" si="619"/>
        <v>4.2249333753312666</v>
      </c>
      <c r="AD244" s="173"/>
      <c r="AE244" s="173">
        <f t="shared" si="620"/>
        <v>7.7180150491078416</v>
      </c>
      <c r="AF244" s="545">
        <f t="shared" si="621"/>
        <v>72.557515946374423</v>
      </c>
      <c r="AG244" s="528">
        <f t="shared" si="622"/>
        <v>4.2249333753312666</v>
      </c>
      <c r="AI244" s="173">
        <f t="shared" si="623"/>
        <v>4.5530999156422283</v>
      </c>
      <c r="AJ244" s="173">
        <f t="shared" si="624"/>
        <v>10</v>
      </c>
      <c r="AK244" s="173">
        <f t="shared" si="625"/>
        <v>1.0414614376836426</v>
      </c>
      <c r="AM244" s="545">
        <f t="shared" si="626"/>
        <v>2800.0000000000005</v>
      </c>
      <c r="AN244" s="460">
        <f t="shared" si="627"/>
        <v>72.557515946374423</v>
      </c>
      <c r="AP244">
        <f t="shared" si="628"/>
        <v>2800.0000000000005</v>
      </c>
      <c r="AQ244">
        <f t="shared" si="629"/>
        <v>72.557515946374423</v>
      </c>
      <c r="AS244" s="5">
        <f t="shared" si="600"/>
        <v>13.782169730549716</v>
      </c>
      <c r="AT244" s="5">
        <f t="shared" si="630"/>
        <v>1.4158746048357451</v>
      </c>
      <c r="AU244" s="5">
        <f t="shared" si="722"/>
        <v>12.366295125713972</v>
      </c>
      <c r="AV244" s="5"/>
      <c r="AW244" s="173">
        <f t="shared" si="723"/>
        <v>0.10273234421843618</v>
      </c>
      <c r="AX244" s="173">
        <f t="shared" si="631"/>
        <v>43.534509567824657</v>
      </c>
      <c r="AY244" s="173">
        <f t="shared" si="632"/>
        <v>4.4863382789078194</v>
      </c>
      <c r="AZ244" s="173">
        <f t="shared" si="633"/>
        <v>9.7037955814653714</v>
      </c>
      <c r="BA244" s="460">
        <f t="shared" si="594"/>
        <v>26.429659290267246</v>
      </c>
      <c r="BB244" s="5">
        <f t="shared" si="595"/>
        <v>2.1131700443244359</v>
      </c>
      <c r="BD244" s="173">
        <f t="shared" si="681"/>
        <v>1.850516542468041</v>
      </c>
      <c r="BE244" s="173">
        <f t="shared" si="682"/>
        <v>5.4689049963759162</v>
      </c>
      <c r="BG244" s="528">
        <f t="shared" si="683"/>
        <v>6.8488229478957469E-2</v>
      </c>
      <c r="BH244" s="528">
        <f t="shared" si="634"/>
        <v>1.3645525687361522</v>
      </c>
      <c r="BI244" s="528">
        <f t="shared" si="635"/>
        <v>0.15373716506793011</v>
      </c>
      <c r="BJ244" s="528">
        <f t="shared" si="684"/>
        <v>7.299541677322155E-2</v>
      </c>
      <c r="BK244">
        <f t="shared" si="685"/>
        <v>3.8138970651475534E-2</v>
      </c>
      <c r="BL244" s="460">
        <f t="shared" si="686"/>
        <v>191.87613571940565</v>
      </c>
      <c r="BM244" s="528">
        <f t="shared" si="636"/>
        <v>1.5497467611948905</v>
      </c>
      <c r="BN244" s="460">
        <f t="shared" si="687"/>
        <v>1549.7467611948905</v>
      </c>
      <c r="BO244" s="528">
        <f t="shared" si="637"/>
        <v>1.96</v>
      </c>
      <c r="BR244" s="460">
        <f t="shared" si="688"/>
        <v>1960</v>
      </c>
      <c r="BS244" s="528">
        <f t="shared" si="689"/>
        <v>0.10273234421843619</v>
      </c>
      <c r="BT244" s="528">
        <f t="shared" si="690"/>
        <v>0.89726765578156387</v>
      </c>
      <c r="BU244" s="528">
        <f t="shared" si="691"/>
        <v>0.709048625084026</v>
      </c>
      <c r="BV244" s="528"/>
      <c r="BW244" s="528">
        <f t="shared" si="692"/>
        <v>7.255751594637443E-3</v>
      </c>
      <c r="BX244" s="460">
        <f t="shared" si="693"/>
        <v>1716.3043766786634</v>
      </c>
      <c r="BY244" s="173">
        <f t="shared" si="694"/>
        <v>5.3742167273864005</v>
      </c>
      <c r="BZ244" s="5">
        <f t="shared" si="695"/>
        <v>42.000000000000007</v>
      </c>
      <c r="CA244" s="173">
        <f t="shared" si="696"/>
        <v>0.88655819349347387</v>
      </c>
      <c r="CB244" s="5">
        <f t="shared" si="697"/>
        <v>88.655819349347382</v>
      </c>
      <c r="CE244" s="562">
        <f t="shared" si="638"/>
        <v>-50</v>
      </c>
      <c r="CF244">
        <f t="shared" si="639"/>
        <v>-50</v>
      </c>
      <c r="CG244" s="173">
        <f t="shared" si="640"/>
        <v>0.56741754173330483</v>
      </c>
      <c r="CI244" s="170">
        <v>28</v>
      </c>
      <c r="CJ244" s="217">
        <f t="shared" si="698"/>
        <v>2.8000000000000003</v>
      </c>
      <c r="CK244" s="217"/>
      <c r="CL244" s="217">
        <f t="shared" si="641"/>
        <v>42.000000000000007</v>
      </c>
      <c r="CM244" s="541">
        <f t="shared" si="642"/>
        <v>85</v>
      </c>
      <c r="CN244" s="443">
        <f t="shared" si="643"/>
        <v>15.4</v>
      </c>
      <c r="CO244" s="443">
        <f t="shared" si="644"/>
        <v>100.4</v>
      </c>
      <c r="CP244" s="443"/>
      <c r="CQ244" s="217">
        <f t="shared" si="645"/>
        <v>0.15338645418326693</v>
      </c>
      <c r="CR244" s="172">
        <f t="shared" si="646"/>
        <v>327.33148655378488</v>
      </c>
      <c r="CS244" s="172">
        <f t="shared" si="647"/>
        <v>42.000000000000007</v>
      </c>
      <c r="CT244" s="217">
        <f t="shared" si="648"/>
        <v>21.822099103585661</v>
      </c>
      <c r="CU244" s="217">
        <f t="shared" si="649"/>
        <v>15</v>
      </c>
      <c r="CV244" s="217"/>
      <c r="CW244" s="172">
        <f t="shared" si="650"/>
        <v>673.9789881832387</v>
      </c>
      <c r="CX244" s="172">
        <f t="shared" si="651"/>
        <v>15</v>
      </c>
      <c r="CY244" s="217">
        <f t="shared" si="652"/>
        <v>6.4427807486631021</v>
      </c>
      <c r="CZ244" s="217">
        <f t="shared" si="653"/>
        <v>0.90956904687008489</v>
      </c>
      <c r="DA244" s="217">
        <f t="shared" si="654"/>
        <v>5.0203486353218976</v>
      </c>
      <c r="DB244" s="197">
        <f t="shared" si="655"/>
        <v>108.64873837981409</v>
      </c>
      <c r="DC244" s="443">
        <f t="shared" si="656"/>
        <v>168.63640502178978</v>
      </c>
      <c r="DE244" s="217">
        <f t="shared" si="657"/>
        <v>10</v>
      </c>
      <c r="DF244" s="173">
        <f t="shared" si="658"/>
        <v>7.7922077922077913</v>
      </c>
      <c r="DG244" s="173">
        <f t="shared" si="659"/>
        <v>4.2330677290836656</v>
      </c>
      <c r="DH244" s="173"/>
      <c r="DI244" s="173">
        <f t="shared" si="660"/>
        <v>7.7922077922077913</v>
      </c>
      <c r="DJ244" s="545">
        <f t="shared" si="661"/>
        <v>71.866666666666674</v>
      </c>
      <c r="DK244" s="528">
        <f t="shared" si="662"/>
        <v>4.2330677290836656</v>
      </c>
      <c r="DM244" s="173">
        <f t="shared" si="663"/>
        <v>4.5313721247910479</v>
      </c>
      <c r="DN244" s="173">
        <f t="shared" si="664"/>
        <v>10</v>
      </c>
      <c r="DO244" s="173">
        <f t="shared" si="665"/>
        <v>1.0410666666666666</v>
      </c>
      <c r="DQ244" s="545">
        <f t="shared" si="666"/>
        <v>2800.0000000000005</v>
      </c>
      <c r="DR244" s="460">
        <f t="shared" si="667"/>
        <v>71.866666666666674</v>
      </c>
      <c r="DT244">
        <f t="shared" si="668"/>
        <v>2800.0000000000005</v>
      </c>
      <c r="DU244">
        <f t="shared" si="669"/>
        <v>71.866666666666674</v>
      </c>
      <c r="DW244" s="5">
        <f t="shared" si="670"/>
        <v>13.914656771799628</v>
      </c>
      <c r="DX244" s="5">
        <f t="shared" si="671"/>
        <v>1.4117647058823528</v>
      </c>
      <c r="DY244" s="5">
        <f t="shared" si="672"/>
        <v>12.502892065917274</v>
      </c>
      <c r="DZ244" s="5"/>
      <c r="EA244" s="173">
        <f t="shared" si="673"/>
        <v>0.10145882352941177</v>
      </c>
      <c r="EB244" s="173">
        <f t="shared" si="699"/>
        <v>43.120000000000005</v>
      </c>
      <c r="EC244" s="173">
        <f t="shared" si="700"/>
        <v>4.4927058823529409</v>
      </c>
      <c r="ED244" s="173">
        <f t="shared" si="701"/>
        <v>9.5977794071436069</v>
      </c>
      <c r="EE244" s="460">
        <f t="shared" si="674"/>
        <v>26.352941176470591</v>
      </c>
      <c r="EF244" s="5">
        <f t="shared" si="675"/>
        <v>2.1303102100143025</v>
      </c>
      <c r="EH244" s="173">
        <f t="shared" si="702"/>
        <v>1.8390108168017187</v>
      </c>
      <c r="EI244" s="173">
        <f t="shared" si="703"/>
        <v>5.4727847161220957</v>
      </c>
      <c r="EK244" s="528">
        <f t="shared" si="704"/>
        <v>6.7639215686274498E-2</v>
      </c>
      <c r="EL244" s="528">
        <f t="shared" si="705"/>
        <v>1.443082666666667</v>
      </c>
      <c r="EM244" s="528">
        <f t="shared" si="706"/>
        <v>8.9833333333333345E-3</v>
      </c>
      <c r="EN244" s="528">
        <f t="shared" si="707"/>
        <v>7.2442749866666684E-2</v>
      </c>
      <c r="EO244">
        <f t="shared" si="708"/>
        <v>3.8249999999999999E-2</v>
      </c>
      <c r="EP244" s="460">
        <f t="shared" si="709"/>
        <v>47.233333333333334</v>
      </c>
      <c r="EQ244" s="460"/>
      <c r="ER244" s="460">
        <f t="shared" si="710"/>
        <v>1630.3979655529413</v>
      </c>
      <c r="ES244" s="528">
        <f t="shared" si="711"/>
        <v>1.96</v>
      </c>
      <c r="EV244" s="460">
        <f t="shared" si="712"/>
        <v>1960</v>
      </c>
      <c r="EW244" s="528">
        <f t="shared" si="713"/>
        <v>0.10145882352941174</v>
      </c>
      <c r="EX244" s="528">
        <f t="shared" si="714"/>
        <v>0.89854117647058829</v>
      </c>
      <c r="EY244" s="528">
        <f t="shared" si="715"/>
        <v>0.692291116589282</v>
      </c>
      <c r="EZ244" s="528"/>
      <c r="FA244" s="528">
        <f t="shared" si="716"/>
        <v>7.1866666666666685E-3</v>
      </c>
      <c r="FB244" s="460">
        <f t="shared" si="717"/>
        <v>1699.4777832559487</v>
      </c>
      <c r="FC244" s="173">
        <f t="shared" si="718"/>
        <v>5.2898757488088899</v>
      </c>
      <c r="FD244" s="5">
        <f t="shared" si="719"/>
        <v>42.000000000000007</v>
      </c>
      <c r="FE244" s="173">
        <f t="shared" si="720"/>
        <v>0.88813936038006769</v>
      </c>
      <c r="FF244" s="5">
        <f t="shared" si="721"/>
        <v>88.813936038006773</v>
      </c>
      <c r="FI244" s="562">
        <f t="shared" si="676"/>
        <v>-50</v>
      </c>
      <c r="FJ244">
        <f t="shared" si="677"/>
        <v>-50</v>
      </c>
      <c r="FL244">
        <f t="shared" si="678"/>
        <v>0.56000000000000005</v>
      </c>
    </row>
    <row r="245" spans="5:168">
      <c r="E245" s="170">
        <v>29</v>
      </c>
      <c r="F245" s="217">
        <f t="shared" si="679"/>
        <v>2.9</v>
      </c>
      <c r="G245" s="217"/>
      <c r="H245" s="217">
        <f t="shared" si="603"/>
        <v>43.5</v>
      </c>
      <c r="I245" s="541">
        <f t="shared" si="604"/>
        <v>84.753268114390082</v>
      </c>
      <c r="J245" s="172">
        <f t="shared" si="605"/>
        <v>15.548039131365949</v>
      </c>
      <c r="K245" s="172">
        <f t="shared" si="606"/>
        <v>100.30130724575604</v>
      </c>
      <c r="L245" s="443"/>
      <c r="M245" s="217">
        <f t="shared" si="607"/>
        <v>0.15502984391561525</v>
      </c>
      <c r="N245" s="172">
        <f t="shared" si="608"/>
        <v>329.8781973075603</v>
      </c>
      <c r="O245" s="172">
        <f t="shared" si="599"/>
        <v>43.5</v>
      </c>
      <c r="P245" s="217">
        <f t="shared" si="609"/>
        <v>21.991879820504021</v>
      </c>
      <c r="Q245" s="217">
        <f t="shared" si="610"/>
        <v>15</v>
      </c>
      <c r="R245" s="217"/>
      <c r="S245" s="172">
        <f t="shared" si="611"/>
        <v>645.93080550543277</v>
      </c>
      <c r="T245" s="172">
        <f t="shared" si="612"/>
        <v>15</v>
      </c>
      <c r="U245" s="217">
        <f t="shared" si="613"/>
        <v>6.8641477550844643</v>
      </c>
      <c r="V245" s="217">
        <f t="shared" si="614"/>
        <v>0.97187724902643813</v>
      </c>
      <c r="W245" s="217">
        <f t="shared" si="615"/>
        <v>5.29775956730417</v>
      </c>
      <c r="X245" s="197">
        <f t="shared" si="616"/>
        <v>109.48238241177424</v>
      </c>
      <c r="Y245" s="443">
        <f t="shared" si="680"/>
        <v>154.5681818608129</v>
      </c>
      <c r="AA245" s="217">
        <f t="shared" si="617"/>
        <v>10</v>
      </c>
      <c r="AB245" s="173">
        <f t="shared" si="618"/>
        <v>7.7180150491078416</v>
      </c>
      <c r="AC245" s="173">
        <f t="shared" si="619"/>
        <v>4.2249333753312666</v>
      </c>
      <c r="AD245" s="173"/>
      <c r="AE245" s="173">
        <f t="shared" si="620"/>
        <v>7.7180150491078416</v>
      </c>
      <c r="AF245" s="545">
        <f t="shared" si="621"/>
        <v>75.148855801602068</v>
      </c>
      <c r="AG245" s="528">
        <f t="shared" si="622"/>
        <v>4.2249333753312666</v>
      </c>
      <c r="AI245" s="173">
        <f t="shared" si="623"/>
        <v>4.6336920115174456</v>
      </c>
      <c r="AJ245" s="173">
        <f t="shared" si="624"/>
        <v>10</v>
      </c>
      <c r="AK245" s="173">
        <f t="shared" si="625"/>
        <v>1.0429422033152012</v>
      </c>
      <c r="AM245" s="545">
        <f t="shared" si="626"/>
        <v>2900</v>
      </c>
      <c r="AN245" s="460">
        <f t="shared" si="627"/>
        <v>75.148855801602068</v>
      </c>
      <c r="AP245">
        <f t="shared" si="628"/>
        <v>2900</v>
      </c>
      <c r="AQ245">
        <f t="shared" si="629"/>
        <v>75.148855801602068</v>
      </c>
      <c r="AS245" s="5">
        <f t="shared" si="600"/>
        <v>13.306922498461798</v>
      </c>
      <c r="AT245" s="5">
        <f t="shared" si="630"/>
        <v>1.4158746048357451</v>
      </c>
      <c r="AU245" s="5">
        <f t="shared" si="722"/>
        <v>11.891047893626054</v>
      </c>
      <c r="AV245" s="5"/>
      <c r="AW245" s="173">
        <f t="shared" si="723"/>
        <v>0.10640135651195172</v>
      </c>
      <c r="AX245" s="173">
        <f t="shared" si="631"/>
        <v>45.089313480961245</v>
      </c>
      <c r="AY245" s="173">
        <f t="shared" si="632"/>
        <v>4.4679932174402417</v>
      </c>
      <c r="AZ245" s="173">
        <f t="shared" si="633"/>
        <v>10.091625319609005</v>
      </c>
      <c r="BA245" s="460">
        <f t="shared" ref="BA245:BA308" si="724">F245*AT245/Vout_ripple*1000</f>
        <v>27.37357569349107</v>
      </c>
      <c r="BB245" s="5">
        <f t="shared" ref="BB245:BB308" si="725">H245/Efficiency/I245*AU245/Vinripple1</f>
        <v>2.1045290921838378</v>
      </c>
      <c r="BD245" s="173">
        <f t="shared" si="681"/>
        <v>1.883271590539114</v>
      </c>
      <c r="BE245" s="173">
        <f t="shared" si="682"/>
        <v>5.4577121076144728</v>
      </c>
      <c r="BG245" s="528">
        <f t="shared" si="683"/>
        <v>7.0934237674634484E-2</v>
      </c>
      <c r="BH245" s="528">
        <f t="shared" si="634"/>
        <v>1.4132865890481572</v>
      </c>
      <c r="BI245" s="528">
        <f t="shared" si="635"/>
        <v>0.15922777810607044</v>
      </c>
      <c r="BJ245" s="528">
        <f t="shared" si="684"/>
        <v>7.5602395943693737E-2</v>
      </c>
      <c r="BK245">
        <f t="shared" si="685"/>
        <v>3.8138970651475534E-2</v>
      </c>
      <c r="BL245" s="460">
        <f t="shared" si="686"/>
        <v>197.36674875754599</v>
      </c>
      <c r="BM245" s="528">
        <f t="shared" si="636"/>
        <v>1.6060436867781154</v>
      </c>
      <c r="BN245" s="460">
        <f t="shared" si="687"/>
        <v>1606.0436867781154</v>
      </c>
      <c r="BO245" s="528">
        <f t="shared" si="637"/>
        <v>2.0299999999999998</v>
      </c>
      <c r="BR245" s="460">
        <f t="shared" si="688"/>
        <v>2029.9999999999998</v>
      </c>
      <c r="BS245" s="528">
        <f t="shared" si="689"/>
        <v>0.10640135651195172</v>
      </c>
      <c r="BT245" s="528">
        <f t="shared" si="690"/>
        <v>0.89359864348804829</v>
      </c>
      <c r="BU245" s="528">
        <f t="shared" si="691"/>
        <v>0.77406233485690479</v>
      </c>
      <c r="BV245" s="528"/>
      <c r="BW245" s="528">
        <f t="shared" si="692"/>
        <v>7.514885580160207E-3</v>
      </c>
      <c r="BX245" s="460">
        <f t="shared" si="693"/>
        <v>1781.5772204370649</v>
      </c>
      <c r="BY245" s="173">
        <f t="shared" si="694"/>
        <v>5.5687671918610961</v>
      </c>
      <c r="BZ245" s="5">
        <f t="shared" si="695"/>
        <v>43.5</v>
      </c>
      <c r="CA245" s="173">
        <f t="shared" si="696"/>
        <v>0.88651096184897071</v>
      </c>
      <c r="CB245" s="5">
        <f t="shared" si="697"/>
        <v>88.651096184897071</v>
      </c>
      <c r="CE245" s="562">
        <f t="shared" si="638"/>
        <v>-50</v>
      </c>
      <c r="CF245">
        <f t="shared" si="639"/>
        <v>-50</v>
      </c>
      <c r="CG245" s="173">
        <f t="shared" si="640"/>
        <v>0.58768245393806562</v>
      </c>
      <c r="CI245" s="170">
        <v>29</v>
      </c>
      <c r="CJ245" s="217">
        <f t="shared" si="698"/>
        <v>2.9</v>
      </c>
      <c r="CK245" s="217"/>
      <c r="CL245" s="217">
        <f t="shared" si="641"/>
        <v>43.5</v>
      </c>
      <c r="CM245" s="541">
        <f t="shared" si="642"/>
        <v>85</v>
      </c>
      <c r="CN245" s="443">
        <f t="shared" si="643"/>
        <v>15.4</v>
      </c>
      <c r="CO245" s="443">
        <f t="shared" si="644"/>
        <v>100.4</v>
      </c>
      <c r="CP245" s="443"/>
      <c r="CQ245" s="217">
        <f t="shared" si="645"/>
        <v>0.15338645418326693</v>
      </c>
      <c r="CR245" s="172">
        <f t="shared" si="646"/>
        <v>327.33148655378488</v>
      </c>
      <c r="CS245" s="172">
        <f t="shared" si="647"/>
        <v>43.5</v>
      </c>
      <c r="CT245" s="217">
        <f t="shared" si="648"/>
        <v>21.822099103585661</v>
      </c>
      <c r="CU245" s="217">
        <f t="shared" si="649"/>
        <v>15</v>
      </c>
      <c r="CV245" s="217"/>
      <c r="CW245" s="172">
        <f t="shared" si="650"/>
        <v>647.81107274027545</v>
      </c>
      <c r="CX245" s="172">
        <f t="shared" si="651"/>
        <v>15</v>
      </c>
      <c r="CY245" s="217">
        <f t="shared" si="652"/>
        <v>6.6728800611153547</v>
      </c>
      <c r="CZ245" s="217">
        <f t="shared" si="653"/>
        <v>0.94205365568687371</v>
      </c>
      <c r="DA245" s="217">
        <f t="shared" si="654"/>
        <v>5.1996468008691084</v>
      </c>
      <c r="DB245" s="197">
        <f t="shared" si="655"/>
        <v>108.64873837981409</v>
      </c>
      <c r="DC245" s="443">
        <f t="shared" si="656"/>
        <v>162.82135657276254</v>
      </c>
      <c r="DE245" s="217">
        <f t="shared" si="657"/>
        <v>10</v>
      </c>
      <c r="DF245" s="173">
        <f t="shared" si="658"/>
        <v>7.7922077922077913</v>
      </c>
      <c r="DG245" s="173">
        <f t="shared" si="659"/>
        <v>4.2330677290836656</v>
      </c>
      <c r="DH245" s="173"/>
      <c r="DI245" s="173">
        <f t="shared" si="660"/>
        <v>7.7922077922077913</v>
      </c>
      <c r="DJ245" s="545">
        <f t="shared" si="661"/>
        <v>74.433333333333323</v>
      </c>
      <c r="DK245" s="528">
        <f t="shared" si="662"/>
        <v>4.2330677290836656</v>
      </c>
      <c r="DM245" s="173">
        <f t="shared" si="663"/>
        <v>4.6115796281390038</v>
      </c>
      <c r="DN245" s="173">
        <f t="shared" si="664"/>
        <v>10</v>
      </c>
      <c r="DO245" s="173">
        <f t="shared" si="665"/>
        <v>1.0425333333333333</v>
      </c>
      <c r="DQ245" s="545">
        <f t="shared" si="666"/>
        <v>2900</v>
      </c>
      <c r="DR245" s="460">
        <f t="shared" si="667"/>
        <v>74.433333333333323</v>
      </c>
      <c r="DT245">
        <f t="shared" si="668"/>
        <v>2900</v>
      </c>
      <c r="DU245">
        <f t="shared" si="669"/>
        <v>74.433333333333323</v>
      </c>
      <c r="DW245" s="5">
        <f t="shared" si="670"/>
        <v>13.434841021047919</v>
      </c>
      <c r="DX245" s="5">
        <f t="shared" si="671"/>
        <v>1.4117647058823528</v>
      </c>
      <c r="DY245" s="5">
        <f t="shared" si="672"/>
        <v>12.023076315165566</v>
      </c>
      <c r="DZ245" s="5"/>
      <c r="EA245" s="173">
        <f t="shared" si="673"/>
        <v>0.10508235294117645</v>
      </c>
      <c r="EB245" s="173">
        <f t="shared" si="699"/>
        <v>44.66</v>
      </c>
      <c r="EC245" s="173">
        <f t="shared" si="700"/>
        <v>4.4745882352941182</v>
      </c>
      <c r="ED245" s="173">
        <f t="shared" si="701"/>
        <v>9.9808066466845435</v>
      </c>
      <c r="EE245" s="460">
        <f t="shared" si="674"/>
        <v>27.294117647058822</v>
      </c>
      <c r="EF245" s="5">
        <f t="shared" si="675"/>
        <v>2.1217193497350997</v>
      </c>
      <c r="EH245" s="173">
        <f t="shared" si="702"/>
        <v>1.8715622078999177</v>
      </c>
      <c r="EI245" s="173">
        <f t="shared" si="703"/>
        <v>5.4617385725878638</v>
      </c>
      <c r="EK245" s="528">
        <f t="shared" si="704"/>
        <v>7.0054901960784288E-2</v>
      </c>
      <c r="EL245" s="528">
        <f t="shared" si="705"/>
        <v>1.4946213333333331</v>
      </c>
      <c r="EM245" s="528">
        <f t="shared" si="706"/>
        <v>9.3041666666666654E-3</v>
      </c>
      <c r="EN245" s="528">
        <f t="shared" si="707"/>
        <v>7.5029990933333332E-2</v>
      </c>
      <c r="EO245">
        <f t="shared" si="708"/>
        <v>3.8249999999999999E-2</v>
      </c>
      <c r="EP245" s="460">
        <f t="shared" si="709"/>
        <v>47.55416666666666</v>
      </c>
      <c r="EQ245" s="460"/>
      <c r="ER245" s="460">
        <f t="shared" si="710"/>
        <v>1687.2603928941176</v>
      </c>
      <c r="ES245" s="528">
        <f t="shared" si="711"/>
        <v>2.0299999999999998</v>
      </c>
      <c r="EV245" s="460">
        <f t="shared" si="712"/>
        <v>2029.9999999999998</v>
      </c>
      <c r="EW245" s="528">
        <f t="shared" si="713"/>
        <v>0.10508235294117643</v>
      </c>
      <c r="EX245" s="528">
        <f t="shared" si="714"/>
        <v>0.89491764705882348</v>
      </c>
      <c r="EY245" s="528">
        <f t="shared" si="715"/>
        <v>0.75576830579749188</v>
      </c>
      <c r="EZ245" s="528"/>
      <c r="FA245" s="528">
        <f t="shared" si="716"/>
        <v>7.4433333333333331E-3</v>
      </c>
      <c r="FB245" s="460">
        <f t="shared" si="717"/>
        <v>1763.211639130825</v>
      </c>
      <c r="FC245" s="173">
        <f t="shared" si="718"/>
        <v>5.4804720320249434</v>
      </c>
      <c r="FD245" s="5">
        <f t="shared" si="719"/>
        <v>43.5</v>
      </c>
      <c r="FE245" s="173">
        <f t="shared" si="720"/>
        <v>0.88810904009986591</v>
      </c>
      <c r="FF245" s="5">
        <f t="shared" si="721"/>
        <v>88.810904009986587</v>
      </c>
      <c r="FI245" s="562">
        <f t="shared" si="676"/>
        <v>-50</v>
      </c>
      <c r="FJ245">
        <f t="shared" si="677"/>
        <v>-50</v>
      </c>
      <c r="FL245">
        <f t="shared" si="678"/>
        <v>0.57999999999999985</v>
      </c>
    </row>
    <row r="246" spans="5:168">
      <c r="E246" s="170">
        <v>30</v>
      </c>
      <c r="F246" s="217">
        <f t="shared" si="679"/>
        <v>3</v>
      </c>
      <c r="G246" s="217"/>
      <c r="H246" s="217">
        <f t="shared" si="603"/>
        <v>45</v>
      </c>
      <c r="I246" s="541">
        <f t="shared" si="604"/>
        <v>84.753268114390082</v>
      </c>
      <c r="J246" s="172">
        <f t="shared" si="605"/>
        <v>15.548039131365949</v>
      </c>
      <c r="K246" s="172">
        <f t="shared" si="606"/>
        <v>100.30130724575604</v>
      </c>
      <c r="L246" s="443"/>
      <c r="M246" s="217">
        <f t="shared" si="607"/>
        <v>0.15502984391561525</v>
      </c>
      <c r="N246" s="172">
        <f t="shared" si="608"/>
        <v>329.8781973075603</v>
      </c>
      <c r="O246" s="172">
        <f t="shared" si="599"/>
        <v>45</v>
      </c>
      <c r="P246" s="217">
        <f t="shared" si="609"/>
        <v>21.991879820504021</v>
      </c>
      <c r="Q246" s="217">
        <f t="shared" si="610"/>
        <v>15</v>
      </c>
      <c r="R246" s="217"/>
      <c r="S246" s="172">
        <f t="shared" si="611"/>
        <v>621.57847176810208</v>
      </c>
      <c r="T246" s="172">
        <f t="shared" si="612"/>
        <v>15</v>
      </c>
      <c r="U246" s="217">
        <f t="shared" si="613"/>
        <v>7.1008425052597914</v>
      </c>
      <c r="V246" s="217">
        <f t="shared" si="614"/>
        <v>1.0053902576135569</v>
      </c>
      <c r="W246" s="217">
        <f t="shared" si="615"/>
        <v>5.4804409316939697</v>
      </c>
      <c r="X246" s="197">
        <f t="shared" si="616"/>
        <v>109.48238241177424</v>
      </c>
      <c r="Y246" s="443">
        <f t="shared" si="680"/>
        <v>149.57003425382226</v>
      </c>
      <c r="AA246" s="217">
        <f t="shared" si="617"/>
        <v>10</v>
      </c>
      <c r="AB246" s="173">
        <f t="shared" si="618"/>
        <v>7.7180150491078416</v>
      </c>
      <c r="AC246" s="173">
        <f t="shared" si="619"/>
        <v>4.2249333753312666</v>
      </c>
      <c r="AD246" s="173"/>
      <c r="AE246" s="173">
        <f t="shared" si="620"/>
        <v>7.7180150491078416</v>
      </c>
      <c r="AF246" s="545">
        <f t="shared" si="621"/>
        <v>77.740195656829727</v>
      </c>
      <c r="AG246" s="528">
        <f t="shared" si="622"/>
        <v>4.2249333753312666</v>
      </c>
      <c r="AI246" s="173">
        <f t="shared" si="623"/>
        <v>4.7129061600439197</v>
      </c>
      <c r="AJ246" s="173">
        <f t="shared" si="624"/>
        <v>10</v>
      </c>
      <c r="AK246" s="173">
        <f t="shared" si="625"/>
        <v>1.0444229689467599</v>
      </c>
      <c r="AM246" s="545">
        <f t="shared" si="626"/>
        <v>3000</v>
      </c>
      <c r="AN246" s="460">
        <f t="shared" si="627"/>
        <v>77.740195656829727</v>
      </c>
      <c r="AP246">
        <f t="shared" si="628"/>
        <v>3000</v>
      </c>
      <c r="AQ246">
        <f t="shared" si="629"/>
        <v>77.740195656829727</v>
      </c>
      <c r="AS246" s="5">
        <f t="shared" si="600"/>
        <v>12.863358415179738</v>
      </c>
      <c r="AT246" s="5">
        <f t="shared" si="630"/>
        <v>1.4158746048357451</v>
      </c>
      <c r="AU246" s="5">
        <f t="shared" si="722"/>
        <v>11.447483810343993</v>
      </c>
      <c r="AV246" s="5"/>
      <c r="AW246" s="173">
        <f t="shared" si="723"/>
        <v>0.11007036880546731</v>
      </c>
      <c r="AX246" s="173">
        <f t="shared" si="631"/>
        <v>46.64411739409784</v>
      </c>
      <c r="AY246" s="173">
        <f t="shared" si="632"/>
        <v>4.4496481559726639</v>
      </c>
      <c r="AZ246" s="173">
        <f t="shared" si="633"/>
        <v>10.482652955714819</v>
      </c>
      <c r="BA246" s="460">
        <f t="shared" si="724"/>
        <v>28.317492096714908</v>
      </c>
      <c r="BB246" s="5">
        <f t="shared" si="725"/>
        <v>2.0958881400432396</v>
      </c>
      <c r="BD246" s="173">
        <f t="shared" si="681"/>
        <v>1.9154665994257321</v>
      </c>
      <c r="BE246" s="173">
        <f t="shared" si="682"/>
        <v>5.4464962168184563</v>
      </c>
      <c r="BG246" s="528">
        <f t="shared" si="683"/>
        <v>7.3380245870311556E-2</v>
      </c>
      <c r="BH246" s="528">
        <f t="shared" si="634"/>
        <v>1.4620206093601626</v>
      </c>
      <c r="BI246" s="528">
        <f t="shared" si="635"/>
        <v>0.16471839114421083</v>
      </c>
      <c r="BJ246" s="528">
        <f t="shared" si="684"/>
        <v>7.8209375114165938E-2</v>
      </c>
      <c r="BK246">
        <f t="shared" si="685"/>
        <v>3.8138970651475534E-2</v>
      </c>
      <c r="BL246" s="460">
        <f t="shared" si="686"/>
        <v>202.85736179568636</v>
      </c>
      <c r="BM246" s="528">
        <f t="shared" si="636"/>
        <v>1.6624072098408451</v>
      </c>
      <c r="BN246" s="460">
        <f t="shared" si="687"/>
        <v>1662.4072098408451</v>
      </c>
      <c r="BO246" s="528">
        <f t="shared" si="637"/>
        <v>2.0999999999999996</v>
      </c>
      <c r="BR246" s="460">
        <f t="shared" si="688"/>
        <v>2099.9999999999995</v>
      </c>
      <c r="BS246" s="528">
        <f t="shared" si="689"/>
        <v>0.11007036880546733</v>
      </c>
      <c r="BT246" s="528">
        <f t="shared" si="690"/>
        <v>0.88992963119453272</v>
      </c>
      <c r="BU246" s="528">
        <f t="shared" si="691"/>
        <v>0.8425274855789171</v>
      </c>
      <c r="BV246" s="528"/>
      <c r="BW246" s="528">
        <f t="shared" si="692"/>
        <v>7.7740195656829736E-3</v>
      </c>
      <c r="BX246" s="460">
        <f t="shared" si="693"/>
        <v>1850.3015051446</v>
      </c>
      <c r="BY246" s="173">
        <f t="shared" si="694"/>
        <v>5.7667690972849259</v>
      </c>
      <c r="BZ246" s="5">
        <f t="shared" si="695"/>
        <v>45</v>
      </c>
      <c r="CA246" s="173">
        <f t="shared" si="696"/>
        <v>0.88640661598468073</v>
      </c>
      <c r="CB246" s="5">
        <f t="shared" si="697"/>
        <v>88.640661598468071</v>
      </c>
      <c r="CE246" s="562">
        <f t="shared" si="638"/>
        <v>-50</v>
      </c>
      <c r="CF246">
        <f t="shared" si="639"/>
        <v>-50</v>
      </c>
      <c r="CG246" s="173">
        <f t="shared" si="640"/>
        <v>0.60794736614282663</v>
      </c>
      <c r="CI246" s="170">
        <v>30</v>
      </c>
      <c r="CJ246" s="217">
        <f t="shared" si="698"/>
        <v>3</v>
      </c>
      <c r="CK246" s="217"/>
      <c r="CL246" s="217">
        <f t="shared" si="641"/>
        <v>45</v>
      </c>
      <c r="CM246" s="541">
        <f t="shared" si="642"/>
        <v>85</v>
      </c>
      <c r="CN246" s="443">
        <f t="shared" si="643"/>
        <v>15.4</v>
      </c>
      <c r="CO246" s="443">
        <f t="shared" si="644"/>
        <v>100.4</v>
      </c>
      <c r="CP246" s="443"/>
      <c r="CQ246" s="217">
        <f t="shared" si="645"/>
        <v>0.15338645418326693</v>
      </c>
      <c r="CR246" s="172">
        <f t="shared" si="646"/>
        <v>327.33148655378488</v>
      </c>
      <c r="CS246" s="172">
        <f t="shared" si="647"/>
        <v>45</v>
      </c>
      <c r="CT246" s="217">
        <f t="shared" si="648"/>
        <v>21.822099103585661</v>
      </c>
      <c r="CU246" s="217">
        <f t="shared" si="649"/>
        <v>15</v>
      </c>
      <c r="CV246" s="217"/>
      <c r="CW246" s="172">
        <f t="shared" si="650"/>
        <v>623.3878390448458</v>
      </c>
      <c r="CX246" s="172">
        <f t="shared" si="651"/>
        <v>15</v>
      </c>
      <c r="CY246" s="217">
        <f t="shared" si="652"/>
        <v>6.902979373567609</v>
      </c>
      <c r="CZ246" s="217">
        <f t="shared" si="653"/>
        <v>0.97453826450366232</v>
      </c>
      <c r="DA246" s="217">
        <f t="shared" si="654"/>
        <v>5.3789449664163183</v>
      </c>
      <c r="DB246" s="197">
        <f t="shared" si="655"/>
        <v>108.64873837981409</v>
      </c>
      <c r="DC246" s="443">
        <f t="shared" si="656"/>
        <v>157.39397802033713</v>
      </c>
      <c r="DE246" s="217">
        <f t="shared" si="657"/>
        <v>10</v>
      </c>
      <c r="DF246" s="173">
        <f t="shared" si="658"/>
        <v>7.7922077922077913</v>
      </c>
      <c r="DG246" s="173">
        <f t="shared" si="659"/>
        <v>4.2330677290836656</v>
      </c>
      <c r="DH246" s="173"/>
      <c r="DI246" s="173">
        <f t="shared" si="660"/>
        <v>7.7922077922077913</v>
      </c>
      <c r="DJ246" s="545">
        <f t="shared" si="661"/>
        <v>77</v>
      </c>
      <c r="DK246" s="528">
        <f t="shared" si="662"/>
        <v>4.2330677290836656</v>
      </c>
      <c r="DM246" s="173">
        <f t="shared" si="663"/>
        <v>4.6904157598234297</v>
      </c>
      <c r="DN246" s="173">
        <f t="shared" si="664"/>
        <v>10</v>
      </c>
      <c r="DO246" s="173">
        <f t="shared" si="665"/>
        <v>1.044</v>
      </c>
      <c r="DQ246" s="545">
        <f t="shared" si="666"/>
        <v>3000</v>
      </c>
      <c r="DR246" s="460">
        <f t="shared" si="667"/>
        <v>77</v>
      </c>
      <c r="DT246">
        <f t="shared" si="668"/>
        <v>3000</v>
      </c>
      <c r="DU246">
        <f t="shared" si="669"/>
        <v>77</v>
      </c>
      <c r="DW246" s="5">
        <f t="shared" si="670"/>
        <v>12.987012987012989</v>
      </c>
      <c r="DX246" s="5">
        <f t="shared" si="671"/>
        <v>1.4117647058823528</v>
      </c>
      <c r="DY246" s="5">
        <f t="shared" si="672"/>
        <v>11.575248281130635</v>
      </c>
      <c r="DZ246" s="5"/>
      <c r="EA246" s="173">
        <f t="shared" si="673"/>
        <v>0.10870588235294115</v>
      </c>
      <c r="EB246" s="173">
        <f t="shared" si="699"/>
        <v>46.2</v>
      </c>
      <c r="EC246" s="173">
        <f t="shared" si="700"/>
        <v>4.4564705882352937</v>
      </c>
      <c r="ED246" s="173">
        <f t="shared" si="701"/>
        <v>10.366948257655757</v>
      </c>
      <c r="EE246" s="460">
        <f t="shared" si="674"/>
        <v>28.235294117647054</v>
      </c>
      <c r="EF246" s="5">
        <f t="shared" si="675"/>
        <v>2.1131284894558968</v>
      </c>
      <c r="EH246" s="173">
        <f t="shared" si="702"/>
        <v>1.9035570418993766</v>
      </c>
      <c r="EI246" s="173">
        <f t="shared" si="703"/>
        <v>5.4506700433587643</v>
      </c>
      <c r="EK246" s="528">
        <f t="shared" si="704"/>
        <v>7.2470588235294106E-2</v>
      </c>
      <c r="EL246" s="528">
        <f t="shared" si="705"/>
        <v>1.54616</v>
      </c>
      <c r="EM246" s="528">
        <f t="shared" si="706"/>
        <v>9.6249999999999999E-3</v>
      </c>
      <c r="EN246" s="528">
        <f t="shared" si="707"/>
        <v>7.7617232000000008E-2</v>
      </c>
      <c r="EO246">
        <f t="shared" si="708"/>
        <v>3.8249999999999999E-2</v>
      </c>
      <c r="EP246" s="460">
        <f t="shared" si="709"/>
        <v>47.875</v>
      </c>
      <c r="EQ246" s="460"/>
      <c r="ER246" s="460">
        <f t="shared" si="710"/>
        <v>1744.1228202352938</v>
      </c>
      <c r="ES246" s="528">
        <f t="shared" si="711"/>
        <v>2.0999999999999996</v>
      </c>
      <c r="EV246" s="460">
        <f t="shared" si="712"/>
        <v>2099.9999999999995</v>
      </c>
      <c r="EW246" s="528">
        <f t="shared" si="713"/>
        <v>0.10870588235294115</v>
      </c>
      <c r="EX246" s="528">
        <f t="shared" si="714"/>
        <v>0.8912941176470589</v>
      </c>
      <c r="EY246" s="528">
        <f t="shared" si="715"/>
        <v>0.82261536531358459</v>
      </c>
      <c r="EZ246" s="528"/>
      <c r="FA246" s="528">
        <f t="shared" si="716"/>
        <v>7.7000000000000011E-3</v>
      </c>
      <c r="FB246" s="460">
        <f t="shared" si="717"/>
        <v>1830.3153653135846</v>
      </c>
      <c r="FC246" s="173">
        <f t="shared" si="718"/>
        <v>5.6744381855488779</v>
      </c>
      <c r="FD246" s="5">
        <f t="shared" si="719"/>
        <v>45</v>
      </c>
      <c r="FE246" s="173">
        <f t="shared" si="720"/>
        <v>0.88802168531654113</v>
      </c>
      <c r="FF246" s="5">
        <f t="shared" si="721"/>
        <v>88.802168531654118</v>
      </c>
      <c r="FI246" s="562">
        <f t="shared" si="676"/>
        <v>-50</v>
      </c>
      <c r="FJ246">
        <f t="shared" si="677"/>
        <v>-50</v>
      </c>
      <c r="FL246">
        <f t="shared" si="678"/>
        <v>0.6</v>
      </c>
    </row>
    <row r="247" spans="5:168">
      <c r="E247" s="170">
        <v>31</v>
      </c>
      <c r="F247" s="217">
        <f t="shared" si="679"/>
        <v>3.1</v>
      </c>
      <c r="G247" s="217"/>
      <c r="H247" s="217">
        <f t="shared" si="603"/>
        <v>46.5</v>
      </c>
      <c r="I247" s="541">
        <f t="shared" si="604"/>
        <v>84.753268114390082</v>
      </c>
      <c r="J247" s="172">
        <f t="shared" si="605"/>
        <v>15.548039131365949</v>
      </c>
      <c r="K247" s="172">
        <f t="shared" si="606"/>
        <v>100.30130724575604</v>
      </c>
      <c r="L247" s="443"/>
      <c r="M247" s="217">
        <f t="shared" si="607"/>
        <v>0.15502984391561525</v>
      </c>
      <c r="N247" s="172">
        <f t="shared" si="608"/>
        <v>329.8781973075603</v>
      </c>
      <c r="O247" s="172">
        <f t="shared" si="599"/>
        <v>46.5</v>
      </c>
      <c r="P247" s="217">
        <f t="shared" si="609"/>
        <v>21.991879820504021</v>
      </c>
      <c r="Q247" s="217">
        <f t="shared" si="610"/>
        <v>15</v>
      </c>
      <c r="R247" s="217"/>
      <c r="S247" s="172">
        <f t="shared" si="611"/>
        <v>598.79740744266314</v>
      </c>
      <c r="T247" s="172">
        <f t="shared" si="612"/>
        <v>15</v>
      </c>
      <c r="U247" s="217">
        <f t="shared" si="613"/>
        <v>7.3375372554351177</v>
      </c>
      <c r="V247" s="217">
        <f t="shared" si="614"/>
        <v>1.0389032662006754</v>
      </c>
      <c r="W247" s="217">
        <f t="shared" si="615"/>
        <v>5.6631222960837686</v>
      </c>
      <c r="X247" s="197">
        <f t="shared" si="616"/>
        <v>109.48238241177424</v>
      </c>
      <c r="Y247" s="443">
        <f t="shared" si="680"/>
        <v>144.88500382618381</v>
      </c>
      <c r="AA247" s="217">
        <f t="shared" si="617"/>
        <v>10</v>
      </c>
      <c r="AB247" s="173">
        <f t="shared" si="618"/>
        <v>7.7180150491078416</v>
      </c>
      <c r="AC247" s="173">
        <f t="shared" si="619"/>
        <v>4.2249333753312666</v>
      </c>
      <c r="AD247" s="173"/>
      <c r="AE247" s="173">
        <f t="shared" si="620"/>
        <v>7.7180150491078416</v>
      </c>
      <c r="AF247" s="545">
        <f t="shared" si="621"/>
        <v>80.3315355120574</v>
      </c>
      <c r="AG247" s="528">
        <f t="shared" si="622"/>
        <v>4.2249333753312666</v>
      </c>
      <c r="AI247" s="173">
        <f t="shared" si="623"/>
        <v>4.7908107131423234</v>
      </c>
      <c r="AJ247" s="173">
        <f t="shared" si="624"/>
        <v>10</v>
      </c>
      <c r="AK247" s="173">
        <f t="shared" si="625"/>
        <v>1.0459037345783184</v>
      </c>
      <c r="AM247" s="545">
        <f t="shared" si="626"/>
        <v>3100</v>
      </c>
      <c r="AN247" s="460">
        <f t="shared" si="627"/>
        <v>80.3315355120574</v>
      </c>
      <c r="AP247">
        <f t="shared" si="628"/>
        <v>3100</v>
      </c>
      <c r="AQ247">
        <f t="shared" si="629"/>
        <v>80.3315355120574</v>
      </c>
      <c r="AS247" s="5">
        <f t="shared" si="600"/>
        <v>12.448411369528777</v>
      </c>
      <c r="AT247" s="5">
        <f t="shared" si="630"/>
        <v>1.4158746048357451</v>
      </c>
      <c r="AU247" s="5">
        <f t="shared" si="722"/>
        <v>11.032536764693033</v>
      </c>
      <c r="AV247" s="5"/>
      <c r="AW247" s="173">
        <f t="shared" si="723"/>
        <v>0.11373938109898289</v>
      </c>
      <c r="AX247" s="173">
        <f t="shared" si="631"/>
        <v>48.198921307234443</v>
      </c>
      <c r="AY247" s="173">
        <f t="shared" si="632"/>
        <v>4.4313030945050862</v>
      </c>
      <c r="AZ247" s="173">
        <f t="shared" si="633"/>
        <v>10.876918206520825</v>
      </c>
      <c r="BA247" s="460">
        <f t="shared" si="724"/>
        <v>29.261408499938735</v>
      </c>
      <c r="BB247" s="5">
        <f t="shared" si="725"/>
        <v>2.0872471879026415</v>
      </c>
      <c r="BD247" s="173">
        <f t="shared" si="681"/>
        <v>1.9471293494011714</v>
      </c>
      <c r="BE247" s="173">
        <f t="shared" si="682"/>
        <v>5.4352571815907584</v>
      </c>
      <c r="BG247" s="528">
        <f t="shared" si="683"/>
        <v>7.5826254065988585E-2</v>
      </c>
      <c r="BH247" s="528">
        <f t="shared" si="634"/>
        <v>1.5107546296721683</v>
      </c>
      <c r="BI247" s="528">
        <f t="shared" si="635"/>
        <v>0.17020900418235121</v>
      </c>
      <c r="BJ247" s="528">
        <f t="shared" si="684"/>
        <v>8.0816354284638139E-2</v>
      </c>
      <c r="BK247">
        <f t="shared" si="685"/>
        <v>3.8138970651475534E-2</v>
      </c>
      <c r="BL247" s="460">
        <f t="shared" si="686"/>
        <v>208.34797483382675</v>
      </c>
      <c r="BM247" s="528">
        <f t="shared" si="636"/>
        <v>1.718837448627081</v>
      </c>
      <c r="BN247" s="460">
        <f t="shared" si="687"/>
        <v>1718.8374486270809</v>
      </c>
      <c r="BO247" s="528">
        <f t="shared" si="637"/>
        <v>2.17</v>
      </c>
      <c r="BR247" s="460">
        <f t="shared" si="688"/>
        <v>2170</v>
      </c>
      <c r="BS247" s="528">
        <f t="shared" si="689"/>
        <v>0.11373938109898288</v>
      </c>
      <c r="BT247" s="528">
        <f t="shared" si="690"/>
        <v>0.88626061890101737</v>
      </c>
      <c r="BU247" s="528">
        <f t="shared" si="691"/>
        <v>0.91450308621725729</v>
      </c>
      <c r="BV247" s="528"/>
      <c r="BW247" s="528">
        <f t="shared" si="692"/>
        <v>8.0331535512057402E-3</v>
      </c>
      <c r="BX247" s="460">
        <f t="shared" si="693"/>
        <v>1922.5362397684632</v>
      </c>
      <c r="BY247" s="173">
        <f t="shared" si="694"/>
        <v>5.9682814526250851</v>
      </c>
      <c r="BZ247" s="5">
        <f t="shared" si="695"/>
        <v>46.5</v>
      </c>
      <c r="CA247" s="173">
        <f t="shared" si="696"/>
        <v>0.88624972483587072</v>
      </c>
      <c r="CB247" s="5">
        <f t="shared" si="697"/>
        <v>88.624972483587072</v>
      </c>
      <c r="CE247" s="562">
        <f t="shared" si="638"/>
        <v>-50</v>
      </c>
      <c r="CF247">
        <f t="shared" si="639"/>
        <v>-50</v>
      </c>
      <c r="CG247" s="173">
        <f t="shared" si="640"/>
        <v>0.62821227834758753</v>
      </c>
      <c r="CI247" s="170">
        <v>31</v>
      </c>
      <c r="CJ247" s="217">
        <f t="shared" si="698"/>
        <v>3.1</v>
      </c>
      <c r="CK247" s="217"/>
      <c r="CL247" s="217">
        <f t="shared" si="641"/>
        <v>46.5</v>
      </c>
      <c r="CM247" s="541">
        <f t="shared" si="642"/>
        <v>85</v>
      </c>
      <c r="CN247" s="443">
        <f t="shared" si="643"/>
        <v>15.4</v>
      </c>
      <c r="CO247" s="443">
        <f t="shared" si="644"/>
        <v>100.4</v>
      </c>
      <c r="CP247" s="443"/>
      <c r="CQ247" s="217">
        <f t="shared" si="645"/>
        <v>0.15338645418326693</v>
      </c>
      <c r="CR247" s="172">
        <f t="shared" si="646"/>
        <v>327.33148655378488</v>
      </c>
      <c r="CS247" s="172">
        <f t="shared" si="647"/>
        <v>46.5</v>
      </c>
      <c r="CT247" s="217">
        <f t="shared" si="648"/>
        <v>21.822099103585661</v>
      </c>
      <c r="CU247" s="217">
        <f t="shared" si="649"/>
        <v>15</v>
      </c>
      <c r="CV247" s="217"/>
      <c r="CW247" s="172">
        <f t="shared" si="650"/>
        <v>600.54044895322988</v>
      </c>
      <c r="CX247" s="172">
        <f t="shared" si="651"/>
        <v>15</v>
      </c>
      <c r="CY247" s="217">
        <f t="shared" si="652"/>
        <v>7.1330786860198625</v>
      </c>
      <c r="CZ247" s="217">
        <f t="shared" si="653"/>
        <v>1.0070228733204512</v>
      </c>
      <c r="DA247" s="217">
        <f t="shared" si="654"/>
        <v>5.558243131963529</v>
      </c>
      <c r="DB247" s="197">
        <f t="shared" si="655"/>
        <v>108.64873837981409</v>
      </c>
      <c r="DC247" s="443">
        <f t="shared" si="656"/>
        <v>152.31675292290689</v>
      </c>
      <c r="DE247" s="217">
        <f t="shared" si="657"/>
        <v>10</v>
      </c>
      <c r="DF247" s="173">
        <f t="shared" si="658"/>
        <v>7.7922077922077913</v>
      </c>
      <c r="DG247" s="173">
        <f t="shared" si="659"/>
        <v>4.2330677290836656</v>
      </c>
      <c r="DH247" s="173"/>
      <c r="DI247" s="173">
        <f t="shared" si="660"/>
        <v>7.7922077922077913</v>
      </c>
      <c r="DJ247" s="545">
        <f t="shared" si="661"/>
        <v>79.566666666666677</v>
      </c>
      <c r="DK247" s="528">
        <f t="shared" si="662"/>
        <v>4.2330677290836656</v>
      </c>
      <c r="DM247" s="173">
        <f t="shared" si="663"/>
        <v>4.7679485455836597</v>
      </c>
      <c r="DN247" s="173">
        <f t="shared" si="664"/>
        <v>10</v>
      </c>
      <c r="DO247" s="173">
        <f t="shared" si="665"/>
        <v>1.0454666666666668</v>
      </c>
      <c r="DQ247" s="545">
        <f t="shared" si="666"/>
        <v>3100</v>
      </c>
      <c r="DR247" s="460">
        <f t="shared" si="667"/>
        <v>79.566666666666677</v>
      </c>
      <c r="DT247">
        <f t="shared" si="668"/>
        <v>3100</v>
      </c>
      <c r="DU247">
        <f t="shared" si="669"/>
        <v>79.566666666666677</v>
      </c>
      <c r="DW247" s="5">
        <f t="shared" si="670"/>
        <v>12.568077084206115</v>
      </c>
      <c r="DX247" s="5">
        <f t="shared" si="671"/>
        <v>1.4117647058823528</v>
      </c>
      <c r="DY247" s="5">
        <f t="shared" si="672"/>
        <v>11.156312378323761</v>
      </c>
      <c r="DZ247" s="5"/>
      <c r="EA247" s="173">
        <f t="shared" si="673"/>
        <v>0.11232941176470589</v>
      </c>
      <c r="EB247" s="173">
        <f t="shared" si="699"/>
        <v>47.740000000000009</v>
      </c>
      <c r="EC247" s="173">
        <f t="shared" si="700"/>
        <v>4.4383529411764702</v>
      </c>
      <c r="ED247" s="173">
        <f t="shared" si="701"/>
        <v>10.756242379260991</v>
      </c>
      <c r="EE247" s="460">
        <f t="shared" si="674"/>
        <v>29.17647058823529</v>
      </c>
      <c r="EF247" s="5">
        <f t="shared" si="675"/>
        <v>2.1045376291766935</v>
      </c>
      <c r="EH247" s="173">
        <f t="shared" si="702"/>
        <v>1.9350229263474363</v>
      </c>
      <c r="EI247" s="173">
        <f t="shared" si="703"/>
        <v>5.4395789917826489</v>
      </c>
      <c r="EK247" s="528">
        <f t="shared" si="704"/>
        <v>7.4886274509803924E-2</v>
      </c>
      <c r="EL247" s="528">
        <f t="shared" si="705"/>
        <v>1.5976986666666668</v>
      </c>
      <c r="EM247" s="528">
        <f t="shared" si="706"/>
        <v>9.9458333333333343E-3</v>
      </c>
      <c r="EN247" s="528">
        <f t="shared" si="707"/>
        <v>8.0204473066666684E-2</v>
      </c>
      <c r="EO247">
        <f t="shared" si="708"/>
        <v>3.8249999999999999E-2</v>
      </c>
      <c r="EP247" s="460">
        <f t="shared" si="709"/>
        <v>48.195833333333333</v>
      </c>
      <c r="EQ247" s="460"/>
      <c r="ER247" s="460">
        <f t="shared" si="710"/>
        <v>1800.9852475764708</v>
      </c>
      <c r="ES247" s="528">
        <f t="shared" si="711"/>
        <v>2.17</v>
      </c>
      <c r="EV247" s="460">
        <f t="shared" si="712"/>
        <v>2170</v>
      </c>
      <c r="EW247" s="528">
        <f t="shared" si="713"/>
        <v>0.11232941176470587</v>
      </c>
      <c r="EX247" s="528">
        <f t="shared" si="714"/>
        <v>0.8876705882352941</v>
      </c>
      <c r="EY247" s="528">
        <f t="shared" si="715"/>
        <v>0.89288990949903424</v>
      </c>
      <c r="EZ247" s="528"/>
      <c r="FA247" s="528">
        <f t="shared" si="716"/>
        <v>7.9566666666666674E-3</v>
      </c>
      <c r="FB247" s="460">
        <f t="shared" si="717"/>
        <v>1900.8465761657008</v>
      </c>
      <c r="FC247" s="173">
        <f t="shared" si="718"/>
        <v>5.8718318237421725</v>
      </c>
      <c r="FD247" s="5">
        <f t="shared" si="719"/>
        <v>46.5</v>
      </c>
      <c r="FE247" s="173">
        <f t="shared" si="720"/>
        <v>0.8878818704775524</v>
      </c>
      <c r="FF247" s="5">
        <f t="shared" si="721"/>
        <v>88.788187047755244</v>
      </c>
      <c r="FI247" s="562">
        <f t="shared" si="676"/>
        <v>-50</v>
      </c>
      <c r="FJ247">
        <f t="shared" si="677"/>
        <v>-50</v>
      </c>
      <c r="FL247">
        <f t="shared" si="678"/>
        <v>0.62</v>
      </c>
    </row>
    <row r="248" spans="5:168">
      <c r="E248" s="170">
        <v>32</v>
      </c>
      <c r="F248" s="217">
        <f t="shared" si="679"/>
        <v>3.2</v>
      </c>
      <c r="G248" s="217"/>
      <c r="H248" s="217">
        <f t="shared" ref="H248:H279" si="726">F248*Vout</f>
        <v>48</v>
      </c>
      <c r="I248" s="541">
        <f t="shared" ref="I248:I279" si="727">VIN_max-F248*(Rdcr_pri+RON/1000)/CG248/Nps</f>
        <v>84.753268114390082</v>
      </c>
      <c r="J248" s="172">
        <f t="shared" ref="J248:J279" si="728">(T248+Vfwd1+F248/CG248*Rdcr_sec)*Nps</f>
        <v>15.548039131365949</v>
      </c>
      <c r="K248" s="172">
        <f t="shared" ref="K248:K279" si="729">(Vout+Vfwd1+F248/CG248*Rdcr_sec)*Nps+I248</f>
        <v>100.30130724575604</v>
      </c>
      <c r="L248" s="443"/>
      <c r="M248" s="217">
        <f t="shared" ref="M248:M279" si="730">(Vout+Vfwd1+F248/FL248*Rdcr_sec)*Nps/((Vout+Vfwd1+F248/FL248*Rdcr_sec)*Nps+I248)</f>
        <v>0.15502984391561525</v>
      </c>
      <c r="N248" s="172">
        <f t="shared" ref="N248:N279" si="731">M248*I248*(Isw_max+VIN_max/Lmag*ILIM_delay)*0.5*Efficiency</f>
        <v>329.8781973075603</v>
      </c>
      <c r="O248" s="172">
        <f t="shared" si="599"/>
        <v>48</v>
      </c>
      <c r="P248" s="217">
        <f t="shared" ref="P248:P279" si="732">N248/Vout</f>
        <v>21.991879820504021</v>
      </c>
      <c r="Q248" s="217">
        <f t="shared" ref="Q248:Q279" si="733">MIN(Vout,N248/F248)</f>
        <v>15</v>
      </c>
      <c r="R248" s="217"/>
      <c r="S248" s="172">
        <f t="shared" ref="S248:S279" si="734">(SQRT(Isw_max^2*Nps^2*I248^2+4*Isw_max*F248/Efficiency*(Nps^2*Vfwd1*I248-Nps*I248^2)+4*(F248/Efficiency)^2*Nps^2*Vfwd1^2+8*(F248/Efficiency)^2*Nps*Vfwd1*I248+4*(F248/Efficiency)^2*I248^2)-2*F248/Efficiency*I248-2*F248/Efficiency*Nps*Vfwd1+Isw_max*Nps*I248)/(4*F248/Efficiency*Nps)</f>
        <v>577.44030801927022</v>
      </c>
      <c r="T248" s="172">
        <f t="shared" ref="T248:T279" si="735">MIN(Vout, S248)</f>
        <v>15</v>
      </c>
      <c r="U248" s="217">
        <f t="shared" ref="U248:U279" si="736">MIN(2*(Vout+Vfwd1+F248/FL248*Rdcr_sec)*F248/(I248*M248), Isw_max)</f>
        <v>7.574232005610444</v>
      </c>
      <c r="V248" s="217">
        <f t="shared" ref="V248:V279" si="737">L*U248/I248*1000000</f>
        <v>1.0724162747877939</v>
      </c>
      <c r="W248" s="217">
        <f t="shared" ref="W248:W279" si="738">L*U248/J248*1000000</f>
        <v>5.8458036604735666</v>
      </c>
      <c r="X248" s="197">
        <f t="shared" ref="X248:X279" si="739">IF(1/((350000*L)*(1/I248+1/J248))&gt;Isw_min, 350, 0.001/((Isw_min*L)*(1/I248+1/J248)))</f>
        <v>109.48238241177424</v>
      </c>
      <c r="Y248" s="443">
        <f t="shared" si="680"/>
        <v>140.48456061975878</v>
      </c>
      <c r="AA248" s="217">
        <f t="shared" ref="AA248:AA279" si="740">1/((X248*1000*L)*(1/I248+1/J248))</f>
        <v>10</v>
      </c>
      <c r="AB248" s="173">
        <f t="shared" ref="AB248:AB279" si="741">L*AA248/J248*1000000</f>
        <v>7.7180150491078416</v>
      </c>
      <c r="AC248" s="173">
        <f t="shared" ref="AC248:AC279" si="742">0.5*AB248*AA248*Nps*X248/1000</f>
        <v>4.2249333753312666</v>
      </c>
      <c r="AD248" s="173"/>
      <c r="AE248" s="173">
        <f t="shared" ref="AE248:AE279" si="743">L*Isw_min/J248*1000000</f>
        <v>7.7180150491078416</v>
      </c>
      <c r="AF248" s="545">
        <f t="shared" ref="AF248:AF279" si="744">MAX(12000,F248/(0.5*AE248/1000000*Isw_min*Nps))/1000</f>
        <v>82.922875367285059</v>
      </c>
      <c r="AG248" s="528">
        <f t="shared" ref="AG248:AG279" si="745">0.5*AE248/1000000*Isw_min*Nps*X248*1000</f>
        <v>4.2249333753312666</v>
      </c>
      <c r="AI248" s="173">
        <f t="shared" ref="AI248:AI279" si="746">SQRT(F248/(0.5*L/J248*Fsw_DCM*Nps))</f>
        <v>4.8674685520235865</v>
      </c>
      <c r="AJ248" s="173">
        <f t="shared" ref="AJ248:AJ279" si="747">MAX(IF(F248&gt;AC248,U248,AI248),Isw_min)</f>
        <v>10</v>
      </c>
      <c r="AK248" s="173">
        <f t="shared" ref="AK248:AK279" si="748">IF(F248&gt;AG248, (AJ248-Isw_min)/1.08*0.8+1.2, AF248*0.2/350+1)</f>
        <v>1.0473845002098772</v>
      </c>
      <c r="AM248" s="545">
        <f t="shared" ref="AM248:AM279" si="749">F248*1000</f>
        <v>3200</v>
      </c>
      <c r="AN248" s="460">
        <f t="shared" ref="AN248:AN279" si="750">IF(F248&gt;AG248, Y248, AF248)</f>
        <v>82.922875367285059</v>
      </c>
      <c r="AP248">
        <f t="shared" ref="AP248:AP279" si="751">IF(H248&gt;N248, "",AM248)</f>
        <v>3200</v>
      </c>
      <c r="AQ248">
        <f t="shared" ref="AQ248:AQ279" si="752">IF(H248&gt;N248, "",AN248)</f>
        <v>82.922875367285059</v>
      </c>
      <c r="AS248" s="5">
        <f t="shared" si="600"/>
        <v>12.059398514231003</v>
      </c>
      <c r="AT248" s="5">
        <f t="shared" ref="AT248:AT279" si="753">L*AJ248/I248*1000000</f>
        <v>1.4158746048357451</v>
      </c>
      <c r="AU248" s="5">
        <f t="shared" si="722"/>
        <v>10.643523909395258</v>
      </c>
      <c r="AV248" s="5"/>
      <c r="AW248" s="173">
        <f t="shared" si="723"/>
        <v>0.11740839339249848</v>
      </c>
      <c r="AX248" s="173">
        <f t="shared" si="631"/>
        <v>49.753725220371038</v>
      </c>
      <c r="AY248" s="173">
        <f t="shared" si="632"/>
        <v>4.4129580330375076</v>
      </c>
      <c r="AZ248" s="173">
        <f t="shared" si="633"/>
        <v>11.274461449189168</v>
      </c>
      <c r="BA248" s="460">
        <f t="shared" si="724"/>
        <v>30.205324903162563</v>
      </c>
      <c r="BB248" s="5">
        <f t="shared" si="725"/>
        <v>2.078606235762043</v>
      </c>
      <c r="BD248" s="173">
        <f t="shared" si="681"/>
        <v>1.9782853972779768</v>
      </c>
      <c r="BE248" s="173">
        <f t="shared" si="682"/>
        <v>5.4239948580589612</v>
      </c>
      <c r="BG248" s="528">
        <f t="shared" si="683"/>
        <v>7.8272262261665657E-2</v>
      </c>
      <c r="BH248" s="528">
        <f t="shared" ref="BH248:BH279" si="754">0.5*K248*AJ248*AN248*1000*Tfall</f>
        <v>1.5594886499841738</v>
      </c>
      <c r="BI248" s="528">
        <f t="shared" ref="BI248:BI279" si="755">Qg*Vdd*AN248*1000*0+Qg*I248*AN248*1000</f>
        <v>0.17569961722049157</v>
      </c>
      <c r="BJ248" s="528">
        <f t="shared" si="684"/>
        <v>8.3423333455110341E-2</v>
      </c>
      <c r="BK248">
        <f t="shared" si="685"/>
        <v>3.8138970651475534E-2</v>
      </c>
      <c r="BL248" s="460">
        <f t="shared" si="686"/>
        <v>213.83858787196709</v>
      </c>
      <c r="BM248" s="528">
        <f t="shared" ref="BM248:BM279" si="756">(BH248+BI248*0+BJ248+BK248*0+BG248*(1+RdsonTC*(Ta-25)))/(1-BG248*RdsonTC*ThetaJA)</f>
        <v>1.7753345216609155</v>
      </c>
      <c r="BN248" s="460">
        <f t="shared" si="687"/>
        <v>1775.3345216609155</v>
      </c>
      <c r="BO248" s="528">
        <f t="shared" si="637"/>
        <v>2.2399999999999998</v>
      </c>
      <c r="BR248" s="460">
        <f t="shared" si="688"/>
        <v>2239.9999999999995</v>
      </c>
      <c r="BS248" s="528">
        <f t="shared" si="689"/>
        <v>0.11740839339249848</v>
      </c>
      <c r="BT248" s="528">
        <f t="shared" si="690"/>
        <v>0.88259160660750147</v>
      </c>
      <c r="BU248" s="528">
        <f t="shared" si="691"/>
        <v>0.99004716991348951</v>
      </c>
      <c r="BV248" s="528"/>
      <c r="BW248" s="528">
        <f t="shared" si="692"/>
        <v>8.292287536728506E-3</v>
      </c>
      <c r="BX248" s="460">
        <f t="shared" si="693"/>
        <v>1998.3394574502183</v>
      </c>
      <c r="BY248" s="173">
        <f t="shared" si="694"/>
        <v>6.1733622910231345</v>
      </c>
      <c r="BZ248" s="5">
        <f t="shared" si="695"/>
        <v>48</v>
      </c>
      <c r="CA248" s="173">
        <f t="shared" si="696"/>
        <v>0.886044320862726</v>
      </c>
      <c r="CB248" s="5">
        <f t="shared" si="697"/>
        <v>88.604432086272595</v>
      </c>
      <c r="CE248" s="562">
        <f t="shared" ref="CE248:CE279" si="757">IF(ABS(F248-Ioutmax_Vinmax)&lt;Iout/200, AN248, -50)</f>
        <v>-50</v>
      </c>
      <c r="CF248">
        <f t="shared" ref="CF248:CF279" si="758">IF(ABS(F248-Ioutmax_Vinmin)&lt;Iout/200, N248*CA248, -50)</f>
        <v>-50</v>
      </c>
      <c r="CG248" s="173">
        <f t="shared" ref="CG248:CG279" si="759">MIN(SQRT(2*DU248*1000*Ls1_*CL248)/CU248,1-EA248-0.00000005*DU248*1000)</f>
        <v>0.64847719055234843</v>
      </c>
      <c r="CI248" s="170">
        <v>32</v>
      </c>
      <c r="CJ248" s="217">
        <f t="shared" si="698"/>
        <v>3.2</v>
      </c>
      <c r="CK248" s="217"/>
      <c r="CL248" s="217">
        <f t="shared" si="641"/>
        <v>48</v>
      </c>
      <c r="CM248" s="541">
        <f t="shared" si="642"/>
        <v>85</v>
      </c>
      <c r="CN248" s="443">
        <f t="shared" si="643"/>
        <v>15.4</v>
      </c>
      <c r="CO248" s="443">
        <f t="shared" si="644"/>
        <v>100.4</v>
      </c>
      <c r="CP248" s="443"/>
      <c r="CQ248" s="217">
        <f t="shared" si="645"/>
        <v>0.15338645418326693</v>
      </c>
      <c r="CR248" s="172">
        <f t="shared" si="646"/>
        <v>327.33148655378488</v>
      </c>
      <c r="CS248" s="172">
        <f t="shared" si="647"/>
        <v>48</v>
      </c>
      <c r="CT248" s="217">
        <f t="shared" si="648"/>
        <v>21.822099103585661</v>
      </c>
      <c r="CU248" s="217">
        <f t="shared" si="649"/>
        <v>15</v>
      </c>
      <c r="CV248" s="217"/>
      <c r="CW248" s="172">
        <f t="shared" si="650"/>
        <v>579.12116912515251</v>
      </c>
      <c r="CX248" s="172">
        <f t="shared" si="651"/>
        <v>15</v>
      </c>
      <c r="CY248" s="217">
        <f t="shared" si="652"/>
        <v>7.363177998472116</v>
      </c>
      <c r="CZ248" s="217">
        <f t="shared" si="653"/>
        <v>1.0395074821372399</v>
      </c>
      <c r="DA248" s="217">
        <f t="shared" si="654"/>
        <v>5.7375412975107398</v>
      </c>
      <c r="DB248" s="197">
        <f t="shared" si="655"/>
        <v>108.64873837981409</v>
      </c>
      <c r="DC248" s="443">
        <f t="shared" si="656"/>
        <v>147.55685439406605</v>
      </c>
      <c r="DE248" s="217">
        <f t="shared" si="657"/>
        <v>10</v>
      </c>
      <c r="DF248" s="173">
        <f t="shared" si="658"/>
        <v>7.7922077922077913</v>
      </c>
      <c r="DG248" s="173">
        <f t="shared" si="659"/>
        <v>4.2330677290836656</v>
      </c>
      <c r="DH248" s="173"/>
      <c r="DI248" s="173">
        <f t="shared" si="660"/>
        <v>7.7922077922077913</v>
      </c>
      <c r="DJ248" s="545">
        <f t="shared" si="661"/>
        <v>82.13333333333334</v>
      </c>
      <c r="DK248" s="528">
        <f t="shared" si="662"/>
        <v>4.2330677290836656</v>
      </c>
      <c r="DM248" s="173">
        <f t="shared" si="663"/>
        <v>4.8442405665559871</v>
      </c>
      <c r="DN248" s="173">
        <f t="shared" si="664"/>
        <v>10</v>
      </c>
      <c r="DO248" s="173">
        <f t="shared" si="665"/>
        <v>1.0469333333333333</v>
      </c>
      <c r="DQ248" s="545">
        <f t="shared" si="666"/>
        <v>3200</v>
      </c>
      <c r="DR248" s="460">
        <f t="shared" si="667"/>
        <v>82.13333333333334</v>
      </c>
      <c r="DT248">
        <f t="shared" si="668"/>
        <v>3200</v>
      </c>
      <c r="DU248">
        <f t="shared" si="669"/>
        <v>82.13333333333334</v>
      </c>
      <c r="DW248" s="5">
        <f t="shared" si="670"/>
        <v>12.175324675324674</v>
      </c>
      <c r="DX248" s="5">
        <f t="shared" si="671"/>
        <v>1.4117647058823528</v>
      </c>
      <c r="DY248" s="5">
        <f t="shared" si="672"/>
        <v>10.763559969442321</v>
      </c>
      <c r="DZ248" s="5"/>
      <c r="EA248" s="173">
        <f t="shared" si="673"/>
        <v>0.11595294117647059</v>
      </c>
      <c r="EB248" s="173">
        <f t="shared" si="699"/>
        <v>49.280000000000008</v>
      </c>
      <c r="EC248" s="173">
        <f t="shared" si="700"/>
        <v>4.4202352941176475</v>
      </c>
      <c r="ED248" s="173">
        <f t="shared" si="701"/>
        <v>11.148727776003408</v>
      </c>
      <c r="EE248" s="460">
        <f t="shared" si="674"/>
        <v>30.117647058823529</v>
      </c>
      <c r="EF248" s="5">
        <f t="shared" si="675"/>
        <v>2.0959467688974902</v>
      </c>
      <c r="EH248" s="173">
        <f t="shared" si="702"/>
        <v>1.9659852591552376</v>
      </c>
      <c r="EI248" s="173">
        <f t="shared" si="703"/>
        <v>5.4284652798113795</v>
      </c>
      <c r="EK248" s="528">
        <f t="shared" si="704"/>
        <v>7.7301960784313742E-2</v>
      </c>
      <c r="EL248" s="528">
        <f t="shared" si="705"/>
        <v>1.6492373333333334</v>
      </c>
      <c r="EM248" s="528">
        <f t="shared" si="706"/>
        <v>1.0266666666666667E-2</v>
      </c>
      <c r="EN248" s="528">
        <f t="shared" si="707"/>
        <v>8.2791714133333347E-2</v>
      </c>
      <c r="EO248">
        <f t="shared" si="708"/>
        <v>3.8249999999999999E-2</v>
      </c>
      <c r="EP248" s="460">
        <f t="shared" si="709"/>
        <v>48.516666666666666</v>
      </c>
      <c r="EQ248" s="460"/>
      <c r="ER248" s="460">
        <f t="shared" si="710"/>
        <v>1857.8476749176471</v>
      </c>
      <c r="ES248" s="528">
        <f t="shared" si="711"/>
        <v>2.2399999999999998</v>
      </c>
      <c r="EV248" s="460">
        <f t="shared" si="712"/>
        <v>2239.9999999999995</v>
      </c>
      <c r="EW248" s="528">
        <f t="shared" si="713"/>
        <v>0.11595294117647061</v>
      </c>
      <c r="EX248" s="528">
        <f t="shared" si="714"/>
        <v>0.88404705882352919</v>
      </c>
      <c r="EY248" s="528">
        <f t="shared" si="715"/>
        <v>0.96664859995214658</v>
      </c>
      <c r="EZ248" s="528"/>
      <c r="FA248" s="528">
        <f t="shared" si="716"/>
        <v>8.2133333333333346E-3</v>
      </c>
      <c r="FB248" s="460">
        <f t="shared" si="717"/>
        <v>1974.8619332854798</v>
      </c>
      <c r="FC248" s="173">
        <f t="shared" si="718"/>
        <v>6.0727096082031267</v>
      </c>
      <c r="FD248" s="5">
        <f t="shared" si="719"/>
        <v>48</v>
      </c>
      <c r="FE248" s="173">
        <f t="shared" si="720"/>
        <v>0.88769363229243714</v>
      </c>
      <c r="FF248" s="5">
        <f t="shared" si="721"/>
        <v>88.769363229243709</v>
      </c>
      <c r="FI248" s="562">
        <f t="shared" si="676"/>
        <v>-50</v>
      </c>
      <c r="FJ248">
        <f t="shared" si="677"/>
        <v>-50</v>
      </c>
      <c r="FL248">
        <f t="shared" ref="FL248:FL279" si="760">MIN(SQRT(2*L*DR248*1000*CJ248*(CX248+Vfwd1))/(Nps*(CX248+Vfwd1)), 1-EA248)</f>
        <v>0.64000000000000012</v>
      </c>
    </row>
    <row r="249" spans="5:168">
      <c r="E249" s="170">
        <v>33</v>
      </c>
      <c r="F249" s="217">
        <f t="shared" ref="F249:F280" si="761">IF(PLOT_TYPE=1, E249/100*Iout_max, min_I*EXP(N249*rr/100))</f>
        <v>3.3000000000000003</v>
      </c>
      <c r="G249" s="217"/>
      <c r="H249" s="217">
        <f t="shared" si="726"/>
        <v>49.500000000000007</v>
      </c>
      <c r="I249" s="541">
        <f t="shared" si="727"/>
        <v>84.753268114390082</v>
      </c>
      <c r="J249" s="172">
        <f t="shared" si="728"/>
        <v>15.548039131365949</v>
      </c>
      <c r="K249" s="172">
        <f t="shared" si="729"/>
        <v>100.30130724575604</v>
      </c>
      <c r="L249" s="443"/>
      <c r="M249" s="217">
        <f t="shared" si="730"/>
        <v>0.15502984391561525</v>
      </c>
      <c r="N249" s="172">
        <f t="shared" si="731"/>
        <v>329.8781973075603</v>
      </c>
      <c r="O249" s="172">
        <f t="shared" si="599"/>
        <v>49.500000000000007</v>
      </c>
      <c r="P249" s="217">
        <f t="shared" si="732"/>
        <v>21.991879820504021</v>
      </c>
      <c r="Q249" s="217">
        <f t="shared" si="733"/>
        <v>15</v>
      </c>
      <c r="R249" s="217"/>
      <c r="S249" s="172">
        <f t="shared" si="734"/>
        <v>557.37772411535889</v>
      </c>
      <c r="T249" s="172">
        <f t="shared" si="735"/>
        <v>15</v>
      </c>
      <c r="U249" s="217">
        <f t="shared" si="736"/>
        <v>7.8109267557857702</v>
      </c>
      <c r="V249" s="217">
        <f t="shared" si="737"/>
        <v>1.1059292833749126</v>
      </c>
      <c r="W249" s="217">
        <f t="shared" si="738"/>
        <v>6.0284850248633672</v>
      </c>
      <c r="X249" s="197">
        <f t="shared" si="739"/>
        <v>109.48238241177424</v>
      </c>
      <c r="Y249" s="443">
        <f t="shared" si="680"/>
        <v>136.34353855314168</v>
      </c>
      <c r="AA249" s="217">
        <f t="shared" si="740"/>
        <v>10</v>
      </c>
      <c r="AB249" s="173">
        <f t="shared" si="741"/>
        <v>7.7180150491078416</v>
      </c>
      <c r="AC249" s="173">
        <f t="shared" si="742"/>
        <v>4.2249333753312666</v>
      </c>
      <c r="AD249" s="173"/>
      <c r="AE249" s="173">
        <f t="shared" si="743"/>
        <v>7.7180150491078416</v>
      </c>
      <c r="AF249" s="545">
        <f t="shared" si="744"/>
        <v>85.514215222512703</v>
      </c>
      <c r="AG249" s="528">
        <f t="shared" si="745"/>
        <v>4.2249333753312666</v>
      </c>
      <c r="AI249" s="173">
        <f t="shared" si="746"/>
        <v>4.942937681249675</v>
      </c>
      <c r="AJ249" s="173">
        <f t="shared" si="747"/>
        <v>10</v>
      </c>
      <c r="AK249" s="173">
        <f t="shared" si="748"/>
        <v>1.0488652658414359</v>
      </c>
      <c r="AM249" s="545">
        <f t="shared" si="749"/>
        <v>3300.0000000000005</v>
      </c>
      <c r="AN249" s="460">
        <f t="shared" si="750"/>
        <v>85.514215222512703</v>
      </c>
      <c r="AP249">
        <f t="shared" si="751"/>
        <v>3300.0000000000005</v>
      </c>
      <c r="AQ249">
        <f t="shared" si="752"/>
        <v>85.514215222512703</v>
      </c>
      <c r="AS249" s="5">
        <f t="shared" si="600"/>
        <v>11.693962195617942</v>
      </c>
      <c r="AT249" s="5">
        <f t="shared" si="753"/>
        <v>1.4158746048357451</v>
      </c>
      <c r="AU249" s="5">
        <f t="shared" si="722"/>
        <v>10.278087590782198</v>
      </c>
      <c r="AV249" s="5"/>
      <c r="AW249" s="173">
        <f t="shared" si="723"/>
        <v>0.12107740568601405</v>
      </c>
      <c r="AX249" s="173">
        <f t="shared" si="631"/>
        <v>51.308529133507626</v>
      </c>
      <c r="AY249" s="173">
        <f t="shared" si="632"/>
        <v>4.3946129715699298</v>
      </c>
      <c r="AZ249" s="173">
        <f t="shared" si="633"/>
        <v>11.675323735090643</v>
      </c>
      <c r="BA249" s="460">
        <f t="shared" si="724"/>
        <v>31.149241306386397</v>
      </c>
      <c r="BB249" s="5">
        <f t="shared" si="725"/>
        <v>2.0699652836214448</v>
      </c>
      <c r="BD249" s="173">
        <f t="shared" si="681"/>
        <v>2.0089583178520991</v>
      </c>
      <c r="BE249" s="173">
        <f t="shared" si="682"/>
        <v>5.4127091008538599</v>
      </c>
      <c r="BG249" s="528">
        <f t="shared" si="683"/>
        <v>8.07182704573427E-2</v>
      </c>
      <c r="BH249" s="528">
        <f t="shared" si="754"/>
        <v>1.608222670296179</v>
      </c>
      <c r="BI249" s="528">
        <f t="shared" si="755"/>
        <v>0.18119023025863193</v>
      </c>
      <c r="BJ249" s="528">
        <f t="shared" si="684"/>
        <v>8.6030312625582528E-2</v>
      </c>
      <c r="BK249">
        <f t="shared" si="685"/>
        <v>3.8138970651475534E-2</v>
      </c>
      <c r="BL249" s="460">
        <f t="shared" si="686"/>
        <v>219.32920091010746</v>
      </c>
      <c r="BM249" s="528">
        <f t="shared" si="756"/>
        <v>1.8318985477473571</v>
      </c>
      <c r="BN249" s="460">
        <f t="shared" si="687"/>
        <v>1831.898547747357</v>
      </c>
      <c r="BO249" s="528">
        <f t="shared" si="637"/>
        <v>2.31</v>
      </c>
      <c r="BR249" s="460">
        <f t="shared" si="688"/>
        <v>2310</v>
      </c>
      <c r="BS249" s="528">
        <f t="shared" si="689"/>
        <v>0.12107740568601405</v>
      </c>
      <c r="BT249" s="528">
        <f t="shared" si="690"/>
        <v>0.87892259431398601</v>
      </c>
      <c r="BU249" s="528">
        <f t="shared" si="691"/>
        <v>1.0692168408590828</v>
      </c>
      <c r="BV249" s="528"/>
      <c r="BW249" s="528">
        <f t="shared" si="692"/>
        <v>8.55142152225127E-3</v>
      </c>
      <c r="BX249" s="460">
        <f t="shared" si="693"/>
        <v>2077.7682623813339</v>
      </c>
      <c r="BY249" s="173">
        <f t="shared" si="694"/>
        <v>6.3820687166705463</v>
      </c>
      <c r="BZ249" s="5">
        <f t="shared" si="695"/>
        <v>49.500000000000007</v>
      </c>
      <c r="CA249" s="173">
        <f t="shared" si="696"/>
        <v>0.88579397894110767</v>
      </c>
      <c r="CB249" s="5">
        <f t="shared" si="697"/>
        <v>88.57939789411077</v>
      </c>
      <c r="CE249" s="562">
        <f t="shared" si="757"/>
        <v>-50</v>
      </c>
      <c r="CF249">
        <f t="shared" si="758"/>
        <v>-50</v>
      </c>
      <c r="CG249" s="173">
        <f t="shared" si="759"/>
        <v>0.66874210275710932</v>
      </c>
      <c r="CI249" s="170">
        <v>33</v>
      </c>
      <c r="CJ249" s="217">
        <f t="shared" si="698"/>
        <v>3.3000000000000003</v>
      </c>
      <c r="CK249" s="217"/>
      <c r="CL249" s="217">
        <f t="shared" si="641"/>
        <v>49.500000000000007</v>
      </c>
      <c r="CM249" s="541">
        <f t="shared" si="642"/>
        <v>85</v>
      </c>
      <c r="CN249" s="443">
        <f t="shared" si="643"/>
        <v>15.4</v>
      </c>
      <c r="CO249" s="443">
        <f t="shared" si="644"/>
        <v>100.4</v>
      </c>
      <c r="CP249" s="443"/>
      <c r="CQ249" s="217">
        <f t="shared" si="645"/>
        <v>0.15338645418326693</v>
      </c>
      <c r="CR249" s="172">
        <f t="shared" si="646"/>
        <v>327.33148655378488</v>
      </c>
      <c r="CS249" s="172">
        <f t="shared" si="647"/>
        <v>49.500000000000007</v>
      </c>
      <c r="CT249" s="217">
        <f t="shared" si="648"/>
        <v>21.822099103585661</v>
      </c>
      <c r="CU249" s="217">
        <f t="shared" si="649"/>
        <v>15</v>
      </c>
      <c r="CV249" s="217"/>
      <c r="CW249" s="172">
        <f t="shared" si="650"/>
        <v>559.00017332706875</v>
      </c>
      <c r="CX249" s="172">
        <f t="shared" si="651"/>
        <v>15</v>
      </c>
      <c r="CY249" s="217">
        <f t="shared" si="652"/>
        <v>7.5932773109243703</v>
      </c>
      <c r="CZ249" s="217">
        <f t="shared" si="653"/>
        <v>1.0719920909540288</v>
      </c>
      <c r="DA249" s="217">
        <f t="shared" si="654"/>
        <v>5.9168394630579506</v>
      </c>
      <c r="DB249" s="197">
        <f t="shared" si="655"/>
        <v>108.64873837981409</v>
      </c>
      <c r="DC249" s="443">
        <f t="shared" si="656"/>
        <v>143.08543456394281</v>
      </c>
      <c r="DE249" s="217">
        <f t="shared" si="657"/>
        <v>10</v>
      </c>
      <c r="DF249" s="173">
        <f t="shared" si="658"/>
        <v>7.7922077922077913</v>
      </c>
      <c r="DG249" s="173">
        <f t="shared" si="659"/>
        <v>4.2330677290836656</v>
      </c>
      <c r="DH249" s="173"/>
      <c r="DI249" s="173">
        <f t="shared" si="660"/>
        <v>7.7922077922077913</v>
      </c>
      <c r="DJ249" s="545">
        <f t="shared" si="661"/>
        <v>84.700000000000017</v>
      </c>
      <c r="DK249" s="528">
        <f t="shared" si="662"/>
        <v>4.2330677290836656</v>
      </c>
      <c r="DM249" s="173">
        <f t="shared" si="663"/>
        <v>4.9193495504995379</v>
      </c>
      <c r="DN249" s="173">
        <f t="shared" si="664"/>
        <v>10</v>
      </c>
      <c r="DO249" s="173">
        <f t="shared" si="665"/>
        <v>1.0484</v>
      </c>
      <c r="DQ249" s="545">
        <f t="shared" si="666"/>
        <v>3300.0000000000005</v>
      </c>
      <c r="DR249" s="460">
        <f t="shared" si="667"/>
        <v>84.700000000000017</v>
      </c>
      <c r="DT249">
        <f t="shared" si="668"/>
        <v>3300.0000000000005</v>
      </c>
      <c r="DU249">
        <f t="shared" si="669"/>
        <v>84.700000000000017</v>
      </c>
      <c r="DW249" s="5">
        <f t="shared" si="670"/>
        <v>11.806375442739077</v>
      </c>
      <c r="DX249" s="5">
        <f t="shared" si="671"/>
        <v>1.4117647058823528</v>
      </c>
      <c r="DY249" s="5">
        <f t="shared" si="672"/>
        <v>10.394610736856723</v>
      </c>
      <c r="DZ249" s="5"/>
      <c r="EA249" s="173">
        <f t="shared" si="673"/>
        <v>0.11957647058823531</v>
      </c>
      <c r="EB249" s="173">
        <f t="shared" si="699"/>
        <v>50.820000000000014</v>
      </c>
      <c r="EC249" s="173">
        <f t="shared" si="700"/>
        <v>4.4021176470588239</v>
      </c>
      <c r="ED249" s="173">
        <f t="shared" si="701"/>
        <v>11.544443850553211</v>
      </c>
      <c r="EE249" s="460">
        <f t="shared" si="674"/>
        <v>31.058823529411768</v>
      </c>
      <c r="EF249" s="5">
        <f t="shared" si="675"/>
        <v>2.0873559086182873</v>
      </c>
      <c r="EH249" s="173">
        <f t="shared" si="702"/>
        <v>1.9964674685406667</v>
      </c>
      <c r="EI249" s="173">
        <f t="shared" si="703"/>
        <v>5.4173287679807807</v>
      </c>
      <c r="EK249" s="528">
        <f t="shared" si="704"/>
        <v>7.971764705882356E-2</v>
      </c>
      <c r="EL249" s="528">
        <f t="shared" si="705"/>
        <v>1.7007760000000003</v>
      </c>
      <c r="EM249" s="528">
        <f t="shared" si="706"/>
        <v>1.0587500000000001E-2</v>
      </c>
      <c r="EN249" s="528">
        <f t="shared" si="707"/>
        <v>8.5378955200000023E-2</v>
      </c>
      <c r="EO249">
        <f t="shared" si="708"/>
        <v>3.8249999999999999E-2</v>
      </c>
      <c r="EP249" s="460">
        <f t="shared" si="709"/>
        <v>48.837499999999999</v>
      </c>
      <c r="EQ249" s="460"/>
      <c r="ER249" s="460">
        <f t="shared" si="710"/>
        <v>1914.7101022588236</v>
      </c>
      <c r="ES249" s="528">
        <f t="shared" si="711"/>
        <v>2.31</v>
      </c>
      <c r="EV249" s="460">
        <f t="shared" si="712"/>
        <v>2310</v>
      </c>
      <c r="EW249" s="528">
        <f t="shared" si="713"/>
        <v>0.11957647058823533</v>
      </c>
      <c r="EX249" s="528">
        <f t="shared" si="714"/>
        <v>0.88042352941176494</v>
      </c>
      <c r="EY249" s="528">
        <f t="shared" si="715"/>
        <v>1.043947191275747</v>
      </c>
      <c r="EZ249" s="528"/>
      <c r="FA249" s="528">
        <f t="shared" si="716"/>
        <v>8.4700000000000018E-3</v>
      </c>
      <c r="FB249" s="460">
        <f t="shared" si="717"/>
        <v>2052.4171912757474</v>
      </c>
      <c r="FC249" s="173">
        <f t="shared" si="718"/>
        <v>6.2771272935345701</v>
      </c>
      <c r="FD249" s="5">
        <f t="shared" si="719"/>
        <v>49.500000000000007</v>
      </c>
      <c r="FE249" s="173">
        <f t="shared" si="720"/>
        <v>0.88746054882854852</v>
      </c>
      <c r="FF249" s="5">
        <f t="shared" si="721"/>
        <v>88.74605488285485</v>
      </c>
      <c r="FI249" s="562">
        <f t="shared" si="676"/>
        <v>-50</v>
      </c>
      <c r="FJ249">
        <f t="shared" si="677"/>
        <v>-50</v>
      </c>
      <c r="FL249">
        <f t="shared" si="760"/>
        <v>0.66</v>
      </c>
    </row>
    <row r="250" spans="5:168">
      <c r="E250" s="170">
        <v>34</v>
      </c>
      <c r="F250" s="217">
        <f t="shared" si="761"/>
        <v>3.4000000000000004</v>
      </c>
      <c r="G250" s="217"/>
      <c r="H250" s="217">
        <f t="shared" si="726"/>
        <v>51.000000000000007</v>
      </c>
      <c r="I250" s="541">
        <f t="shared" si="727"/>
        <v>84.753268114390082</v>
      </c>
      <c r="J250" s="172">
        <f t="shared" si="728"/>
        <v>15.548039131365949</v>
      </c>
      <c r="K250" s="172">
        <f t="shared" si="729"/>
        <v>100.30130724575604</v>
      </c>
      <c r="L250" s="443"/>
      <c r="M250" s="217">
        <f t="shared" si="730"/>
        <v>0.15502984391561525</v>
      </c>
      <c r="N250" s="172">
        <f t="shared" si="731"/>
        <v>329.8781973075603</v>
      </c>
      <c r="O250" s="172">
        <f t="shared" si="599"/>
        <v>51.000000000000007</v>
      </c>
      <c r="P250" s="217">
        <f t="shared" si="732"/>
        <v>21.991879820504021</v>
      </c>
      <c r="Q250" s="217">
        <f t="shared" si="733"/>
        <v>15</v>
      </c>
      <c r="R250" s="217"/>
      <c r="S250" s="172">
        <f t="shared" si="734"/>
        <v>538.49543572240714</v>
      </c>
      <c r="T250" s="172">
        <f t="shared" si="735"/>
        <v>15</v>
      </c>
      <c r="U250" s="217">
        <f t="shared" si="736"/>
        <v>8.0476215059610965</v>
      </c>
      <c r="V250" s="217">
        <f t="shared" si="737"/>
        <v>1.1394422919620311</v>
      </c>
      <c r="W250" s="217">
        <f t="shared" si="738"/>
        <v>6.2111663892531652</v>
      </c>
      <c r="X250" s="197">
        <f t="shared" si="739"/>
        <v>109.48238241177424</v>
      </c>
      <c r="Y250" s="443">
        <f t="shared" si="680"/>
        <v>132.43965383716056</v>
      </c>
      <c r="AA250" s="217">
        <f t="shared" si="740"/>
        <v>10</v>
      </c>
      <c r="AB250" s="173">
        <f t="shared" si="741"/>
        <v>7.7180150491078416</v>
      </c>
      <c r="AC250" s="173">
        <f t="shared" si="742"/>
        <v>4.2249333753312666</v>
      </c>
      <c r="AD250" s="173"/>
      <c r="AE250" s="173">
        <f t="shared" si="743"/>
        <v>7.7180150491078416</v>
      </c>
      <c r="AF250" s="545">
        <f t="shared" si="744"/>
        <v>88.105555077740377</v>
      </c>
      <c r="AG250" s="528">
        <f t="shared" si="745"/>
        <v>4.2249333753312666</v>
      </c>
      <c r="AI250" s="173">
        <f t="shared" si="746"/>
        <v>5.0172717423413742</v>
      </c>
      <c r="AJ250" s="173">
        <f t="shared" si="747"/>
        <v>10</v>
      </c>
      <c r="AK250" s="173">
        <f t="shared" si="748"/>
        <v>1.0503460314729944</v>
      </c>
      <c r="AM250" s="545">
        <f t="shared" si="749"/>
        <v>3400.0000000000005</v>
      </c>
      <c r="AN250" s="460">
        <f t="shared" si="750"/>
        <v>88.105555077740377</v>
      </c>
      <c r="AP250">
        <f t="shared" si="751"/>
        <v>3400.0000000000005</v>
      </c>
      <c r="AQ250">
        <f t="shared" si="752"/>
        <v>88.105555077740377</v>
      </c>
      <c r="AS250" s="5">
        <f t="shared" si="600"/>
        <v>11.350022131040943</v>
      </c>
      <c r="AT250" s="5">
        <f t="shared" si="753"/>
        <v>1.4158746048357451</v>
      </c>
      <c r="AU250" s="5">
        <f t="shared" si="722"/>
        <v>9.9341475262051979</v>
      </c>
      <c r="AV250" s="5"/>
      <c r="AW250" s="173">
        <f t="shared" si="723"/>
        <v>0.12474641797952964</v>
      </c>
      <c r="AX250" s="173">
        <f t="shared" si="631"/>
        <v>52.863333046644229</v>
      </c>
      <c r="AY250" s="173">
        <f t="shared" si="632"/>
        <v>4.3762679101023512</v>
      </c>
      <c r="AZ250" s="173">
        <f t="shared" si="633"/>
        <v>12.07954680393593</v>
      </c>
      <c r="BA250" s="460">
        <f t="shared" si="724"/>
        <v>32.093157709610232</v>
      </c>
      <c r="BB250" s="5">
        <f t="shared" si="725"/>
        <v>2.0613243314808467</v>
      </c>
      <c r="BD250" s="173">
        <f t="shared" si="681"/>
        <v>2.0391699126485237</v>
      </c>
      <c r="BE250" s="173">
        <f t="shared" si="682"/>
        <v>5.4013997630875599</v>
      </c>
      <c r="BG250" s="528">
        <f t="shared" si="683"/>
        <v>8.3164278653019758E-2</v>
      </c>
      <c r="BH250" s="528">
        <f t="shared" si="754"/>
        <v>1.6569566906081847</v>
      </c>
      <c r="BI250" s="528">
        <f t="shared" si="755"/>
        <v>0.18668084329677231</v>
      </c>
      <c r="BJ250" s="528">
        <f t="shared" si="684"/>
        <v>8.8637291796054757E-2</v>
      </c>
      <c r="BK250">
        <f t="shared" si="685"/>
        <v>3.8138970651475534E-2</v>
      </c>
      <c r="BL250" s="460">
        <f t="shared" si="686"/>
        <v>224.81981394824786</v>
      </c>
      <c r="BM250" s="528">
        <f t="shared" si="756"/>
        <v>1.8885296459731695</v>
      </c>
      <c r="BN250" s="460">
        <f t="shared" si="687"/>
        <v>1888.5296459731696</v>
      </c>
      <c r="BO250" s="528">
        <f t="shared" si="637"/>
        <v>2.38</v>
      </c>
      <c r="BR250" s="460">
        <f t="shared" si="688"/>
        <v>2380</v>
      </c>
      <c r="BS250" s="528">
        <f t="shared" si="689"/>
        <v>0.12474641797952962</v>
      </c>
      <c r="BT250" s="528">
        <f t="shared" si="690"/>
        <v>0.87525358202047043</v>
      </c>
      <c r="BU250" s="528">
        <f t="shared" si="691"/>
        <v>1.1520683175334721</v>
      </c>
      <c r="BV250" s="528"/>
      <c r="BW250" s="528">
        <f t="shared" si="692"/>
        <v>8.8105555077740375E-3</v>
      </c>
      <c r="BX250" s="460">
        <f t="shared" si="693"/>
        <v>2160.8788730412462</v>
      </c>
      <c r="BY250" s="173">
        <f t="shared" si="694"/>
        <v>6.5944569480467541</v>
      </c>
      <c r="BZ250" s="5">
        <f t="shared" si="695"/>
        <v>51.000000000000007</v>
      </c>
      <c r="CA250" s="173">
        <f t="shared" si="696"/>
        <v>0.88550188164817145</v>
      </c>
      <c r="CB250" s="5">
        <f t="shared" si="697"/>
        <v>88.550188164817143</v>
      </c>
      <c r="CE250" s="562">
        <f t="shared" si="757"/>
        <v>-50</v>
      </c>
      <c r="CF250">
        <f t="shared" si="758"/>
        <v>-50</v>
      </c>
      <c r="CG250" s="173">
        <f t="shared" si="759"/>
        <v>0.68900701496187022</v>
      </c>
      <c r="CI250" s="170">
        <v>34</v>
      </c>
      <c r="CJ250" s="217">
        <f t="shared" si="698"/>
        <v>3.4000000000000004</v>
      </c>
      <c r="CK250" s="217"/>
      <c r="CL250" s="217">
        <f t="shared" si="641"/>
        <v>51.000000000000007</v>
      </c>
      <c r="CM250" s="541">
        <f t="shared" si="642"/>
        <v>85</v>
      </c>
      <c r="CN250" s="443">
        <f t="shared" si="643"/>
        <v>15.4</v>
      </c>
      <c r="CO250" s="443">
        <f t="shared" si="644"/>
        <v>100.4</v>
      </c>
      <c r="CP250" s="443"/>
      <c r="CQ250" s="217">
        <f t="shared" si="645"/>
        <v>0.15338645418326693</v>
      </c>
      <c r="CR250" s="172">
        <f t="shared" si="646"/>
        <v>327.33148655378488</v>
      </c>
      <c r="CS250" s="172">
        <f t="shared" si="647"/>
        <v>51.000000000000007</v>
      </c>
      <c r="CT250" s="217">
        <f t="shared" si="648"/>
        <v>21.822099103585661</v>
      </c>
      <c r="CU250" s="217">
        <f t="shared" si="649"/>
        <v>15</v>
      </c>
      <c r="CV250" s="217"/>
      <c r="CW250" s="172">
        <f t="shared" si="650"/>
        <v>540.06290903488775</v>
      </c>
      <c r="CX250" s="172">
        <f t="shared" si="651"/>
        <v>15</v>
      </c>
      <c r="CY250" s="217">
        <f t="shared" si="652"/>
        <v>7.8233766233766247</v>
      </c>
      <c r="CZ250" s="217">
        <f t="shared" si="653"/>
        <v>1.1044766997708175</v>
      </c>
      <c r="DA250" s="217">
        <f t="shared" si="654"/>
        <v>6.0961376286051623</v>
      </c>
      <c r="DB250" s="197">
        <f t="shared" si="655"/>
        <v>108.64873837981409</v>
      </c>
      <c r="DC250" s="443">
        <f t="shared" si="656"/>
        <v>138.87703942970921</v>
      </c>
      <c r="DE250" s="217">
        <f t="shared" si="657"/>
        <v>10</v>
      </c>
      <c r="DF250" s="173">
        <f t="shared" si="658"/>
        <v>7.7922077922077913</v>
      </c>
      <c r="DG250" s="173">
        <f t="shared" si="659"/>
        <v>4.2330677290836656</v>
      </c>
      <c r="DH250" s="173"/>
      <c r="DI250" s="173">
        <f t="shared" si="660"/>
        <v>7.7922077922077913</v>
      </c>
      <c r="DJ250" s="545">
        <f t="shared" si="661"/>
        <v>87.26666666666668</v>
      </c>
      <c r="DK250" s="528">
        <f t="shared" si="662"/>
        <v>4.2330677290836656</v>
      </c>
      <c r="DM250" s="173">
        <f t="shared" si="663"/>
        <v>4.993328882953068</v>
      </c>
      <c r="DN250" s="173">
        <f t="shared" si="664"/>
        <v>10</v>
      </c>
      <c r="DO250" s="173">
        <f t="shared" si="665"/>
        <v>1.0498666666666667</v>
      </c>
      <c r="DQ250" s="545">
        <f t="shared" si="666"/>
        <v>3400.0000000000005</v>
      </c>
      <c r="DR250" s="460">
        <f t="shared" si="667"/>
        <v>87.26666666666668</v>
      </c>
      <c r="DT250">
        <f t="shared" si="668"/>
        <v>3400.0000000000005</v>
      </c>
      <c r="DU250">
        <f t="shared" si="669"/>
        <v>87.26666666666668</v>
      </c>
      <c r="DW250" s="5">
        <f t="shared" si="670"/>
        <v>11.459129106187929</v>
      </c>
      <c r="DX250" s="5">
        <f t="shared" si="671"/>
        <v>1.4117647058823528</v>
      </c>
      <c r="DY250" s="5">
        <f t="shared" si="672"/>
        <v>10.047364400305575</v>
      </c>
      <c r="DZ250" s="5"/>
      <c r="EA250" s="173">
        <f t="shared" si="673"/>
        <v>0.1232</v>
      </c>
      <c r="EB250" s="173">
        <f t="shared" si="699"/>
        <v>52.360000000000014</v>
      </c>
      <c r="EC250" s="173">
        <f t="shared" si="700"/>
        <v>4.3840000000000003</v>
      </c>
      <c r="ED250" s="173">
        <f t="shared" si="701"/>
        <v>11.943430656934309</v>
      </c>
      <c r="EE250" s="460">
        <f t="shared" si="674"/>
        <v>32</v>
      </c>
      <c r="EF250" s="5">
        <f t="shared" si="675"/>
        <v>2.0787650483390845</v>
      </c>
      <c r="EH250" s="173">
        <f t="shared" si="702"/>
        <v>2.0264912204760885</v>
      </c>
      <c r="EI250" s="173">
        <f t="shared" si="703"/>
        <v>5.4061693153902111</v>
      </c>
      <c r="EK250" s="528">
        <f t="shared" si="704"/>
        <v>8.2133333333333336E-2</v>
      </c>
      <c r="EL250" s="528">
        <f t="shared" si="705"/>
        <v>1.7523146666666671</v>
      </c>
      <c r="EM250" s="528">
        <f t="shared" si="706"/>
        <v>1.0908333333333336E-2</v>
      </c>
      <c r="EN250" s="528">
        <f t="shared" si="707"/>
        <v>8.7966196266666685E-2</v>
      </c>
      <c r="EO250">
        <f t="shared" si="708"/>
        <v>3.8249999999999999E-2</v>
      </c>
      <c r="EP250" s="460">
        <f t="shared" si="709"/>
        <v>49.158333333333331</v>
      </c>
      <c r="EQ250" s="460"/>
      <c r="ER250" s="460">
        <f t="shared" si="710"/>
        <v>1971.5725296000005</v>
      </c>
      <c r="ES250" s="528">
        <f t="shared" si="711"/>
        <v>2.38</v>
      </c>
      <c r="EV250" s="460">
        <f t="shared" si="712"/>
        <v>2380</v>
      </c>
      <c r="EW250" s="528">
        <f t="shared" si="713"/>
        <v>0.12319999999999999</v>
      </c>
      <c r="EX250" s="528">
        <f t="shared" si="714"/>
        <v>0.87679999999999991</v>
      </c>
      <c r="EY250" s="528">
        <f t="shared" si="715"/>
        <v>1.1248405732933582</v>
      </c>
      <c r="EZ250" s="528"/>
      <c r="FA250" s="528">
        <f t="shared" si="716"/>
        <v>8.726666666666669E-3</v>
      </c>
      <c r="FB250" s="460">
        <f t="shared" si="717"/>
        <v>2133.5672399600244</v>
      </c>
      <c r="FC250" s="173">
        <f t="shared" si="718"/>
        <v>6.4851397695600257</v>
      </c>
      <c r="FD250" s="5">
        <f t="shared" si="719"/>
        <v>51.000000000000007</v>
      </c>
      <c r="FE250" s="173">
        <f t="shared" si="720"/>
        <v>0.88718580496530186</v>
      </c>
      <c r="FF250" s="5">
        <f t="shared" si="721"/>
        <v>88.71858049653018</v>
      </c>
      <c r="FI250" s="562">
        <f t="shared" si="676"/>
        <v>-50</v>
      </c>
      <c r="FJ250">
        <f t="shared" si="677"/>
        <v>-50</v>
      </c>
      <c r="FL250">
        <f t="shared" si="760"/>
        <v>0.68</v>
      </c>
    </row>
    <row r="251" spans="5:168">
      <c r="E251" s="170">
        <v>35</v>
      </c>
      <c r="F251" s="217">
        <f t="shared" si="761"/>
        <v>3.5</v>
      </c>
      <c r="G251" s="217"/>
      <c r="H251" s="217">
        <f t="shared" si="726"/>
        <v>52.5</v>
      </c>
      <c r="I251" s="541">
        <f t="shared" si="727"/>
        <v>84.753268114390082</v>
      </c>
      <c r="J251" s="172">
        <f t="shared" si="728"/>
        <v>15.548039131365949</v>
      </c>
      <c r="K251" s="172">
        <f t="shared" si="729"/>
        <v>100.30130724575604</v>
      </c>
      <c r="L251" s="443"/>
      <c r="M251" s="217">
        <f t="shared" si="730"/>
        <v>0.15502984391561525</v>
      </c>
      <c r="N251" s="172">
        <f t="shared" si="731"/>
        <v>329.8781973075603</v>
      </c>
      <c r="O251" s="172">
        <f t="shared" si="599"/>
        <v>52.5</v>
      </c>
      <c r="P251" s="217">
        <f t="shared" si="732"/>
        <v>21.991879820504021</v>
      </c>
      <c r="Q251" s="217">
        <f t="shared" si="733"/>
        <v>15</v>
      </c>
      <c r="R251" s="217"/>
      <c r="S251" s="172">
        <f t="shared" si="734"/>
        <v>520.69227658184423</v>
      </c>
      <c r="T251" s="172">
        <f t="shared" si="735"/>
        <v>15</v>
      </c>
      <c r="U251" s="217">
        <f t="shared" si="736"/>
        <v>8.2843162561364228</v>
      </c>
      <c r="V251" s="217">
        <f t="shared" si="737"/>
        <v>1.1729553005491495</v>
      </c>
      <c r="W251" s="217">
        <f t="shared" si="738"/>
        <v>6.3938477536429632</v>
      </c>
      <c r="X251" s="197">
        <f t="shared" si="739"/>
        <v>109.48238241177424</v>
      </c>
      <c r="Y251" s="443">
        <f t="shared" si="680"/>
        <v>128.75310382181667</v>
      </c>
      <c r="AA251" s="217">
        <f t="shared" si="740"/>
        <v>10</v>
      </c>
      <c r="AB251" s="173">
        <f t="shared" si="741"/>
        <v>7.7180150491078416</v>
      </c>
      <c r="AC251" s="173">
        <f t="shared" si="742"/>
        <v>4.2249333753312666</v>
      </c>
      <c r="AD251" s="173"/>
      <c r="AE251" s="173">
        <f t="shared" si="743"/>
        <v>7.7180150491078416</v>
      </c>
      <c r="AF251" s="545">
        <f t="shared" si="744"/>
        <v>90.696894932968021</v>
      </c>
      <c r="AG251" s="528">
        <f t="shared" si="745"/>
        <v>4.2249333753312666</v>
      </c>
      <c r="AI251" s="173">
        <f t="shared" si="746"/>
        <v>5.0905204598622902</v>
      </c>
      <c r="AJ251" s="173">
        <f t="shared" si="747"/>
        <v>10</v>
      </c>
      <c r="AK251" s="173">
        <f t="shared" si="748"/>
        <v>1.0518267971045532</v>
      </c>
      <c r="AM251" s="545">
        <f t="shared" si="749"/>
        <v>3500</v>
      </c>
      <c r="AN251" s="460">
        <f t="shared" si="750"/>
        <v>90.696894932968021</v>
      </c>
      <c r="AP251">
        <f t="shared" si="751"/>
        <v>3500</v>
      </c>
      <c r="AQ251">
        <f t="shared" si="752"/>
        <v>90.696894932968021</v>
      </c>
      <c r="AS251" s="5">
        <f t="shared" si="600"/>
        <v>11.025735784439775</v>
      </c>
      <c r="AT251" s="5">
        <f t="shared" si="753"/>
        <v>1.4158746048357451</v>
      </c>
      <c r="AU251" s="5">
        <f t="shared" si="722"/>
        <v>9.6098611796040299</v>
      </c>
      <c r="AV251" s="5"/>
      <c r="AW251" s="173">
        <f t="shared" si="723"/>
        <v>0.12841543027304519</v>
      </c>
      <c r="AX251" s="173">
        <f t="shared" si="631"/>
        <v>54.418136959780817</v>
      </c>
      <c r="AY251" s="173">
        <f t="shared" si="632"/>
        <v>4.3579228486347743</v>
      </c>
      <c r="AZ251" s="173">
        <f t="shared" si="633"/>
        <v>12.487173098263689</v>
      </c>
      <c r="BA251" s="460">
        <f t="shared" si="724"/>
        <v>33.037074112834055</v>
      </c>
      <c r="BB251" s="5">
        <f t="shared" si="725"/>
        <v>2.0526833793402486</v>
      </c>
      <c r="BD251" s="173">
        <f t="shared" si="681"/>
        <v>2.0689403912232076</v>
      </c>
      <c r="BE251" s="173">
        <f t="shared" si="682"/>
        <v>5.3900666963311767</v>
      </c>
      <c r="BG251" s="528">
        <f t="shared" si="683"/>
        <v>8.5610286848696801E-2</v>
      </c>
      <c r="BH251" s="528">
        <f t="shared" si="754"/>
        <v>1.70569071092019</v>
      </c>
      <c r="BI251" s="528">
        <f t="shared" si="755"/>
        <v>0.19217145633491264</v>
      </c>
      <c r="BJ251" s="528">
        <f t="shared" si="684"/>
        <v>9.124427096652693E-2</v>
      </c>
      <c r="BK251">
        <f t="shared" si="685"/>
        <v>3.8138970651475534E-2</v>
      </c>
      <c r="BL251" s="460">
        <f t="shared" si="686"/>
        <v>230.31042698638817</v>
      </c>
      <c r="BM251" s="528">
        <f t="shared" si="756"/>
        <v>1.9452279357077011</v>
      </c>
      <c r="BN251" s="460">
        <f t="shared" si="687"/>
        <v>1945.2279357077011</v>
      </c>
      <c r="BO251" s="528">
        <f t="shared" si="637"/>
        <v>2.4499999999999997</v>
      </c>
      <c r="BR251" s="460">
        <f t="shared" si="688"/>
        <v>2449.9999999999995</v>
      </c>
      <c r="BS251" s="528">
        <f t="shared" si="689"/>
        <v>0.12841543027304519</v>
      </c>
      <c r="BT251" s="528">
        <f t="shared" si="690"/>
        <v>0.87158456972695453</v>
      </c>
      <c r="BU251" s="528">
        <f t="shared" si="691"/>
        <v>1.238656972688003</v>
      </c>
      <c r="BV251" s="528"/>
      <c r="BW251" s="528">
        <f t="shared" si="692"/>
        <v>9.0696894932968033E-3</v>
      </c>
      <c r="BX251" s="460">
        <f t="shared" si="693"/>
        <v>2247.7266621812996</v>
      </c>
      <c r="BY251" s="173">
        <f t="shared" si="694"/>
        <v>6.8105823579031011</v>
      </c>
      <c r="BZ251" s="5">
        <f t="shared" si="695"/>
        <v>52.5</v>
      </c>
      <c r="CA251" s="173">
        <f t="shared" si="696"/>
        <v>0.88517087360893876</v>
      </c>
      <c r="CB251" s="5">
        <f t="shared" si="697"/>
        <v>88.517087360893882</v>
      </c>
      <c r="CE251" s="562">
        <f t="shared" si="757"/>
        <v>-50</v>
      </c>
      <c r="CF251">
        <f t="shared" si="758"/>
        <v>-50</v>
      </c>
      <c r="CG251" s="173">
        <f t="shared" si="759"/>
        <v>0.70927192716663101</v>
      </c>
      <c r="CI251" s="170">
        <v>35</v>
      </c>
      <c r="CJ251" s="217">
        <f t="shared" si="698"/>
        <v>3.5</v>
      </c>
      <c r="CK251" s="217"/>
      <c r="CL251" s="217">
        <f t="shared" si="641"/>
        <v>52.5</v>
      </c>
      <c r="CM251" s="541">
        <f t="shared" si="642"/>
        <v>85</v>
      </c>
      <c r="CN251" s="443">
        <f t="shared" si="643"/>
        <v>15.4</v>
      </c>
      <c r="CO251" s="443">
        <f t="shared" si="644"/>
        <v>100.4</v>
      </c>
      <c r="CP251" s="443"/>
      <c r="CQ251" s="217">
        <f t="shared" si="645"/>
        <v>0.15338645418326693</v>
      </c>
      <c r="CR251" s="172">
        <f t="shared" si="646"/>
        <v>327.33148655378488</v>
      </c>
      <c r="CS251" s="172">
        <f t="shared" si="647"/>
        <v>52.5</v>
      </c>
      <c r="CT251" s="217">
        <f t="shared" si="648"/>
        <v>21.822099103585661</v>
      </c>
      <c r="CU251" s="217">
        <f t="shared" si="649"/>
        <v>15</v>
      </c>
      <c r="CV251" s="217"/>
      <c r="CW251" s="172">
        <f t="shared" si="650"/>
        <v>522.20791547625231</v>
      </c>
      <c r="CX251" s="172">
        <f t="shared" si="651"/>
        <v>15</v>
      </c>
      <c r="CY251" s="217">
        <f t="shared" si="652"/>
        <v>8.0534759358288763</v>
      </c>
      <c r="CZ251" s="217">
        <f t="shared" si="653"/>
        <v>1.1369613085876062</v>
      </c>
      <c r="DA251" s="217">
        <f t="shared" si="654"/>
        <v>6.2754357941523713</v>
      </c>
      <c r="DB251" s="197">
        <f t="shared" si="655"/>
        <v>108.64873837981409</v>
      </c>
      <c r="DC251" s="443">
        <f t="shared" si="656"/>
        <v>134.90912401743182</v>
      </c>
      <c r="DE251" s="217">
        <f t="shared" si="657"/>
        <v>10</v>
      </c>
      <c r="DF251" s="173">
        <f t="shared" si="658"/>
        <v>7.7922077922077913</v>
      </c>
      <c r="DG251" s="173">
        <f t="shared" si="659"/>
        <v>4.2330677290836656</v>
      </c>
      <c r="DH251" s="173"/>
      <c r="DI251" s="173">
        <f t="shared" si="660"/>
        <v>7.7922077922077913</v>
      </c>
      <c r="DJ251" s="545">
        <f t="shared" si="661"/>
        <v>89.833333333333343</v>
      </c>
      <c r="DK251" s="528">
        <f t="shared" si="662"/>
        <v>4.2330677290836656</v>
      </c>
      <c r="DM251" s="173">
        <f t="shared" si="663"/>
        <v>5.0662280511902216</v>
      </c>
      <c r="DN251" s="173">
        <f t="shared" si="664"/>
        <v>10</v>
      </c>
      <c r="DO251" s="173">
        <f t="shared" si="665"/>
        <v>1.0513333333333335</v>
      </c>
      <c r="DQ251" s="545">
        <f t="shared" si="666"/>
        <v>3500</v>
      </c>
      <c r="DR251" s="460">
        <f t="shared" si="667"/>
        <v>89.833333333333343</v>
      </c>
      <c r="DT251">
        <f t="shared" si="668"/>
        <v>3500</v>
      </c>
      <c r="DU251">
        <f t="shared" si="669"/>
        <v>89.833333333333343</v>
      </c>
      <c r="DW251" s="5">
        <f t="shared" si="670"/>
        <v>11.131725417439702</v>
      </c>
      <c r="DX251" s="5">
        <f t="shared" si="671"/>
        <v>1.4117647058823528</v>
      </c>
      <c r="DY251" s="5">
        <f t="shared" si="672"/>
        <v>9.7199607115573485</v>
      </c>
      <c r="DZ251" s="5"/>
      <c r="EA251" s="173">
        <f t="shared" si="673"/>
        <v>0.1268235294117647</v>
      </c>
      <c r="EB251" s="173">
        <f t="shared" si="699"/>
        <v>53.900000000000013</v>
      </c>
      <c r="EC251" s="173">
        <f t="shared" si="700"/>
        <v>4.3658823529411768</v>
      </c>
      <c r="ED251" s="173">
        <f t="shared" si="701"/>
        <v>12.345728914039345</v>
      </c>
      <c r="EE251" s="460">
        <f t="shared" si="674"/>
        <v>32.941176470588232</v>
      </c>
      <c r="EF251" s="5">
        <f t="shared" si="675"/>
        <v>2.0701741880598812</v>
      </c>
      <c r="EH251" s="173">
        <f t="shared" si="702"/>
        <v>2.0560765988630276</v>
      </c>
      <c r="EI251" s="173">
        <f t="shared" si="703"/>
        <v>5.3949867796817799</v>
      </c>
      <c r="EK251" s="528">
        <f t="shared" si="704"/>
        <v>8.4549019607843098E-2</v>
      </c>
      <c r="EL251" s="528">
        <f t="shared" si="705"/>
        <v>1.8038533333333335</v>
      </c>
      <c r="EM251" s="528">
        <f t="shared" si="706"/>
        <v>1.1229166666666667E-2</v>
      </c>
      <c r="EN251" s="528">
        <f t="shared" si="707"/>
        <v>9.0553437333333348E-2</v>
      </c>
      <c r="EO251">
        <f t="shared" si="708"/>
        <v>3.8249999999999999E-2</v>
      </c>
      <c r="EP251" s="460">
        <f t="shared" si="709"/>
        <v>49.479166666666664</v>
      </c>
      <c r="EQ251" s="460"/>
      <c r="ER251" s="460">
        <f t="shared" si="710"/>
        <v>2028.4349569411768</v>
      </c>
      <c r="ES251" s="528">
        <f t="shared" si="711"/>
        <v>2.4499999999999997</v>
      </c>
      <c r="EV251" s="460">
        <f t="shared" si="712"/>
        <v>2449.9999999999995</v>
      </c>
      <c r="EW251" s="528">
        <f t="shared" si="713"/>
        <v>0.12682352941176464</v>
      </c>
      <c r="EX251" s="528">
        <f t="shared" si="714"/>
        <v>0.87317647058823544</v>
      </c>
      <c r="EY251" s="528">
        <f t="shared" si="715"/>
        <v>1.2093828100881767</v>
      </c>
      <c r="EZ251" s="528"/>
      <c r="FA251" s="528">
        <f t="shared" si="716"/>
        <v>8.9833333333333345E-3</v>
      </c>
      <c r="FB251" s="460">
        <f t="shared" si="717"/>
        <v>2218.3661434215101</v>
      </c>
      <c r="FC251" s="173">
        <f t="shared" si="718"/>
        <v>6.6968011003626868</v>
      </c>
      <c r="FD251" s="5">
        <f t="shared" si="719"/>
        <v>52.5</v>
      </c>
      <c r="FE251" s="173">
        <f t="shared" si="720"/>
        <v>0.88687224688021771</v>
      </c>
      <c r="FF251" s="5">
        <f t="shared" si="721"/>
        <v>88.687224688021772</v>
      </c>
      <c r="FI251" s="562">
        <f t="shared" si="676"/>
        <v>-50</v>
      </c>
      <c r="FJ251">
        <f t="shared" si="677"/>
        <v>-50</v>
      </c>
      <c r="FL251">
        <f t="shared" si="760"/>
        <v>0.70000000000000007</v>
      </c>
    </row>
    <row r="252" spans="5:168">
      <c r="E252" s="170">
        <v>36</v>
      </c>
      <c r="F252" s="217">
        <f t="shared" si="761"/>
        <v>3.5999999999999996</v>
      </c>
      <c r="G252" s="217"/>
      <c r="H252" s="217">
        <f t="shared" si="726"/>
        <v>53.999999999999993</v>
      </c>
      <c r="I252" s="541">
        <f t="shared" si="727"/>
        <v>84.753268114390082</v>
      </c>
      <c r="J252" s="172">
        <f t="shared" si="728"/>
        <v>15.548039131365949</v>
      </c>
      <c r="K252" s="172">
        <f t="shared" si="729"/>
        <v>100.30130724575604</v>
      </c>
      <c r="L252" s="443"/>
      <c r="M252" s="217">
        <f t="shared" si="730"/>
        <v>0.15502984391561525</v>
      </c>
      <c r="N252" s="172">
        <f t="shared" si="731"/>
        <v>329.8781973075603</v>
      </c>
      <c r="O252" s="172">
        <f t="shared" si="599"/>
        <v>53.999999999999993</v>
      </c>
      <c r="P252" s="217">
        <f t="shared" si="732"/>
        <v>21.991879820504021</v>
      </c>
      <c r="Q252" s="217">
        <f t="shared" si="733"/>
        <v>15</v>
      </c>
      <c r="R252" s="217"/>
      <c r="S252" s="172">
        <f t="shared" si="734"/>
        <v>503.87832116499487</v>
      </c>
      <c r="T252" s="172">
        <f t="shared" si="735"/>
        <v>15</v>
      </c>
      <c r="U252" s="217">
        <f t="shared" si="736"/>
        <v>8.521011006311749</v>
      </c>
      <c r="V252" s="217">
        <f t="shared" si="737"/>
        <v>1.2064683091362682</v>
      </c>
      <c r="W252" s="217">
        <f t="shared" si="738"/>
        <v>6.5765291180327639</v>
      </c>
      <c r="X252" s="197">
        <f t="shared" si="739"/>
        <v>109.48238241177424</v>
      </c>
      <c r="Y252" s="443">
        <f t="shared" si="680"/>
        <v>125.26623102703724</v>
      </c>
      <c r="AA252" s="217">
        <f t="shared" si="740"/>
        <v>10</v>
      </c>
      <c r="AB252" s="173">
        <f t="shared" si="741"/>
        <v>7.7180150491078416</v>
      </c>
      <c r="AC252" s="173">
        <f t="shared" si="742"/>
        <v>4.2249333753312666</v>
      </c>
      <c r="AD252" s="173"/>
      <c r="AE252" s="173">
        <f t="shared" si="743"/>
        <v>7.7180150491078416</v>
      </c>
      <c r="AF252" s="545">
        <f t="shared" si="744"/>
        <v>93.288234788195666</v>
      </c>
      <c r="AG252" s="528">
        <f t="shared" si="745"/>
        <v>4.2249333753312666</v>
      </c>
      <c r="AI252" s="173">
        <f t="shared" si="746"/>
        <v>5.1627300305222148</v>
      </c>
      <c r="AJ252" s="173">
        <f t="shared" si="747"/>
        <v>10</v>
      </c>
      <c r="AK252" s="173">
        <f t="shared" si="748"/>
        <v>1.0533075627361117</v>
      </c>
      <c r="AM252" s="545">
        <f t="shared" si="749"/>
        <v>3599.9999999999995</v>
      </c>
      <c r="AN252" s="460">
        <f t="shared" si="750"/>
        <v>93.288234788195666</v>
      </c>
      <c r="AP252">
        <f t="shared" si="751"/>
        <v>3599.9999999999995</v>
      </c>
      <c r="AQ252">
        <f t="shared" si="752"/>
        <v>93.288234788195666</v>
      </c>
      <c r="AS252" s="5">
        <f t="shared" si="600"/>
        <v>10.719465345983116</v>
      </c>
      <c r="AT252" s="5">
        <f t="shared" si="753"/>
        <v>1.4158746048357451</v>
      </c>
      <c r="AU252" s="5">
        <f t="shared" si="722"/>
        <v>9.3035907411473708</v>
      </c>
      <c r="AV252" s="5"/>
      <c r="AW252" s="173">
        <f t="shared" si="723"/>
        <v>0.13208444256656077</v>
      </c>
      <c r="AX252" s="173">
        <f t="shared" si="631"/>
        <v>55.972940872917405</v>
      </c>
      <c r="AY252" s="173">
        <f t="shared" si="632"/>
        <v>4.3395777871671957</v>
      </c>
      <c r="AZ252" s="173">
        <f t="shared" si="633"/>
        <v>12.898245778296236</v>
      </c>
      <c r="BA252" s="460">
        <f t="shared" si="724"/>
        <v>33.980990516057879</v>
      </c>
      <c r="BB252" s="5">
        <f t="shared" si="725"/>
        <v>2.0440424271996505</v>
      </c>
      <c r="BD252" s="173">
        <f t="shared" si="681"/>
        <v>2.0982885293063709</v>
      </c>
      <c r="BE252" s="173">
        <f t="shared" si="682"/>
        <v>5.37870975059211</v>
      </c>
      <c r="BG252" s="528">
        <f t="shared" si="683"/>
        <v>8.8056295044373858E-2</v>
      </c>
      <c r="BH252" s="528">
        <f t="shared" si="754"/>
        <v>1.754424731232195</v>
      </c>
      <c r="BI252" s="528">
        <f t="shared" si="755"/>
        <v>0.19766206937305297</v>
      </c>
      <c r="BJ252" s="528">
        <f t="shared" si="684"/>
        <v>9.3851250136999118E-2</v>
      </c>
      <c r="BK252">
        <f t="shared" si="685"/>
        <v>3.8138970651475534E-2</v>
      </c>
      <c r="BL252" s="460">
        <f t="shared" si="686"/>
        <v>235.8010400245285</v>
      </c>
      <c r="BM252" s="528">
        <f t="shared" si="756"/>
        <v>2.0019935366037278</v>
      </c>
      <c r="BN252" s="460">
        <f t="shared" si="687"/>
        <v>2001.9935366037278</v>
      </c>
      <c r="BO252" s="528">
        <f t="shared" si="637"/>
        <v>2.5199999999999996</v>
      </c>
      <c r="BR252" s="460">
        <f t="shared" si="688"/>
        <v>2519.9999999999995</v>
      </c>
      <c r="BS252" s="528">
        <f t="shared" si="689"/>
        <v>0.13208444256656079</v>
      </c>
      <c r="BT252" s="528">
        <f t="shared" si="690"/>
        <v>0.86791555743343907</v>
      </c>
      <c r="BU252" s="528">
        <f t="shared" si="691"/>
        <v>1.3290373704086857</v>
      </c>
      <c r="BV252" s="528"/>
      <c r="BW252" s="528">
        <f t="shared" si="692"/>
        <v>9.3288234788195673E-3</v>
      </c>
      <c r="BX252" s="460">
        <f t="shared" si="693"/>
        <v>2338.3661938875048</v>
      </c>
      <c r="BY252" s="173">
        <f t="shared" si="694"/>
        <v>7.0304995103256012</v>
      </c>
      <c r="BZ252" s="5">
        <f t="shared" si="695"/>
        <v>53.999999999999993</v>
      </c>
      <c r="CA252" s="173">
        <f t="shared" si="696"/>
        <v>0.88480350698856514</v>
      </c>
      <c r="CB252" s="5">
        <f t="shared" si="697"/>
        <v>88.480350698856512</v>
      </c>
      <c r="CE252" s="562">
        <f t="shared" si="757"/>
        <v>-50</v>
      </c>
      <c r="CF252">
        <f t="shared" si="758"/>
        <v>-50</v>
      </c>
      <c r="CG252" s="173">
        <f t="shared" si="759"/>
        <v>0.7295368393713918</v>
      </c>
      <c r="CI252" s="170">
        <v>36</v>
      </c>
      <c r="CJ252" s="217">
        <f t="shared" si="698"/>
        <v>3.5999999999999996</v>
      </c>
      <c r="CK252" s="217"/>
      <c r="CL252" s="217">
        <f t="shared" si="641"/>
        <v>53.999999999999993</v>
      </c>
      <c r="CM252" s="541">
        <f t="shared" si="642"/>
        <v>85</v>
      </c>
      <c r="CN252" s="443">
        <f t="shared" si="643"/>
        <v>15.4</v>
      </c>
      <c r="CO252" s="443">
        <f t="shared" si="644"/>
        <v>100.4</v>
      </c>
      <c r="CP252" s="443"/>
      <c r="CQ252" s="217">
        <f t="shared" si="645"/>
        <v>0.15338645418326693</v>
      </c>
      <c r="CR252" s="172">
        <f t="shared" si="646"/>
        <v>327.33148655378488</v>
      </c>
      <c r="CS252" s="172">
        <f t="shared" si="647"/>
        <v>53.999999999999993</v>
      </c>
      <c r="CT252" s="217">
        <f t="shared" si="648"/>
        <v>21.822099103585661</v>
      </c>
      <c r="CU252" s="217">
        <f t="shared" si="649"/>
        <v>15</v>
      </c>
      <c r="CV252" s="217"/>
      <c r="CW252" s="172">
        <f t="shared" si="650"/>
        <v>505.34500533245762</v>
      </c>
      <c r="CX252" s="172">
        <f t="shared" si="651"/>
        <v>15</v>
      </c>
      <c r="CY252" s="217">
        <f t="shared" si="652"/>
        <v>8.2835752482811298</v>
      </c>
      <c r="CZ252" s="217">
        <f t="shared" si="653"/>
        <v>1.169445917404395</v>
      </c>
      <c r="DA252" s="217">
        <f t="shared" si="654"/>
        <v>6.4547339596995821</v>
      </c>
      <c r="DB252" s="197">
        <f t="shared" si="655"/>
        <v>108.64873837981409</v>
      </c>
      <c r="DC252" s="443">
        <f t="shared" si="656"/>
        <v>131.16164835028093</v>
      </c>
      <c r="DE252" s="217">
        <f t="shared" si="657"/>
        <v>10</v>
      </c>
      <c r="DF252" s="173">
        <f t="shared" si="658"/>
        <v>7.7922077922077913</v>
      </c>
      <c r="DG252" s="173">
        <f t="shared" si="659"/>
        <v>4.2330677290836656</v>
      </c>
      <c r="DH252" s="173"/>
      <c r="DI252" s="173">
        <f t="shared" si="660"/>
        <v>7.7922077922077913</v>
      </c>
      <c r="DJ252" s="545">
        <f t="shared" si="661"/>
        <v>92.4</v>
      </c>
      <c r="DK252" s="528">
        <f t="shared" si="662"/>
        <v>4.2330677290836656</v>
      </c>
      <c r="DM252" s="173">
        <f t="shared" si="663"/>
        <v>5.1380930314660516</v>
      </c>
      <c r="DN252" s="173">
        <f t="shared" si="664"/>
        <v>10</v>
      </c>
      <c r="DO252" s="173">
        <f t="shared" si="665"/>
        <v>1.0528</v>
      </c>
      <c r="DQ252" s="545">
        <f t="shared" si="666"/>
        <v>3599.9999999999995</v>
      </c>
      <c r="DR252" s="460">
        <f t="shared" si="667"/>
        <v>92.4</v>
      </c>
      <c r="DT252">
        <f t="shared" si="668"/>
        <v>3599.9999999999995</v>
      </c>
      <c r="DU252">
        <f t="shared" si="669"/>
        <v>92.4</v>
      </c>
      <c r="DW252" s="5">
        <f t="shared" si="670"/>
        <v>10.822510822510822</v>
      </c>
      <c r="DX252" s="5">
        <f t="shared" si="671"/>
        <v>1.4117647058823528</v>
      </c>
      <c r="DY252" s="5">
        <f t="shared" si="672"/>
        <v>9.4107461166284683</v>
      </c>
      <c r="DZ252" s="5"/>
      <c r="EA252" s="173">
        <f t="shared" si="673"/>
        <v>0.13044705882352942</v>
      </c>
      <c r="EB252" s="173">
        <f t="shared" si="699"/>
        <v>55.440000000000012</v>
      </c>
      <c r="EC252" s="173">
        <f t="shared" si="700"/>
        <v>4.3477647058823532</v>
      </c>
      <c r="ED252" s="173">
        <f t="shared" si="701"/>
        <v>12.75138001948263</v>
      </c>
      <c r="EE252" s="460">
        <f t="shared" si="674"/>
        <v>33.882352941176464</v>
      </c>
      <c r="EF252" s="5">
        <f t="shared" si="675"/>
        <v>2.0615833277806783</v>
      </c>
      <c r="EH252" s="173">
        <f t="shared" si="702"/>
        <v>2.0852422626921907</v>
      </c>
      <c r="EI252" s="173">
        <f t="shared" si="703"/>
        <v>5.3837810170191434</v>
      </c>
      <c r="EK252" s="528">
        <f t="shared" si="704"/>
        <v>8.6964705882352944E-2</v>
      </c>
      <c r="EL252" s="528">
        <f t="shared" si="705"/>
        <v>1.8553919999999999</v>
      </c>
      <c r="EM252" s="528">
        <f t="shared" si="706"/>
        <v>1.155E-2</v>
      </c>
      <c r="EN252" s="528">
        <f t="shared" si="707"/>
        <v>9.314067840000001E-2</v>
      </c>
      <c r="EO252">
        <f t="shared" si="708"/>
        <v>3.8249999999999999E-2</v>
      </c>
      <c r="EP252" s="460">
        <f t="shared" si="709"/>
        <v>49.8</v>
      </c>
      <c r="EQ252" s="460"/>
      <c r="ER252" s="460">
        <f t="shared" si="710"/>
        <v>2085.2973842823526</v>
      </c>
      <c r="ES252" s="528">
        <f t="shared" si="711"/>
        <v>2.5199999999999996</v>
      </c>
      <c r="EV252" s="460">
        <f t="shared" si="712"/>
        <v>2519.9999999999995</v>
      </c>
      <c r="EW252" s="528">
        <f t="shared" si="713"/>
        <v>0.13044705882352942</v>
      </c>
      <c r="EX252" s="528">
        <f t="shared" si="714"/>
        <v>0.86955294117647042</v>
      </c>
      <c r="EY252" s="528">
        <f t="shared" si="715"/>
        <v>1.2976271761898954</v>
      </c>
      <c r="EZ252" s="528"/>
      <c r="FA252" s="528">
        <f t="shared" si="716"/>
        <v>9.2400000000000017E-3</v>
      </c>
      <c r="FB252" s="460">
        <f t="shared" si="717"/>
        <v>2306.867176189895</v>
      </c>
      <c r="FC252" s="173">
        <f t="shared" si="718"/>
        <v>6.912164560472247</v>
      </c>
      <c r="FD252" s="5">
        <f t="shared" si="719"/>
        <v>53.999999999999993</v>
      </c>
      <c r="FE252" s="173">
        <f t="shared" si="720"/>
        <v>0.88652242765712252</v>
      </c>
      <c r="FF252" s="5">
        <f t="shared" si="721"/>
        <v>88.652242765712259</v>
      </c>
      <c r="FI252" s="562">
        <f t="shared" si="676"/>
        <v>-50</v>
      </c>
      <c r="FJ252">
        <f t="shared" si="677"/>
        <v>-50</v>
      </c>
      <c r="FL252">
        <f t="shared" si="760"/>
        <v>0.72</v>
      </c>
    </row>
    <row r="253" spans="5:168">
      <c r="E253" s="170">
        <v>37</v>
      </c>
      <c r="F253" s="217">
        <f t="shared" si="761"/>
        <v>3.7</v>
      </c>
      <c r="G253" s="217"/>
      <c r="H253" s="217">
        <f t="shared" si="726"/>
        <v>55.5</v>
      </c>
      <c r="I253" s="541">
        <f t="shared" si="727"/>
        <v>84.753268114390082</v>
      </c>
      <c r="J253" s="172">
        <f t="shared" si="728"/>
        <v>15.548039131365949</v>
      </c>
      <c r="K253" s="172">
        <f t="shared" si="729"/>
        <v>100.30130724575604</v>
      </c>
      <c r="L253" s="443"/>
      <c r="M253" s="217">
        <f t="shared" si="730"/>
        <v>0.15502984391561525</v>
      </c>
      <c r="N253" s="172">
        <f t="shared" si="731"/>
        <v>329.8781973075603</v>
      </c>
      <c r="O253" s="172">
        <f t="shared" si="599"/>
        <v>55.5</v>
      </c>
      <c r="P253" s="217">
        <f t="shared" si="732"/>
        <v>21.991879820504021</v>
      </c>
      <c r="Q253" s="217">
        <f t="shared" si="733"/>
        <v>15</v>
      </c>
      <c r="R253" s="217"/>
      <c r="S253" s="172">
        <f t="shared" si="734"/>
        <v>487.97336565629672</v>
      </c>
      <c r="T253" s="172">
        <f t="shared" si="735"/>
        <v>15</v>
      </c>
      <c r="U253" s="217">
        <f t="shared" si="736"/>
        <v>8.7577057564870753</v>
      </c>
      <c r="V253" s="217">
        <f t="shared" si="737"/>
        <v>1.2399813177233865</v>
      </c>
      <c r="W253" s="217">
        <f t="shared" si="738"/>
        <v>6.7592104824225618</v>
      </c>
      <c r="X253" s="197">
        <f t="shared" si="739"/>
        <v>109.48238241177424</v>
      </c>
      <c r="Y253" s="443">
        <f t="shared" si="680"/>
        <v>121.9632403259794</v>
      </c>
      <c r="AA253" s="217">
        <f t="shared" si="740"/>
        <v>10</v>
      </c>
      <c r="AB253" s="173">
        <f t="shared" si="741"/>
        <v>7.7180150491078416</v>
      </c>
      <c r="AC253" s="173">
        <f t="shared" si="742"/>
        <v>4.2249333753312666</v>
      </c>
      <c r="AD253" s="173"/>
      <c r="AE253" s="173">
        <f t="shared" si="743"/>
        <v>7.7180150491078416</v>
      </c>
      <c r="AF253" s="545">
        <f t="shared" si="744"/>
        <v>95.879574643423339</v>
      </c>
      <c r="AG253" s="528">
        <f t="shared" si="745"/>
        <v>4.2249333753312666</v>
      </c>
      <c r="AI253" s="173">
        <f t="shared" si="746"/>
        <v>5.2339434639509852</v>
      </c>
      <c r="AJ253" s="173">
        <f t="shared" si="747"/>
        <v>10</v>
      </c>
      <c r="AK253" s="173">
        <f t="shared" si="748"/>
        <v>1.0547883283676704</v>
      </c>
      <c r="AM253" s="545">
        <f t="shared" si="749"/>
        <v>3700</v>
      </c>
      <c r="AN253" s="460">
        <f t="shared" si="750"/>
        <v>95.879574643423339</v>
      </c>
      <c r="AP253">
        <f t="shared" si="751"/>
        <v>3700</v>
      </c>
      <c r="AQ253">
        <f t="shared" si="752"/>
        <v>95.879574643423339</v>
      </c>
      <c r="AS253" s="5">
        <f t="shared" si="600"/>
        <v>10.429750066361949</v>
      </c>
      <c r="AT253" s="5">
        <f t="shared" si="753"/>
        <v>1.4158746048357451</v>
      </c>
      <c r="AU253" s="5">
        <f t="shared" si="722"/>
        <v>9.0138754615262044</v>
      </c>
      <c r="AV253" s="5"/>
      <c r="AW253" s="173">
        <f t="shared" si="723"/>
        <v>0.13575345486007634</v>
      </c>
      <c r="AX253" s="173">
        <f t="shared" si="631"/>
        <v>57.527744786054015</v>
      </c>
      <c r="AY253" s="173">
        <f t="shared" si="632"/>
        <v>4.3212327256996188</v>
      </c>
      <c r="AZ253" s="173">
        <f t="shared" si="633"/>
        <v>13.312808737173517</v>
      </c>
      <c r="BA253" s="460">
        <f t="shared" si="724"/>
        <v>34.924906919281717</v>
      </c>
      <c r="BB253" s="5">
        <f t="shared" si="725"/>
        <v>2.0354014750590523</v>
      </c>
      <c r="BD253" s="173">
        <f t="shared" si="681"/>
        <v>2.1272318073032248</v>
      </c>
      <c r="BE253" s="173">
        <f t="shared" si="682"/>
        <v>5.3673287742908746</v>
      </c>
      <c r="BG253" s="528">
        <f t="shared" si="683"/>
        <v>9.0502303240050888E-2</v>
      </c>
      <c r="BH253" s="528">
        <f t="shared" si="754"/>
        <v>1.8031587515442005</v>
      </c>
      <c r="BI253" s="528">
        <f t="shared" si="755"/>
        <v>0.20315268241119339</v>
      </c>
      <c r="BJ253" s="528">
        <f t="shared" si="684"/>
        <v>9.6458229307471333E-2</v>
      </c>
      <c r="BK253">
        <f t="shared" si="685"/>
        <v>3.8138970651475534E-2</v>
      </c>
      <c r="BL253" s="460">
        <f t="shared" si="686"/>
        <v>241.29165306266893</v>
      </c>
      <c r="BM253" s="528">
        <f t="shared" si="756"/>
        <v>2.058826568598294</v>
      </c>
      <c r="BN253" s="460">
        <f t="shared" si="687"/>
        <v>2058.8265685982942</v>
      </c>
      <c r="BO253" s="528">
        <f t="shared" si="637"/>
        <v>2.59</v>
      </c>
      <c r="BR253" s="460">
        <f t="shared" si="688"/>
        <v>2590</v>
      </c>
      <c r="BS253" s="528">
        <f t="shared" si="689"/>
        <v>0.13575345486007631</v>
      </c>
      <c r="BT253" s="528">
        <f t="shared" si="690"/>
        <v>0.86424654513992349</v>
      </c>
      <c r="BU253" s="528">
        <f t="shared" si="691"/>
        <v>1.4232633005481632</v>
      </c>
      <c r="BV253" s="528"/>
      <c r="BW253" s="528">
        <f t="shared" si="692"/>
        <v>9.5879574643423348E-3</v>
      </c>
      <c r="BX253" s="460">
        <f t="shared" si="693"/>
        <v>2432.8512580125052</v>
      </c>
      <c r="BY253" s="173">
        <f t="shared" si="694"/>
        <v>7.2542621951668966</v>
      </c>
      <c r="BZ253" s="5">
        <f t="shared" si="695"/>
        <v>55.5</v>
      </c>
      <c r="CA253" s="173">
        <f t="shared" si="696"/>
        <v>0.88440207977258967</v>
      </c>
      <c r="CB253" s="5">
        <f t="shared" si="697"/>
        <v>88.440207977258964</v>
      </c>
      <c r="CE253" s="562">
        <f t="shared" si="757"/>
        <v>-50</v>
      </c>
      <c r="CF253">
        <f t="shared" si="758"/>
        <v>-50</v>
      </c>
      <c r="CG253" s="173">
        <f t="shared" si="759"/>
        <v>0.74980175157615281</v>
      </c>
      <c r="CI253" s="170">
        <v>37</v>
      </c>
      <c r="CJ253" s="217">
        <f t="shared" si="698"/>
        <v>3.7</v>
      </c>
      <c r="CK253" s="217"/>
      <c r="CL253" s="217">
        <f t="shared" si="641"/>
        <v>55.5</v>
      </c>
      <c r="CM253" s="541">
        <f t="shared" si="642"/>
        <v>85</v>
      </c>
      <c r="CN253" s="443">
        <f t="shared" si="643"/>
        <v>15.4</v>
      </c>
      <c r="CO253" s="443">
        <f t="shared" si="644"/>
        <v>100.4</v>
      </c>
      <c r="CP253" s="443"/>
      <c r="CQ253" s="217">
        <f t="shared" si="645"/>
        <v>0.15338645418326693</v>
      </c>
      <c r="CR253" s="172">
        <f t="shared" si="646"/>
        <v>327.33148655378488</v>
      </c>
      <c r="CS253" s="172">
        <f t="shared" si="647"/>
        <v>55.5</v>
      </c>
      <c r="CT253" s="217">
        <f t="shared" si="648"/>
        <v>21.822099103585661</v>
      </c>
      <c r="CU253" s="217">
        <f t="shared" si="649"/>
        <v>15</v>
      </c>
      <c r="CV253" s="217"/>
      <c r="CW253" s="172">
        <f t="shared" si="650"/>
        <v>489.39374129953882</v>
      </c>
      <c r="CX253" s="172">
        <f t="shared" si="651"/>
        <v>15</v>
      </c>
      <c r="CY253" s="217">
        <f t="shared" si="652"/>
        <v>8.5136745607333832</v>
      </c>
      <c r="CZ253" s="217">
        <f t="shared" si="653"/>
        <v>1.2019305262211835</v>
      </c>
      <c r="DA253" s="217">
        <f t="shared" si="654"/>
        <v>6.634032125246792</v>
      </c>
      <c r="DB253" s="197">
        <f t="shared" si="655"/>
        <v>108.64873837981409</v>
      </c>
      <c r="DC253" s="443">
        <f t="shared" si="656"/>
        <v>127.61673893540851</v>
      </c>
      <c r="DE253" s="217">
        <f t="shared" si="657"/>
        <v>10</v>
      </c>
      <c r="DF253" s="173">
        <f t="shared" si="658"/>
        <v>7.7922077922077913</v>
      </c>
      <c r="DG253" s="173">
        <f t="shared" si="659"/>
        <v>4.2330677290836656</v>
      </c>
      <c r="DH253" s="173"/>
      <c r="DI253" s="173">
        <f t="shared" si="660"/>
        <v>7.7922077922077913</v>
      </c>
      <c r="DJ253" s="545">
        <f t="shared" si="661"/>
        <v>94.966666666666669</v>
      </c>
      <c r="DK253" s="528">
        <f t="shared" si="662"/>
        <v>4.2330677290836656</v>
      </c>
      <c r="DM253" s="173">
        <f t="shared" si="663"/>
        <v>5.2089666281646823</v>
      </c>
      <c r="DN253" s="173">
        <f t="shared" si="664"/>
        <v>10</v>
      </c>
      <c r="DO253" s="173">
        <f t="shared" si="665"/>
        <v>1.0542666666666667</v>
      </c>
      <c r="DQ253" s="545">
        <f t="shared" si="666"/>
        <v>3700</v>
      </c>
      <c r="DR253" s="460">
        <f t="shared" si="667"/>
        <v>94.966666666666669</v>
      </c>
      <c r="DT253">
        <f t="shared" si="668"/>
        <v>3700</v>
      </c>
      <c r="DU253">
        <f t="shared" si="669"/>
        <v>94.966666666666669</v>
      </c>
      <c r="DW253" s="5">
        <f t="shared" si="670"/>
        <v>10.53001053001053</v>
      </c>
      <c r="DX253" s="5">
        <f t="shared" si="671"/>
        <v>1.4117647058823528</v>
      </c>
      <c r="DY253" s="5">
        <f t="shared" si="672"/>
        <v>9.1182458241281772</v>
      </c>
      <c r="DZ253" s="5"/>
      <c r="EA253" s="173">
        <f t="shared" si="673"/>
        <v>0.13407058823529411</v>
      </c>
      <c r="EB253" s="173">
        <f t="shared" si="699"/>
        <v>56.980000000000011</v>
      </c>
      <c r="EC253" s="173">
        <f t="shared" si="700"/>
        <v>4.3296470588235287</v>
      </c>
      <c r="ED253" s="173">
        <f t="shared" si="701"/>
        <v>13.160426063800886</v>
      </c>
      <c r="EE253" s="460">
        <f t="shared" si="674"/>
        <v>34.823529411764703</v>
      </c>
      <c r="EF253" s="5">
        <f t="shared" si="675"/>
        <v>2.0529924675014759</v>
      </c>
      <c r="EH253" s="173">
        <f t="shared" si="702"/>
        <v>2.1140055836830558</v>
      </c>
      <c r="EI253" s="173">
        <f t="shared" si="703"/>
        <v>5.3725518820659328</v>
      </c>
      <c r="EK253" s="528">
        <f t="shared" si="704"/>
        <v>8.9380392156862748E-2</v>
      </c>
      <c r="EL253" s="528">
        <f t="shared" si="705"/>
        <v>1.906930666666667</v>
      </c>
      <c r="EM253" s="528">
        <f t="shared" si="706"/>
        <v>1.1870833333333334E-2</v>
      </c>
      <c r="EN253" s="528">
        <f t="shared" si="707"/>
        <v>9.5727919466666672E-2</v>
      </c>
      <c r="EO253">
        <f t="shared" si="708"/>
        <v>3.8249999999999999E-2</v>
      </c>
      <c r="EP253" s="460">
        <f t="shared" si="709"/>
        <v>50.120833333333337</v>
      </c>
      <c r="EQ253" s="460"/>
      <c r="ER253" s="460">
        <f t="shared" si="710"/>
        <v>2142.1598116235295</v>
      </c>
      <c r="ES253" s="528">
        <f t="shared" si="711"/>
        <v>2.59</v>
      </c>
      <c r="EV253" s="460">
        <f t="shared" si="712"/>
        <v>2590</v>
      </c>
      <c r="EW253" s="528">
        <f t="shared" si="713"/>
        <v>0.13407058823529411</v>
      </c>
      <c r="EX253" s="528">
        <f t="shared" si="714"/>
        <v>0.86592941176470584</v>
      </c>
      <c r="EY253" s="528">
        <f t="shared" si="715"/>
        <v>1.3896261901929081</v>
      </c>
      <c r="EZ253" s="528"/>
      <c r="FA253" s="528">
        <f t="shared" si="716"/>
        <v>9.4966666666666689E-3</v>
      </c>
      <c r="FB253" s="460">
        <f t="shared" si="717"/>
        <v>2399.1228568595752</v>
      </c>
      <c r="FC253" s="173">
        <f t="shared" si="718"/>
        <v>7.1312826684831032</v>
      </c>
      <c r="FD253" s="5">
        <f t="shared" si="719"/>
        <v>55.5</v>
      </c>
      <c r="FE253" s="173">
        <f t="shared" si="720"/>
        <v>0.88613864566322131</v>
      </c>
      <c r="FF253" s="5">
        <f t="shared" si="721"/>
        <v>88.613864566322135</v>
      </c>
      <c r="FI253" s="562">
        <f t="shared" si="676"/>
        <v>-50</v>
      </c>
      <c r="FJ253">
        <f t="shared" si="677"/>
        <v>-50</v>
      </c>
      <c r="FL253">
        <f t="shared" si="760"/>
        <v>0.74</v>
      </c>
    </row>
    <row r="254" spans="5:168">
      <c r="E254" s="170">
        <v>38</v>
      </c>
      <c r="F254" s="217">
        <f t="shared" si="761"/>
        <v>3.8</v>
      </c>
      <c r="G254" s="217"/>
      <c r="H254" s="217">
        <f t="shared" si="726"/>
        <v>57</v>
      </c>
      <c r="I254" s="541">
        <f t="shared" si="727"/>
        <v>84.753268114390082</v>
      </c>
      <c r="J254" s="172">
        <f t="shared" si="728"/>
        <v>15.548039131365949</v>
      </c>
      <c r="K254" s="172">
        <f t="shared" si="729"/>
        <v>100.30130724575604</v>
      </c>
      <c r="L254" s="443"/>
      <c r="M254" s="217">
        <f t="shared" si="730"/>
        <v>0.15502984391561525</v>
      </c>
      <c r="N254" s="172">
        <f t="shared" si="731"/>
        <v>329.8781973075603</v>
      </c>
      <c r="O254" s="172">
        <f t="shared" si="599"/>
        <v>57</v>
      </c>
      <c r="P254" s="217">
        <f t="shared" si="732"/>
        <v>21.991879820504021</v>
      </c>
      <c r="Q254" s="217">
        <f t="shared" si="733"/>
        <v>15</v>
      </c>
      <c r="R254" s="217"/>
      <c r="S254" s="172">
        <f t="shared" si="734"/>
        <v>472.90564878129288</v>
      </c>
      <c r="T254" s="172">
        <f t="shared" si="735"/>
        <v>15</v>
      </c>
      <c r="U254" s="217">
        <f t="shared" si="736"/>
        <v>8.9944005066624015</v>
      </c>
      <c r="V254" s="217">
        <f t="shared" si="737"/>
        <v>1.2734943263105052</v>
      </c>
      <c r="W254" s="217">
        <f t="shared" si="738"/>
        <v>6.9418918468123616</v>
      </c>
      <c r="X254" s="197">
        <f t="shared" si="739"/>
        <v>109.48238241177424</v>
      </c>
      <c r="Y254" s="443">
        <f t="shared" si="680"/>
        <v>118.8299597223249</v>
      </c>
      <c r="AA254" s="217">
        <f t="shared" si="740"/>
        <v>10</v>
      </c>
      <c r="AB254" s="173">
        <f t="shared" si="741"/>
        <v>7.7180150491078416</v>
      </c>
      <c r="AC254" s="173">
        <f t="shared" si="742"/>
        <v>4.2249333753312666</v>
      </c>
      <c r="AD254" s="173"/>
      <c r="AE254" s="173">
        <f t="shared" si="743"/>
        <v>7.7180150491078416</v>
      </c>
      <c r="AF254" s="545">
        <f t="shared" si="744"/>
        <v>98.470914498650998</v>
      </c>
      <c r="AG254" s="528">
        <f t="shared" si="745"/>
        <v>4.2249333753312666</v>
      </c>
      <c r="AI254" s="173">
        <f t="shared" si="746"/>
        <v>5.3042008822832658</v>
      </c>
      <c r="AJ254" s="173">
        <f t="shared" si="747"/>
        <v>10</v>
      </c>
      <c r="AK254" s="173">
        <f t="shared" si="748"/>
        <v>1.0562690939992292</v>
      </c>
      <c r="AM254" s="545">
        <f t="shared" si="749"/>
        <v>3800</v>
      </c>
      <c r="AN254" s="460">
        <f t="shared" si="750"/>
        <v>98.470914498650998</v>
      </c>
      <c r="AP254">
        <f t="shared" si="751"/>
        <v>3800</v>
      </c>
      <c r="AQ254">
        <f t="shared" si="752"/>
        <v>98.470914498650998</v>
      </c>
      <c r="AS254" s="5">
        <f t="shared" si="600"/>
        <v>10.155282959352423</v>
      </c>
      <c r="AT254" s="5">
        <f t="shared" si="753"/>
        <v>1.4158746048357451</v>
      </c>
      <c r="AU254" s="5">
        <f t="shared" si="722"/>
        <v>8.7394083545166783</v>
      </c>
      <c r="AV254" s="5"/>
      <c r="AW254" s="173">
        <f t="shared" si="723"/>
        <v>0.13942246715359194</v>
      </c>
      <c r="AX254" s="173">
        <f t="shared" si="631"/>
        <v>59.08254869919061</v>
      </c>
      <c r="AY254" s="173">
        <f t="shared" si="632"/>
        <v>4.3028876642320402</v>
      </c>
      <c r="AZ254" s="173">
        <f t="shared" si="633"/>
        <v>13.730906616576846</v>
      </c>
      <c r="BA254" s="460">
        <f t="shared" si="724"/>
        <v>35.868823322505534</v>
      </c>
      <c r="BB254" s="5">
        <f t="shared" si="725"/>
        <v>2.0267605229184538</v>
      </c>
      <c r="BD254" s="173">
        <f t="shared" si="681"/>
        <v>2.1557865320542287</v>
      </c>
      <c r="BE254" s="173">
        <f t="shared" si="682"/>
        <v>5.3559236142375042</v>
      </c>
      <c r="BG254" s="528">
        <f t="shared" si="683"/>
        <v>9.2948311435727946E-2</v>
      </c>
      <c r="BH254" s="528">
        <f t="shared" si="754"/>
        <v>1.8518927718562059</v>
      </c>
      <c r="BI254" s="528">
        <f t="shared" si="755"/>
        <v>0.20864329544933372</v>
      </c>
      <c r="BJ254" s="528">
        <f t="shared" si="684"/>
        <v>9.9065208477943534E-2</v>
      </c>
      <c r="BK254">
        <f t="shared" si="685"/>
        <v>3.8138970651475534E-2</v>
      </c>
      <c r="BL254" s="460">
        <f t="shared" si="686"/>
        <v>246.78226610080924</v>
      </c>
      <c r="BM254" s="528">
        <f t="shared" si="756"/>
        <v>2.1157271519135548</v>
      </c>
      <c r="BN254" s="460">
        <f t="shared" si="687"/>
        <v>2115.7271519135547</v>
      </c>
      <c r="BO254" s="528">
        <f t="shared" si="637"/>
        <v>2.6599999999999997</v>
      </c>
      <c r="BR254" s="460">
        <f t="shared" si="688"/>
        <v>2659.9999999999995</v>
      </c>
      <c r="BS254" s="528">
        <f t="shared" si="689"/>
        <v>0.13942246715359191</v>
      </c>
      <c r="BT254" s="528">
        <f t="shared" si="690"/>
        <v>0.86057753284640781</v>
      </c>
      <c r="BU254" s="528">
        <f t="shared" si="691"/>
        <v>1.5213878107811243</v>
      </c>
      <c r="BV254" s="528"/>
      <c r="BW254" s="528">
        <f t="shared" si="692"/>
        <v>9.8470914498651006E-3</v>
      </c>
      <c r="BX254" s="460">
        <f t="shared" si="693"/>
        <v>2531.2349022309891</v>
      </c>
      <c r="BY254" s="173">
        <f t="shared" si="694"/>
        <v>7.481923460101676</v>
      </c>
      <c r="BZ254" s="5">
        <f t="shared" si="695"/>
        <v>57</v>
      </c>
      <c r="CA254" s="173">
        <f t="shared" si="696"/>
        <v>0.8839686681379606</v>
      </c>
      <c r="CB254" s="5">
        <f t="shared" si="697"/>
        <v>88.396866813796066</v>
      </c>
      <c r="CE254" s="562">
        <f t="shared" si="757"/>
        <v>-50</v>
      </c>
      <c r="CF254">
        <f t="shared" si="758"/>
        <v>-50</v>
      </c>
      <c r="CG254" s="173">
        <f t="shared" si="759"/>
        <v>0.77006666378091349</v>
      </c>
      <c r="CI254" s="170">
        <v>38</v>
      </c>
      <c r="CJ254" s="217">
        <f t="shared" si="698"/>
        <v>3.8</v>
      </c>
      <c r="CK254" s="217"/>
      <c r="CL254" s="217">
        <f t="shared" si="641"/>
        <v>57</v>
      </c>
      <c r="CM254" s="541">
        <f t="shared" si="642"/>
        <v>85</v>
      </c>
      <c r="CN254" s="443">
        <f t="shared" si="643"/>
        <v>15.4</v>
      </c>
      <c r="CO254" s="443">
        <f t="shared" si="644"/>
        <v>100.4</v>
      </c>
      <c r="CP254" s="443"/>
      <c r="CQ254" s="217">
        <f t="shared" si="645"/>
        <v>0.15338645418326693</v>
      </c>
      <c r="CR254" s="172">
        <f t="shared" si="646"/>
        <v>327.33148655378488</v>
      </c>
      <c r="CS254" s="172">
        <f t="shared" si="647"/>
        <v>57</v>
      </c>
      <c r="CT254" s="217">
        <f t="shared" si="648"/>
        <v>21.822099103585661</v>
      </c>
      <c r="CU254" s="217">
        <f t="shared" si="649"/>
        <v>15</v>
      </c>
      <c r="CV254" s="217"/>
      <c r="CW254" s="172">
        <f t="shared" si="650"/>
        <v>474.28215319236642</v>
      </c>
      <c r="CX254" s="172">
        <f t="shared" si="651"/>
        <v>15</v>
      </c>
      <c r="CY254" s="217">
        <f t="shared" si="652"/>
        <v>8.7437738731856385</v>
      </c>
      <c r="CZ254" s="217">
        <f t="shared" si="653"/>
        <v>1.2344151350379724</v>
      </c>
      <c r="DA254" s="217">
        <f t="shared" si="654"/>
        <v>6.8133302907940037</v>
      </c>
      <c r="DB254" s="197">
        <f t="shared" si="655"/>
        <v>108.64873837981409</v>
      </c>
      <c r="DC254" s="443">
        <f t="shared" si="656"/>
        <v>124.25840370026614</v>
      </c>
      <c r="DE254" s="217">
        <f t="shared" si="657"/>
        <v>10</v>
      </c>
      <c r="DF254" s="173">
        <f t="shared" si="658"/>
        <v>7.7922077922077913</v>
      </c>
      <c r="DG254" s="173">
        <f t="shared" si="659"/>
        <v>4.2330677290836656</v>
      </c>
      <c r="DH254" s="173"/>
      <c r="DI254" s="173">
        <f t="shared" si="660"/>
        <v>7.7922077922077913</v>
      </c>
      <c r="DJ254" s="545">
        <f t="shared" si="661"/>
        <v>97.533333333333331</v>
      </c>
      <c r="DK254" s="528">
        <f t="shared" si="662"/>
        <v>4.2330677290836656</v>
      </c>
      <c r="DM254" s="173">
        <f t="shared" si="663"/>
        <v>5.2788887719544411</v>
      </c>
      <c r="DN254" s="173">
        <f t="shared" si="664"/>
        <v>10</v>
      </c>
      <c r="DO254" s="173">
        <f t="shared" si="665"/>
        <v>1.0557333333333334</v>
      </c>
      <c r="DQ254" s="545">
        <f t="shared" si="666"/>
        <v>3800</v>
      </c>
      <c r="DR254" s="460">
        <f t="shared" si="667"/>
        <v>97.533333333333331</v>
      </c>
      <c r="DT254">
        <f t="shared" si="668"/>
        <v>3800</v>
      </c>
      <c r="DU254">
        <f t="shared" si="669"/>
        <v>97.533333333333331</v>
      </c>
      <c r="DW254" s="5">
        <f t="shared" si="670"/>
        <v>10.252904989747096</v>
      </c>
      <c r="DX254" s="5">
        <f t="shared" si="671"/>
        <v>1.4117647058823528</v>
      </c>
      <c r="DY254" s="5">
        <f t="shared" si="672"/>
        <v>8.8411402838647426</v>
      </c>
      <c r="DZ254" s="5"/>
      <c r="EA254" s="173">
        <f t="shared" si="673"/>
        <v>0.1376941176470588</v>
      </c>
      <c r="EB254" s="173">
        <f t="shared" si="699"/>
        <v>58.52</v>
      </c>
      <c r="EC254" s="173">
        <f t="shared" si="700"/>
        <v>4.3115294117647061</v>
      </c>
      <c r="ED254" s="173">
        <f t="shared" si="701"/>
        <v>13.572909845012006</v>
      </c>
      <c r="EE254" s="460">
        <f t="shared" si="674"/>
        <v>35.764705882352942</v>
      </c>
      <c r="EF254" s="5">
        <f t="shared" si="675"/>
        <v>2.0444016072222726</v>
      </c>
      <c r="EH254" s="173">
        <f t="shared" si="702"/>
        <v>2.1423827672870752</v>
      </c>
      <c r="EI254" s="173">
        <f t="shared" si="703"/>
        <v>5.3612992279637508</v>
      </c>
      <c r="EK254" s="528">
        <f t="shared" si="704"/>
        <v>9.1796078431372538E-2</v>
      </c>
      <c r="EL254" s="528">
        <f t="shared" si="705"/>
        <v>1.9584693333333332</v>
      </c>
      <c r="EM254" s="528">
        <f t="shared" si="706"/>
        <v>1.2191666666666665E-2</v>
      </c>
      <c r="EN254" s="528">
        <f t="shared" si="707"/>
        <v>9.8315160533333334E-2</v>
      </c>
      <c r="EO254">
        <f t="shared" si="708"/>
        <v>3.8249999999999999E-2</v>
      </c>
      <c r="EP254" s="460">
        <f t="shared" si="709"/>
        <v>50.441666666666663</v>
      </c>
      <c r="EQ254" s="460"/>
      <c r="ER254" s="460">
        <f t="shared" si="710"/>
        <v>2199.022238964706</v>
      </c>
      <c r="ES254" s="528">
        <f t="shared" si="711"/>
        <v>2.6599999999999997</v>
      </c>
      <c r="EV254" s="460">
        <f t="shared" si="712"/>
        <v>2659.9999999999995</v>
      </c>
      <c r="EW254" s="528">
        <f t="shared" si="713"/>
        <v>0.1376941176470588</v>
      </c>
      <c r="EX254" s="528">
        <f t="shared" si="714"/>
        <v>0.86230588235294137</v>
      </c>
      <c r="EY254" s="528">
        <f t="shared" si="715"/>
        <v>1.4854316460541377</v>
      </c>
      <c r="EZ254" s="528"/>
      <c r="FA254" s="528">
        <f t="shared" si="716"/>
        <v>9.7533333333333343E-3</v>
      </c>
      <c r="FB254" s="460">
        <f t="shared" si="717"/>
        <v>2495.1849793874712</v>
      </c>
      <c r="FC254" s="173">
        <f t="shared" si="718"/>
        <v>7.3542072183521761</v>
      </c>
      <c r="FD254" s="5">
        <f t="shared" si="719"/>
        <v>57</v>
      </c>
      <c r="FE254" s="173">
        <f t="shared" si="720"/>
        <v>0.88572297700133984</v>
      </c>
      <c r="FF254" s="5">
        <f t="shared" si="721"/>
        <v>88.572297700133987</v>
      </c>
      <c r="FI254" s="562">
        <f t="shared" si="676"/>
        <v>-50</v>
      </c>
      <c r="FJ254">
        <f t="shared" si="677"/>
        <v>-50</v>
      </c>
      <c r="FL254">
        <f t="shared" si="760"/>
        <v>0.76</v>
      </c>
    </row>
    <row r="255" spans="5:168">
      <c r="E255" s="170">
        <v>39</v>
      </c>
      <c r="F255" s="217">
        <f t="shared" si="761"/>
        <v>3.9000000000000004</v>
      </c>
      <c r="G255" s="217"/>
      <c r="H255" s="217">
        <f t="shared" si="726"/>
        <v>58.500000000000007</v>
      </c>
      <c r="I255" s="541">
        <f t="shared" si="727"/>
        <v>84.753268114390082</v>
      </c>
      <c r="J255" s="172">
        <f t="shared" si="728"/>
        <v>15.548039131365949</v>
      </c>
      <c r="K255" s="172">
        <f t="shared" si="729"/>
        <v>100.30130724575604</v>
      </c>
      <c r="L255" s="443"/>
      <c r="M255" s="217">
        <f t="shared" si="730"/>
        <v>0.15502984391561525</v>
      </c>
      <c r="N255" s="172">
        <f t="shared" si="731"/>
        <v>329.8781973075603</v>
      </c>
      <c r="O255" s="172">
        <f t="shared" si="599"/>
        <v>58.500000000000007</v>
      </c>
      <c r="P255" s="217">
        <f t="shared" si="732"/>
        <v>21.991879820504021</v>
      </c>
      <c r="Q255" s="217">
        <f t="shared" si="733"/>
        <v>15</v>
      </c>
      <c r="R255" s="217"/>
      <c r="S255" s="172">
        <f t="shared" si="734"/>
        <v>458.61076943033902</v>
      </c>
      <c r="T255" s="172">
        <f t="shared" si="735"/>
        <v>15</v>
      </c>
      <c r="U255" s="217">
        <f t="shared" si="736"/>
        <v>9.2310952568377296</v>
      </c>
      <c r="V255" s="217">
        <f t="shared" si="737"/>
        <v>1.3070073348976241</v>
      </c>
      <c r="W255" s="217">
        <f t="shared" si="738"/>
        <v>7.1245732112021614</v>
      </c>
      <c r="X255" s="197">
        <f t="shared" si="739"/>
        <v>109.48238241177424</v>
      </c>
      <c r="Y255" s="443">
        <f t="shared" si="680"/>
        <v>115.85363707830474</v>
      </c>
      <c r="AA255" s="217">
        <f t="shared" si="740"/>
        <v>10</v>
      </c>
      <c r="AB255" s="173">
        <f t="shared" si="741"/>
        <v>7.7180150491078416</v>
      </c>
      <c r="AC255" s="173">
        <f t="shared" si="742"/>
        <v>4.2249333753312666</v>
      </c>
      <c r="AD255" s="173"/>
      <c r="AE255" s="173">
        <f t="shared" si="743"/>
        <v>7.7180150491078416</v>
      </c>
      <c r="AF255" s="545">
        <f t="shared" si="744"/>
        <v>101.06225435387866</v>
      </c>
      <c r="AG255" s="528">
        <f t="shared" si="745"/>
        <v>4.2249333753312666</v>
      </c>
      <c r="AI255" s="173">
        <f t="shared" si="746"/>
        <v>5.3735397844804229</v>
      </c>
      <c r="AJ255" s="173">
        <f t="shared" si="747"/>
        <v>10</v>
      </c>
      <c r="AK255" s="173">
        <f t="shared" si="748"/>
        <v>1.0577498596307877</v>
      </c>
      <c r="AM255" s="545">
        <f t="shared" si="749"/>
        <v>3900.0000000000005</v>
      </c>
      <c r="AN255" s="460">
        <f t="shared" si="750"/>
        <v>101.06225435387866</v>
      </c>
      <c r="AP255">
        <f t="shared" si="751"/>
        <v>3900.0000000000005</v>
      </c>
      <c r="AQ255">
        <f t="shared" si="752"/>
        <v>101.06225435387866</v>
      </c>
      <c r="AS255" s="5">
        <f t="shared" si="600"/>
        <v>9.8948910885997972</v>
      </c>
      <c r="AT255" s="5">
        <f t="shared" si="753"/>
        <v>1.4158746048357451</v>
      </c>
      <c r="AU255" s="5">
        <f t="shared" si="722"/>
        <v>8.4790164837640525</v>
      </c>
      <c r="AV255" s="5"/>
      <c r="AW255" s="173">
        <f t="shared" si="723"/>
        <v>0.14309147944710751</v>
      </c>
      <c r="AX255" s="173">
        <f t="shared" si="631"/>
        <v>60.637352612327199</v>
      </c>
      <c r="AY255" s="173">
        <f t="shared" si="632"/>
        <v>4.2845426027644624</v>
      </c>
      <c r="AZ255" s="173">
        <f t="shared" si="633"/>
        <v>14.152584822753989</v>
      </c>
      <c r="BA255" s="460">
        <f t="shared" si="724"/>
        <v>36.812739725729379</v>
      </c>
      <c r="BB255" s="5">
        <f t="shared" si="725"/>
        <v>2.0181195707778561</v>
      </c>
      <c r="BD255" s="173">
        <f t="shared" si="681"/>
        <v>2.1839679442634341</v>
      </c>
      <c r="BE255" s="173">
        <f t="shared" si="682"/>
        <v>5.3444941156074899</v>
      </c>
      <c r="BG255" s="528">
        <f t="shared" si="683"/>
        <v>9.5394319631405017E-2</v>
      </c>
      <c r="BH255" s="528">
        <f t="shared" si="754"/>
        <v>1.9006267921682118</v>
      </c>
      <c r="BI255" s="528">
        <f t="shared" si="755"/>
        <v>0.21413390848747407</v>
      </c>
      <c r="BJ255" s="528">
        <f t="shared" si="684"/>
        <v>0.10167218764841572</v>
      </c>
      <c r="BK255">
        <f t="shared" si="685"/>
        <v>3.8138970651475534E-2</v>
      </c>
      <c r="BL255" s="460">
        <f t="shared" si="686"/>
        <v>252.27287913894958</v>
      </c>
      <c r="BM255" s="528">
        <f t="shared" si="756"/>
        <v>2.1726954070576276</v>
      </c>
      <c r="BN255" s="460">
        <f t="shared" si="687"/>
        <v>2172.6954070576276</v>
      </c>
      <c r="BO255" s="528">
        <f t="shared" si="637"/>
        <v>2.73</v>
      </c>
      <c r="BR255" s="460">
        <f t="shared" si="688"/>
        <v>2730</v>
      </c>
      <c r="BS255" s="528">
        <f t="shared" si="689"/>
        <v>0.14309147944710751</v>
      </c>
      <c r="BT255" s="528">
        <f t="shared" si="690"/>
        <v>0.85690852055289257</v>
      </c>
      <c r="BU255" s="528">
        <f t="shared" si="691"/>
        <v>1.6234632365067305</v>
      </c>
      <c r="BV255" s="528"/>
      <c r="BW255" s="528">
        <f t="shared" si="692"/>
        <v>1.0106225435387868E-2</v>
      </c>
      <c r="BX255" s="460">
        <f t="shared" si="693"/>
        <v>2633.5694619421188</v>
      </c>
      <c r="BY255" s="173">
        <f t="shared" si="694"/>
        <v>7.7135356405291011</v>
      </c>
      <c r="BZ255" s="5">
        <f t="shared" si="695"/>
        <v>58.500000000000007</v>
      </c>
      <c r="CA255" s="173">
        <f t="shared" si="696"/>
        <v>0.88350515395514295</v>
      </c>
      <c r="CB255" s="5">
        <f t="shared" si="697"/>
        <v>88.350515395514293</v>
      </c>
      <c r="CE255" s="562">
        <f t="shared" si="757"/>
        <v>-50</v>
      </c>
      <c r="CF255">
        <f t="shared" si="758"/>
        <v>-50</v>
      </c>
      <c r="CG255" s="173">
        <f t="shared" si="759"/>
        <v>0.79033157598567472</v>
      </c>
      <c r="CI255" s="170">
        <v>39</v>
      </c>
      <c r="CJ255" s="217">
        <f t="shared" si="698"/>
        <v>3.9000000000000004</v>
      </c>
      <c r="CK255" s="217"/>
      <c r="CL255" s="217">
        <f t="shared" si="641"/>
        <v>58.500000000000007</v>
      </c>
      <c r="CM255" s="541">
        <f t="shared" si="642"/>
        <v>85</v>
      </c>
      <c r="CN255" s="443">
        <f t="shared" si="643"/>
        <v>15.4</v>
      </c>
      <c r="CO255" s="443">
        <f t="shared" si="644"/>
        <v>100.4</v>
      </c>
      <c r="CP255" s="443"/>
      <c r="CQ255" s="217">
        <f t="shared" si="645"/>
        <v>0.15338645418326693</v>
      </c>
      <c r="CR255" s="172">
        <f t="shared" si="646"/>
        <v>327.33148655378488</v>
      </c>
      <c r="CS255" s="172">
        <f t="shared" si="647"/>
        <v>58.500000000000007</v>
      </c>
      <c r="CT255" s="217">
        <f t="shared" si="648"/>
        <v>21.822099103585661</v>
      </c>
      <c r="CU255" s="217">
        <f t="shared" si="649"/>
        <v>15</v>
      </c>
      <c r="CV255" s="217"/>
      <c r="CW255" s="172">
        <f t="shared" si="650"/>
        <v>459.94565241736183</v>
      </c>
      <c r="CX255" s="172">
        <f t="shared" si="651"/>
        <v>15</v>
      </c>
      <c r="CY255" s="217">
        <f t="shared" si="652"/>
        <v>8.9738731856378919</v>
      </c>
      <c r="CZ255" s="217">
        <f t="shared" si="653"/>
        <v>1.2668997438547611</v>
      </c>
      <c r="DA255" s="217">
        <f t="shared" si="654"/>
        <v>6.9926284563412144</v>
      </c>
      <c r="DB255" s="197">
        <f t="shared" si="655"/>
        <v>108.64873837981409</v>
      </c>
      <c r="DC255" s="443">
        <f t="shared" si="656"/>
        <v>121.07229078487472</v>
      </c>
      <c r="DE255" s="217">
        <f t="shared" si="657"/>
        <v>10</v>
      </c>
      <c r="DF255" s="173">
        <f t="shared" si="658"/>
        <v>7.7922077922077913</v>
      </c>
      <c r="DG255" s="173">
        <f t="shared" si="659"/>
        <v>4.2330677290836656</v>
      </c>
      <c r="DH255" s="173"/>
      <c r="DI255" s="173">
        <f t="shared" si="660"/>
        <v>7.7922077922077913</v>
      </c>
      <c r="DJ255" s="545">
        <f t="shared" si="661"/>
        <v>100.10000000000001</v>
      </c>
      <c r="DK255" s="528">
        <f t="shared" si="662"/>
        <v>4.2330677290836656</v>
      </c>
      <c r="DM255" s="173">
        <f t="shared" si="663"/>
        <v>5.3478967828483759</v>
      </c>
      <c r="DN255" s="173">
        <f t="shared" si="664"/>
        <v>10</v>
      </c>
      <c r="DO255" s="173">
        <f t="shared" si="665"/>
        <v>1.0571999999999999</v>
      </c>
      <c r="DQ255" s="545">
        <f t="shared" si="666"/>
        <v>3900.0000000000005</v>
      </c>
      <c r="DR255" s="460">
        <f t="shared" si="667"/>
        <v>100.10000000000001</v>
      </c>
      <c r="DT255">
        <f t="shared" si="668"/>
        <v>3900.0000000000005</v>
      </c>
      <c r="DU255">
        <f t="shared" si="669"/>
        <v>100.10000000000001</v>
      </c>
      <c r="DW255" s="5">
        <f t="shared" si="670"/>
        <v>9.9900099900099892</v>
      </c>
      <c r="DX255" s="5">
        <f t="shared" si="671"/>
        <v>1.4117647058823528</v>
      </c>
      <c r="DY255" s="5">
        <f t="shared" si="672"/>
        <v>8.578245284127636</v>
      </c>
      <c r="DZ255" s="5"/>
      <c r="EA255" s="173">
        <f t="shared" si="673"/>
        <v>0.14131764705882352</v>
      </c>
      <c r="EB255" s="173">
        <f t="shared" si="699"/>
        <v>60.060000000000009</v>
      </c>
      <c r="EC255" s="173">
        <f t="shared" si="700"/>
        <v>4.2934117647058825</v>
      </c>
      <c r="ED255" s="173">
        <f t="shared" si="701"/>
        <v>13.988874883542502</v>
      </c>
      <c r="EE255" s="460">
        <f t="shared" si="674"/>
        <v>36.705882352941181</v>
      </c>
      <c r="EF255" s="5">
        <f t="shared" si="675"/>
        <v>2.0358107469430697</v>
      </c>
      <c r="EH255" s="173">
        <f t="shared" si="702"/>
        <v>2.1703889594480792</v>
      </c>
      <c r="EI255" s="173">
        <f t="shared" si="703"/>
        <v>5.3500229063097677</v>
      </c>
      <c r="EK255" s="528">
        <f t="shared" si="704"/>
        <v>9.4211764705882328E-2</v>
      </c>
      <c r="EL255" s="528">
        <f t="shared" si="705"/>
        <v>2.0100080000000005</v>
      </c>
      <c r="EM255" s="528">
        <f t="shared" si="706"/>
        <v>1.2512500000000001E-2</v>
      </c>
      <c r="EN255" s="528">
        <f t="shared" si="707"/>
        <v>0.10090240160000001</v>
      </c>
      <c r="EO255">
        <f t="shared" si="708"/>
        <v>3.8249999999999999E-2</v>
      </c>
      <c r="EP255" s="460">
        <f t="shared" si="709"/>
        <v>50.762500000000003</v>
      </c>
      <c r="EQ255" s="460"/>
      <c r="ER255" s="460">
        <f t="shared" si="710"/>
        <v>2255.884666305883</v>
      </c>
      <c r="ES255" s="528">
        <f t="shared" si="711"/>
        <v>2.73</v>
      </c>
      <c r="EV255" s="460">
        <f t="shared" si="712"/>
        <v>2730</v>
      </c>
      <c r="EW255" s="528">
        <f t="shared" si="713"/>
        <v>0.14131764705882349</v>
      </c>
      <c r="EX255" s="528">
        <f t="shared" si="714"/>
        <v>0.85868235294117634</v>
      </c>
      <c r="EY255" s="528">
        <f t="shared" si="715"/>
        <v>1.5850946422887529</v>
      </c>
      <c r="EZ255" s="528"/>
      <c r="FA255" s="528">
        <f t="shared" si="716"/>
        <v>1.0010000000000003E-2</v>
      </c>
      <c r="FB255" s="460">
        <f t="shared" si="717"/>
        <v>2595.1046422887525</v>
      </c>
      <c r="FC255" s="173">
        <f t="shared" si="718"/>
        <v>7.5809893085946358</v>
      </c>
      <c r="FD255" s="5">
        <f t="shared" si="719"/>
        <v>58.500000000000007</v>
      </c>
      <c r="FE255" s="173">
        <f t="shared" si="720"/>
        <v>0.88527730308043928</v>
      </c>
      <c r="FF255" s="5">
        <f t="shared" si="721"/>
        <v>88.527730308043928</v>
      </c>
      <c r="FI255" s="562">
        <f t="shared" si="676"/>
        <v>-50</v>
      </c>
      <c r="FJ255">
        <f t="shared" si="677"/>
        <v>-50</v>
      </c>
      <c r="FL255">
        <f t="shared" si="760"/>
        <v>0.78</v>
      </c>
    </row>
    <row r="256" spans="5:168">
      <c r="E256" s="170">
        <v>40</v>
      </c>
      <c r="F256" s="217">
        <f t="shared" si="761"/>
        <v>4</v>
      </c>
      <c r="G256" s="217"/>
      <c r="H256" s="217">
        <f t="shared" si="726"/>
        <v>60</v>
      </c>
      <c r="I256" s="541">
        <f t="shared" si="727"/>
        <v>84.753268114390082</v>
      </c>
      <c r="J256" s="172">
        <f t="shared" si="728"/>
        <v>15.548039131365949</v>
      </c>
      <c r="K256" s="172">
        <f t="shared" si="729"/>
        <v>100.30130724575604</v>
      </c>
      <c r="L256" s="443"/>
      <c r="M256" s="217">
        <f t="shared" si="730"/>
        <v>0.15502984391561525</v>
      </c>
      <c r="N256" s="172">
        <f t="shared" si="731"/>
        <v>329.8781973075603</v>
      </c>
      <c r="O256" s="172">
        <f t="shared" si="599"/>
        <v>60</v>
      </c>
      <c r="P256" s="217">
        <f t="shared" si="732"/>
        <v>21.991879820504021</v>
      </c>
      <c r="Q256" s="217">
        <f t="shared" si="733"/>
        <v>15</v>
      </c>
      <c r="R256" s="217"/>
      <c r="S256" s="172">
        <f t="shared" si="734"/>
        <v>445.03076663877528</v>
      </c>
      <c r="T256" s="172">
        <f t="shared" si="735"/>
        <v>15</v>
      </c>
      <c r="U256" s="217">
        <f t="shared" si="736"/>
        <v>9.4677900070130541</v>
      </c>
      <c r="V256" s="217">
        <f t="shared" si="737"/>
        <v>1.3405203434847424</v>
      </c>
      <c r="W256" s="217">
        <f t="shared" si="738"/>
        <v>7.3072545755919593</v>
      </c>
      <c r="X256" s="197">
        <f t="shared" si="739"/>
        <v>109.48238241177424</v>
      </c>
      <c r="Y256" s="443">
        <f t="shared" si="680"/>
        <v>113.02276664428912</v>
      </c>
      <c r="AA256" s="217">
        <f t="shared" si="740"/>
        <v>10</v>
      </c>
      <c r="AB256" s="173">
        <f t="shared" si="741"/>
        <v>7.7180150491078416</v>
      </c>
      <c r="AC256" s="173">
        <f t="shared" si="742"/>
        <v>4.2249333753312666</v>
      </c>
      <c r="AD256" s="173"/>
      <c r="AE256" s="173">
        <f t="shared" si="743"/>
        <v>7.7180150491078416</v>
      </c>
      <c r="AF256" s="545">
        <f t="shared" si="744"/>
        <v>103.6535942091063</v>
      </c>
      <c r="AG256" s="528">
        <f t="shared" si="745"/>
        <v>4.2249333753312666</v>
      </c>
      <c r="AI256" s="173">
        <f t="shared" si="746"/>
        <v>5.4419952803336047</v>
      </c>
      <c r="AJ256" s="173">
        <f t="shared" si="747"/>
        <v>10</v>
      </c>
      <c r="AK256" s="173">
        <f t="shared" si="748"/>
        <v>1.0592306252623465</v>
      </c>
      <c r="AM256" s="545">
        <f t="shared" si="749"/>
        <v>4000</v>
      </c>
      <c r="AN256" s="460">
        <f t="shared" si="750"/>
        <v>103.6535942091063</v>
      </c>
      <c r="AP256">
        <f t="shared" si="751"/>
        <v>4000</v>
      </c>
      <c r="AQ256">
        <f t="shared" si="752"/>
        <v>103.6535942091063</v>
      </c>
      <c r="AS256" s="5">
        <f t="shared" si="600"/>
        <v>9.6475188113848045</v>
      </c>
      <c r="AT256" s="5">
        <f t="shared" si="753"/>
        <v>1.4158746048357451</v>
      </c>
      <c r="AU256" s="5">
        <f t="shared" si="722"/>
        <v>8.2316442065490598</v>
      </c>
      <c r="AV256" s="5"/>
      <c r="AW256" s="173">
        <f t="shared" si="723"/>
        <v>0.14676049174062306</v>
      </c>
      <c r="AX256" s="173">
        <f t="shared" si="631"/>
        <v>62.192156525463787</v>
      </c>
      <c r="AY256" s="173">
        <f t="shared" si="632"/>
        <v>4.2661975412968847</v>
      </c>
      <c r="AZ256" s="173">
        <f t="shared" si="633"/>
        <v>14.577889542957719</v>
      </c>
      <c r="BA256" s="460">
        <f t="shared" si="724"/>
        <v>37.756656128953203</v>
      </c>
      <c r="BB256" s="5">
        <f t="shared" si="725"/>
        <v>2.0094786186372584</v>
      </c>
      <c r="BD256" s="173">
        <f t="shared" si="681"/>
        <v>2.2117903136043666</v>
      </c>
      <c r="BE256" s="173">
        <f t="shared" si="682"/>
        <v>5.3330401219172563</v>
      </c>
      <c r="BG256" s="528">
        <f t="shared" si="683"/>
        <v>9.784032782708206E-2</v>
      </c>
      <c r="BH256" s="528">
        <f t="shared" si="754"/>
        <v>1.9493608124802169</v>
      </c>
      <c r="BI256" s="528">
        <f t="shared" si="755"/>
        <v>0.21962452152561443</v>
      </c>
      <c r="BJ256" s="528">
        <f t="shared" si="684"/>
        <v>0.10427916681888791</v>
      </c>
      <c r="BK256">
        <f t="shared" si="685"/>
        <v>3.8138970651475534E-2</v>
      </c>
      <c r="BL256" s="460">
        <f t="shared" si="686"/>
        <v>257.76349217708992</v>
      </c>
      <c r="BM256" s="528">
        <f t="shared" si="756"/>
        <v>2.2297314548254379</v>
      </c>
      <c r="BN256" s="460">
        <f t="shared" si="687"/>
        <v>2229.731454825438</v>
      </c>
      <c r="BO256" s="528">
        <f t="shared" si="637"/>
        <v>2.8</v>
      </c>
      <c r="BR256" s="460">
        <f t="shared" si="688"/>
        <v>2800</v>
      </c>
      <c r="BS256" s="528">
        <f t="shared" si="689"/>
        <v>0.14676049174062308</v>
      </c>
      <c r="BT256" s="528">
        <f t="shared" si="690"/>
        <v>0.85323950825937667</v>
      </c>
      <c r="BU256" s="528">
        <f t="shared" si="691"/>
        <v>1.7295412287951919</v>
      </c>
      <c r="BV256" s="528"/>
      <c r="BW256" s="528">
        <f t="shared" si="692"/>
        <v>1.0365359420910632E-2</v>
      </c>
      <c r="BX256" s="460">
        <f t="shared" si="693"/>
        <v>2739.9065882161026</v>
      </c>
      <c r="BY256" s="173">
        <f t="shared" si="694"/>
        <v>7.9491503875193796</v>
      </c>
      <c r="BZ256" s="5">
        <f t="shared" si="695"/>
        <v>60</v>
      </c>
      <c r="CA256" s="173">
        <f t="shared" si="696"/>
        <v>0.88301324825719307</v>
      </c>
      <c r="CB256" s="5">
        <f t="shared" si="697"/>
        <v>88.301324825719306</v>
      </c>
      <c r="CE256" s="562">
        <f t="shared" si="757"/>
        <v>-50</v>
      </c>
      <c r="CF256">
        <f t="shared" si="758"/>
        <v>-50</v>
      </c>
      <c r="CG256" s="173">
        <f t="shared" si="759"/>
        <v>0.81059648819043539</v>
      </c>
      <c r="CI256" s="170">
        <v>40</v>
      </c>
      <c r="CJ256" s="217">
        <f t="shared" si="698"/>
        <v>4</v>
      </c>
      <c r="CK256" s="217"/>
      <c r="CL256" s="217">
        <f t="shared" si="641"/>
        <v>60</v>
      </c>
      <c r="CM256" s="541">
        <f t="shared" si="642"/>
        <v>85</v>
      </c>
      <c r="CN256" s="443">
        <f t="shared" si="643"/>
        <v>15.4</v>
      </c>
      <c r="CO256" s="443">
        <f t="shared" si="644"/>
        <v>100.4</v>
      </c>
      <c r="CP256" s="443"/>
      <c r="CQ256" s="217">
        <f t="shared" si="645"/>
        <v>0.15338645418326693</v>
      </c>
      <c r="CR256" s="172">
        <f t="shared" si="646"/>
        <v>327.33148655378488</v>
      </c>
      <c r="CS256" s="172">
        <f t="shared" si="647"/>
        <v>60</v>
      </c>
      <c r="CT256" s="217">
        <f t="shared" si="648"/>
        <v>21.822099103585661</v>
      </c>
      <c r="CU256" s="217">
        <f t="shared" si="649"/>
        <v>15</v>
      </c>
      <c r="CV256" s="217"/>
      <c r="CW256" s="172">
        <f t="shared" si="650"/>
        <v>446.32610927432745</v>
      </c>
      <c r="CX256" s="172">
        <f t="shared" si="651"/>
        <v>15</v>
      </c>
      <c r="CY256" s="217">
        <f t="shared" si="652"/>
        <v>9.2039724980901454</v>
      </c>
      <c r="CZ256" s="217">
        <f t="shared" si="653"/>
        <v>1.2993843526715498</v>
      </c>
      <c r="DA256" s="217">
        <f t="shared" si="654"/>
        <v>7.1719266218884243</v>
      </c>
      <c r="DB256" s="197">
        <f t="shared" si="655"/>
        <v>108.64873837981409</v>
      </c>
      <c r="DC256" s="443">
        <f t="shared" si="656"/>
        <v>118.04548351525284</v>
      </c>
      <c r="DE256" s="217">
        <f t="shared" si="657"/>
        <v>10</v>
      </c>
      <c r="DF256" s="173">
        <f t="shared" si="658"/>
        <v>7.7922077922077913</v>
      </c>
      <c r="DG256" s="173">
        <f t="shared" si="659"/>
        <v>4.2330677290836656</v>
      </c>
      <c r="DH256" s="173"/>
      <c r="DI256" s="173">
        <f t="shared" si="660"/>
        <v>7.7922077922077913</v>
      </c>
      <c r="DJ256" s="545">
        <f t="shared" si="661"/>
        <v>102.66666666666667</v>
      </c>
      <c r="DK256" s="528">
        <f t="shared" si="662"/>
        <v>4.2330677290836656</v>
      </c>
      <c r="DM256" s="173">
        <f t="shared" si="663"/>
        <v>5.4160256030906408</v>
      </c>
      <c r="DN256" s="173">
        <f t="shared" si="664"/>
        <v>10</v>
      </c>
      <c r="DO256" s="173">
        <f t="shared" si="665"/>
        <v>1.0586666666666666</v>
      </c>
      <c r="DQ256" s="545">
        <f t="shared" si="666"/>
        <v>4000</v>
      </c>
      <c r="DR256" s="460">
        <f t="shared" si="667"/>
        <v>102.66666666666667</v>
      </c>
      <c r="DT256">
        <f t="shared" si="668"/>
        <v>4000</v>
      </c>
      <c r="DU256">
        <f t="shared" si="669"/>
        <v>102.66666666666667</v>
      </c>
      <c r="DW256" s="5">
        <f t="shared" si="670"/>
        <v>9.7402597402597397</v>
      </c>
      <c r="DX256" s="5">
        <f t="shared" si="671"/>
        <v>1.4117647058823528</v>
      </c>
      <c r="DY256" s="5">
        <f t="shared" si="672"/>
        <v>8.3284950343773865</v>
      </c>
      <c r="DZ256" s="5"/>
      <c r="EA256" s="173">
        <f t="shared" si="673"/>
        <v>0.14494117647058824</v>
      </c>
      <c r="EB256" s="173">
        <f t="shared" si="699"/>
        <v>61.600000000000009</v>
      </c>
      <c r="EC256" s="173">
        <f t="shared" si="700"/>
        <v>4.2752941176470589</v>
      </c>
      <c r="ED256" s="173">
        <f t="shared" si="701"/>
        <v>14.4083654375344</v>
      </c>
      <c r="EE256" s="460">
        <f t="shared" si="674"/>
        <v>37.647058823529406</v>
      </c>
      <c r="EF256" s="5">
        <f t="shared" si="675"/>
        <v>2.0272198866638669</v>
      </c>
      <c r="EH256" s="173">
        <f t="shared" si="702"/>
        <v>2.1980383411168258</v>
      </c>
      <c r="EI256" s="173">
        <f t="shared" si="703"/>
        <v>5.3387227671338886</v>
      </c>
      <c r="EK256" s="528">
        <f t="shared" si="704"/>
        <v>9.662745098039216E-2</v>
      </c>
      <c r="EL256" s="528">
        <f t="shared" si="705"/>
        <v>2.0615466666666671</v>
      </c>
      <c r="EM256" s="528">
        <f t="shared" si="706"/>
        <v>1.2833333333333334E-2</v>
      </c>
      <c r="EN256" s="528">
        <f t="shared" si="707"/>
        <v>0.10348964266666669</v>
      </c>
      <c r="EO256">
        <f t="shared" si="708"/>
        <v>3.8249999999999999E-2</v>
      </c>
      <c r="EP256" s="460">
        <f t="shared" si="709"/>
        <v>51.083333333333336</v>
      </c>
      <c r="EQ256" s="460"/>
      <c r="ER256" s="460">
        <f t="shared" si="710"/>
        <v>2312.7470936470595</v>
      </c>
      <c r="ES256" s="528">
        <f t="shared" si="711"/>
        <v>2.8</v>
      </c>
      <c r="EV256" s="460">
        <f t="shared" si="712"/>
        <v>2800</v>
      </c>
      <c r="EW256" s="528">
        <f t="shared" si="713"/>
        <v>0.14494117647058821</v>
      </c>
      <c r="EX256" s="528">
        <f t="shared" si="714"/>
        <v>0.85505882352941165</v>
      </c>
      <c r="EY256" s="528">
        <f t="shared" si="715"/>
        <v>1.6886656092562493</v>
      </c>
      <c r="EZ256" s="528"/>
      <c r="FA256" s="528">
        <f t="shared" si="716"/>
        <v>1.0266666666666667E-2</v>
      </c>
      <c r="FB256" s="460">
        <f t="shared" si="717"/>
        <v>2698.9322759229162</v>
      </c>
      <c r="FC256" s="173">
        <f t="shared" si="718"/>
        <v>7.8116793695699744</v>
      </c>
      <c r="FD256" s="5">
        <f t="shared" si="719"/>
        <v>60</v>
      </c>
      <c r="FE256" s="173">
        <f t="shared" si="720"/>
        <v>0.88480333414253398</v>
      </c>
      <c r="FF256" s="5">
        <f t="shared" si="721"/>
        <v>88.480333414253394</v>
      </c>
      <c r="FI256" s="562">
        <f t="shared" si="676"/>
        <v>-50</v>
      </c>
      <c r="FJ256">
        <f t="shared" si="677"/>
        <v>-50</v>
      </c>
      <c r="FL256">
        <f t="shared" si="760"/>
        <v>0.8</v>
      </c>
    </row>
    <row r="257" spans="5:168">
      <c r="E257" s="170">
        <v>41</v>
      </c>
      <c r="F257" s="217">
        <f t="shared" si="761"/>
        <v>4.0999999999999996</v>
      </c>
      <c r="G257" s="217"/>
      <c r="H257" s="217">
        <f t="shared" si="726"/>
        <v>61.499999999999993</v>
      </c>
      <c r="I257" s="541">
        <f t="shared" si="727"/>
        <v>84.753268114390082</v>
      </c>
      <c r="J257" s="172">
        <f t="shared" si="728"/>
        <v>15.548039131365949</v>
      </c>
      <c r="K257" s="172">
        <f t="shared" si="729"/>
        <v>100.30130724575604</v>
      </c>
      <c r="L257" s="443"/>
      <c r="M257" s="217">
        <f t="shared" si="730"/>
        <v>0.15502984391561525</v>
      </c>
      <c r="N257" s="172">
        <f t="shared" si="731"/>
        <v>329.8781973075603</v>
      </c>
      <c r="O257" s="172">
        <f t="shared" si="599"/>
        <v>61.499999999999993</v>
      </c>
      <c r="P257" s="217">
        <f t="shared" si="732"/>
        <v>21.991879820504021</v>
      </c>
      <c r="Q257" s="217">
        <f t="shared" si="733"/>
        <v>15</v>
      </c>
      <c r="R257" s="217"/>
      <c r="S257" s="172">
        <f t="shared" si="734"/>
        <v>432.1133342041673</v>
      </c>
      <c r="T257" s="172">
        <f t="shared" si="735"/>
        <v>15</v>
      </c>
      <c r="U257" s="217">
        <f t="shared" si="736"/>
        <v>9.7044847571883803</v>
      </c>
      <c r="V257" s="217">
        <f t="shared" si="737"/>
        <v>1.3740333520718611</v>
      </c>
      <c r="W257" s="217">
        <f t="shared" si="738"/>
        <v>7.4899359399817582</v>
      </c>
      <c r="X257" s="197">
        <f t="shared" si="739"/>
        <v>109.48238241177424</v>
      </c>
      <c r="Y257" s="443">
        <f t="shared" si="680"/>
        <v>110.32694041414062</v>
      </c>
      <c r="AA257" s="217">
        <f t="shared" si="740"/>
        <v>10</v>
      </c>
      <c r="AB257" s="173">
        <f t="shared" si="741"/>
        <v>7.7180150491078416</v>
      </c>
      <c r="AC257" s="173">
        <f t="shared" si="742"/>
        <v>4.2249333753312666</v>
      </c>
      <c r="AD257" s="173"/>
      <c r="AE257" s="173">
        <f t="shared" si="743"/>
        <v>7.7180150491078416</v>
      </c>
      <c r="AF257" s="545">
        <f t="shared" si="744"/>
        <v>106.24493406433395</v>
      </c>
      <c r="AG257" s="528">
        <f t="shared" si="745"/>
        <v>4.2249333753312666</v>
      </c>
      <c r="AI257" s="173">
        <f t="shared" si="746"/>
        <v>5.5096002982932042</v>
      </c>
      <c r="AJ257" s="173">
        <f t="shared" si="747"/>
        <v>10</v>
      </c>
      <c r="AK257" s="173">
        <f t="shared" si="748"/>
        <v>1.0607113908939052</v>
      </c>
      <c r="AM257" s="545">
        <f t="shared" si="749"/>
        <v>4100</v>
      </c>
      <c r="AN257" s="460">
        <f t="shared" si="750"/>
        <v>106.24493406433395</v>
      </c>
      <c r="AP257">
        <f t="shared" si="751"/>
        <v>4100</v>
      </c>
      <c r="AQ257">
        <f t="shared" si="752"/>
        <v>106.24493406433395</v>
      </c>
      <c r="AS257" s="5">
        <f t="shared" si="600"/>
        <v>9.4122134745217618</v>
      </c>
      <c r="AT257" s="5">
        <f t="shared" si="753"/>
        <v>1.4158746048357451</v>
      </c>
      <c r="AU257" s="5">
        <f t="shared" si="722"/>
        <v>7.9963388696860171</v>
      </c>
      <c r="AV257" s="5"/>
      <c r="AW257" s="173">
        <f t="shared" si="723"/>
        <v>0.1504295040341386</v>
      </c>
      <c r="AX257" s="173">
        <f t="shared" si="631"/>
        <v>63.746960438600368</v>
      </c>
      <c r="AY257" s="173">
        <f t="shared" si="632"/>
        <v>4.2478524798293069</v>
      </c>
      <c r="AZ257" s="173">
        <f t="shared" si="633"/>
        <v>15.006867762310318</v>
      </c>
      <c r="BA257" s="460">
        <f t="shared" si="724"/>
        <v>38.700572532177034</v>
      </c>
      <c r="BB257" s="5">
        <f t="shared" si="725"/>
        <v>2.0008376664966603</v>
      </c>
      <c r="BD257" s="173">
        <f t="shared" si="681"/>
        <v>2.2392670231881575</v>
      </c>
      <c r="BE257" s="173">
        <f t="shared" si="682"/>
        <v>5.3215614749991733</v>
      </c>
      <c r="BG257" s="528">
        <f t="shared" si="683"/>
        <v>0.10028633602275905</v>
      </c>
      <c r="BH257" s="528">
        <f t="shared" si="754"/>
        <v>1.9980948327922219</v>
      </c>
      <c r="BI257" s="528">
        <f t="shared" si="755"/>
        <v>0.22511513456375476</v>
      </c>
      <c r="BJ257" s="528">
        <f t="shared" si="684"/>
        <v>0.1068861459893601</v>
      </c>
      <c r="BK257">
        <f t="shared" si="685"/>
        <v>3.8138970651475534E-2</v>
      </c>
      <c r="BL257" s="460">
        <f t="shared" si="686"/>
        <v>263.25410521523031</v>
      </c>
      <c r="BM257" s="528">
        <f t="shared" si="756"/>
        <v>2.2868354162995792</v>
      </c>
      <c r="BN257" s="460">
        <f t="shared" si="687"/>
        <v>2286.8354162995793</v>
      </c>
      <c r="BO257" s="528">
        <f t="shared" si="637"/>
        <v>2.8699999999999997</v>
      </c>
      <c r="BR257" s="460">
        <f t="shared" si="688"/>
        <v>2869.9999999999995</v>
      </c>
      <c r="BS257" s="528">
        <f t="shared" si="689"/>
        <v>0.15042950403413857</v>
      </c>
      <c r="BT257" s="528">
        <f t="shared" si="690"/>
        <v>0.84957049596586132</v>
      </c>
      <c r="BU257" s="528">
        <f t="shared" si="691"/>
        <v>1.839672780553105</v>
      </c>
      <c r="BV257" s="528"/>
      <c r="BW257" s="528">
        <f t="shared" si="692"/>
        <v>1.0624493406433394E-2</v>
      </c>
      <c r="BX257" s="460">
        <f t="shared" si="693"/>
        <v>2850.2972739595384</v>
      </c>
      <c r="BY257" s="173">
        <f t="shared" si="694"/>
        <v>8.1888186939791101</v>
      </c>
      <c r="BZ257" s="5">
        <f t="shared" si="695"/>
        <v>61.499999999999993</v>
      </c>
      <c r="CA257" s="173">
        <f t="shared" si="696"/>
        <v>0.88249451135140855</v>
      </c>
      <c r="CB257" s="5">
        <f t="shared" si="697"/>
        <v>88.249451135140859</v>
      </c>
      <c r="CE257" s="562">
        <f t="shared" si="757"/>
        <v>-50</v>
      </c>
      <c r="CF257">
        <f t="shared" si="758"/>
        <v>-50</v>
      </c>
      <c r="CG257" s="173">
        <f t="shared" si="759"/>
        <v>0.83086140039519618</v>
      </c>
      <c r="CI257" s="170">
        <v>41</v>
      </c>
      <c r="CJ257" s="217">
        <f t="shared" si="698"/>
        <v>4.0999999999999996</v>
      </c>
      <c r="CK257" s="217"/>
      <c r="CL257" s="217">
        <f t="shared" si="641"/>
        <v>61.499999999999993</v>
      </c>
      <c r="CM257" s="541">
        <f t="shared" si="642"/>
        <v>85</v>
      </c>
      <c r="CN257" s="443">
        <f t="shared" si="643"/>
        <v>15.4</v>
      </c>
      <c r="CO257" s="443">
        <f t="shared" si="644"/>
        <v>100.4</v>
      </c>
      <c r="CP257" s="443"/>
      <c r="CQ257" s="217">
        <f t="shared" si="645"/>
        <v>0.15338645418326693</v>
      </c>
      <c r="CR257" s="172">
        <f t="shared" si="646"/>
        <v>327.33148655378488</v>
      </c>
      <c r="CS257" s="172">
        <f t="shared" si="647"/>
        <v>61.499999999999993</v>
      </c>
      <c r="CT257" s="217">
        <f t="shared" si="648"/>
        <v>21.822099103585661</v>
      </c>
      <c r="CU257" s="217">
        <f t="shared" si="649"/>
        <v>15</v>
      </c>
      <c r="CV257" s="217"/>
      <c r="CW257" s="172">
        <f t="shared" si="650"/>
        <v>433.37106528729743</v>
      </c>
      <c r="CX257" s="172">
        <f t="shared" si="651"/>
        <v>15</v>
      </c>
      <c r="CY257" s="217">
        <f t="shared" si="652"/>
        <v>9.4340718105423971</v>
      </c>
      <c r="CZ257" s="217">
        <f t="shared" si="653"/>
        <v>1.3318689614883386</v>
      </c>
      <c r="DA257" s="217">
        <f t="shared" si="654"/>
        <v>7.3512247874356342</v>
      </c>
      <c r="DB257" s="197">
        <f t="shared" si="655"/>
        <v>108.64873837981409</v>
      </c>
      <c r="DC257" s="443">
        <f t="shared" si="656"/>
        <v>115.16632538073451</v>
      </c>
      <c r="DE257" s="217">
        <f t="shared" si="657"/>
        <v>10</v>
      </c>
      <c r="DF257" s="173">
        <f t="shared" si="658"/>
        <v>7.7922077922077913</v>
      </c>
      <c r="DG257" s="173">
        <f t="shared" si="659"/>
        <v>4.2330677290836656</v>
      </c>
      <c r="DH257" s="173"/>
      <c r="DI257" s="173">
        <f t="shared" si="660"/>
        <v>7.7922077922077913</v>
      </c>
      <c r="DJ257" s="545">
        <f t="shared" si="661"/>
        <v>105.23333333333333</v>
      </c>
      <c r="DK257" s="528">
        <f t="shared" si="662"/>
        <v>4.2330677290836656</v>
      </c>
      <c r="DM257" s="173">
        <f t="shared" si="663"/>
        <v>5.4833080039941828</v>
      </c>
      <c r="DN257" s="173">
        <f t="shared" si="664"/>
        <v>10</v>
      </c>
      <c r="DO257" s="173">
        <f t="shared" si="665"/>
        <v>1.0601333333333334</v>
      </c>
      <c r="DQ257" s="545">
        <f t="shared" si="666"/>
        <v>4100</v>
      </c>
      <c r="DR257" s="460">
        <f t="shared" si="667"/>
        <v>105.23333333333333</v>
      </c>
      <c r="DT257">
        <f t="shared" si="668"/>
        <v>4100</v>
      </c>
      <c r="DU257">
        <f t="shared" si="669"/>
        <v>105.23333333333333</v>
      </c>
      <c r="DW257" s="5">
        <f t="shared" si="670"/>
        <v>9.5026924295216979</v>
      </c>
      <c r="DX257" s="5">
        <f t="shared" si="671"/>
        <v>1.4117647058823528</v>
      </c>
      <c r="DY257" s="5">
        <f t="shared" si="672"/>
        <v>8.0909277236393446</v>
      </c>
      <c r="DZ257" s="5"/>
      <c r="EA257" s="173">
        <f t="shared" si="673"/>
        <v>0.14856470588235293</v>
      </c>
      <c r="EB257" s="173">
        <f t="shared" si="699"/>
        <v>63.14</v>
      </c>
      <c r="EC257" s="173">
        <f t="shared" si="700"/>
        <v>4.2571764705882353</v>
      </c>
      <c r="ED257" s="173">
        <f t="shared" si="701"/>
        <v>14.831426518543083</v>
      </c>
      <c r="EE257" s="460">
        <f t="shared" si="674"/>
        <v>38.588235294117638</v>
      </c>
      <c r="EF257" s="5">
        <f t="shared" si="675"/>
        <v>2.0186290263846636</v>
      </c>
      <c r="EH257" s="173">
        <f t="shared" si="702"/>
        <v>2.2253442121939466</v>
      </c>
      <c r="EI257" s="173">
        <f t="shared" si="703"/>
        <v>5.3273986588754774</v>
      </c>
      <c r="EK257" s="528">
        <f t="shared" si="704"/>
        <v>9.904313725490195E-2</v>
      </c>
      <c r="EL257" s="528">
        <f t="shared" si="705"/>
        <v>2.1130853333333333</v>
      </c>
      <c r="EM257" s="528">
        <f t="shared" si="706"/>
        <v>1.3154166666666666E-2</v>
      </c>
      <c r="EN257" s="528">
        <f t="shared" si="707"/>
        <v>0.10607688373333335</v>
      </c>
      <c r="EO257">
        <f t="shared" si="708"/>
        <v>3.8249999999999999E-2</v>
      </c>
      <c r="EP257" s="460">
        <f t="shared" si="709"/>
        <v>51.404166666666669</v>
      </c>
      <c r="EQ257" s="460"/>
      <c r="ER257" s="460">
        <f t="shared" si="710"/>
        <v>2369.6095209882355</v>
      </c>
      <c r="ES257" s="528">
        <f t="shared" si="711"/>
        <v>2.8699999999999997</v>
      </c>
      <c r="EV257" s="460">
        <f t="shared" si="712"/>
        <v>2869.9999999999995</v>
      </c>
      <c r="EW257" s="528">
        <f t="shared" si="713"/>
        <v>0.1485647058823529</v>
      </c>
      <c r="EX257" s="528">
        <f t="shared" si="714"/>
        <v>0.85143529411764696</v>
      </c>
      <c r="EY257" s="528">
        <f t="shared" si="715"/>
        <v>1.7961943347074276</v>
      </c>
      <c r="EZ257" s="528"/>
      <c r="FA257" s="528">
        <f t="shared" si="716"/>
        <v>1.0523333333333334E-2</v>
      </c>
      <c r="FB257" s="460">
        <f t="shared" si="717"/>
        <v>2806.7176680407611</v>
      </c>
      <c r="FC257" s="173">
        <f t="shared" si="718"/>
        <v>8.0463271890289967</v>
      </c>
      <c r="FD257" s="5">
        <f t="shared" si="719"/>
        <v>61.499999999999993</v>
      </c>
      <c r="FE257" s="173">
        <f t="shared" si="720"/>
        <v>0.88430262942342253</v>
      </c>
      <c r="FF257" s="5">
        <f t="shared" si="721"/>
        <v>88.430262942342253</v>
      </c>
      <c r="FI257" s="562">
        <f t="shared" si="676"/>
        <v>-50</v>
      </c>
      <c r="FJ257">
        <f t="shared" si="677"/>
        <v>-50</v>
      </c>
      <c r="FL257">
        <f t="shared" si="760"/>
        <v>0.82</v>
      </c>
    </row>
    <row r="258" spans="5:168">
      <c r="E258" s="170">
        <v>42</v>
      </c>
      <c r="F258" s="217">
        <f t="shared" si="761"/>
        <v>4.2</v>
      </c>
      <c r="G258" s="217"/>
      <c r="H258" s="217">
        <f t="shared" si="726"/>
        <v>63</v>
      </c>
      <c r="I258" s="541">
        <f t="shared" si="727"/>
        <v>84.750718691280113</v>
      </c>
      <c r="J258" s="172">
        <f t="shared" si="728"/>
        <v>15.549568785231934</v>
      </c>
      <c r="K258" s="172">
        <f t="shared" si="729"/>
        <v>100.30028747651204</v>
      </c>
      <c r="L258" s="443"/>
      <c r="M258" s="217">
        <f t="shared" si="730"/>
        <v>0.15503378443241284</v>
      </c>
      <c r="N258" s="172">
        <f t="shared" si="731"/>
        <v>329.87665892118264</v>
      </c>
      <c r="O258" s="172">
        <f t="shared" si="599"/>
        <v>63</v>
      </c>
      <c r="P258" s="217">
        <f t="shared" si="732"/>
        <v>21.991777261412174</v>
      </c>
      <c r="Q258" s="217">
        <f t="shared" si="733"/>
        <v>15</v>
      </c>
      <c r="R258" s="217"/>
      <c r="S258" s="172">
        <f t="shared" si="734"/>
        <v>419.79852178388012</v>
      </c>
      <c r="T258" s="172">
        <f t="shared" si="735"/>
        <v>15</v>
      </c>
      <c r="U258" s="217">
        <f t="shared" si="736"/>
        <v>9.941225868252598</v>
      </c>
      <c r="V258" s="217">
        <f t="shared" si="737"/>
        <v>1.4075952659892341</v>
      </c>
      <c r="W258" s="217">
        <f t="shared" si="738"/>
        <v>7.6718983057800472</v>
      </c>
      <c r="X258" s="197">
        <f t="shared" si="739"/>
        <v>109.49097314373003</v>
      </c>
      <c r="Y258" s="443">
        <f t="shared" si="680"/>
        <v>107.76450161485852</v>
      </c>
      <c r="AA258" s="217">
        <f t="shared" si="740"/>
        <v>10</v>
      </c>
      <c r="AB258" s="173">
        <f t="shared" si="741"/>
        <v>7.7172558067313703</v>
      </c>
      <c r="AC258" s="173">
        <f t="shared" si="742"/>
        <v>4.2248492413905954</v>
      </c>
      <c r="AD258" s="173"/>
      <c r="AE258" s="173">
        <f t="shared" si="743"/>
        <v>7.7172558067313703</v>
      </c>
      <c r="AF258" s="545">
        <f t="shared" si="744"/>
        <v>108.84698149662354</v>
      </c>
      <c r="AG258" s="528">
        <f t="shared" si="745"/>
        <v>4.2248492413905954</v>
      </c>
      <c r="AI258" s="173">
        <f t="shared" si="746"/>
        <v>5.5766600730602063</v>
      </c>
      <c r="AJ258" s="173">
        <f t="shared" si="747"/>
        <v>10</v>
      </c>
      <c r="AK258" s="173">
        <f t="shared" si="748"/>
        <v>1.0621982751409278</v>
      </c>
      <c r="AM258" s="545">
        <f t="shared" si="749"/>
        <v>4200</v>
      </c>
      <c r="AN258" s="460">
        <f t="shared" si="750"/>
        <v>108.84698149662354</v>
      </c>
      <c r="AP258">
        <f t="shared" si="751"/>
        <v>4200</v>
      </c>
      <c r="AQ258">
        <f t="shared" si="752"/>
        <v>108.84698149662354</v>
      </c>
      <c r="AS258" s="5">
        <f t="shared" si="600"/>
        <v>9.1872092937278218</v>
      </c>
      <c r="AT258" s="5">
        <f t="shared" si="753"/>
        <v>1.4159171963735411</v>
      </c>
      <c r="AU258" s="5">
        <f t="shared" si="722"/>
        <v>7.7712920973542809</v>
      </c>
      <c r="AV258" s="5"/>
      <c r="AW258" s="173">
        <f t="shared" si="723"/>
        <v>0.1541183128744219</v>
      </c>
      <c r="AX258" s="173">
        <f t="shared" si="631"/>
        <v>65.308188897974134</v>
      </c>
      <c r="AY258" s="173">
        <f t="shared" si="632"/>
        <v>4.2294084356278905</v>
      </c>
      <c r="AZ258" s="173">
        <f t="shared" si="633"/>
        <v>15.441447637884279</v>
      </c>
      <c r="BA258" s="460">
        <f t="shared" si="724"/>
        <v>39.645681498459155</v>
      </c>
      <c r="BB258" s="5">
        <f t="shared" si="725"/>
        <v>1.9920140387275889</v>
      </c>
      <c r="BD258" s="173">
        <f t="shared" si="681"/>
        <v>2.2665562194249809</v>
      </c>
      <c r="BE258" s="173">
        <f t="shared" si="682"/>
        <v>5.309995879237503</v>
      </c>
      <c r="BG258" s="528">
        <f t="shared" si="683"/>
        <v>0.10274554191628124</v>
      </c>
      <c r="BH258" s="528">
        <f t="shared" si="754"/>
        <v>2.0470094128241114</v>
      </c>
      <c r="BI258" s="528">
        <f t="shared" si="755"/>
        <v>0.23062149773038282</v>
      </c>
      <c r="BJ258" s="528">
        <f t="shared" si="684"/>
        <v>0.10950167070580508</v>
      </c>
      <c r="BK258">
        <f t="shared" si="685"/>
        <v>3.8137823411076049E-2</v>
      </c>
      <c r="BL258" s="460">
        <f t="shared" si="686"/>
        <v>268.75932114145883</v>
      </c>
      <c r="BM258" s="528">
        <f t="shared" si="756"/>
        <v>2.3442259648339379</v>
      </c>
      <c r="BN258" s="460">
        <f t="shared" si="687"/>
        <v>2344.2259648339377</v>
      </c>
      <c r="BO258" s="528">
        <f t="shared" si="637"/>
        <v>2.94</v>
      </c>
      <c r="BR258" s="460">
        <f t="shared" si="688"/>
        <v>2940</v>
      </c>
      <c r="BS258" s="528">
        <f t="shared" si="689"/>
        <v>0.15411831287442185</v>
      </c>
      <c r="BT258" s="528">
        <f t="shared" si="690"/>
        <v>0.84588168712557776</v>
      </c>
      <c r="BU258" s="528">
        <f t="shared" si="691"/>
        <v>1.9543888621259085</v>
      </c>
      <c r="BV258" s="528"/>
      <c r="BW258" s="528">
        <f t="shared" si="692"/>
        <v>1.0884698149662355E-2</v>
      </c>
      <c r="BX258" s="460">
        <f t="shared" si="693"/>
        <v>2965.2735602755706</v>
      </c>
      <c r="BY258" s="173">
        <f t="shared" si="694"/>
        <v>8.4332895068632272</v>
      </c>
      <c r="BZ258" s="5">
        <f t="shared" si="695"/>
        <v>63</v>
      </c>
      <c r="CA258" s="173">
        <f t="shared" si="696"/>
        <v>0.88194174501717482</v>
      </c>
      <c r="CB258" s="5">
        <f t="shared" si="697"/>
        <v>88.194174501717484</v>
      </c>
      <c r="CE258" s="562">
        <f t="shared" si="757"/>
        <v>-50</v>
      </c>
      <c r="CF258">
        <f t="shared" si="758"/>
        <v>-50</v>
      </c>
      <c r="CG258" s="173">
        <f t="shared" si="759"/>
        <v>0.84242176470588237</v>
      </c>
      <c r="CI258" s="170">
        <v>42</v>
      </c>
      <c r="CJ258" s="217">
        <f t="shared" si="698"/>
        <v>4.2</v>
      </c>
      <c r="CK258" s="217"/>
      <c r="CL258" s="217">
        <f t="shared" si="641"/>
        <v>63</v>
      </c>
      <c r="CM258" s="541">
        <f t="shared" si="642"/>
        <v>85</v>
      </c>
      <c r="CN258" s="443">
        <f t="shared" si="643"/>
        <v>15.4</v>
      </c>
      <c r="CO258" s="443">
        <f t="shared" si="644"/>
        <v>100.4</v>
      </c>
      <c r="CP258" s="443"/>
      <c r="CQ258" s="217">
        <f t="shared" si="645"/>
        <v>0.15338645418326693</v>
      </c>
      <c r="CR258" s="172">
        <f t="shared" si="646"/>
        <v>327.33148655378488</v>
      </c>
      <c r="CS258" s="172">
        <f t="shared" si="647"/>
        <v>63</v>
      </c>
      <c r="CT258" s="217">
        <f t="shared" si="648"/>
        <v>21.822099103585661</v>
      </c>
      <c r="CU258" s="217">
        <f t="shared" si="649"/>
        <v>15</v>
      </c>
      <c r="CV258" s="217"/>
      <c r="CW258" s="172">
        <f t="shared" si="650"/>
        <v>421.0330580595745</v>
      </c>
      <c r="CX258" s="172">
        <f t="shared" si="651"/>
        <v>15</v>
      </c>
      <c r="CY258" s="217">
        <f t="shared" si="652"/>
        <v>9.6641711229946523</v>
      </c>
      <c r="CZ258" s="217">
        <f t="shared" si="653"/>
        <v>1.3643535703051275</v>
      </c>
      <c r="DA258" s="217">
        <f t="shared" si="654"/>
        <v>7.5305229529828459</v>
      </c>
      <c r="DB258" s="197">
        <f t="shared" si="655"/>
        <v>108.64873837981409</v>
      </c>
      <c r="DC258" s="443">
        <f t="shared" si="656"/>
        <v>112.42427001452653</v>
      </c>
      <c r="DE258" s="217">
        <f t="shared" si="657"/>
        <v>10</v>
      </c>
      <c r="DF258" s="173">
        <f t="shared" si="658"/>
        <v>7.7922077922077913</v>
      </c>
      <c r="DG258" s="173">
        <f t="shared" si="659"/>
        <v>4.2330677290836656</v>
      </c>
      <c r="DH258" s="173"/>
      <c r="DI258" s="173">
        <f t="shared" si="660"/>
        <v>7.7922077922077913</v>
      </c>
      <c r="DJ258" s="545">
        <f t="shared" si="661"/>
        <v>107.80000000000001</v>
      </c>
      <c r="DK258" s="528">
        <f t="shared" si="662"/>
        <v>4.2330677290836656</v>
      </c>
      <c r="DM258" s="173">
        <f t="shared" si="663"/>
        <v>5.5497747702046434</v>
      </c>
      <c r="DN258" s="173">
        <f t="shared" si="664"/>
        <v>10</v>
      </c>
      <c r="DO258" s="173">
        <f t="shared" si="665"/>
        <v>1.0616000000000001</v>
      </c>
      <c r="DQ258" s="545">
        <f t="shared" si="666"/>
        <v>4200</v>
      </c>
      <c r="DR258" s="460">
        <f t="shared" si="667"/>
        <v>107.80000000000001</v>
      </c>
      <c r="DT258">
        <f t="shared" si="668"/>
        <v>4200</v>
      </c>
      <c r="DU258">
        <f t="shared" si="669"/>
        <v>107.80000000000001</v>
      </c>
      <c r="DW258" s="5">
        <f t="shared" si="670"/>
        <v>9.2764378478664185</v>
      </c>
      <c r="DX258" s="5">
        <f t="shared" si="671"/>
        <v>1.4117647058823528</v>
      </c>
      <c r="DY258" s="5">
        <f t="shared" si="672"/>
        <v>7.8646731419840652</v>
      </c>
      <c r="DZ258" s="5"/>
      <c r="EA258" s="173">
        <f t="shared" si="673"/>
        <v>0.15218823529411765</v>
      </c>
      <c r="EB258" s="173">
        <f t="shared" si="699"/>
        <v>64.680000000000021</v>
      </c>
      <c r="EC258" s="173">
        <f t="shared" si="700"/>
        <v>4.2390588235294118</v>
      </c>
      <c r="ED258" s="173">
        <f t="shared" si="701"/>
        <v>15.258103907637661</v>
      </c>
      <c r="EE258" s="460">
        <f t="shared" si="674"/>
        <v>39.529411764705877</v>
      </c>
      <c r="EF258" s="5">
        <f t="shared" si="675"/>
        <v>2.0100381661054607</v>
      </c>
      <c r="EH258" s="173">
        <f t="shared" si="702"/>
        <v>2.2523190663115624</v>
      </c>
      <c r="EI258" s="173">
        <f t="shared" si="703"/>
        <v>5.3160504283596435</v>
      </c>
      <c r="EK258" s="528">
        <f t="shared" si="704"/>
        <v>0.10145882352941177</v>
      </c>
      <c r="EL258" s="528">
        <f t="shared" si="705"/>
        <v>2.1646240000000003</v>
      </c>
      <c r="EM258" s="528">
        <f t="shared" si="706"/>
        <v>1.3475000000000001E-2</v>
      </c>
      <c r="EN258" s="528">
        <f t="shared" si="707"/>
        <v>0.10866412480000004</v>
      </c>
      <c r="EO258">
        <f t="shared" si="708"/>
        <v>3.8249999999999999E-2</v>
      </c>
      <c r="EP258" s="460">
        <f t="shared" si="709"/>
        <v>51.725000000000001</v>
      </c>
      <c r="EQ258" s="460"/>
      <c r="ER258" s="460">
        <f t="shared" si="710"/>
        <v>2426.4719483294125</v>
      </c>
      <c r="ES258" s="528">
        <f t="shared" si="711"/>
        <v>2.94</v>
      </c>
      <c r="EV258" s="460">
        <f t="shared" si="712"/>
        <v>2940</v>
      </c>
      <c r="EW258" s="528">
        <f t="shared" si="713"/>
        <v>0.15218823529411765</v>
      </c>
      <c r="EX258" s="528">
        <f t="shared" si="714"/>
        <v>0.84781176470588249</v>
      </c>
      <c r="EY258" s="528">
        <f t="shared" si="715"/>
        <v>1.9077299877435299</v>
      </c>
      <c r="EZ258" s="528"/>
      <c r="FA258" s="528">
        <f t="shared" si="716"/>
        <v>1.0780000000000001E-2</v>
      </c>
      <c r="FB258" s="460">
        <f t="shared" si="717"/>
        <v>2918.5099877435305</v>
      </c>
      <c r="FC258" s="173">
        <f t="shared" si="718"/>
        <v>8.284981936072942</v>
      </c>
      <c r="FD258" s="5">
        <f t="shared" si="719"/>
        <v>63</v>
      </c>
      <c r="FE258" s="173">
        <f t="shared" si="720"/>
        <v>0.88377661449780887</v>
      </c>
      <c r="FF258" s="5">
        <f t="shared" si="721"/>
        <v>88.377661449780888</v>
      </c>
      <c r="FI258" s="562">
        <f t="shared" si="676"/>
        <v>-50</v>
      </c>
      <c r="FJ258">
        <f t="shared" si="677"/>
        <v>-50</v>
      </c>
      <c r="FL258">
        <f t="shared" si="760"/>
        <v>0.84000000000000008</v>
      </c>
    </row>
    <row r="259" spans="5:168">
      <c r="E259" s="170">
        <v>43</v>
      </c>
      <c r="F259" s="217">
        <f t="shared" si="761"/>
        <v>4.3</v>
      </c>
      <c r="G259" s="217"/>
      <c r="H259" s="217">
        <f t="shared" si="726"/>
        <v>64.5</v>
      </c>
      <c r="I259" s="541">
        <f t="shared" si="727"/>
        <v>84.743890288415088</v>
      </c>
      <c r="J259" s="172">
        <f t="shared" si="728"/>
        <v>15.553665826950947</v>
      </c>
      <c r="K259" s="172">
        <f t="shared" si="729"/>
        <v>100.29755611536604</v>
      </c>
      <c r="L259" s="443"/>
      <c r="M259" s="217">
        <f t="shared" si="730"/>
        <v>0.15506681089975444</v>
      </c>
      <c r="N259" s="172">
        <f t="shared" si="731"/>
        <v>329.92034776767042</v>
      </c>
      <c r="O259" s="172">
        <f t="shared" si="599"/>
        <v>64.5</v>
      </c>
      <c r="P259" s="217">
        <f t="shared" si="732"/>
        <v>21.994689851178027</v>
      </c>
      <c r="Q259" s="217">
        <f t="shared" si="733"/>
        <v>15</v>
      </c>
      <c r="R259" s="217"/>
      <c r="S259" s="172">
        <f t="shared" si="734"/>
        <v>408.036139799919</v>
      </c>
      <c r="T259" s="172">
        <f t="shared" si="735"/>
        <v>15</v>
      </c>
      <c r="U259" s="217">
        <f t="shared" si="736"/>
        <v>10.178319553476159</v>
      </c>
      <c r="V259" s="217">
        <f t="shared" si="737"/>
        <v>1.4412818933143907</v>
      </c>
      <c r="W259" s="217">
        <f t="shared" si="738"/>
        <v>7.8528004909346505</v>
      </c>
      <c r="X259" s="197">
        <f t="shared" si="739"/>
        <v>109.51398032285209</v>
      </c>
      <c r="Y259" s="443">
        <f t="shared" si="680"/>
        <v>105.3287679132666</v>
      </c>
      <c r="AA259" s="217">
        <f t="shared" si="740"/>
        <v>10</v>
      </c>
      <c r="AB259" s="173">
        <f t="shared" si="741"/>
        <v>7.7152229792713838</v>
      </c>
      <c r="AC259" s="173">
        <f t="shared" si="742"/>
        <v>4.2246238876917133</v>
      </c>
      <c r="AD259" s="173"/>
      <c r="AE259" s="173">
        <f t="shared" si="743"/>
        <v>7.7152229792713838</v>
      </c>
      <c r="AF259" s="545">
        <f t="shared" si="744"/>
        <v>111.46793842648178</v>
      </c>
      <c r="AG259" s="528">
        <f t="shared" si="745"/>
        <v>4.2246238876917133</v>
      </c>
      <c r="AI259" s="173">
        <f t="shared" si="746"/>
        <v>5.6434016698766198</v>
      </c>
      <c r="AJ259" s="173">
        <f t="shared" si="747"/>
        <v>10.178319553476159</v>
      </c>
      <c r="AK259" s="173">
        <f t="shared" si="748"/>
        <v>1.3320885581304882</v>
      </c>
      <c r="AM259" s="545">
        <f t="shared" si="749"/>
        <v>4300</v>
      </c>
      <c r="AN259" s="460">
        <f t="shared" si="750"/>
        <v>105.3287679132666</v>
      </c>
      <c r="AP259">
        <f t="shared" si="751"/>
        <v>4300</v>
      </c>
      <c r="AQ259">
        <f t="shared" si="752"/>
        <v>105.3287679132666</v>
      </c>
      <c r="AS259" s="5">
        <f t="shared" si="600"/>
        <v>9.4940823842490403</v>
      </c>
      <c r="AT259" s="5">
        <f t="shared" si="753"/>
        <v>1.4412818933143907</v>
      </c>
      <c r="AU259" s="5">
        <f t="shared" si="722"/>
        <v>8.0528004909346489</v>
      </c>
      <c r="AV259" s="5"/>
      <c r="AW259" s="173">
        <f t="shared" si="723"/>
        <v>0.15180844603850494</v>
      </c>
      <c r="AX259" s="173">
        <f t="shared" si="631"/>
        <v>65.471217589946889</v>
      </c>
      <c r="AY259" s="173">
        <f t="shared" si="632"/>
        <v>4.3165823393898073</v>
      </c>
      <c r="AZ259" s="173">
        <f t="shared" si="633"/>
        <v>15.167373732804066</v>
      </c>
      <c r="BA259" s="460">
        <f t="shared" si="724"/>
        <v>41.316747608345871</v>
      </c>
      <c r="BB259" s="5">
        <f t="shared" si="725"/>
        <v>2.1134903014228641</v>
      </c>
      <c r="BD259" s="173">
        <f t="shared" si="681"/>
        <v>2.2896200612236117</v>
      </c>
      <c r="BE259" s="173">
        <f t="shared" si="682"/>
        <v>5.412057798976968</v>
      </c>
      <c r="BG259" s="528">
        <f t="shared" si="683"/>
        <v>0.10484720049515231</v>
      </c>
      <c r="BH259" s="528">
        <f t="shared" si="754"/>
        <v>2.0161122514099019</v>
      </c>
      <c r="BI259" s="528">
        <f t="shared" si="755"/>
        <v>0.22314923880639501</v>
      </c>
      <c r="BJ259" s="528">
        <f t="shared" si="684"/>
        <v>0.10595652487073599</v>
      </c>
      <c r="BK259">
        <f t="shared" si="685"/>
        <v>3.8134750629786787E-2</v>
      </c>
      <c r="BL259" s="460">
        <f t="shared" si="686"/>
        <v>261.2839894361818</v>
      </c>
      <c r="BM259" s="528">
        <f t="shared" si="756"/>
        <v>2.3128415231418322</v>
      </c>
      <c r="BN259" s="460">
        <f t="shared" si="687"/>
        <v>2312.8415231418321</v>
      </c>
      <c r="BO259" s="528">
        <f t="shared" si="637"/>
        <v>3.01</v>
      </c>
      <c r="BR259" s="460">
        <f t="shared" si="688"/>
        <v>3010</v>
      </c>
      <c r="BS259" s="528">
        <f t="shared" si="689"/>
        <v>0.15727080074272845</v>
      </c>
      <c r="BT259" s="528">
        <f t="shared" si="690"/>
        <v>0.87871108858402269</v>
      </c>
      <c r="BU259" s="528">
        <f t="shared" si="691"/>
        <v>1.8816017943492505</v>
      </c>
      <c r="BV259" s="528"/>
      <c r="BW259" s="528">
        <f t="shared" si="692"/>
        <v>1.0911869598324483E-2</v>
      </c>
      <c r="BX259" s="460">
        <f t="shared" si="693"/>
        <v>2928.4955532743261</v>
      </c>
      <c r="BY259" s="173">
        <f t="shared" si="694"/>
        <v>8.426695519486298</v>
      </c>
      <c r="BZ259" s="5">
        <f t="shared" si="695"/>
        <v>64.5</v>
      </c>
      <c r="CA259" s="173">
        <f t="shared" si="696"/>
        <v>0.88444978262816454</v>
      </c>
      <c r="CB259" s="5">
        <f t="shared" si="697"/>
        <v>88.444978262816448</v>
      </c>
      <c r="CE259" s="562">
        <f t="shared" si="757"/>
        <v>-50</v>
      </c>
      <c r="CF259">
        <f t="shared" si="758"/>
        <v>-50</v>
      </c>
      <c r="CG259" s="173">
        <f t="shared" si="759"/>
        <v>0.83948398000798718</v>
      </c>
      <c r="CI259" s="170">
        <v>43</v>
      </c>
      <c r="CJ259" s="217">
        <f t="shared" si="698"/>
        <v>4.3</v>
      </c>
      <c r="CK259" s="217"/>
      <c r="CL259" s="217">
        <f t="shared" si="641"/>
        <v>64.5</v>
      </c>
      <c r="CM259" s="541">
        <f t="shared" si="642"/>
        <v>85</v>
      </c>
      <c r="CN259" s="443">
        <f t="shared" si="643"/>
        <v>15.4</v>
      </c>
      <c r="CO259" s="443">
        <f t="shared" si="644"/>
        <v>100.4</v>
      </c>
      <c r="CP259" s="443"/>
      <c r="CQ259" s="217">
        <f t="shared" si="645"/>
        <v>0.15338645418326693</v>
      </c>
      <c r="CR259" s="172">
        <f t="shared" si="646"/>
        <v>327.33148655378488</v>
      </c>
      <c r="CS259" s="172">
        <f t="shared" si="647"/>
        <v>64.5</v>
      </c>
      <c r="CT259" s="217">
        <f t="shared" si="648"/>
        <v>21.822099103585661</v>
      </c>
      <c r="CU259" s="217">
        <f t="shared" si="649"/>
        <v>15</v>
      </c>
      <c r="CV259" s="217"/>
      <c r="CW259" s="172">
        <f t="shared" si="650"/>
        <v>409.26904033506207</v>
      </c>
      <c r="CX259" s="172">
        <f t="shared" si="651"/>
        <v>15</v>
      </c>
      <c r="CY259" s="217">
        <f t="shared" si="652"/>
        <v>9.8942704354469058</v>
      </c>
      <c r="CZ259" s="217">
        <f t="shared" si="653"/>
        <v>1.396838179121916</v>
      </c>
      <c r="DA259" s="217">
        <f t="shared" si="654"/>
        <v>7.7098211185300567</v>
      </c>
      <c r="DB259" s="197">
        <f t="shared" si="655"/>
        <v>108.64873837981409</v>
      </c>
      <c r="DC259" s="443">
        <f t="shared" si="656"/>
        <v>109.80975210721195</v>
      </c>
      <c r="DE259" s="217">
        <f t="shared" si="657"/>
        <v>10</v>
      </c>
      <c r="DF259" s="173">
        <f t="shared" si="658"/>
        <v>7.7922077922077913</v>
      </c>
      <c r="DG259" s="173">
        <f t="shared" si="659"/>
        <v>4.2330677290836656</v>
      </c>
      <c r="DH259" s="173"/>
      <c r="DI259" s="173">
        <f t="shared" si="660"/>
        <v>7.7922077922077913</v>
      </c>
      <c r="DJ259" s="545">
        <f t="shared" si="661"/>
        <v>110.36666666666667</v>
      </c>
      <c r="DK259" s="528">
        <f t="shared" si="662"/>
        <v>4.2330677290836656</v>
      </c>
      <c r="DM259" s="173">
        <f t="shared" si="663"/>
        <v>5.6154548643305233</v>
      </c>
      <c r="DN259" s="173">
        <f t="shared" si="664"/>
        <v>10</v>
      </c>
      <c r="DO259" s="173">
        <f t="shared" si="665"/>
        <v>1.2</v>
      </c>
      <c r="DQ259" s="545">
        <f t="shared" si="666"/>
        <v>4300</v>
      </c>
      <c r="DR259" s="460">
        <f t="shared" si="667"/>
        <v>109.80975210721195</v>
      </c>
      <c r="DT259">
        <f t="shared" si="668"/>
        <v>4300</v>
      </c>
      <c r="DU259">
        <f t="shared" si="669"/>
        <v>109.80975210721195</v>
      </c>
      <c r="DW259" s="5">
        <f t="shared" si="670"/>
        <v>9.1066592976519729</v>
      </c>
      <c r="DX259" s="5">
        <f t="shared" si="671"/>
        <v>1.4117647058823528</v>
      </c>
      <c r="DY259" s="5">
        <f t="shared" si="672"/>
        <v>7.6948945917696197</v>
      </c>
      <c r="DZ259" s="5"/>
      <c r="EA259" s="173">
        <f t="shared" si="673"/>
        <v>0.15502553238665215</v>
      </c>
      <c r="EB259" s="173">
        <f t="shared" si="699"/>
        <v>65.885851264327187</v>
      </c>
      <c r="EC259" s="173">
        <f t="shared" si="700"/>
        <v>4.2248723380667395</v>
      </c>
      <c r="ED259" s="173">
        <f t="shared" si="701"/>
        <v>15.59475553158984</v>
      </c>
      <c r="EE259" s="460">
        <f t="shared" si="674"/>
        <v>40.470588235294109</v>
      </c>
      <c r="EF259" s="5">
        <f t="shared" si="675"/>
        <v>2.0134714043372837</v>
      </c>
      <c r="EH259" s="173">
        <f t="shared" si="702"/>
        <v>2.2732174876640681</v>
      </c>
      <c r="EI259" s="173">
        <f t="shared" si="703"/>
        <v>5.3071475942460458</v>
      </c>
      <c r="EK259" s="528">
        <f t="shared" si="704"/>
        <v>0.10335035492443474</v>
      </c>
      <c r="EL259" s="528">
        <f t="shared" si="705"/>
        <v>2.2049798223128159</v>
      </c>
      <c r="EM259" s="528">
        <f t="shared" si="706"/>
        <v>1.3726219013401493E-2</v>
      </c>
      <c r="EN259" s="528">
        <f t="shared" si="707"/>
        <v>0.11068998708010337</v>
      </c>
      <c r="EO259">
        <f t="shared" si="708"/>
        <v>3.8249999999999999E-2</v>
      </c>
      <c r="EP259" s="460">
        <f t="shared" si="709"/>
        <v>51.97621901340149</v>
      </c>
      <c r="EQ259" s="460"/>
      <c r="ER259" s="460">
        <f t="shared" si="710"/>
        <v>2470.9963833307552</v>
      </c>
      <c r="ES259" s="528">
        <f t="shared" si="711"/>
        <v>3.01</v>
      </c>
      <c r="EV259" s="460">
        <f t="shared" si="712"/>
        <v>3010</v>
      </c>
      <c r="EW259" s="528">
        <f t="shared" si="713"/>
        <v>0.15502553238665209</v>
      </c>
      <c r="EX259" s="528">
        <f t="shared" si="714"/>
        <v>0.84497446761334771</v>
      </c>
      <c r="EY259" s="528">
        <f t="shared" si="715"/>
        <v>1.9978932618650547</v>
      </c>
      <c r="EZ259" s="528"/>
      <c r="FA259" s="528">
        <f t="shared" si="716"/>
        <v>1.0980975210721196E-2</v>
      </c>
      <c r="FB259" s="460">
        <f t="shared" si="717"/>
        <v>3008.8742370757755</v>
      </c>
      <c r="FC259" s="173">
        <f t="shared" si="718"/>
        <v>8.4898706204065313</v>
      </c>
      <c r="FD259" s="5">
        <f t="shared" si="719"/>
        <v>64.5</v>
      </c>
      <c r="FE259" s="173">
        <f t="shared" si="720"/>
        <v>0.8836842626484539</v>
      </c>
      <c r="FF259" s="5">
        <f t="shared" si="721"/>
        <v>88.368426264845397</v>
      </c>
      <c r="FI259" s="562">
        <f t="shared" si="676"/>
        <v>-50</v>
      </c>
      <c r="FJ259">
        <f t="shared" si="677"/>
        <v>-50</v>
      </c>
      <c r="FL259">
        <f t="shared" si="760"/>
        <v>0.84497446761334782</v>
      </c>
    </row>
    <row r="260" spans="5:168">
      <c r="E260" s="170">
        <v>44</v>
      </c>
      <c r="F260" s="217">
        <f t="shared" si="761"/>
        <v>4.4000000000000004</v>
      </c>
      <c r="G260" s="217"/>
      <c r="H260" s="217">
        <f t="shared" si="726"/>
        <v>66</v>
      </c>
      <c r="I260" s="541">
        <f t="shared" si="727"/>
        <v>84.738483727373875</v>
      </c>
      <c r="J260" s="172">
        <f t="shared" si="728"/>
        <v>15.556909763575678</v>
      </c>
      <c r="K260" s="172">
        <f t="shared" si="729"/>
        <v>100.29539349094955</v>
      </c>
      <c r="L260" s="443"/>
      <c r="M260" s="217">
        <f t="shared" si="730"/>
        <v>0.15510253260288501</v>
      </c>
      <c r="N260" s="172">
        <f t="shared" si="731"/>
        <v>329.97529592857461</v>
      </c>
      <c r="O260" s="172">
        <f t="shared" si="599"/>
        <v>66</v>
      </c>
      <c r="P260" s="217">
        <f t="shared" si="732"/>
        <v>21.998353061904975</v>
      </c>
      <c r="Q260" s="217">
        <f t="shared" si="733"/>
        <v>15</v>
      </c>
      <c r="R260" s="217"/>
      <c r="S260" s="172">
        <f t="shared" si="734"/>
        <v>396.81550631779106</v>
      </c>
      <c r="T260" s="172">
        <f t="shared" si="735"/>
        <v>15</v>
      </c>
      <c r="U260" s="217">
        <f t="shared" si="736"/>
        <v>10.415464999688375</v>
      </c>
      <c r="V260" s="217">
        <f t="shared" si="737"/>
        <v>1.474956530947287</v>
      </c>
      <c r="W260" s="217">
        <f t="shared" si="738"/>
        <v>8.0340878680736907</v>
      </c>
      <c r="X260" s="197">
        <f t="shared" si="739"/>
        <v>109.53219443123768</v>
      </c>
      <c r="Y260" s="443">
        <f t="shared" si="680"/>
        <v>102.99674807345986</v>
      </c>
      <c r="AA260" s="217">
        <f t="shared" si="740"/>
        <v>10</v>
      </c>
      <c r="AB260" s="173">
        <f t="shared" si="741"/>
        <v>7.7136141961151683</v>
      </c>
      <c r="AC260" s="173">
        <f t="shared" si="742"/>
        <v>4.2244454494822081</v>
      </c>
      <c r="AD260" s="173"/>
      <c r="AE260" s="173">
        <f t="shared" si="743"/>
        <v>7.7136141961151683</v>
      </c>
      <c r="AF260" s="545">
        <f t="shared" si="744"/>
        <v>114.08400493288831</v>
      </c>
      <c r="AG260" s="528">
        <f t="shared" si="745"/>
        <v>4.224445449482209</v>
      </c>
      <c r="AI260" s="173">
        <f t="shared" si="746"/>
        <v>5.7092407534474523</v>
      </c>
      <c r="AJ260" s="173">
        <f t="shared" si="747"/>
        <v>10.415464999688375</v>
      </c>
      <c r="AK260" s="173">
        <f t="shared" si="748"/>
        <v>1.5077518516210184</v>
      </c>
      <c r="AM260" s="545">
        <f t="shared" si="749"/>
        <v>4400</v>
      </c>
      <c r="AN260" s="460">
        <f t="shared" si="750"/>
        <v>102.99674807345986</v>
      </c>
      <c r="AP260">
        <f t="shared" si="751"/>
        <v>4400</v>
      </c>
      <c r="AQ260">
        <f t="shared" si="752"/>
        <v>102.99674807345986</v>
      </c>
      <c r="AS260" s="5">
        <f t="shared" si="600"/>
        <v>9.7090443990209785</v>
      </c>
      <c r="AT260" s="5">
        <f t="shared" si="753"/>
        <v>1.474956530947287</v>
      </c>
      <c r="AU260" s="5">
        <f t="shared" si="722"/>
        <v>8.2340878680736918</v>
      </c>
      <c r="AV260" s="5"/>
      <c r="AW260" s="173">
        <f t="shared" si="723"/>
        <v>0.15191572623728197</v>
      </c>
      <c r="AX260" s="173">
        <f t="shared" si="631"/>
        <v>67.039704445479188</v>
      </c>
      <c r="AY260" s="173">
        <f t="shared" si="632"/>
        <v>4.416596035080862</v>
      </c>
      <c r="AZ260" s="173">
        <f t="shared" si="633"/>
        <v>15.179043750658934</v>
      </c>
      <c r="BA260" s="460">
        <f t="shared" si="724"/>
        <v>43.265391574453758</v>
      </c>
      <c r="BB260" s="5">
        <f t="shared" si="725"/>
        <v>2.2114684411593273</v>
      </c>
      <c r="BD260" s="173">
        <f t="shared" si="681"/>
        <v>2.343793813275052</v>
      </c>
      <c r="BE260" s="173">
        <f t="shared" si="682"/>
        <v>5.5378035008564632</v>
      </c>
      <c r="BG260" s="528">
        <f t="shared" si="683"/>
        <v>0.10986738878292819</v>
      </c>
      <c r="BH260" s="528">
        <f t="shared" si="754"/>
        <v>2.0173647843247595</v>
      </c>
      <c r="BI260" s="528">
        <f t="shared" si="755"/>
        <v>0.2181947065148826</v>
      </c>
      <c r="BJ260" s="528">
        <f t="shared" si="684"/>
        <v>0.10360613817482114</v>
      </c>
      <c r="BK260">
        <f t="shared" si="685"/>
        <v>3.8132317677318242E-2</v>
      </c>
      <c r="BL260" s="460">
        <f t="shared" si="686"/>
        <v>256.32702419220084</v>
      </c>
      <c r="BM260" s="528">
        <f t="shared" si="756"/>
        <v>2.3210934712176798</v>
      </c>
      <c r="BN260" s="460">
        <f t="shared" si="687"/>
        <v>2321.09347121768</v>
      </c>
      <c r="BO260" s="528">
        <f t="shared" si="637"/>
        <v>3.08</v>
      </c>
      <c r="BR260" s="460">
        <f t="shared" si="688"/>
        <v>3080</v>
      </c>
      <c r="BS260" s="528">
        <f t="shared" si="689"/>
        <v>0.16480108317439227</v>
      </c>
      <c r="BT260" s="528">
        <f t="shared" si="690"/>
        <v>0.920018028422943</v>
      </c>
      <c r="BU260" s="528">
        <f t="shared" si="691"/>
        <v>1.884627162630647</v>
      </c>
      <c r="BV260" s="528"/>
      <c r="BW260" s="528">
        <f t="shared" si="692"/>
        <v>1.1173284074246531E-2</v>
      </c>
      <c r="BX260" s="460">
        <f t="shared" si="693"/>
        <v>2980.6195583022286</v>
      </c>
      <c r="BY260" s="173">
        <f t="shared" si="694"/>
        <v>8.5477848937769387</v>
      </c>
      <c r="BZ260" s="5">
        <f t="shared" si="695"/>
        <v>66</v>
      </c>
      <c r="CA260" s="173">
        <f t="shared" si="696"/>
        <v>0.88533817730524567</v>
      </c>
      <c r="CB260" s="5">
        <f t="shared" si="697"/>
        <v>88.533817730524561</v>
      </c>
      <c r="CE260" s="562">
        <f t="shared" si="757"/>
        <v>-50</v>
      </c>
      <c r="CF260">
        <f t="shared" si="758"/>
        <v>-50</v>
      </c>
      <c r="CG260" s="173">
        <f t="shared" si="759"/>
        <v>0.84124784202058522</v>
      </c>
      <c r="CI260" s="170">
        <v>44</v>
      </c>
      <c r="CJ260" s="217">
        <f t="shared" si="698"/>
        <v>4.4000000000000004</v>
      </c>
      <c r="CK260" s="217"/>
      <c r="CL260" s="217">
        <f t="shared" si="641"/>
        <v>66</v>
      </c>
      <c r="CM260" s="541">
        <f t="shared" si="642"/>
        <v>85</v>
      </c>
      <c r="CN260" s="443">
        <f t="shared" si="643"/>
        <v>15.4</v>
      </c>
      <c r="CO260" s="443">
        <f t="shared" si="644"/>
        <v>100.4</v>
      </c>
      <c r="CP260" s="443"/>
      <c r="CQ260" s="217">
        <f t="shared" si="645"/>
        <v>0.15338645418326693</v>
      </c>
      <c r="CR260" s="172">
        <f t="shared" si="646"/>
        <v>327.33148655378488</v>
      </c>
      <c r="CS260" s="172">
        <f t="shared" si="647"/>
        <v>66</v>
      </c>
      <c r="CT260" s="217">
        <f t="shared" si="648"/>
        <v>21.822099103585661</v>
      </c>
      <c r="CU260" s="217">
        <f t="shared" si="649"/>
        <v>15</v>
      </c>
      <c r="CV260" s="217"/>
      <c r="CW260" s="172">
        <f t="shared" si="650"/>
        <v>398.03987827852603</v>
      </c>
      <c r="CX260" s="172">
        <f t="shared" si="651"/>
        <v>15</v>
      </c>
      <c r="CY260" s="217">
        <f t="shared" si="652"/>
        <v>10.124369747899159</v>
      </c>
      <c r="CZ260" s="217">
        <f t="shared" si="653"/>
        <v>1.4293227879387047</v>
      </c>
      <c r="DA260" s="217">
        <f t="shared" si="654"/>
        <v>7.8891192840772666</v>
      </c>
      <c r="DB260" s="197">
        <f t="shared" si="655"/>
        <v>108.64873837981409</v>
      </c>
      <c r="DC260" s="443">
        <f t="shared" si="656"/>
        <v>107.31407592295714</v>
      </c>
      <c r="DE260" s="217">
        <f t="shared" si="657"/>
        <v>10</v>
      </c>
      <c r="DF260" s="173">
        <f t="shared" si="658"/>
        <v>7.7922077922077913</v>
      </c>
      <c r="DG260" s="173">
        <f t="shared" si="659"/>
        <v>4.2330677290836656</v>
      </c>
      <c r="DH260" s="173"/>
      <c r="DI260" s="173">
        <f t="shared" si="660"/>
        <v>7.7922077922077913</v>
      </c>
      <c r="DJ260" s="545">
        <f t="shared" si="661"/>
        <v>112.93333333333334</v>
      </c>
      <c r="DK260" s="528">
        <f t="shared" si="662"/>
        <v>4.2330677290836656</v>
      </c>
      <c r="DM260" s="173">
        <f t="shared" si="663"/>
        <v>5.6803755744375453</v>
      </c>
      <c r="DN260" s="173">
        <f t="shared" si="664"/>
        <v>10.124369747899159</v>
      </c>
      <c r="DO260" s="173">
        <f t="shared" si="665"/>
        <v>1.2921257391845624</v>
      </c>
      <c r="DQ260" s="545">
        <f t="shared" si="666"/>
        <v>4400</v>
      </c>
      <c r="DR260" s="460">
        <f t="shared" si="667"/>
        <v>107.31407592295714</v>
      </c>
      <c r="DT260">
        <f t="shared" si="668"/>
        <v>4400</v>
      </c>
      <c r="DU260">
        <f t="shared" si="669"/>
        <v>107.31407592295714</v>
      </c>
      <c r="DW260" s="5">
        <f t="shared" si="670"/>
        <v>9.3184420720159711</v>
      </c>
      <c r="DX260" s="5">
        <f t="shared" si="671"/>
        <v>1.4293227879387047</v>
      </c>
      <c r="DY260" s="5">
        <f t="shared" si="672"/>
        <v>7.8891192840772666</v>
      </c>
      <c r="DZ260" s="5"/>
      <c r="EA260" s="173">
        <f t="shared" si="673"/>
        <v>0.15338645418326693</v>
      </c>
      <c r="EB260" s="173">
        <f t="shared" si="699"/>
        <v>66</v>
      </c>
      <c r="EC260" s="173">
        <f t="shared" si="700"/>
        <v>4.2857142857142856</v>
      </c>
      <c r="ED260" s="173">
        <f t="shared" si="701"/>
        <v>15.4</v>
      </c>
      <c r="EE260" s="460">
        <f t="shared" si="674"/>
        <v>41.926801779535339</v>
      </c>
      <c r="EF260" s="5">
        <f t="shared" si="675"/>
        <v>2.1122996866089232</v>
      </c>
      <c r="EH260" s="173">
        <f t="shared" si="702"/>
        <v>2.2892903316184947</v>
      </c>
      <c r="EI260" s="173">
        <f t="shared" si="703"/>
        <v>5.3783613404347719</v>
      </c>
      <c r="EK260" s="528">
        <f t="shared" si="704"/>
        <v>0.10481700444883835</v>
      </c>
      <c r="EL260" s="528">
        <f t="shared" si="705"/>
        <v>2.1816666666666671</v>
      </c>
      <c r="EM260" s="528">
        <f t="shared" si="706"/>
        <v>1.3414259490369642E-2</v>
      </c>
      <c r="EN260" s="528">
        <f t="shared" si="707"/>
        <v>0.10817430555555559</v>
      </c>
      <c r="EO260">
        <f t="shared" si="708"/>
        <v>3.8249999999999999E-2</v>
      </c>
      <c r="EP260" s="460">
        <f t="shared" si="709"/>
        <v>51.664259490369638</v>
      </c>
      <c r="EQ260" s="460"/>
      <c r="ER260" s="460">
        <f t="shared" si="710"/>
        <v>2446.3222361614307</v>
      </c>
      <c r="ES260" s="528">
        <f t="shared" si="711"/>
        <v>3.08</v>
      </c>
      <c r="EV260" s="460">
        <f t="shared" si="712"/>
        <v>3080</v>
      </c>
      <c r="EW260" s="528">
        <f t="shared" si="713"/>
        <v>0.15722550667325752</v>
      </c>
      <c r="EX260" s="528">
        <f t="shared" si="714"/>
        <v>0.86780312124849945</v>
      </c>
      <c r="EY260" s="528">
        <f t="shared" si="715"/>
        <v>1.9455021880180849</v>
      </c>
      <c r="EZ260" s="528"/>
      <c r="FA260" s="528">
        <f t="shared" si="716"/>
        <v>1.1000000000000001E-2</v>
      </c>
      <c r="FB260" s="460">
        <f t="shared" si="717"/>
        <v>2981.5308159398423</v>
      </c>
      <c r="FC260" s="173">
        <f t="shared" si="718"/>
        <v>8.5078530521012716</v>
      </c>
      <c r="FD260" s="5">
        <f t="shared" si="719"/>
        <v>66</v>
      </c>
      <c r="FE260" s="173">
        <f t="shared" si="720"/>
        <v>0.88581266667082781</v>
      </c>
      <c r="FF260" s="5">
        <f t="shared" si="721"/>
        <v>88.581266667082787</v>
      </c>
      <c r="FI260" s="562">
        <f t="shared" si="676"/>
        <v>-50</v>
      </c>
      <c r="FJ260">
        <f t="shared" si="677"/>
        <v>-50</v>
      </c>
      <c r="FL260">
        <f t="shared" si="760"/>
        <v>0.84661354581673309</v>
      </c>
    </row>
    <row r="261" spans="5:168">
      <c r="E261" s="170">
        <v>45</v>
      </c>
      <c r="F261" s="217">
        <f t="shared" si="761"/>
        <v>4.5</v>
      </c>
      <c r="G261" s="217"/>
      <c r="H261" s="217">
        <f t="shared" si="726"/>
        <v>67.5</v>
      </c>
      <c r="I261" s="541">
        <f t="shared" si="727"/>
        <v>84.732578079913267</v>
      </c>
      <c r="J261" s="172">
        <f t="shared" si="728"/>
        <v>15.560453152052036</v>
      </c>
      <c r="K261" s="172">
        <f t="shared" si="729"/>
        <v>100.2930312319653</v>
      </c>
      <c r="L261" s="443"/>
      <c r="M261" s="217">
        <f t="shared" si="730"/>
        <v>0.15514151775090043</v>
      </c>
      <c r="N261" s="172">
        <f t="shared" si="731"/>
        <v>330.03523286302612</v>
      </c>
      <c r="O261" s="172">
        <f t="shared" si="599"/>
        <v>67.5</v>
      </c>
      <c r="P261" s="217">
        <f t="shared" si="732"/>
        <v>22.002348857535075</v>
      </c>
      <c r="Q261" s="217">
        <f t="shared" si="733"/>
        <v>15</v>
      </c>
      <c r="R261" s="217"/>
      <c r="S261" s="172">
        <f t="shared" si="734"/>
        <v>386.09166089005276</v>
      </c>
      <c r="T261" s="172">
        <f t="shared" si="735"/>
        <v>15</v>
      </c>
      <c r="U261" s="217">
        <f t="shared" si="736"/>
        <v>10.652671647494241</v>
      </c>
      <c r="V261" s="217">
        <f t="shared" si="737"/>
        <v>1.508653019495872</v>
      </c>
      <c r="W261" s="217">
        <f t="shared" si="738"/>
        <v>8.2151887558025916</v>
      </c>
      <c r="X261" s="197">
        <f t="shared" si="739"/>
        <v>109.55208747385512</v>
      </c>
      <c r="Y261" s="443">
        <f t="shared" si="680"/>
        <v>100.76742683353842</v>
      </c>
      <c r="AA261" s="217">
        <f t="shared" si="740"/>
        <v>10</v>
      </c>
      <c r="AB261" s="173">
        <f t="shared" si="741"/>
        <v>7.7118576706858315</v>
      </c>
      <c r="AC261" s="173">
        <f t="shared" si="742"/>
        <v>4.2242505306244746</v>
      </c>
      <c r="AD261" s="173"/>
      <c r="AE261" s="173">
        <f t="shared" si="743"/>
        <v>7.7118576706858315</v>
      </c>
      <c r="AF261" s="545">
        <f t="shared" si="744"/>
        <v>116.70339864039025</v>
      </c>
      <c r="AG261" s="528">
        <f t="shared" si="745"/>
        <v>4.2242505306244738</v>
      </c>
      <c r="AI261" s="173">
        <f t="shared" si="746"/>
        <v>5.7744115010075836</v>
      </c>
      <c r="AJ261" s="173">
        <f t="shared" si="747"/>
        <v>10.652671647494241</v>
      </c>
      <c r="AK261" s="173">
        <f t="shared" si="748"/>
        <v>1.6834604796253638</v>
      </c>
      <c r="AM261" s="545">
        <f t="shared" si="749"/>
        <v>4500</v>
      </c>
      <c r="AN261" s="460">
        <f t="shared" si="750"/>
        <v>100.76742683353842</v>
      </c>
      <c r="AP261">
        <f t="shared" si="751"/>
        <v>4500</v>
      </c>
      <c r="AQ261">
        <f t="shared" si="752"/>
        <v>100.76742683353842</v>
      </c>
      <c r="AS261" s="5">
        <f t="shared" si="600"/>
        <v>9.9238417752984631</v>
      </c>
      <c r="AT261" s="5">
        <f t="shared" si="753"/>
        <v>1.508653019495872</v>
      </c>
      <c r="AU261" s="5">
        <f t="shared" si="722"/>
        <v>8.4151887558025908</v>
      </c>
      <c r="AV261" s="5"/>
      <c r="AW261" s="173">
        <f t="shared" si="723"/>
        <v>0.15202308275924711</v>
      </c>
      <c r="AX261" s="173">
        <f t="shared" si="631"/>
        <v>68.610170818194902</v>
      </c>
      <c r="AY261" s="173">
        <f t="shared" si="632"/>
        <v>4.5166098320100696</v>
      </c>
      <c r="AZ261" s="173">
        <f t="shared" si="633"/>
        <v>15.190634872187015</v>
      </c>
      <c r="BA261" s="460">
        <f t="shared" si="724"/>
        <v>45.259590584876165</v>
      </c>
      <c r="BB261" s="5">
        <f t="shared" si="725"/>
        <v>2.3116347596510085</v>
      </c>
      <c r="BD261" s="173">
        <f t="shared" si="681"/>
        <v>2.3980193374833938</v>
      </c>
      <c r="BE261" s="173">
        <f t="shared" si="682"/>
        <v>5.6635655141878827</v>
      </c>
      <c r="BG261" s="528">
        <f t="shared" si="683"/>
        <v>0.11500993485888589</v>
      </c>
      <c r="BH261" s="528">
        <f t="shared" si="754"/>
        <v>2.0186021850907867</v>
      </c>
      <c r="BI261" s="528">
        <f t="shared" si="755"/>
        <v>0.21345709655211853</v>
      </c>
      <c r="BJ261" s="528">
        <f t="shared" si="684"/>
        <v>0.10135885216079485</v>
      </c>
      <c r="BK261">
        <f t="shared" si="685"/>
        <v>3.8129660135960967E-2</v>
      </c>
      <c r="BL261" s="460">
        <f t="shared" si="686"/>
        <v>251.5867566880795</v>
      </c>
      <c r="BM261" s="528">
        <f t="shared" si="756"/>
        <v>2.3296854798486781</v>
      </c>
      <c r="BN261" s="460">
        <f t="shared" si="687"/>
        <v>2329.6854798486779</v>
      </c>
      <c r="BO261" s="528">
        <f t="shared" si="637"/>
        <v>3.15</v>
      </c>
      <c r="BR261" s="460">
        <f t="shared" si="688"/>
        <v>3150</v>
      </c>
      <c r="BS261" s="528">
        <f t="shared" si="689"/>
        <v>0.17251490228832883</v>
      </c>
      <c r="BT261" s="528">
        <f t="shared" si="690"/>
        <v>0.96227923000494775</v>
      </c>
      <c r="BU261" s="528">
        <f t="shared" si="691"/>
        <v>1.8876295958247087</v>
      </c>
      <c r="BV261" s="528"/>
      <c r="BW261" s="528">
        <f t="shared" si="692"/>
        <v>1.1435028469699149E-2</v>
      </c>
      <c r="BX261" s="460">
        <f t="shared" si="693"/>
        <v>3033.8587565876846</v>
      </c>
      <c r="BY261" s="173">
        <f t="shared" si="694"/>
        <v>8.670416485386232</v>
      </c>
      <c r="BZ261" s="5">
        <f t="shared" si="695"/>
        <v>67.5</v>
      </c>
      <c r="CA261" s="173">
        <f t="shared" si="696"/>
        <v>0.88617081426816535</v>
      </c>
      <c r="CB261" s="5">
        <f t="shared" si="697"/>
        <v>88.61708142681654</v>
      </c>
      <c r="CE261" s="562">
        <f t="shared" si="757"/>
        <v>-50</v>
      </c>
      <c r="CF261">
        <f t="shared" si="758"/>
        <v>-50</v>
      </c>
      <c r="CG261" s="173">
        <f t="shared" si="759"/>
        <v>0.84136707988272186</v>
      </c>
      <c r="CI261" s="170">
        <v>45</v>
      </c>
      <c r="CJ261" s="217">
        <f t="shared" si="698"/>
        <v>4.5</v>
      </c>
      <c r="CK261" s="217"/>
      <c r="CL261" s="217">
        <f t="shared" si="641"/>
        <v>67.5</v>
      </c>
      <c r="CM261" s="541">
        <f t="shared" si="642"/>
        <v>85</v>
      </c>
      <c r="CN261" s="443">
        <f t="shared" si="643"/>
        <v>15.4</v>
      </c>
      <c r="CO261" s="443">
        <f t="shared" si="644"/>
        <v>100.4</v>
      </c>
      <c r="CP261" s="443"/>
      <c r="CQ261" s="217">
        <f t="shared" si="645"/>
        <v>0.15338645418326693</v>
      </c>
      <c r="CR261" s="172">
        <f t="shared" si="646"/>
        <v>327.33148655378488</v>
      </c>
      <c r="CS261" s="172">
        <f t="shared" si="647"/>
        <v>67.5</v>
      </c>
      <c r="CT261" s="217">
        <f t="shared" si="648"/>
        <v>21.822099103585661</v>
      </c>
      <c r="CU261" s="217">
        <f t="shared" si="649"/>
        <v>15</v>
      </c>
      <c r="CV261" s="217"/>
      <c r="CW261" s="172">
        <f t="shared" si="650"/>
        <v>387.3099166518453</v>
      </c>
      <c r="CX261" s="172">
        <f t="shared" si="651"/>
        <v>15</v>
      </c>
      <c r="CY261" s="217">
        <f t="shared" si="652"/>
        <v>10.354469060351413</v>
      </c>
      <c r="CZ261" s="217">
        <f t="shared" si="653"/>
        <v>1.4618073967554934</v>
      </c>
      <c r="DA261" s="217">
        <f t="shared" si="654"/>
        <v>8.0684174496244765</v>
      </c>
      <c r="DB261" s="197">
        <f t="shared" si="655"/>
        <v>108.64873837981409</v>
      </c>
      <c r="DC261" s="443">
        <f t="shared" si="656"/>
        <v>104.92931868022477</v>
      </c>
      <c r="DE261" s="217">
        <f t="shared" si="657"/>
        <v>10</v>
      </c>
      <c r="DF261" s="173">
        <f t="shared" si="658"/>
        <v>7.7922077922077913</v>
      </c>
      <c r="DG261" s="173">
        <f t="shared" si="659"/>
        <v>4.2330677290836656</v>
      </c>
      <c r="DH261" s="173"/>
      <c r="DI261" s="173">
        <f t="shared" si="660"/>
        <v>7.7922077922077913</v>
      </c>
      <c r="DJ261" s="545">
        <f t="shared" si="661"/>
        <v>115.5</v>
      </c>
      <c r="DK261" s="528">
        <f t="shared" si="662"/>
        <v>4.2330677290836656</v>
      </c>
      <c r="DM261" s="173">
        <f t="shared" si="663"/>
        <v>5.7445626465380286</v>
      </c>
      <c r="DN261" s="173">
        <f t="shared" si="664"/>
        <v>10.354469060351413</v>
      </c>
      <c r="DO261" s="173">
        <f t="shared" si="665"/>
        <v>1.4625696743343797</v>
      </c>
      <c r="DQ261" s="545">
        <f t="shared" si="666"/>
        <v>4500</v>
      </c>
      <c r="DR261" s="460">
        <f t="shared" si="667"/>
        <v>104.92931868022477</v>
      </c>
      <c r="DT261">
        <f t="shared" si="668"/>
        <v>4500</v>
      </c>
      <c r="DU261">
        <f t="shared" si="669"/>
        <v>104.92931868022477</v>
      </c>
      <c r="DW261" s="5">
        <f t="shared" si="670"/>
        <v>9.5302248463799693</v>
      </c>
      <c r="DX261" s="5">
        <f t="shared" si="671"/>
        <v>1.4618073967554934</v>
      </c>
      <c r="DY261" s="5">
        <f t="shared" si="672"/>
        <v>8.0684174496244765</v>
      </c>
      <c r="DZ261" s="5"/>
      <c r="EA261" s="173">
        <f t="shared" si="673"/>
        <v>0.15338645418326693</v>
      </c>
      <c r="EB261" s="173">
        <f t="shared" si="699"/>
        <v>67.5</v>
      </c>
      <c r="EC261" s="173">
        <f t="shared" si="700"/>
        <v>4.383116883116883</v>
      </c>
      <c r="ED261" s="173">
        <f t="shared" si="701"/>
        <v>15.4</v>
      </c>
      <c r="EE261" s="460">
        <f t="shared" si="674"/>
        <v>43.854221902664804</v>
      </c>
      <c r="EF261" s="5">
        <f t="shared" si="675"/>
        <v>2.2094043726152215</v>
      </c>
      <c r="EH261" s="173">
        <f t="shared" si="702"/>
        <v>2.3413196573370967</v>
      </c>
      <c r="EI261" s="173">
        <f t="shared" si="703"/>
        <v>5.5005968254446529</v>
      </c>
      <c r="EK261" s="528">
        <f t="shared" si="704"/>
        <v>0.10963555475666199</v>
      </c>
      <c r="EL261" s="528">
        <f t="shared" si="705"/>
        <v>2.1816666666666671</v>
      </c>
      <c r="EM261" s="528">
        <f t="shared" si="706"/>
        <v>1.3116164835028095E-2</v>
      </c>
      <c r="EN261" s="528">
        <f t="shared" si="707"/>
        <v>0.10577043209876545</v>
      </c>
      <c r="EO261">
        <f t="shared" si="708"/>
        <v>3.8249999999999999E-2</v>
      </c>
      <c r="EP261" s="460">
        <f t="shared" si="709"/>
        <v>51.366164835028094</v>
      </c>
      <c r="EQ261" s="460"/>
      <c r="ER261" s="460">
        <f t="shared" si="710"/>
        <v>2448.4388183571223</v>
      </c>
      <c r="ES261" s="528">
        <f t="shared" si="711"/>
        <v>3.15</v>
      </c>
      <c r="EV261" s="460">
        <f t="shared" si="712"/>
        <v>3150</v>
      </c>
      <c r="EW261" s="528">
        <f t="shared" si="713"/>
        <v>0.164453332134993</v>
      </c>
      <c r="EX261" s="528">
        <f t="shared" si="714"/>
        <v>0.90769696308275383</v>
      </c>
      <c r="EY261" s="528">
        <f t="shared" si="715"/>
        <v>1.9455021880180834</v>
      </c>
      <c r="EZ261" s="528"/>
      <c r="FA261" s="528">
        <f t="shared" si="716"/>
        <v>1.1250000000000001E-2</v>
      </c>
      <c r="FB261" s="460">
        <f t="shared" si="717"/>
        <v>3028.90248323583</v>
      </c>
      <c r="FC261" s="173">
        <f t="shared" si="718"/>
        <v>8.6273413015929528</v>
      </c>
      <c r="FD261" s="5">
        <f t="shared" si="719"/>
        <v>67.5</v>
      </c>
      <c r="FE261" s="173">
        <f t="shared" si="720"/>
        <v>0.88667223688511476</v>
      </c>
      <c r="FF261" s="5">
        <f t="shared" si="721"/>
        <v>88.66722368851147</v>
      </c>
      <c r="FI261" s="562">
        <f t="shared" si="676"/>
        <v>-50</v>
      </c>
      <c r="FJ261">
        <f t="shared" si="677"/>
        <v>-50</v>
      </c>
      <c r="FL261">
        <f t="shared" si="760"/>
        <v>0.84661354581673309</v>
      </c>
    </row>
    <row r="262" spans="5:168">
      <c r="E262" s="170">
        <v>46</v>
      </c>
      <c r="F262" s="217">
        <f t="shared" si="761"/>
        <v>4.6000000000000005</v>
      </c>
      <c r="G262" s="217"/>
      <c r="H262" s="217">
        <f t="shared" si="726"/>
        <v>69.000000000000014</v>
      </c>
      <c r="I262" s="541">
        <f t="shared" si="727"/>
        <v>84.726672422177671</v>
      </c>
      <c r="J262" s="172">
        <f t="shared" si="728"/>
        <v>15.563996546693394</v>
      </c>
      <c r="K262" s="172">
        <f t="shared" si="729"/>
        <v>100.29066896887106</v>
      </c>
      <c r="L262" s="443"/>
      <c r="M262" s="217">
        <f t="shared" si="730"/>
        <v>0.15518050475124531</v>
      </c>
      <c r="N262" s="172">
        <f t="shared" si="731"/>
        <v>330.09516213711271</v>
      </c>
      <c r="O262" s="172">
        <f t="shared" ref="O262:O316" si="762">T262*F262</f>
        <v>69.000000000000014</v>
      </c>
      <c r="P262" s="217">
        <f t="shared" si="732"/>
        <v>22.00634414247418</v>
      </c>
      <c r="Q262" s="217">
        <f t="shared" si="733"/>
        <v>15</v>
      </c>
      <c r="R262" s="217"/>
      <c r="S262" s="172">
        <f t="shared" si="734"/>
        <v>375.83445194060317</v>
      </c>
      <c r="T262" s="172">
        <f t="shared" si="735"/>
        <v>15</v>
      </c>
      <c r="U262" s="217">
        <f t="shared" si="736"/>
        <v>10.889900211513332</v>
      </c>
      <c r="V262" s="217">
        <f t="shared" si="737"/>
        <v>1.5423573097148342</v>
      </c>
      <c r="W262" s="217">
        <f t="shared" si="738"/>
        <v>8.3962240769015715</v>
      </c>
      <c r="X262" s="197">
        <f t="shared" si="739"/>
        <v>109.57197801064446</v>
      </c>
      <c r="Y262" s="443">
        <f t="shared" si="680"/>
        <v>98.633128429591324</v>
      </c>
      <c r="AA262" s="217">
        <f t="shared" si="740"/>
        <v>10</v>
      </c>
      <c r="AB262" s="173">
        <f t="shared" si="741"/>
        <v>7.7101019420037247</v>
      </c>
      <c r="AC262" s="173">
        <f t="shared" si="742"/>
        <v>4.2240556022452962</v>
      </c>
      <c r="AD262" s="173"/>
      <c r="AE262" s="173">
        <f t="shared" si="743"/>
        <v>7.7101019420037247</v>
      </c>
      <c r="AF262" s="545">
        <f t="shared" si="744"/>
        <v>119.32397352464935</v>
      </c>
      <c r="AG262" s="528">
        <f t="shared" si="745"/>
        <v>4.2240556022452962</v>
      </c>
      <c r="AI262" s="173">
        <f t="shared" si="746"/>
        <v>5.8388837858091955</v>
      </c>
      <c r="AJ262" s="173">
        <f t="shared" si="747"/>
        <v>10.889900211513332</v>
      </c>
      <c r="AK262" s="173">
        <f t="shared" si="748"/>
        <v>1.8591853418617275</v>
      </c>
      <c r="AM262" s="545">
        <f t="shared" si="749"/>
        <v>4600.0000000000009</v>
      </c>
      <c r="AN262" s="460">
        <f t="shared" si="750"/>
        <v>98.633128429591324</v>
      </c>
      <c r="AP262">
        <f t="shared" si="751"/>
        <v>4600.0000000000009</v>
      </c>
      <c r="AQ262">
        <f t="shared" si="752"/>
        <v>98.633128429591324</v>
      </c>
      <c r="AS262" s="5">
        <f t="shared" si="600"/>
        <v>10.138581386616407</v>
      </c>
      <c r="AT262" s="5">
        <f t="shared" si="753"/>
        <v>1.5423573097148342</v>
      </c>
      <c r="AU262" s="5">
        <f t="shared" si="722"/>
        <v>8.5962240769015725</v>
      </c>
      <c r="AV262" s="5"/>
      <c r="AW262" s="173">
        <f t="shared" si="723"/>
        <v>0.15212752661342219</v>
      </c>
      <c r="AX262" s="173">
        <f t="shared" si="631"/>
        <v>70.181372774655415</v>
      </c>
      <c r="AY262" s="173">
        <f t="shared" si="632"/>
        <v>4.6166233136344124</v>
      </c>
      <c r="AZ262" s="173">
        <f t="shared" si="633"/>
        <v>15.201884149262657</v>
      </c>
      <c r="BA262" s="460">
        <f t="shared" si="724"/>
        <v>47.298957497921592</v>
      </c>
      <c r="BB262" s="5">
        <f t="shared" si="725"/>
        <v>2.4140078074486229</v>
      </c>
      <c r="BD262" s="173">
        <f t="shared" si="681"/>
        <v>2.4522637308868016</v>
      </c>
      <c r="BE262" s="173">
        <f t="shared" si="682"/>
        <v>5.7893331337109268</v>
      </c>
      <c r="BG262" s="528">
        <f t="shared" si="683"/>
        <v>0.12027194811645713</v>
      </c>
      <c r="BH262" s="528">
        <f t="shared" si="754"/>
        <v>2.0198006547394773</v>
      </c>
      <c r="BI262" s="528">
        <f t="shared" si="755"/>
        <v>0.20892141906071407</v>
      </c>
      <c r="BJ262" s="528">
        <f t="shared" si="684"/>
        <v>9.9207353560343145E-2</v>
      </c>
      <c r="BK262">
        <f t="shared" si="685"/>
        <v>3.8127002589979954E-2</v>
      </c>
      <c r="BL262" s="460">
        <f t="shared" si="686"/>
        <v>247.04842165069402</v>
      </c>
      <c r="BM262" s="528">
        <f t="shared" si="756"/>
        <v>2.3385821436751617</v>
      </c>
      <c r="BN262" s="460">
        <f t="shared" si="687"/>
        <v>2338.5821436751617</v>
      </c>
      <c r="BO262" s="528">
        <f t="shared" si="637"/>
        <v>3.22</v>
      </c>
      <c r="BR262" s="460">
        <f t="shared" si="688"/>
        <v>3220</v>
      </c>
      <c r="BS262" s="528">
        <f t="shared" si="689"/>
        <v>0.18040792217468568</v>
      </c>
      <c r="BT262" s="528">
        <f t="shared" si="690"/>
        <v>1.0054913439924953</v>
      </c>
      <c r="BU262" s="528">
        <f t="shared" si="691"/>
        <v>1.8905439383264548</v>
      </c>
      <c r="BV262" s="528"/>
      <c r="BW262" s="528">
        <f t="shared" si="692"/>
        <v>1.1696895462442571E-2</v>
      </c>
      <c r="BX262" s="460">
        <f t="shared" si="693"/>
        <v>3088.1400999560783</v>
      </c>
      <c r="BY262" s="173">
        <f t="shared" si="694"/>
        <v>8.7944684780230507</v>
      </c>
      <c r="BZ262" s="5">
        <f t="shared" si="695"/>
        <v>69.000000000000014</v>
      </c>
      <c r="CA262" s="173">
        <f t="shared" si="696"/>
        <v>0.88695252181705586</v>
      </c>
      <c r="CB262" s="5">
        <f t="shared" si="697"/>
        <v>88.695252181705584</v>
      </c>
      <c r="CE262" s="562">
        <f t="shared" si="757"/>
        <v>-50</v>
      </c>
      <c r="CF262">
        <f t="shared" si="758"/>
        <v>-50</v>
      </c>
      <c r="CG262" s="173">
        <f t="shared" si="759"/>
        <v>0.84148113348998299</v>
      </c>
      <c r="CI262" s="170">
        <v>46</v>
      </c>
      <c r="CJ262" s="217">
        <f t="shared" si="698"/>
        <v>4.6000000000000005</v>
      </c>
      <c r="CK262" s="217"/>
      <c r="CL262" s="217">
        <f t="shared" si="641"/>
        <v>69.000000000000014</v>
      </c>
      <c r="CM262" s="541">
        <f t="shared" si="642"/>
        <v>85</v>
      </c>
      <c r="CN262" s="443">
        <f t="shared" si="643"/>
        <v>15.4</v>
      </c>
      <c r="CO262" s="443">
        <f t="shared" si="644"/>
        <v>100.4</v>
      </c>
      <c r="CP262" s="443"/>
      <c r="CQ262" s="217">
        <f t="shared" si="645"/>
        <v>0.15338645418326693</v>
      </c>
      <c r="CR262" s="172">
        <f t="shared" si="646"/>
        <v>327.33148655378488</v>
      </c>
      <c r="CS262" s="172">
        <f t="shared" si="647"/>
        <v>69.000000000000014</v>
      </c>
      <c r="CT262" s="217">
        <f t="shared" si="648"/>
        <v>21.822099103585661</v>
      </c>
      <c r="CU262" s="217">
        <f t="shared" si="649"/>
        <v>15</v>
      </c>
      <c r="CV262" s="217"/>
      <c r="CW262" s="172">
        <f t="shared" si="650"/>
        <v>377.0466007064237</v>
      </c>
      <c r="CX262" s="172">
        <f t="shared" si="651"/>
        <v>15</v>
      </c>
      <c r="CY262" s="217">
        <f t="shared" si="652"/>
        <v>10.584568372803668</v>
      </c>
      <c r="CZ262" s="217">
        <f t="shared" si="653"/>
        <v>1.4942920055722828</v>
      </c>
      <c r="DA262" s="217">
        <f t="shared" si="654"/>
        <v>8.2477156151716891</v>
      </c>
      <c r="DB262" s="197">
        <f t="shared" si="655"/>
        <v>108.64873837981409</v>
      </c>
      <c r="DC262" s="443">
        <f t="shared" si="656"/>
        <v>102.64824653500246</v>
      </c>
      <c r="DE262" s="217">
        <f t="shared" si="657"/>
        <v>10</v>
      </c>
      <c r="DF262" s="173">
        <f t="shared" si="658"/>
        <v>7.7922077922077913</v>
      </c>
      <c r="DG262" s="173">
        <f t="shared" si="659"/>
        <v>4.2330677290836656</v>
      </c>
      <c r="DH262" s="173"/>
      <c r="DI262" s="173">
        <f t="shared" si="660"/>
        <v>7.7922077922077913</v>
      </c>
      <c r="DJ262" s="545">
        <f t="shared" si="661"/>
        <v>118.06666666666669</v>
      </c>
      <c r="DK262" s="528">
        <f t="shared" si="662"/>
        <v>4.2330677290836656</v>
      </c>
      <c r="DM262" s="173">
        <f t="shared" si="663"/>
        <v>5.8080404038998683</v>
      </c>
      <c r="DN262" s="173">
        <f t="shared" si="664"/>
        <v>10.584568372803668</v>
      </c>
      <c r="DO262" s="173">
        <f t="shared" si="665"/>
        <v>1.6330136094841985</v>
      </c>
      <c r="DQ262" s="545">
        <f t="shared" si="666"/>
        <v>4600.0000000000009</v>
      </c>
      <c r="DR262" s="460">
        <f t="shared" si="667"/>
        <v>102.64824653500246</v>
      </c>
      <c r="DT262">
        <f t="shared" si="668"/>
        <v>4600.0000000000009</v>
      </c>
      <c r="DU262">
        <f t="shared" si="669"/>
        <v>102.64824653500246</v>
      </c>
      <c r="DW262" s="5">
        <f t="shared" si="670"/>
        <v>9.7420076207439728</v>
      </c>
      <c r="DX262" s="5">
        <f t="shared" si="671"/>
        <v>1.4942920055722828</v>
      </c>
      <c r="DY262" s="5">
        <f t="shared" si="672"/>
        <v>8.2477156151716891</v>
      </c>
      <c r="DZ262" s="5"/>
      <c r="EA262" s="173">
        <f t="shared" si="673"/>
        <v>0.15338645418326693</v>
      </c>
      <c r="EB262" s="173">
        <f t="shared" si="699"/>
        <v>69</v>
      </c>
      <c r="EC262" s="173">
        <f t="shared" si="700"/>
        <v>4.4805194805194812</v>
      </c>
      <c r="ED262" s="173">
        <f t="shared" si="701"/>
        <v>15.399999999999997</v>
      </c>
      <c r="EE262" s="460">
        <f t="shared" si="674"/>
        <v>45.82495483755001</v>
      </c>
      <c r="EF262" s="5">
        <f t="shared" si="675"/>
        <v>2.3086911863969433</v>
      </c>
      <c r="EH262" s="173">
        <f t="shared" si="702"/>
        <v>2.3933489830556995</v>
      </c>
      <c r="EI262" s="173">
        <f t="shared" si="703"/>
        <v>5.6228323104545348</v>
      </c>
      <c r="EK262" s="528">
        <f t="shared" si="704"/>
        <v>0.11456238709387502</v>
      </c>
      <c r="EL262" s="528">
        <f t="shared" si="705"/>
        <v>2.1816666666666666</v>
      </c>
      <c r="EM262" s="528">
        <f t="shared" si="706"/>
        <v>1.2831030816875307E-2</v>
      </c>
      <c r="EN262" s="528">
        <f t="shared" si="707"/>
        <v>0.10347107487922706</v>
      </c>
      <c r="EO262">
        <f t="shared" si="708"/>
        <v>3.8249999999999999E-2</v>
      </c>
      <c r="EP262" s="460">
        <f t="shared" si="709"/>
        <v>51.081030816875305</v>
      </c>
      <c r="EQ262" s="460"/>
      <c r="ER262" s="460">
        <f t="shared" si="710"/>
        <v>2450.7811594566438</v>
      </c>
      <c r="ES262" s="528">
        <f t="shared" si="711"/>
        <v>3.22</v>
      </c>
      <c r="EV262" s="460">
        <f t="shared" si="712"/>
        <v>3220</v>
      </c>
      <c r="EW262" s="528">
        <f t="shared" si="713"/>
        <v>0.17184358064081254</v>
      </c>
      <c r="EX262" s="528">
        <f t="shared" si="714"/>
        <v>0.94848729574474444</v>
      </c>
      <c r="EY262" s="528">
        <f t="shared" si="715"/>
        <v>1.9455021880180834</v>
      </c>
      <c r="EZ262" s="528"/>
      <c r="FA262" s="528">
        <f t="shared" si="716"/>
        <v>1.15E-2</v>
      </c>
      <c r="FB262" s="460">
        <f t="shared" si="717"/>
        <v>3077.33306440364</v>
      </c>
      <c r="FC262" s="173">
        <f t="shared" si="718"/>
        <v>8.7481142238602843</v>
      </c>
      <c r="FD262" s="5">
        <f t="shared" si="719"/>
        <v>69.000000000000014</v>
      </c>
      <c r="FE262" s="173">
        <f t="shared" si="720"/>
        <v>0.88748133236168503</v>
      </c>
      <c r="FF262" s="5">
        <f t="shared" si="721"/>
        <v>88.748133236168499</v>
      </c>
      <c r="FI262" s="562">
        <f t="shared" si="676"/>
        <v>-50</v>
      </c>
      <c r="FJ262">
        <f t="shared" si="677"/>
        <v>-50</v>
      </c>
      <c r="FL262">
        <f t="shared" si="760"/>
        <v>0.84661354581673309</v>
      </c>
    </row>
    <row r="263" spans="5:168">
      <c r="E263" s="170">
        <v>47</v>
      </c>
      <c r="F263" s="217">
        <f t="shared" si="761"/>
        <v>4.6999999999999993</v>
      </c>
      <c r="G263" s="217"/>
      <c r="H263" s="217">
        <f t="shared" si="726"/>
        <v>70.499999999999986</v>
      </c>
      <c r="I263" s="541">
        <f t="shared" si="727"/>
        <v>84.72076675482684</v>
      </c>
      <c r="J263" s="172">
        <f t="shared" si="728"/>
        <v>15.567539947103892</v>
      </c>
      <c r="K263" s="172">
        <f t="shared" si="729"/>
        <v>100.28830670193074</v>
      </c>
      <c r="L263" s="443"/>
      <c r="M263" s="217">
        <f t="shared" si="730"/>
        <v>0.15521949360304144</v>
      </c>
      <c r="N263" s="172">
        <f t="shared" si="731"/>
        <v>330.15508375068322</v>
      </c>
      <c r="O263" s="172">
        <f t="shared" si="762"/>
        <v>70.499999999999986</v>
      </c>
      <c r="P263" s="217">
        <f t="shared" si="732"/>
        <v>22.010338916712215</v>
      </c>
      <c r="Q263" s="217">
        <f t="shared" si="733"/>
        <v>15</v>
      </c>
      <c r="R263" s="217"/>
      <c r="S263" s="172">
        <f t="shared" si="734"/>
        <v>366.01409596258281</v>
      </c>
      <c r="T263" s="172">
        <f t="shared" si="735"/>
        <v>15</v>
      </c>
      <c r="U263" s="217">
        <f t="shared" si="736"/>
        <v>11.127150696328899</v>
      </c>
      <c r="V263" s="217">
        <f t="shared" si="737"/>
        <v>1.5760694038848435</v>
      </c>
      <c r="W263" s="217">
        <f t="shared" si="738"/>
        <v>8.5771938796782905</v>
      </c>
      <c r="X263" s="197">
        <f t="shared" si="739"/>
        <v>109.59186603919123</v>
      </c>
      <c r="Y263" s="443">
        <f t="shared" si="680"/>
        <v>96.587903988455736</v>
      </c>
      <c r="AA263" s="217">
        <f t="shared" si="740"/>
        <v>10</v>
      </c>
      <c r="AB263" s="173">
        <f t="shared" si="741"/>
        <v>7.7083470097228952</v>
      </c>
      <c r="AC263" s="173">
        <f t="shared" si="742"/>
        <v>4.2238606643657599</v>
      </c>
      <c r="AD263" s="173"/>
      <c r="AE263" s="173">
        <f t="shared" si="743"/>
        <v>7.7083470097228952</v>
      </c>
      <c r="AF263" s="545">
        <f t="shared" si="744"/>
        <v>121.94572958564714</v>
      </c>
      <c r="AG263" s="528">
        <f t="shared" si="745"/>
        <v>4.223860664365759</v>
      </c>
      <c r="AI263" s="173">
        <f t="shared" si="746"/>
        <v>5.9026804948659217</v>
      </c>
      <c r="AJ263" s="173">
        <f t="shared" si="747"/>
        <v>11.127150696328899</v>
      </c>
      <c r="AK263" s="173">
        <f t="shared" si="748"/>
        <v>2.0349264417251103</v>
      </c>
      <c r="AM263" s="545">
        <f t="shared" si="749"/>
        <v>4699.9999999999991</v>
      </c>
      <c r="AN263" s="460">
        <f t="shared" si="750"/>
        <v>96.587903988455736</v>
      </c>
      <c r="AP263">
        <f t="shared" si="751"/>
        <v>4699.9999999999991</v>
      </c>
      <c r="AQ263">
        <f t="shared" si="752"/>
        <v>96.587903988455736</v>
      </c>
      <c r="AS263" s="5">
        <f t="shared" ref="AS263:AS316" si="763">1/AN263*1000</f>
        <v>10.353263283563134</v>
      </c>
      <c r="AT263" s="5">
        <f t="shared" si="753"/>
        <v>1.5760694038848435</v>
      </c>
      <c r="AU263" s="5">
        <f t="shared" si="722"/>
        <v>8.7771938796782898</v>
      </c>
      <c r="AV263" s="5"/>
      <c r="AW263" s="173">
        <f t="shared" si="723"/>
        <v>0.15222924026157195</v>
      </c>
      <c r="AX263" s="173">
        <f t="shared" si="631"/>
        <v>71.75330862997329</v>
      </c>
      <c r="AY263" s="173">
        <f t="shared" si="632"/>
        <v>4.7166364997753645</v>
      </c>
      <c r="AZ263" s="173">
        <f t="shared" si="633"/>
        <v>15.212812908815557</v>
      </c>
      <c r="BA263" s="460">
        <f t="shared" si="724"/>
        <v>49.383507988391749</v>
      </c>
      <c r="BB263" s="5">
        <f t="shared" si="725"/>
        <v>2.5185868590052807</v>
      </c>
      <c r="BD263" s="173">
        <f t="shared" si="681"/>
        <v>2.5065269726058004</v>
      </c>
      <c r="BE263" s="173">
        <f t="shared" si="682"/>
        <v>5.9151063733915352</v>
      </c>
      <c r="BG263" s="528">
        <f t="shared" si="683"/>
        <v>0.12565354928800798</v>
      </c>
      <c r="BH263" s="528">
        <f t="shared" si="754"/>
        <v>2.0209626264473481</v>
      </c>
      <c r="BI263" s="528">
        <f t="shared" si="755"/>
        <v>0.20457503212858921</v>
      </c>
      <c r="BJ263" s="528">
        <f t="shared" si="684"/>
        <v>9.7145645635306366E-2</v>
      </c>
      <c r="BK263">
        <f t="shared" si="685"/>
        <v>3.8124345039672075E-2</v>
      </c>
      <c r="BL263" s="460">
        <f t="shared" si="686"/>
        <v>242.69937716826129</v>
      </c>
      <c r="BM263" s="528">
        <f t="shared" si="756"/>
        <v>2.3477819757154719</v>
      </c>
      <c r="BN263" s="460">
        <f t="shared" si="687"/>
        <v>2347.7819757154721</v>
      </c>
      <c r="BO263" s="528">
        <f t="shared" si="637"/>
        <v>3.2899999999999991</v>
      </c>
      <c r="BR263" s="460">
        <f t="shared" si="688"/>
        <v>3289.9999999999991</v>
      </c>
      <c r="BS263" s="528">
        <f t="shared" si="689"/>
        <v>0.18848032393201195</v>
      </c>
      <c r="BT263" s="528">
        <f t="shared" si="690"/>
        <v>1.0496545022561146</v>
      </c>
      <c r="BU263" s="528">
        <f t="shared" si="691"/>
        <v>1.8933756309696905</v>
      </c>
      <c r="BV263" s="528"/>
      <c r="BW263" s="528">
        <f t="shared" si="692"/>
        <v>1.1958884771662215E-2</v>
      </c>
      <c r="BX263" s="460">
        <f t="shared" si="693"/>
        <v>3143.469341929479</v>
      </c>
      <c r="BY263" s="173">
        <f t="shared" si="694"/>
        <v>8.9199305404684033</v>
      </c>
      <c r="BZ263" s="5">
        <f t="shared" si="695"/>
        <v>70.499999999999986</v>
      </c>
      <c r="CA263" s="173">
        <f t="shared" si="696"/>
        <v>0.8876864978379293</v>
      </c>
      <c r="CB263" s="5">
        <f t="shared" si="697"/>
        <v>88.768649783792924</v>
      </c>
      <c r="CE263" s="562">
        <f t="shared" si="757"/>
        <v>-50</v>
      </c>
      <c r="CF263">
        <f t="shared" si="758"/>
        <v>-50</v>
      </c>
      <c r="CG263" s="173">
        <f t="shared" si="759"/>
        <v>0.84159033375225423</v>
      </c>
      <c r="CI263" s="170">
        <v>47</v>
      </c>
      <c r="CJ263" s="217">
        <f t="shared" si="698"/>
        <v>4.6999999999999993</v>
      </c>
      <c r="CK263" s="217"/>
      <c r="CL263" s="217">
        <f t="shared" si="641"/>
        <v>70.499999999999986</v>
      </c>
      <c r="CM263" s="541">
        <f t="shared" si="642"/>
        <v>85</v>
      </c>
      <c r="CN263" s="443">
        <f t="shared" si="643"/>
        <v>15.4</v>
      </c>
      <c r="CO263" s="443">
        <f t="shared" si="644"/>
        <v>100.4</v>
      </c>
      <c r="CP263" s="443"/>
      <c r="CQ263" s="217">
        <f t="shared" si="645"/>
        <v>0.15338645418326693</v>
      </c>
      <c r="CR263" s="172">
        <f t="shared" si="646"/>
        <v>327.33148655378488</v>
      </c>
      <c r="CS263" s="172">
        <f t="shared" si="647"/>
        <v>70.499999999999986</v>
      </c>
      <c r="CT263" s="217">
        <f t="shared" si="648"/>
        <v>21.822099103585661</v>
      </c>
      <c r="CU263" s="217">
        <f t="shared" si="649"/>
        <v>15</v>
      </c>
      <c r="CV263" s="217"/>
      <c r="CW263" s="172">
        <f t="shared" si="650"/>
        <v>367.22014634467934</v>
      </c>
      <c r="CX263" s="172">
        <f t="shared" si="651"/>
        <v>15</v>
      </c>
      <c r="CY263" s="217">
        <f t="shared" si="652"/>
        <v>10.814667685255918</v>
      </c>
      <c r="CZ263" s="217">
        <f t="shared" si="653"/>
        <v>1.5267766143890706</v>
      </c>
      <c r="DA263" s="217">
        <f t="shared" si="654"/>
        <v>8.4270137807188963</v>
      </c>
      <c r="DB263" s="197">
        <f t="shared" si="655"/>
        <v>108.64873837981409</v>
      </c>
      <c r="DC263" s="443">
        <f t="shared" si="656"/>
        <v>100.46424128957692</v>
      </c>
      <c r="DE263" s="217">
        <f t="shared" si="657"/>
        <v>10</v>
      </c>
      <c r="DF263" s="173">
        <f t="shared" si="658"/>
        <v>7.7922077922077913</v>
      </c>
      <c r="DG263" s="173">
        <f t="shared" si="659"/>
        <v>4.2330677290836656</v>
      </c>
      <c r="DH263" s="173"/>
      <c r="DI263" s="173">
        <f t="shared" si="660"/>
        <v>7.7922077922077913</v>
      </c>
      <c r="DJ263" s="545">
        <f t="shared" si="661"/>
        <v>120.63333333333331</v>
      </c>
      <c r="DK263" s="528">
        <f t="shared" si="662"/>
        <v>4.2330677290836656</v>
      </c>
      <c r="DM263" s="173">
        <f t="shared" si="663"/>
        <v>5.8708318547431304</v>
      </c>
      <c r="DN263" s="173">
        <f t="shared" si="664"/>
        <v>10.814667685255918</v>
      </c>
      <c r="DO263" s="173">
        <f t="shared" si="665"/>
        <v>1.8034575446340131</v>
      </c>
      <c r="DQ263" s="545">
        <f t="shared" si="666"/>
        <v>4699.9999999999991</v>
      </c>
      <c r="DR263" s="460">
        <f t="shared" si="667"/>
        <v>100.46424128957692</v>
      </c>
      <c r="DT263">
        <f t="shared" si="668"/>
        <v>4699.9999999999991</v>
      </c>
      <c r="DU263">
        <f t="shared" si="669"/>
        <v>100.46424128957692</v>
      </c>
      <c r="DW263" s="5">
        <f t="shared" si="670"/>
        <v>9.9537903951079674</v>
      </c>
      <c r="DX263" s="5">
        <f t="shared" si="671"/>
        <v>1.5267766143890706</v>
      </c>
      <c r="DY263" s="5">
        <f t="shared" si="672"/>
        <v>8.4270137807188963</v>
      </c>
      <c r="DZ263" s="5"/>
      <c r="EA263" s="173">
        <f t="shared" si="673"/>
        <v>0.15338645418326693</v>
      </c>
      <c r="EB263" s="173">
        <f t="shared" si="699"/>
        <v>70.499999999999986</v>
      </c>
      <c r="EC263" s="173">
        <f t="shared" si="700"/>
        <v>4.5779220779220768</v>
      </c>
      <c r="ED263" s="173">
        <f t="shared" si="701"/>
        <v>15.4</v>
      </c>
      <c r="EE263" s="460">
        <f t="shared" si="674"/>
        <v>47.839000584190877</v>
      </c>
      <c r="EF263" s="5">
        <f t="shared" si="675"/>
        <v>2.4101601279540854</v>
      </c>
      <c r="EH263" s="173">
        <f t="shared" si="702"/>
        <v>2.4453783087743006</v>
      </c>
      <c r="EI263" s="173">
        <f t="shared" si="703"/>
        <v>5.745067795464414</v>
      </c>
      <c r="EK263" s="528">
        <f t="shared" si="704"/>
        <v>0.11959750146047718</v>
      </c>
      <c r="EL263" s="528">
        <f t="shared" si="705"/>
        <v>2.1816666666666671</v>
      </c>
      <c r="EM263" s="528">
        <f t="shared" si="706"/>
        <v>1.2558030161197114E-2</v>
      </c>
      <c r="EN263" s="528">
        <f t="shared" si="707"/>
        <v>0.10126956264775419</v>
      </c>
      <c r="EO263">
        <f t="shared" si="708"/>
        <v>3.8249999999999999E-2</v>
      </c>
      <c r="EP263" s="460">
        <f t="shared" si="709"/>
        <v>50.808030161197117</v>
      </c>
      <c r="EQ263" s="460"/>
      <c r="ER263" s="460">
        <f t="shared" si="710"/>
        <v>2453.3417609360954</v>
      </c>
      <c r="ES263" s="528">
        <f t="shared" si="711"/>
        <v>3.2899999999999991</v>
      </c>
      <c r="EV263" s="460">
        <f t="shared" si="712"/>
        <v>3289.9999999999991</v>
      </c>
      <c r="EW263" s="528">
        <f t="shared" si="713"/>
        <v>0.17939625219071575</v>
      </c>
      <c r="EX263" s="528">
        <f t="shared" si="714"/>
        <v>0.99017411923447018</v>
      </c>
      <c r="EY263" s="528">
        <f t="shared" si="715"/>
        <v>1.9455021880180872</v>
      </c>
      <c r="EZ263" s="528"/>
      <c r="FA263" s="528">
        <f t="shared" si="716"/>
        <v>1.1749999999999998E-2</v>
      </c>
      <c r="FB263" s="460">
        <f t="shared" si="717"/>
        <v>3126.8225594432733</v>
      </c>
      <c r="FC263" s="173">
        <f t="shared" si="718"/>
        <v>8.8701643203793665</v>
      </c>
      <c r="FD263" s="5">
        <f t="shared" si="719"/>
        <v>70.499999999999986</v>
      </c>
      <c r="FE263" s="173">
        <f t="shared" si="720"/>
        <v>0.88824308987726464</v>
      </c>
      <c r="FF263" s="5">
        <f t="shared" si="721"/>
        <v>88.824308987726468</v>
      </c>
      <c r="FI263" s="562">
        <f t="shared" si="676"/>
        <v>-50</v>
      </c>
      <c r="FJ263">
        <f t="shared" si="677"/>
        <v>-50</v>
      </c>
      <c r="FL263">
        <f t="shared" si="760"/>
        <v>0.84661354581673309</v>
      </c>
    </row>
    <row r="264" spans="5:168">
      <c r="E264" s="170">
        <v>48</v>
      </c>
      <c r="F264" s="217">
        <f t="shared" si="761"/>
        <v>4.8</v>
      </c>
      <c r="G264" s="217"/>
      <c r="H264" s="217">
        <f t="shared" si="726"/>
        <v>72</v>
      </c>
      <c r="I264" s="541">
        <f t="shared" si="727"/>
        <v>84.714861078465248</v>
      </c>
      <c r="J264" s="172">
        <f t="shared" si="728"/>
        <v>15.571083352920855</v>
      </c>
      <c r="K264" s="172">
        <f t="shared" si="729"/>
        <v>100.2859444313861</v>
      </c>
      <c r="L264" s="443"/>
      <c r="M264" s="217">
        <f t="shared" si="730"/>
        <v>0.15525848430549496</v>
      </c>
      <c r="N264" s="172">
        <f t="shared" si="731"/>
        <v>330.21499770355382</v>
      </c>
      <c r="O264" s="172">
        <f t="shared" si="762"/>
        <v>72</v>
      </c>
      <c r="P264" s="217">
        <f t="shared" si="732"/>
        <v>22.014333180236921</v>
      </c>
      <c r="Q264" s="217">
        <f t="shared" si="733"/>
        <v>15</v>
      </c>
      <c r="R264" s="217"/>
      <c r="S264" s="172">
        <f t="shared" si="734"/>
        <v>356.60329144194515</v>
      </c>
      <c r="T264" s="172">
        <f t="shared" si="735"/>
        <v>15</v>
      </c>
      <c r="U264" s="217">
        <f t="shared" si="736"/>
        <v>11.364423106525493</v>
      </c>
      <c r="V264" s="217">
        <f t="shared" si="737"/>
        <v>1.6097893042873954</v>
      </c>
      <c r="W264" s="217">
        <f t="shared" si="738"/>
        <v>8.7580982123973286</v>
      </c>
      <c r="X264" s="197">
        <f t="shared" si="739"/>
        <v>109.61175155726831</v>
      </c>
      <c r="Y264" s="443">
        <f t="shared" si="680"/>
        <v>94.626291055916937</v>
      </c>
      <c r="AA264" s="217">
        <f t="shared" si="740"/>
        <v>10</v>
      </c>
      <c r="AB264" s="173">
        <f t="shared" si="741"/>
        <v>7.7065928734810969</v>
      </c>
      <c r="AC264" s="173">
        <f t="shared" si="742"/>
        <v>4.2236657170051224</v>
      </c>
      <c r="AD264" s="173"/>
      <c r="AE264" s="173">
        <f t="shared" si="743"/>
        <v>7.7065928734810969</v>
      </c>
      <c r="AF264" s="545">
        <f t="shared" si="744"/>
        <v>124.56866682336681</v>
      </c>
      <c r="AG264" s="528">
        <f t="shared" si="745"/>
        <v>4.2236657170051224</v>
      </c>
      <c r="AI264" s="173">
        <f t="shared" si="746"/>
        <v>5.9658233014244644</v>
      </c>
      <c r="AJ264" s="173">
        <f t="shared" si="747"/>
        <v>11.364423106525493</v>
      </c>
      <c r="AK264" s="173">
        <f t="shared" si="748"/>
        <v>2.210683782611476</v>
      </c>
      <c r="AM264" s="545">
        <f t="shared" si="749"/>
        <v>4800</v>
      </c>
      <c r="AN264" s="460">
        <f t="shared" si="750"/>
        <v>94.626291055916937</v>
      </c>
      <c r="AP264">
        <f t="shared" si="751"/>
        <v>4800</v>
      </c>
      <c r="AQ264">
        <f t="shared" si="752"/>
        <v>94.626291055916937</v>
      </c>
      <c r="AS264" s="5">
        <f t="shared" si="763"/>
        <v>10.567887516684724</v>
      </c>
      <c r="AT264" s="5">
        <f t="shared" si="753"/>
        <v>1.6097893042873954</v>
      </c>
      <c r="AU264" s="5">
        <f t="shared" si="722"/>
        <v>8.9580982123973278</v>
      </c>
      <c r="AV264" s="5"/>
      <c r="AW264" s="173">
        <f t="shared" si="723"/>
        <v>0.15232839124620112</v>
      </c>
      <c r="AX264" s="173">
        <f t="shared" si="631"/>
        <v>73.325976837031959</v>
      </c>
      <c r="AY264" s="173">
        <f t="shared" si="632"/>
        <v>4.8166494086336549</v>
      </c>
      <c r="AZ264" s="173">
        <f t="shared" si="633"/>
        <v>15.22344073986328</v>
      </c>
      <c r="BA264" s="460">
        <f t="shared" si="724"/>
        <v>51.513257737196653</v>
      </c>
      <c r="BB264" s="5">
        <f t="shared" si="725"/>
        <v>2.6253711897389538</v>
      </c>
      <c r="BD264" s="173">
        <f t="shared" si="681"/>
        <v>2.5608090435845479</v>
      </c>
      <c r="BE264" s="173">
        <f t="shared" si="682"/>
        <v>6.040885246137834</v>
      </c>
      <c r="BG264" s="528">
        <f t="shared" si="683"/>
        <v>0.13115485915408814</v>
      </c>
      <c r="BH264" s="528">
        <f t="shared" si="754"/>
        <v>2.0220903344384364</v>
      </c>
      <c r="BI264" s="528">
        <f t="shared" si="755"/>
        <v>0.20040632752931051</v>
      </c>
      <c r="BJ264" s="528">
        <f t="shared" si="684"/>
        <v>9.5168221980187664E-2</v>
      </c>
      <c r="BK264">
        <f t="shared" si="685"/>
        <v>3.8121687485309363E-2</v>
      </c>
      <c r="BL264" s="460">
        <f t="shared" si="686"/>
        <v>238.52801501461988</v>
      </c>
      <c r="BM264" s="528">
        <f t="shared" si="756"/>
        <v>2.3572838364879591</v>
      </c>
      <c r="BN264" s="460">
        <f t="shared" si="687"/>
        <v>2357.283836487959</v>
      </c>
      <c r="BO264" s="528">
        <f t="shared" si="637"/>
        <v>3.36</v>
      </c>
      <c r="BR264" s="460">
        <f t="shared" si="688"/>
        <v>3360</v>
      </c>
      <c r="BS264" s="528">
        <f t="shared" si="689"/>
        <v>0.19673228873113219</v>
      </c>
      <c r="BT264" s="528">
        <f t="shared" si="690"/>
        <v>1.0947688367101727</v>
      </c>
      <c r="BU264" s="528">
        <f t="shared" si="691"/>
        <v>1.8961296762617845</v>
      </c>
      <c r="BV264" s="528"/>
      <c r="BW264" s="528">
        <f t="shared" si="692"/>
        <v>1.2220996139505327E-2</v>
      </c>
      <c r="BX264" s="460">
        <f t="shared" si="693"/>
        <v>3199.8517978425944</v>
      </c>
      <c r="BY264" s="173">
        <f t="shared" si="694"/>
        <v>9.0467932284299284</v>
      </c>
      <c r="BZ264" s="5">
        <f t="shared" si="695"/>
        <v>72</v>
      </c>
      <c r="CA264" s="173">
        <f t="shared" si="696"/>
        <v>0.88837567943087403</v>
      </c>
      <c r="CB264" s="5">
        <f t="shared" si="697"/>
        <v>88.837567943087407</v>
      </c>
      <c r="CE264" s="562">
        <f t="shared" si="757"/>
        <v>-50</v>
      </c>
      <c r="CF264">
        <f t="shared" si="758"/>
        <v>-50</v>
      </c>
      <c r="CG264" s="173">
        <f t="shared" si="759"/>
        <v>0.84169498400359755</v>
      </c>
      <c r="CI264" s="170">
        <v>48</v>
      </c>
      <c r="CJ264" s="217">
        <f t="shared" si="698"/>
        <v>4.8</v>
      </c>
      <c r="CK264" s="217"/>
      <c r="CL264" s="217">
        <f t="shared" si="641"/>
        <v>72</v>
      </c>
      <c r="CM264" s="541">
        <f t="shared" si="642"/>
        <v>85</v>
      </c>
      <c r="CN264" s="443">
        <f t="shared" si="643"/>
        <v>15.4</v>
      </c>
      <c r="CO264" s="443">
        <f t="shared" si="644"/>
        <v>100.4</v>
      </c>
      <c r="CP264" s="443"/>
      <c r="CQ264" s="217">
        <f t="shared" si="645"/>
        <v>0.15338645418326693</v>
      </c>
      <c r="CR264" s="172">
        <f t="shared" si="646"/>
        <v>327.33148655378488</v>
      </c>
      <c r="CS264" s="172">
        <f t="shared" si="647"/>
        <v>72</v>
      </c>
      <c r="CT264" s="217">
        <f t="shared" si="648"/>
        <v>21.822099103585661</v>
      </c>
      <c r="CU264" s="217">
        <f t="shared" si="649"/>
        <v>15</v>
      </c>
      <c r="CV264" s="217"/>
      <c r="CW264" s="172">
        <f t="shared" si="650"/>
        <v>357.8032515113693</v>
      </c>
      <c r="CX264" s="172">
        <f t="shared" si="651"/>
        <v>15</v>
      </c>
      <c r="CY264" s="217">
        <f t="shared" si="652"/>
        <v>11.044766997708173</v>
      </c>
      <c r="CZ264" s="217">
        <f t="shared" si="653"/>
        <v>1.5592612232058598</v>
      </c>
      <c r="DA264" s="217">
        <f t="shared" si="654"/>
        <v>8.6063119462661088</v>
      </c>
      <c r="DB264" s="197">
        <f t="shared" si="655"/>
        <v>108.64873837981409</v>
      </c>
      <c r="DC264" s="443">
        <f t="shared" si="656"/>
        <v>98.37123626271071</v>
      </c>
      <c r="DE264" s="217">
        <f t="shared" si="657"/>
        <v>10</v>
      </c>
      <c r="DF264" s="173">
        <f t="shared" si="658"/>
        <v>7.7922077922077913</v>
      </c>
      <c r="DG264" s="173">
        <f t="shared" si="659"/>
        <v>4.2330677290836656</v>
      </c>
      <c r="DH264" s="173"/>
      <c r="DI264" s="173">
        <f t="shared" si="660"/>
        <v>7.7922077922077913</v>
      </c>
      <c r="DJ264" s="545">
        <f t="shared" si="661"/>
        <v>123.2</v>
      </c>
      <c r="DK264" s="528">
        <f t="shared" si="662"/>
        <v>4.2330677290836656</v>
      </c>
      <c r="DM264" s="173">
        <f t="shared" si="663"/>
        <v>5.9329587896765306</v>
      </c>
      <c r="DN264" s="173">
        <f t="shared" si="664"/>
        <v>11.044766997708173</v>
      </c>
      <c r="DO264" s="173">
        <f t="shared" si="665"/>
        <v>1.9739014797838319</v>
      </c>
      <c r="DQ264" s="545">
        <f t="shared" si="666"/>
        <v>4800</v>
      </c>
      <c r="DR264" s="460">
        <f t="shared" si="667"/>
        <v>98.37123626271071</v>
      </c>
      <c r="DT264">
        <f t="shared" si="668"/>
        <v>4800</v>
      </c>
      <c r="DU264">
        <f t="shared" si="669"/>
        <v>98.37123626271071</v>
      </c>
      <c r="DW264" s="5">
        <f t="shared" si="670"/>
        <v>10.165573169471969</v>
      </c>
      <c r="DX264" s="5">
        <f t="shared" si="671"/>
        <v>1.5592612232058598</v>
      </c>
      <c r="DY264" s="5">
        <f t="shared" si="672"/>
        <v>8.6063119462661088</v>
      </c>
      <c r="DZ264" s="5"/>
      <c r="EA264" s="173">
        <f t="shared" si="673"/>
        <v>0.15338645418326693</v>
      </c>
      <c r="EB264" s="173">
        <f t="shared" si="699"/>
        <v>72</v>
      </c>
      <c r="EC264" s="173">
        <f t="shared" si="700"/>
        <v>4.6753246753246751</v>
      </c>
      <c r="ED264" s="173">
        <f t="shared" si="701"/>
        <v>15.4</v>
      </c>
      <c r="EE264" s="460">
        <f t="shared" si="674"/>
        <v>49.896359142587507</v>
      </c>
      <c r="EF264" s="5">
        <f t="shared" si="675"/>
        <v>2.5138111972866524</v>
      </c>
      <c r="EH264" s="173">
        <f t="shared" si="702"/>
        <v>2.497407634492903</v>
      </c>
      <c r="EI264" s="173">
        <f t="shared" si="703"/>
        <v>5.8673032804742959</v>
      </c>
      <c r="EK264" s="528">
        <f t="shared" si="704"/>
        <v>0.12474089785646875</v>
      </c>
      <c r="EL264" s="528">
        <f t="shared" si="705"/>
        <v>2.1816666666666666</v>
      </c>
      <c r="EM264" s="528">
        <f t="shared" si="706"/>
        <v>1.2296404532838838E-2</v>
      </c>
      <c r="EN264" s="528">
        <f t="shared" si="707"/>
        <v>9.9159780092592617E-2</v>
      </c>
      <c r="EO264">
        <f t="shared" si="708"/>
        <v>3.8249999999999999E-2</v>
      </c>
      <c r="EP264" s="460">
        <f t="shared" si="709"/>
        <v>50.546404532838835</v>
      </c>
      <c r="EQ264" s="460"/>
      <c r="ER264" s="460">
        <f t="shared" si="710"/>
        <v>2456.113749148567</v>
      </c>
      <c r="ES264" s="528">
        <f t="shared" si="711"/>
        <v>3.36</v>
      </c>
      <c r="EV264" s="460">
        <f t="shared" si="712"/>
        <v>3360</v>
      </c>
      <c r="EW264" s="528">
        <f t="shared" si="713"/>
        <v>0.18711134678470312</v>
      </c>
      <c r="EX264" s="528">
        <f t="shared" si="714"/>
        <v>1.0327574335519329</v>
      </c>
      <c r="EY264" s="528">
        <f t="shared" si="715"/>
        <v>1.9455021880180834</v>
      </c>
      <c r="EZ264" s="528"/>
      <c r="FA264" s="528">
        <f t="shared" si="716"/>
        <v>1.2E-2</v>
      </c>
      <c r="FB264" s="460">
        <f t="shared" si="717"/>
        <v>3177.3709683547195</v>
      </c>
      <c r="FC264" s="173">
        <f t="shared" si="718"/>
        <v>8.9934847175032875</v>
      </c>
      <c r="FD264" s="5">
        <f t="shared" si="719"/>
        <v>72</v>
      </c>
      <c r="FE264" s="173">
        <f t="shared" si="720"/>
        <v>0.8889603929393628</v>
      </c>
      <c r="FF264" s="5">
        <f t="shared" si="721"/>
        <v>88.896039293936283</v>
      </c>
      <c r="FI264" s="562">
        <f t="shared" si="676"/>
        <v>-50</v>
      </c>
      <c r="FJ264">
        <f t="shared" si="677"/>
        <v>-50</v>
      </c>
      <c r="FL264">
        <f t="shared" si="760"/>
        <v>0.84661354581673309</v>
      </c>
    </row>
    <row r="265" spans="5:168">
      <c r="E265" s="170">
        <v>49</v>
      </c>
      <c r="F265" s="217">
        <f t="shared" si="761"/>
        <v>4.9000000000000004</v>
      </c>
      <c r="G265" s="217"/>
      <c r="H265" s="217">
        <f t="shared" si="726"/>
        <v>73.5</v>
      </c>
      <c r="I265" s="541">
        <f t="shared" si="727"/>
        <v>84.708955393647713</v>
      </c>
      <c r="J265" s="172">
        <f t="shared" si="728"/>
        <v>15.574626763811375</v>
      </c>
      <c r="K265" s="172">
        <f t="shared" si="729"/>
        <v>100.28358215745909</v>
      </c>
      <c r="L265" s="443"/>
      <c r="M265" s="217">
        <f t="shared" si="730"/>
        <v>0.15529747685788803</v>
      </c>
      <c r="N265" s="172">
        <f t="shared" si="731"/>
        <v>330.27490399551135</v>
      </c>
      <c r="O265" s="172">
        <f t="shared" si="762"/>
        <v>73.5</v>
      </c>
      <c r="P265" s="217">
        <f t="shared" si="732"/>
        <v>22.018326933034089</v>
      </c>
      <c r="Q265" s="217">
        <f t="shared" si="733"/>
        <v>15</v>
      </c>
      <c r="R265" s="217"/>
      <c r="S265" s="172">
        <f t="shared" si="734"/>
        <v>347.57696559372431</v>
      </c>
      <c r="T265" s="172">
        <f t="shared" si="735"/>
        <v>15</v>
      </c>
      <c r="U265" s="217">
        <f t="shared" si="736"/>
        <v>11.60171744668893</v>
      </c>
      <c r="V265" s="217">
        <f t="shared" si="737"/>
        <v>1.6435170132048078</v>
      </c>
      <c r="W265" s="217">
        <f t="shared" si="738"/>
        <v>8.9389371232802191</v>
      </c>
      <c r="X265" s="197">
        <f t="shared" si="739"/>
        <v>109.63163456281657</v>
      </c>
      <c r="Y265" s="443">
        <f t="shared" si="680"/>
        <v>92.743264876616507</v>
      </c>
      <c r="AA265" s="217">
        <f t="shared" si="740"/>
        <v>10</v>
      </c>
      <c r="AB265" s="173">
        <f t="shared" si="741"/>
        <v>7.7048395329015236</v>
      </c>
      <c r="AC265" s="173">
        <f t="shared" si="742"/>
        <v>4.2234707601810104</v>
      </c>
      <c r="AD265" s="173"/>
      <c r="AE265" s="173">
        <f t="shared" si="743"/>
        <v>7.7048395329015236</v>
      </c>
      <c r="AF265" s="545">
        <f t="shared" si="744"/>
        <v>127.1927852377929</v>
      </c>
      <c r="AG265" s="528">
        <f t="shared" si="745"/>
        <v>4.2234707601810113</v>
      </c>
      <c r="AI265" s="173">
        <f t="shared" si="746"/>
        <v>6.0283327531106439</v>
      </c>
      <c r="AJ265" s="173">
        <f t="shared" si="747"/>
        <v>11.60171744668893</v>
      </c>
      <c r="AK265" s="173">
        <f t="shared" si="748"/>
        <v>2.3864573679177261</v>
      </c>
      <c r="AM265" s="545">
        <f t="shared" si="749"/>
        <v>4900</v>
      </c>
      <c r="AN265" s="460">
        <f t="shared" si="750"/>
        <v>92.743264876616507</v>
      </c>
      <c r="AP265">
        <f t="shared" si="751"/>
        <v>4900</v>
      </c>
      <c r="AQ265">
        <f t="shared" si="752"/>
        <v>92.743264876616507</v>
      </c>
      <c r="AS265" s="5">
        <f t="shared" si="763"/>
        <v>10.782454136485025</v>
      </c>
      <c r="AT265" s="5">
        <f t="shared" si="753"/>
        <v>1.6435170132048078</v>
      </c>
      <c r="AU265" s="5">
        <f t="shared" si="722"/>
        <v>9.1389371232802183</v>
      </c>
      <c r="AV265" s="5"/>
      <c r="AW265" s="173">
        <f t="shared" si="723"/>
        <v>0.15242513368487912</v>
      </c>
      <c r="AX265" s="173">
        <f t="shared" si="631"/>
        <v>74.899375972686244</v>
      </c>
      <c r="AY265" s="173">
        <f t="shared" si="632"/>
        <v>4.916662056951588</v>
      </c>
      <c r="AZ265" s="173">
        <f t="shared" si="633"/>
        <v>15.23378566700293</v>
      </c>
      <c r="BA265" s="460">
        <f t="shared" si="724"/>
        <v>53.688222431357055</v>
      </c>
      <c r="BB265" s="5">
        <f t="shared" si="725"/>
        <v>2.734360076031491</v>
      </c>
      <c r="BD265" s="173">
        <f t="shared" si="681"/>
        <v>2.6151099264077389</v>
      </c>
      <c r="BE265" s="173">
        <f t="shared" si="682"/>
        <v>6.1666697639059995</v>
      </c>
      <c r="BG265" s="528">
        <f t="shared" si="683"/>
        <v>0.1367759985439258</v>
      </c>
      <c r="BH265" s="528">
        <f t="shared" si="754"/>
        <v>2.0231858339115316</v>
      </c>
      <c r="BI265" s="528">
        <f t="shared" si="755"/>
        <v>0.19640462718736404</v>
      </c>
      <c r="BJ265" s="528">
        <f t="shared" si="684"/>
        <v>9.3270017410064937E-2</v>
      </c>
      <c r="BK265">
        <f t="shared" si="685"/>
        <v>3.8119029927141466E-2</v>
      </c>
      <c r="BL265" s="460">
        <f t="shared" si="686"/>
        <v>234.52365711450551</v>
      </c>
      <c r="BM265" s="528">
        <f t="shared" si="756"/>
        <v>2.3670869058986037</v>
      </c>
      <c r="BN265" s="460">
        <f t="shared" si="687"/>
        <v>2367.0869058986036</v>
      </c>
      <c r="BO265" s="528">
        <f t="shared" si="637"/>
        <v>3.43</v>
      </c>
      <c r="BR265" s="460">
        <f t="shared" si="688"/>
        <v>3430</v>
      </c>
      <c r="BS265" s="528">
        <f t="shared" si="689"/>
        <v>0.20516399781588868</v>
      </c>
      <c r="BT265" s="528">
        <f t="shared" si="690"/>
        <v>1.1408344793121743</v>
      </c>
      <c r="BU265" s="528">
        <f t="shared" si="691"/>
        <v>1.8988106816450636</v>
      </c>
      <c r="BV265" s="528"/>
      <c r="BW265" s="528">
        <f t="shared" si="692"/>
        <v>1.2483229328781039E-2</v>
      </c>
      <c r="BX265" s="460">
        <f t="shared" si="693"/>
        <v>3257.2923881019074</v>
      </c>
      <c r="BY265" s="173">
        <f t="shared" si="694"/>
        <v>9.175047895081935</v>
      </c>
      <c r="BZ265" s="5">
        <f t="shared" si="695"/>
        <v>73.5</v>
      </c>
      <c r="CA265" s="173">
        <f t="shared" si="696"/>
        <v>0.88902276891662102</v>
      </c>
      <c r="CB265" s="5">
        <f t="shared" si="697"/>
        <v>88.902276891662098</v>
      </c>
      <c r="CE265" s="562">
        <f t="shared" si="757"/>
        <v>-50</v>
      </c>
      <c r="CF265">
        <f t="shared" si="758"/>
        <v>-50</v>
      </c>
      <c r="CG265" s="173">
        <f t="shared" si="759"/>
        <v>0.84179536281611056</v>
      </c>
      <c r="CI265" s="170">
        <v>49</v>
      </c>
      <c r="CJ265" s="217">
        <f t="shared" si="698"/>
        <v>4.9000000000000004</v>
      </c>
      <c r="CK265" s="217"/>
      <c r="CL265" s="217">
        <f t="shared" si="641"/>
        <v>73.5</v>
      </c>
      <c r="CM265" s="541">
        <f t="shared" si="642"/>
        <v>85</v>
      </c>
      <c r="CN265" s="443">
        <f t="shared" si="643"/>
        <v>15.4</v>
      </c>
      <c r="CO265" s="443">
        <f t="shared" si="644"/>
        <v>100.4</v>
      </c>
      <c r="CP265" s="443"/>
      <c r="CQ265" s="217">
        <f t="shared" si="645"/>
        <v>0.15338645418326693</v>
      </c>
      <c r="CR265" s="172">
        <f t="shared" si="646"/>
        <v>327.33148655378488</v>
      </c>
      <c r="CS265" s="172">
        <f t="shared" si="647"/>
        <v>73.5</v>
      </c>
      <c r="CT265" s="217">
        <f t="shared" si="648"/>
        <v>21.822099103585661</v>
      </c>
      <c r="CU265" s="217">
        <f t="shared" si="649"/>
        <v>15</v>
      </c>
      <c r="CV265" s="217"/>
      <c r="CW265" s="172">
        <f t="shared" si="650"/>
        <v>348.77084292477548</v>
      </c>
      <c r="CX265" s="172">
        <f t="shared" si="651"/>
        <v>15</v>
      </c>
      <c r="CY265" s="217">
        <f t="shared" si="652"/>
        <v>11.274866310160428</v>
      </c>
      <c r="CZ265" s="217">
        <f t="shared" si="653"/>
        <v>1.5917458320226487</v>
      </c>
      <c r="DA265" s="217">
        <f t="shared" si="654"/>
        <v>8.7856101118133214</v>
      </c>
      <c r="DB265" s="197">
        <f t="shared" si="655"/>
        <v>108.64873837981409</v>
      </c>
      <c r="DC265" s="443">
        <f t="shared" si="656"/>
        <v>96.363660012451277</v>
      </c>
      <c r="DE265" s="217">
        <f t="shared" si="657"/>
        <v>10</v>
      </c>
      <c r="DF265" s="173">
        <f t="shared" si="658"/>
        <v>7.7922077922077913</v>
      </c>
      <c r="DG265" s="173">
        <f t="shared" si="659"/>
        <v>4.2330677290836656</v>
      </c>
      <c r="DH265" s="173"/>
      <c r="DI265" s="173">
        <f t="shared" si="660"/>
        <v>7.7922077922077913</v>
      </c>
      <c r="DJ265" s="545">
        <f t="shared" si="661"/>
        <v>125.76666666666668</v>
      </c>
      <c r="DK265" s="528">
        <f t="shared" si="662"/>
        <v>4.2330677290836656</v>
      </c>
      <c r="DM265" s="173">
        <f t="shared" si="663"/>
        <v>5.994441870043727</v>
      </c>
      <c r="DN265" s="173">
        <f t="shared" si="664"/>
        <v>11.274866310160428</v>
      </c>
      <c r="DO265" s="173">
        <f t="shared" si="665"/>
        <v>2.1443454149336505</v>
      </c>
      <c r="DQ265" s="545">
        <f t="shared" si="666"/>
        <v>4900</v>
      </c>
      <c r="DR265" s="460">
        <f t="shared" si="667"/>
        <v>96.363660012451277</v>
      </c>
      <c r="DT265">
        <f t="shared" si="668"/>
        <v>4900</v>
      </c>
      <c r="DU265">
        <f t="shared" si="669"/>
        <v>96.363660012451277</v>
      </c>
      <c r="DW265" s="5">
        <f t="shared" si="670"/>
        <v>10.377355943835973</v>
      </c>
      <c r="DX265" s="5">
        <f t="shared" si="671"/>
        <v>1.5917458320226487</v>
      </c>
      <c r="DY265" s="5">
        <f t="shared" si="672"/>
        <v>8.7856101118133232</v>
      </c>
      <c r="DZ265" s="5"/>
      <c r="EA265" s="173">
        <f t="shared" si="673"/>
        <v>0.15338645418326688</v>
      </c>
      <c r="EB265" s="173">
        <f t="shared" si="699"/>
        <v>73.5</v>
      </c>
      <c r="EC265" s="173">
        <f t="shared" si="700"/>
        <v>4.7727272727272734</v>
      </c>
      <c r="ED265" s="173">
        <f t="shared" si="701"/>
        <v>15.399999999999999</v>
      </c>
      <c r="EE265" s="460">
        <f t="shared" si="674"/>
        <v>51.997030512739855</v>
      </c>
      <c r="EF265" s="5">
        <f t="shared" si="675"/>
        <v>2.6196443943946419</v>
      </c>
      <c r="EH265" s="173">
        <f t="shared" si="702"/>
        <v>2.5494369602115055</v>
      </c>
      <c r="EI265" s="173">
        <f t="shared" si="703"/>
        <v>5.9895387654841779</v>
      </c>
      <c r="EK265" s="528">
        <f t="shared" si="704"/>
        <v>0.12999257628184963</v>
      </c>
      <c r="EL265" s="528">
        <f t="shared" si="705"/>
        <v>2.1816666666666662</v>
      </c>
      <c r="EM265" s="528">
        <f t="shared" si="706"/>
        <v>1.2045457501556408E-2</v>
      </c>
      <c r="EN265" s="528">
        <f t="shared" si="707"/>
        <v>9.7136111111111104E-2</v>
      </c>
      <c r="EO265">
        <f t="shared" si="708"/>
        <v>3.8249999999999999E-2</v>
      </c>
      <c r="EP265" s="460">
        <f t="shared" si="709"/>
        <v>50.295457501556406</v>
      </c>
      <c r="EQ265" s="460"/>
      <c r="ER265" s="460">
        <f t="shared" si="710"/>
        <v>2459.0908115611833</v>
      </c>
      <c r="ES265" s="528">
        <f t="shared" si="711"/>
        <v>3.43</v>
      </c>
      <c r="EV265" s="460">
        <f t="shared" si="712"/>
        <v>3430</v>
      </c>
      <c r="EW265" s="528">
        <f t="shared" si="713"/>
        <v>0.19498886442277441</v>
      </c>
      <c r="EX265" s="528">
        <f t="shared" si="714"/>
        <v>1.0762372386971317</v>
      </c>
      <c r="EY265" s="528">
        <f t="shared" si="715"/>
        <v>1.9455021880180821</v>
      </c>
      <c r="EZ265" s="528"/>
      <c r="FA265" s="528">
        <f t="shared" si="716"/>
        <v>1.225E-2</v>
      </c>
      <c r="FB265" s="460">
        <f t="shared" si="717"/>
        <v>3228.978291137988</v>
      </c>
      <c r="FC265" s="173">
        <f t="shared" si="718"/>
        <v>9.118069102699172</v>
      </c>
      <c r="FD265" s="5">
        <f t="shared" si="719"/>
        <v>73.5</v>
      </c>
      <c r="FE265" s="173">
        <f t="shared" si="720"/>
        <v>0.88963589682343136</v>
      </c>
      <c r="FF265" s="5">
        <f t="shared" si="721"/>
        <v>88.963589682343141</v>
      </c>
      <c r="FI265" s="562">
        <f t="shared" si="676"/>
        <v>-50</v>
      </c>
      <c r="FJ265">
        <f t="shared" si="677"/>
        <v>-50</v>
      </c>
      <c r="FL265">
        <f t="shared" si="760"/>
        <v>0.84661354581673309</v>
      </c>
    </row>
    <row r="266" spans="5:168">
      <c r="E266" s="170">
        <v>50</v>
      </c>
      <c r="F266" s="217">
        <f t="shared" si="761"/>
        <v>5</v>
      </c>
      <c r="G266" s="217"/>
      <c r="H266" s="217">
        <f t="shared" si="726"/>
        <v>75</v>
      </c>
      <c r="I266" s="541">
        <f t="shared" si="727"/>
        <v>84.703049700884435</v>
      </c>
      <c r="J266" s="172">
        <f t="shared" si="728"/>
        <v>15.578170179469337</v>
      </c>
      <c r="K266" s="172">
        <f t="shared" si="729"/>
        <v>100.28121988035377</v>
      </c>
      <c r="L266" s="443"/>
      <c r="M266" s="217">
        <f t="shared" si="730"/>
        <v>0.15533647125957092</v>
      </c>
      <c r="N266" s="172">
        <f t="shared" si="731"/>
        <v>330.33480262631616</v>
      </c>
      <c r="O266" s="172">
        <f t="shared" si="762"/>
        <v>75</v>
      </c>
      <c r="P266" s="217">
        <f t="shared" si="732"/>
        <v>22.022320175087746</v>
      </c>
      <c r="Q266" s="217">
        <f t="shared" si="733"/>
        <v>15</v>
      </c>
      <c r="R266" s="217"/>
      <c r="S266" s="172">
        <f t="shared" si="734"/>
        <v>338.91205148997068</v>
      </c>
      <c r="T266" s="172">
        <f t="shared" si="735"/>
        <v>15</v>
      </c>
      <c r="U266" s="217">
        <f t="shared" si="736"/>
        <v>11.839033721406324</v>
      </c>
      <c r="V266" s="217">
        <f t="shared" si="737"/>
        <v>1.6772525329202224</v>
      </c>
      <c r="W266" s="217">
        <f t="shared" si="738"/>
        <v>9.1197106605055325</v>
      </c>
      <c r="X266" s="197">
        <f t="shared" si="739"/>
        <v>109.65151505392815</v>
      </c>
      <c r="Y266" s="443">
        <f t="shared" si="680"/>
        <v>90.934195414769022</v>
      </c>
      <c r="AA266" s="217">
        <f t="shared" si="740"/>
        <v>10</v>
      </c>
      <c r="AB266" s="173">
        <f t="shared" si="741"/>
        <v>7.703086987594312</v>
      </c>
      <c r="AC266" s="173">
        <f t="shared" si="742"/>
        <v>4.2232757939095791</v>
      </c>
      <c r="AD266" s="173"/>
      <c r="AE266" s="173">
        <f t="shared" si="743"/>
        <v>7.703086987594312</v>
      </c>
      <c r="AF266" s="545">
        <f t="shared" si="744"/>
        <v>129.81808482891117</v>
      </c>
      <c r="AG266" s="528">
        <f t="shared" si="745"/>
        <v>4.2232757939095782</v>
      </c>
      <c r="AI266" s="173">
        <f t="shared" si="746"/>
        <v>6.090228352015127</v>
      </c>
      <c r="AJ266" s="173">
        <f t="shared" si="747"/>
        <v>11.839033721406324</v>
      </c>
      <c r="AK266" s="173">
        <f t="shared" si="748"/>
        <v>2.5622472010417212</v>
      </c>
      <c r="AM266" s="545">
        <f t="shared" si="749"/>
        <v>5000</v>
      </c>
      <c r="AN266" s="460">
        <f t="shared" si="750"/>
        <v>90.934195414769022</v>
      </c>
      <c r="AP266">
        <f t="shared" si="751"/>
        <v>5000</v>
      </c>
      <c r="AQ266">
        <f t="shared" si="752"/>
        <v>90.934195414769022</v>
      </c>
      <c r="AS266" s="5">
        <f t="shared" si="763"/>
        <v>10.996963193425755</v>
      </c>
      <c r="AT266" s="5">
        <f t="shared" si="753"/>
        <v>1.6772525329202224</v>
      </c>
      <c r="AU266" s="5">
        <f t="shared" si="722"/>
        <v>9.3197106605055318</v>
      </c>
      <c r="AV266" s="5"/>
      <c r="AW266" s="173">
        <f t="shared" si="723"/>
        <v>0.15251960958848382</v>
      </c>
      <c r="AX266" s="173">
        <f t="shared" si="631"/>
        <v>76.473504725589336</v>
      </c>
      <c r="AY266" s="173">
        <f t="shared" si="632"/>
        <v>5.0166744601562687</v>
      </c>
      <c r="AZ266" s="173">
        <f t="shared" si="633"/>
        <v>15.243864303526523</v>
      </c>
      <c r="BA266" s="460">
        <f t="shared" si="724"/>
        <v>55.908417764007417</v>
      </c>
      <c r="BB266" s="5">
        <f t="shared" si="725"/>
        <v>2.845552795227674</v>
      </c>
      <c r="BD266" s="173">
        <f t="shared" si="681"/>
        <v>2.6694296051391588</v>
      </c>
      <c r="BE266" s="173">
        <f t="shared" si="682"/>
        <v>6.2924599377936934</v>
      </c>
      <c r="BG266" s="528">
        <f t="shared" si="683"/>
        <v>0.14251708833586813</v>
      </c>
      <c r="BH266" s="528">
        <f t="shared" si="754"/>
        <v>2.0242510186193261</v>
      </c>
      <c r="BI266" s="528">
        <f t="shared" si="755"/>
        <v>0.19256009184317796</v>
      </c>
      <c r="BJ266" s="528">
        <f t="shared" si="684"/>
        <v>9.1446364635500182E-2</v>
      </c>
      <c r="BK266">
        <f t="shared" si="685"/>
        <v>3.8116372365397992E-2</v>
      </c>
      <c r="BL266" s="460">
        <f t="shared" si="686"/>
        <v>230.67646420857596</v>
      </c>
      <c r="BM266" s="528">
        <f t="shared" si="756"/>
        <v>2.3771906586027689</v>
      </c>
      <c r="BN266" s="460">
        <f t="shared" si="687"/>
        <v>2377.190658602769</v>
      </c>
      <c r="BO266" s="528">
        <f t="shared" si="637"/>
        <v>3.5</v>
      </c>
      <c r="BR266" s="460">
        <f t="shared" si="688"/>
        <v>3500</v>
      </c>
      <c r="BS266" s="528">
        <f t="shared" si="689"/>
        <v>0.21377563250380216</v>
      </c>
      <c r="BT266" s="528">
        <f t="shared" si="690"/>
        <v>1.1878515620621584</v>
      </c>
      <c r="BU266" s="528">
        <f t="shared" si="691"/>
        <v>1.9014228977344985</v>
      </c>
      <c r="BV266" s="528"/>
      <c r="BW266" s="528">
        <f t="shared" si="692"/>
        <v>1.2745584120931557E-2</v>
      </c>
      <c r="BX266" s="460">
        <f t="shared" si="693"/>
        <v>3315.7956764213905</v>
      </c>
      <c r="BY266" s="173">
        <f t="shared" si="694"/>
        <v>9.304686612220662</v>
      </c>
      <c r="BZ266" s="5">
        <f t="shared" si="695"/>
        <v>75</v>
      </c>
      <c r="CA266" s="173">
        <f t="shared" si="696"/>
        <v>0.88963025679675711</v>
      </c>
      <c r="CB266" s="5">
        <f t="shared" si="697"/>
        <v>88.96302567967571</v>
      </c>
      <c r="CE266" s="562">
        <f t="shared" si="757"/>
        <v>-50</v>
      </c>
      <c r="CF266">
        <f t="shared" si="758"/>
        <v>-50</v>
      </c>
      <c r="CG266" s="173">
        <f t="shared" si="759"/>
        <v>0.84189172647612287</v>
      </c>
      <c r="CI266" s="170">
        <v>50</v>
      </c>
      <c r="CJ266" s="217">
        <f t="shared" si="698"/>
        <v>5</v>
      </c>
      <c r="CK266" s="217"/>
      <c r="CL266" s="217">
        <f t="shared" si="641"/>
        <v>75</v>
      </c>
      <c r="CM266" s="541">
        <f t="shared" si="642"/>
        <v>85</v>
      </c>
      <c r="CN266" s="443">
        <f t="shared" si="643"/>
        <v>15.4</v>
      </c>
      <c r="CO266" s="443">
        <f t="shared" si="644"/>
        <v>100.4</v>
      </c>
      <c r="CP266" s="443"/>
      <c r="CQ266" s="217">
        <f t="shared" si="645"/>
        <v>0.15338645418326693</v>
      </c>
      <c r="CR266" s="172">
        <f t="shared" si="646"/>
        <v>327.33148655378488</v>
      </c>
      <c r="CS266" s="172">
        <f t="shared" si="647"/>
        <v>75</v>
      </c>
      <c r="CT266" s="217">
        <f t="shared" si="648"/>
        <v>21.822099103585661</v>
      </c>
      <c r="CU266" s="217">
        <f t="shared" si="649"/>
        <v>15</v>
      </c>
      <c r="CV266" s="217"/>
      <c r="CW266" s="172">
        <f t="shared" si="650"/>
        <v>340.09985320017159</v>
      </c>
      <c r="CX266" s="172">
        <f t="shared" si="651"/>
        <v>15</v>
      </c>
      <c r="CY266" s="217">
        <f t="shared" si="652"/>
        <v>11.504965622612682</v>
      </c>
      <c r="CZ266" s="217">
        <f t="shared" si="653"/>
        <v>1.6242304408394375</v>
      </c>
      <c r="DA266" s="217">
        <f t="shared" si="654"/>
        <v>8.9649082773605322</v>
      </c>
      <c r="DB266" s="197">
        <f t="shared" si="655"/>
        <v>108.64873837981409</v>
      </c>
      <c r="DC266" s="443">
        <f t="shared" si="656"/>
        <v>94.436386812202272</v>
      </c>
      <c r="DE266" s="217">
        <f t="shared" si="657"/>
        <v>10</v>
      </c>
      <c r="DF266" s="173">
        <f t="shared" si="658"/>
        <v>7.7922077922077913</v>
      </c>
      <c r="DG266" s="173">
        <f t="shared" si="659"/>
        <v>4.2330677290836656</v>
      </c>
      <c r="DH266" s="173"/>
      <c r="DI266" s="173">
        <f t="shared" si="660"/>
        <v>7.7922077922077913</v>
      </c>
      <c r="DJ266" s="545">
        <f t="shared" si="661"/>
        <v>128.33333333333334</v>
      </c>
      <c r="DK266" s="528">
        <f t="shared" si="662"/>
        <v>4.2330677290836656</v>
      </c>
      <c r="DM266" s="173">
        <f t="shared" si="663"/>
        <v>6.0553007081949835</v>
      </c>
      <c r="DN266" s="173">
        <f t="shared" si="664"/>
        <v>11.504965622612682</v>
      </c>
      <c r="DO266" s="173">
        <f t="shared" si="665"/>
        <v>2.3147893500834678</v>
      </c>
      <c r="DQ266" s="545">
        <f t="shared" si="666"/>
        <v>5000</v>
      </c>
      <c r="DR266" s="460">
        <f t="shared" si="667"/>
        <v>94.436386812202272</v>
      </c>
      <c r="DT266">
        <f t="shared" si="668"/>
        <v>5000</v>
      </c>
      <c r="DU266">
        <f t="shared" si="669"/>
        <v>94.436386812202272</v>
      </c>
      <c r="DW266" s="5">
        <f t="shared" si="670"/>
        <v>10.589138718199967</v>
      </c>
      <c r="DX266" s="5">
        <f t="shared" si="671"/>
        <v>1.6242304408394375</v>
      </c>
      <c r="DY266" s="5">
        <f t="shared" si="672"/>
        <v>8.9649082773605304</v>
      </c>
      <c r="DZ266" s="5"/>
      <c r="EA266" s="173">
        <f t="shared" si="673"/>
        <v>0.15338645418326696</v>
      </c>
      <c r="EB266" s="173">
        <f t="shared" si="699"/>
        <v>75.000000000000014</v>
      </c>
      <c r="EC266" s="173">
        <f t="shared" si="700"/>
        <v>4.8701298701298699</v>
      </c>
      <c r="ED266" s="173">
        <f t="shared" si="701"/>
        <v>15.400000000000004</v>
      </c>
      <c r="EE266" s="460">
        <f t="shared" si="674"/>
        <v>54.141014694647914</v>
      </c>
      <c r="EF266" s="5">
        <f t="shared" si="675"/>
        <v>2.7276597192780514</v>
      </c>
      <c r="EH266" s="173">
        <f t="shared" si="702"/>
        <v>2.6014662859301083</v>
      </c>
      <c r="EI266" s="173">
        <f t="shared" si="703"/>
        <v>6.111774250494058</v>
      </c>
      <c r="EK266" s="528">
        <f t="shared" si="704"/>
        <v>0.13535253673661984</v>
      </c>
      <c r="EL266" s="528">
        <f t="shared" si="705"/>
        <v>2.1816666666666671</v>
      </c>
      <c r="EM266" s="528">
        <f t="shared" si="706"/>
        <v>1.1804548351525283E-2</v>
      </c>
      <c r="EN266" s="528">
        <f t="shared" si="707"/>
        <v>9.5193388888888897E-2</v>
      </c>
      <c r="EO266">
        <f t="shared" si="708"/>
        <v>3.8249999999999999E-2</v>
      </c>
      <c r="EP266" s="460">
        <f t="shared" si="709"/>
        <v>50.054548351525284</v>
      </c>
      <c r="EQ266" s="460"/>
      <c r="ER266" s="460">
        <f t="shared" si="710"/>
        <v>2462.2671406437007</v>
      </c>
      <c r="ES266" s="528">
        <f t="shared" si="711"/>
        <v>3.5</v>
      </c>
      <c r="EV266" s="460">
        <f t="shared" si="712"/>
        <v>3500</v>
      </c>
      <c r="EW266" s="528">
        <f t="shared" si="713"/>
        <v>0.20302880510492974</v>
      </c>
      <c r="EX266" s="528">
        <f t="shared" si="714"/>
        <v>1.1206135346700661</v>
      </c>
      <c r="EY266" s="528">
        <f t="shared" si="715"/>
        <v>1.9455021880180816</v>
      </c>
      <c r="EZ266" s="528"/>
      <c r="FA266" s="528">
        <f t="shared" si="716"/>
        <v>1.2500000000000002E-2</v>
      </c>
      <c r="FB266" s="460">
        <f t="shared" si="717"/>
        <v>3281.6445277930775</v>
      </c>
      <c r="FC266" s="173">
        <f t="shared" si="718"/>
        <v>9.2439116684367786</v>
      </c>
      <c r="FD266" s="5">
        <f t="shared" si="719"/>
        <v>75</v>
      </c>
      <c r="FE266" s="173">
        <f t="shared" si="720"/>
        <v>0.89027205069941984</v>
      </c>
      <c r="FF266" s="5">
        <f t="shared" si="721"/>
        <v>89.027205069941985</v>
      </c>
      <c r="FI266" s="562">
        <f t="shared" si="676"/>
        <v>-50</v>
      </c>
      <c r="FJ266">
        <f t="shared" si="677"/>
        <v>-50</v>
      </c>
      <c r="FL266">
        <f t="shared" si="760"/>
        <v>0.84661354581673298</v>
      </c>
    </row>
    <row r="267" spans="5:168">
      <c r="E267" s="170">
        <v>51</v>
      </c>
      <c r="F267" s="217">
        <f t="shared" si="761"/>
        <v>5.0999999999999996</v>
      </c>
      <c r="G267" s="217"/>
      <c r="H267" s="217">
        <f t="shared" si="726"/>
        <v>76.5</v>
      </c>
      <c r="I267" s="541">
        <f t="shared" si="727"/>
        <v>84.697144000645409</v>
      </c>
      <c r="J267" s="172">
        <f t="shared" si="728"/>
        <v>15.581713599612756</v>
      </c>
      <c r="K267" s="172">
        <f t="shared" si="729"/>
        <v>100.27885760025816</v>
      </c>
      <c r="L267" s="443"/>
      <c r="M267" s="217">
        <f t="shared" si="730"/>
        <v>0.15537546750995532</v>
      </c>
      <c r="N267" s="172">
        <f t="shared" si="731"/>
        <v>330.39469359570461</v>
      </c>
      <c r="O267" s="172">
        <f t="shared" si="762"/>
        <v>76.5</v>
      </c>
      <c r="P267" s="217">
        <f t="shared" si="732"/>
        <v>22.026312906380308</v>
      </c>
      <c r="Q267" s="217">
        <f t="shared" si="733"/>
        <v>15</v>
      </c>
      <c r="R267" s="217"/>
      <c r="S267" s="172">
        <f t="shared" si="734"/>
        <v>330.58729140794918</v>
      </c>
      <c r="T267" s="172">
        <f t="shared" si="735"/>
        <v>15</v>
      </c>
      <c r="U267" s="217">
        <f t="shared" si="736"/>
        <v>12.076371935266069</v>
      </c>
      <c r="V267" s="217">
        <f t="shared" si="737"/>
        <v>1.7109958657176036</v>
      </c>
      <c r="W267" s="217">
        <f t="shared" si="738"/>
        <v>9.3004188722089172</v>
      </c>
      <c r="X267" s="197">
        <f t="shared" si="739"/>
        <v>109.67139302883146</v>
      </c>
      <c r="Y267" s="443">
        <f t="shared" si="680"/>
        <v>89.194809341692746</v>
      </c>
      <c r="AA267" s="217">
        <f t="shared" si="740"/>
        <v>10</v>
      </c>
      <c r="AB267" s="173">
        <f t="shared" si="741"/>
        <v>7.7013352371578883</v>
      </c>
      <c r="AC267" s="173">
        <f t="shared" si="742"/>
        <v>4.2230808182056592</v>
      </c>
      <c r="AD267" s="173"/>
      <c r="AE267" s="173">
        <f t="shared" si="743"/>
        <v>7.7013352371578883</v>
      </c>
      <c r="AF267" s="545">
        <f t="shared" si="744"/>
        <v>132.44456559670846</v>
      </c>
      <c r="AG267" s="528">
        <f t="shared" si="745"/>
        <v>4.2230808182056583</v>
      </c>
      <c r="AI267" s="173">
        <f t="shared" si="746"/>
        <v>6.151528627601631</v>
      </c>
      <c r="AJ267" s="173">
        <f t="shared" si="747"/>
        <v>12.076371935266069</v>
      </c>
      <c r="AK267" s="173">
        <f t="shared" si="748"/>
        <v>2.7380532853822732</v>
      </c>
      <c r="AM267" s="545">
        <f t="shared" si="749"/>
        <v>5100</v>
      </c>
      <c r="AN267" s="460">
        <f t="shared" si="750"/>
        <v>89.194809341692746</v>
      </c>
      <c r="AP267">
        <f t="shared" si="751"/>
        <v>5100</v>
      </c>
      <c r="AQ267">
        <f t="shared" si="752"/>
        <v>89.194809341692746</v>
      </c>
      <c r="AS267" s="5">
        <f t="shared" si="763"/>
        <v>11.211414737926519</v>
      </c>
      <c r="AT267" s="5">
        <f t="shared" si="753"/>
        <v>1.7109958657176036</v>
      </c>
      <c r="AU267" s="5">
        <f t="shared" si="722"/>
        <v>9.5004188722089165</v>
      </c>
      <c r="AV267" s="5"/>
      <c r="AW267" s="173">
        <f t="shared" si="723"/>
        <v>0.15261195002710617</v>
      </c>
      <c r="AX267" s="173">
        <f t="shared" si="631"/>
        <v>78.048361885426388</v>
      </c>
      <c r="AY267" s="173">
        <f t="shared" si="632"/>
        <v>5.1166866324862479</v>
      </c>
      <c r="AZ267" s="173">
        <f t="shared" si="633"/>
        <v>15.253691986898547</v>
      </c>
      <c r="BA267" s="460">
        <f t="shared" si="724"/>
        <v>58.173859434398523</v>
      </c>
      <c r="BB267" s="5">
        <f t="shared" si="725"/>
        <v>2.9589486256342497</v>
      </c>
      <c r="BD267" s="173">
        <f t="shared" si="681"/>
        <v>2.7237680651789469</v>
      </c>
      <c r="BE267" s="173">
        <f t="shared" si="682"/>
        <v>6.4182557781226919</v>
      </c>
      <c r="BG267" s="528">
        <f t="shared" si="683"/>
        <v>0.14837824945777328</v>
      </c>
      <c r="BH267" s="528">
        <f t="shared" si="754"/>
        <v>2.0252876364160821</v>
      </c>
      <c r="BI267" s="528">
        <f t="shared" si="755"/>
        <v>0.18886364027308655</v>
      </c>
      <c r="BJ267" s="528">
        <f t="shared" si="684"/>
        <v>8.9692955944225675E-2</v>
      </c>
      <c r="BK267">
        <f t="shared" si="685"/>
        <v>3.8113714800290431E-2</v>
      </c>
      <c r="BL267" s="460">
        <f t="shared" si="686"/>
        <v>226.977355073377</v>
      </c>
      <c r="BM267" s="528">
        <f t="shared" si="756"/>
        <v>2.3875948423785456</v>
      </c>
      <c r="BN267" s="460">
        <f t="shared" si="687"/>
        <v>2387.5948423785458</v>
      </c>
      <c r="BO267" s="528">
        <f t="shared" si="637"/>
        <v>3.5699999999999994</v>
      </c>
      <c r="BR267" s="460">
        <f t="shared" si="688"/>
        <v>3569.9999999999995</v>
      </c>
      <c r="BS267" s="528">
        <f t="shared" si="689"/>
        <v>0.22256737418665992</v>
      </c>
      <c r="BT267" s="528">
        <f t="shared" si="690"/>
        <v>1.2358202170021597</v>
      </c>
      <c r="BU267" s="528">
        <f t="shared" si="691"/>
        <v>1.9039702521993245</v>
      </c>
      <c r="BV267" s="528"/>
      <c r="BW267" s="528">
        <f t="shared" si="692"/>
        <v>1.3008060314237731E-2</v>
      </c>
      <c r="BX267" s="460">
        <f t="shared" si="693"/>
        <v>3375.3659037023817</v>
      </c>
      <c r="BY267" s="173">
        <f t="shared" si="694"/>
        <v>9.43570210059384</v>
      </c>
      <c r="BZ267" s="5">
        <f t="shared" si="695"/>
        <v>76.5</v>
      </c>
      <c r="CA267" s="173">
        <f t="shared" si="696"/>
        <v>0.89020044207530091</v>
      </c>
      <c r="CB267" s="5">
        <f t="shared" si="697"/>
        <v>89.020044207530091</v>
      </c>
      <c r="CE267" s="562">
        <f t="shared" si="757"/>
        <v>-50</v>
      </c>
      <c r="CF267">
        <f t="shared" si="758"/>
        <v>-50</v>
      </c>
      <c r="CG267" s="173">
        <f t="shared" si="759"/>
        <v>0.84198431116907613</v>
      </c>
      <c r="CI267" s="170">
        <v>51</v>
      </c>
      <c r="CJ267" s="217">
        <f t="shared" si="698"/>
        <v>5.0999999999999996</v>
      </c>
      <c r="CK267" s="217"/>
      <c r="CL267" s="217">
        <f t="shared" si="641"/>
        <v>76.5</v>
      </c>
      <c r="CM267" s="541">
        <f t="shared" si="642"/>
        <v>85</v>
      </c>
      <c r="CN267" s="443">
        <f t="shared" si="643"/>
        <v>15.4</v>
      </c>
      <c r="CO267" s="443">
        <f t="shared" si="644"/>
        <v>100.4</v>
      </c>
      <c r="CP267" s="443"/>
      <c r="CQ267" s="217">
        <f t="shared" si="645"/>
        <v>0.15338645418326693</v>
      </c>
      <c r="CR267" s="172">
        <f t="shared" si="646"/>
        <v>327.33148655378488</v>
      </c>
      <c r="CS267" s="172">
        <f t="shared" si="647"/>
        <v>76.5</v>
      </c>
      <c r="CT267" s="217">
        <f t="shared" si="648"/>
        <v>21.822099103585661</v>
      </c>
      <c r="CU267" s="217">
        <f t="shared" si="649"/>
        <v>15</v>
      </c>
      <c r="CV267" s="217"/>
      <c r="CW267" s="172">
        <f t="shared" si="650"/>
        <v>331.7690241940806</v>
      </c>
      <c r="CX267" s="172">
        <f t="shared" si="651"/>
        <v>15</v>
      </c>
      <c r="CY267" s="217">
        <f t="shared" si="652"/>
        <v>11.735064935064935</v>
      </c>
      <c r="CZ267" s="217">
        <f t="shared" si="653"/>
        <v>1.6567150496562264</v>
      </c>
      <c r="DA267" s="217">
        <f t="shared" si="654"/>
        <v>9.144206442907743</v>
      </c>
      <c r="DB267" s="197">
        <f t="shared" si="655"/>
        <v>108.64873837981409</v>
      </c>
      <c r="DC267" s="443">
        <f t="shared" si="656"/>
        <v>92.584692953139481</v>
      </c>
      <c r="DE267" s="217">
        <f t="shared" si="657"/>
        <v>10</v>
      </c>
      <c r="DF267" s="173">
        <f t="shared" si="658"/>
        <v>7.7922077922077913</v>
      </c>
      <c r="DG267" s="173">
        <f t="shared" si="659"/>
        <v>4.2330677290836656</v>
      </c>
      <c r="DH267" s="173"/>
      <c r="DI267" s="173">
        <f t="shared" si="660"/>
        <v>7.7922077922077913</v>
      </c>
      <c r="DJ267" s="545">
        <f t="shared" si="661"/>
        <v>130.9</v>
      </c>
      <c r="DK267" s="528">
        <f t="shared" si="662"/>
        <v>4.2330677290836656</v>
      </c>
      <c r="DM267" s="173">
        <f t="shared" si="663"/>
        <v>6.1155539405682617</v>
      </c>
      <c r="DN267" s="173">
        <f t="shared" si="664"/>
        <v>11.735064935064935</v>
      </c>
      <c r="DO267" s="173">
        <f t="shared" si="665"/>
        <v>2.485233285233285</v>
      </c>
      <c r="DQ267" s="545">
        <f t="shared" si="666"/>
        <v>5100</v>
      </c>
      <c r="DR267" s="460">
        <f t="shared" si="667"/>
        <v>92.584692953139481</v>
      </c>
      <c r="DT267">
        <f t="shared" si="668"/>
        <v>5100</v>
      </c>
      <c r="DU267">
        <f t="shared" si="669"/>
        <v>92.584692953139481</v>
      </c>
      <c r="DW267" s="5">
        <f t="shared" si="670"/>
        <v>10.800921492563969</v>
      </c>
      <c r="DX267" s="5">
        <f t="shared" si="671"/>
        <v>1.6567150496562264</v>
      </c>
      <c r="DY267" s="5">
        <f t="shared" si="672"/>
        <v>9.144206442907743</v>
      </c>
      <c r="DZ267" s="5"/>
      <c r="EA267" s="173">
        <f t="shared" si="673"/>
        <v>0.15338645418326693</v>
      </c>
      <c r="EB267" s="173">
        <f t="shared" si="699"/>
        <v>76.5</v>
      </c>
      <c r="EC267" s="173">
        <f t="shared" si="700"/>
        <v>4.9675324675324681</v>
      </c>
      <c r="ED267" s="173">
        <f t="shared" si="701"/>
        <v>15.399999999999999</v>
      </c>
      <c r="EE267" s="460">
        <f t="shared" si="674"/>
        <v>56.3283116883117</v>
      </c>
      <c r="EF267" s="5">
        <f t="shared" si="675"/>
        <v>2.8378571719368857</v>
      </c>
      <c r="EH267" s="173">
        <f t="shared" si="702"/>
        <v>2.6534956116487098</v>
      </c>
      <c r="EI267" s="173">
        <f t="shared" si="703"/>
        <v>6.2340097355039399</v>
      </c>
      <c r="EK267" s="528">
        <f t="shared" si="704"/>
        <v>0.14082077922077921</v>
      </c>
      <c r="EL267" s="528">
        <f t="shared" si="705"/>
        <v>2.1816666666666666</v>
      </c>
      <c r="EM267" s="528">
        <f t="shared" si="706"/>
        <v>1.1573086619142433E-2</v>
      </c>
      <c r="EN267" s="528">
        <f t="shared" si="707"/>
        <v>9.3326851851851855E-2</v>
      </c>
      <c r="EO267">
        <f t="shared" si="708"/>
        <v>3.8249999999999999E-2</v>
      </c>
      <c r="EP267" s="460">
        <f t="shared" si="709"/>
        <v>49.823086619142437</v>
      </c>
      <c r="EQ267" s="460"/>
      <c r="ER267" s="460">
        <f t="shared" si="710"/>
        <v>2465.6373843584402</v>
      </c>
      <c r="ES267" s="528">
        <f t="shared" si="711"/>
        <v>3.5699999999999994</v>
      </c>
      <c r="EV267" s="460">
        <f t="shared" si="712"/>
        <v>3569.9999999999995</v>
      </c>
      <c r="EW267" s="528">
        <f t="shared" si="713"/>
        <v>0.21123116883116883</v>
      </c>
      <c r="EX267" s="528">
        <f t="shared" si="714"/>
        <v>1.1658863214707369</v>
      </c>
      <c r="EY267" s="528">
        <f t="shared" si="715"/>
        <v>1.9455021880180821</v>
      </c>
      <c r="EZ267" s="528"/>
      <c r="FA267" s="528">
        <f t="shared" si="716"/>
        <v>1.2750000000000001E-2</v>
      </c>
      <c r="FB267" s="460">
        <f t="shared" si="717"/>
        <v>3335.3696783199875</v>
      </c>
      <c r="FC267" s="173">
        <f t="shared" si="718"/>
        <v>9.3710070626784283</v>
      </c>
      <c r="FD267" s="5">
        <f t="shared" si="719"/>
        <v>76.5</v>
      </c>
      <c r="FE267" s="173">
        <f t="shared" si="720"/>
        <v>0.89087111723473322</v>
      </c>
      <c r="FF267" s="5">
        <f t="shared" si="721"/>
        <v>89.087111723473328</v>
      </c>
      <c r="FI267" s="562">
        <f t="shared" si="676"/>
        <v>-50</v>
      </c>
      <c r="FJ267">
        <f t="shared" si="677"/>
        <v>-50</v>
      </c>
      <c r="FL267">
        <f t="shared" si="760"/>
        <v>0.84661354581673309</v>
      </c>
    </row>
    <row r="268" spans="5:168">
      <c r="E268" s="170">
        <v>52</v>
      </c>
      <c r="F268" s="217">
        <f t="shared" si="761"/>
        <v>5.2</v>
      </c>
      <c r="G268" s="217"/>
      <c r="H268" s="217">
        <f t="shared" si="726"/>
        <v>78</v>
      </c>
      <c r="I268" s="541">
        <f t="shared" si="727"/>
        <v>84.691238293364222</v>
      </c>
      <c r="J268" s="172">
        <f t="shared" si="728"/>
        <v>15.585257023981464</v>
      </c>
      <c r="K268" s="172">
        <f t="shared" si="729"/>
        <v>100.27649531734569</v>
      </c>
      <c r="L268" s="443"/>
      <c r="M268" s="217">
        <f t="shared" si="730"/>
        <v>0.15541446560850863</v>
      </c>
      <c r="N268" s="172">
        <f t="shared" si="731"/>
        <v>330.45457690339197</v>
      </c>
      <c r="O268" s="172">
        <f t="shared" si="762"/>
        <v>78</v>
      </c>
      <c r="P268" s="217">
        <f t="shared" si="732"/>
        <v>22.030305126892799</v>
      </c>
      <c r="Q268" s="217">
        <f t="shared" si="733"/>
        <v>15</v>
      </c>
      <c r="R268" s="217"/>
      <c r="S268" s="172">
        <f t="shared" si="734"/>
        <v>322.58306286895129</v>
      </c>
      <c r="T268" s="172">
        <f t="shared" si="735"/>
        <v>15</v>
      </c>
      <c r="U268" s="217">
        <f t="shared" si="736"/>
        <v>12.313732092857846</v>
      </c>
      <c r="V268" s="217">
        <f t="shared" si="737"/>
        <v>1.7447470138817407</v>
      </c>
      <c r="W268" s="217">
        <f t="shared" si="738"/>
        <v>9.4810618064831651</v>
      </c>
      <c r="X268" s="197">
        <f t="shared" si="739"/>
        <v>109.69126848587803</v>
      </c>
      <c r="Y268" s="443">
        <f t="shared" si="680"/>
        <v>87.521156333163916</v>
      </c>
      <c r="AA268" s="217">
        <f t="shared" si="740"/>
        <v>10</v>
      </c>
      <c r="AB268" s="173">
        <f t="shared" si="741"/>
        <v>7.6995842811801367</v>
      </c>
      <c r="AC268" s="173">
        <f t="shared" si="742"/>
        <v>4.2228858330828825</v>
      </c>
      <c r="AD268" s="173"/>
      <c r="AE268" s="173">
        <f t="shared" si="743"/>
        <v>7.6995842811801367</v>
      </c>
      <c r="AF268" s="545">
        <f t="shared" si="744"/>
        <v>135.07222754117271</v>
      </c>
      <c r="AG268" s="528">
        <f t="shared" si="745"/>
        <v>4.2228858330828825</v>
      </c>
      <c r="AI268" s="173">
        <f t="shared" si="746"/>
        <v>6.2122512032083534</v>
      </c>
      <c r="AJ268" s="173">
        <f t="shared" si="747"/>
        <v>12.313732092857846</v>
      </c>
      <c r="AK268" s="173">
        <f t="shared" si="748"/>
        <v>2.9138756243391448</v>
      </c>
      <c r="AM268" s="545">
        <f t="shared" si="749"/>
        <v>5200</v>
      </c>
      <c r="AN268" s="460">
        <f t="shared" si="750"/>
        <v>87.521156333163916</v>
      </c>
      <c r="AP268">
        <f t="shared" si="751"/>
        <v>5200</v>
      </c>
      <c r="AQ268">
        <f t="shared" si="752"/>
        <v>87.521156333163916</v>
      </c>
      <c r="AS268" s="5">
        <f t="shared" si="763"/>
        <v>11.425808820364905</v>
      </c>
      <c r="AT268" s="5">
        <f t="shared" si="753"/>
        <v>1.7447470138817407</v>
      </c>
      <c r="AU268" s="5">
        <f t="shared" si="722"/>
        <v>9.6810618064831644</v>
      </c>
      <c r="AV268" s="5"/>
      <c r="AW268" s="173">
        <f t="shared" si="723"/>
        <v>0.15270227616376475</v>
      </c>
      <c r="AX268" s="173">
        <f t="shared" si="631"/>
        <v>79.62394633336848</v>
      </c>
      <c r="AY268" s="173">
        <f t="shared" si="632"/>
        <v>5.2166985871038269</v>
      </c>
      <c r="AZ268" s="173">
        <f t="shared" si="633"/>
        <v>15.263282898921249</v>
      </c>
      <c r="BA268" s="460">
        <f t="shared" si="724"/>
        <v>60.484563147900353</v>
      </c>
      <c r="BB268" s="5">
        <f t="shared" si="725"/>
        <v>3.0745468465189818</v>
      </c>
      <c r="BD268" s="173">
        <f t="shared" si="681"/>
        <v>2.778125293137089</v>
      </c>
      <c r="BE268" s="173">
        <f t="shared" si="682"/>
        <v>6.5440572945121529</v>
      </c>
      <c r="BG268" s="528">
        <f t="shared" si="683"/>
        <v>0.15435960288736073</v>
      </c>
      <c r="BH268" s="528">
        <f t="shared" si="754"/>
        <v>2.0262973030424938</v>
      </c>
      <c r="BI268" s="528">
        <f t="shared" si="755"/>
        <v>0.18530687766806919</v>
      </c>
      <c r="BJ268" s="528">
        <f t="shared" si="684"/>
        <v>8.8005809227328882E-2</v>
      </c>
      <c r="BK268">
        <f t="shared" si="685"/>
        <v>3.8111057232013898E-2</v>
      </c>
      <c r="BL268" s="460">
        <f t="shared" si="686"/>
        <v>223.41793490008311</v>
      </c>
      <c r="BM268" s="528">
        <f t="shared" si="756"/>
        <v>2.3982994591192024</v>
      </c>
      <c r="BN268" s="460">
        <f t="shared" si="687"/>
        <v>2398.2994591192023</v>
      </c>
      <c r="BO268" s="528">
        <f t="shared" si="637"/>
        <v>3.6399999999999997</v>
      </c>
      <c r="BR268" s="460">
        <f t="shared" si="688"/>
        <v>3639.9999999999995</v>
      </c>
      <c r="BS268" s="528">
        <f t="shared" si="689"/>
        <v>0.23153940433104109</v>
      </c>
      <c r="BT268" s="528">
        <f t="shared" si="690"/>
        <v>1.2847405762157316</v>
      </c>
      <c r="BU268" s="528">
        <f t="shared" si="691"/>
        <v>1.9064563798565592</v>
      </c>
      <c r="BV268" s="528"/>
      <c r="BW268" s="528">
        <f t="shared" si="692"/>
        <v>1.3270657722228083E-2</v>
      </c>
      <c r="BX268" s="460">
        <f t="shared" si="693"/>
        <v>3436.0070181255596</v>
      </c>
      <c r="BY268" s="173">
        <f t="shared" si="694"/>
        <v>9.5680876681828266</v>
      </c>
      <c r="BZ268" s="5">
        <f t="shared" si="695"/>
        <v>78</v>
      </c>
      <c r="CA268" s="173">
        <f t="shared" si="696"/>
        <v>0.89073545028825252</v>
      </c>
      <c r="CB268" s="5">
        <f t="shared" si="697"/>
        <v>89.073545028825251</v>
      </c>
      <c r="CE268" s="562">
        <f t="shared" si="757"/>
        <v>-50</v>
      </c>
      <c r="CF268">
        <f t="shared" si="758"/>
        <v>-50</v>
      </c>
      <c r="CG268" s="173">
        <f t="shared" si="759"/>
        <v>0.84207333491230019</v>
      </c>
      <c r="CI268" s="170">
        <v>52</v>
      </c>
      <c r="CJ268" s="217">
        <f t="shared" si="698"/>
        <v>5.2</v>
      </c>
      <c r="CK268" s="217"/>
      <c r="CL268" s="217">
        <f t="shared" si="641"/>
        <v>78</v>
      </c>
      <c r="CM268" s="541">
        <f t="shared" si="642"/>
        <v>85</v>
      </c>
      <c r="CN268" s="443">
        <f t="shared" si="643"/>
        <v>15.4</v>
      </c>
      <c r="CO268" s="443">
        <f t="shared" si="644"/>
        <v>100.4</v>
      </c>
      <c r="CP268" s="443"/>
      <c r="CQ268" s="217">
        <f t="shared" si="645"/>
        <v>0.15338645418326693</v>
      </c>
      <c r="CR268" s="172">
        <f t="shared" si="646"/>
        <v>327.33148655378488</v>
      </c>
      <c r="CS268" s="172">
        <f t="shared" si="647"/>
        <v>78</v>
      </c>
      <c r="CT268" s="217">
        <f t="shared" si="648"/>
        <v>21.822099103585661</v>
      </c>
      <c r="CU268" s="217">
        <f t="shared" si="649"/>
        <v>15</v>
      </c>
      <c r="CV268" s="217"/>
      <c r="CW268" s="172">
        <f t="shared" si="650"/>
        <v>323.75873303960481</v>
      </c>
      <c r="CX268" s="172">
        <f t="shared" si="651"/>
        <v>15</v>
      </c>
      <c r="CY268" s="217">
        <f t="shared" si="652"/>
        <v>11.965164247517189</v>
      </c>
      <c r="CZ268" s="217">
        <f t="shared" si="653"/>
        <v>1.6891996584730151</v>
      </c>
      <c r="DA268" s="217">
        <f t="shared" si="654"/>
        <v>9.323504608454952</v>
      </c>
      <c r="DB268" s="197">
        <f t="shared" si="655"/>
        <v>108.64873837981409</v>
      </c>
      <c r="DC268" s="443">
        <f t="shared" si="656"/>
        <v>90.804218088656029</v>
      </c>
      <c r="DE268" s="217">
        <f t="shared" si="657"/>
        <v>10</v>
      </c>
      <c r="DF268" s="173">
        <f t="shared" si="658"/>
        <v>7.7922077922077913</v>
      </c>
      <c r="DG268" s="173">
        <f t="shared" si="659"/>
        <v>4.2330677290836656</v>
      </c>
      <c r="DH268" s="173"/>
      <c r="DI268" s="173">
        <f t="shared" si="660"/>
        <v>7.7922077922077913</v>
      </c>
      <c r="DJ268" s="545">
        <f t="shared" si="661"/>
        <v>133.4666666666667</v>
      </c>
      <c r="DK268" s="528">
        <f t="shared" si="662"/>
        <v>4.2330677290836656</v>
      </c>
      <c r="DM268" s="173">
        <f t="shared" si="663"/>
        <v>6.1752192943516864</v>
      </c>
      <c r="DN268" s="173">
        <f t="shared" si="664"/>
        <v>11.965164247517189</v>
      </c>
      <c r="DO268" s="173">
        <f t="shared" si="665"/>
        <v>2.6556772203831027</v>
      </c>
      <c r="DQ268" s="545">
        <f t="shared" si="666"/>
        <v>5200</v>
      </c>
      <c r="DR268" s="460">
        <f t="shared" si="667"/>
        <v>90.804218088656029</v>
      </c>
      <c r="DT268">
        <f t="shared" si="668"/>
        <v>5200</v>
      </c>
      <c r="DU268">
        <f t="shared" si="669"/>
        <v>90.804218088656029</v>
      </c>
      <c r="DW268" s="5">
        <f t="shared" si="670"/>
        <v>11.012704266927967</v>
      </c>
      <c r="DX268" s="5">
        <f t="shared" si="671"/>
        <v>1.6891996584730151</v>
      </c>
      <c r="DY268" s="5">
        <f t="shared" si="672"/>
        <v>9.323504608454952</v>
      </c>
      <c r="DZ268" s="5"/>
      <c r="EA268" s="173">
        <f t="shared" si="673"/>
        <v>0.15338645418326696</v>
      </c>
      <c r="EB268" s="173">
        <f t="shared" si="699"/>
        <v>78</v>
      </c>
      <c r="EC268" s="173">
        <f t="shared" si="700"/>
        <v>5.0649350649350646</v>
      </c>
      <c r="ED268" s="173">
        <f t="shared" si="701"/>
        <v>15.4</v>
      </c>
      <c r="EE268" s="460">
        <f t="shared" si="674"/>
        <v>58.558921493731191</v>
      </c>
      <c r="EF268" s="5">
        <f t="shared" si="675"/>
        <v>2.9502367523711404</v>
      </c>
      <c r="EH268" s="173">
        <f t="shared" si="702"/>
        <v>2.7055249373673123</v>
      </c>
      <c r="EI268" s="173">
        <f t="shared" si="703"/>
        <v>6.35624522051382</v>
      </c>
      <c r="EK268" s="528">
        <f t="shared" si="704"/>
        <v>0.14639730373432799</v>
      </c>
      <c r="EL268" s="528">
        <f t="shared" si="705"/>
        <v>2.1816666666666666</v>
      </c>
      <c r="EM268" s="528">
        <f t="shared" si="706"/>
        <v>1.1350527261082004E-2</v>
      </c>
      <c r="EN268" s="528">
        <f t="shared" si="707"/>
        <v>9.1532104700854711E-2</v>
      </c>
      <c r="EO268">
        <f t="shared" si="708"/>
        <v>3.8249999999999999E-2</v>
      </c>
      <c r="EP268" s="460">
        <f t="shared" si="709"/>
        <v>49.600527261082</v>
      </c>
      <c r="EQ268" s="460"/>
      <c r="ER268" s="460">
        <f t="shared" si="710"/>
        <v>2469.1966023629311</v>
      </c>
      <c r="ES268" s="528">
        <f t="shared" si="711"/>
        <v>3.6399999999999997</v>
      </c>
      <c r="EV268" s="460">
        <f t="shared" si="712"/>
        <v>3639.9999999999995</v>
      </c>
      <c r="EW268" s="528">
        <f t="shared" si="713"/>
        <v>0.21959595560149195</v>
      </c>
      <c r="EX268" s="528">
        <f t="shared" si="714"/>
        <v>1.2120555990991435</v>
      </c>
      <c r="EY268" s="528">
        <f t="shared" si="715"/>
        <v>1.9455021880180834</v>
      </c>
      <c r="EZ268" s="528"/>
      <c r="FA268" s="528">
        <f t="shared" si="716"/>
        <v>1.3000000000000001E-2</v>
      </c>
      <c r="FB268" s="460">
        <f t="shared" si="717"/>
        <v>3390.1537427187186</v>
      </c>
      <c r="FC268" s="173">
        <f t="shared" si="718"/>
        <v>9.4993503450816501</v>
      </c>
      <c r="FD268" s="5">
        <f t="shared" si="719"/>
        <v>78</v>
      </c>
      <c r="FE268" s="173">
        <f t="shared" si="720"/>
        <v>0.89143519000292082</v>
      </c>
      <c r="FF268" s="5">
        <f t="shared" si="721"/>
        <v>89.143519000292088</v>
      </c>
      <c r="FI268" s="562">
        <f t="shared" si="676"/>
        <v>-50</v>
      </c>
      <c r="FJ268">
        <f t="shared" si="677"/>
        <v>-50</v>
      </c>
      <c r="FL268">
        <f t="shared" si="760"/>
        <v>0.84661354581673298</v>
      </c>
    </row>
    <row r="269" spans="5:168">
      <c r="E269" s="170">
        <v>53</v>
      </c>
      <c r="F269" s="217">
        <f t="shared" si="761"/>
        <v>5.3000000000000007</v>
      </c>
      <c r="G269" s="217"/>
      <c r="H269" s="217">
        <f t="shared" si="726"/>
        <v>79.500000000000014</v>
      </c>
      <c r="I269" s="541">
        <f t="shared" si="727"/>
        <v>84.685332579441621</v>
      </c>
      <c r="J269" s="172">
        <f t="shared" si="728"/>
        <v>15.588800452335029</v>
      </c>
      <c r="K269" s="172">
        <f t="shared" si="729"/>
        <v>100.27413303177664</v>
      </c>
      <c r="L269" s="443"/>
      <c r="M269" s="217">
        <f t="shared" si="730"/>
        <v>0.1554534655547484</v>
      </c>
      <c r="N269" s="172">
        <f t="shared" si="731"/>
        <v>330.51445254907367</v>
      </c>
      <c r="O269" s="172">
        <f t="shared" si="762"/>
        <v>79.500000000000014</v>
      </c>
      <c r="P269" s="217">
        <f t="shared" si="732"/>
        <v>22.034296836604913</v>
      </c>
      <c r="Q269" s="217">
        <f t="shared" si="733"/>
        <v>15</v>
      </c>
      <c r="R269" s="217"/>
      <c r="S269" s="172">
        <f t="shared" si="734"/>
        <v>314.88122437084917</v>
      </c>
      <c r="T269" s="172">
        <f t="shared" si="735"/>
        <v>15</v>
      </c>
      <c r="U269" s="217">
        <f t="shared" si="736"/>
        <v>12.551114198772613</v>
      </c>
      <c r="V269" s="217">
        <f t="shared" si="737"/>
        <v>1.778505979698243</v>
      </c>
      <c r="W269" s="217">
        <f t="shared" si="738"/>
        <v>9.6616395113782563</v>
      </c>
      <c r="X269" s="197">
        <f t="shared" si="739"/>
        <v>109.71114142353073</v>
      </c>
      <c r="Y269" s="443">
        <f t="shared" si="680"/>
        <v>85.909579117083567</v>
      </c>
      <c r="AA269" s="217">
        <f t="shared" si="740"/>
        <v>10</v>
      </c>
      <c r="AB269" s="173">
        <f t="shared" si="741"/>
        <v>7.6978341192394533</v>
      </c>
      <c r="AC269" s="173">
        <f t="shared" si="742"/>
        <v>4.2226908385537989</v>
      </c>
      <c r="AD269" s="173"/>
      <c r="AE269" s="173">
        <f t="shared" si="743"/>
        <v>7.6978341192394533</v>
      </c>
      <c r="AF269" s="545">
        <f t="shared" si="744"/>
        <v>137.70107066229281</v>
      </c>
      <c r="AG269" s="528">
        <f t="shared" si="745"/>
        <v>4.2226908385537989</v>
      </c>
      <c r="AI269" s="173">
        <f t="shared" si="746"/>
        <v>6.2724128568174908</v>
      </c>
      <c r="AJ269" s="173">
        <f t="shared" si="747"/>
        <v>12.551114198772613</v>
      </c>
      <c r="AK269" s="173">
        <f t="shared" si="748"/>
        <v>3.0897142213130468</v>
      </c>
      <c r="AM269" s="545">
        <f t="shared" si="749"/>
        <v>5300.0000000000009</v>
      </c>
      <c r="AN269" s="460">
        <f t="shared" si="750"/>
        <v>85.909579117083567</v>
      </c>
      <c r="AP269">
        <f t="shared" si="751"/>
        <v>5300.0000000000009</v>
      </c>
      <c r="AQ269">
        <f t="shared" si="752"/>
        <v>85.909579117083567</v>
      </c>
      <c r="AS269" s="5">
        <f t="shared" si="763"/>
        <v>11.640145491076499</v>
      </c>
      <c r="AT269" s="5">
        <f t="shared" si="753"/>
        <v>1.778505979698243</v>
      </c>
      <c r="AU269" s="5">
        <f t="shared" si="722"/>
        <v>9.8616395113782556</v>
      </c>
      <c r="AV269" s="5"/>
      <c r="AW269" s="173">
        <f t="shared" si="723"/>
        <v>0.15279070017309243</v>
      </c>
      <c r="AX269" s="173">
        <f t="shared" si="631"/>
        <v>81.200257033589452</v>
      </c>
      <c r="AY269" s="173">
        <f t="shared" si="632"/>
        <v>5.316710336194852</v>
      </c>
      <c r="AZ269" s="173">
        <f t="shared" si="633"/>
        <v>15.272650172569707</v>
      </c>
      <c r="BA269" s="460">
        <f t="shared" si="724"/>
        <v>62.840544616004593</v>
      </c>
      <c r="BB269" s="5">
        <f t="shared" si="725"/>
        <v>3.1923467381096846</v>
      </c>
      <c r="BD269" s="173">
        <f t="shared" si="681"/>
        <v>2.8325012767210338</v>
      </c>
      <c r="BE269" s="173">
        <f t="shared" si="682"/>
        <v>6.6698644959437425</v>
      </c>
      <c r="BG269" s="528">
        <f t="shared" si="683"/>
        <v>0.16046126965252572</v>
      </c>
      <c r="BH269" s="528">
        <f t="shared" si="754"/>
        <v>2.0272815143766398</v>
      </c>
      <c r="BI269" s="528">
        <f t="shared" si="755"/>
        <v>0.18188203198225189</v>
      </c>
      <c r="BJ269" s="528">
        <f t="shared" si="684"/>
        <v>8.63812377859252E-2</v>
      </c>
      <c r="BK269">
        <f t="shared" si="685"/>
        <v>3.8108399660748728E-2</v>
      </c>
      <c r="BL269" s="460">
        <f t="shared" si="686"/>
        <v>219.99043164300062</v>
      </c>
      <c r="BM269" s="528">
        <f t="shared" si="756"/>
        <v>2.4093047481108174</v>
      </c>
      <c r="BN269" s="460">
        <f t="shared" si="687"/>
        <v>2409.3047481108174</v>
      </c>
      <c r="BO269" s="528">
        <f t="shared" si="637"/>
        <v>3.7100000000000004</v>
      </c>
      <c r="BR269" s="460">
        <f t="shared" si="688"/>
        <v>3710.0000000000005</v>
      </c>
      <c r="BS269" s="528">
        <f t="shared" si="689"/>
        <v>0.24069190447878858</v>
      </c>
      <c r="BT269" s="528">
        <f t="shared" si="690"/>
        <v>1.334612771827526</v>
      </c>
      <c r="BU269" s="528">
        <f t="shared" si="691"/>
        <v>1.9088846494614913</v>
      </c>
      <c r="BV269" s="528"/>
      <c r="BW269" s="528">
        <f t="shared" si="692"/>
        <v>1.3533376172264909E-2</v>
      </c>
      <c r="BX269" s="460">
        <f t="shared" si="693"/>
        <v>3497.7227019400707</v>
      </c>
      <c r="BY269" s="173">
        <f t="shared" si="694"/>
        <v>9.701837155398163</v>
      </c>
      <c r="BZ269" s="5">
        <f t="shared" si="695"/>
        <v>79.500000000000014</v>
      </c>
      <c r="CA269" s="173">
        <f t="shared" si="696"/>
        <v>0.89123724953672612</v>
      </c>
      <c r="CB269" s="5">
        <f t="shared" si="697"/>
        <v>89.123724953672607</v>
      </c>
      <c r="CE269" s="562">
        <f t="shared" si="757"/>
        <v>-50</v>
      </c>
      <c r="CF269">
        <f t="shared" si="758"/>
        <v>-50</v>
      </c>
      <c r="CG269" s="173">
        <f t="shared" si="759"/>
        <v>0.84215899926898774</v>
      </c>
      <c r="CI269" s="170">
        <v>53</v>
      </c>
      <c r="CJ269" s="217">
        <f t="shared" si="698"/>
        <v>5.3000000000000007</v>
      </c>
      <c r="CK269" s="217"/>
      <c r="CL269" s="217">
        <f t="shared" si="641"/>
        <v>79.500000000000014</v>
      </c>
      <c r="CM269" s="541">
        <f t="shared" si="642"/>
        <v>85</v>
      </c>
      <c r="CN269" s="443">
        <f t="shared" si="643"/>
        <v>15.4</v>
      </c>
      <c r="CO269" s="443">
        <f t="shared" si="644"/>
        <v>100.4</v>
      </c>
      <c r="CP269" s="443"/>
      <c r="CQ269" s="217">
        <f t="shared" si="645"/>
        <v>0.15338645418326693</v>
      </c>
      <c r="CR269" s="172">
        <f t="shared" si="646"/>
        <v>327.33148655378488</v>
      </c>
      <c r="CS269" s="172">
        <f t="shared" si="647"/>
        <v>79.500000000000014</v>
      </c>
      <c r="CT269" s="217">
        <f t="shared" si="648"/>
        <v>21.822099103585661</v>
      </c>
      <c r="CU269" s="217">
        <f t="shared" si="649"/>
        <v>15</v>
      </c>
      <c r="CV269" s="217"/>
      <c r="CW269" s="172">
        <f t="shared" si="650"/>
        <v>316.0508378758928</v>
      </c>
      <c r="CX269" s="172">
        <f t="shared" si="651"/>
        <v>15</v>
      </c>
      <c r="CY269" s="217">
        <f t="shared" si="652"/>
        <v>12.195263559969444</v>
      </c>
      <c r="CZ269" s="217">
        <f t="shared" si="653"/>
        <v>1.7216842672898038</v>
      </c>
      <c r="DA269" s="217">
        <f t="shared" si="654"/>
        <v>9.5028027740021628</v>
      </c>
      <c r="DB269" s="197">
        <f t="shared" si="655"/>
        <v>108.64873837981409</v>
      </c>
      <c r="DC269" s="443">
        <f t="shared" si="656"/>
        <v>89.090930954907805</v>
      </c>
      <c r="DE269" s="217">
        <f t="shared" si="657"/>
        <v>10</v>
      </c>
      <c r="DF269" s="173">
        <f t="shared" si="658"/>
        <v>7.7922077922077913</v>
      </c>
      <c r="DG269" s="173">
        <f t="shared" si="659"/>
        <v>4.2330677290836656</v>
      </c>
      <c r="DH269" s="173"/>
      <c r="DI269" s="173">
        <f t="shared" si="660"/>
        <v>7.7922077922077913</v>
      </c>
      <c r="DJ269" s="545">
        <f t="shared" si="661"/>
        <v>136.03333333333333</v>
      </c>
      <c r="DK269" s="528">
        <f t="shared" si="662"/>
        <v>4.2330677290836656</v>
      </c>
      <c r="DM269" s="173">
        <f t="shared" si="663"/>
        <v>6.2343136484032202</v>
      </c>
      <c r="DN269" s="173">
        <f t="shared" si="664"/>
        <v>12.195263559969444</v>
      </c>
      <c r="DO269" s="173">
        <f t="shared" si="665"/>
        <v>2.8261211555329213</v>
      </c>
      <c r="DQ269" s="545">
        <f t="shared" si="666"/>
        <v>5300.0000000000009</v>
      </c>
      <c r="DR269" s="460">
        <f t="shared" si="667"/>
        <v>89.090930954907805</v>
      </c>
      <c r="DT269">
        <f t="shared" si="668"/>
        <v>5300.0000000000009</v>
      </c>
      <c r="DU269">
        <f t="shared" si="669"/>
        <v>89.090930954907805</v>
      </c>
      <c r="DW269" s="5">
        <f t="shared" si="670"/>
        <v>11.224487041291967</v>
      </c>
      <c r="DX269" s="5">
        <f t="shared" si="671"/>
        <v>1.7216842672898038</v>
      </c>
      <c r="DY269" s="5">
        <f t="shared" si="672"/>
        <v>9.5028027740021628</v>
      </c>
      <c r="DZ269" s="5"/>
      <c r="EA269" s="173">
        <f t="shared" si="673"/>
        <v>0.15338645418326693</v>
      </c>
      <c r="EB269" s="173">
        <f t="shared" si="699"/>
        <v>79.500000000000028</v>
      </c>
      <c r="EC269" s="173">
        <f t="shared" si="700"/>
        <v>5.1623376623376629</v>
      </c>
      <c r="ED269" s="173">
        <f t="shared" si="701"/>
        <v>15.400000000000004</v>
      </c>
      <c r="EE269" s="460">
        <f t="shared" si="674"/>
        <v>60.832844110906414</v>
      </c>
      <c r="EF269" s="5">
        <f t="shared" si="675"/>
        <v>3.064798460580819</v>
      </c>
      <c r="EH269" s="173">
        <f t="shared" si="702"/>
        <v>2.7575542630859147</v>
      </c>
      <c r="EI269" s="173">
        <f t="shared" si="703"/>
        <v>6.4784807055237037</v>
      </c>
      <c r="EK269" s="528">
        <f t="shared" si="704"/>
        <v>0.15208211027726604</v>
      </c>
      <c r="EL269" s="528">
        <f t="shared" si="705"/>
        <v>2.1816666666666671</v>
      </c>
      <c r="EM269" s="528">
        <f t="shared" si="706"/>
        <v>1.1136366369363474E-2</v>
      </c>
      <c r="EN269" s="528">
        <f t="shared" si="707"/>
        <v>8.9805083857442361E-2</v>
      </c>
      <c r="EO269">
        <f t="shared" si="708"/>
        <v>3.8249999999999999E-2</v>
      </c>
      <c r="EP269" s="460">
        <f t="shared" si="709"/>
        <v>49.386366369363472</v>
      </c>
      <c r="EQ269" s="460"/>
      <c r="ER269" s="460">
        <f t="shared" si="710"/>
        <v>2472.940227170739</v>
      </c>
      <c r="ES269" s="528">
        <f t="shared" si="711"/>
        <v>3.7100000000000004</v>
      </c>
      <c r="EV269" s="460">
        <f t="shared" si="712"/>
        <v>3710.0000000000005</v>
      </c>
      <c r="EW269" s="528">
        <f t="shared" si="713"/>
        <v>0.22812316541589905</v>
      </c>
      <c r="EX269" s="528">
        <f t="shared" si="714"/>
        <v>1.259121367555287</v>
      </c>
      <c r="EY269" s="528">
        <f t="shared" si="715"/>
        <v>1.9455021880180849</v>
      </c>
      <c r="EZ269" s="528"/>
      <c r="FA269" s="528">
        <f t="shared" si="716"/>
        <v>1.3250000000000005E-2</v>
      </c>
      <c r="FB269" s="460">
        <f t="shared" si="717"/>
        <v>3445.9967209892711</v>
      </c>
      <c r="FC269" s="173">
        <f t="shared" si="718"/>
        <v>9.6289369481600104</v>
      </c>
      <c r="FD269" s="5">
        <f t="shared" si="719"/>
        <v>79.500000000000014</v>
      </c>
      <c r="FE269" s="173">
        <f t="shared" si="720"/>
        <v>0.89196620897923995</v>
      </c>
      <c r="FF269" s="5">
        <f t="shared" si="721"/>
        <v>89.196620897923992</v>
      </c>
      <c r="FI269" s="562">
        <f t="shared" si="676"/>
        <v>-50</v>
      </c>
      <c r="FJ269">
        <f t="shared" si="677"/>
        <v>-50</v>
      </c>
      <c r="FL269">
        <f t="shared" si="760"/>
        <v>0.84661354581673309</v>
      </c>
    </row>
    <row r="270" spans="5:168">
      <c r="E270" s="170">
        <v>54</v>
      </c>
      <c r="F270" s="217">
        <f t="shared" si="761"/>
        <v>5.4</v>
      </c>
      <c r="G270" s="217"/>
      <c r="H270" s="217">
        <f t="shared" si="726"/>
        <v>81</v>
      </c>
      <c r="I270" s="541">
        <f t="shared" si="727"/>
        <v>84.679426859248466</v>
      </c>
      <c r="J270" s="172">
        <f t="shared" si="728"/>
        <v>15.592343884450919</v>
      </c>
      <c r="K270" s="172">
        <f t="shared" si="729"/>
        <v>100.27177074369939</v>
      </c>
      <c r="L270" s="443"/>
      <c r="M270" s="217">
        <f t="shared" si="730"/>
        <v>0.15549246734823785</v>
      </c>
      <c r="N270" s="172">
        <f t="shared" si="731"/>
        <v>330.57432053242746</v>
      </c>
      <c r="O270" s="172">
        <f t="shared" si="762"/>
        <v>81</v>
      </c>
      <c r="P270" s="217">
        <f t="shared" si="732"/>
        <v>22.038288035495164</v>
      </c>
      <c r="Q270" s="217">
        <f t="shared" si="733"/>
        <v>15</v>
      </c>
      <c r="R270" s="217"/>
      <c r="S270" s="172">
        <f t="shared" si="734"/>
        <v>307.46497826149914</v>
      </c>
      <c r="T270" s="172">
        <f t="shared" si="735"/>
        <v>15</v>
      </c>
      <c r="U270" s="217">
        <f t="shared" si="736"/>
        <v>12.788518257602622</v>
      </c>
      <c r="V270" s="217">
        <f t="shared" si="737"/>
        <v>1.8122727654535458</v>
      </c>
      <c r="W270" s="217">
        <f t="shared" si="738"/>
        <v>9.8421520349014298</v>
      </c>
      <c r="X270" s="197">
        <f t="shared" si="739"/>
        <v>109.73101184035357</v>
      </c>
      <c r="Y270" s="443">
        <f t="shared" si="680"/>
        <v>84.356686793445732</v>
      </c>
      <c r="AA270" s="217">
        <f t="shared" si="740"/>
        <v>10</v>
      </c>
      <c r="AB270" s="173">
        <f t="shared" si="741"/>
        <v>7.69608475090567</v>
      </c>
      <c r="AC270" s="173">
        <f t="shared" si="742"/>
        <v>4.2224958346299735</v>
      </c>
      <c r="AD270" s="173"/>
      <c r="AE270" s="173">
        <f t="shared" si="743"/>
        <v>7.69608475090567</v>
      </c>
      <c r="AF270" s="545">
        <f t="shared" si="744"/>
        <v>140.33109496005829</v>
      </c>
      <c r="AG270" s="528">
        <f t="shared" si="745"/>
        <v>4.2224958346299735</v>
      </c>
      <c r="AI270" s="173">
        <f t="shared" si="746"/>
        <v>6.3320295766852395</v>
      </c>
      <c r="AJ270" s="173">
        <f t="shared" si="747"/>
        <v>12.788518257602622</v>
      </c>
      <c r="AK270" s="173">
        <f t="shared" si="748"/>
        <v>3.2655690797056458</v>
      </c>
      <c r="AM270" s="545">
        <f t="shared" si="749"/>
        <v>5400</v>
      </c>
      <c r="AN270" s="460">
        <f t="shared" si="750"/>
        <v>84.356686793445732</v>
      </c>
      <c r="AP270">
        <f t="shared" si="751"/>
        <v>5400</v>
      </c>
      <c r="AQ270">
        <f t="shared" si="752"/>
        <v>84.356686793445732</v>
      </c>
      <c r="AS270" s="5">
        <f t="shared" si="763"/>
        <v>11.854424800354973</v>
      </c>
      <c r="AT270" s="5">
        <f t="shared" si="753"/>
        <v>1.8122727654535458</v>
      </c>
      <c r="AU270" s="5">
        <f t="shared" si="722"/>
        <v>10.042152034901427</v>
      </c>
      <c r="AV270" s="5"/>
      <c r="AW270" s="173">
        <f t="shared" si="723"/>
        <v>0.15287732605965651</v>
      </c>
      <c r="AX270" s="173">
        <f t="shared" si="631"/>
        <v>82.777293025708843</v>
      </c>
      <c r="AY270" s="173">
        <f t="shared" si="632"/>
        <v>5.4167218910576178</v>
      </c>
      <c r="AZ270" s="173">
        <f t="shared" si="633"/>
        <v>15.281805987190259</v>
      </c>
      <c r="BA270" s="460">
        <f t="shared" si="724"/>
        <v>65.241819556327656</v>
      </c>
      <c r="BB270" s="5">
        <f t="shared" si="725"/>
        <v>3.3123475815932766</v>
      </c>
      <c r="BD270" s="173">
        <f t="shared" si="681"/>
        <v>2.88689600463562</v>
      </c>
      <c r="BE270" s="173">
        <f t="shared" si="682"/>
        <v>6.7956773908196544</v>
      </c>
      <c r="BG270" s="528">
        <f t="shared" si="683"/>
        <v>0.1666833708316221</v>
      </c>
      <c r="BH270" s="528">
        <f t="shared" si="754"/>
        <v>2.0282416573465021</v>
      </c>
      <c r="BI270" s="528">
        <f t="shared" si="755"/>
        <v>0.17858189723535298</v>
      </c>
      <c r="BJ270" s="528">
        <f t="shared" si="684"/>
        <v>8.4815823436460075E-2</v>
      </c>
      <c r="BK270">
        <f t="shared" si="685"/>
        <v>3.8105742086661808E-2</v>
      </c>
      <c r="BL270" s="460">
        <f t="shared" si="686"/>
        <v>216.6876393220148</v>
      </c>
      <c r="BM270" s="528">
        <f t="shared" si="756"/>
        <v>2.4206111713098939</v>
      </c>
      <c r="BN270" s="460">
        <f t="shared" si="687"/>
        <v>2420.611171309894</v>
      </c>
      <c r="BO270" s="528">
        <f t="shared" si="637"/>
        <v>3.78</v>
      </c>
      <c r="BR270" s="460">
        <f t="shared" si="688"/>
        <v>3780</v>
      </c>
      <c r="BS270" s="528">
        <f t="shared" si="689"/>
        <v>0.25002505624743315</v>
      </c>
      <c r="BT270" s="528">
        <f t="shared" si="690"/>
        <v>1.3854369360029228</v>
      </c>
      <c r="BU270" s="528">
        <f t="shared" si="691"/>
        <v>1.9112581876104444</v>
      </c>
      <c r="BV270" s="528"/>
      <c r="BW270" s="528">
        <f t="shared" si="692"/>
        <v>1.3796215504284805E-2</v>
      </c>
      <c r="BX270" s="460">
        <f t="shared" si="693"/>
        <v>3560.5163953650854</v>
      </c>
      <c r="BY270" s="173">
        <f t="shared" si="694"/>
        <v>9.8369448863016853</v>
      </c>
      <c r="BZ270" s="5">
        <f t="shared" si="695"/>
        <v>81</v>
      </c>
      <c r="CA270" s="173">
        <f t="shared" si="696"/>
        <v>0.89170766477654728</v>
      </c>
      <c r="CB270" s="5">
        <f t="shared" si="697"/>
        <v>89.170766477654723</v>
      </c>
      <c r="CE270" s="562">
        <f t="shared" si="757"/>
        <v>-50</v>
      </c>
      <c r="CF270">
        <f t="shared" si="758"/>
        <v>-50</v>
      </c>
      <c r="CG270" s="173">
        <f t="shared" si="759"/>
        <v>0.84224149087172362</v>
      </c>
      <c r="CI270" s="170">
        <v>54</v>
      </c>
      <c r="CJ270" s="217">
        <f t="shared" si="698"/>
        <v>5.4</v>
      </c>
      <c r="CK270" s="217"/>
      <c r="CL270" s="217">
        <f t="shared" si="641"/>
        <v>81</v>
      </c>
      <c r="CM270" s="541">
        <f t="shared" si="642"/>
        <v>85</v>
      </c>
      <c r="CN270" s="443">
        <f t="shared" si="643"/>
        <v>15.4</v>
      </c>
      <c r="CO270" s="443">
        <f t="shared" si="644"/>
        <v>100.4</v>
      </c>
      <c r="CP270" s="443"/>
      <c r="CQ270" s="217">
        <f t="shared" si="645"/>
        <v>0.15338645418326693</v>
      </c>
      <c r="CR270" s="172">
        <f t="shared" si="646"/>
        <v>327.33148655378488</v>
      </c>
      <c r="CS270" s="172">
        <f t="shared" si="647"/>
        <v>81</v>
      </c>
      <c r="CT270" s="217">
        <f t="shared" si="648"/>
        <v>21.822099103585661</v>
      </c>
      <c r="CU270" s="217">
        <f t="shared" si="649"/>
        <v>15</v>
      </c>
      <c r="CV270" s="217"/>
      <c r="CW270" s="172">
        <f t="shared" si="650"/>
        <v>308.62854071880105</v>
      </c>
      <c r="CX270" s="172">
        <f t="shared" si="651"/>
        <v>15</v>
      </c>
      <c r="CY270" s="217">
        <f t="shared" si="652"/>
        <v>12.425362872421696</v>
      </c>
      <c r="CZ270" s="217">
        <f t="shared" si="653"/>
        <v>1.7541688761065926</v>
      </c>
      <c r="DA270" s="217">
        <f t="shared" si="654"/>
        <v>9.6821009395493736</v>
      </c>
      <c r="DB270" s="197">
        <f t="shared" si="655"/>
        <v>108.64873837981409</v>
      </c>
      <c r="DC270" s="443">
        <f t="shared" si="656"/>
        <v>87.441098900187299</v>
      </c>
      <c r="DE270" s="217">
        <f t="shared" si="657"/>
        <v>10</v>
      </c>
      <c r="DF270" s="173">
        <f t="shared" si="658"/>
        <v>7.7922077922077913</v>
      </c>
      <c r="DG270" s="173">
        <f t="shared" si="659"/>
        <v>4.2330677290836656</v>
      </c>
      <c r="DH270" s="173"/>
      <c r="DI270" s="173">
        <f t="shared" si="660"/>
        <v>7.7922077922077913</v>
      </c>
      <c r="DJ270" s="545">
        <f t="shared" si="661"/>
        <v>138.6</v>
      </c>
      <c r="DK270" s="528">
        <f t="shared" si="662"/>
        <v>4.2330677290836656</v>
      </c>
      <c r="DM270" s="173">
        <f t="shared" si="663"/>
        <v>6.2928530890209098</v>
      </c>
      <c r="DN270" s="173">
        <f t="shared" si="664"/>
        <v>12.425362872421696</v>
      </c>
      <c r="DO270" s="173">
        <f t="shared" si="665"/>
        <v>2.9965650906827372</v>
      </c>
      <c r="DQ270" s="545">
        <f t="shared" si="666"/>
        <v>5400</v>
      </c>
      <c r="DR270" s="460">
        <f t="shared" si="667"/>
        <v>87.441098900187299</v>
      </c>
      <c r="DT270">
        <f t="shared" si="668"/>
        <v>5400</v>
      </c>
      <c r="DU270">
        <f t="shared" si="669"/>
        <v>87.441098900187299</v>
      </c>
      <c r="DW270" s="5">
        <f t="shared" si="670"/>
        <v>11.436269815655965</v>
      </c>
      <c r="DX270" s="5">
        <f t="shared" si="671"/>
        <v>1.7541688761065926</v>
      </c>
      <c r="DY270" s="5">
        <f t="shared" si="672"/>
        <v>9.6821009395493718</v>
      </c>
      <c r="DZ270" s="5"/>
      <c r="EA270" s="173">
        <f t="shared" si="673"/>
        <v>0.15338645418326696</v>
      </c>
      <c r="EB270" s="173">
        <f t="shared" si="699"/>
        <v>81</v>
      </c>
      <c r="EC270" s="173">
        <f t="shared" si="700"/>
        <v>5.2597402597402594</v>
      </c>
      <c r="ED270" s="173">
        <f t="shared" si="701"/>
        <v>15.4</v>
      </c>
      <c r="EE270" s="460">
        <f t="shared" si="674"/>
        <v>63.150079539837328</v>
      </c>
      <c r="EF270" s="5">
        <f t="shared" si="675"/>
        <v>3.1815422965659188</v>
      </c>
      <c r="EH270" s="173">
        <f t="shared" si="702"/>
        <v>2.8095835888045166</v>
      </c>
      <c r="EI270" s="173">
        <f t="shared" si="703"/>
        <v>6.6007161905335821</v>
      </c>
      <c r="EK270" s="528">
        <f t="shared" si="704"/>
        <v>0.15787519884959333</v>
      </c>
      <c r="EL270" s="528">
        <f t="shared" si="705"/>
        <v>2.1816666666666671</v>
      </c>
      <c r="EM270" s="528">
        <f t="shared" si="706"/>
        <v>1.0930137362523412E-2</v>
      </c>
      <c r="EN270" s="528">
        <f t="shared" si="707"/>
        <v>8.8142026748971217E-2</v>
      </c>
      <c r="EO270">
        <f t="shared" si="708"/>
        <v>3.8249999999999999E-2</v>
      </c>
      <c r="EP270" s="460">
        <f t="shared" si="709"/>
        <v>49.180137362523411</v>
      </c>
      <c r="EQ270" s="460"/>
      <c r="ER270" s="460">
        <f t="shared" si="710"/>
        <v>2476.8640296277554</v>
      </c>
      <c r="ES270" s="528">
        <f t="shared" si="711"/>
        <v>3.78</v>
      </c>
      <c r="EV270" s="460">
        <f t="shared" si="712"/>
        <v>3780</v>
      </c>
      <c r="EW270" s="528">
        <f t="shared" si="713"/>
        <v>0.23681279827439</v>
      </c>
      <c r="EX270" s="528">
        <f t="shared" si="714"/>
        <v>1.307083626839165</v>
      </c>
      <c r="EY270" s="528">
        <f t="shared" si="715"/>
        <v>1.9455021880180872</v>
      </c>
      <c r="EZ270" s="528"/>
      <c r="FA270" s="528">
        <f t="shared" si="716"/>
        <v>1.3500000000000002E-2</v>
      </c>
      <c r="FB270" s="460">
        <f t="shared" si="717"/>
        <v>3502.8986131316419</v>
      </c>
      <c r="FC270" s="173">
        <f t="shared" si="718"/>
        <v>9.759762642759398</v>
      </c>
      <c r="FD270" s="5">
        <f t="shared" si="719"/>
        <v>81</v>
      </c>
      <c r="FE270" s="173">
        <f t="shared" si="720"/>
        <v>0.8924659743638278</v>
      </c>
      <c r="FF270" s="5">
        <f t="shared" si="721"/>
        <v>89.246597436382785</v>
      </c>
      <c r="FI270" s="562">
        <f t="shared" si="676"/>
        <v>-50</v>
      </c>
      <c r="FJ270">
        <f t="shared" si="677"/>
        <v>-50</v>
      </c>
      <c r="FL270">
        <f t="shared" si="760"/>
        <v>0.84661354581673298</v>
      </c>
    </row>
    <row r="271" spans="5:168">
      <c r="E271" s="170">
        <v>55</v>
      </c>
      <c r="F271" s="217">
        <f t="shared" si="761"/>
        <v>5.5</v>
      </c>
      <c r="G271" s="217"/>
      <c r="H271" s="217">
        <f t="shared" si="726"/>
        <v>82.5</v>
      </c>
      <c r="I271" s="541">
        <f t="shared" si="727"/>
        <v>84.673521133128546</v>
      </c>
      <c r="J271" s="172">
        <f t="shared" si="728"/>
        <v>15.59588732012287</v>
      </c>
      <c r="K271" s="172">
        <f t="shared" si="729"/>
        <v>100.26940845325142</v>
      </c>
      <c r="L271" s="443"/>
      <c r="M271" s="217">
        <f t="shared" si="730"/>
        <v>0.15553147098858161</v>
      </c>
      <c r="N271" s="172">
        <f t="shared" si="731"/>
        <v>330.63418085311525</v>
      </c>
      <c r="O271" s="172">
        <f t="shared" si="762"/>
        <v>82.5</v>
      </c>
      <c r="P271" s="217">
        <f t="shared" si="732"/>
        <v>22.042278723541017</v>
      </c>
      <c r="Q271" s="217">
        <f t="shared" si="733"/>
        <v>15</v>
      </c>
      <c r="R271" s="217"/>
      <c r="S271" s="172">
        <f t="shared" si="734"/>
        <v>300.31874857143322</v>
      </c>
      <c r="T271" s="172">
        <f t="shared" si="735"/>
        <v>15</v>
      </c>
      <c r="U271" s="217">
        <f t="shared" si="736"/>
        <v>13.025944273941395</v>
      </c>
      <c r="V271" s="217">
        <f t="shared" si="737"/>
        <v>1.8460473734349034</v>
      </c>
      <c r="W271" s="217">
        <f t="shared" si="738"/>
        <v>10.022599425017214</v>
      </c>
      <c r="X271" s="197">
        <f t="shared" si="739"/>
        <v>109.7508797350024</v>
      </c>
      <c r="Y271" s="443">
        <f t="shared" si="680"/>
        <v>82.859331016983319</v>
      </c>
      <c r="AA271" s="217">
        <f t="shared" si="740"/>
        <v>10</v>
      </c>
      <c r="AB271" s="173">
        <f t="shared" si="741"/>
        <v>7.6943361757408866</v>
      </c>
      <c r="AC271" s="173">
        <f t="shared" si="742"/>
        <v>4.2223008213220821</v>
      </c>
      <c r="AD271" s="173"/>
      <c r="AE271" s="173">
        <f t="shared" si="743"/>
        <v>7.6943361757408866</v>
      </c>
      <c r="AF271" s="545">
        <f t="shared" si="744"/>
        <v>142.96230043445965</v>
      </c>
      <c r="AG271" s="528">
        <f t="shared" si="745"/>
        <v>4.2223008213220812</v>
      </c>
      <c r="AI271" s="173">
        <f t="shared" si="746"/>
        <v>6.3911166123536471</v>
      </c>
      <c r="AJ271" s="173">
        <f t="shared" si="747"/>
        <v>13.025944273941395</v>
      </c>
      <c r="AK271" s="173">
        <f t="shared" si="748"/>
        <v>3.4414402029195514</v>
      </c>
      <c r="AM271" s="545">
        <f t="shared" si="749"/>
        <v>5500</v>
      </c>
      <c r="AN271" s="460">
        <f t="shared" si="750"/>
        <v>82.859331016983319</v>
      </c>
      <c r="AP271">
        <f t="shared" si="751"/>
        <v>5500</v>
      </c>
      <c r="AQ271">
        <f t="shared" si="752"/>
        <v>82.859331016983319</v>
      </c>
      <c r="AS271" s="5">
        <f t="shared" si="763"/>
        <v>12.068646798452118</v>
      </c>
      <c r="AT271" s="5">
        <f t="shared" si="753"/>
        <v>1.8460473734349034</v>
      </c>
      <c r="AU271" s="5">
        <f t="shared" si="722"/>
        <v>10.222599425017215</v>
      </c>
      <c r="AV271" s="5"/>
      <c r="AW271" s="173">
        <f t="shared" si="723"/>
        <v>0.15296225038847527</v>
      </c>
      <c r="AX271" s="173">
        <f t="shared" si="631"/>
        <v>84.355053418046126</v>
      </c>
      <c r="AY271" s="173">
        <f t="shared" si="632"/>
        <v>5.516733262182222</v>
      </c>
      <c r="AZ271" s="173">
        <f t="shared" si="633"/>
        <v>15.290761653514908</v>
      </c>
      <c r="BA271" s="460">
        <f t="shared" si="724"/>
        <v>67.688403692613122</v>
      </c>
      <c r="BB271" s="5">
        <f t="shared" si="725"/>
        <v>3.4345486591148235</v>
      </c>
      <c r="BD271" s="173">
        <f t="shared" si="681"/>
        <v>2.9413094664937645</v>
      </c>
      <c r="BE271" s="173">
        <f t="shared" si="682"/>
        <v>6.9214959870143948</v>
      </c>
      <c r="BG271" s="528">
        <f t="shared" si="683"/>
        <v>0.17302602755371665</v>
      </c>
      <c r="BH271" s="528">
        <f t="shared" si="754"/>
        <v>2.0291790196716133</v>
      </c>
      <c r="BI271" s="528">
        <f t="shared" si="755"/>
        <v>0.17539978289858574</v>
      </c>
      <c r="BJ271" s="528">
        <f t="shared" si="684"/>
        <v>8.3306392501721505E-2</v>
      </c>
      <c r="BK271">
        <f t="shared" si="685"/>
        <v>3.8103084509907847E-2</v>
      </c>
      <c r="BL271" s="460">
        <f t="shared" si="686"/>
        <v>213.50286740849359</v>
      </c>
      <c r="BM271" s="528">
        <f t="shared" si="756"/>
        <v>2.4322194003768991</v>
      </c>
      <c r="BN271" s="460">
        <f t="shared" si="687"/>
        <v>2432.2194003768991</v>
      </c>
      <c r="BO271" s="528">
        <f t="shared" si="637"/>
        <v>3.8499999999999996</v>
      </c>
      <c r="BR271" s="460">
        <f t="shared" si="688"/>
        <v>3849.9999999999995</v>
      </c>
      <c r="BS271" s="528">
        <f t="shared" si="689"/>
        <v>0.25953904133057498</v>
      </c>
      <c r="BT271" s="528">
        <f t="shared" si="690"/>
        <v>1.437213200947691</v>
      </c>
      <c r="BU271" s="528">
        <f t="shared" si="691"/>
        <v>1.9135799001124478</v>
      </c>
      <c r="BV271" s="528"/>
      <c r="BW271" s="528">
        <f t="shared" si="692"/>
        <v>1.4059175569674355E-2</v>
      </c>
      <c r="BX271" s="460">
        <f t="shared" si="693"/>
        <v>3624.3913179603883</v>
      </c>
      <c r="BY271" s="173">
        <f t="shared" si="694"/>
        <v>9.973405625095932</v>
      </c>
      <c r="BZ271" s="5">
        <f t="shared" si="695"/>
        <v>82.5</v>
      </c>
      <c r="CA271" s="173">
        <f t="shared" si="696"/>
        <v>0.89214839058128836</v>
      </c>
      <c r="CB271" s="5">
        <f t="shared" si="697"/>
        <v>89.214839058128831</v>
      </c>
      <c r="CE271" s="562">
        <f t="shared" si="757"/>
        <v>-50</v>
      </c>
      <c r="CF271">
        <f t="shared" si="758"/>
        <v>-50</v>
      </c>
      <c r="CG271" s="173">
        <f t="shared" si="759"/>
        <v>0.84232098277981482</v>
      </c>
      <c r="CI271" s="170">
        <v>55</v>
      </c>
      <c r="CJ271" s="217">
        <f t="shared" si="698"/>
        <v>5.5</v>
      </c>
      <c r="CK271" s="217"/>
      <c r="CL271" s="217">
        <f t="shared" si="641"/>
        <v>82.5</v>
      </c>
      <c r="CM271" s="541">
        <f t="shared" si="642"/>
        <v>85</v>
      </c>
      <c r="CN271" s="443">
        <f t="shared" si="643"/>
        <v>15.4</v>
      </c>
      <c r="CO271" s="443">
        <f t="shared" si="644"/>
        <v>100.4</v>
      </c>
      <c r="CP271" s="443"/>
      <c r="CQ271" s="217">
        <f t="shared" si="645"/>
        <v>0.15338645418326693</v>
      </c>
      <c r="CR271" s="172">
        <f t="shared" si="646"/>
        <v>327.33148655378488</v>
      </c>
      <c r="CS271" s="172">
        <f t="shared" si="647"/>
        <v>82.5</v>
      </c>
      <c r="CT271" s="217">
        <f t="shared" si="648"/>
        <v>21.822099103585661</v>
      </c>
      <c r="CU271" s="217">
        <f t="shared" si="649"/>
        <v>15</v>
      </c>
      <c r="CV271" s="217"/>
      <c r="CW271" s="172">
        <f t="shared" si="650"/>
        <v>301.47626529114478</v>
      </c>
      <c r="CX271" s="172">
        <f t="shared" si="651"/>
        <v>15</v>
      </c>
      <c r="CY271" s="217">
        <f t="shared" si="652"/>
        <v>12.655462184873949</v>
      </c>
      <c r="CZ271" s="217">
        <f t="shared" si="653"/>
        <v>1.7866534849233811</v>
      </c>
      <c r="DA271" s="217">
        <f t="shared" si="654"/>
        <v>9.8613991050965843</v>
      </c>
      <c r="DB271" s="197">
        <f t="shared" si="655"/>
        <v>108.64873837981409</v>
      </c>
      <c r="DC271" s="443">
        <f t="shared" si="656"/>
        <v>85.851260738365696</v>
      </c>
      <c r="DE271" s="217">
        <f t="shared" si="657"/>
        <v>10</v>
      </c>
      <c r="DF271" s="173">
        <f t="shared" si="658"/>
        <v>7.7922077922077913</v>
      </c>
      <c r="DG271" s="173">
        <f t="shared" si="659"/>
        <v>4.2330677290836656</v>
      </c>
      <c r="DH271" s="173"/>
      <c r="DI271" s="173">
        <f t="shared" si="660"/>
        <v>7.7922077922077913</v>
      </c>
      <c r="DJ271" s="545">
        <f t="shared" si="661"/>
        <v>141.16666666666669</v>
      </c>
      <c r="DK271" s="528">
        <f t="shared" si="662"/>
        <v>4.2330677290836656</v>
      </c>
      <c r="DM271" s="173">
        <f t="shared" si="663"/>
        <v>6.3508529610858835</v>
      </c>
      <c r="DN271" s="173">
        <f t="shared" si="664"/>
        <v>12.655462184873949</v>
      </c>
      <c r="DO271" s="173">
        <f t="shared" si="665"/>
        <v>3.1670090258325549</v>
      </c>
      <c r="DQ271" s="545">
        <f t="shared" si="666"/>
        <v>5500</v>
      </c>
      <c r="DR271" s="460">
        <f t="shared" si="667"/>
        <v>85.851260738365696</v>
      </c>
      <c r="DT271">
        <f t="shared" si="668"/>
        <v>5500</v>
      </c>
      <c r="DU271">
        <f t="shared" si="669"/>
        <v>85.851260738365696</v>
      </c>
      <c r="DW271" s="5">
        <f t="shared" si="670"/>
        <v>11.648052590019965</v>
      </c>
      <c r="DX271" s="5">
        <f t="shared" si="671"/>
        <v>1.7866534849233811</v>
      </c>
      <c r="DY271" s="5">
        <f t="shared" si="672"/>
        <v>9.8613991050965843</v>
      </c>
      <c r="DZ271" s="5"/>
      <c r="EA271" s="173">
        <f t="shared" si="673"/>
        <v>0.15338645418326693</v>
      </c>
      <c r="EB271" s="173">
        <f t="shared" si="699"/>
        <v>82.499999999999986</v>
      </c>
      <c r="EC271" s="173">
        <f t="shared" si="700"/>
        <v>5.3571428571428568</v>
      </c>
      <c r="ED271" s="173">
        <f t="shared" si="701"/>
        <v>15.399999999999999</v>
      </c>
      <c r="EE271" s="460">
        <f t="shared" si="674"/>
        <v>65.510627780523976</v>
      </c>
      <c r="EF271" s="5">
        <f t="shared" si="675"/>
        <v>3.3004682603264426</v>
      </c>
      <c r="EH271" s="173">
        <f t="shared" si="702"/>
        <v>2.8616129145231182</v>
      </c>
      <c r="EI271" s="173">
        <f t="shared" si="703"/>
        <v>6.7229516755434648</v>
      </c>
      <c r="EK271" s="528">
        <f t="shared" si="704"/>
        <v>0.16377656945130992</v>
      </c>
      <c r="EL271" s="528">
        <f t="shared" si="705"/>
        <v>2.1816666666666662</v>
      </c>
      <c r="EM271" s="528">
        <f t="shared" si="706"/>
        <v>1.0731407592295711E-2</v>
      </c>
      <c r="EN271" s="528">
        <f t="shared" si="707"/>
        <v>8.6539444444444447E-2</v>
      </c>
      <c r="EO271">
        <f t="shared" si="708"/>
        <v>3.8249999999999999E-2</v>
      </c>
      <c r="EP271" s="460">
        <f t="shared" si="709"/>
        <v>48.98140759229571</v>
      </c>
      <c r="EQ271" s="460"/>
      <c r="ER271" s="460">
        <f t="shared" si="710"/>
        <v>2480.9640881547166</v>
      </c>
      <c r="ES271" s="528">
        <f t="shared" si="711"/>
        <v>3.8499999999999996</v>
      </c>
      <c r="EV271" s="460">
        <f t="shared" si="712"/>
        <v>3849.9999999999995</v>
      </c>
      <c r="EW271" s="528">
        <f t="shared" si="713"/>
        <v>0.24566485417696485</v>
      </c>
      <c r="EX271" s="528">
        <f t="shared" si="714"/>
        <v>1.3559423769507803</v>
      </c>
      <c r="EY271" s="528">
        <f t="shared" si="715"/>
        <v>1.9455021880180849</v>
      </c>
      <c r="EZ271" s="528"/>
      <c r="FA271" s="528">
        <f t="shared" si="716"/>
        <v>1.3749999999999998E-2</v>
      </c>
      <c r="FB271" s="460">
        <f t="shared" si="717"/>
        <v>3560.8594191458296</v>
      </c>
      <c r="FC271" s="173">
        <f t="shared" si="718"/>
        <v>9.8918235073005469</v>
      </c>
      <c r="FD271" s="5">
        <f t="shared" si="719"/>
        <v>82.5</v>
      </c>
      <c r="FE271" s="173">
        <f t="shared" si="720"/>
        <v>0.89293615893922773</v>
      </c>
      <c r="FF271" s="5">
        <f t="shared" si="721"/>
        <v>89.293615893922777</v>
      </c>
      <c r="FI271" s="562">
        <f t="shared" si="676"/>
        <v>-50</v>
      </c>
      <c r="FJ271">
        <f t="shared" si="677"/>
        <v>-50</v>
      </c>
      <c r="FL271">
        <f t="shared" si="760"/>
        <v>0.84661354581673309</v>
      </c>
    </row>
    <row r="272" spans="5:168">
      <c r="E272" s="170">
        <v>56</v>
      </c>
      <c r="F272" s="217">
        <f t="shared" si="761"/>
        <v>5.6000000000000005</v>
      </c>
      <c r="G272" s="217"/>
      <c r="H272" s="217">
        <f t="shared" si="726"/>
        <v>84.000000000000014</v>
      </c>
      <c r="I272" s="541">
        <f t="shared" si="727"/>
        <v>84.667615401400951</v>
      </c>
      <c r="J272" s="172">
        <f t="shared" si="728"/>
        <v>15.599430759159427</v>
      </c>
      <c r="K272" s="172">
        <f t="shared" si="729"/>
        <v>100.26704616056038</v>
      </c>
      <c r="L272" s="443"/>
      <c r="M272" s="217">
        <f t="shared" si="730"/>
        <v>0.15557047647542196</v>
      </c>
      <c r="N272" s="172">
        <f t="shared" si="731"/>
        <v>330.6940335107841</v>
      </c>
      <c r="O272" s="172">
        <f t="shared" si="762"/>
        <v>84.000000000000014</v>
      </c>
      <c r="P272" s="217">
        <f t="shared" si="732"/>
        <v>22.046268900718939</v>
      </c>
      <c r="Q272" s="217">
        <f t="shared" si="733"/>
        <v>15</v>
      </c>
      <c r="R272" s="217"/>
      <c r="S272" s="172">
        <f t="shared" si="734"/>
        <v>293.42807193592972</v>
      </c>
      <c r="T272" s="172">
        <f t="shared" si="735"/>
        <v>15</v>
      </c>
      <c r="U272" s="217">
        <f t="shared" si="736"/>
        <v>13.263392252383763</v>
      </c>
      <c r="V272" s="217">
        <f t="shared" si="737"/>
        <v>1.8798298059303984</v>
      </c>
      <c r="W272" s="217">
        <f t="shared" si="738"/>
        <v>10.20298172964752</v>
      </c>
      <c r="X272" s="197">
        <f t="shared" si="739"/>
        <v>109.77074510621651</v>
      </c>
      <c r="Y272" s="443">
        <f t="shared" si="680"/>
        <v>81.414584690438218</v>
      </c>
      <c r="AA272" s="217">
        <f t="shared" si="740"/>
        <v>10</v>
      </c>
      <c r="AB272" s="173">
        <f t="shared" si="741"/>
        <v>7.6925883933002046</v>
      </c>
      <c r="AC272" s="173">
        <f t="shared" si="742"/>
        <v>4.2221057986399817</v>
      </c>
      <c r="AD272" s="173"/>
      <c r="AE272" s="173">
        <f t="shared" si="743"/>
        <v>7.6925883933002046</v>
      </c>
      <c r="AF272" s="545">
        <f t="shared" si="744"/>
        <v>145.59468708548798</v>
      </c>
      <c r="AG272" s="528">
        <f t="shared" si="745"/>
        <v>4.2221057986399826</v>
      </c>
      <c r="AI272" s="173">
        <f t="shared" si="746"/>
        <v>6.4496885215043633</v>
      </c>
      <c r="AJ272" s="173">
        <f t="shared" si="747"/>
        <v>13.263392252383763</v>
      </c>
      <c r="AK272" s="173">
        <f t="shared" si="748"/>
        <v>3.6173275943583434</v>
      </c>
      <c r="AM272" s="545">
        <f t="shared" si="749"/>
        <v>5600.0000000000009</v>
      </c>
      <c r="AN272" s="460">
        <f t="shared" si="750"/>
        <v>81.414584690438218</v>
      </c>
      <c r="AP272">
        <f t="shared" si="751"/>
        <v>5600.0000000000009</v>
      </c>
      <c r="AQ272">
        <f t="shared" si="752"/>
        <v>81.414584690438218</v>
      </c>
      <c r="AS272" s="5">
        <f t="shared" si="763"/>
        <v>12.28281153557792</v>
      </c>
      <c r="AT272" s="5">
        <f t="shared" si="753"/>
        <v>1.8798298059303984</v>
      </c>
      <c r="AU272" s="5">
        <f t="shared" si="722"/>
        <v>10.402981729647522</v>
      </c>
      <c r="AV272" s="5"/>
      <c r="AW272" s="173">
        <f t="shared" si="723"/>
        <v>0.15304556293853044</v>
      </c>
      <c r="AX272" s="173">
        <f t="shared" si="631"/>
        <v>85.933537381586092</v>
      </c>
      <c r="AY272" s="173">
        <f t="shared" si="632"/>
        <v>5.6167444593215734</v>
      </c>
      <c r="AZ272" s="173">
        <f t="shared" si="633"/>
        <v>15.299527689740348</v>
      </c>
      <c r="BA272" s="460">
        <f t="shared" si="724"/>
        <v>70.180312754734885</v>
      </c>
      <c r="BB272" s="5">
        <f t="shared" si="725"/>
        <v>3.5589492537765901</v>
      </c>
      <c r="BD272" s="173">
        <f t="shared" si="681"/>
        <v>2.9957416527366121</v>
      </c>
      <c r="BE272" s="173">
        <f t="shared" si="682"/>
        <v>7.0473202919211406</v>
      </c>
      <c r="BG272" s="528">
        <f t="shared" si="683"/>
        <v>0.17948936099882176</v>
      </c>
      <c r="BH272" s="528">
        <f t="shared" si="754"/>
        <v>2.0300947985778222</v>
      </c>
      <c r="BI272" s="528">
        <f t="shared" si="755"/>
        <v>0.1723294686158702</v>
      </c>
      <c r="BJ272" s="528">
        <f t="shared" si="684"/>
        <v>8.1849994332677187E-2</v>
      </c>
      <c r="BK272">
        <f t="shared" si="685"/>
        <v>3.8100426930630427E-2</v>
      </c>
      <c r="BL272" s="460">
        <f t="shared" si="686"/>
        <v>210.42989554650063</v>
      </c>
      <c r="BM272" s="528">
        <f t="shared" si="756"/>
        <v>2.4441303052561381</v>
      </c>
      <c r="BN272" s="460">
        <f t="shared" si="687"/>
        <v>2444.1303052561379</v>
      </c>
      <c r="BO272" s="528">
        <f t="shared" si="637"/>
        <v>3.92</v>
      </c>
      <c r="BR272" s="460">
        <f t="shared" si="688"/>
        <v>3920</v>
      </c>
      <c r="BS272" s="528">
        <f t="shared" si="689"/>
        <v>0.2692340414982326</v>
      </c>
      <c r="BT272" s="528">
        <f t="shared" si="690"/>
        <v>1.4899416989077041</v>
      </c>
      <c r="BU272" s="528">
        <f t="shared" si="691"/>
        <v>1.9158524911371007</v>
      </c>
      <c r="BV272" s="528"/>
      <c r="BW272" s="528">
        <f t="shared" si="692"/>
        <v>1.4322256230264348E-2</v>
      </c>
      <c r="BX272" s="460">
        <f t="shared" si="693"/>
        <v>3689.3504877733017</v>
      </c>
      <c r="BY272" s="173">
        <f t="shared" si="694"/>
        <v>10.111214537229122</v>
      </c>
      <c r="BZ272" s="5">
        <f t="shared" si="695"/>
        <v>84.000000000000014</v>
      </c>
      <c r="CA272" s="173">
        <f t="shared" si="696"/>
        <v>0.89256100256543547</v>
      </c>
      <c r="CB272" s="5">
        <f t="shared" si="697"/>
        <v>89.256100256543547</v>
      </c>
      <c r="CE272" s="562">
        <f t="shared" si="757"/>
        <v>-50</v>
      </c>
      <c r="CF272">
        <f t="shared" si="758"/>
        <v>-50</v>
      </c>
      <c r="CG272" s="173">
        <f t="shared" si="759"/>
        <v>0.84239763569118831</v>
      </c>
      <c r="CI272" s="170">
        <v>56</v>
      </c>
      <c r="CJ272" s="217">
        <f t="shared" si="698"/>
        <v>5.6000000000000005</v>
      </c>
      <c r="CK272" s="217"/>
      <c r="CL272" s="217">
        <f t="shared" si="641"/>
        <v>84.000000000000014</v>
      </c>
      <c r="CM272" s="541">
        <f t="shared" si="642"/>
        <v>85</v>
      </c>
      <c r="CN272" s="443">
        <f t="shared" si="643"/>
        <v>15.4</v>
      </c>
      <c r="CO272" s="443">
        <f t="shared" si="644"/>
        <v>100.4</v>
      </c>
      <c r="CP272" s="443"/>
      <c r="CQ272" s="217">
        <f t="shared" si="645"/>
        <v>0.15338645418326693</v>
      </c>
      <c r="CR272" s="172">
        <f t="shared" si="646"/>
        <v>327.33148655378488</v>
      </c>
      <c r="CS272" s="172">
        <f t="shared" si="647"/>
        <v>84.000000000000014</v>
      </c>
      <c r="CT272" s="217">
        <f t="shared" si="648"/>
        <v>21.822099103585661</v>
      </c>
      <c r="CU272" s="217">
        <f t="shared" si="649"/>
        <v>15</v>
      </c>
      <c r="CV272" s="217"/>
      <c r="CW272" s="172">
        <f t="shared" si="650"/>
        <v>294.57954794258978</v>
      </c>
      <c r="CX272" s="172">
        <f t="shared" si="651"/>
        <v>15</v>
      </c>
      <c r="CY272" s="217">
        <f t="shared" si="652"/>
        <v>12.885561497326204</v>
      </c>
      <c r="CZ272" s="217">
        <f t="shared" si="653"/>
        <v>1.8191380937401698</v>
      </c>
      <c r="DA272" s="217">
        <f t="shared" si="654"/>
        <v>10.040697270643795</v>
      </c>
      <c r="DB272" s="197">
        <f t="shared" si="655"/>
        <v>108.64873837981409</v>
      </c>
      <c r="DC272" s="443">
        <f t="shared" si="656"/>
        <v>84.318202510894892</v>
      </c>
      <c r="DE272" s="217">
        <f t="shared" si="657"/>
        <v>10</v>
      </c>
      <c r="DF272" s="173">
        <f t="shared" si="658"/>
        <v>7.7922077922077913</v>
      </c>
      <c r="DG272" s="173">
        <f t="shared" si="659"/>
        <v>4.2330677290836656</v>
      </c>
      <c r="DH272" s="173"/>
      <c r="DI272" s="173">
        <f t="shared" si="660"/>
        <v>7.7922077922077913</v>
      </c>
      <c r="DJ272" s="545">
        <f t="shared" si="661"/>
        <v>143.73333333333335</v>
      </c>
      <c r="DK272" s="528">
        <f t="shared" si="662"/>
        <v>4.2330677290836656</v>
      </c>
      <c r="DM272" s="173">
        <f t="shared" si="663"/>
        <v>6.408327915038889</v>
      </c>
      <c r="DN272" s="173">
        <f t="shared" si="664"/>
        <v>12.885561497326204</v>
      </c>
      <c r="DO272" s="173">
        <f t="shared" si="665"/>
        <v>3.3374529609823735</v>
      </c>
      <c r="DQ272" s="545">
        <f t="shared" si="666"/>
        <v>5600.0000000000009</v>
      </c>
      <c r="DR272" s="460">
        <f t="shared" si="667"/>
        <v>84.318202510894892</v>
      </c>
      <c r="DT272">
        <f t="shared" si="668"/>
        <v>5600.0000000000009</v>
      </c>
      <c r="DU272">
        <f t="shared" si="669"/>
        <v>84.318202510894892</v>
      </c>
      <c r="DW272" s="5">
        <f t="shared" si="670"/>
        <v>11.859835364383965</v>
      </c>
      <c r="DX272" s="5">
        <f t="shared" si="671"/>
        <v>1.8191380937401698</v>
      </c>
      <c r="DY272" s="5">
        <f t="shared" si="672"/>
        <v>10.040697270643795</v>
      </c>
      <c r="DZ272" s="5"/>
      <c r="EA272" s="173">
        <f t="shared" si="673"/>
        <v>0.15338645418326691</v>
      </c>
      <c r="EB272" s="173">
        <f t="shared" si="699"/>
        <v>84.000000000000014</v>
      </c>
      <c r="EC272" s="173">
        <f t="shared" si="700"/>
        <v>5.454545454545455</v>
      </c>
      <c r="ED272" s="173">
        <f t="shared" si="701"/>
        <v>15.4</v>
      </c>
      <c r="EE272" s="460">
        <f t="shared" si="674"/>
        <v>67.914488832966342</v>
      </c>
      <c r="EF272" s="5">
        <f t="shared" si="675"/>
        <v>3.4215763518623885</v>
      </c>
      <c r="EH272" s="173">
        <f t="shared" si="702"/>
        <v>2.9136422402417206</v>
      </c>
      <c r="EI272" s="173">
        <f t="shared" si="703"/>
        <v>6.8451871605533468</v>
      </c>
      <c r="EK272" s="528">
        <f t="shared" si="704"/>
        <v>0.16978622208241587</v>
      </c>
      <c r="EL272" s="528">
        <f t="shared" si="705"/>
        <v>2.1816666666666671</v>
      </c>
      <c r="EM272" s="528">
        <f t="shared" si="706"/>
        <v>1.053977531386186E-2</v>
      </c>
      <c r="EN272" s="528">
        <f t="shared" si="707"/>
        <v>8.4994097222222231E-2</v>
      </c>
      <c r="EO272">
        <f t="shared" si="708"/>
        <v>3.8249999999999999E-2</v>
      </c>
      <c r="EP272" s="460">
        <f t="shared" si="709"/>
        <v>48.78977531386186</v>
      </c>
      <c r="EQ272" s="460"/>
      <c r="ER272" s="460">
        <f t="shared" si="710"/>
        <v>2485.2367612851672</v>
      </c>
      <c r="ES272" s="528">
        <f t="shared" si="711"/>
        <v>3.92</v>
      </c>
      <c r="EV272" s="460">
        <f t="shared" si="712"/>
        <v>3920</v>
      </c>
      <c r="EW272" s="528">
        <f t="shared" si="713"/>
        <v>0.25467933312362379</v>
      </c>
      <c r="EX272" s="528">
        <f t="shared" si="714"/>
        <v>1.4056976178901317</v>
      </c>
      <c r="EY272" s="528">
        <f t="shared" si="715"/>
        <v>1.9455021880180816</v>
      </c>
      <c r="EZ272" s="528"/>
      <c r="FA272" s="528">
        <f t="shared" si="716"/>
        <v>1.4000000000000005E-2</v>
      </c>
      <c r="FB272" s="460">
        <f t="shared" si="717"/>
        <v>3619.8791390318374</v>
      </c>
      <c r="FC272" s="173">
        <f t="shared" si="718"/>
        <v>10.025115900317005</v>
      </c>
      <c r="FD272" s="5">
        <f t="shared" si="719"/>
        <v>84.000000000000014</v>
      </c>
      <c r="FE272" s="173">
        <f t="shared" si="720"/>
        <v>0.89337831914033083</v>
      </c>
      <c r="FF272" s="5">
        <f t="shared" si="721"/>
        <v>89.337831914033089</v>
      </c>
      <c r="FI272" s="562">
        <f t="shared" si="676"/>
        <v>-50</v>
      </c>
      <c r="FJ272">
        <f t="shared" si="677"/>
        <v>-50</v>
      </c>
      <c r="FL272">
        <f t="shared" si="760"/>
        <v>0.84661354581673309</v>
      </c>
    </row>
    <row r="273" spans="5:168">
      <c r="E273" s="170">
        <v>57</v>
      </c>
      <c r="F273" s="217">
        <f t="shared" si="761"/>
        <v>5.6999999999999993</v>
      </c>
      <c r="G273" s="217"/>
      <c r="H273" s="217">
        <f t="shared" si="726"/>
        <v>85.499999999999986</v>
      </c>
      <c r="I273" s="541">
        <f t="shared" si="727"/>
        <v>84.661709664362277</v>
      </c>
      <c r="J273" s="172">
        <f t="shared" si="728"/>
        <v>15.602974201382635</v>
      </c>
      <c r="K273" s="172">
        <f t="shared" si="729"/>
        <v>100.26468386574491</v>
      </c>
      <c r="L273" s="443"/>
      <c r="M273" s="217">
        <f t="shared" si="730"/>
        <v>0.15560948380843573</v>
      </c>
      <c r="N273" s="172">
        <f t="shared" si="731"/>
        <v>330.75387850506792</v>
      </c>
      <c r="O273" s="172">
        <f t="shared" si="762"/>
        <v>85.499999999999986</v>
      </c>
      <c r="P273" s="217">
        <f t="shared" si="732"/>
        <v>22.050258567004526</v>
      </c>
      <c r="Q273" s="217">
        <f t="shared" si="733"/>
        <v>15</v>
      </c>
      <c r="R273" s="217"/>
      <c r="S273" s="172">
        <f t="shared" si="734"/>
        <v>286.77949999899528</v>
      </c>
      <c r="T273" s="172">
        <f t="shared" si="735"/>
        <v>15</v>
      </c>
      <c r="U273" s="217">
        <f t="shared" si="736"/>
        <v>13.500862197525814</v>
      </c>
      <c r="V273" s="217">
        <f t="shared" si="737"/>
        <v>1.913620065228931</v>
      </c>
      <c r="W273" s="217">
        <f t="shared" si="738"/>
        <v>10.383298996671638</v>
      </c>
      <c r="X273" s="197">
        <f t="shared" si="739"/>
        <v>109.7906079528116</v>
      </c>
      <c r="Y273" s="443">
        <f t="shared" si="680"/>
        <v>80.01972286503046</v>
      </c>
      <c r="AA273" s="217">
        <f t="shared" si="740"/>
        <v>10</v>
      </c>
      <c r="AB273" s="173">
        <f t="shared" si="741"/>
        <v>7.6908414031323833</v>
      </c>
      <c r="AC273" s="173">
        <f t="shared" si="742"/>
        <v>4.2219107665927949</v>
      </c>
      <c r="AD273" s="173"/>
      <c r="AE273" s="173">
        <f t="shared" si="743"/>
        <v>7.6908414031323833</v>
      </c>
      <c r="AF273" s="545">
        <f t="shared" si="744"/>
        <v>148.228254913135</v>
      </c>
      <c r="AG273" s="528">
        <f t="shared" si="745"/>
        <v>4.2219107665927949</v>
      </c>
      <c r="AI273" s="173">
        <f t="shared" si="746"/>
        <v>6.5077592130610844</v>
      </c>
      <c r="AJ273" s="173">
        <f t="shared" si="747"/>
        <v>13.500862197525814</v>
      </c>
      <c r="AK273" s="173">
        <f t="shared" si="748"/>
        <v>3.7932312574265294</v>
      </c>
      <c r="AM273" s="545">
        <f t="shared" si="749"/>
        <v>5699.9999999999991</v>
      </c>
      <c r="AN273" s="460">
        <f t="shared" si="750"/>
        <v>80.01972286503046</v>
      </c>
      <c r="AP273">
        <f t="shared" si="751"/>
        <v>5699.9999999999991</v>
      </c>
      <c r="AQ273">
        <f t="shared" si="752"/>
        <v>80.01972286503046</v>
      </c>
      <c r="AS273" s="5">
        <f t="shared" si="763"/>
        <v>12.49691906190057</v>
      </c>
      <c r="AT273" s="5">
        <f t="shared" si="753"/>
        <v>1.913620065228931</v>
      </c>
      <c r="AU273" s="5">
        <f t="shared" si="722"/>
        <v>10.583298996671639</v>
      </c>
      <c r="AV273" s="5"/>
      <c r="AW273" s="173">
        <f t="shared" si="723"/>
        <v>0.15312734728858057</v>
      </c>
      <c r="AX273" s="173">
        <f t="shared" si="631"/>
        <v>87.512744144568799</v>
      </c>
      <c r="AY273" s="173">
        <f t="shared" si="632"/>
        <v>5.7167554915550047</v>
      </c>
      <c r="AZ273" s="173">
        <f t="shared" si="633"/>
        <v>15.308113889748434</v>
      </c>
      <c r="BA273" s="460">
        <f t="shared" si="724"/>
        <v>72.717562478699378</v>
      </c>
      <c r="BB273" s="5">
        <f t="shared" si="725"/>
        <v>3.6855486496370786</v>
      </c>
      <c r="BD273" s="173">
        <f t="shared" si="681"/>
        <v>3.0501925545619475</v>
      </c>
      <c r="BE273" s="173">
        <f t="shared" si="682"/>
        <v>7.1731503124932523</v>
      </c>
      <c r="BG273" s="528">
        <f t="shared" si="683"/>
        <v>0.18607349239810281</v>
      </c>
      <c r="BH273" s="528">
        <f t="shared" si="754"/>
        <v>2.0309901086092825</v>
      </c>
      <c r="BI273" s="528">
        <f t="shared" si="755"/>
        <v>0.16936516361554851</v>
      </c>
      <c r="BJ273" s="528">
        <f t="shared" si="684"/>
        <v>8.0443882055269367E-2</v>
      </c>
      <c r="BK273">
        <f t="shared" si="685"/>
        <v>3.8097769348963022E-2</v>
      </c>
      <c r="BL273" s="460">
        <f t="shared" si="686"/>
        <v>207.46293296451154</v>
      </c>
      <c r="BM273" s="528">
        <f t="shared" si="756"/>
        <v>2.4563449441215623</v>
      </c>
      <c r="BN273" s="460">
        <f t="shared" si="687"/>
        <v>2456.3449441215625</v>
      </c>
      <c r="BO273" s="528">
        <f t="shared" si="637"/>
        <v>3.9899999999999993</v>
      </c>
      <c r="BR273" s="460">
        <f t="shared" si="688"/>
        <v>3989.9999999999995</v>
      </c>
      <c r="BS273" s="528">
        <f t="shared" si="689"/>
        <v>0.27911023859715417</v>
      </c>
      <c r="BT273" s="528">
        <f t="shared" si="690"/>
        <v>1.5436225621686612</v>
      </c>
      <c r="BU273" s="528">
        <f t="shared" si="691"/>
        <v>1.9180784804039013</v>
      </c>
      <c r="BV273" s="528"/>
      <c r="BW273" s="528">
        <f t="shared" si="692"/>
        <v>1.4585457357428134E-2</v>
      </c>
      <c r="BX273" s="460">
        <f t="shared" si="693"/>
        <v>3755.3967385271449</v>
      </c>
      <c r="BY273" s="173">
        <f t="shared" si="694"/>
        <v>10.25036715455431</v>
      </c>
      <c r="BZ273" s="5">
        <f t="shared" si="695"/>
        <v>85.499999999999986</v>
      </c>
      <c r="CA273" s="173">
        <f t="shared" si="696"/>
        <v>0.89294696762876313</v>
      </c>
      <c r="CB273" s="5">
        <f t="shared" si="697"/>
        <v>89.294696762876313</v>
      </c>
      <c r="CE273" s="562">
        <f t="shared" si="757"/>
        <v>-50</v>
      </c>
      <c r="CF273">
        <f t="shared" si="758"/>
        <v>-50</v>
      </c>
      <c r="CG273" s="173">
        <f t="shared" si="759"/>
        <v>0.84247159902672419</v>
      </c>
      <c r="CI273" s="170">
        <v>57</v>
      </c>
      <c r="CJ273" s="217">
        <f t="shared" si="698"/>
        <v>5.6999999999999993</v>
      </c>
      <c r="CK273" s="217"/>
      <c r="CL273" s="217">
        <f t="shared" si="641"/>
        <v>85.499999999999986</v>
      </c>
      <c r="CM273" s="541">
        <f t="shared" si="642"/>
        <v>85</v>
      </c>
      <c r="CN273" s="443">
        <f t="shared" si="643"/>
        <v>15.4</v>
      </c>
      <c r="CO273" s="443">
        <f t="shared" si="644"/>
        <v>100.4</v>
      </c>
      <c r="CP273" s="443"/>
      <c r="CQ273" s="217">
        <f t="shared" si="645"/>
        <v>0.15338645418326693</v>
      </c>
      <c r="CR273" s="172">
        <f t="shared" si="646"/>
        <v>327.33148655378488</v>
      </c>
      <c r="CS273" s="172">
        <f t="shared" si="647"/>
        <v>85.499999999999986</v>
      </c>
      <c r="CT273" s="217">
        <f t="shared" si="648"/>
        <v>21.822099103585661</v>
      </c>
      <c r="CU273" s="217">
        <f t="shared" si="649"/>
        <v>15</v>
      </c>
      <c r="CV273" s="217"/>
      <c r="CW273" s="172">
        <f t="shared" si="650"/>
        <v>287.92494005168686</v>
      </c>
      <c r="CX273" s="172">
        <f t="shared" si="651"/>
        <v>15</v>
      </c>
      <c r="CY273" s="217">
        <f t="shared" si="652"/>
        <v>13.115660809778454</v>
      </c>
      <c r="CZ273" s="217">
        <f t="shared" si="653"/>
        <v>1.8516227025569585</v>
      </c>
      <c r="DA273" s="217">
        <f t="shared" si="654"/>
        <v>10.219995436191004</v>
      </c>
      <c r="DB273" s="197">
        <f t="shared" si="655"/>
        <v>108.64873837981409</v>
      </c>
      <c r="DC273" s="443">
        <f t="shared" si="656"/>
        <v>82.838935800177438</v>
      </c>
      <c r="DE273" s="217">
        <f t="shared" si="657"/>
        <v>10</v>
      </c>
      <c r="DF273" s="173">
        <f t="shared" si="658"/>
        <v>7.7922077922077913</v>
      </c>
      <c r="DG273" s="173">
        <f t="shared" si="659"/>
        <v>4.2330677290836656</v>
      </c>
      <c r="DH273" s="173"/>
      <c r="DI273" s="173">
        <f t="shared" si="660"/>
        <v>7.7922077922077913</v>
      </c>
      <c r="DJ273" s="545">
        <f t="shared" si="661"/>
        <v>146.30000000000001</v>
      </c>
      <c r="DK273" s="528">
        <f t="shared" si="662"/>
        <v>4.2330677290836656</v>
      </c>
      <c r="DM273" s="173">
        <f t="shared" si="663"/>
        <v>6.4652919500978454</v>
      </c>
      <c r="DN273" s="173">
        <f t="shared" si="664"/>
        <v>13.115660809778454</v>
      </c>
      <c r="DO273" s="173">
        <f t="shared" si="665"/>
        <v>3.5078968961321877</v>
      </c>
      <c r="DQ273" s="545">
        <f t="shared" si="666"/>
        <v>5699.9999999999991</v>
      </c>
      <c r="DR273" s="460">
        <f t="shared" si="667"/>
        <v>82.838935800177438</v>
      </c>
      <c r="DT273">
        <f t="shared" si="668"/>
        <v>5699.9999999999991</v>
      </c>
      <c r="DU273">
        <f t="shared" si="669"/>
        <v>82.838935800177438</v>
      </c>
      <c r="DW273" s="5">
        <f t="shared" si="670"/>
        <v>12.071618138747963</v>
      </c>
      <c r="DX273" s="5">
        <f t="shared" si="671"/>
        <v>1.8516227025569585</v>
      </c>
      <c r="DY273" s="5">
        <f t="shared" si="672"/>
        <v>10.219995436191004</v>
      </c>
      <c r="DZ273" s="5"/>
      <c r="EA273" s="173">
        <f t="shared" si="673"/>
        <v>0.15338645418326693</v>
      </c>
      <c r="EB273" s="173">
        <f t="shared" si="699"/>
        <v>85.499999999999972</v>
      </c>
      <c r="EC273" s="173">
        <f t="shared" si="700"/>
        <v>5.5519480519480506</v>
      </c>
      <c r="ED273" s="173">
        <f t="shared" si="701"/>
        <v>15.399999999999999</v>
      </c>
      <c r="EE273" s="460">
        <f t="shared" si="674"/>
        <v>70.361662697164419</v>
      </c>
      <c r="EF273" s="5">
        <f t="shared" si="675"/>
        <v>3.5448665711737548</v>
      </c>
      <c r="EH273" s="173">
        <f t="shared" si="702"/>
        <v>2.9656715659603221</v>
      </c>
      <c r="EI273" s="173">
        <f t="shared" si="703"/>
        <v>6.967422645563226</v>
      </c>
      <c r="EK273" s="528">
        <f t="shared" si="704"/>
        <v>0.17590415674291099</v>
      </c>
      <c r="EL273" s="528">
        <f t="shared" si="705"/>
        <v>2.1816666666666666</v>
      </c>
      <c r="EM273" s="528">
        <f t="shared" si="706"/>
        <v>1.0354866975022178E-2</v>
      </c>
      <c r="EN273" s="528">
        <f t="shared" si="707"/>
        <v>8.3502972709551676E-2</v>
      </c>
      <c r="EO273">
        <f t="shared" si="708"/>
        <v>3.8249999999999999E-2</v>
      </c>
      <c r="EP273" s="460">
        <f t="shared" si="709"/>
        <v>48.604866975022176</v>
      </c>
      <c r="EQ273" s="460"/>
      <c r="ER273" s="460">
        <f t="shared" si="710"/>
        <v>2489.6786630941515</v>
      </c>
      <c r="ES273" s="528">
        <f t="shared" si="711"/>
        <v>3.9899999999999993</v>
      </c>
      <c r="EV273" s="460">
        <f t="shared" si="712"/>
        <v>3989.9999999999995</v>
      </c>
      <c r="EW273" s="528">
        <f t="shared" si="713"/>
        <v>0.26385623511436646</v>
      </c>
      <c r="EX273" s="528">
        <f t="shared" si="714"/>
        <v>1.456349349657218</v>
      </c>
      <c r="EY273" s="528">
        <f t="shared" si="715"/>
        <v>1.9455021880180834</v>
      </c>
      <c r="EZ273" s="528"/>
      <c r="FA273" s="528">
        <f t="shared" si="716"/>
        <v>1.4249999999999995E-2</v>
      </c>
      <c r="FB273" s="460">
        <f t="shared" si="717"/>
        <v>3679.9577727896681</v>
      </c>
      <c r="FC273" s="173">
        <f t="shared" si="718"/>
        <v>10.15963643588382</v>
      </c>
      <c r="FD273" s="5">
        <f t="shared" si="719"/>
        <v>85.499999999999986</v>
      </c>
      <c r="FE273" s="173">
        <f t="shared" si="720"/>
        <v>0.89379390499049871</v>
      </c>
      <c r="FF273" s="5">
        <f t="shared" si="721"/>
        <v>89.379390499049876</v>
      </c>
      <c r="FI273" s="562">
        <f t="shared" si="676"/>
        <v>-50</v>
      </c>
      <c r="FJ273">
        <f t="shared" si="677"/>
        <v>-50</v>
      </c>
      <c r="FL273">
        <f t="shared" si="760"/>
        <v>0.84661354581673309</v>
      </c>
    </row>
    <row r="274" spans="5:168">
      <c r="E274" s="170">
        <v>58</v>
      </c>
      <c r="F274" s="217">
        <f t="shared" si="761"/>
        <v>5.8</v>
      </c>
      <c r="G274" s="217"/>
      <c r="H274" s="217">
        <f t="shared" si="726"/>
        <v>87</v>
      </c>
      <c r="I274" s="541">
        <f t="shared" si="727"/>
        <v>84.655803922288555</v>
      </c>
      <c r="J274" s="172">
        <f t="shared" si="728"/>
        <v>15.606517646626868</v>
      </c>
      <c r="K274" s="172">
        <f t="shared" si="729"/>
        <v>100.26232156891543</v>
      </c>
      <c r="L274" s="443"/>
      <c r="M274" s="217">
        <f t="shared" si="730"/>
        <v>0.15564849298733105</v>
      </c>
      <c r="N274" s="172">
        <f t="shared" si="731"/>
        <v>330.8137158355882</v>
      </c>
      <c r="O274" s="172">
        <f t="shared" si="762"/>
        <v>87</v>
      </c>
      <c r="P274" s="217">
        <f t="shared" si="732"/>
        <v>22.054247722372548</v>
      </c>
      <c r="Q274" s="217">
        <f t="shared" si="733"/>
        <v>15</v>
      </c>
      <c r="R274" s="217"/>
      <c r="S274" s="172">
        <f t="shared" si="734"/>
        <v>280.36051191351072</v>
      </c>
      <c r="T274" s="172">
        <f t="shared" si="735"/>
        <v>15</v>
      </c>
      <c r="U274" s="217">
        <f t="shared" si="736"/>
        <v>13.738354113964942</v>
      </c>
      <c r="V274" s="217">
        <f t="shared" si="737"/>
        <v>1.9474181536202286</v>
      </c>
      <c r="W274" s="217">
        <f t="shared" si="738"/>
        <v>10.56355127392635</v>
      </c>
      <c r="X274" s="197">
        <f t="shared" si="739"/>
        <v>109.81046827367283</v>
      </c>
      <c r="Y274" s="443">
        <f t="shared" si="680"/>
        <v>78.672205585897331</v>
      </c>
      <c r="AA274" s="217">
        <f t="shared" si="740"/>
        <v>10</v>
      </c>
      <c r="AB274" s="173">
        <f t="shared" si="741"/>
        <v>7.6890952047804424</v>
      </c>
      <c r="AC274" s="173">
        <f t="shared" si="742"/>
        <v>4.2217157251889628</v>
      </c>
      <c r="AD274" s="173"/>
      <c r="AE274" s="173">
        <f t="shared" si="743"/>
        <v>7.6890952047804424</v>
      </c>
      <c r="AF274" s="545">
        <f t="shared" si="744"/>
        <v>150.86300391739303</v>
      </c>
      <c r="AG274" s="528">
        <f t="shared" si="745"/>
        <v>4.2217157251889628</v>
      </c>
      <c r="AI274" s="173">
        <f t="shared" si="746"/>
        <v>6.5653419869013261</v>
      </c>
      <c r="AJ274" s="173">
        <f t="shared" si="747"/>
        <v>13.738354113964942</v>
      </c>
      <c r="AK274" s="173">
        <f t="shared" si="748"/>
        <v>3.9691511955295864</v>
      </c>
      <c r="AM274" s="545">
        <f t="shared" si="749"/>
        <v>5800</v>
      </c>
      <c r="AN274" s="460">
        <f t="shared" si="750"/>
        <v>78.672205585897331</v>
      </c>
      <c r="AP274">
        <f t="shared" si="751"/>
        <v>5800</v>
      </c>
      <c r="AQ274">
        <f t="shared" si="752"/>
        <v>78.672205585897331</v>
      </c>
      <c r="AS274" s="5">
        <f t="shared" si="763"/>
        <v>12.710969427546576</v>
      </c>
      <c r="AT274" s="5">
        <f t="shared" si="753"/>
        <v>1.9474181536202286</v>
      </c>
      <c r="AU274" s="5">
        <f t="shared" si="722"/>
        <v>10.763551273926348</v>
      </c>
      <c r="AV274" s="5"/>
      <c r="AW274" s="173">
        <f t="shared" si="723"/>
        <v>0.15320768134331922</v>
      </c>
      <c r="AX274" s="173">
        <f t="shared" si="631"/>
        <v>89.09267298763119</v>
      </c>
      <c r="AY274" s="173">
        <f t="shared" si="632"/>
        <v>5.816766367345461</v>
      </c>
      <c r="AZ274" s="173">
        <f t="shared" si="633"/>
        <v>15.316529384399104</v>
      </c>
      <c r="BA274" s="460">
        <f t="shared" si="724"/>
        <v>75.300168606648839</v>
      </c>
      <c r="BB274" s="5">
        <f t="shared" si="725"/>
        <v>3.8143461317101037</v>
      </c>
      <c r="BD274" s="173">
        <f t="shared" si="681"/>
        <v>3.1046621638599472</v>
      </c>
      <c r="BE274" s="173">
        <f t="shared" si="682"/>
        <v>7.2989860552816248</v>
      </c>
      <c r="BG274" s="528">
        <f t="shared" si="683"/>
        <v>0.1927785430340706</v>
      </c>
      <c r="BH274" s="528">
        <f t="shared" si="754"/>
        <v>2.0318659886449155</v>
      </c>
      <c r="BI274" s="528">
        <f t="shared" si="755"/>
        <v>0.16650147025534245</v>
      </c>
      <c r="BJ274" s="528">
        <f t="shared" si="684"/>
        <v>7.9085495277828752E-2</v>
      </c>
      <c r="BK274">
        <f t="shared" si="685"/>
        <v>3.8095111765029846E-2</v>
      </c>
      <c r="BL274" s="460">
        <f t="shared" si="686"/>
        <v>204.5965820203723</v>
      </c>
      <c r="BM274" s="528">
        <f t="shared" si="756"/>
        <v>2.4688645545328765</v>
      </c>
      <c r="BN274" s="460">
        <f t="shared" si="687"/>
        <v>2468.8645545328764</v>
      </c>
      <c r="BO274" s="528">
        <f t="shared" si="637"/>
        <v>4.0599999999999996</v>
      </c>
      <c r="BR274" s="460">
        <f t="shared" si="688"/>
        <v>4059.9999999999995</v>
      </c>
      <c r="BS274" s="528">
        <f t="shared" si="689"/>
        <v>0.28916781455110591</v>
      </c>
      <c r="BT274" s="528">
        <f t="shared" si="690"/>
        <v>1.5982559230558684</v>
      </c>
      <c r="BU274" s="528">
        <f t="shared" si="691"/>
        <v>1.9202602186428703</v>
      </c>
      <c r="BV274" s="528"/>
      <c r="BW274" s="528">
        <f t="shared" si="692"/>
        <v>1.4848778831271862E-2</v>
      </c>
      <c r="BX274" s="460">
        <f t="shared" si="693"/>
        <v>3822.5327350811162</v>
      </c>
      <c r="BY274" s="173">
        <f t="shared" si="694"/>
        <v>10.390859344058303</v>
      </c>
      <c r="BZ274" s="5">
        <f t="shared" si="695"/>
        <v>87</v>
      </c>
      <c r="CA274" s="173">
        <f t="shared" si="696"/>
        <v>0.89330765316126937</v>
      </c>
      <c r="CB274" s="5">
        <f t="shared" si="697"/>
        <v>89.330765316126943</v>
      </c>
      <c r="CE274" s="562">
        <f t="shared" si="757"/>
        <v>-50</v>
      </c>
      <c r="CF274">
        <f t="shared" si="758"/>
        <v>-50</v>
      </c>
      <c r="CG274" s="173">
        <f t="shared" si="759"/>
        <v>0.84254301190241399</v>
      </c>
      <c r="CI274" s="170">
        <v>58</v>
      </c>
      <c r="CJ274" s="217">
        <f t="shared" si="698"/>
        <v>5.8</v>
      </c>
      <c r="CK274" s="217"/>
      <c r="CL274" s="217">
        <f t="shared" si="641"/>
        <v>87</v>
      </c>
      <c r="CM274" s="541">
        <f t="shared" si="642"/>
        <v>85</v>
      </c>
      <c r="CN274" s="443">
        <f t="shared" si="643"/>
        <v>15.4</v>
      </c>
      <c r="CO274" s="443">
        <f t="shared" si="644"/>
        <v>100.4</v>
      </c>
      <c r="CP274" s="443"/>
      <c r="CQ274" s="217">
        <f t="shared" si="645"/>
        <v>0.15338645418326693</v>
      </c>
      <c r="CR274" s="172">
        <f t="shared" si="646"/>
        <v>327.33148655378488</v>
      </c>
      <c r="CS274" s="172">
        <f t="shared" si="647"/>
        <v>87</v>
      </c>
      <c r="CT274" s="217">
        <f t="shared" si="648"/>
        <v>21.822099103585661</v>
      </c>
      <c r="CU274" s="217">
        <f t="shared" si="649"/>
        <v>15</v>
      </c>
      <c r="CV274" s="217"/>
      <c r="CW274" s="172">
        <f t="shared" si="650"/>
        <v>281.49992052427274</v>
      </c>
      <c r="CX274" s="172">
        <f t="shared" si="651"/>
        <v>15</v>
      </c>
      <c r="CY274" s="217">
        <f t="shared" si="652"/>
        <v>13.345760122230709</v>
      </c>
      <c r="CZ274" s="217">
        <f t="shared" si="653"/>
        <v>1.8841073113737474</v>
      </c>
      <c r="DA274" s="217">
        <f t="shared" si="654"/>
        <v>10.399293601738217</v>
      </c>
      <c r="DB274" s="197">
        <f t="shared" si="655"/>
        <v>108.64873837981409</v>
      </c>
      <c r="DC274" s="443">
        <f t="shared" si="656"/>
        <v>81.41067828638127</v>
      </c>
      <c r="DE274" s="217">
        <f t="shared" si="657"/>
        <v>10</v>
      </c>
      <c r="DF274" s="173">
        <f t="shared" si="658"/>
        <v>7.7922077922077913</v>
      </c>
      <c r="DG274" s="173">
        <f t="shared" si="659"/>
        <v>4.2330677290836656</v>
      </c>
      <c r="DH274" s="173"/>
      <c r="DI274" s="173">
        <f t="shared" si="660"/>
        <v>7.7922077922077913</v>
      </c>
      <c r="DJ274" s="545">
        <f t="shared" si="661"/>
        <v>148.86666666666665</v>
      </c>
      <c r="DK274" s="528">
        <f t="shared" si="662"/>
        <v>4.2330677290836656</v>
      </c>
      <c r="DM274" s="173">
        <f t="shared" si="663"/>
        <v>6.521758454077653</v>
      </c>
      <c r="DN274" s="173">
        <f t="shared" si="664"/>
        <v>13.345760122230709</v>
      </c>
      <c r="DO274" s="173">
        <f t="shared" si="665"/>
        <v>3.6783408312820072</v>
      </c>
      <c r="DQ274" s="545">
        <f t="shared" si="666"/>
        <v>5800</v>
      </c>
      <c r="DR274" s="460">
        <f t="shared" si="667"/>
        <v>81.41067828638127</v>
      </c>
      <c r="DT274">
        <f t="shared" si="668"/>
        <v>5800</v>
      </c>
      <c r="DU274">
        <f t="shared" si="669"/>
        <v>81.41067828638127</v>
      </c>
      <c r="DW274" s="5">
        <f t="shared" si="670"/>
        <v>12.283400913111965</v>
      </c>
      <c r="DX274" s="5">
        <f t="shared" si="671"/>
        <v>1.8841073113737474</v>
      </c>
      <c r="DY274" s="5">
        <f t="shared" si="672"/>
        <v>10.399293601738218</v>
      </c>
      <c r="DZ274" s="5"/>
      <c r="EA274" s="173">
        <f t="shared" si="673"/>
        <v>0.15338645418326691</v>
      </c>
      <c r="EB274" s="173">
        <f t="shared" si="699"/>
        <v>86.999999999999986</v>
      </c>
      <c r="EC274" s="173">
        <f t="shared" si="700"/>
        <v>5.6493506493506489</v>
      </c>
      <c r="ED274" s="173">
        <f t="shared" si="701"/>
        <v>15.399999999999999</v>
      </c>
      <c r="EE274" s="460">
        <f t="shared" si="674"/>
        <v>72.852149373118237</v>
      </c>
      <c r="EF274" s="5">
        <f t="shared" si="675"/>
        <v>3.6703389182605468</v>
      </c>
      <c r="EH274" s="173">
        <f t="shared" si="702"/>
        <v>3.0177008916789245</v>
      </c>
      <c r="EI274" s="173">
        <f t="shared" si="703"/>
        <v>7.0896581305731079</v>
      </c>
      <c r="EK274" s="528">
        <f t="shared" si="704"/>
        <v>0.18213037343279553</v>
      </c>
      <c r="EL274" s="528">
        <f t="shared" si="705"/>
        <v>2.1816666666666666</v>
      </c>
      <c r="EM274" s="528">
        <f t="shared" si="706"/>
        <v>1.0176334785797658E-2</v>
      </c>
      <c r="EN274" s="528">
        <f t="shared" si="707"/>
        <v>8.2063266283524908E-2</v>
      </c>
      <c r="EO274">
        <f t="shared" si="708"/>
        <v>3.8249999999999999E-2</v>
      </c>
      <c r="EP274" s="460">
        <f t="shared" si="709"/>
        <v>48.426334785797657</v>
      </c>
      <c r="EQ274" s="460"/>
      <c r="ER274" s="460">
        <f t="shared" si="710"/>
        <v>2494.2866411687851</v>
      </c>
      <c r="ES274" s="528">
        <f t="shared" si="711"/>
        <v>4.0599999999999996</v>
      </c>
      <c r="EV274" s="460">
        <f t="shared" si="712"/>
        <v>4059.9999999999995</v>
      </c>
      <c r="EW274" s="528">
        <f t="shared" si="713"/>
        <v>0.27319556014919327</v>
      </c>
      <c r="EX274" s="528">
        <f t="shared" si="714"/>
        <v>1.5078975722520414</v>
      </c>
      <c r="EY274" s="528">
        <f t="shared" si="715"/>
        <v>1.9455021880180821</v>
      </c>
      <c r="EZ274" s="528"/>
      <c r="FA274" s="528">
        <f t="shared" si="716"/>
        <v>1.4499999999999999E-2</v>
      </c>
      <c r="FB274" s="460">
        <f t="shared" si="717"/>
        <v>3741.0953204193165</v>
      </c>
      <c r="FC274" s="173">
        <f t="shared" si="718"/>
        <v>10.295381961588102</v>
      </c>
      <c r="FD274" s="5">
        <f t="shared" si="719"/>
        <v>87</v>
      </c>
      <c r="FE274" s="173">
        <f t="shared" si="720"/>
        <v>0.89418426903701664</v>
      </c>
      <c r="FF274" s="5">
        <f t="shared" si="721"/>
        <v>89.418426903701658</v>
      </c>
      <c r="FI274" s="562">
        <f t="shared" si="676"/>
        <v>-50</v>
      </c>
      <c r="FJ274">
        <f t="shared" si="677"/>
        <v>-50</v>
      </c>
      <c r="FL274">
        <f t="shared" si="760"/>
        <v>0.84661354581673309</v>
      </c>
    </row>
    <row r="275" spans="5:168">
      <c r="E275" s="170">
        <v>59</v>
      </c>
      <c r="F275" s="217">
        <f t="shared" si="761"/>
        <v>5.8999999999999995</v>
      </c>
      <c r="G275" s="217"/>
      <c r="H275" s="217">
        <f t="shared" si="726"/>
        <v>88.499999999999986</v>
      </c>
      <c r="I275" s="541">
        <f t="shared" si="727"/>
        <v>84.649898175437016</v>
      </c>
      <c r="J275" s="172">
        <f t="shared" si="728"/>
        <v>15.610061094737789</v>
      </c>
      <c r="K275" s="172">
        <f t="shared" si="729"/>
        <v>100.2599592701748</v>
      </c>
      <c r="L275" s="443"/>
      <c r="M275" s="217">
        <f t="shared" si="730"/>
        <v>0.15568750401184481</v>
      </c>
      <c r="N275" s="172">
        <f t="shared" si="731"/>
        <v>330.87354550195539</v>
      </c>
      <c r="O275" s="172">
        <f t="shared" si="762"/>
        <v>88.499999999999986</v>
      </c>
      <c r="P275" s="217">
        <f t="shared" si="732"/>
        <v>22.058236366797026</v>
      </c>
      <c r="Q275" s="217">
        <f t="shared" si="733"/>
        <v>15</v>
      </c>
      <c r="R275" s="217"/>
      <c r="S275" s="172">
        <f t="shared" si="734"/>
        <v>274.15943573969525</v>
      </c>
      <c r="T275" s="172">
        <f t="shared" si="735"/>
        <v>15</v>
      </c>
      <c r="U275" s="217">
        <f t="shared" si="736"/>
        <v>13.975868006299814</v>
      </c>
      <c r="V275" s="217">
        <f t="shared" si="737"/>
        <v>1.9812240733948403</v>
      </c>
      <c r="W275" s="217">
        <f t="shared" si="738"/>
        <v>10.743738609205931</v>
      </c>
      <c r="X275" s="197">
        <f t="shared" si="739"/>
        <v>109.83032606774906</v>
      </c>
      <c r="Y275" s="443">
        <f t="shared" si="680"/>
        <v>77.369662455286829</v>
      </c>
      <c r="AA275" s="217">
        <f t="shared" si="740"/>
        <v>10</v>
      </c>
      <c r="AB275" s="173">
        <f t="shared" si="741"/>
        <v>7.6873497977821783</v>
      </c>
      <c r="AC275" s="173">
        <f t="shared" si="742"/>
        <v>4.2215206744363067</v>
      </c>
      <c r="AD275" s="173"/>
      <c r="AE275" s="173">
        <f t="shared" si="743"/>
        <v>7.6873497977821783</v>
      </c>
      <c r="AF275" s="545">
        <f t="shared" si="744"/>
        <v>153.49893409825492</v>
      </c>
      <c r="AG275" s="528">
        <f t="shared" si="745"/>
        <v>4.2215206744363076</v>
      </c>
      <c r="AI275" s="173">
        <f t="shared" si="746"/>
        <v>6.6224495704978468</v>
      </c>
      <c r="AJ275" s="173">
        <f t="shared" si="747"/>
        <v>13.975868006299814</v>
      </c>
      <c r="AK275" s="173">
        <f t="shared" si="748"/>
        <v>4.1450874120739369</v>
      </c>
      <c r="AM275" s="545">
        <f t="shared" si="749"/>
        <v>5899.9999999999991</v>
      </c>
      <c r="AN275" s="460">
        <f t="shared" si="750"/>
        <v>77.369662455286829</v>
      </c>
      <c r="AP275">
        <f t="shared" si="751"/>
        <v>5899.9999999999991</v>
      </c>
      <c r="AQ275">
        <f t="shared" si="752"/>
        <v>77.369662455286829</v>
      </c>
      <c r="AS275" s="5">
        <f t="shared" si="763"/>
        <v>12.92496268260077</v>
      </c>
      <c r="AT275" s="5">
        <f t="shared" si="753"/>
        <v>1.9812240733948403</v>
      </c>
      <c r="AU275" s="5">
        <f t="shared" si="722"/>
        <v>10.94373860920593</v>
      </c>
      <c r="AV275" s="5"/>
      <c r="AW275" s="173">
        <f t="shared" si="723"/>
        <v>0.1532866378068472</v>
      </c>
      <c r="AX275" s="173">
        <f t="shared" si="631"/>
        <v>90.673323239434538</v>
      </c>
      <c r="AY275" s="173">
        <f t="shared" si="632"/>
        <v>5.9167770945909162</v>
      </c>
      <c r="AZ275" s="173">
        <f t="shared" si="633"/>
        <v>15.324782696702833</v>
      </c>
      <c r="BA275" s="460">
        <f t="shared" si="724"/>
        <v>77.928146886863715</v>
      </c>
      <c r="BB275" s="5">
        <f t="shared" si="725"/>
        <v>3.9453409859638162</v>
      </c>
      <c r="BD275" s="173">
        <f t="shared" si="681"/>
        <v>3.1591504731553628</v>
      </c>
      <c r="BE275" s="173">
        <f t="shared" si="682"/>
        <v>7.4248275264682411</v>
      </c>
      <c r="BG275" s="528">
        <f t="shared" si="683"/>
        <v>0.19960463424075506</v>
      </c>
      <c r="BH275" s="528">
        <f t="shared" si="754"/>
        <v>2.0327234082122958</v>
      </c>
      <c r="BI275" s="528">
        <f t="shared" si="755"/>
        <v>0.16373335121769905</v>
      </c>
      <c r="BJ275" s="528">
        <f t="shared" si="684"/>
        <v>7.777244453006367E-2</v>
      </c>
      <c r="BK275">
        <f t="shared" si="685"/>
        <v>3.8092454178946654E-2</v>
      </c>
      <c r="BL275" s="460">
        <f t="shared" si="686"/>
        <v>201.82580539664571</v>
      </c>
      <c r="BM275" s="528">
        <f t="shared" si="756"/>
        <v>2.4816905456673179</v>
      </c>
      <c r="BN275" s="460">
        <f t="shared" si="687"/>
        <v>2481.690545667318</v>
      </c>
      <c r="BO275" s="528">
        <f t="shared" si="637"/>
        <v>4.129999999999999</v>
      </c>
      <c r="BR275" s="460">
        <f t="shared" si="688"/>
        <v>4129.9999999999991</v>
      </c>
      <c r="BS275" s="528">
        <f t="shared" si="689"/>
        <v>0.2994069513611326</v>
      </c>
      <c r="BT275" s="528">
        <f t="shared" si="690"/>
        <v>1.653841913934015</v>
      </c>
      <c r="BU275" s="528">
        <f t="shared" si="691"/>
        <v>1.922399901525883</v>
      </c>
      <c r="BV275" s="528"/>
      <c r="BW275" s="528">
        <f t="shared" si="692"/>
        <v>1.5112220539905756E-2</v>
      </c>
      <c r="BX275" s="460">
        <f t="shared" si="693"/>
        <v>3890.7609873609363</v>
      </c>
      <c r="BY275" s="173">
        <f t="shared" si="694"/>
        <v>10.532687279740697</v>
      </c>
      <c r="BZ275" s="5">
        <f t="shared" si="695"/>
        <v>88.499999999999986</v>
      </c>
      <c r="CA275" s="173">
        <f t="shared" si="696"/>
        <v>0.89364433532951915</v>
      </c>
      <c r="CB275" s="5">
        <f t="shared" si="697"/>
        <v>89.364433532951921</v>
      </c>
      <c r="CE275" s="562">
        <f t="shared" si="757"/>
        <v>-50</v>
      </c>
      <c r="CF275">
        <f t="shared" si="758"/>
        <v>-50</v>
      </c>
      <c r="CG275" s="173">
        <f t="shared" si="759"/>
        <v>0.84261200400265668</v>
      </c>
      <c r="CI275" s="170">
        <v>59</v>
      </c>
      <c r="CJ275" s="217">
        <f t="shared" si="698"/>
        <v>5.8999999999999995</v>
      </c>
      <c r="CK275" s="217"/>
      <c r="CL275" s="217">
        <f t="shared" si="641"/>
        <v>88.499999999999986</v>
      </c>
      <c r="CM275" s="541">
        <f t="shared" si="642"/>
        <v>85</v>
      </c>
      <c r="CN275" s="443">
        <f t="shared" si="643"/>
        <v>15.4</v>
      </c>
      <c r="CO275" s="443">
        <f t="shared" si="644"/>
        <v>100.4</v>
      </c>
      <c r="CP275" s="443"/>
      <c r="CQ275" s="217">
        <f t="shared" si="645"/>
        <v>0.15338645418326693</v>
      </c>
      <c r="CR275" s="172">
        <f t="shared" si="646"/>
        <v>327.33148655378488</v>
      </c>
      <c r="CS275" s="172">
        <f t="shared" si="647"/>
        <v>88.499999999999986</v>
      </c>
      <c r="CT275" s="217">
        <f t="shared" si="648"/>
        <v>21.822099103585661</v>
      </c>
      <c r="CU275" s="217">
        <f t="shared" si="649"/>
        <v>15</v>
      </c>
      <c r="CV275" s="217"/>
      <c r="CW275" s="172">
        <f t="shared" si="650"/>
        <v>275.29281719036675</v>
      </c>
      <c r="CX275" s="172">
        <f t="shared" si="651"/>
        <v>15</v>
      </c>
      <c r="CY275" s="217">
        <f t="shared" si="652"/>
        <v>13.575859434682961</v>
      </c>
      <c r="CZ275" s="217">
        <f t="shared" si="653"/>
        <v>1.9165919201905357</v>
      </c>
      <c r="DA275" s="217">
        <f t="shared" si="654"/>
        <v>10.578591767285424</v>
      </c>
      <c r="DB275" s="197">
        <f t="shared" si="655"/>
        <v>108.64873837981409</v>
      </c>
      <c r="DC275" s="443">
        <f t="shared" si="656"/>
        <v>80.030836281527371</v>
      </c>
      <c r="DE275" s="217">
        <f t="shared" si="657"/>
        <v>10</v>
      </c>
      <c r="DF275" s="173">
        <f t="shared" si="658"/>
        <v>7.7922077922077913</v>
      </c>
      <c r="DG275" s="173">
        <f t="shared" si="659"/>
        <v>4.2330677290836656</v>
      </c>
      <c r="DH275" s="173"/>
      <c r="DI275" s="173">
        <f t="shared" si="660"/>
        <v>7.7922077922077913</v>
      </c>
      <c r="DJ275" s="545">
        <f t="shared" si="661"/>
        <v>151.43333333333331</v>
      </c>
      <c r="DK275" s="528">
        <f t="shared" si="662"/>
        <v>4.2330677290836656</v>
      </c>
      <c r="DM275" s="173">
        <f t="shared" si="663"/>
        <v>6.5777402401331315</v>
      </c>
      <c r="DN275" s="173">
        <f t="shared" si="664"/>
        <v>13.575859434682961</v>
      </c>
      <c r="DO275" s="173">
        <f t="shared" si="665"/>
        <v>3.8487847664318231</v>
      </c>
      <c r="DQ275" s="545">
        <f t="shared" si="666"/>
        <v>5899.9999999999991</v>
      </c>
      <c r="DR275" s="460">
        <f t="shared" si="667"/>
        <v>80.030836281527371</v>
      </c>
      <c r="DT275">
        <f t="shared" si="668"/>
        <v>5899.9999999999991</v>
      </c>
      <c r="DU275">
        <f t="shared" si="669"/>
        <v>80.030836281527371</v>
      </c>
      <c r="DW275" s="5">
        <f t="shared" si="670"/>
        <v>12.49518368747596</v>
      </c>
      <c r="DX275" s="5">
        <f t="shared" si="671"/>
        <v>1.9165919201905357</v>
      </c>
      <c r="DY275" s="5">
        <f t="shared" si="672"/>
        <v>10.578591767285424</v>
      </c>
      <c r="DZ275" s="5"/>
      <c r="EA275" s="173">
        <f t="shared" si="673"/>
        <v>0.15338645418326693</v>
      </c>
      <c r="EB275" s="173">
        <f t="shared" si="699"/>
        <v>88.499999999999986</v>
      </c>
      <c r="EC275" s="173">
        <f t="shared" si="700"/>
        <v>5.7467532467532454</v>
      </c>
      <c r="ED275" s="173">
        <f t="shared" si="701"/>
        <v>15.4</v>
      </c>
      <c r="EE275" s="460">
        <f t="shared" si="674"/>
        <v>75.385948860827739</v>
      </c>
      <c r="EF275" s="5">
        <f t="shared" si="675"/>
        <v>3.7979933931227579</v>
      </c>
      <c r="EH275" s="173">
        <f t="shared" si="702"/>
        <v>3.0697302173975265</v>
      </c>
      <c r="EI275" s="173">
        <f t="shared" si="703"/>
        <v>7.211893615582988</v>
      </c>
      <c r="EK275" s="528">
        <f t="shared" si="704"/>
        <v>0.18846487215206931</v>
      </c>
      <c r="EL275" s="528">
        <f t="shared" si="705"/>
        <v>2.1816666666666671</v>
      </c>
      <c r="EM275" s="528">
        <f t="shared" si="706"/>
        <v>1.0003854535190921E-2</v>
      </c>
      <c r="EN275" s="528">
        <f t="shared" si="707"/>
        <v>8.0672363465160116E-2</v>
      </c>
      <c r="EO275">
        <f t="shared" si="708"/>
        <v>3.8249999999999999E-2</v>
      </c>
      <c r="EP275" s="460">
        <f t="shared" si="709"/>
        <v>48.253854535190918</v>
      </c>
      <c r="EQ275" s="460"/>
      <c r="ER275" s="460">
        <f t="shared" si="710"/>
        <v>2499.0577568190874</v>
      </c>
      <c r="ES275" s="528">
        <f t="shared" si="711"/>
        <v>4.129999999999999</v>
      </c>
      <c r="EV275" s="460">
        <f t="shared" si="712"/>
        <v>4129.9999999999991</v>
      </c>
      <c r="EW275" s="528">
        <f t="shared" si="713"/>
        <v>0.28269730822810396</v>
      </c>
      <c r="EX275" s="528">
        <f t="shared" si="714"/>
        <v>1.5603422856745999</v>
      </c>
      <c r="EY275" s="528">
        <f t="shared" si="715"/>
        <v>1.9455021880180834</v>
      </c>
      <c r="EZ275" s="528"/>
      <c r="FA275" s="528">
        <f t="shared" si="716"/>
        <v>1.4749999999999997E-2</v>
      </c>
      <c r="FB275" s="460">
        <f t="shared" si="717"/>
        <v>3803.2917819207869</v>
      </c>
      <c r="FC275" s="173">
        <f t="shared" si="718"/>
        <v>10.432349538739874</v>
      </c>
      <c r="FD275" s="5">
        <f t="shared" si="719"/>
        <v>88.499999999999986</v>
      </c>
      <c r="FE275" s="173">
        <f t="shared" si="720"/>
        <v>0.89455067440145264</v>
      </c>
      <c r="FF275" s="5">
        <f t="shared" si="721"/>
        <v>89.455067440145257</v>
      </c>
      <c r="FI275" s="562">
        <f t="shared" si="676"/>
        <v>-50</v>
      </c>
      <c r="FJ275">
        <f t="shared" si="677"/>
        <v>-50</v>
      </c>
      <c r="FL275">
        <f t="shared" si="760"/>
        <v>0.84661354581673309</v>
      </c>
    </row>
    <row r="276" spans="5:168">
      <c r="E276" s="170">
        <v>60</v>
      </c>
      <c r="F276" s="217">
        <f t="shared" si="761"/>
        <v>6</v>
      </c>
      <c r="G276" s="217"/>
      <c r="H276" s="217">
        <f t="shared" si="726"/>
        <v>90</v>
      </c>
      <c r="I276" s="541">
        <f t="shared" si="727"/>
        <v>84.643992424047681</v>
      </c>
      <c r="J276" s="172">
        <f t="shared" si="728"/>
        <v>15.613604545571391</v>
      </c>
      <c r="K276" s="172">
        <f t="shared" si="729"/>
        <v>100.25759696961907</v>
      </c>
      <c r="L276" s="443"/>
      <c r="M276" s="217">
        <f t="shared" si="730"/>
        <v>0.15572651688174027</v>
      </c>
      <c r="N276" s="172">
        <f t="shared" si="731"/>
        <v>330.93336750376977</v>
      </c>
      <c r="O276" s="172">
        <f t="shared" si="762"/>
        <v>90</v>
      </c>
      <c r="P276" s="217">
        <f t="shared" si="732"/>
        <v>22.062224500251318</v>
      </c>
      <c r="Q276" s="217">
        <f t="shared" si="733"/>
        <v>15</v>
      </c>
      <c r="R276" s="217"/>
      <c r="S276" s="172">
        <f t="shared" si="734"/>
        <v>268.16537770374754</v>
      </c>
      <c r="T276" s="172">
        <f t="shared" si="735"/>
        <v>15</v>
      </c>
      <c r="U276" s="217">
        <f t="shared" si="736"/>
        <v>14.213403879130389</v>
      </c>
      <c r="V276" s="217">
        <f t="shared" si="737"/>
        <v>2.0150378268441371</v>
      </c>
      <c r="W276" s="217">
        <f t="shared" si="738"/>
        <v>10.923861050262234</v>
      </c>
      <c r="X276" s="197">
        <f t="shared" si="739"/>
        <v>109.85018133404755</v>
      </c>
      <c r="Y276" s="443">
        <f t="shared" si="680"/>
        <v>76.109878716125237</v>
      </c>
      <c r="AA276" s="217">
        <f t="shared" si="740"/>
        <v>10</v>
      </c>
      <c r="AB276" s="173">
        <f t="shared" si="741"/>
        <v>7.6856051816706561</v>
      </c>
      <c r="AC276" s="173">
        <f t="shared" si="742"/>
        <v>4.221325614342085</v>
      </c>
      <c r="AD276" s="173"/>
      <c r="AE276" s="173">
        <f t="shared" si="743"/>
        <v>7.6856051816706561</v>
      </c>
      <c r="AF276" s="545">
        <f t="shared" si="744"/>
        <v>156.13604545571394</v>
      </c>
      <c r="AG276" s="528">
        <f t="shared" si="745"/>
        <v>4.2213256143420859</v>
      </c>
      <c r="AI276" s="173">
        <f t="shared" si="746"/>
        <v>6.679094152774951</v>
      </c>
      <c r="AJ276" s="173">
        <f t="shared" si="747"/>
        <v>14.213403879130389</v>
      </c>
      <c r="AK276" s="173">
        <f t="shared" si="748"/>
        <v>4.321039910466955</v>
      </c>
      <c r="AM276" s="545">
        <f t="shared" si="749"/>
        <v>6000</v>
      </c>
      <c r="AN276" s="460">
        <f t="shared" si="750"/>
        <v>76.109878716125237</v>
      </c>
      <c r="AP276">
        <f t="shared" si="751"/>
        <v>6000</v>
      </c>
      <c r="AQ276">
        <f t="shared" si="752"/>
        <v>76.109878716125237</v>
      </c>
      <c r="AS276" s="5">
        <f t="shared" si="763"/>
        <v>13.138898877106371</v>
      </c>
      <c r="AT276" s="5">
        <f t="shared" si="753"/>
        <v>2.0150378268441371</v>
      </c>
      <c r="AU276" s="5">
        <f t="shared" si="722"/>
        <v>11.123861050262233</v>
      </c>
      <c r="AV276" s="5"/>
      <c r="AW276" s="173">
        <f t="shared" si="723"/>
        <v>0.15336428460951185</v>
      </c>
      <c r="AX276" s="173">
        <f t="shared" si="631"/>
        <v>92.254694272723086</v>
      </c>
      <c r="AY276" s="173">
        <f t="shared" si="632"/>
        <v>6.016787680670749</v>
      </c>
      <c r="AZ276" s="173">
        <f t="shared" si="633"/>
        <v>15.332881791573966</v>
      </c>
      <c r="BA276" s="460">
        <f t="shared" si="724"/>
        <v>80.601513073765474</v>
      </c>
      <c r="BB276" s="5">
        <f t="shared" si="725"/>
        <v>4.0785324993197767</v>
      </c>
      <c r="BD276" s="173">
        <f t="shared" si="681"/>
        <v>3.2136574755554195</v>
      </c>
      <c r="BE276" s="173">
        <f t="shared" si="682"/>
        <v>7.5506747318964615</v>
      </c>
      <c r="BG276" s="528">
        <f t="shared" si="683"/>
        <v>0.20655188740386465</v>
      </c>
      <c r="BH276" s="528">
        <f t="shared" si="754"/>
        <v>2.0335632731796722</v>
      </c>
      <c r="BI276" s="528">
        <f t="shared" si="755"/>
        <v>0.16105609993607234</v>
      </c>
      <c r="BJ276" s="528">
        <f t="shared" si="684"/>
        <v>7.6502497234656158E-2</v>
      </c>
      <c r="BK276">
        <f t="shared" si="685"/>
        <v>3.8089796590821456E-2</v>
      </c>
      <c r="BL276" s="460">
        <f t="shared" si="686"/>
        <v>199.14589652689381</v>
      </c>
      <c r="BM276" s="528">
        <f t="shared" si="756"/>
        <v>2.4948244915104127</v>
      </c>
      <c r="BN276" s="460">
        <f t="shared" si="687"/>
        <v>2494.8244915104128</v>
      </c>
      <c r="BO276" s="528">
        <f t="shared" si="637"/>
        <v>4.1999999999999993</v>
      </c>
      <c r="BR276" s="460">
        <f t="shared" si="688"/>
        <v>4199.9999999999991</v>
      </c>
      <c r="BS276" s="528">
        <f t="shared" si="689"/>
        <v>0.30982783110579692</v>
      </c>
      <c r="BT276" s="528">
        <f t="shared" si="690"/>
        <v>1.710380667206991</v>
      </c>
      <c r="BU276" s="528">
        <f t="shared" si="691"/>
        <v>1.9244995822423163</v>
      </c>
      <c r="BV276" s="528"/>
      <c r="BW276" s="528">
        <f t="shared" si="692"/>
        <v>1.5375782378787181E-2</v>
      </c>
      <c r="BX276" s="460">
        <f t="shared" si="693"/>
        <v>3960.0838629338914</v>
      </c>
      <c r="BY276" s="173">
        <f t="shared" si="694"/>
        <v>10.675847417278977</v>
      </c>
      <c r="BZ276" s="5">
        <f t="shared" si="695"/>
        <v>90</v>
      </c>
      <c r="CA276" s="173">
        <f t="shared" si="696"/>
        <v>0.89395820654948188</v>
      </c>
      <c r="CB276" s="5">
        <f t="shared" si="697"/>
        <v>89.395820654948182</v>
      </c>
      <c r="CE276" s="562">
        <f t="shared" si="757"/>
        <v>-50</v>
      </c>
      <c r="CF276">
        <f t="shared" si="758"/>
        <v>-50</v>
      </c>
      <c r="CG276" s="173">
        <f t="shared" si="759"/>
        <v>0.84267869636622461</v>
      </c>
      <c r="CI276" s="170">
        <v>60</v>
      </c>
      <c r="CJ276" s="217">
        <f t="shared" si="698"/>
        <v>6</v>
      </c>
      <c r="CK276" s="217"/>
      <c r="CL276" s="217">
        <f t="shared" si="641"/>
        <v>90</v>
      </c>
      <c r="CM276" s="541">
        <f t="shared" si="642"/>
        <v>85</v>
      </c>
      <c r="CN276" s="443">
        <f t="shared" si="643"/>
        <v>15.4</v>
      </c>
      <c r="CO276" s="443">
        <f t="shared" si="644"/>
        <v>100.4</v>
      </c>
      <c r="CP276" s="443"/>
      <c r="CQ276" s="217">
        <f t="shared" si="645"/>
        <v>0.15338645418326693</v>
      </c>
      <c r="CR276" s="172">
        <f t="shared" si="646"/>
        <v>327.33148655378488</v>
      </c>
      <c r="CS276" s="172">
        <f t="shared" si="647"/>
        <v>90</v>
      </c>
      <c r="CT276" s="217">
        <f t="shared" si="648"/>
        <v>21.822099103585661</v>
      </c>
      <c r="CU276" s="217">
        <f t="shared" si="649"/>
        <v>15</v>
      </c>
      <c r="CV276" s="217"/>
      <c r="CW276" s="172">
        <f t="shared" si="650"/>
        <v>269.29273606140282</v>
      </c>
      <c r="CX276" s="172">
        <f t="shared" si="651"/>
        <v>15</v>
      </c>
      <c r="CY276" s="217">
        <f t="shared" si="652"/>
        <v>13.805958747135218</v>
      </c>
      <c r="CZ276" s="217">
        <f t="shared" si="653"/>
        <v>1.9490765290073246</v>
      </c>
      <c r="DA276" s="217">
        <f t="shared" si="654"/>
        <v>10.757889932832637</v>
      </c>
      <c r="DB276" s="197">
        <f t="shared" si="655"/>
        <v>108.64873837981409</v>
      </c>
      <c r="DC276" s="443">
        <f t="shared" si="656"/>
        <v>78.696989010168565</v>
      </c>
      <c r="DE276" s="217">
        <f t="shared" si="657"/>
        <v>10</v>
      </c>
      <c r="DF276" s="173">
        <f t="shared" si="658"/>
        <v>7.7922077922077913</v>
      </c>
      <c r="DG276" s="173">
        <f t="shared" si="659"/>
        <v>4.2330677290836656</v>
      </c>
      <c r="DH276" s="173"/>
      <c r="DI276" s="173">
        <f t="shared" si="660"/>
        <v>7.7922077922077913</v>
      </c>
      <c r="DJ276" s="545">
        <f t="shared" si="661"/>
        <v>154</v>
      </c>
      <c r="DK276" s="528">
        <f t="shared" si="662"/>
        <v>4.2330677290836656</v>
      </c>
      <c r="DM276" s="173">
        <f t="shared" si="663"/>
        <v>6.6332495807107996</v>
      </c>
      <c r="DN276" s="173">
        <f t="shared" si="664"/>
        <v>13.805958747135218</v>
      </c>
      <c r="DO276" s="173">
        <f t="shared" si="665"/>
        <v>4.0192287015816435</v>
      </c>
      <c r="DQ276" s="545">
        <f t="shared" si="666"/>
        <v>6000</v>
      </c>
      <c r="DR276" s="460">
        <f t="shared" si="667"/>
        <v>78.696989010168565</v>
      </c>
      <c r="DT276">
        <f t="shared" si="668"/>
        <v>6000</v>
      </c>
      <c r="DU276">
        <f t="shared" si="669"/>
        <v>78.696989010168565</v>
      </c>
      <c r="DW276" s="5">
        <f t="shared" si="670"/>
        <v>12.706966461839961</v>
      </c>
      <c r="DX276" s="5">
        <f t="shared" si="671"/>
        <v>1.9490765290073246</v>
      </c>
      <c r="DY276" s="5">
        <f t="shared" si="672"/>
        <v>10.757889932832637</v>
      </c>
      <c r="DZ276" s="5"/>
      <c r="EA276" s="173">
        <f t="shared" si="673"/>
        <v>0.15338645418326693</v>
      </c>
      <c r="EB276" s="173">
        <f t="shared" si="699"/>
        <v>90.000000000000014</v>
      </c>
      <c r="EC276" s="173">
        <f t="shared" si="700"/>
        <v>5.8441558441558445</v>
      </c>
      <c r="ED276" s="173">
        <f t="shared" si="701"/>
        <v>15.400000000000002</v>
      </c>
      <c r="EE276" s="460">
        <f t="shared" si="674"/>
        <v>77.96306116029298</v>
      </c>
      <c r="EF276" s="5">
        <f t="shared" si="675"/>
        <v>3.9278299957603942</v>
      </c>
      <c r="EH276" s="173">
        <f t="shared" si="702"/>
        <v>3.1217595431161294</v>
      </c>
      <c r="EI276" s="173">
        <f t="shared" si="703"/>
        <v>7.3341291005928708</v>
      </c>
      <c r="EK276" s="528">
        <f t="shared" si="704"/>
        <v>0.1949076529007325</v>
      </c>
      <c r="EL276" s="528">
        <f t="shared" si="705"/>
        <v>2.1816666666666671</v>
      </c>
      <c r="EM276" s="528">
        <f t="shared" si="706"/>
        <v>9.8371236262710694E-3</v>
      </c>
      <c r="EN276" s="528">
        <f t="shared" si="707"/>
        <v>7.9327824074074085E-2</v>
      </c>
      <c r="EO276">
        <f t="shared" si="708"/>
        <v>3.8249999999999999E-2</v>
      </c>
      <c r="EP276" s="460">
        <f t="shared" si="709"/>
        <v>48.087123626271072</v>
      </c>
      <c r="EQ276" s="460"/>
      <c r="ER276" s="460">
        <f t="shared" si="710"/>
        <v>2503.9892672677447</v>
      </c>
      <c r="ES276" s="528">
        <f t="shared" si="711"/>
        <v>4.1999999999999993</v>
      </c>
      <c r="EV276" s="460">
        <f t="shared" si="712"/>
        <v>4199.9999999999991</v>
      </c>
      <c r="EW276" s="528">
        <f t="shared" si="713"/>
        <v>0.29236147935109874</v>
      </c>
      <c r="EX276" s="528">
        <f t="shared" si="714"/>
        <v>1.6136834899248957</v>
      </c>
      <c r="EY276" s="528">
        <f t="shared" si="715"/>
        <v>1.9455021880180854</v>
      </c>
      <c r="EZ276" s="528"/>
      <c r="FA276" s="528">
        <f t="shared" si="716"/>
        <v>1.5000000000000003E-2</v>
      </c>
      <c r="FB276" s="460">
        <f t="shared" si="717"/>
        <v>3866.5471572940801</v>
      </c>
      <c r="FC276" s="173">
        <f t="shared" si="718"/>
        <v>10.570536424561825</v>
      </c>
      <c r="FD276" s="5">
        <f t="shared" si="719"/>
        <v>90</v>
      </c>
      <c r="FE276" s="173">
        <f t="shared" si="720"/>
        <v>0.89489430204550213</v>
      </c>
      <c r="FF276" s="5">
        <f t="shared" si="721"/>
        <v>89.489430204550217</v>
      </c>
      <c r="FI276" s="562">
        <f t="shared" si="676"/>
        <v>-50</v>
      </c>
      <c r="FJ276">
        <f t="shared" si="677"/>
        <v>-50</v>
      </c>
      <c r="FL276">
        <f t="shared" si="760"/>
        <v>0.84661354581673309</v>
      </c>
    </row>
    <row r="277" spans="5:168">
      <c r="E277" s="170">
        <v>61</v>
      </c>
      <c r="F277" s="217">
        <f t="shared" si="761"/>
        <v>6.1</v>
      </c>
      <c r="G277" s="217"/>
      <c r="H277" s="217">
        <f t="shared" si="726"/>
        <v>91.5</v>
      </c>
      <c r="I277" s="541">
        <f t="shared" si="727"/>
        <v>84.638086668344741</v>
      </c>
      <c r="J277" s="172">
        <f t="shared" si="728"/>
        <v>15.617147998993159</v>
      </c>
      <c r="K277" s="172">
        <f t="shared" si="729"/>
        <v>100.2552346673379</v>
      </c>
      <c r="L277" s="443"/>
      <c r="M277" s="217">
        <f t="shared" si="730"/>
        <v>0.15576553159680478</v>
      </c>
      <c r="N277" s="172">
        <f t="shared" si="731"/>
        <v>330.99318184062219</v>
      </c>
      <c r="O277" s="172">
        <f t="shared" si="762"/>
        <v>91.5</v>
      </c>
      <c r="P277" s="217">
        <f t="shared" si="732"/>
        <v>22.066212122708144</v>
      </c>
      <c r="Q277" s="217">
        <f t="shared" si="733"/>
        <v>15</v>
      </c>
      <c r="R277" s="217"/>
      <c r="S277" s="172">
        <f t="shared" si="734"/>
        <v>262.36815841468211</v>
      </c>
      <c r="T277" s="172">
        <f t="shared" si="735"/>
        <v>15</v>
      </c>
      <c r="U277" s="217">
        <f t="shared" si="736"/>
        <v>14.450961737057908</v>
      </c>
      <c r="V277" s="217">
        <f t="shared" si="737"/>
        <v>2.0488594162603166</v>
      </c>
      <c r="W277" s="217">
        <f t="shared" si="738"/>
        <v>11.103918644804722</v>
      </c>
      <c r="X277" s="197">
        <f t="shared" si="739"/>
        <v>109.87003407162905</v>
      </c>
      <c r="Y277" s="443">
        <f t="shared" si="680"/>
        <v>74.890782684082026</v>
      </c>
      <c r="AA277" s="217">
        <f t="shared" si="740"/>
        <v>9.9999999999999982</v>
      </c>
      <c r="AB277" s="173">
        <f t="shared" si="741"/>
        <v>7.6838613559746252</v>
      </c>
      <c r="AC277" s="173">
        <f t="shared" si="742"/>
        <v>4.221130544913029</v>
      </c>
      <c r="AD277" s="173"/>
      <c r="AE277" s="173">
        <f t="shared" si="743"/>
        <v>7.6838613559746269</v>
      </c>
      <c r="AF277" s="545">
        <f t="shared" si="744"/>
        <v>158.77433798976378</v>
      </c>
      <c r="AG277" s="528">
        <f t="shared" si="745"/>
        <v>4.2211305449130299</v>
      </c>
      <c r="AI277" s="173">
        <f t="shared" si="746"/>
        <v>6.7352874154340237</v>
      </c>
      <c r="AJ277" s="173">
        <f t="shared" si="747"/>
        <v>14.450961737057908</v>
      </c>
      <c r="AK277" s="173">
        <f t="shared" si="748"/>
        <v>4.4970086941169685</v>
      </c>
      <c r="AM277" s="545">
        <f t="shared" si="749"/>
        <v>6100</v>
      </c>
      <c r="AN277" s="460">
        <f t="shared" si="750"/>
        <v>74.890782684082026</v>
      </c>
      <c r="AP277">
        <f t="shared" si="751"/>
        <v>6100</v>
      </c>
      <c r="AQ277">
        <f t="shared" si="752"/>
        <v>74.890782684082026</v>
      </c>
      <c r="AS277" s="5">
        <f t="shared" si="763"/>
        <v>13.35277806106504</v>
      </c>
      <c r="AT277" s="5">
        <f t="shared" si="753"/>
        <v>2.0488594162603166</v>
      </c>
      <c r="AU277" s="5">
        <f t="shared" si="722"/>
        <v>11.303918644804723</v>
      </c>
      <c r="AV277" s="5"/>
      <c r="AW277" s="173">
        <f t="shared" si="723"/>
        <v>0.15344068529338653</v>
      </c>
      <c r="AX277" s="173">
        <f t="shared" si="631"/>
        <v>93.836785500764208</v>
      </c>
      <c r="AY277" s="173">
        <f t="shared" si="632"/>
        <v>6.1167981324876175</v>
      </c>
      <c r="AZ277" s="173">
        <f t="shared" si="633"/>
        <v>15.340834120775877</v>
      </c>
      <c r="BA277" s="460">
        <f t="shared" si="724"/>
        <v>83.320282927919536</v>
      </c>
      <c r="BB277" s="5">
        <f t="shared" si="725"/>
        <v>4.2139199596520003</v>
      </c>
      <c r="BD277" s="173">
        <f t="shared" si="681"/>
        <v>3.2681831647027808</v>
      </c>
      <c r="BE277" s="173">
        <f t="shared" si="682"/>
        <v>7.676527677098365</v>
      </c>
      <c r="BG277" s="528">
        <f t="shared" si="683"/>
        <v>0.2136204239609337</v>
      </c>
      <c r="BH277" s="528">
        <f t="shared" si="754"/>
        <v>2.0343864308964408</v>
      </c>
      <c r="BI277" s="528">
        <f t="shared" si="755"/>
        <v>0.15846531388688764</v>
      </c>
      <c r="BJ277" s="528">
        <f t="shared" si="684"/>
        <v>7.5273565038205245E-2</v>
      </c>
      <c r="BK277">
        <f t="shared" si="685"/>
        <v>3.8087139000755131E-2</v>
      </c>
      <c r="BL277" s="460">
        <f t="shared" si="686"/>
        <v>196.55245288764277</v>
      </c>
      <c r="BM277" s="528">
        <f t="shared" si="756"/>
        <v>2.5082681249043772</v>
      </c>
      <c r="BN277" s="460">
        <f t="shared" si="687"/>
        <v>2508.2681249043771</v>
      </c>
      <c r="BO277" s="528">
        <f t="shared" si="637"/>
        <v>4.2699999999999996</v>
      </c>
      <c r="BR277" s="460">
        <f t="shared" si="688"/>
        <v>4270</v>
      </c>
      <c r="BS277" s="528">
        <f t="shared" si="689"/>
        <v>0.32043063594140053</v>
      </c>
      <c r="BT277" s="528">
        <f t="shared" si="690"/>
        <v>1.7678723153177165</v>
      </c>
      <c r="BU277" s="528">
        <f t="shared" si="691"/>
        <v>1.9265611828704741</v>
      </c>
      <c r="BV277" s="528"/>
      <c r="BW277" s="528">
        <f t="shared" si="692"/>
        <v>1.5639464250127369E-2</v>
      </c>
      <c r="BX277" s="460">
        <f t="shared" si="693"/>
        <v>4030.5035983797188</v>
      </c>
      <c r="BY277" s="173">
        <f t="shared" si="694"/>
        <v>10.820336471162939</v>
      </c>
      <c r="BZ277" s="5">
        <f t="shared" si="695"/>
        <v>91.5</v>
      </c>
      <c r="CA277" s="173">
        <f t="shared" si="696"/>
        <v>0.89425038223743092</v>
      </c>
      <c r="CB277" s="5">
        <f t="shared" si="697"/>
        <v>89.425038223743087</v>
      </c>
      <c r="CE277" s="562">
        <f t="shared" si="757"/>
        <v>-50</v>
      </c>
      <c r="CF277">
        <f t="shared" si="758"/>
        <v>-50</v>
      </c>
      <c r="CG277" s="173">
        <f t="shared" si="759"/>
        <v>0.84274320209492148</v>
      </c>
      <c r="CI277" s="170">
        <v>61</v>
      </c>
      <c r="CJ277" s="217">
        <f t="shared" si="698"/>
        <v>6.1</v>
      </c>
      <c r="CK277" s="217"/>
      <c r="CL277" s="217">
        <f t="shared" si="641"/>
        <v>91.5</v>
      </c>
      <c r="CM277" s="541">
        <f t="shared" si="642"/>
        <v>85</v>
      </c>
      <c r="CN277" s="443">
        <f t="shared" si="643"/>
        <v>15.4</v>
      </c>
      <c r="CO277" s="443">
        <f t="shared" si="644"/>
        <v>100.4</v>
      </c>
      <c r="CP277" s="443"/>
      <c r="CQ277" s="217">
        <f t="shared" si="645"/>
        <v>0.15338645418326693</v>
      </c>
      <c r="CR277" s="172">
        <f t="shared" si="646"/>
        <v>327.33148655378488</v>
      </c>
      <c r="CS277" s="172">
        <f t="shared" si="647"/>
        <v>91.5</v>
      </c>
      <c r="CT277" s="217">
        <f t="shared" si="648"/>
        <v>21.822099103585661</v>
      </c>
      <c r="CU277" s="217">
        <f t="shared" si="649"/>
        <v>15</v>
      </c>
      <c r="CV277" s="217"/>
      <c r="CW277" s="172">
        <f t="shared" si="650"/>
        <v>263.48949754579581</v>
      </c>
      <c r="CX277" s="172">
        <f t="shared" si="651"/>
        <v>15</v>
      </c>
      <c r="CY277" s="217">
        <f t="shared" si="652"/>
        <v>14.036058059587472</v>
      </c>
      <c r="CZ277" s="217">
        <f t="shared" si="653"/>
        <v>1.9815611378241136</v>
      </c>
      <c r="DA277" s="217">
        <f t="shared" si="654"/>
        <v>10.937188098379847</v>
      </c>
      <c r="DB277" s="197">
        <f t="shared" si="655"/>
        <v>108.64873837981409</v>
      </c>
      <c r="DC277" s="443">
        <f t="shared" si="656"/>
        <v>77.406874436231377</v>
      </c>
      <c r="DE277" s="217">
        <f t="shared" si="657"/>
        <v>10</v>
      </c>
      <c r="DF277" s="173">
        <f t="shared" si="658"/>
        <v>7.7922077922077913</v>
      </c>
      <c r="DG277" s="173">
        <f t="shared" si="659"/>
        <v>4.2330677290836656</v>
      </c>
      <c r="DH277" s="173"/>
      <c r="DI277" s="173">
        <f t="shared" si="660"/>
        <v>7.7922077922077913</v>
      </c>
      <c r="DJ277" s="545">
        <f t="shared" si="661"/>
        <v>156.56666666666666</v>
      </c>
      <c r="DK277" s="528">
        <f t="shared" si="662"/>
        <v>4.2330677290836656</v>
      </c>
      <c r="DM277" s="173">
        <f t="shared" si="663"/>
        <v>6.688298238964328</v>
      </c>
      <c r="DN277" s="173">
        <f t="shared" si="664"/>
        <v>14.036058059587472</v>
      </c>
      <c r="DO277" s="173">
        <f t="shared" si="665"/>
        <v>4.1896726367314603</v>
      </c>
      <c r="DQ277" s="545">
        <f t="shared" si="666"/>
        <v>6100</v>
      </c>
      <c r="DR277" s="460">
        <f t="shared" si="667"/>
        <v>77.406874436231377</v>
      </c>
      <c r="DT277">
        <f t="shared" si="668"/>
        <v>6100</v>
      </c>
      <c r="DU277">
        <f t="shared" si="669"/>
        <v>77.406874436231377</v>
      </c>
      <c r="DW277" s="5">
        <f t="shared" si="670"/>
        <v>12.918749236203961</v>
      </c>
      <c r="DX277" s="5">
        <f t="shared" si="671"/>
        <v>1.9815611378241136</v>
      </c>
      <c r="DY277" s="5">
        <f t="shared" si="672"/>
        <v>10.937188098379847</v>
      </c>
      <c r="DZ277" s="5"/>
      <c r="EA277" s="173">
        <f t="shared" si="673"/>
        <v>0.15338645418326693</v>
      </c>
      <c r="EB277" s="173">
        <f t="shared" si="699"/>
        <v>91.5</v>
      </c>
      <c r="EC277" s="173">
        <f t="shared" si="700"/>
        <v>5.9415584415584419</v>
      </c>
      <c r="ED277" s="173">
        <f t="shared" si="701"/>
        <v>15.399999999999999</v>
      </c>
      <c r="EE277" s="460">
        <f t="shared" si="674"/>
        <v>80.583486271513948</v>
      </c>
      <c r="EF277" s="5">
        <f t="shared" si="675"/>
        <v>4.0598487261734517</v>
      </c>
      <c r="EH277" s="173">
        <f t="shared" si="702"/>
        <v>3.1737888688347313</v>
      </c>
      <c r="EI277" s="173">
        <f t="shared" si="703"/>
        <v>7.4563645856027518</v>
      </c>
      <c r="EK277" s="528">
        <f t="shared" si="704"/>
        <v>0.20145871567878487</v>
      </c>
      <c r="EL277" s="528">
        <f t="shared" si="705"/>
        <v>2.1816666666666671</v>
      </c>
      <c r="EM277" s="528">
        <f t="shared" si="706"/>
        <v>9.6758593045289214E-3</v>
      </c>
      <c r="EN277" s="528">
        <f t="shared" si="707"/>
        <v>7.8027367941712222E-2</v>
      </c>
      <c r="EO277">
        <f t="shared" si="708"/>
        <v>3.8249999999999999E-2</v>
      </c>
      <c r="EP277" s="460">
        <f t="shared" si="709"/>
        <v>47.92585930452892</v>
      </c>
      <c r="EQ277" s="460"/>
      <c r="ER277" s="460">
        <f t="shared" si="710"/>
        <v>2509.0786095916933</v>
      </c>
      <c r="ES277" s="528">
        <f t="shared" si="711"/>
        <v>4.2699999999999996</v>
      </c>
      <c r="EV277" s="460">
        <f t="shared" si="712"/>
        <v>4270</v>
      </c>
      <c r="EW277" s="528">
        <f t="shared" si="713"/>
        <v>0.30218807351817728</v>
      </c>
      <c r="EX277" s="528">
        <f t="shared" si="714"/>
        <v>1.6679211850029267</v>
      </c>
      <c r="EY277" s="528">
        <f t="shared" si="715"/>
        <v>1.9455021880180854</v>
      </c>
      <c r="EZ277" s="528"/>
      <c r="FA277" s="528">
        <f t="shared" si="716"/>
        <v>1.5250000000000001E-2</v>
      </c>
      <c r="FB277" s="460">
        <f t="shared" si="717"/>
        <v>3930.8614465391893</v>
      </c>
      <c r="FC277" s="173">
        <f t="shared" si="718"/>
        <v>10.709940056130883</v>
      </c>
      <c r="FD277" s="5">
        <f t="shared" si="719"/>
        <v>91.5</v>
      </c>
      <c r="FE277" s="173">
        <f t="shared" si="720"/>
        <v>0.89521625734004662</v>
      </c>
      <c r="FF277" s="5">
        <f t="shared" si="721"/>
        <v>89.521625734004658</v>
      </c>
      <c r="FI277" s="562">
        <f t="shared" si="676"/>
        <v>-50</v>
      </c>
      <c r="FJ277">
        <f t="shared" si="677"/>
        <v>-50</v>
      </c>
      <c r="FL277">
        <f t="shared" si="760"/>
        <v>0.84661354581673309</v>
      </c>
    </row>
    <row r="278" spans="5:168">
      <c r="E278" s="170">
        <v>62</v>
      </c>
      <c r="F278" s="217">
        <f t="shared" si="761"/>
        <v>6.2</v>
      </c>
      <c r="G278" s="217"/>
      <c r="H278" s="217">
        <f t="shared" si="726"/>
        <v>93</v>
      </c>
      <c r="I278" s="541">
        <f t="shared" si="727"/>
        <v>84.632180908537848</v>
      </c>
      <c r="J278" s="172">
        <f t="shared" si="728"/>
        <v>15.620691454877294</v>
      </c>
      <c r="K278" s="172">
        <f t="shared" si="729"/>
        <v>100.25287236341514</v>
      </c>
      <c r="L278" s="443"/>
      <c r="M278" s="217">
        <f t="shared" si="730"/>
        <v>0.15580454815684802</v>
      </c>
      <c r="N278" s="172">
        <f t="shared" si="731"/>
        <v>331.05298851209471</v>
      </c>
      <c r="O278" s="172">
        <f t="shared" si="762"/>
        <v>93</v>
      </c>
      <c r="P278" s="217">
        <f t="shared" si="732"/>
        <v>22.070199234139647</v>
      </c>
      <c r="Q278" s="217">
        <f t="shared" si="733"/>
        <v>15</v>
      </c>
      <c r="R278" s="217"/>
      <c r="S278" s="172">
        <f t="shared" si="734"/>
        <v>256.75825525375637</v>
      </c>
      <c r="T278" s="172">
        <f t="shared" si="735"/>
        <v>15</v>
      </c>
      <c r="U278" s="217">
        <f t="shared" si="736"/>
        <v>14.688541584684906</v>
      </c>
      <c r="V278" s="217">
        <f t="shared" si="737"/>
        <v>2.0826888439363991</v>
      </c>
      <c r="W278" s="217">
        <f t="shared" si="738"/>
        <v>11.283911440500537</v>
      </c>
      <c r="X278" s="197">
        <f t="shared" si="739"/>
        <v>109.88988427960352</v>
      </c>
      <c r="Y278" s="443">
        <f t="shared" si="680"/>
        <v>73.710434378107266</v>
      </c>
      <c r="AA278" s="217">
        <f t="shared" si="740"/>
        <v>10</v>
      </c>
      <c r="AB278" s="173">
        <f t="shared" si="741"/>
        <v>7.6821183202189198</v>
      </c>
      <c r="AC278" s="173">
        <f t="shared" si="742"/>
        <v>4.2209354661553968</v>
      </c>
      <c r="AD278" s="173"/>
      <c r="AE278" s="173">
        <f t="shared" si="743"/>
        <v>7.6821183202189198</v>
      </c>
      <c r="AF278" s="545">
        <f t="shared" si="744"/>
        <v>161.41381170039872</v>
      </c>
      <c r="AG278" s="528">
        <f t="shared" si="745"/>
        <v>4.2209354661553968</v>
      </c>
      <c r="AI278" s="173">
        <f t="shared" si="746"/>
        <v>6.7910405619757297</v>
      </c>
      <c r="AJ278" s="173">
        <f t="shared" si="747"/>
        <v>14.688541584684906</v>
      </c>
      <c r="AK278" s="173">
        <f t="shared" si="748"/>
        <v>4.6729937664332635</v>
      </c>
      <c r="AM278" s="545">
        <f t="shared" si="749"/>
        <v>6200</v>
      </c>
      <c r="AN278" s="460">
        <f t="shared" si="750"/>
        <v>73.710434378107266</v>
      </c>
      <c r="AP278">
        <f t="shared" si="751"/>
        <v>6200</v>
      </c>
      <c r="AQ278">
        <f t="shared" si="752"/>
        <v>73.710434378107266</v>
      </c>
      <c r="AS278" s="5">
        <f t="shared" si="763"/>
        <v>13.566600284436934</v>
      </c>
      <c r="AT278" s="5">
        <f t="shared" si="753"/>
        <v>2.0826888439363991</v>
      </c>
      <c r="AU278" s="5">
        <f t="shared" si="722"/>
        <v>11.483911440500535</v>
      </c>
      <c r="AV278" s="5"/>
      <c r="AW278" s="173">
        <f t="shared" si="723"/>
        <v>0.15351589936099003</v>
      </c>
      <c r="AX278" s="173">
        <f t="shared" si="631"/>
        <v>95.419596374128318</v>
      </c>
      <c r="AY278" s="173">
        <f t="shared" si="632"/>
        <v>6.2168084565053512</v>
      </c>
      <c r="AZ278" s="173">
        <f t="shared" si="633"/>
        <v>15.348646663591506</v>
      </c>
      <c r="BA278" s="460">
        <f t="shared" si="724"/>
        <v>86.084472216037838</v>
      </c>
      <c r="BB278" s="5">
        <f t="shared" si="725"/>
        <v>4.3515026557860201</v>
      </c>
      <c r="BD278" s="173">
        <f t="shared" si="681"/>
        <v>3.3227275347330001</v>
      </c>
      <c r="BE278" s="173">
        <f t="shared" si="682"/>
        <v>7.8023863673194942</v>
      </c>
      <c r="BG278" s="528">
        <f t="shared" si="683"/>
        <v>0.22081036540145682</v>
      </c>
      <c r="BH278" s="528">
        <f t="shared" si="754"/>
        <v>2.0351936748434176</v>
      </c>
      <c r="BI278" s="528">
        <f t="shared" si="755"/>
        <v>0.15595687042837203</v>
      </c>
      <c r="BJ278" s="528">
        <f t="shared" si="684"/>
        <v>7.4083692350285418E-2</v>
      </c>
      <c r="BK278">
        <f t="shared" si="685"/>
        <v>3.8084481408842033E-2</v>
      </c>
      <c r="BL278" s="460">
        <f t="shared" si="686"/>
        <v>194.04135183721405</v>
      </c>
      <c r="BM278" s="528">
        <f t="shared" si="756"/>
        <v>2.5220233323659582</v>
      </c>
      <c r="BN278" s="460">
        <f t="shared" si="687"/>
        <v>2522.0233323659581</v>
      </c>
      <c r="BO278" s="528">
        <f t="shared" si="637"/>
        <v>4.34</v>
      </c>
      <c r="BR278" s="460">
        <f t="shared" si="688"/>
        <v>4340</v>
      </c>
      <c r="BS278" s="528">
        <f t="shared" si="689"/>
        <v>0.33121554810218523</v>
      </c>
      <c r="BT278" s="528">
        <f t="shared" si="690"/>
        <v>1.8263169907479926</v>
      </c>
      <c r="BU278" s="528">
        <f t="shared" si="691"/>
        <v>1.9285865046771913</v>
      </c>
      <c r="BV278" s="528"/>
      <c r="BW278" s="528">
        <f t="shared" si="692"/>
        <v>1.5903266062354718E-2</v>
      </c>
      <c r="BX278" s="460">
        <f t="shared" si="693"/>
        <v>4102.0223095897236</v>
      </c>
      <c r="BY278" s="173">
        <f t="shared" si="694"/>
        <v>10.966151394022098</v>
      </c>
      <c r="BZ278" s="5">
        <f t="shared" si="695"/>
        <v>93</v>
      </c>
      <c r="CA278" s="173">
        <f t="shared" si="696"/>
        <v>0.89452190691890299</v>
      </c>
      <c r="CB278" s="5">
        <f t="shared" si="697"/>
        <v>89.452190691890294</v>
      </c>
      <c r="CE278" s="562">
        <f t="shared" si="757"/>
        <v>-50</v>
      </c>
      <c r="CF278">
        <f t="shared" si="758"/>
        <v>-50</v>
      </c>
      <c r="CG278" s="173">
        <f t="shared" si="759"/>
        <v>0.84280562699366046</v>
      </c>
      <c r="CI278" s="170">
        <v>62</v>
      </c>
      <c r="CJ278" s="217">
        <f t="shared" si="698"/>
        <v>6.2</v>
      </c>
      <c r="CK278" s="217"/>
      <c r="CL278" s="217">
        <f t="shared" si="641"/>
        <v>93</v>
      </c>
      <c r="CM278" s="541">
        <f t="shared" si="642"/>
        <v>85</v>
      </c>
      <c r="CN278" s="443">
        <f t="shared" si="643"/>
        <v>15.4</v>
      </c>
      <c r="CO278" s="443">
        <f t="shared" si="644"/>
        <v>100.4</v>
      </c>
      <c r="CP278" s="443"/>
      <c r="CQ278" s="217">
        <f t="shared" si="645"/>
        <v>0.15338645418326693</v>
      </c>
      <c r="CR278" s="172">
        <f t="shared" si="646"/>
        <v>327.33148655378488</v>
      </c>
      <c r="CS278" s="172">
        <f t="shared" si="647"/>
        <v>93</v>
      </c>
      <c r="CT278" s="217">
        <f t="shared" si="648"/>
        <v>21.822099103585661</v>
      </c>
      <c r="CU278" s="217">
        <f t="shared" si="649"/>
        <v>15</v>
      </c>
      <c r="CV278" s="217"/>
      <c r="CW278" s="172">
        <f t="shared" si="650"/>
        <v>257.8735788372216</v>
      </c>
      <c r="CX278" s="172">
        <f t="shared" si="651"/>
        <v>15</v>
      </c>
      <c r="CY278" s="217">
        <f t="shared" si="652"/>
        <v>14.266157372039725</v>
      </c>
      <c r="CZ278" s="217">
        <f t="shared" si="653"/>
        <v>2.0140457466409023</v>
      </c>
      <c r="DA278" s="217">
        <f t="shared" si="654"/>
        <v>11.116486263927058</v>
      </c>
      <c r="DB278" s="197">
        <f t="shared" si="655"/>
        <v>108.64873837981409</v>
      </c>
      <c r="DC278" s="443">
        <f t="shared" si="656"/>
        <v>76.158376461453443</v>
      </c>
      <c r="DE278" s="217">
        <f t="shared" si="657"/>
        <v>10</v>
      </c>
      <c r="DF278" s="173">
        <f t="shared" si="658"/>
        <v>7.7922077922077913</v>
      </c>
      <c r="DG278" s="173">
        <f t="shared" si="659"/>
        <v>4.2330677290836656</v>
      </c>
      <c r="DH278" s="173"/>
      <c r="DI278" s="173">
        <f t="shared" si="660"/>
        <v>7.7922077922077913</v>
      </c>
      <c r="DJ278" s="545">
        <f t="shared" si="661"/>
        <v>159.13333333333335</v>
      </c>
      <c r="DK278" s="528">
        <f t="shared" si="662"/>
        <v>4.2330677290836656</v>
      </c>
      <c r="DM278" s="173">
        <f t="shared" si="663"/>
        <v>6.7428974978614846</v>
      </c>
      <c r="DN278" s="173">
        <f t="shared" si="664"/>
        <v>14.266157372039725</v>
      </c>
      <c r="DO278" s="173">
        <f t="shared" si="665"/>
        <v>4.360116571881278</v>
      </c>
      <c r="DQ278" s="545">
        <f t="shared" si="666"/>
        <v>6200</v>
      </c>
      <c r="DR278" s="460">
        <f t="shared" si="667"/>
        <v>76.158376461453443</v>
      </c>
      <c r="DT278">
        <f t="shared" si="668"/>
        <v>6200</v>
      </c>
      <c r="DU278">
        <f t="shared" si="669"/>
        <v>76.158376461453443</v>
      </c>
      <c r="DW278" s="5">
        <f t="shared" si="670"/>
        <v>13.130532010567961</v>
      </c>
      <c r="DX278" s="5">
        <f t="shared" si="671"/>
        <v>2.0140457466409023</v>
      </c>
      <c r="DY278" s="5">
        <f t="shared" si="672"/>
        <v>11.116486263927058</v>
      </c>
      <c r="DZ278" s="5"/>
      <c r="EA278" s="173">
        <f t="shared" si="673"/>
        <v>0.15338645418326693</v>
      </c>
      <c r="EB278" s="173">
        <f t="shared" si="699"/>
        <v>93</v>
      </c>
      <c r="EC278" s="173">
        <f t="shared" si="700"/>
        <v>6.0389610389610393</v>
      </c>
      <c r="ED278" s="173">
        <f t="shared" si="701"/>
        <v>15.399999999999999</v>
      </c>
      <c r="EE278" s="460">
        <f t="shared" si="674"/>
        <v>83.247224194490641</v>
      </c>
      <c r="EF278" s="5">
        <f t="shared" si="675"/>
        <v>4.1940495843619328</v>
      </c>
      <c r="EH278" s="173">
        <f t="shared" si="702"/>
        <v>3.2258181945533337</v>
      </c>
      <c r="EI278" s="173">
        <f t="shared" si="703"/>
        <v>7.5786000706126329</v>
      </c>
      <c r="EK278" s="528">
        <f t="shared" si="704"/>
        <v>0.20811806048622661</v>
      </c>
      <c r="EL278" s="528">
        <f t="shared" si="705"/>
        <v>2.1816666666666671</v>
      </c>
      <c r="EM278" s="528">
        <f t="shared" si="706"/>
        <v>9.5197970576816806E-3</v>
      </c>
      <c r="EN278" s="528">
        <f t="shared" si="707"/>
        <v>7.6768862007168467E-2</v>
      </c>
      <c r="EO278">
        <f t="shared" si="708"/>
        <v>3.8249999999999999E-2</v>
      </c>
      <c r="EP278" s="460">
        <f t="shared" si="709"/>
        <v>47.769797057681679</v>
      </c>
      <c r="EQ278" s="460"/>
      <c r="ER278" s="460">
        <f t="shared" si="710"/>
        <v>2514.3233862177435</v>
      </c>
      <c r="ES278" s="528">
        <f t="shared" si="711"/>
        <v>4.34</v>
      </c>
      <c r="EV278" s="460">
        <f t="shared" si="712"/>
        <v>4340</v>
      </c>
      <c r="EW278" s="528">
        <f t="shared" si="713"/>
        <v>0.31217709072933991</v>
      </c>
      <c r="EX278" s="528">
        <f t="shared" si="714"/>
        <v>1.723055370908694</v>
      </c>
      <c r="EY278" s="528">
        <f t="shared" si="715"/>
        <v>1.9455021880180834</v>
      </c>
      <c r="EZ278" s="528"/>
      <c r="FA278" s="528">
        <f t="shared" si="716"/>
        <v>1.55E-2</v>
      </c>
      <c r="FB278" s="460">
        <f t="shared" si="717"/>
        <v>3996.2346496561172</v>
      </c>
      <c r="FC278" s="173">
        <f t="shared" si="718"/>
        <v>10.85055803587386</v>
      </c>
      <c r="FD278" s="5">
        <f t="shared" si="719"/>
        <v>93</v>
      </c>
      <c r="FE278" s="173">
        <f t="shared" si="720"/>
        <v>0.89551757601412529</v>
      </c>
      <c r="FF278" s="5">
        <f t="shared" si="721"/>
        <v>89.551757601412532</v>
      </c>
      <c r="FI278" s="562">
        <f t="shared" si="676"/>
        <v>-50</v>
      </c>
      <c r="FJ278">
        <f t="shared" si="677"/>
        <v>-50</v>
      </c>
      <c r="FL278">
        <f t="shared" si="760"/>
        <v>0.84661354581673309</v>
      </c>
    </row>
    <row r="279" spans="5:168">
      <c r="E279" s="170">
        <v>63</v>
      </c>
      <c r="F279" s="217">
        <f t="shared" si="761"/>
        <v>6.3</v>
      </c>
      <c r="G279" s="217"/>
      <c r="H279" s="217">
        <f t="shared" si="726"/>
        <v>94.5</v>
      </c>
      <c r="I279" s="541">
        <f t="shared" si="727"/>
        <v>84.62627514482331</v>
      </c>
      <c r="J279" s="172">
        <f t="shared" si="728"/>
        <v>15.624234913106015</v>
      </c>
      <c r="K279" s="172">
        <f t="shared" si="729"/>
        <v>100.25051005792932</v>
      </c>
      <c r="L279" s="443"/>
      <c r="M279" s="217">
        <f t="shared" si="730"/>
        <v>0.15584356656170006</v>
      </c>
      <c r="N279" s="172">
        <f t="shared" si="731"/>
        <v>331.11278751776172</v>
      </c>
      <c r="O279" s="172">
        <f t="shared" si="762"/>
        <v>94.5</v>
      </c>
      <c r="P279" s="217">
        <f t="shared" si="732"/>
        <v>22.074185834517447</v>
      </c>
      <c r="Q279" s="217">
        <f t="shared" si="733"/>
        <v>15</v>
      </c>
      <c r="R279" s="217"/>
      <c r="S279" s="172">
        <f t="shared" si="734"/>
        <v>251.32675025064722</v>
      </c>
      <c r="T279" s="172">
        <f t="shared" si="735"/>
        <v>15</v>
      </c>
      <c r="U279" s="217">
        <f t="shared" si="736"/>
        <v>14.926143426615187</v>
      </c>
      <c r="V279" s="217">
        <f t="shared" si="737"/>
        <v>2.1165261121662269</v>
      </c>
      <c r="W279" s="217">
        <f t="shared" si="738"/>
        <v>11.463839484974525</v>
      </c>
      <c r="X279" s="197">
        <f t="shared" si="739"/>
        <v>109.90973195712625</v>
      </c>
      <c r="Y279" s="443">
        <f t="shared" si="680"/>
        <v>72.56701521819474</v>
      </c>
      <c r="AA279" s="217">
        <f t="shared" si="740"/>
        <v>10</v>
      </c>
      <c r="AB279" s="173">
        <f t="shared" si="741"/>
        <v>7.6803760739248013</v>
      </c>
      <c r="AC279" s="173">
        <f t="shared" si="742"/>
        <v>4.2207403780750035</v>
      </c>
      <c r="AD279" s="173"/>
      <c r="AE279" s="173">
        <f t="shared" si="743"/>
        <v>7.6803760739248013</v>
      </c>
      <c r="AF279" s="545">
        <f t="shared" si="744"/>
        <v>164.05446658761315</v>
      </c>
      <c r="AG279" s="528">
        <f t="shared" si="745"/>
        <v>4.2207403780750035</v>
      </c>
      <c r="AI279" s="173">
        <f t="shared" si="746"/>
        <v>6.8463643446224829</v>
      </c>
      <c r="AJ279" s="173">
        <f t="shared" si="747"/>
        <v>14.926143426615187</v>
      </c>
      <c r="AK279" s="173">
        <f t="shared" si="748"/>
        <v>4.8489951308260641</v>
      </c>
      <c r="AM279" s="545">
        <f t="shared" si="749"/>
        <v>6300</v>
      </c>
      <c r="AN279" s="460">
        <f t="shared" si="750"/>
        <v>72.56701521819474</v>
      </c>
      <c r="AP279">
        <f t="shared" si="751"/>
        <v>6300</v>
      </c>
      <c r="AQ279">
        <f t="shared" si="752"/>
        <v>72.56701521819474</v>
      </c>
      <c r="AS279" s="5">
        <f t="shared" si="763"/>
        <v>13.780365597140749</v>
      </c>
      <c r="AT279" s="5">
        <f t="shared" si="753"/>
        <v>2.1165261121662269</v>
      </c>
      <c r="AU279" s="5">
        <f t="shared" si="722"/>
        <v>11.663839484974522</v>
      </c>
      <c r="AV279" s="5"/>
      <c r="AW279" s="173">
        <f t="shared" si="723"/>
        <v>0.15358998259127313</v>
      </c>
      <c r="AX279" s="173">
        <f t="shared" si="631"/>
        <v>97.003126377770613</v>
      </c>
      <c r="AY279" s="173">
        <f t="shared" si="632"/>
        <v>6.3168186587832578</v>
      </c>
      <c r="AZ279" s="173">
        <f t="shared" si="633"/>
        <v>15.356325963686173</v>
      </c>
      <c r="BA279" s="460">
        <f t="shared" si="724"/>
        <v>88.894096710981529</v>
      </c>
      <c r="BB279" s="5">
        <f t="shared" si="725"/>
        <v>4.4912798774979414</v>
      </c>
      <c r="BD279" s="173">
        <f t="shared" si="681"/>
        <v>3.3772905802359778</v>
      </c>
      <c r="BE279" s="173">
        <f t="shared" si="682"/>
        <v>7.9282508075412572</v>
      </c>
      <c r="BG279" s="528">
        <f t="shared" si="683"/>
        <v>0.22812183326701338</v>
      </c>
      <c r="BH279" s="528">
        <f t="shared" si="754"/>
        <v>2.0359857488466084</v>
      </c>
      <c r="BI279" s="528">
        <f t="shared" si="755"/>
        <v>0.1535269049073382</v>
      </c>
      <c r="BJ279" s="528">
        <f t="shared" si="684"/>
        <v>7.2931045958318189E-2</v>
      </c>
      <c r="BK279">
        <f t="shared" si="685"/>
        <v>3.8081823815170487E-2</v>
      </c>
      <c r="BL279" s="460">
        <f t="shared" si="686"/>
        <v>191.60872872250866</v>
      </c>
      <c r="BM279" s="528">
        <f t="shared" si="756"/>
        <v>2.5360921495968611</v>
      </c>
      <c r="BN279" s="460">
        <f t="shared" si="687"/>
        <v>2536.092149596861</v>
      </c>
      <c r="BO279" s="528">
        <f t="shared" si="637"/>
        <v>4.4099999999999993</v>
      </c>
      <c r="BR279" s="460">
        <f t="shared" si="688"/>
        <v>4409.9999999999991</v>
      </c>
      <c r="BS279" s="528">
        <f t="shared" si="689"/>
        <v>0.34218274990052006</v>
      </c>
      <c r="BT279" s="528">
        <f t="shared" si="690"/>
        <v>1.8857148260183578</v>
      </c>
      <c r="BU279" s="528">
        <f t="shared" si="691"/>
        <v>1.9305772374615773</v>
      </c>
      <c r="BV279" s="528"/>
      <c r="BW279" s="528">
        <f t="shared" si="692"/>
        <v>1.6167187729628437E-2</v>
      </c>
      <c r="BX279" s="460">
        <f t="shared" si="693"/>
        <v>4174.6420011100836</v>
      </c>
      <c r="BY279" s="173">
        <f t="shared" si="694"/>
        <v>11.113289357904531</v>
      </c>
      <c r="BZ279" s="5">
        <f t="shared" si="695"/>
        <v>94.5</v>
      </c>
      <c r="CA279" s="173">
        <f t="shared" si="696"/>
        <v>0.89477375976574702</v>
      </c>
      <c r="CB279" s="5">
        <f t="shared" si="697"/>
        <v>89.477375976574706</v>
      </c>
      <c r="CE279" s="562">
        <f t="shared" si="757"/>
        <v>-50</v>
      </c>
      <c r="CF279">
        <f t="shared" si="758"/>
        <v>-50</v>
      </c>
      <c r="CG279" s="173">
        <f t="shared" si="759"/>
        <v>0.84286607014958226</v>
      </c>
      <c r="CI279" s="170">
        <v>63</v>
      </c>
      <c r="CJ279" s="217">
        <f t="shared" si="698"/>
        <v>6.3</v>
      </c>
      <c r="CK279" s="217"/>
      <c r="CL279" s="217">
        <f t="shared" si="641"/>
        <v>94.5</v>
      </c>
      <c r="CM279" s="541">
        <f t="shared" si="642"/>
        <v>85</v>
      </c>
      <c r="CN279" s="443">
        <f t="shared" si="643"/>
        <v>15.4</v>
      </c>
      <c r="CO279" s="443">
        <f t="shared" si="644"/>
        <v>100.4</v>
      </c>
      <c r="CP279" s="443"/>
      <c r="CQ279" s="217">
        <f t="shared" si="645"/>
        <v>0.15338645418326693</v>
      </c>
      <c r="CR279" s="172">
        <f t="shared" si="646"/>
        <v>327.33148655378488</v>
      </c>
      <c r="CS279" s="172">
        <f t="shared" si="647"/>
        <v>94.5</v>
      </c>
      <c r="CT279" s="217">
        <f t="shared" si="648"/>
        <v>21.822099103585661</v>
      </c>
      <c r="CU279" s="217">
        <f t="shared" si="649"/>
        <v>15</v>
      </c>
      <c r="CV279" s="217"/>
      <c r="CW279" s="172">
        <f t="shared" si="650"/>
        <v>252.43606178975696</v>
      </c>
      <c r="CX279" s="172">
        <f t="shared" si="651"/>
        <v>15</v>
      </c>
      <c r="CY279" s="217">
        <f t="shared" si="652"/>
        <v>14.496256684491978</v>
      </c>
      <c r="CZ279" s="217">
        <f t="shared" si="653"/>
        <v>2.046530355457691</v>
      </c>
      <c r="DA279" s="217">
        <f t="shared" si="654"/>
        <v>11.295784429474269</v>
      </c>
      <c r="DB279" s="197">
        <f t="shared" si="655"/>
        <v>108.64873837981409</v>
      </c>
      <c r="DC279" s="443">
        <f t="shared" si="656"/>
        <v>74.949513343017685</v>
      </c>
      <c r="DE279" s="217">
        <f t="shared" si="657"/>
        <v>10</v>
      </c>
      <c r="DF279" s="173">
        <f t="shared" si="658"/>
        <v>7.7922077922077913</v>
      </c>
      <c r="DG279" s="173">
        <f t="shared" si="659"/>
        <v>4.2330677290836656</v>
      </c>
      <c r="DH279" s="173"/>
      <c r="DI279" s="173">
        <f t="shared" si="660"/>
        <v>7.7922077922077913</v>
      </c>
      <c r="DJ279" s="545">
        <f t="shared" si="661"/>
        <v>161.69999999999999</v>
      </c>
      <c r="DK279" s="528">
        <f t="shared" si="662"/>
        <v>4.2330677290836656</v>
      </c>
      <c r="DM279" s="173">
        <f t="shared" si="663"/>
        <v>6.7970581871865718</v>
      </c>
      <c r="DN279" s="173">
        <f t="shared" si="664"/>
        <v>14.496256684491978</v>
      </c>
      <c r="DO279" s="173">
        <f t="shared" si="665"/>
        <v>4.5305605070310948</v>
      </c>
      <c r="DQ279" s="545">
        <f t="shared" si="666"/>
        <v>6300</v>
      </c>
      <c r="DR279" s="460">
        <f t="shared" si="667"/>
        <v>74.949513343017685</v>
      </c>
      <c r="DT279">
        <f t="shared" si="668"/>
        <v>6300</v>
      </c>
      <c r="DU279">
        <f t="shared" si="669"/>
        <v>74.949513343017685</v>
      </c>
      <c r="DW279" s="5">
        <f t="shared" si="670"/>
        <v>13.342314784931959</v>
      </c>
      <c r="DX279" s="5">
        <f t="shared" si="671"/>
        <v>2.046530355457691</v>
      </c>
      <c r="DY279" s="5">
        <f t="shared" si="672"/>
        <v>11.295784429474269</v>
      </c>
      <c r="DZ279" s="5"/>
      <c r="EA279" s="173">
        <f t="shared" si="673"/>
        <v>0.15338645418326693</v>
      </c>
      <c r="EB279" s="173">
        <f t="shared" si="699"/>
        <v>94.500000000000014</v>
      </c>
      <c r="EC279" s="173">
        <f t="shared" si="700"/>
        <v>6.1363636363636367</v>
      </c>
      <c r="ED279" s="173">
        <f t="shared" si="701"/>
        <v>15.400000000000002</v>
      </c>
      <c r="EE279" s="460">
        <f t="shared" si="674"/>
        <v>85.954274929223033</v>
      </c>
      <c r="EF279" s="5">
        <f t="shared" si="675"/>
        <v>4.3304325703258346</v>
      </c>
      <c r="EH279" s="173">
        <f t="shared" si="702"/>
        <v>3.2778475202719357</v>
      </c>
      <c r="EI279" s="173">
        <f t="shared" si="703"/>
        <v>7.7008355556225139</v>
      </c>
      <c r="EK279" s="528">
        <f t="shared" si="704"/>
        <v>0.21488568732305754</v>
      </c>
      <c r="EL279" s="528">
        <f t="shared" si="705"/>
        <v>2.1816666666666671</v>
      </c>
      <c r="EM279" s="528">
        <f t="shared" si="706"/>
        <v>9.3686891678772116E-3</v>
      </c>
      <c r="EN279" s="528">
        <f t="shared" si="707"/>
        <v>7.5550308641975317E-2</v>
      </c>
      <c r="EO279">
        <f t="shared" si="708"/>
        <v>3.8249999999999999E-2</v>
      </c>
      <c r="EP279" s="460">
        <f t="shared" si="709"/>
        <v>47.618689167877214</v>
      </c>
      <c r="EQ279" s="460"/>
      <c r="ER279" s="460">
        <f t="shared" si="710"/>
        <v>2519.721351799577</v>
      </c>
      <c r="ES279" s="528">
        <f t="shared" si="711"/>
        <v>4.4099999999999993</v>
      </c>
      <c r="EV279" s="460">
        <f t="shared" si="712"/>
        <v>4409.9999999999991</v>
      </c>
      <c r="EW279" s="528">
        <f t="shared" si="713"/>
        <v>0.3223285309845863</v>
      </c>
      <c r="EX279" s="528">
        <f t="shared" si="714"/>
        <v>1.7790860476421972</v>
      </c>
      <c r="EY279" s="528">
        <f t="shared" si="715"/>
        <v>1.9455021880180834</v>
      </c>
      <c r="EZ279" s="528"/>
      <c r="FA279" s="528">
        <f t="shared" si="716"/>
        <v>1.5750000000000004E-2</v>
      </c>
      <c r="FB279" s="460">
        <f t="shared" si="717"/>
        <v>4062.6667666448666</v>
      </c>
      <c r="FC279" s="173">
        <f t="shared" si="718"/>
        <v>10.992388118444445</v>
      </c>
      <c r="FD279" s="5">
        <f t="shared" si="719"/>
        <v>94.5</v>
      </c>
      <c r="FE279" s="173">
        <f t="shared" si="720"/>
        <v>0.89579922955102276</v>
      </c>
      <c r="FF279" s="5">
        <f t="shared" si="721"/>
        <v>89.579922955102276</v>
      </c>
      <c r="FI279" s="562">
        <f t="shared" si="676"/>
        <v>-50</v>
      </c>
      <c r="FJ279">
        <f t="shared" si="677"/>
        <v>-50</v>
      </c>
      <c r="FL279">
        <f t="shared" si="760"/>
        <v>0.84661354581673309</v>
      </c>
    </row>
    <row r="280" spans="5:168">
      <c r="E280" s="170">
        <v>64</v>
      </c>
      <c r="F280" s="217">
        <f t="shared" si="761"/>
        <v>6.4</v>
      </c>
      <c r="G280" s="217"/>
      <c r="H280" s="217">
        <f t="shared" ref="H280:H311" si="764">F280*Vout</f>
        <v>96</v>
      </c>
      <c r="I280" s="541">
        <f t="shared" ref="I280:I316" si="765">VIN_max-F280*(Rdcr_pri+RON/1000)/CG280/Nps</f>
        <v>84.620369377385103</v>
      </c>
      <c r="J280" s="172">
        <f t="shared" ref="J280:J316" si="766">(T280+Vfwd1+F280/CG280*Rdcr_sec)*Nps</f>
        <v>15.627778373568942</v>
      </c>
      <c r="K280" s="172">
        <f t="shared" ref="K280:K316" si="767">(Vout+Vfwd1+F280/CG280*Rdcr_sec)*Nps+I280</f>
        <v>100.24814775095405</v>
      </c>
      <c r="L280" s="443"/>
      <c r="M280" s="217">
        <f t="shared" ref="M280:M316" si="768">(Vout+Vfwd1+F280/FL280*Rdcr_sec)*Nps/((Vout+Vfwd1+F280/FL280*Rdcr_sec)*Nps+I280)</f>
        <v>0.15588258681120978</v>
      </c>
      <c r="N280" s="172">
        <f t="shared" ref="N280:N311" si="769">M280*I280*(Isw_max+VIN_max/Lmag*ILIM_delay)*0.5*Efficiency</f>
        <v>331.17257885719016</v>
      </c>
      <c r="O280" s="172">
        <f t="shared" si="762"/>
        <v>96</v>
      </c>
      <c r="P280" s="217">
        <f t="shared" ref="P280:P311" si="770">N280/Vout</f>
        <v>22.078171923812679</v>
      </c>
      <c r="Q280" s="217">
        <f t="shared" ref="Q280:Q316" si="771">MIN(Vout,N280/F280)</f>
        <v>15</v>
      </c>
      <c r="R280" s="217"/>
      <c r="S280" s="172">
        <f t="shared" ref="S280:S316" si="772">(SQRT(Isw_max^2*Nps^2*I280^2+4*Isw_max*F280/Efficiency*(Nps^2*Vfwd1*I280-Nps*I280^2)+4*(F280/Efficiency)^2*Nps^2*Vfwd1^2+8*(F280/Efficiency)^2*Nps*Vfwd1*I280+4*(F280/Efficiency)^2*I280^2)-2*F280/Efficiency*I280-2*F280/Efficiency*Nps*Vfwd1+Isw_max*Nps*I280)/(4*F280/Efficiency*Nps)</f>
        <v>246.06528284626467</v>
      </c>
      <c r="T280" s="172">
        <f t="shared" ref="T280:T311" si="773">MIN(Vout, S280)</f>
        <v>15</v>
      </c>
      <c r="U280" s="217">
        <f t="shared" ref="U280:U316" si="774">MIN(2*(Vout+Vfwd1+F280/FL280*Rdcr_sec)*F280/(I280*M280), Isw_max)</f>
        <v>15.163767267453858</v>
      </c>
      <c r="V280" s="217">
        <f t="shared" ref="V280:V311" si="775">L*U280/I280*1000000</f>
        <v>2.1503712232444676</v>
      </c>
      <c r="W280" s="217">
        <f t="shared" ref="W280:W316" si="776">L*U280/J280*1000000</f>
        <v>11.643702825809308</v>
      </c>
      <c r="X280" s="197">
        <f t="shared" ref="X280:X316" si="777">IF(1/((350000*L)*(1/I280+1/J280))&gt;Isw_min, 350, 0.001/((Isw_min*L)*(1/I280+1/J280)))</f>
        <v>109.92957710339417</v>
      </c>
      <c r="Y280" s="443">
        <f t="shared" si="680"/>
        <v>71.458818675296058</v>
      </c>
      <c r="AA280" s="217">
        <f t="shared" ref="AA280:AA316" si="778">1/((X280*1000*L)*(1/I280+1/J280))</f>
        <v>10</v>
      </c>
      <c r="AB280" s="173">
        <f t="shared" ref="AB280:AB311" si="779">L*AA280/J280*1000000</f>
        <v>7.6786346166102808</v>
      </c>
      <c r="AC280" s="173">
        <f t="shared" ref="AC280:AC311" si="780">0.5*AB280*AA280*Nps*X280/1000</f>
        <v>4.2205452806772561</v>
      </c>
      <c r="AD280" s="173"/>
      <c r="AE280" s="173">
        <f t="shared" ref="AE280:AE316" si="781">L*Isw_min/J280*1000000</f>
        <v>7.6786346166102808</v>
      </c>
      <c r="AF280" s="545">
        <f t="shared" ref="AF280:AF311" si="782">MAX(12000,F280/(0.5*AE280/1000000*Isw_min*Nps))/1000</f>
        <v>166.69630265140205</v>
      </c>
      <c r="AG280" s="528">
        <f t="shared" ref="AG280:AG316" si="783">0.5*AE280/1000000*Isw_min*Nps*X280*1000</f>
        <v>4.2205452806772579</v>
      </c>
      <c r="AI280" s="173">
        <f t="shared" ref="AI280:AI316" si="784">SQRT(F280/(0.5*L/J280*Fsw_DCM*Nps))</f>
        <v>6.9012690893239146</v>
      </c>
      <c r="AJ280" s="173">
        <f t="shared" ref="AJ280:AJ311" si="785">MAX(IF(F280&gt;AC280,U280,AI280),Isw_min)</f>
        <v>15.163767267453858</v>
      </c>
      <c r="AK280" s="173">
        <f t="shared" ref="AK280:AK311" si="786">IF(F280&gt;AG280, (AJ280-Isw_min)/1.08*0.8+1.2, AF280*0.2/350+1)</f>
        <v>5.0250127907065609</v>
      </c>
      <c r="AM280" s="545">
        <f t="shared" ref="AM280:AM316" si="787">F280*1000</f>
        <v>6400</v>
      </c>
      <c r="AN280" s="460">
        <f t="shared" ref="AN280:AN316" si="788">IF(F280&gt;AG280, Y280, AF280)</f>
        <v>71.458818675296058</v>
      </c>
      <c r="AP280">
        <f t="shared" ref="AP280:AP316" si="789">IF(H280&gt;N280, "",AM280)</f>
        <v>6400</v>
      </c>
      <c r="AQ280">
        <f t="shared" ref="AQ280:AQ316" si="790">IF(H280&gt;N280, "",AN280)</f>
        <v>71.458818675296058</v>
      </c>
      <c r="AS280" s="5">
        <f t="shared" si="763"/>
        <v>13.994074049053777</v>
      </c>
      <c r="AT280" s="5">
        <f t="shared" ref="AT280:AT316" si="791">L*AJ280/I280*1000000</f>
        <v>2.1503712232444676</v>
      </c>
      <c r="AU280" s="5">
        <f t="shared" si="722"/>
        <v>11.843702825809309</v>
      </c>
      <c r="AV280" s="5"/>
      <c r="AW280" s="173">
        <f t="shared" si="723"/>
        <v>0.15366298732640099</v>
      </c>
      <c r="AX280" s="173">
        <f t="shared" ref="AX280:AX316" si="792">0.5*L*AJ280^2*AN280*1000</f>
        <v>98.587375028383235</v>
      </c>
      <c r="AY280" s="173">
        <f t="shared" ref="AY280:AY316" si="793">AJ280*Nps/2*(1-AW280)</f>
        <v>6.4168287450073</v>
      </c>
      <c r="AZ280" s="173">
        <f t="shared" ref="AZ280:AZ316" si="794">AX280/AY280</f>
        <v>15.363878162572201</v>
      </c>
      <c r="BA280" s="460">
        <f t="shared" si="724"/>
        <v>91.749172191763961</v>
      </c>
      <c r="BB280" s="5">
        <f t="shared" si="725"/>
        <v>4.6332509155134973</v>
      </c>
      <c r="BD280" s="173">
        <f t="shared" si="681"/>
        <v>3.4318722962209995</v>
      </c>
      <c r="BE280" s="173">
        <f t="shared" si="682"/>
        <v>8.0541210025012955</v>
      </c>
      <c r="BG280" s="528">
        <f t="shared" si="683"/>
        <v>0.23555494915138395</v>
      </c>
      <c r="BH280" s="528">
        <f t="shared" ref="BH280:BH316" si="795">0.5*K280*AJ280*AN280*1000*Tfall</f>
        <v>2.0367633509015297</v>
      </c>
      <c r="BI280" s="528">
        <f t="shared" ref="BI280:BI316" si="796">Qg*Vdd*AN280*1000*0+Qg*I280*AN280*1000</f>
        <v>0.15117179078937845</v>
      </c>
      <c r="BJ280" s="528">
        <f t="shared" si="684"/>
        <v>7.1813905602254785E-2</v>
      </c>
      <c r="BK280">
        <f t="shared" si="685"/>
        <v>3.8079166219823296E-2</v>
      </c>
      <c r="BL280" s="460">
        <f t="shared" si="686"/>
        <v>189.25095700920176</v>
      </c>
      <c r="BM280" s="528">
        <f t="shared" ref="BM280:BM316" si="797">(BH280+BI280*0+BJ280+BK280*0+BG280*(1+RdsonTC*(Ta-25)))/(1-BG280*RdsonTC*ThetaJA)</f>
        <v>2.5504767576196468</v>
      </c>
      <c r="BN280" s="460">
        <f t="shared" si="687"/>
        <v>2550.4767576196468</v>
      </c>
      <c r="BO280" s="528">
        <f t="shared" ref="BO280:BO316" si="798">Vfwd2*F280</f>
        <v>4.4799999999999995</v>
      </c>
      <c r="BR280" s="460">
        <f t="shared" si="688"/>
        <v>4479.9999999999991</v>
      </c>
      <c r="BS280" s="528">
        <f t="shared" si="689"/>
        <v>0.35333242372707591</v>
      </c>
      <c r="BT280" s="528">
        <f t="shared" si="690"/>
        <v>1.9460659536879743</v>
      </c>
      <c r="BU280" s="528">
        <f t="shared" si="691"/>
        <v>1.9325349680449417</v>
      </c>
      <c r="BV280" s="528"/>
      <c r="BW280" s="528">
        <f t="shared" si="692"/>
        <v>1.6431229171397208E-2</v>
      </c>
      <c r="BX280" s="460">
        <f t="shared" si="693"/>
        <v>4248.3645746313896</v>
      </c>
      <c r="BY280" s="173">
        <f t="shared" si="694"/>
        <v>11.26174773729576</v>
      </c>
      <c r="BZ280" s="5">
        <f t="shared" si="695"/>
        <v>96</v>
      </c>
      <c r="CA280" s="173">
        <f t="shared" si="696"/>
        <v>0.89500685962270621</v>
      </c>
      <c r="CB280" s="5">
        <f t="shared" si="697"/>
        <v>89.500685962270623</v>
      </c>
      <c r="CE280" s="562">
        <f t="shared" ref="CE280:CE316" si="799">IF(ABS(F280-Ioutmax_Vinmax)&lt;Iout/200, AN280, -50)</f>
        <v>-50</v>
      </c>
      <c r="CF280">
        <f t="shared" ref="CF280:CF316" si="800">IF(ABS(F280-Ioutmax_Vinmin)&lt;Iout/200, N280*CA280, -50)</f>
        <v>-50</v>
      </c>
      <c r="CG280" s="173">
        <f t="shared" ref="CG280:CG316" si="801">MIN(SQRT(2*DU280*1000*Ls1_*CL280)/CU280,1-EA280-0.00000005*DU280*1000)</f>
        <v>0.84292462445688143</v>
      </c>
      <c r="CI280" s="170">
        <v>64</v>
      </c>
      <c r="CJ280" s="217">
        <f t="shared" si="698"/>
        <v>6.4</v>
      </c>
      <c r="CK280" s="217"/>
      <c r="CL280" s="217">
        <f t="shared" ref="CL280:CL316" si="802">CJ280*Vout</f>
        <v>96</v>
      </c>
      <c r="CM280" s="541">
        <f t="shared" ref="CM280:CM316" si="803">VIN_max</f>
        <v>85</v>
      </c>
      <c r="CN280" s="443">
        <f t="shared" ref="CN280:CN316" si="804">(CX280+Vfwd1)*Nps</f>
        <v>15.4</v>
      </c>
      <c r="CO280" s="443">
        <f t="shared" ref="CO280:CO316" si="805">(Vout+Vfwd1)*Nps+CM280</f>
        <v>100.4</v>
      </c>
      <c r="CP280" s="443"/>
      <c r="CQ280" s="217">
        <f t="shared" ref="CQ280:CQ316" si="806">(Vout+Vfwd1)*Nps/((Vout+Vfwd1)*Nps+CM280)</f>
        <v>0.15338645418326693</v>
      </c>
      <c r="CR280" s="172">
        <f t="shared" ref="CR280:CR316" si="807">CQ280*CM280*(Isw_max+VIN_max/Lmag*ILIM_delay)*0.5*Efficiency</f>
        <v>327.33148655378488</v>
      </c>
      <c r="CS280" s="172">
        <f t="shared" ref="CS280:CS316" si="808">CX280*CJ280</f>
        <v>96</v>
      </c>
      <c r="CT280" s="217">
        <f t="shared" ref="CT280:CT316" si="809">CR280/Vout</f>
        <v>21.822099103585661</v>
      </c>
      <c r="CU280" s="217">
        <f t="shared" ref="CU280:CU316" si="810">MIN(Vout,CR280/CJ280)</f>
        <v>15</v>
      </c>
      <c r="CV280" s="217"/>
      <c r="CW280" s="172">
        <f t="shared" ref="CW280:CW316" si="811">(SQRT(Isw_max^2*Nps^2*CM280^2+4*Isw_max*CJ280/Efficiency*(Nps^2*Vfwd1*CM280-Nps*CM280^2)+4*(CJ280/Efficiency)^2*Nps^2*Vfwd1^2+8*(CJ280/Efficiency)^2*Nps*Vfwd1*CM280+4*(CJ280/Efficiency)^2*CM280^2)-2*CJ280/Efficiency*CM280-2*CJ280/Efficiency*Nps*Vfwd1+Isw_max*Nps*CM280)/(4*CJ280/Efficiency*Nps)</f>
        <v>247.1685856797537</v>
      </c>
      <c r="CX280" s="172">
        <f t="shared" ref="CX280:CX316" si="812">MIN(Vout, CW280)</f>
        <v>15</v>
      </c>
      <c r="CY280" s="217">
        <f t="shared" ref="CY280:CY316" si="813">MIN(2*Vout*CJ280/(Efficiency*CM280*CQ280), Isw_max)</f>
        <v>14.726355996944232</v>
      </c>
      <c r="CZ280" s="217">
        <f t="shared" ref="CZ280:CZ316" si="814">L*CY280/CM280*1000000</f>
        <v>2.0790149642744797</v>
      </c>
      <c r="DA280" s="217">
        <f t="shared" ref="DA280:DA316" si="815">L*CY280/CN280*1000000</f>
        <v>11.47508259502148</v>
      </c>
      <c r="DB280" s="197">
        <f t="shared" ref="DB280:DB316" si="816">IF(1/((350000*L)*(1/CM280+1/CN280))&gt;Isw_min, 350, 0.001/((Isw_min*L)*(1/CM280+1/CN280)))</f>
        <v>108.64873837981409</v>
      </c>
      <c r="DC280" s="443">
        <f t="shared" ref="DC280:DC316" si="817">MIN(1/(CZ280+DA280)*1000, 350)</f>
        <v>73.778427197033025</v>
      </c>
      <c r="DE280" s="217">
        <f t="shared" ref="DE280:DE316" si="818">1/((DB280*1000*L)*(1/CM280+1/CN280))</f>
        <v>10</v>
      </c>
      <c r="DF280" s="173">
        <f t="shared" ref="DF280:DF316" si="819">L*DE280/CN280*1000000</f>
        <v>7.7922077922077913</v>
      </c>
      <c r="DG280" s="173">
        <f t="shared" ref="DG280:DG316" si="820">0.5*DF280*DE280*Nps*DB280/1000</f>
        <v>4.2330677290836656</v>
      </c>
      <c r="DH280" s="173"/>
      <c r="DI280" s="173">
        <f t="shared" ref="DI280:DI316" si="821">L*Isw_min/CN280*1000000</f>
        <v>7.7922077922077913</v>
      </c>
      <c r="DJ280" s="545">
        <f t="shared" ref="DJ280:DJ316" si="822">MAX(12000,CJ280/(0.5*DI280/1000000*Isw_min*Nps))/1000</f>
        <v>164.26666666666668</v>
      </c>
      <c r="DK280" s="528">
        <f t="shared" ref="DK280:DK316" si="823">0.5*DI280/1000000*Isw_min*Nps*DB280*1000</f>
        <v>4.2330677290836656</v>
      </c>
      <c r="DM280" s="173">
        <f t="shared" ref="DM280:DM316" si="824">SQRT(CJ280/(0.5*L/CN280*Fsw_DCM*Nps))</f>
        <v>6.8507907086214024</v>
      </c>
      <c r="DN280" s="173">
        <f t="shared" ref="DN280:DN316" si="825">MAX(IF(CJ280&gt;DG280,CY280,DM280),Isw_min)</f>
        <v>14.726355996944232</v>
      </c>
      <c r="DO280" s="173">
        <f t="shared" ref="DO280:DO316" si="826">IF(CJ280&gt;DK280, (DN280-Isw_min)/1.08*0.8+1.2, DJ280*0.2/350+1)</f>
        <v>4.7010044421809125</v>
      </c>
      <c r="DQ280" s="545">
        <f t="shared" ref="DQ280:DQ316" si="827">CJ280*1000</f>
        <v>6400</v>
      </c>
      <c r="DR280" s="460">
        <f t="shared" ref="DR280:DR316" si="828">IF(CJ280&gt;DK280, DC280, DJ280)</f>
        <v>73.778427197033025</v>
      </c>
      <c r="DT280">
        <f t="shared" ref="DT280:DT316" si="829">IF(CL280&gt;CR280, "",DQ280)</f>
        <v>6400</v>
      </c>
      <c r="DU280">
        <f t="shared" ref="DU280:DU316" si="830">IF(CL280&gt;CR280, "",DR280)</f>
        <v>73.778427197033025</v>
      </c>
      <c r="DW280" s="5">
        <f t="shared" si="670"/>
        <v>13.554097559295959</v>
      </c>
      <c r="DX280" s="5">
        <f t="shared" ref="DX280:DX316" si="831">L*DN280/CM280*1000000</f>
        <v>2.0790149642744797</v>
      </c>
      <c r="DY280" s="5">
        <f t="shared" ref="DY280:DY316" si="832">DW280-DX280</f>
        <v>11.47508259502148</v>
      </c>
      <c r="DZ280" s="5"/>
      <c r="EA280" s="173">
        <f t="shared" ref="EA280:EA316" si="833">DX280/DW280</f>
        <v>0.15338645418326693</v>
      </c>
      <c r="EB280" s="173">
        <f t="shared" si="699"/>
        <v>95.999999999999986</v>
      </c>
      <c r="EC280" s="173">
        <f t="shared" si="700"/>
        <v>6.2337662337662341</v>
      </c>
      <c r="ED280" s="173">
        <f t="shared" si="701"/>
        <v>15.399999999999997</v>
      </c>
      <c r="EE280" s="460">
        <f t="shared" ref="EE280:EE316" si="834">CJ280*DX280/Vout_ripple*1000</f>
        <v>88.704638475711135</v>
      </c>
      <c r="EF280" s="5">
        <f t="shared" ref="EF280:EF316" si="835">CL280/Efficiency/CM280*DY280/Vinripple1</f>
        <v>4.46899768406516</v>
      </c>
      <c r="EH280" s="173">
        <f t="shared" si="702"/>
        <v>3.3298768459905377</v>
      </c>
      <c r="EI280" s="173">
        <f t="shared" si="703"/>
        <v>7.8230710406323958</v>
      </c>
      <c r="EK280" s="528">
        <f t="shared" si="704"/>
        <v>0.22176159618927782</v>
      </c>
      <c r="EL280" s="528">
        <f t="shared" si="705"/>
        <v>2.1816666666666666</v>
      </c>
      <c r="EM280" s="528">
        <f t="shared" si="706"/>
        <v>9.2223033996291278E-3</v>
      </c>
      <c r="EN280" s="528">
        <f t="shared" si="707"/>
        <v>7.4369835069444459E-2</v>
      </c>
      <c r="EO280">
        <f t="shared" si="708"/>
        <v>3.8249999999999999E-2</v>
      </c>
      <c r="EP280" s="460">
        <f t="shared" si="709"/>
        <v>47.472303399629126</v>
      </c>
      <c r="EQ280" s="460"/>
      <c r="ER280" s="460">
        <f t="shared" si="710"/>
        <v>2525.2704013250186</v>
      </c>
      <c r="ES280" s="528">
        <f t="shared" si="711"/>
        <v>4.4799999999999995</v>
      </c>
      <c r="EV280" s="460">
        <f t="shared" si="712"/>
        <v>4479.9999999999991</v>
      </c>
      <c r="EW280" s="528">
        <f t="shared" si="713"/>
        <v>0.33264239428391668</v>
      </c>
      <c r="EX280" s="528">
        <f t="shared" si="714"/>
        <v>1.836013215203437</v>
      </c>
      <c r="EY280" s="528">
        <f t="shared" si="715"/>
        <v>1.9455021880180849</v>
      </c>
      <c r="EZ280" s="528"/>
      <c r="FA280" s="528">
        <f t="shared" si="716"/>
        <v>1.6E-2</v>
      </c>
      <c r="FB280" s="460">
        <f t="shared" si="717"/>
        <v>4130.1577975054379</v>
      </c>
      <c r="FC280" s="173">
        <f t="shared" si="718"/>
        <v>11.135428198830455</v>
      </c>
      <c r="FD280" s="5">
        <f t="shared" si="719"/>
        <v>96</v>
      </c>
      <c r="FE280" s="173">
        <f t="shared" si="720"/>
        <v>0.89606213009048286</v>
      </c>
      <c r="FF280" s="5">
        <f t="shared" si="721"/>
        <v>89.60621300904829</v>
      </c>
      <c r="FI280" s="562">
        <f t="shared" ref="FI280:FI316" si="836">IF(ABS(CJ280-Ioutmax_Vinmax)&lt;Iout/200, DR280, -50)</f>
        <v>-50</v>
      </c>
      <c r="FJ280">
        <f t="shared" ref="FJ280:FJ316" si="837">IF(ABS(CJ280-Ioutmax_Vinmin)&lt;Iout/200, CR280*FE280, -50)</f>
        <v>-50</v>
      </c>
      <c r="FL280">
        <f t="shared" ref="FL280:FL316" si="838">MIN(SQRT(2*L*DR280*1000*CJ280*(CX280+Vfwd1))/(Nps*(CX280+Vfwd1)), 1-EA280)</f>
        <v>0.84661354581673309</v>
      </c>
    </row>
    <row r="281" spans="5:168">
      <c r="E281" s="170">
        <v>65</v>
      </c>
      <c r="F281" s="217">
        <f t="shared" ref="F281:F312" si="839">IF(PLOT_TYPE=1, E281/100*Iout_max, min_I*EXP(N281*rr/100))</f>
        <v>6.5</v>
      </c>
      <c r="G281" s="217"/>
      <c r="H281" s="217">
        <f t="shared" si="764"/>
        <v>97.5</v>
      </c>
      <c r="I281" s="541">
        <f t="shared" si="765"/>
        <v>84.614463606395816</v>
      </c>
      <c r="J281" s="172">
        <f t="shared" si="766"/>
        <v>15.631321836162513</v>
      </c>
      <c r="K281" s="172">
        <f t="shared" si="767"/>
        <v>100.24578544255833</v>
      </c>
      <c r="L281" s="443"/>
      <c r="M281" s="217">
        <f t="shared" si="768"/>
        <v>0.15592160890524345</v>
      </c>
      <c r="N281" s="172">
        <f t="shared" si="769"/>
        <v>331.23236252993996</v>
      </c>
      <c r="O281" s="172">
        <f t="shared" si="762"/>
        <v>97.5</v>
      </c>
      <c r="P281" s="217">
        <f t="shared" si="770"/>
        <v>22.082157501995997</v>
      </c>
      <c r="Q281" s="217">
        <f t="shared" si="771"/>
        <v>15</v>
      </c>
      <c r="R281" s="217"/>
      <c r="S281" s="172">
        <f t="shared" si="772"/>
        <v>240.96600701594991</v>
      </c>
      <c r="T281" s="172">
        <f t="shared" si="773"/>
        <v>15</v>
      </c>
      <c r="U281" s="217">
        <f t="shared" si="774"/>
        <v>15.40141311180731</v>
      </c>
      <c r="V281" s="217">
        <f t="shared" si="775"/>
        <v>2.1842241794666157</v>
      </c>
      <c r="W281" s="217">
        <f t="shared" si="776"/>
        <v>11.823501510545334</v>
      </c>
      <c r="X281" s="197">
        <f t="shared" si="777"/>
        <v>109.9494197176428</v>
      </c>
      <c r="Y281" s="443">
        <f t="shared" ref="Y281:Y316" si="840">MIN(1/(V281+W281+0.2)*1000, 350)</f>
        <v>70.384241772277548</v>
      </c>
      <c r="AA281" s="217">
        <f t="shared" si="778"/>
        <v>9.9999999999999982</v>
      </c>
      <c r="AB281" s="173">
        <f t="shared" si="779"/>
        <v>7.6768939477904032</v>
      </c>
      <c r="AC281" s="173">
        <f t="shared" si="780"/>
        <v>4.2203501739671925</v>
      </c>
      <c r="AD281" s="173"/>
      <c r="AE281" s="173">
        <f t="shared" si="781"/>
        <v>7.676893947790405</v>
      </c>
      <c r="AF281" s="545">
        <f t="shared" si="782"/>
        <v>169.33931989176057</v>
      </c>
      <c r="AG281" s="528">
        <f t="shared" si="783"/>
        <v>4.2203501739671951</v>
      </c>
      <c r="AI281" s="173">
        <f t="shared" si="784"/>
        <v>6.9557647190094993</v>
      </c>
      <c r="AJ281" s="173">
        <f t="shared" si="785"/>
        <v>15.40141311180731</v>
      </c>
      <c r="AK281" s="173">
        <f t="shared" si="786"/>
        <v>5.2010467494868964</v>
      </c>
      <c r="AM281" s="545">
        <f t="shared" si="787"/>
        <v>6500</v>
      </c>
      <c r="AN281" s="460">
        <f t="shared" si="788"/>
        <v>70.384241772277548</v>
      </c>
      <c r="AP281">
        <f t="shared" si="789"/>
        <v>6500</v>
      </c>
      <c r="AQ281">
        <f t="shared" si="790"/>
        <v>70.384241772277548</v>
      </c>
      <c r="AS281" s="5">
        <f t="shared" si="763"/>
        <v>14.207725690011952</v>
      </c>
      <c r="AT281" s="5">
        <f t="shared" si="791"/>
        <v>2.1842241794666157</v>
      </c>
      <c r="AU281" s="5">
        <f t="shared" si="722"/>
        <v>12.023501510545335</v>
      </c>
      <c r="AV281" s="5"/>
      <c r="AW281" s="173">
        <f t="shared" si="723"/>
        <v>0.15373496273243281</v>
      </c>
      <c r="AX281" s="173">
        <f t="shared" si="792"/>
        <v>100.1723418719878</v>
      </c>
      <c r="AY281" s="173">
        <f t="shared" si="793"/>
        <v>6.5168387205184057</v>
      </c>
      <c r="AZ281" s="173">
        <f t="shared" si="794"/>
        <v>15.37130903003523</v>
      </c>
      <c r="BA281" s="460">
        <f t="shared" si="724"/>
        <v>94.64971444355335</v>
      </c>
      <c r="BB281" s="5">
        <f t="shared" si="725"/>
        <v>4.7774150615071198</v>
      </c>
      <c r="BD281" s="173">
        <f t="shared" ref="BD281:BD316" si="841">AJ281*SQRT(AW281/3)</f>
        <v>3.4864726780849553</v>
      </c>
      <c r="BE281" s="173">
        <f t="shared" ref="BE281:BE316" si="842">AJ281*Nps*SQRT((1-AW281)/3)</f>
        <v>8.1799969567119746</v>
      </c>
      <c r="BG281" s="528">
        <f t="shared" ref="BG281:BG316" si="843">Rdson*BD281^2</f>
        <v>0.24310983470065761</v>
      </c>
      <c r="BH281" s="528">
        <f t="shared" si="795"/>
        <v>2.037527136649441</v>
      </c>
      <c r="BI281" s="528">
        <f t="shared" si="796"/>
        <v>0.14888812159760356</v>
      </c>
      <c r="BJ281" s="528">
        <f t="shared" ref="BJ281:BJ316" si="844">0.5*(Coss+Csw)*K281^2*AN281*1000</f>
        <v>7.0730655407149748E-2</v>
      </c>
      <c r="BK281">
        <f t="shared" ref="BK281:BK316" si="845">I281*IQ</f>
        <v>3.8076508622878119E-2</v>
      </c>
      <c r="BL281" s="460">
        <f t="shared" ref="BL281:BL316" si="846">(BK281+BI281)*1000</f>
        <v>186.96463022048169</v>
      </c>
      <c r="BM281" s="528">
        <f t="shared" si="797"/>
        <v>2.5651794794804252</v>
      </c>
      <c r="BN281" s="460">
        <f t="shared" ref="BN281:BN316" si="847">BM281*1000</f>
        <v>2565.179479480425</v>
      </c>
      <c r="BO281" s="528">
        <f t="shared" si="798"/>
        <v>4.55</v>
      </c>
      <c r="BR281" s="460">
        <f t="shared" ref="BR281:BR316" si="848">SUM(BO281:BQ281)*1000</f>
        <v>4550</v>
      </c>
      <c r="BS281" s="528">
        <f t="shared" ref="BS281:BS316" si="849">Rdcr_pri*BD281^2</f>
        <v>0.36466475205098642</v>
      </c>
      <c r="BT281" s="528">
        <f t="shared" ref="BT281:BT316" si="850">Rdcr_sec*BE281^2</f>
        <v>2.0073705063545151</v>
      </c>
      <c r="BU281" s="528">
        <f t="shared" ref="BU281:BU316" si="851">AJ281^2.5*AN281^2.5*k_core</f>
        <v>1.9344611879964231</v>
      </c>
      <c r="BV281" s="528"/>
      <c r="BW281" s="528">
        <f t="shared" ref="BW281:BW316" si="852">0.5*Lleak*0.000000001*AJ281^2*AN281*1000</f>
        <v>1.6695390311997963E-2</v>
      </c>
      <c r="BX281" s="460">
        <f t="shared" ref="BX281:BX316" si="853">SUM(BS281:BW281)*1000</f>
        <v>4323.1918367139224</v>
      </c>
      <c r="BY281" s="173">
        <f t="shared" ref="BY281:BY316" si="854">SUM(BG281:BK281,BO281:BQ281,BS281:BW281)</f>
        <v>11.411524093691652</v>
      </c>
      <c r="BZ281" s="5">
        <f t="shared" ref="BZ281:BZ316" si="855">MIN(H281,O281)</f>
        <v>97.5</v>
      </c>
      <c r="CA281" s="173">
        <f t="shared" ref="CA281:CA316" si="856">BZ281/(BZ281+BY281)</f>
        <v>0.89522206957755146</v>
      </c>
      <c r="CB281" s="5">
        <f t="shared" ref="CB281:CB316" si="857">CA281*100</f>
        <v>89.522206957755145</v>
      </c>
      <c r="CE281" s="562">
        <f t="shared" si="799"/>
        <v>-50</v>
      </c>
      <c r="CF281">
        <f t="shared" si="800"/>
        <v>-50</v>
      </c>
      <c r="CG281" s="173">
        <f t="shared" si="801"/>
        <v>0.84298137709318677</v>
      </c>
      <c r="CI281" s="170">
        <v>65</v>
      </c>
      <c r="CJ281" s="217">
        <f t="shared" ref="CJ281:CJ316" si="858">IF(PLOT_TYPE=1, CI281/100*Iout_max, min_I*EXP(CR281*rr/100))</f>
        <v>6.5</v>
      </c>
      <c r="CK281" s="217"/>
      <c r="CL281" s="217">
        <f t="shared" si="802"/>
        <v>97.5</v>
      </c>
      <c r="CM281" s="541">
        <f t="shared" si="803"/>
        <v>85</v>
      </c>
      <c r="CN281" s="443">
        <f t="shared" si="804"/>
        <v>15.4</v>
      </c>
      <c r="CO281" s="443">
        <f t="shared" si="805"/>
        <v>100.4</v>
      </c>
      <c r="CP281" s="443"/>
      <c r="CQ281" s="217">
        <f t="shared" si="806"/>
        <v>0.15338645418326693</v>
      </c>
      <c r="CR281" s="172">
        <f t="shared" si="807"/>
        <v>327.33148655378488</v>
      </c>
      <c r="CS281" s="172">
        <f t="shared" si="808"/>
        <v>97.5</v>
      </c>
      <c r="CT281" s="217">
        <f t="shared" si="809"/>
        <v>21.822099103585661</v>
      </c>
      <c r="CU281" s="217">
        <f t="shared" si="810"/>
        <v>15</v>
      </c>
      <c r="CV281" s="217"/>
      <c r="CW281" s="172">
        <f t="shared" si="811"/>
        <v>242.06330432818552</v>
      </c>
      <c r="CX281" s="172">
        <f t="shared" si="812"/>
        <v>15</v>
      </c>
      <c r="CY281" s="217">
        <f t="shared" si="813"/>
        <v>14.956455309396485</v>
      </c>
      <c r="CZ281" s="217">
        <f t="shared" si="814"/>
        <v>2.1114995730912689</v>
      </c>
      <c r="DA281" s="217">
        <f t="shared" si="815"/>
        <v>11.65438076056869</v>
      </c>
      <c r="DB281" s="197">
        <f t="shared" si="816"/>
        <v>108.64873837981409</v>
      </c>
      <c r="DC281" s="443">
        <f t="shared" si="817"/>
        <v>72.643374470924826</v>
      </c>
      <c r="DE281" s="217">
        <f t="shared" si="818"/>
        <v>10</v>
      </c>
      <c r="DF281" s="173">
        <f t="shared" si="819"/>
        <v>7.7922077922077913</v>
      </c>
      <c r="DG281" s="173">
        <f t="shared" si="820"/>
        <v>4.2330677290836656</v>
      </c>
      <c r="DH281" s="173"/>
      <c r="DI281" s="173">
        <f t="shared" si="821"/>
        <v>7.7922077922077913</v>
      </c>
      <c r="DJ281" s="545">
        <f t="shared" si="822"/>
        <v>166.83333333333334</v>
      </c>
      <c r="DK281" s="528">
        <f t="shared" si="823"/>
        <v>4.2330677290836656</v>
      </c>
      <c r="DM281" s="173">
        <f t="shared" si="824"/>
        <v>6.9041050590693267</v>
      </c>
      <c r="DN281" s="173">
        <f t="shared" si="825"/>
        <v>14.956455309396485</v>
      </c>
      <c r="DO281" s="173">
        <f t="shared" si="826"/>
        <v>4.8714483773307293</v>
      </c>
      <c r="DQ281" s="545">
        <f t="shared" si="827"/>
        <v>6500</v>
      </c>
      <c r="DR281" s="460">
        <f t="shared" si="828"/>
        <v>72.643374470924826</v>
      </c>
      <c r="DT281">
        <f t="shared" si="829"/>
        <v>6500</v>
      </c>
      <c r="DU281">
        <f t="shared" si="830"/>
        <v>72.643374470924826</v>
      </c>
      <c r="DW281" s="5">
        <f t="shared" ref="DW281:DW316" si="859">1/DR281*1000</f>
        <v>13.765880333659959</v>
      </c>
      <c r="DX281" s="5">
        <f t="shared" si="831"/>
        <v>2.1114995730912689</v>
      </c>
      <c r="DY281" s="5">
        <f t="shared" si="832"/>
        <v>11.65438076056869</v>
      </c>
      <c r="DZ281" s="5"/>
      <c r="EA281" s="173">
        <f t="shared" si="833"/>
        <v>0.15338645418326696</v>
      </c>
      <c r="EB281" s="173">
        <f t="shared" ref="EB281:EB316" si="860">0.5*L*DN281^2*DR281*1000</f>
        <v>97.499999999999986</v>
      </c>
      <c r="EC281" s="173">
        <f t="shared" ref="EC281:EC316" si="861">DN281*Nps/2*(1-EA281)</f>
        <v>6.3311688311688306</v>
      </c>
      <c r="ED281" s="173">
        <f t="shared" ref="ED281:ED316" si="862">EB281/EC281</f>
        <v>15.399999999999999</v>
      </c>
      <c r="EE281" s="460">
        <f t="shared" si="834"/>
        <v>91.498314833954993</v>
      </c>
      <c r="EF281" s="5">
        <f t="shared" si="835"/>
        <v>4.609744925579907</v>
      </c>
      <c r="EH281" s="173">
        <f t="shared" ref="EH281:EH316" si="863">DN281*SQRT(EA281/3)</f>
        <v>3.3819061717091405</v>
      </c>
      <c r="EI281" s="173">
        <f t="shared" ref="EI281:EI316" si="864">DN281*Nps*SQRT((1-EA281)/3)</f>
        <v>7.945306525642275</v>
      </c>
      <c r="EK281" s="528">
        <f t="shared" ref="EK281:EK316" si="865">Rdson*EH281^2</f>
        <v>0.22874578708488749</v>
      </c>
      <c r="EL281" s="528">
        <f t="shared" ref="EL281:EL316" si="866">0.5*CO281*DN281*DR281*1000*Trise</f>
        <v>2.1816666666666666</v>
      </c>
      <c r="EM281" s="528">
        <f t="shared" ref="EM281:EM316" si="867">Qg*Vdd*DR281*1000</f>
        <v>9.0804218088656029E-3</v>
      </c>
      <c r="EN281" s="528">
        <f t="shared" ref="EN281:EN316" si="868">0.5*(Coss+Csw)*CO281^2*DR281*1000</f>
        <v>7.3225683760683766E-2</v>
      </c>
      <c r="EO281">
        <f t="shared" ref="EO281:EO316" si="869">CM281*IQ</f>
        <v>3.8249999999999999E-2</v>
      </c>
      <c r="EP281" s="460">
        <f t="shared" ref="EP281:EP316" si="870">(EO281+EM281)*1000</f>
        <v>47.330421808865601</v>
      </c>
      <c r="EQ281" s="460"/>
      <c r="ER281" s="460">
        <f t="shared" ref="ER281:ER316" si="871">SUM(EK281:EO281)*1000</f>
        <v>2530.9685593211038</v>
      </c>
      <c r="ES281" s="528">
        <f t="shared" ref="ES281:ES316" si="872">Vfwd2*CJ281</f>
        <v>4.55</v>
      </c>
      <c r="EV281" s="460">
        <f t="shared" ref="EV281:EV316" si="873">SUM(ES281:EU281)*1000</f>
        <v>4550</v>
      </c>
      <c r="EW281" s="528">
        <f t="shared" ref="EW281:EW316" si="874">Rdcr_pri*EH281^2</f>
        <v>0.3431186806273312</v>
      </c>
      <c r="EX281" s="528">
        <f t="shared" ref="EX281:EX316" si="875">Rdcr_sec*EI281^2</f>
        <v>1.8938368735924114</v>
      </c>
      <c r="EY281" s="528">
        <f t="shared" ref="EY281:EY316" si="876">DN281^2.5*DR281^2.5*k_core</f>
        <v>1.9455021880180854</v>
      </c>
      <c r="EZ281" s="528"/>
      <c r="FA281" s="528">
        <f t="shared" ref="FA281:FA316" si="877">0.5*Lleak*0.000000001*DN281^2*DR281*1000</f>
        <v>1.6249999999999997E-2</v>
      </c>
      <c r="FB281" s="460">
        <f t="shared" ref="FB281:FB316" si="878">SUM(EW281:FA281)*1000</f>
        <v>4198.7077422378279</v>
      </c>
      <c r="FC281" s="173">
        <f t="shared" ref="FC281:FC316" si="879">SUM(EK281:EO281,ES281:EU281,EW281:FA281)</f>
        <v>11.279676301558931</v>
      </c>
      <c r="FD281" s="5">
        <f t="shared" ref="FD281:FD316" si="880">MIN(CL281,CS281)</f>
        <v>97.5</v>
      </c>
      <c r="FE281" s="173">
        <f t="shared" ref="FE281:FE316" si="881">FD281/(FD281+FC281)</f>
        <v>0.89630713488897107</v>
      </c>
      <c r="FF281" s="5">
        <f t="shared" ref="FF281:FF316" si="882">FE281*100</f>
        <v>89.630713488897101</v>
      </c>
      <c r="FI281" s="562">
        <f t="shared" si="836"/>
        <v>-50</v>
      </c>
      <c r="FJ281">
        <f t="shared" si="837"/>
        <v>-50</v>
      </c>
      <c r="FL281">
        <f t="shared" si="838"/>
        <v>0.84661354581673298</v>
      </c>
    </row>
    <row r="282" spans="5:168">
      <c r="E282" s="170">
        <v>66</v>
      </c>
      <c r="F282" s="217">
        <f t="shared" si="839"/>
        <v>6.6000000000000005</v>
      </c>
      <c r="G282" s="217"/>
      <c r="H282" s="217">
        <f t="shared" si="764"/>
        <v>99.000000000000014</v>
      </c>
      <c r="I282" s="541">
        <f t="shared" si="765"/>
        <v>84.608557832017553</v>
      </c>
      <c r="J282" s="172">
        <f t="shared" si="766"/>
        <v>15.634865300789469</v>
      </c>
      <c r="K282" s="172">
        <f t="shared" si="767"/>
        <v>100.24342313280702</v>
      </c>
      <c r="L282" s="443"/>
      <c r="M282" s="217">
        <f t="shared" si="768"/>
        <v>0.15596063284368347</v>
      </c>
      <c r="N282" s="172">
        <f t="shared" si="769"/>
        <v>331.29213853556519</v>
      </c>
      <c r="O282" s="172">
        <f t="shared" si="762"/>
        <v>99.000000000000014</v>
      </c>
      <c r="P282" s="217">
        <f t="shared" si="770"/>
        <v>22.08614256903768</v>
      </c>
      <c r="Q282" s="217">
        <f t="shared" si="771"/>
        <v>15</v>
      </c>
      <c r="R282" s="217"/>
      <c r="S282" s="172">
        <f t="shared" si="772"/>
        <v>236.02155229059525</v>
      </c>
      <c r="T282" s="172">
        <f t="shared" si="773"/>
        <v>15</v>
      </c>
      <c r="U282" s="217">
        <f t="shared" si="774"/>
        <v>15.639080964283215</v>
      </c>
      <c r="V282" s="217">
        <f t="shared" si="775"/>
        <v>2.2180849831289868</v>
      </c>
      <c r="W282" s="217">
        <f t="shared" si="776"/>
        <v>12.003235586680903</v>
      </c>
      <c r="X282" s="197">
        <f t="shared" si="777"/>
        <v>109.9692597991431</v>
      </c>
      <c r="Y282" s="443">
        <f t="shared" si="840"/>
        <v>69.341777346898169</v>
      </c>
      <c r="AA282" s="217">
        <f t="shared" si="778"/>
        <v>10</v>
      </c>
      <c r="AB282" s="173">
        <f t="shared" si="779"/>
        <v>7.6751540669775205</v>
      </c>
      <c r="AC282" s="173">
        <f t="shared" si="780"/>
        <v>4.220155057949504</v>
      </c>
      <c r="AD282" s="173"/>
      <c r="AE282" s="173">
        <f t="shared" si="781"/>
        <v>7.6751540669775205</v>
      </c>
      <c r="AF282" s="545">
        <f t="shared" si="782"/>
        <v>171.98351830868415</v>
      </c>
      <c r="AG282" s="528">
        <f t="shared" si="783"/>
        <v>4.220155057949504</v>
      </c>
      <c r="AI282" s="173">
        <f t="shared" si="784"/>
        <v>7.0098607752362296</v>
      </c>
      <c r="AJ282" s="173">
        <f t="shared" si="785"/>
        <v>15.639080964283215</v>
      </c>
      <c r="AK282" s="173">
        <f t="shared" si="786"/>
        <v>5.377097010580159</v>
      </c>
      <c r="AM282" s="545">
        <f t="shared" si="787"/>
        <v>6600.0000000000009</v>
      </c>
      <c r="AN282" s="460">
        <f t="shared" si="788"/>
        <v>69.341777346898169</v>
      </c>
      <c r="AP282">
        <f t="shared" si="789"/>
        <v>6600.0000000000009</v>
      </c>
      <c r="AQ282">
        <f t="shared" si="790"/>
        <v>69.341777346898169</v>
      </c>
      <c r="AS282" s="5">
        <f t="shared" si="763"/>
        <v>14.42132056980989</v>
      </c>
      <c r="AT282" s="5">
        <f t="shared" si="791"/>
        <v>2.2180849831289868</v>
      </c>
      <c r="AU282" s="5">
        <f t="shared" si="722"/>
        <v>12.203235586680902</v>
      </c>
      <c r="AV282" s="5"/>
      <c r="AW282" s="173">
        <f t="shared" si="723"/>
        <v>0.15380595503662858</v>
      </c>
      <c r="AX282" s="173">
        <f t="shared" si="792"/>
        <v>101.75802648174397</v>
      </c>
      <c r="AY282" s="173">
        <f t="shared" si="793"/>
        <v>6.6168485903382379</v>
      </c>
      <c r="AZ282" s="173">
        <f t="shared" si="794"/>
        <v>15.378623991839344</v>
      </c>
      <c r="BA282" s="460">
        <f t="shared" si="724"/>
        <v>97.595739257675419</v>
      </c>
      <c r="BB282" s="5">
        <f t="shared" si="725"/>
        <v>4.9237716081009868</v>
      </c>
      <c r="BD282" s="173">
        <f t="shared" si="841"/>
        <v>3.5410917215834101</v>
      </c>
      <c r="BE282" s="173">
        <f t="shared" si="842"/>
        <v>8.30587867447721</v>
      </c>
      <c r="BG282" s="528">
        <f t="shared" si="843"/>
        <v>0.25078661161333121</v>
      </c>
      <c r="BH282" s="528">
        <f t="shared" si="795"/>
        <v>2.038277722541904</v>
      </c>
      <c r="BI282" s="528">
        <f t="shared" si="796"/>
        <v>0.14667269447074796</v>
      </c>
      <c r="BJ282" s="528">
        <f t="shared" si="844"/>
        <v>6.9679776083886466E-2</v>
      </c>
      <c r="BK282">
        <f t="shared" si="845"/>
        <v>3.8073851024407898E-2</v>
      </c>
      <c r="BL282" s="460">
        <f t="shared" si="846"/>
        <v>184.74654549515586</v>
      </c>
      <c r="BM282" s="528">
        <f t="shared" si="797"/>
        <v>2.5802027774670155</v>
      </c>
      <c r="BN282" s="460">
        <f t="shared" si="847"/>
        <v>2580.2027774670155</v>
      </c>
      <c r="BO282" s="528">
        <f t="shared" si="798"/>
        <v>4.62</v>
      </c>
      <c r="BR282" s="460">
        <f t="shared" si="848"/>
        <v>4620</v>
      </c>
      <c r="BS282" s="528">
        <f t="shared" si="849"/>
        <v>0.37617991741999679</v>
      </c>
      <c r="BT282" s="528">
        <f t="shared" si="850"/>
        <v>2.0696286166540587</v>
      </c>
      <c r="BU282" s="528">
        <f t="shared" si="851"/>
        <v>1.936357300673466</v>
      </c>
      <c r="BV282" s="528"/>
      <c r="BW282" s="528">
        <f t="shared" si="852"/>
        <v>1.6959671080290662E-2</v>
      </c>
      <c r="BX282" s="460">
        <f t="shared" si="853"/>
        <v>4399.125505827812</v>
      </c>
      <c r="BY282" s="173">
        <f t="shared" si="854"/>
        <v>11.562616161562088</v>
      </c>
      <c r="BZ282" s="5">
        <f t="shared" si="855"/>
        <v>99.000000000000014</v>
      </c>
      <c r="CA282" s="173">
        <f t="shared" si="856"/>
        <v>0.89542020112235809</v>
      </c>
      <c r="CB282" s="5">
        <f t="shared" si="857"/>
        <v>89.542020112235804</v>
      </c>
      <c r="CE282" s="562">
        <f t="shared" si="799"/>
        <v>-50</v>
      </c>
      <c r="CF282">
        <f t="shared" si="800"/>
        <v>-50</v>
      </c>
      <c r="CG282" s="173">
        <f t="shared" si="801"/>
        <v>0.84303640995263451</v>
      </c>
      <c r="CI282" s="170">
        <v>66</v>
      </c>
      <c r="CJ282" s="217">
        <f t="shared" si="858"/>
        <v>6.6000000000000005</v>
      </c>
      <c r="CK282" s="217"/>
      <c r="CL282" s="217">
        <f t="shared" si="802"/>
        <v>99.000000000000014</v>
      </c>
      <c r="CM282" s="541">
        <f t="shared" si="803"/>
        <v>85</v>
      </c>
      <c r="CN282" s="443">
        <f t="shared" si="804"/>
        <v>15.4</v>
      </c>
      <c r="CO282" s="443">
        <f t="shared" si="805"/>
        <v>100.4</v>
      </c>
      <c r="CP282" s="443"/>
      <c r="CQ282" s="217">
        <f t="shared" si="806"/>
        <v>0.15338645418326693</v>
      </c>
      <c r="CR282" s="172">
        <f t="shared" si="807"/>
        <v>327.33148655378488</v>
      </c>
      <c r="CS282" s="172">
        <f t="shared" si="808"/>
        <v>99.000000000000014</v>
      </c>
      <c r="CT282" s="217">
        <f t="shared" si="809"/>
        <v>21.822099103585661</v>
      </c>
      <c r="CU282" s="217">
        <f t="shared" si="810"/>
        <v>15</v>
      </c>
      <c r="CV282" s="217"/>
      <c r="CW282" s="172">
        <f t="shared" si="811"/>
        <v>237.11284712099246</v>
      </c>
      <c r="CX282" s="172">
        <f t="shared" si="812"/>
        <v>15</v>
      </c>
      <c r="CY282" s="217">
        <f t="shared" si="813"/>
        <v>15.186554621848741</v>
      </c>
      <c r="CZ282" s="217">
        <f t="shared" si="814"/>
        <v>2.1439841819080576</v>
      </c>
      <c r="DA282" s="217">
        <f t="shared" si="815"/>
        <v>11.833678926115901</v>
      </c>
      <c r="DB282" s="197">
        <f t="shared" si="816"/>
        <v>108.64873837981409</v>
      </c>
      <c r="DC282" s="443">
        <f t="shared" si="817"/>
        <v>71.542717281971406</v>
      </c>
      <c r="DE282" s="217">
        <f t="shared" si="818"/>
        <v>10</v>
      </c>
      <c r="DF282" s="173">
        <f t="shared" si="819"/>
        <v>7.7922077922077913</v>
      </c>
      <c r="DG282" s="173">
        <f t="shared" si="820"/>
        <v>4.2330677290836656</v>
      </c>
      <c r="DH282" s="173"/>
      <c r="DI282" s="173">
        <f t="shared" si="821"/>
        <v>7.7922077922077913</v>
      </c>
      <c r="DJ282" s="545">
        <f t="shared" si="822"/>
        <v>169.40000000000003</v>
      </c>
      <c r="DK282" s="528">
        <f t="shared" si="823"/>
        <v>4.2330677290836656</v>
      </c>
      <c r="DM282" s="173">
        <f t="shared" si="824"/>
        <v>6.957010852370435</v>
      </c>
      <c r="DN282" s="173">
        <f t="shared" si="825"/>
        <v>15.186554621848741</v>
      </c>
      <c r="DO282" s="173">
        <f t="shared" si="826"/>
        <v>5.0418923124805479</v>
      </c>
      <c r="DQ282" s="545">
        <f t="shared" si="827"/>
        <v>6600.0000000000009</v>
      </c>
      <c r="DR282" s="460">
        <f t="shared" si="828"/>
        <v>71.542717281971406</v>
      </c>
      <c r="DT282">
        <f t="shared" si="829"/>
        <v>6600.0000000000009</v>
      </c>
      <c r="DU282">
        <f t="shared" si="830"/>
        <v>71.542717281971406</v>
      </c>
      <c r="DW282" s="5">
        <f t="shared" si="859"/>
        <v>13.977663108023961</v>
      </c>
      <c r="DX282" s="5">
        <f t="shared" si="831"/>
        <v>2.1439841819080576</v>
      </c>
      <c r="DY282" s="5">
        <f t="shared" si="832"/>
        <v>11.833678926115903</v>
      </c>
      <c r="DZ282" s="5"/>
      <c r="EA282" s="173">
        <f t="shared" si="833"/>
        <v>0.15338645418326693</v>
      </c>
      <c r="EB282" s="173">
        <f t="shared" si="860"/>
        <v>98.999999999999986</v>
      </c>
      <c r="EC282" s="173">
        <f t="shared" si="861"/>
        <v>6.4285714285714288</v>
      </c>
      <c r="ED282" s="173">
        <f t="shared" si="862"/>
        <v>15.399999999999997</v>
      </c>
      <c r="EE282" s="460">
        <f t="shared" si="834"/>
        <v>94.335304003954548</v>
      </c>
      <c r="EF282" s="5">
        <f t="shared" si="835"/>
        <v>4.7526742948700784</v>
      </c>
      <c r="EH282" s="173">
        <f t="shared" si="863"/>
        <v>3.4339354974277425</v>
      </c>
      <c r="EI282" s="173">
        <f t="shared" si="864"/>
        <v>8.0675420106521578</v>
      </c>
      <c r="EK282" s="528">
        <f t="shared" si="865"/>
        <v>0.23583826000988634</v>
      </c>
      <c r="EL282" s="528">
        <f t="shared" si="866"/>
        <v>2.1816666666666662</v>
      </c>
      <c r="EM282" s="528">
        <f t="shared" si="867"/>
        <v>8.9428396602464263E-3</v>
      </c>
      <c r="EN282" s="528">
        <f t="shared" si="868"/>
        <v>7.2116203703703696E-2</v>
      </c>
      <c r="EO282">
        <f t="shared" si="869"/>
        <v>3.8249999999999999E-2</v>
      </c>
      <c r="EP282" s="460">
        <f t="shared" si="870"/>
        <v>47.192839660246428</v>
      </c>
      <c r="EQ282" s="460"/>
      <c r="ER282" s="460">
        <f t="shared" si="871"/>
        <v>2536.8139700405027</v>
      </c>
      <c r="ES282" s="528">
        <f t="shared" si="872"/>
        <v>4.62</v>
      </c>
      <c r="EV282" s="460">
        <f t="shared" si="873"/>
        <v>4620</v>
      </c>
      <c r="EW282" s="528">
        <f t="shared" si="874"/>
        <v>0.35375739001482948</v>
      </c>
      <c r="EX282" s="528">
        <f t="shared" si="875"/>
        <v>1.952557022809124</v>
      </c>
      <c r="EY282" s="528">
        <f t="shared" si="876"/>
        <v>1.9455021880180849</v>
      </c>
      <c r="EZ282" s="528"/>
      <c r="FA282" s="528">
        <f t="shared" si="877"/>
        <v>1.6500000000000001E-2</v>
      </c>
      <c r="FB282" s="460">
        <f t="shared" si="878"/>
        <v>4268.3166008420385</v>
      </c>
      <c r="FC282" s="173">
        <f t="shared" si="879"/>
        <v>11.425130570882541</v>
      </c>
      <c r="FD282" s="5">
        <f t="shared" si="880"/>
        <v>99.000000000000014</v>
      </c>
      <c r="FE282" s="173">
        <f t="shared" si="881"/>
        <v>0.89653505038376491</v>
      </c>
      <c r="FF282" s="5">
        <f t="shared" si="882"/>
        <v>89.653505038376494</v>
      </c>
      <c r="FI282" s="562">
        <f t="shared" si="836"/>
        <v>-50</v>
      </c>
      <c r="FJ282">
        <f t="shared" si="837"/>
        <v>-50</v>
      </c>
      <c r="FL282">
        <f t="shared" si="838"/>
        <v>0.84661354581673309</v>
      </c>
    </row>
    <row r="283" spans="5:168">
      <c r="E283" s="170">
        <v>67</v>
      </c>
      <c r="F283" s="217">
        <f t="shared" si="839"/>
        <v>6.7</v>
      </c>
      <c r="G283" s="217"/>
      <c r="H283" s="217">
        <f t="shared" si="764"/>
        <v>100.5</v>
      </c>
      <c r="I283" s="541">
        <f t="shared" si="765"/>
        <v>84.602652054402697</v>
      </c>
      <c r="J283" s="172">
        <f t="shared" si="766"/>
        <v>15.638408767358383</v>
      </c>
      <c r="K283" s="172">
        <f t="shared" si="767"/>
        <v>100.24106082176108</v>
      </c>
      <c r="L283" s="443"/>
      <c r="M283" s="217">
        <f t="shared" si="768"/>
        <v>0.15599965862642701</v>
      </c>
      <c r="N283" s="172">
        <f t="shared" si="769"/>
        <v>331.35190687361393</v>
      </c>
      <c r="O283" s="172">
        <f t="shared" si="762"/>
        <v>100.5</v>
      </c>
      <c r="P283" s="217">
        <f t="shared" si="770"/>
        <v>22.090127124907596</v>
      </c>
      <c r="Q283" s="217">
        <f t="shared" si="771"/>
        <v>15</v>
      </c>
      <c r="R283" s="217"/>
      <c r="S283" s="172">
        <f t="shared" si="772"/>
        <v>231.22498826843986</v>
      </c>
      <c r="T283" s="172">
        <f t="shared" si="773"/>
        <v>15</v>
      </c>
      <c r="U283" s="217">
        <f t="shared" si="774"/>
        <v>15.876770829490537</v>
      </c>
      <c r="V283" s="217">
        <f t="shared" si="775"/>
        <v>2.2519536365287238</v>
      </c>
      <c r="W283" s="217">
        <f t="shared" si="776"/>
        <v>12.182905101672247</v>
      </c>
      <c r="X283" s="197">
        <f t="shared" si="777"/>
        <v>109.98909734719908</v>
      </c>
      <c r="Y283" s="443">
        <f t="shared" si="840"/>
        <v>68.330006998272381</v>
      </c>
      <c r="AA283" s="217">
        <f t="shared" si="778"/>
        <v>10</v>
      </c>
      <c r="AB283" s="173">
        <f t="shared" si="779"/>
        <v>7.673414973681508</v>
      </c>
      <c r="AC283" s="173">
        <f t="shared" si="780"/>
        <v>4.2199599326285524</v>
      </c>
      <c r="AD283" s="173"/>
      <c r="AE283" s="173">
        <f t="shared" si="781"/>
        <v>7.673414973681508</v>
      </c>
      <c r="AF283" s="545">
        <f t="shared" si="782"/>
        <v>174.62889790216863</v>
      </c>
      <c r="AG283" s="528">
        <f t="shared" si="783"/>
        <v>4.2199599326285524</v>
      </c>
      <c r="AI283" s="173">
        <f t="shared" si="784"/>
        <v>7.0635664383646191</v>
      </c>
      <c r="AJ283" s="173">
        <f t="shared" si="785"/>
        <v>15.876770829490537</v>
      </c>
      <c r="AK283" s="173">
        <f t="shared" si="786"/>
        <v>5.5531635774003973</v>
      </c>
      <c r="AM283" s="545">
        <f t="shared" si="787"/>
        <v>6700</v>
      </c>
      <c r="AN283" s="460">
        <f t="shared" si="788"/>
        <v>68.330006998272381</v>
      </c>
      <c r="AP283">
        <f t="shared" si="789"/>
        <v>6700</v>
      </c>
      <c r="AQ283">
        <f t="shared" si="790"/>
        <v>68.330006998272381</v>
      </c>
      <c r="AS283" s="5">
        <f t="shared" si="763"/>
        <v>14.63485873820097</v>
      </c>
      <c r="AT283" s="5">
        <f t="shared" si="791"/>
        <v>2.2519536365287238</v>
      </c>
      <c r="AU283" s="5">
        <f t="shared" si="722"/>
        <v>12.382905101672247</v>
      </c>
      <c r="AV283" s="5"/>
      <c r="AW283" s="173">
        <f t="shared" si="723"/>
        <v>0.15387600774379265</v>
      </c>
      <c r="AX283" s="173">
        <f t="shared" si="792"/>
        <v>103.34442845595173</v>
      </c>
      <c r="AY283" s="173">
        <f t="shared" si="793"/>
        <v>6.7168583591927149</v>
      </c>
      <c r="AZ283" s="173">
        <f t="shared" si="794"/>
        <v>15.385828154990673</v>
      </c>
      <c r="BA283" s="460">
        <f t="shared" si="724"/>
        <v>100.58726243161634</v>
      </c>
      <c r="BB283" s="5">
        <f t="shared" si="725"/>
        <v>5.0723198488640993</v>
      </c>
      <c r="BD283" s="173">
        <f t="shared" si="841"/>
        <v>3.5957294228042471</v>
      </c>
      <c r="BE283" s="173">
        <f t="shared" si="842"/>
        <v>8.4317661599078413</v>
      </c>
      <c r="BG283" s="528">
        <f t="shared" si="843"/>
        <v>0.25858540164040328</v>
      </c>
      <c r="BH283" s="528">
        <f t="shared" si="795"/>
        <v>2.0390156887257769</v>
      </c>
      <c r="BI283" s="528">
        <f t="shared" si="796"/>
        <v>0.14452249517374349</v>
      </c>
      <c r="BJ283" s="528">
        <f t="shared" si="844"/>
        <v>6.8659837818887043E-2</v>
      </c>
      <c r="BK283">
        <f t="shared" si="845"/>
        <v>3.807119342448121E-2</v>
      </c>
      <c r="BL283" s="460">
        <f t="shared" si="846"/>
        <v>182.5936885982247</v>
      </c>
      <c r="BM283" s="528">
        <f t="shared" si="797"/>
        <v>2.5955492507975735</v>
      </c>
      <c r="BN283" s="460">
        <f t="shared" si="847"/>
        <v>2595.5492507975737</v>
      </c>
      <c r="BO283" s="528">
        <f t="shared" si="798"/>
        <v>4.6899999999999995</v>
      </c>
      <c r="BR283" s="460">
        <f t="shared" si="848"/>
        <v>4689.9999999999991</v>
      </c>
      <c r="BS283" s="528">
        <f t="shared" si="849"/>
        <v>0.38787810246060489</v>
      </c>
      <c r="BT283" s="528">
        <f t="shared" si="850"/>
        <v>2.1328404172610105</v>
      </c>
      <c r="BU283" s="528">
        <f t="shared" si="851"/>
        <v>1.9382246276469535</v>
      </c>
      <c r="BV283" s="528"/>
      <c r="BW283" s="528">
        <f t="shared" si="852"/>
        <v>1.7224071409325286E-2</v>
      </c>
      <c r="BX283" s="460">
        <f t="shared" si="853"/>
        <v>4476.167218777894</v>
      </c>
      <c r="BY283" s="173">
        <f t="shared" si="854"/>
        <v>11.715021835561185</v>
      </c>
      <c r="BZ283" s="5">
        <f t="shared" si="855"/>
        <v>100.5</v>
      </c>
      <c r="CA283" s="173">
        <f t="shared" si="856"/>
        <v>0.89560201794793326</v>
      </c>
      <c r="CB283" s="5">
        <f t="shared" si="857"/>
        <v>89.560201794793329</v>
      </c>
      <c r="CE283" s="562">
        <f t="shared" si="799"/>
        <v>-50</v>
      </c>
      <c r="CF283">
        <f t="shared" si="800"/>
        <v>-50</v>
      </c>
      <c r="CG283" s="173">
        <f t="shared" si="801"/>
        <v>0.84308980004015832</v>
      </c>
      <c r="CI283" s="170">
        <v>67</v>
      </c>
      <c r="CJ283" s="217">
        <f t="shared" si="858"/>
        <v>6.7</v>
      </c>
      <c r="CK283" s="217"/>
      <c r="CL283" s="217">
        <f t="shared" si="802"/>
        <v>100.5</v>
      </c>
      <c r="CM283" s="541">
        <f t="shared" si="803"/>
        <v>85</v>
      </c>
      <c r="CN283" s="443">
        <f t="shared" si="804"/>
        <v>15.4</v>
      </c>
      <c r="CO283" s="443">
        <f t="shared" si="805"/>
        <v>100.4</v>
      </c>
      <c r="CP283" s="443"/>
      <c r="CQ283" s="217">
        <f t="shared" si="806"/>
        <v>0.15338645418326693</v>
      </c>
      <c r="CR283" s="172">
        <f t="shared" si="807"/>
        <v>327.33148655378488</v>
      </c>
      <c r="CS283" s="172">
        <f t="shared" si="808"/>
        <v>100.5</v>
      </c>
      <c r="CT283" s="217">
        <f t="shared" si="809"/>
        <v>21.822099103585661</v>
      </c>
      <c r="CU283" s="217">
        <f t="shared" si="810"/>
        <v>15</v>
      </c>
      <c r="CV283" s="217"/>
      <c r="CW283" s="172">
        <f t="shared" si="811"/>
        <v>232.31028352017287</v>
      </c>
      <c r="CX283" s="172">
        <f t="shared" si="812"/>
        <v>15</v>
      </c>
      <c r="CY283" s="217">
        <f t="shared" si="813"/>
        <v>15.416653934300992</v>
      </c>
      <c r="CZ283" s="217">
        <f t="shared" si="814"/>
        <v>2.1764687907248459</v>
      </c>
      <c r="DA283" s="217">
        <f t="shared" si="815"/>
        <v>12.01297709166311</v>
      </c>
      <c r="DB283" s="197">
        <f t="shared" si="816"/>
        <v>108.64873837981409</v>
      </c>
      <c r="DC283" s="443">
        <f t="shared" si="817"/>
        <v>70.474915531494247</v>
      </c>
      <c r="DE283" s="217">
        <f t="shared" si="818"/>
        <v>10</v>
      </c>
      <c r="DF283" s="173">
        <f t="shared" si="819"/>
        <v>7.7922077922077913</v>
      </c>
      <c r="DG283" s="173">
        <f t="shared" si="820"/>
        <v>4.2330677290836656</v>
      </c>
      <c r="DH283" s="173"/>
      <c r="DI283" s="173">
        <f t="shared" si="821"/>
        <v>7.7922077922077913</v>
      </c>
      <c r="DJ283" s="545">
        <f t="shared" si="822"/>
        <v>171.9666666666667</v>
      </c>
      <c r="DK283" s="528">
        <f t="shared" si="823"/>
        <v>4.2330677290836656</v>
      </c>
      <c r="DM283" s="173">
        <f t="shared" si="824"/>
        <v>7.009517339541528</v>
      </c>
      <c r="DN283" s="173">
        <f t="shared" si="825"/>
        <v>15.416653934300992</v>
      </c>
      <c r="DO283" s="173">
        <f t="shared" si="826"/>
        <v>5.2123362476303647</v>
      </c>
      <c r="DQ283" s="545">
        <f t="shared" si="827"/>
        <v>6700</v>
      </c>
      <c r="DR283" s="460">
        <f t="shared" si="828"/>
        <v>70.474915531494247</v>
      </c>
      <c r="DT283">
        <f t="shared" si="829"/>
        <v>6700</v>
      </c>
      <c r="DU283">
        <f t="shared" si="830"/>
        <v>70.474915531494247</v>
      </c>
      <c r="DW283" s="5">
        <f t="shared" si="859"/>
        <v>14.189445882387954</v>
      </c>
      <c r="DX283" s="5">
        <f t="shared" si="831"/>
        <v>2.1764687907248459</v>
      </c>
      <c r="DY283" s="5">
        <f t="shared" si="832"/>
        <v>12.012977091663108</v>
      </c>
      <c r="DZ283" s="5"/>
      <c r="EA283" s="173">
        <f t="shared" si="833"/>
        <v>0.15338645418326696</v>
      </c>
      <c r="EB283" s="173">
        <f t="shared" si="860"/>
        <v>100.5</v>
      </c>
      <c r="EC283" s="173">
        <f t="shared" si="861"/>
        <v>6.5259740259740253</v>
      </c>
      <c r="ED283" s="173">
        <f t="shared" si="862"/>
        <v>15.400000000000002</v>
      </c>
      <c r="EE283" s="460">
        <f t="shared" si="834"/>
        <v>97.215605985709786</v>
      </c>
      <c r="EF283" s="5">
        <f t="shared" si="835"/>
        <v>4.8977857919356689</v>
      </c>
      <c r="EH283" s="173">
        <f t="shared" si="863"/>
        <v>3.4859648231463445</v>
      </c>
      <c r="EI283" s="173">
        <f t="shared" si="864"/>
        <v>8.1897774956620371</v>
      </c>
      <c r="EK283" s="528">
        <f t="shared" si="865"/>
        <v>0.24303901496427452</v>
      </c>
      <c r="EL283" s="528">
        <f t="shared" si="866"/>
        <v>2.1816666666666671</v>
      </c>
      <c r="EM283" s="528">
        <f t="shared" si="867"/>
        <v>8.8093644414367813E-3</v>
      </c>
      <c r="EN283" s="528">
        <f t="shared" si="868"/>
        <v>7.1039842454394722E-2</v>
      </c>
      <c r="EO283">
        <f t="shared" si="869"/>
        <v>3.8249999999999999E-2</v>
      </c>
      <c r="EP283" s="460">
        <f t="shared" si="870"/>
        <v>47.059364441436784</v>
      </c>
      <c r="EQ283" s="460"/>
      <c r="ER283" s="460">
        <f t="shared" si="871"/>
        <v>2542.8048885267735</v>
      </c>
      <c r="ES283" s="528">
        <f t="shared" si="872"/>
        <v>4.6899999999999995</v>
      </c>
      <c r="EV283" s="460">
        <f t="shared" si="873"/>
        <v>4689.9999999999991</v>
      </c>
      <c r="EW283" s="528">
        <f t="shared" si="874"/>
        <v>0.36455852244641174</v>
      </c>
      <c r="EX283" s="528">
        <f t="shared" si="875"/>
        <v>2.01217366285357</v>
      </c>
      <c r="EY283" s="528">
        <f t="shared" si="876"/>
        <v>1.9455021880180854</v>
      </c>
      <c r="EZ283" s="528"/>
      <c r="FA283" s="528">
        <f t="shared" si="877"/>
        <v>1.6750000000000001E-2</v>
      </c>
      <c r="FB283" s="460">
        <f t="shared" si="878"/>
        <v>4338.9843733180669</v>
      </c>
      <c r="FC283" s="173">
        <f t="shared" si="879"/>
        <v>11.57178926184484</v>
      </c>
      <c r="FD283" s="5">
        <f t="shared" si="880"/>
        <v>100.5</v>
      </c>
      <c r="FE283" s="173">
        <f t="shared" si="881"/>
        <v>0.89674663590131076</v>
      </c>
      <c r="FF283" s="5">
        <f t="shared" si="882"/>
        <v>89.674663590131075</v>
      </c>
      <c r="FI283" s="562">
        <f t="shared" si="836"/>
        <v>-50</v>
      </c>
      <c r="FJ283">
        <f t="shared" si="837"/>
        <v>-50</v>
      </c>
      <c r="FL283">
        <f t="shared" si="838"/>
        <v>0.84661354581673298</v>
      </c>
    </row>
    <row r="284" spans="5:168">
      <c r="E284" s="170">
        <v>68</v>
      </c>
      <c r="F284" s="217">
        <f t="shared" si="839"/>
        <v>6.8000000000000007</v>
      </c>
      <c r="G284" s="217"/>
      <c r="H284" s="217">
        <f t="shared" si="764"/>
        <v>102.00000000000001</v>
      </c>
      <c r="I284" s="541">
        <f t="shared" si="765"/>
        <v>84.59674627369462</v>
      </c>
      <c r="J284" s="172">
        <f t="shared" si="766"/>
        <v>15.641952235783227</v>
      </c>
      <c r="K284" s="172">
        <f t="shared" si="767"/>
        <v>100.23869850947784</v>
      </c>
      <c r="L284" s="443"/>
      <c r="M284" s="217">
        <f t="shared" si="768"/>
        <v>0.15603868625338504</v>
      </c>
      <c r="N284" s="172">
        <f t="shared" si="769"/>
        <v>331.41166754362882</v>
      </c>
      <c r="O284" s="172">
        <f t="shared" si="762"/>
        <v>102.00000000000001</v>
      </c>
      <c r="P284" s="217">
        <f t="shared" si="770"/>
        <v>22.094111169575253</v>
      </c>
      <c r="Q284" s="217">
        <f t="shared" si="771"/>
        <v>15</v>
      </c>
      <c r="R284" s="217"/>
      <c r="S284" s="172">
        <f t="shared" si="772"/>
        <v>226.56979225820893</v>
      </c>
      <c r="T284" s="172">
        <f t="shared" si="773"/>
        <v>15</v>
      </c>
      <c r="U284" s="217">
        <f t="shared" si="774"/>
        <v>16.114482712039536</v>
      </c>
      <c r="V284" s="217">
        <f t="shared" si="775"/>
        <v>2.2858301419637939</v>
      </c>
      <c r="W284" s="217">
        <f t="shared" si="776"/>
        <v>12.362510102933566</v>
      </c>
      <c r="X284" s="197">
        <f t="shared" si="777"/>
        <v>110.00893236114511</v>
      </c>
      <c r="Y284" s="443">
        <f t="shared" si="840"/>
        <v>67.347594647398424</v>
      </c>
      <c r="AA284" s="217">
        <f t="shared" si="778"/>
        <v>10</v>
      </c>
      <c r="AB284" s="173">
        <f t="shared" si="779"/>
        <v>7.6716766674100079</v>
      </c>
      <c r="AC284" s="173">
        <f t="shared" si="780"/>
        <v>4.2197647980084136</v>
      </c>
      <c r="AD284" s="173"/>
      <c r="AE284" s="173">
        <f t="shared" si="781"/>
        <v>7.6716766674100079</v>
      </c>
      <c r="AF284" s="545">
        <f t="shared" si="782"/>
        <v>177.27545867220994</v>
      </c>
      <c r="AG284" s="528">
        <f t="shared" si="783"/>
        <v>4.2197647980084136</v>
      </c>
      <c r="AI284" s="173">
        <f t="shared" si="784"/>
        <v>7.1168905463834999</v>
      </c>
      <c r="AJ284" s="173">
        <f t="shared" si="785"/>
        <v>16.114482712039536</v>
      </c>
      <c r="AK284" s="173">
        <f t="shared" si="786"/>
        <v>5.7292464533626193</v>
      </c>
      <c r="AM284" s="545">
        <f t="shared" si="787"/>
        <v>6800.0000000000009</v>
      </c>
      <c r="AN284" s="460">
        <f t="shared" si="788"/>
        <v>67.347594647398424</v>
      </c>
      <c r="AP284">
        <f t="shared" si="789"/>
        <v>6800.0000000000009</v>
      </c>
      <c r="AQ284">
        <f t="shared" si="790"/>
        <v>67.347594647398424</v>
      </c>
      <c r="AS284" s="5">
        <f t="shared" si="763"/>
        <v>14.84834024489736</v>
      </c>
      <c r="AT284" s="5">
        <f t="shared" si="791"/>
        <v>2.2858301419637939</v>
      </c>
      <c r="AU284" s="5">
        <f t="shared" si="722"/>
        <v>12.562510102933565</v>
      </c>
      <c r="AV284" s="5"/>
      <c r="AW284" s="173">
        <f t="shared" si="723"/>
        <v>0.15394516183378279</v>
      </c>
      <c r="AX284" s="173">
        <f t="shared" si="792"/>
        <v>104.93154741622752</v>
      </c>
      <c r="AY284" s="173">
        <f t="shared" si="793"/>
        <v>6.8168680315334571</v>
      </c>
      <c r="AZ284" s="173">
        <f t="shared" si="794"/>
        <v>15.392926330806953</v>
      </c>
      <c r="BA284" s="460">
        <f t="shared" si="724"/>
        <v>103.62429976902533</v>
      </c>
      <c r="BB284" s="5">
        <f t="shared" si="725"/>
        <v>5.2230590783113433</v>
      </c>
      <c r="BD284" s="173">
        <f t="shared" si="841"/>
        <v>3.6503857781436069</v>
      </c>
      <c r="BE284" s="173">
        <f t="shared" si="842"/>
        <v>8.5576594169356408</v>
      </c>
      <c r="BG284" s="528">
        <f t="shared" si="843"/>
        <v>0.26650632658546214</v>
      </c>
      <c r="BH284" s="528">
        <f t="shared" si="795"/>
        <v>2.0397415816770592</v>
      </c>
      <c r="BI284" s="528">
        <f t="shared" si="796"/>
        <v>0.14243468441323995</v>
      </c>
      <c r="BJ284" s="528">
        <f t="shared" si="844"/>
        <v>6.7669493782828202E-2</v>
      </c>
      <c r="BK284">
        <f t="shared" si="845"/>
        <v>3.806853582316258E-2</v>
      </c>
      <c r="BL284" s="460">
        <f t="shared" si="846"/>
        <v>180.50322023640254</v>
      </c>
      <c r="BM284" s="528">
        <f t="shared" si="797"/>
        <v>2.6112216337402701</v>
      </c>
      <c r="BN284" s="460">
        <f t="shared" si="847"/>
        <v>2611.2216337402701</v>
      </c>
      <c r="BO284" s="528">
        <f t="shared" si="798"/>
        <v>4.76</v>
      </c>
      <c r="BR284" s="460">
        <f t="shared" si="848"/>
        <v>4760</v>
      </c>
      <c r="BS284" s="528">
        <f t="shared" si="849"/>
        <v>0.39975948987819315</v>
      </c>
      <c r="BT284" s="528">
        <f t="shared" si="850"/>
        <v>2.1970060408880174</v>
      </c>
      <c r="BU284" s="528">
        <f t="shared" si="851"/>
        <v>1.940064414572922</v>
      </c>
      <c r="BV284" s="528"/>
      <c r="BW284" s="528">
        <f t="shared" si="852"/>
        <v>1.748859123603792E-2</v>
      </c>
      <c r="BX284" s="460">
        <f t="shared" si="853"/>
        <v>4554.3185365751706</v>
      </c>
      <c r="BY284" s="173">
        <f t="shared" si="854"/>
        <v>11.868739158856922</v>
      </c>
      <c r="BZ284" s="5">
        <f t="shared" si="855"/>
        <v>102.00000000000001</v>
      </c>
      <c r="CA284" s="173">
        <f t="shared" si="856"/>
        <v>0.895768239408544</v>
      </c>
      <c r="CB284" s="5">
        <f t="shared" si="857"/>
        <v>89.576823940854396</v>
      </c>
      <c r="CE284" s="562">
        <f t="shared" si="799"/>
        <v>-50</v>
      </c>
      <c r="CF284">
        <f t="shared" si="800"/>
        <v>-50</v>
      </c>
      <c r="CG284" s="173">
        <f t="shared" si="801"/>
        <v>0.84314161983099034</v>
      </c>
      <c r="CI284" s="170">
        <v>68</v>
      </c>
      <c r="CJ284" s="217">
        <f t="shared" si="858"/>
        <v>6.8000000000000007</v>
      </c>
      <c r="CK284" s="217"/>
      <c r="CL284" s="217">
        <f t="shared" si="802"/>
        <v>102.00000000000001</v>
      </c>
      <c r="CM284" s="541">
        <f t="shared" si="803"/>
        <v>85</v>
      </c>
      <c r="CN284" s="443">
        <f t="shared" si="804"/>
        <v>15.4</v>
      </c>
      <c r="CO284" s="443">
        <f t="shared" si="805"/>
        <v>100.4</v>
      </c>
      <c r="CP284" s="443"/>
      <c r="CQ284" s="217">
        <f t="shared" si="806"/>
        <v>0.15338645418326693</v>
      </c>
      <c r="CR284" s="172">
        <f t="shared" si="807"/>
        <v>327.33148655378488</v>
      </c>
      <c r="CS284" s="172">
        <f t="shared" si="808"/>
        <v>102.00000000000001</v>
      </c>
      <c r="CT284" s="217">
        <f t="shared" si="809"/>
        <v>21.822099103585661</v>
      </c>
      <c r="CU284" s="217">
        <f t="shared" si="810"/>
        <v>15</v>
      </c>
      <c r="CV284" s="217"/>
      <c r="CW284" s="172">
        <f t="shared" si="811"/>
        <v>227.64909070628033</v>
      </c>
      <c r="CX284" s="172">
        <f t="shared" si="812"/>
        <v>15</v>
      </c>
      <c r="CY284" s="217">
        <f t="shared" si="813"/>
        <v>15.646753246753249</v>
      </c>
      <c r="CZ284" s="217">
        <f t="shared" si="814"/>
        <v>2.2089533995416351</v>
      </c>
      <c r="DA284" s="217">
        <f t="shared" si="815"/>
        <v>12.192275257210325</v>
      </c>
      <c r="DB284" s="197">
        <f t="shared" si="816"/>
        <v>108.64873837981409</v>
      </c>
      <c r="DC284" s="443">
        <f t="shared" si="817"/>
        <v>69.438519714854607</v>
      </c>
      <c r="DE284" s="217">
        <f t="shared" si="818"/>
        <v>10</v>
      </c>
      <c r="DF284" s="173">
        <f t="shared" si="819"/>
        <v>7.7922077922077913</v>
      </c>
      <c r="DG284" s="173">
        <f t="shared" si="820"/>
        <v>4.2330677290836656</v>
      </c>
      <c r="DH284" s="173"/>
      <c r="DI284" s="173">
        <f t="shared" si="821"/>
        <v>7.7922077922077913</v>
      </c>
      <c r="DJ284" s="545">
        <f t="shared" si="822"/>
        <v>174.53333333333336</v>
      </c>
      <c r="DK284" s="528">
        <f t="shared" si="823"/>
        <v>4.2330677290836656</v>
      </c>
      <c r="DM284" s="173">
        <f t="shared" si="824"/>
        <v>7.0616334276615262</v>
      </c>
      <c r="DN284" s="173">
        <f t="shared" si="825"/>
        <v>15.646753246753249</v>
      </c>
      <c r="DO284" s="173">
        <f t="shared" si="826"/>
        <v>5.3827801827801842</v>
      </c>
      <c r="DQ284" s="545">
        <f t="shared" si="827"/>
        <v>6800.0000000000009</v>
      </c>
      <c r="DR284" s="460">
        <f t="shared" si="828"/>
        <v>69.438519714854607</v>
      </c>
      <c r="DT284">
        <f t="shared" si="829"/>
        <v>6800.0000000000009</v>
      </c>
      <c r="DU284">
        <f t="shared" si="830"/>
        <v>69.438519714854607</v>
      </c>
      <c r="DW284" s="5">
        <f t="shared" si="859"/>
        <v>14.401228656751959</v>
      </c>
      <c r="DX284" s="5">
        <f t="shared" si="831"/>
        <v>2.2089533995416351</v>
      </c>
      <c r="DY284" s="5">
        <f t="shared" si="832"/>
        <v>12.192275257210325</v>
      </c>
      <c r="DZ284" s="5"/>
      <c r="EA284" s="173">
        <f t="shared" si="833"/>
        <v>0.15338645418326693</v>
      </c>
      <c r="EB284" s="173">
        <f t="shared" si="860"/>
        <v>102.00000000000003</v>
      </c>
      <c r="EC284" s="173">
        <f t="shared" si="861"/>
        <v>6.6233766233766245</v>
      </c>
      <c r="ED284" s="173">
        <f t="shared" si="862"/>
        <v>15.400000000000002</v>
      </c>
      <c r="EE284" s="460">
        <f t="shared" si="834"/>
        <v>100.13922077922081</v>
      </c>
      <c r="EF284" s="5">
        <f t="shared" si="835"/>
        <v>5.0450794167766864</v>
      </c>
      <c r="EH284" s="173">
        <f t="shared" si="863"/>
        <v>3.5379941488649469</v>
      </c>
      <c r="EI284" s="173">
        <f t="shared" si="864"/>
        <v>8.3120129806719216</v>
      </c>
      <c r="EK284" s="528">
        <f t="shared" si="865"/>
        <v>0.25034805194805204</v>
      </c>
      <c r="EL284" s="528">
        <f t="shared" si="866"/>
        <v>2.1816666666666671</v>
      </c>
      <c r="EM284" s="528">
        <f t="shared" si="867"/>
        <v>8.6798149643568245E-3</v>
      </c>
      <c r="EN284" s="528">
        <f t="shared" si="868"/>
        <v>6.9995138888888891E-2</v>
      </c>
      <c r="EO284">
        <f t="shared" si="869"/>
        <v>3.8249999999999999E-2</v>
      </c>
      <c r="EP284" s="460">
        <f t="shared" si="870"/>
        <v>46.929814964356822</v>
      </c>
      <c r="EQ284" s="460"/>
      <c r="ER284" s="460">
        <f t="shared" si="871"/>
        <v>2548.9396724679646</v>
      </c>
      <c r="ES284" s="528">
        <f t="shared" si="872"/>
        <v>4.76</v>
      </c>
      <c r="EV284" s="460">
        <f t="shared" si="873"/>
        <v>4760</v>
      </c>
      <c r="EW284" s="528">
        <f t="shared" si="874"/>
        <v>0.37552207792207803</v>
      </c>
      <c r="EX284" s="528">
        <f t="shared" si="875"/>
        <v>2.0726867937257554</v>
      </c>
      <c r="EY284" s="528">
        <f t="shared" si="876"/>
        <v>1.9455021880180854</v>
      </c>
      <c r="EZ284" s="528"/>
      <c r="FA284" s="528">
        <f t="shared" si="877"/>
        <v>1.7000000000000005E-2</v>
      </c>
      <c r="FB284" s="460">
        <f t="shared" si="878"/>
        <v>4410.7110596659186</v>
      </c>
      <c r="FC284" s="173">
        <f t="shared" si="879"/>
        <v>11.719650732133882</v>
      </c>
      <c r="FD284" s="5">
        <f t="shared" si="880"/>
        <v>102.00000000000001</v>
      </c>
      <c r="FE284" s="173">
        <f t="shared" si="881"/>
        <v>0.89694260704564188</v>
      </c>
      <c r="FF284" s="5">
        <f t="shared" si="882"/>
        <v>89.694260704564186</v>
      </c>
      <c r="FI284" s="562">
        <f t="shared" si="836"/>
        <v>-50</v>
      </c>
      <c r="FJ284">
        <f t="shared" si="837"/>
        <v>-50</v>
      </c>
      <c r="FL284">
        <f t="shared" si="838"/>
        <v>0.84661354581673309</v>
      </c>
    </row>
    <row r="285" spans="5:168">
      <c r="E285" s="170">
        <v>69</v>
      </c>
      <c r="F285" s="217">
        <f t="shared" si="839"/>
        <v>6.8999999999999995</v>
      </c>
      <c r="G285" s="217"/>
      <c r="H285" s="217">
        <f t="shared" si="764"/>
        <v>103.49999999999999</v>
      </c>
      <c r="I285" s="541">
        <f t="shared" si="765"/>
        <v>84.59084049002837</v>
      </c>
      <c r="J285" s="172">
        <f t="shared" si="766"/>
        <v>15.645495705982983</v>
      </c>
      <c r="K285" s="172">
        <f t="shared" si="767"/>
        <v>100.23633619601135</v>
      </c>
      <c r="L285" s="443"/>
      <c r="M285" s="217">
        <f t="shared" si="768"/>
        <v>0.15607771572448131</v>
      </c>
      <c r="N285" s="172">
        <f t="shared" si="769"/>
        <v>331.47142054514768</v>
      </c>
      <c r="O285" s="172">
        <f t="shared" si="762"/>
        <v>103.49999999999999</v>
      </c>
      <c r="P285" s="217">
        <f t="shared" si="770"/>
        <v>22.098094703009846</v>
      </c>
      <c r="Q285" s="217">
        <f t="shared" si="771"/>
        <v>15</v>
      </c>
      <c r="R285" s="217"/>
      <c r="S285" s="172">
        <f t="shared" si="772"/>
        <v>222.04981973592552</v>
      </c>
      <c r="T285" s="172">
        <f t="shared" si="773"/>
        <v>15</v>
      </c>
      <c r="U285" s="217">
        <f t="shared" si="774"/>
        <v>16.352216616541739</v>
      </c>
      <c r="V285" s="217">
        <f t="shared" si="775"/>
        <v>2.3197145017329883</v>
      </c>
      <c r="W285" s="217">
        <f t="shared" si="776"/>
        <v>12.542050637837061</v>
      </c>
      <c r="X285" s="197">
        <f t="shared" si="777"/>
        <v>110.02876484034391</v>
      </c>
      <c r="Y285" s="443">
        <f t="shared" si="840"/>
        <v>66.393280650274818</v>
      </c>
      <c r="AA285" s="217">
        <f t="shared" si="778"/>
        <v>10</v>
      </c>
      <c r="AB285" s="173">
        <f t="shared" si="779"/>
        <v>7.6699391476686092</v>
      </c>
      <c r="AC285" s="173">
        <f t="shared" si="780"/>
        <v>4.2195696540928855</v>
      </c>
      <c r="AD285" s="173"/>
      <c r="AE285" s="173">
        <f t="shared" si="781"/>
        <v>7.6699391476686092</v>
      </c>
      <c r="AF285" s="545">
        <f t="shared" si="782"/>
        <v>179.92320061880429</v>
      </c>
      <c r="AG285" s="528">
        <f t="shared" si="783"/>
        <v>4.2195696540928864</v>
      </c>
      <c r="AI285" s="173">
        <f t="shared" si="784"/>
        <v>7.1698416124925517</v>
      </c>
      <c r="AJ285" s="173">
        <f t="shared" si="785"/>
        <v>16.352216616541739</v>
      </c>
      <c r="AK285" s="173">
        <f t="shared" si="786"/>
        <v>5.9053456418827697</v>
      </c>
      <c r="AM285" s="545">
        <f t="shared" si="787"/>
        <v>6899.9999999999991</v>
      </c>
      <c r="AN285" s="460">
        <f t="shared" si="788"/>
        <v>66.393280650274818</v>
      </c>
      <c r="AP285">
        <f t="shared" si="789"/>
        <v>6899.9999999999991</v>
      </c>
      <c r="AQ285">
        <f t="shared" si="790"/>
        <v>66.393280650274818</v>
      </c>
      <c r="AS285" s="5">
        <f t="shared" si="763"/>
        <v>15.061765139570049</v>
      </c>
      <c r="AT285" s="5">
        <f t="shared" si="791"/>
        <v>2.3197145017329883</v>
      </c>
      <c r="AU285" s="5">
        <f t="shared" si="722"/>
        <v>12.74205063783706</v>
      </c>
      <c r="AV285" s="5"/>
      <c r="AW285" s="173">
        <f t="shared" si="723"/>
        <v>0.15401345594207072</v>
      </c>
      <c r="AX285" s="173">
        <f t="shared" si="792"/>
        <v>106.51938300583674</v>
      </c>
      <c r="AY285" s="173">
        <f t="shared" si="793"/>
        <v>6.9168776115573953</v>
      </c>
      <c r="AZ285" s="173">
        <f t="shared" si="794"/>
        <v>15.399923056012115</v>
      </c>
      <c r="BA285" s="460">
        <f t="shared" si="724"/>
        <v>106.70686707971745</v>
      </c>
      <c r="BB285" s="5">
        <f t="shared" si="725"/>
        <v>5.3759885919025381</v>
      </c>
      <c r="BD285" s="173">
        <f t="shared" si="841"/>
        <v>3.7050607842838872</v>
      </c>
      <c r="BE285" s="173">
        <f t="shared" si="842"/>
        <v>8.683558449326112</v>
      </c>
      <c r="BG285" s="528">
        <f t="shared" si="843"/>
        <v>0.27454950830476665</v>
      </c>
      <c r="BH285" s="528">
        <f t="shared" si="795"/>
        <v>2.04045591660871</v>
      </c>
      <c r="BI285" s="528">
        <f t="shared" si="796"/>
        <v>0.14040658532742709</v>
      </c>
      <c r="BJ285" s="528">
        <f t="shared" si="844"/>
        <v>6.6707474196391725E-2</v>
      </c>
      <c r="BK285">
        <f t="shared" si="845"/>
        <v>3.8065878220512765E-2</v>
      </c>
      <c r="BL285" s="460">
        <f t="shared" si="846"/>
        <v>178.47246354793987</v>
      </c>
      <c r="BM285" s="528">
        <f t="shared" si="797"/>
        <v>2.6272227941294242</v>
      </c>
      <c r="BN285" s="460">
        <f t="shared" si="847"/>
        <v>2627.2227941294241</v>
      </c>
      <c r="BO285" s="528">
        <f t="shared" si="798"/>
        <v>4.8299999999999992</v>
      </c>
      <c r="BR285" s="460">
        <f t="shared" si="848"/>
        <v>4829.9999999999991</v>
      </c>
      <c r="BS285" s="528">
        <f t="shared" si="849"/>
        <v>0.41182426245714998</v>
      </c>
      <c r="BT285" s="528">
        <f t="shared" si="850"/>
        <v>2.2621256202858873</v>
      </c>
      <c r="BU285" s="528">
        <f t="shared" si="851"/>
        <v>1.9418778365655309</v>
      </c>
      <c r="BV285" s="528"/>
      <c r="BW285" s="528">
        <f t="shared" si="852"/>
        <v>1.7753230500972793E-2</v>
      </c>
      <c r="BX285" s="460">
        <f t="shared" si="853"/>
        <v>4633.5809498095405</v>
      </c>
      <c r="BY285" s="173">
        <f t="shared" si="854"/>
        <v>12.023766312467348</v>
      </c>
      <c r="BZ285" s="5">
        <f t="shared" si="855"/>
        <v>103.49999999999999</v>
      </c>
      <c r="CA285" s="173">
        <f t="shared" si="856"/>
        <v>0.89591954368986204</v>
      </c>
      <c r="CB285" s="5">
        <f t="shared" si="857"/>
        <v>89.591954368986208</v>
      </c>
      <c r="CE285" s="562">
        <f t="shared" si="799"/>
        <v>-50</v>
      </c>
      <c r="CF285">
        <f t="shared" si="800"/>
        <v>-50</v>
      </c>
      <c r="CG285" s="173">
        <f t="shared" si="801"/>
        <v>0.84319193759889965</v>
      </c>
      <c r="CI285" s="170">
        <v>69</v>
      </c>
      <c r="CJ285" s="217">
        <f t="shared" si="858"/>
        <v>6.8999999999999995</v>
      </c>
      <c r="CK285" s="217"/>
      <c r="CL285" s="217">
        <f t="shared" si="802"/>
        <v>103.49999999999999</v>
      </c>
      <c r="CM285" s="541">
        <f t="shared" si="803"/>
        <v>85</v>
      </c>
      <c r="CN285" s="443">
        <f t="shared" si="804"/>
        <v>15.4</v>
      </c>
      <c r="CO285" s="443">
        <f t="shared" si="805"/>
        <v>100.4</v>
      </c>
      <c r="CP285" s="443"/>
      <c r="CQ285" s="217">
        <f t="shared" si="806"/>
        <v>0.15338645418326693</v>
      </c>
      <c r="CR285" s="172">
        <f t="shared" si="807"/>
        <v>327.33148655378488</v>
      </c>
      <c r="CS285" s="172">
        <f t="shared" si="808"/>
        <v>103.49999999999999</v>
      </c>
      <c r="CT285" s="217">
        <f t="shared" si="809"/>
        <v>21.822099103585661</v>
      </c>
      <c r="CU285" s="217">
        <f t="shared" si="810"/>
        <v>15</v>
      </c>
      <c r="CV285" s="217"/>
      <c r="CW285" s="172">
        <f t="shared" si="811"/>
        <v>223.12312403464929</v>
      </c>
      <c r="CX285" s="172">
        <f t="shared" si="812"/>
        <v>15</v>
      </c>
      <c r="CY285" s="217">
        <f t="shared" si="813"/>
        <v>15.876852559205497</v>
      </c>
      <c r="CZ285" s="217">
        <f t="shared" si="814"/>
        <v>2.2414380083584233</v>
      </c>
      <c r="DA285" s="217">
        <f t="shared" si="815"/>
        <v>12.37157342275753</v>
      </c>
      <c r="DB285" s="197">
        <f t="shared" si="816"/>
        <v>108.64873837981409</v>
      </c>
      <c r="DC285" s="443">
        <f t="shared" si="817"/>
        <v>68.432164356668324</v>
      </c>
      <c r="DE285" s="217">
        <f t="shared" si="818"/>
        <v>10</v>
      </c>
      <c r="DF285" s="173">
        <f t="shared" si="819"/>
        <v>7.7922077922077913</v>
      </c>
      <c r="DG285" s="173">
        <f t="shared" si="820"/>
        <v>4.2330677290836656</v>
      </c>
      <c r="DH285" s="173"/>
      <c r="DI285" s="173">
        <f t="shared" si="821"/>
        <v>7.7922077922077913</v>
      </c>
      <c r="DJ285" s="545">
        <f t="shared" si="822"/>
        <v>177.1</v>
      </c>
      <c r="DK285" s="528">
        <f t="shared" si="823"/>
        <v>4.2330677290836656</v>
      </c>
      <c r="DM285" s="173">
        <f t="shared" si="824"/>
        <v>7.1133676975114959</v>
      </c>
      <c r="DN285" s="173">
        <f t="shared" si="825"/>
        <v>15.876852559205497</v>
      </c>
      <c r="DO285" s="173">
        <f t="shared" si="826"/>
        <v>5.5532241179299984</v>
      </c>
      <c r="DQ285" s="545">
        <f t="shared" si="827"/>
        <v>6899.9999999999991</v>
      </c>
      <c r="DR285" s="460">
        <f t="shared" si="828"/>
        <v>68.432164356668324</v>
      </c>
      <c r="DT285">
        <f t="shared" si="829"/>
        <v>6899.9999999999991</v>
      </c>
      <c r="DU285">
        <f t="shared" si="830"/>
        <v>68.432164356668324</v>
      </c>
      <c r="DW285" s="5">
        <f t="shared" si="859"/>
        <v>14.613011431115954</v>
      </c>
      <c r="DX285" s="5">
        <f t="shared" si="831"/>
        <v>2.2414380083584233</v>
      </c>
      <c r="DY285" s="5">
        <f t="shared" si="832"/>
        <v>12.37157342275753</v>
      </c>
      <c r="DZ285" s="5"/>
      <c r="EA285" s="173">
        <f t="shared" si="833"/>
        <v>0.15338645418326693</v>
      </c>
      <c r="EB285" s="173">
        <f t="shared" si="860"/>
        <v>103.49999999999997</v>
      </c>
      <c r="EC285" s="173">
        <f t="shared" si="861"/>
        <v>6.7207792207792201</v>
      </c>
      <c r="ED285" s="173">
        <f t="shared" si="862"/>
        <v>15.399999999999997</v>
      </c>
      <c r="EE285" s="460">
        <f t="shared" si="834"/>
        <v>103.10614838448747</v>
      </c>
      <c r="EF285" s="5">
        <f t="shared" si="835"/>
        <v>5.1945551693931202</v>
      </c>
      <c r="EH285" s="173">
        <f t="shared" si="863"/>
        <v>3.590023474583548</v>
      </c>
      <c r="EI285" s="173">
        <f t="shared" si="864"/>
        <v>8.4342484656817991</v>
      </c>
      <c r="EK285" s="528">
        <f t="shared" si="865"/>
        <v>0.2577653709612186</v>
      </c>
      <c r="EL285" s="528">
        <f t="shared" si="866"/>
        <v>2.1816666666666666</v>
      </c>
      <c r="EM285" s="528">
        <f t="shared" si="867"/>
        <v>8.5540205445835387E-3</v>
      </c>
      <c r="EN285" s="528">
        <f t="shared" si="868"/>
        <v>6.8980716586151389E-2</v>
      </c>
      <c r="EO285">
        <f t="shared" si="869"/>
        <v>3.8249999999999999E-2</v>
      </c>
      <c r="EP285" s="460">
        <f t="shared" si="870"/>
        <v>46.804020544583537</v>
      </c>
      <c r="EQ285" s="460"/>
      <c r="ER285" s="460">
        <f t="shared" si="871"/>
        <v>2555.2167747586204</v>
      </c>
      <c r="ES285" s="528">
        <f t="shared" si="872"/>
        <v>4.8299999999999992</v>
      </c>
      <c r="EV285" s="460">
        <f t="shared" si="873"/>
        <v>4829.9999999999991</v>
      </c>
      <c r="EW285" s="528">
        <f t="shared" si="874"/>
        <v>0.38664805644182787</v>
      </c>
      <c r="EX285" s="528">
        <f t="shared" si="875"/>
        <v>2.1340964154256734</v>
      </c>
      <c r="EY285" s="528">
        <f t="shared" si="876"/>
        <v>1.9455021880180854</v>
      </c>
      <c r="EZ285" s="528"/>
      <c r="FA285" s="528">
        <f t="shared" si="877"/>
        <v>1.7249999999999995E-2</v>
      </c>
      <c r="FB285" s="460">
        <f t="shared" si="878"/>
        <v>4483.4966598855863</v>
      </c>
      <c r="FC285" s="173">
        <f t="shared" si="879"/>
        <v>11.868713434644208</v>
      </c>
      <c r="FD285" s="5">
        <f t="shared" si="880"/>
        <v>103.49999999999999</v>
      </c>
      <c r="FE285" s="173">
        <f t="shared" si="881"/>
        <v>0.8971236387985918</v>
      </c>
      <c r="FF285" s="5">
        <f t="shared" si="882"/>
        <v>89.712363879859183</v>
      </c>
      <c r="FI285" s="562">
        <f t="shared" si="836"/>
        <v>-50</v>
      </c>
      <c r="FJ285">
        <f t="shared" si="837"/>
        <v>-50</v>
      </c>
      <c r="FL285">
        <f t="shared" si="838"/>
        <v>0.84661354581673309</v>
      </c>
    </row>
    <row r="286" spans="5:168">
      <c r="E286" s="170">
        <v>70</v>
      </c>
      <c r="F286" s="217">
        <f t="shared" si="839"/>
        <v>7</v>
      </c>
      <c r="G286" s="217"/>
      <c r="H286" s="217">
        <f t="shared" si="764"/>
        <v>105</v>
      </c>
      <c r="I286" s="541">
        <f t="shared" si="765"/>
        <v>84.584934703531204</v>
      </c>
      <c r="J286" s="172">
        <f t="shared" si="766"/>
        <v>15.649039177881274</v>
      </c>
      <c r="K286" s="172">
        <f t="shared" si="767"/>
        <v>100.23397388141248</v>
      </c>
      <c r="L286" s="443"/>
      <c r="M286" s="217">
        <f t="shared" si="768"/>
        <v>0.15611674703965142</v>
      </c>
      <c r="N286" s="172">
        <f t="shared" si="769"/>
        <v>331.53116587770347</v>
      </c>
      <c r="O286" s="172">
        <f t="shared" si="762"/>
        <v>105</v>
      </c>
      <c r="P286" s="217">
        <f t="shared" si="770"/>
        <v>22.10207772518023</v>
      </c>
      <c r="Q286" s="217">
        <f t="shared" si="771"/>
        <v>15</v>
      </c>
      <c r="R286" s="217"/>
      <c r="S286" s="172">
        <f t="shared" si="772"/>
        <v>217.65927733402714</v>
      </c>
      <c r="T286" s="172">
        <f t="shared" si="773"/>
        <v>15</v>
      </c>
      <c r="U286" s="217">
        <f t="shared" si="774"/>
        <v>16.589972547609992</v>
      </c>
      <c r="V286" s="217">
        <f t="shared" si="775"/>
        <v>2.353606718135929</v>
      </c>
      <c r="W286" s="217">
        <f t="shared" si="776"/>
        <v>12.721526753713025</v>
      </c>
      <c r="X286" s="197">
        <f t="shared" si="777"/>
        <v>110.04859478418433</v>
      </c>
      <c r="Y286" s="443">
        <f t="shared" si="840"/>
        <v>65.465876409062673</v>
      </c>
      <c r="AA286" s="217">
        <f t="shared" si="778"/>
        <v>10</v>
      </c>
      <c r="AB286" s="173">
        <f t="shared" si="779"/>
        <v>7.6682024139610352</v>
      </c>
      <c r="AC286" s="173">
        <f t="shared" si="780"/>
        <v>4.2193745008855101</v>
      </c>
      <c r="AD286" s="173"/>
      <c r="AE286" s="173">
        <f t="shared" si="781"/>
        <v>7.6682024139610352</v>
      </c>
      <c r="AF286" s="545">
        <f t="shared" si="782"/>
        <v>182.57212374194819</v>
      </c>
      <c r="AG286" s="528">
        <f t="shared" si="783"/>
        <v>4.2193745008855101</v>
      </c>
      <c r="AI286" s="173">
        <f t="shared" si="784"/>
        <v>7.2224278415412995</v>
      </c>
      <c r="AJ286" s="173">
        <f t="shared" si="785"/>
        <v>16.589972547609992</v>
      </c>
      <c r="AK286" s="173">
        <f t="shared" si="786"/>
        <v>6.0814611463777721</v>
      </c>
      <c r="AM286" s="545">
        <f t="shared" si="787"/>
        <v>7000</v>
      </c>
      <c r="AN286" s="460">
        <f t="shared" si="788"/>
        <v>65.465876409062673</v>
      </c>
      <c r="AP286">
        <f t="shared" si="789"/>
        <v>7000</v>
      </c>
      <c r="AQ286">
        <f t="shared" si="790"/>
        <v>65.465876409062673</v>
      </c>
      <c r="AS286" s="5">
        <f t="shared" si="763"/>
        <v>15.275133471848953</v>
      </c>
      <c r="AT286" s="5">
        <f t="shared" si="791"/>
        <v>2.353606718135929</v>
      </c>
      <c r="AU286" s="5">
        <f t="shared" si="722"/>
        <v>12.921526753713025</v>
      </c>
      <c r="AV286" s="5"/>
      <c r="AW286" s="173">
        <f t="shared" si="723"/>
        <v>0.15408092652502633</v>
      </c>
      <c r="AX286" s="173">
        <f t="shared" si="792"/>
        <v>108.10793488816778</v>
      </c>
      <c r="AY286" s="173">
        <f t="shared" si="793"/>
        <v>7.0168871032247466</v>
      </c>
      <c r="AZ286" s="173">
        <f t="shared" si="794"/>
        <v>15.406822612050389</v>
      </c>
      <c r="BA286" s="460">
        <f t="shared" si="724"/>
        <v>109.83498017967669</v>
      </c>
      <c r="BB286" s="5">
        <f t="shared" si="725"/>
        <v>5.5311076860415405</v>
      </c>
      <c r="BD286" s="173">
        <f t="shared" si="841"/>
        <v>3.7597544381736281</v>
      </c>
      <c r="BE286" s="173">
        <f t="shared" si="842"/>
        <v>8.8094632606902579</v>
      </c>
      <c r="BG286" s="528">
        <f t="shared" si="843"/>
        <v>0.28271506870732588</v>
      </c>
      <c r="BH286" s="528">
        <f t="shared" si="795"/>
        <v>2.0411591796747603</v>
      </c>
      <c r="BI286" s="528">
        <f t="shared" si="796"/>
        <v>0.13843567203425022</v>
      </c>
      <c r="BJ286" s="528">
        <f t="shared" si="844"/>
        <v>6.5772580898067756E-2</v>
      </c>
      <c r="BK286">
        <f t="shared" si="845"/>
        <v>3.8063220616589039E-2</v>
      </c>
      <c r="BL286" s="460">
        <f t="shared" si="846"/>
        <v>176.49889265083925</v>
      </c>
      <c r="BM286" s="528">
        <f t="shared" si="797"/>
        <v>2.6435557322477719</v>
      </c>
      <c r="BN286" s="460">
        <f t="shared" si="847"/>
        <v>2643.5557322477716</v>
      </c>
      <c r="BO286" s="528">
        <f t="shared" si="798"/>
        <v>4.8999999999999995</v>
      </c>
      <c r="BR286" s="460">
        <f t="shared" si="848"/>
        <v>4899.9999999999991</v>
      </c>
      <c r="BS286" s="528">
        <f t="shared" si="849"/>
        <v>0.42407260306098876</v>
      </c>
      <c r="BT286" s="528">
        <f t="shared" si="850"/>
        <v>2.3281992882435425</v>
      </c>
      <c r="BU286" s="528">
        <f t="shared" si="851"/>
        <v>1.9436660031202402</v>
      </c>
      <c r="BV286" s="528"/>
      <c r="BW286" s="528">
        <f t="shared" si="852"/>
        <v>1.8017989148027967E-2</v>
      </c>
      <c r="BX286" s="460">
        <f t="shared" si="853"/>
        <v>4713.9558835727994</v>
      </c>
      <c r="BY286" s="173">
        <f t="shared" si="854"/>
        <v>12.180101605503792</v>
      </c>
      <c r="BZ286" s="5">
        <f t="shared" si="855"/>
        <v>105</v>
      </c>
      <c r="CA286" s="173">
        <f t="shared" si="856"/>
        <v>0.89605657070934208</v>
      </c>
      <c r="CB286" s="5">
        <f t="shared" si="857"/>
        <v>89.605657070934214</v>
      </c>
      <c r="CE286" s="562">
        <f t="shared" si="799"/>
        <v>-50</v>
      </c>
      <c r="CF286">
        <f t="shared" si="800"/>
        <v>-50</v>
      </c>
      <c r="CG286" s="173">
        <f t="shared" si="801"/>
        <v>0.84324081771629733</v>
      </c>
      <c r="CI286" s="170">
        <v>70</v>
      </c>
      <c r="CJ286" s="217">
        <f t="shared" si="858"/>
        <v>7</v>
      </c>
      <c r="CK286" s="217"/>
      <c r="CL286" s="217">
        <f t="shared" si="802"/>
        <v>105</v>
      </c>
      <c r="CM286" s="541">
        <f t="shared" si="803"/>
        <v>85</v>
      </c>
      <c r="CN286" s="443">
        <f t="shared" si="804"/>
        <v>15.4</v>
      </c>
      <c r="CO286" s="443">
        <f t="shared" si="805"/>
        <v>100.4</v>
      </c>
      <c r="CP286" s="443"/>
      <c r="CQ286" s="217">
        <f t="shared" si="806"/>
        <v>0.15338645418326693</v>
      </c>
      <c r="CR286" s="172">
        <f t="shared" si="807"/>
        <v>327.33148655378488</v>
      </c>
      <c r="CS286" s="172">
        <f t="shared" si="808"/>
        <v>105</v>
      </c>
      <c r="CT286" s="217">
        <f t="shared" si="809"/>
        <v>21.822099103585661</v>
      </c>
      <c r="CU286" s="217">
        <f t="shared" si="810"/>
        <v>15</v>
      </c>
      <c r="CV286" s="217"/>
      <c r="CW286" s="172">
        <f t="shared" si="811"/>
        <v>218.72659002397651</v>
      </c>
      <c r="CX286" s="172">
        <f t="shared" si="812"/>
        <v>15</v>
      </c>
      <c r="CY286" s="217">
        <f t="shared" si="813"/>
        <v>16.106951871657753</v>
      </c>
      <c r="CZ286" s="217">
        <f t="shared" si="814"/>
        <v>2.2739226171752125</v>
      </c>
      <c r="DA286" s="217">
        <f t="shared" si="815"/>
        <v>12.550871588304743</v>
      </c>
      <c r="DB286" s="197">
        <f t="shared" si="816"/>
        <v>108.64873837981409</v>
      </c>
      <c r="DC286" s="443">
        <f t="shared" si="817"/>
        <v>67.454562008715911</v>
      </c>
      <c r="DE286" s="217">
        <f t="shared" si="818"/>
        <v>10</v>
      </c>
      <c r="DF286" s="173">
        <f t="shared" si="819"/>
        <v>7.7922077922077913</v>
      </c>
      <c r="DG286" s="173">
        <f t="shared" si="820"/>
        <v>4.2330677290836656</v>
      </c>
      <c r="DH286" s="173"/>
      <c r="DI286" s="173">
        <f t="shared" si="821"/>
        <v>7.7922077922077913</v>
      </c>
      <c r="DJ286" s="545">
        <f t="shared" si="822"/>
        <v>179.66666666666669</v>
      </c>
      <c r="DK286" s="528">
        <f t="shared" si="823"/>
        <v>4.2330677290836656</v>
      </c>
      <c r="DM286" s="173">
        <f t="shared" si="824"/>
        <v>7.1647284200682257</v>
      </c>
      <c r="DN286" s="173">
        <f t="shared" si="825"/>
        <v>16.106951871657753</v>
      </c>
      <c r="DO286" s="173">
        <f t="shared" si="826"/>
        <v>5.723668053079817</v>
      </c>
      <c r="DQ286" s="545">
        <f t="shared" si="827"/>
        <v>7000</v>
      </c>
      <c r="DR286" s="460">
        <f t="shared" si="828"/>
        <v>67.454562008715911</v>
      </c>
      <c r="DT286">
        <f t="shared" si="829"/>
        <v>7000</v>
      </c>
      <c r="DU286">
        <f t="shared" si="830"/>
        <v>67.454562008715911</v>
      </c>
      <c r="DW286" s="5">
        <f t="shared" si="859"/>
        <v>14.824794205479957</v>
      </c>
      <c r="DX286" s="5">
        <f t="shared" si="831"/>
        <v>2.2739226171752125</v>
      </c>
      <c r="DY286" s="5">
        <f t="shared" si="832"/>
        <v>12.550871588304744</v>
      </c>
      <c r="DZ286" s="5"/>
      <c r="EA286" s="173">
        <f t="shared" si="833"/>
        <v>0.15338645418326693</v>
      </c>
      <c r="EB286" s="173">
        <f t="shared" si="860"/>
        <v>104.99999999999999</v>
      </c>
      <c r="EC286" s="173">
        <f t="shared" si="861"/>
        <v>6.8181818181818175</v>
      </c>
      <c r="ED286" s="173">
        <f t="shared" si="862"/>
        <v>15.4</v>
      </c>
      <c r="EE286" s="460">
        <f t="shared" si="834"/>
        <v>106.11638880150991</v>
      </c>
      <c r="EF286" s="5">
        <f t="shared" si="835"/>
        <v>5.346213049784982</v>
      </c>
      <c r="EH286" s="173">
        <f t="shared" si="863"/>
        <v>3.6420528003021504</v>
      </c>
      <c r="EI286" s="173">
        <f t="shared" si="864"/>
        <v>8.5564839506916819</v>
      </c>
      <c r="EK286" s="528">
        <f t="shared" si="865"/>
        <v>0.26529097200377472</v>
      </c>
      <c r="EL286" s="528">
        <f t="shared" si="866"/>
        <v>2.1816666666666666</v>
      </c>
      <c r="EM286" s="528">
        <f t="shared" si="867"/>
        <v>8.4318202510894891E-3</v>
      </c>
      <c r="EN286" s="528">
        <f t="shared" si="868"/>
        <v>6.7995277777777793E-2</v>
      </c>
      <c r="EO286">
        <f t="shared" si="869"/>
        <v>3.8249999999999999E-2</v>
      </c>
      <c r="EP286" s="460">
        <f t="shared" si="870"/>
        <v>46.681820251089491</v>
      </c>
      <c r="EQ286" s="460"/>
      <c r="ER286" s="460">
        <f t="shared" si="871"/>
        <v>2561.6347366993086</v>
      </c>
      <c r="ES286" s="528">
        <f t="shared" si="872"/>
        <v>4.8999999999999995</v>
      </c>
      <c r="EV286" s="460">
        <f t="shared" si="873"/>
        <v>4899.9999999999991</v>
      </c>
      <c r="EW286" s="528">
        <f t="shared" si="874"/>
        <v>0.39793645800566207</v>
      </c>
      <c r="EX286" s="528">
        <f t="shared" si="875"/>
        <v>2.1964025279533299</v>
      </c>
      <c r="EY286" s="528">
        <f t="shared" si="876"/>
        <v>1.9455021880180834</v>
      </c>
      <c r="EZ286" s="528"/>
      <c r="FA286" s="528">
        <f t="shared" si="877"/>
        <v>1.7499999999999995E-2</v>
      </c>
      <c r="FB286" s="460">
        <f t="shared" si="878"/>
        <v>4557.3411739770754</v>
      </c>
      <c r="FC286" s="173">
        <f t="shared" si="879"/>
        <v>12.018975910676385</v>
      </c>
      <c r="FD286" s="5">
        <f t="shared" si="880"/>
        <v>105</v>
      </c>
      <c r="FE286" s="173">
        <f t="shared" si="881"/>
        <v>0.89729036835999332</v>
      </c>
      <c r="FF286" s="5">
        <f t="shared" si="882"/>
        <v>89.729036835999338</v>
      </c>
      <c r="FI286" s="562">
        <f t="shared" si="836"/>
        <v>-50</v>
      </c>
      <c r="FJ286">
        <f t="shared" si="837"/>
        <v>-50</v>
      </c>
      <c r="FL286">
        <f t="shared" si="838"/>
        <v>0.84661354581673309</v>
      </c>
    </row>
    <row r="287" spans="5:168">
      <c r="E287" s="170">
        <v>71</v>
      </c>
      <c r="F287" s="217">
        <f t="shared" si="839"/>
        <v>7.1</v>
      </c>
      <c r="G287" s="217"/>
      <c r="H287" s="217">
        <f t="shared" si="764"/>
        <v>106.5</v>
      </c>
      <c r="I287" s="541">
        <f t="shared" si="765"/>
        <v>84.579028914323246</v>
      </c>
      <c r="J287" s="172">
        <f t="shared" si="766"/>
        <v>15.652582651406053</v>
      </c>
      <c r="K287" s="172">
        <f t="shared" si="767"/>
        <v>100.2316115657293</v>
      </c>
      <c r="L287" s="443"/>
      <c r="M287" s="217">
        <f t="shared" si="768"/>
        <v>0.15615578019884196</v>
      </c>
      <c r="N287" s="172">
        <f t="shared" si="769"/>
        <v>331.59090354082525</v>
      </c>
      <c r="O287" s="172">
        <f t="shared" si="762"/>
        <v>106.5</v>
      </c>
      <c r="P287" s="217">
        <f t="shared" si="770"/>
        <v>22.106060236055018</v>
      </c>
      <c r="Q287" s="217">
        <f t="shared" si="771"/>
        <v>15</v>
      </c>
      <c r="R287" s="217"/>
      <c r="S287" s="172">
        <f t="shared" si="772"/>
        <v>213.3926981131273</v>
      </c>
      <c r="T287" s="172">
        <f t="shared" si="773"/>
        <v>15</v>
      </c>
      <c r="U287" s="217">
        <f t="shared" si="774"/>
        <v>16.827750509858397</v>
      </c>
      <c r="V287" s="217">
        <f t="shared" si="775"/>
        <v>2.3875067934730558</v>
      </c>
      <c r="W287" s="217">
        <f t="shared" si="776"/>
        <v>12.900938497849832</v>
      </c>
      <c r="X287" s="197">
        <f t="shared" si="777"/>
        <v>110.06842219207962</v>
      </c>
      <c r="Y287" s="443">
        <f t="shared" si="840"/>
        <v>64.564259432819341</v>
      </c>
      <c r="AA287" s="217">
        <f t="shared" si="778"/>
        <v>10</v>
      </c>
      <c r="AB287" s="173">
        <f t="shared" si="779"/>
        <v>7.6664664657893082</v>
      </c>
      <c r="AC287" s="173">
        <f t="shared" si="780"/>
        <v>4.2191793383895915</v>
      </c>
      <c r="AD287" s="173"/>
      <c r="AE287" s="173">
        <f t="shared" si="781"/>
        <v>7.6664664657893082</v>
      </c>
      <c r="AF287" s="545">
        <f t="shared" si="782"/>
        <v>185.22222804163826</v>
      </c>
      <c r="AG287" s="528">
        <f t="shared" si="783"/>
        <v>4.2191793383895915</v>
      </c>
      <c r="AI287" s="173">
        <f t="shared" si="784"/>
        <v>7.2746571454141549</v>
      </c>
      <c r="AJ287" s="173">
        <f t="shared" si="785"/>
        <v>16.827750509858397</v>
      </c>
      <c r="AK287" s="173">
        <f t="shared" si="786"/>
        <v>6.2575929702654793</v>
      </c>
      <c r="AM287" s="545">
        <f t="shared" si="787"/>
        <v>7100</v>
      </c>
      <c r="AN287" s="460">
        <f t="shared" si="788"/>
        <v>64.564259432819341</v>
      </c>
      <c r="AP287">
        <f t="shared" si="789"/>
        <v>7100</v>
      </c>
      <c r="AQ287">
        <f t="shared" si="790"/>
        <v>64.564259432819341</v>
      </c>
      <c r="AS287" s="5">
        <f t="shared" si="763"/>
        <v>15.488445291322886</v>
      </c>
      <c r="AT287" s="5">
        <f t="shared" si="791"/>
        <v>2.3875067934730558</v>
      </c>
      <c r="AU287" s="5">
        <f t="shared" si="722"/>
        <v>13.10093849784983</v>
      </c>
      <c r="AV287" s="5"/>
      <c r="AW287" s="173">
        <f t="shared" si="723"/>
        <v>0.154147608011413</v>
      </c>
      <c r="AX287" s="173">
        <f t="shared" si="792"/>
        <v>109.6972027453325</v>
      </c>
      <c r="AY287" s="173">
        <f t="shared" si="793"/>
        <v>7.1168965102754447</v>
      </c>
      <c r="AZ287" s="173">
        <f t="shared" si="794"/>
        <v>15.413629042792826</v>
      </c>
      <c r="BA287" s="460">
        <f t="shared" si="724"/>
        <v>113.00865489105797</v>
      </c>
      <c r="BB287" s="5">
        <f t="shared" si="725"/>
        <v>5.6884156580752636</v>
      </c>
      <c r="BD287" s="173">
        <f t="shared" si="841"/>
        <v>3.8144667370090506</v>
      </c>
      <c r="BE287" s="173">
        <f t="shared" si="842"/>
        <v>8.9353738544952908</v>
      </c>
      <c r="BG287" s="528">
        <f t="shared" si="843"/>
        <v>0.2910031297549695</v>
      </c>
      <c r="BH287" s="528">
        <f t="shared" si="795"/>
        <v>2.0418518299905521</v>
      </c>
      <c r="BI287" s="528">
        <f t="shared" si="796"/>
        <v>0.13651955913500735</v>
      </c>
      <c r="BJ287" s="528">
        <f t="shared" si="844"/>
        <v>6.4863682365146974E-2</v>
      </c>
      <c r="BK287">
        <f t="shared" si="845"/>
        <v>3.8060563011445461E-2</v>
      </c>
      <c r="BL287" s="460">
        <f t="shared" si="846"/>
        <v>174.58012214645279</v>
      </c>
      <c r="BM287" s="528">
        <f t="shared" si="797"/>
        <v>2.6602235800482523</v>
      </c>
      <c r="BN287" s="460">
        <f t="shared" si="847"/>
        <v>2660.2235800482522</v>
      </c>
      <c r="BO287" s="528">
        <f t="shared" si="798"/>
        <v>4.97</v>
      </c>
      <c r="BR287" s="460">
        <f t="shared" si="848"/>
        <v>4970</v>
      </c>
      <c r="BS287" s="528">
        <f t="shared" si="849"/>
        <v>0.43650469463245423</v>
      </c>
      <c r="BT287" s="528">
        <f t="shared" si="850"/>
        <v>2.3952271775879406</v>
      </c>
      <c r="BU287" s="528">
        <f t="shared" si="851"/>
        <v>1.9454299626301881</v>
      </c>
      <c r="BV287" s="528"/>
      <c r="BW287" s="528">
        <f t="shared" si="852"/>
        <v>1.8282867124222085E-2</v>
      </c>
      <c r="BX287" s="460">
        <f t="shared" si="853"/>
        <v>4795.444701974805</v>
      </c>
      <c r="BY287" s="173">
        <f t="shared" si="854"/>
        <v>12.337743466231926</v>
      </c>
      <c r="BZ287" s="5">
        <f t="shared" si="855"/>
        <v>106.5</v>
      </c>
      <c r="CA287" s="173">
        <f t="shared" si="856"/>
        <v>0.89617992477501285</v>
      </c>
      <c r="CB287" s="5">
        <f t="shared" si="857"/>
        <v>89.617992477501289</v>
      </c>
      <c r="CE287" s="562">
        <f t="shared" si="799"/>
        <v>-50</v>
      </c>
      <c r="CF287">
        <f t="shared" si="800"/>
        <v>-50</v>
      </c>
      <c r="CG287" s="173">
        <f t="shared" si="801"/>
        <v>0.84328832092897954</v>
      </c>
      <c r="CI287" s="170">
        <v>71</v>
      </c>
      <c r="CJ287" s="217">
        <f t="shared" si="858"/>
        <v>7.1</v>
      </c>
      <c r="CK287" s="217"/>
      <c r="CL287" s="217">
        <f t="shared" si="802"/>
        <v>106.5</v>
      </c>
      <c r="CM287" s="541">
        <f t="shared" si="803"/>
        <v>85</v>
      </c>
      <c r="CN287" s="443">
        <f t="shared" si="804"/>
        <v>15.4</v>
      </c>
      <c r="CO287" s="443">
        <f t="shared" si="805"/>
        <v>100.4</v>
      </c>
      <c r="CP287" s="443"/>
      <c r="CQ287" s="217">
        <f t="shared" si="806"/>
        <v>0.15338645418326693</v>
      </c>
      <c r="CR287" s="172">
        <f t="shared" si="807"/>
        <v>327.33148655378488</v>
      </c>
      <c r="CS287" s="172">
        <f t="shared" si="808"/>
        <v>106.5</v>
      </c>
      <c r="CT287" s="217">
        <f t="shared" si="809"/>
        <v>21.822099103585661</v>
      </c>
      <c r="CU287" s="217">
        <f t="shared" si="810"/>
        <v>15</v>
      </c>
      <c r="CV287" s="217"/>
      <c r="CW287" s="172">
        <f t="shared" si="811"/>
        <v>214.45402162759214</v>
      </c>
      <c r="CX287" s="172">
        <f t="shared" si="812"/>
        <v>15</v>
      </c>
      <c r="CY287" s="217">
        <f t="shared" si="813"/>
        <v>16.337051184110006</v>
      </c>
      <c r="CZ287" s="217">
        <f t="shared" si="814"/>
        <v>2.3064072259920008</v>
      </c>
      <c r="DA287" s="217">
        <f t="shared" si="815"/>
        <v>12.730169753851953</v>
      </c>
      <c r="DB287" s="197">
        <f t="shared" si="816"/>
        <v>108.64873837981409</v>
      </c>
      <c r="DC287" s="443">
        <f t="shared" si="817"/>
        <v>66.504497755072023</v>
      </c>
      <c r="DE287" s="217">
        <f t="shared" si="818"/>
        <v>10</v>
      </c>
      <c r="DF287" s="173">
        <f t="shared" si="819"/>
        <v>7.7922077922077913</v>
      </c>
      <c r="DG287" s="173">
        <f t="shared" si="820"/>
        <v>4.2330677290836656</v>
      </c>
      <c r="DH287" s="173"/>
      <c r="DI287" s="173">
        <f t="shared" si="821"/>
        <v>7.7922077922077913</v>
      </c>
      <c r="DJ287" s="545">
        <f t="shared" si="822"/>
        <v>182.23333333333335</v>
      </c>
      <c r="DK287" s="528">
        <f t="shared" si="823"/>
        <v>4.2330677290836656</v>
      </c>
      <c r="DM287" s="173">
        <f t="shared" si="824"/>
        <v>7.2157235719411172</v>
      </c>
      <c r="DN287" s="173">
        <f t="shared" si="825"/>
        <v>16.337051184110006</v>
      </c>
      <c r="DO287" s="173">
        <f t="shared" si="826"/>
        <v>5.8941119882296347</v>
      </c>
      <c r="DQ287" s="545">
        <f t="shared" si="827"/>
        <v>7100</v>
      </c>
      <c r="DR287" s="460">
        <f t="shared" si="828"/>
        <v>66.504497755072023</v>
      </c>
      <c r="DT287">
        <f t="shared" si="829"/>
        <v>7100</v>
      </c>
      <c r="DU287">
        <f t="shared" si="830"/>
        <v>66.504497755072023</v>
      </c>
      <c r="DW287" s="5">
        <f t="shared" si="859"/>
        <v>15.036576979843955</v>
      </c>
      <c r="DX287" s="5">
        <f t="shared" si="831"/>
        <v>2.3064072259920008</v>
      </c>
      <c r="DY287" s="5">
        <f t="shared" si="832"/>
        <v>12.730169753851955</v>
      </c>
      <c r="DZ287" s="5"/>
      <c r="EA287" s="173">
        <f t="shared" si="833"/>
        <v>0.15338645418326691</v>
      </c>
      <c r="EB287" s="173">
        <f t="shared" si="860"/>
        <v>106.5</v>
      </c>
      <c r="EC287" s="173">
        <f t="shared" si="861"/>
        <v>6.9155844155844148</v>
      </c>
      <c r="ED287" s="173">
        <f t="shared" si="862"/>
        <v>15.400000000000002</v>
      </c>
      <c r="EE287" s="460">
        <f t="shared" si="834"/>
        <v>109.16994203028803</v>
      </c>
      <c r="EF287" s="5">
        <f t="shared" si="835"/>
        <v>5.5000530579522637</v>
      </c>
      <c r="EH287" s="173">
        <f t="shared" si="863"/>
        <v>3.6940821260207524</v>
      </c>
      <c r="EI287" s="173">
        <f t="shared" si="864"/>
        <v>8.6787194357015629</v>
      </c>
      <c r="EK287" s="528">
        <f t="shared" si="865"/>
        <v>0.27292485507572006</v>
      </c>
      <c r="EL287" s="528">
        <f t="shared" si="866"/>
        <v>2.1816666666666666</v>
      </c>
      <c r="EM287" s="528">
        <f t="shared" si="867"/>
        <v>8.3130622193840036E-3</v>
      </c>
      <c r="EN287" s="528">
        <f t="shared" si="868"/>
        <v>6.7037597809076685E-2</v>
      </c>
      <c r="EO287">
        <f t="shared" si="869"/>
        <v>3.8249999999999999E-2</v>
      </c>
      <c r="EP287" s="460">
        <f t="shared" si="870"/>
        <v>46.563062219384001</v>
      </c>
      <c r="EQ287" s="460"/>
      <c r="ER287" s="460">
        <f t="shared" si="871"/>
        <v>2568.1921817708476</v>
      </c>
      <c r="ES287" s="528">
        <f t="shared" si="872"/>
        <v>4.97</v>
      </c>
      <c r="EV287" s="460">
        <f t="shared" si="873"/>
        <v>4970</v>
      </c>
      <c r="EW287" s="528">
        <f t="shared" si="874"/>
        <v>0.40938728261358004</v>
      </c>
      <c r="EX287" s="528">
        <f t="shared" si="875"/>
        <v>2.2596051313087218</v>
      </c>
      <c r="EY287" s="528">
        <f t="shared" si="876"/>
        <v>1.9455021880180816</v>
      </c>
      <c r="EZ287" s="528"/>
      <c r="FA287" s="528">
        <f t="shared" si="877"/>
        <v>1.7749999999999998E-2</v>
      </c>
      <c r="FB287" s="460">
        <f t="shared" si="878"/>
        <v>4632.2446019403842</v>
      </c>
      <c r="FC287" s="173">
        <f t="shared" si="879"/>
        <v>12.170436783711231</v>
      </c>
      <c r="FD287" s="5">
        <f t="shared" si="880"/>
        <v>106.5</v>
      </c>
      <c r="FE287" s="173">
        <f t="shared" si="881"/>
        <v>0.89744339775294601</v>
      </c>
      <c r="FF287" s="5">
        <f t="shared" si="882"/>
        <v>89.744339775294605</v>
      </c>
      <c r="FI287" s="562">
        <f t="shared" si="836"/>
        <v>-50</v>
      </c>
      <c r="FJ287">
        <f t="shared" si="837"/>
        <v>-50</v>
      </c>
      <c r="FL287">
        <f t="shared" si="838"/>
        <v>0.84661354581673309</v>
      </c>
    </row>
    <row r="288" spans="5:168">
      <c r="E288" s="170">
        <v>72</v>
      </c>
      <c r="F288" s="217">
        <f t="shared" si="839"/>
        <v>7.1999999999999993</v>
      </c>
      <c r="G288" s="217"/>
      <c r="H288" s="217">
        <f t="shared" si="764"/>
        <v>107.99999999999999</v>
      </c>
      <c r="I288" s="541">
        <f t="shared" si="765"/>
        <v>84.573123122517856</v>
      </c>
      <c r="J288" s="172">
        <f t="shared" si="766"/>
        <v>15.656126126489283</v>
      </c>
      <c r="K288" s="172">
        <f t="shared" si="767"/>
        <v>100.22924924900714</v>
      </c>
      <c r="L288" s="443"/>
      <c r="M288" s="217">
        <f t="shared" si="768"/>
        <v>0.15619481520200981</v>
      </c>
      <c r="N288" s="172">
        <f t="shared" si="769"/>
        <v>331.65063353403769</v>
      </c>
      <c r="O288" s="172">
        <f t="shared" si="762"/>
        <v>107.99999999999999</v>
      </c>
      <c r="P288" s="217">
        <f t="shared" si="770"/>
        <v>22.110042235602513</v>
      </c>
      <c r="Q288" s="217">
        <f t="shared" si="771"/>
        <v>15</v>
      </c>
      <c r="R288" s="217"/>
      <c r="S288" s="172">
        <f t="shared" si="772"/>
        <v>209.24491889449612</v>
      </c>
      <c r="T288" s="172">
        <f t="shared" si="773"/>
        <v>15</v>
      </c>
      <c r="U288" s="217">
        <f t="shared" si="774"/>
        <v>17.065550507902373</v>
      </c>
      <c r="V288" s="217">
        <f t="shared" si="775"/>
        <v>2.4214147300456426</v>
      </c>
      <c r="W288" s="217">
        <f t="shared" si="776"/>
        <v>13.080285917494052</v>
      </c>
      <c r="X288" s="197">
        <f t="shared" si="777"/>
        <v>110.08824706346579</v>
      </c>
      <c r="Y288" s="443">
        <f t="shared" si="840"/>
        <v>63.687368804645402</v>
      </c>
      <c r="AA288" s="217">
        <f t="shared" si="778"/>
        <v>10</v>
      </c>
      <c r="AB288" s="173">
        <f t="shared" si="779"/>
        <v>7.6647313026539026</v>
      </c>
      <c r="AC288" s="173">
        <f t="shared" si="780"/>
        <v>4.2189841666082142</v>
      </c>
      <c r="AD288" s="173"/>
      <c r="AE288" s="173">
        <f t="shared" si="781"/>
        <v>7.6647313026539026</v>
      </c>
      <c r="AF288" s="545">
        <f t="shared" si="782"/>
        <v>187.87351351787137</v>
      </c>
      <c r="AG288" s="528">
        <f t="shared" si="783"/>
        <v>4.2189841666082142</v>
      </c>
      <c r="AI288" s="173">
        <f t="shared" si="784"/>
        <v>7.3265371574429228</v>
      </c>
      <c r="AJ288" s="173">
        <f t="shared" si="785"/>
        <v>17.065550507902373</v>
      </c>
      <c r="AK288" s="173">
        <f t="shared" si="786"/>
        <v>6.433741116964721</v>
      </c>
      <c r="AM288" s="545">
        <f t="shared" si="787"/>
        <v>7199.9999999999991</v>
      </c>
      <c r="AN288" s="460">
        <f t="shared" si="788"/>
        <v>63.687368804645402</v>
      </c>
      <c r="AP288">
        <f t="shared" si="789"/>
        <v>7199.9999999999991</v>
      </c>
      <c r="AQ288">
        <f t="shared" si="790"/>
        <v>63.687368804645402</v>
      </c>
      <c r="AS288" s="5">
        <f t="shared" si="763"/>
        <v>15.701700647539694</v>
      </c>
      <c r="AT288" s="5">
        <f t="shared" si="791"/>
        <v>2.4214147300456426</v>
      </c>
      <c r="AU288" s="5">
        <f t="shared" si="722"/>
        <v>13.280285917494052</v>
      </c>
      <c r="AV288" s="5"/>
      <c r="AW288" s="173">
        <f t="shared" si="723"/>
        <v>0.15421353294141774</v>
      </c>
      <c r="AX288" s="173">
        <f t="shared" si="792"/>
        <v>111.28718627688282</v>
      </c>
      <c r="AY288" s="173">
        <f t="shared" si="793"/>
        <v>7.2169058362442708</v>
      </c>
      <c r="AZ288" s="173">
        <f t="shared" si="794"/>
        <v>15.420346170790205</v>
      </c>
      <c r="BA288" s="460">
        <f t="shared" si="724"/>
        <v>116.22790704219082</v>
      </c>
      <c r="BB288" s="5">
        <f t="shared" si="725"/>
        <v>5.8479118062927986</v>
      </c>
      <c r="BD288" s="173">
        <f t="shared" si="841"/>
        <v>3.8691976782171476</v>
      </c>
      <c r="BE288" s="173">
        <f t="shared" si="842"/>
        <v>9.0612902340745425</v>
      </c>
      <c r="BG288" s="528">
        <f t="shared" si="843"/>
        <v>0.2994138134624193</v>
      </c>
      <c r="BH288" s="528">
        <f t="shared" si="795"/>
        <v>2.0425343014867323</v>
      </c>
      <c r="BI288" s="528">
        <f t="shared" si="796"/>
        <v>0.13465599208161194</v>
      </c>
      <c r="BJ288" s="528">
        <f t="shared" si="844"/>
        <v>6.3979709144395741E-2</v>
      </c>
      <c r="BK288">
        <f t="shared" si="845"/>
        <v>3.8057905405133034E-2</v>
      </c>
      <c r="BL288" s="460">
        <f t="shared" si="846"/>
        <v>172.71389748674497</v>
      </c>
      <c r="BM288" s="528">
        <f t="shared" si="797"/>
        <v>2.6772296006920229</v>
      </c>
      <c r="BN288" s="460">
        <f t="shared" si="847"/>
        <v>2677.2296006920228</v>
      </c>
      <c r="BO288" s="528">
        <f t="shared" si="798"/>
        <v>5.0399999999999991</v>
      </c>
      <c r="BR288" s="460">
        <f t="shared" si="848"/>
        <v>5039.9999999999991</v>
      </c>
      <c r="BS288" s="528">
        <f t="shared" si="849"/>
        <v>0.44912072019362892</v>
      </c>
      <c r="BT288" s="528">
        <f t="shared" si="850"/>
        <v>2.4632094211840401</v>
      </c>
      <c r="BU288" s="528">
        <f t="shared" si="851"/>
        <v>1.9471707065348527</v>
      </c>
      <c r="BV288" s="528"/>
      <c r="BW288" s="528">
        <f t="shared" si="852"/>
        <v>1.8547864379480476E-2</v>
      </c>
      <c r="BX288" s="460">
        <f t="shared" si="853"/>
        <v>4878.0487122920022</v>
      </c>
      <c r="BY288" s="173">
        <f t="shared" si="854"/>
        <v>12.49669043387229</v>
      </c>
      <c r="BZ288" s="5">
        <f t="shared" si="855"/>
        <v>107.99999999999999</v>
      </c>
      <c r="CA288" s="173">
        <f t="shared" si="856"/>
        <v>0.89629017702581315</v>
      </c>
      <c r="CB288" s="5">
        <f t="shared" si="857"/>
        <v>89.629017702581308</v>
      </c>
      <c r="CE288" s="562">
        <f t="shared" si="799"/>
        <v>-50</v>
      </c>
      <c r="CF288">
        <f t="shared" si="800"/>
        <v>-50</v>
      </c>
      <c r="CG288" s="173">
        <f t="shared" si="801"/>
        <v>0.8433345046079761</v>
      </c>
      <c r="CI288" s="170">
        <v>72</v>
      </c>
      <c r="CJ288" s="217">
        <f t="shared" si="858"/>
        <v>7.1999999999999993</v>
      </c>
      <c r="CK288" s="217"/>
      <c r="CL288" s="217">
        <f t="shared" si="802"/>
        <v>107.99999999999999</v>
      </c>
      <c r="CM288" s="541">
        <f t="shared" si="803"/>
        <v>85</v>
      </c>
      <c r="CN288" s="443">
        <f t="shared" si="804"/>
        <v>15.4</v>
      </c>
      <c r="CO288" s="443">
        <f t="shared" si="805"/>
        <v>100.4</v>
      </c>
      <c r="CP288" s="443"/>
      <c r="CQ288" s="217">
        <f t="shared" si="806"/>
        <v>0.15338645418326693</v>
      </c>
      <c r="CR288" s="172">
        <f t="shared" si="807"/>
        <v>327.33148655378488</v>
      </c>
      <c r="CS288" s="172">
        <f t="shared" si="808"/>
        <v>107.99999999999999</v>
      </c>
      <c r="CT288" s="217">
        <f t="shared" si="809"/>
        <v>21.822099103585661</v>
      </c>
      <c r="CU288" s="217">
        <f t="shared" si="810"/>
        <v>15</v>
      </c>
      <c r="CV288" s="217"/>
      <c r="CW288" s="172">
        <f t="shared" si="811"/>
        <v>210.30025556549191</v>
      </c>
      <c r="CX288" s="172">
        <f t="shared" si="812"/>
        <v>15</v>
      </c>
      <c r="CY288" s="217">
        <f t="shared" si="813"/>
        <v>16.56715049656226</v>
      </c>
      <c r="CZ288" s="217">
        <f t="shared" si="814"/>
        <v>2.3388918348087899</v>
      </c>
      <c r="DA288" s="217">
        <f t="shared" si="815"/>
        <v>12.909467919399164</v>
      </c>
      <c r="DB288" s="197">
        <f t="shared" si="816"/>
        <v>108.64873837981409</v>
      </c>
      <c r="DC288" s="443">
        <f t="shared" si="817"/>
        <v>65.580824175140464</v>
      </c>
      <c r="DE288" s="217">
        <f t="shared" si="818"/>
        <v>10</v>
      </c>
      <c r="DF288" s="173">
        <f t="shared" si="819"/>
        <v>7.7922077922077913</v>
      </c>
      <c r="DG288" s="173">
        <f t="shared" si="820"/>
        <v>4.2330677290836656</v>
      </c>
      <c r="DH288" s="173"/>
      <c r="DI288" s="173">
        <f t="shared" si="821"/>
        <v>7.7922077922077913</v>
      </c>
      <c r="DJ288" s="545">
        <f t="shared" si="822"/>
        <v>184.8</v>
      </c>
      <c r="DK288" s="528">
        <f t="shared" si="823"/>
        <v>4.2330677290836656</v>
      </c>
      <c r="DM288" s="173">
        <f t="shared" si="824"/>
        <v>7.2663608498339798</v>
      </c>
      <c r="DN288" s="173">
        <f t="shared" si="825"/>
        <v>16.56715049656226</v>
      </c>
      <c r="DO288" s="173">
        <f t="shared" si="826"/>
        <v>6.0645559233794524</v>
      </c>
      <c r="DQ288" s="545">
        <f t="shared" si="827"/>
        <v>7199.9999999999991</v>
      </c>
      <c r="DR288" s="460">
        <f t="shared" si="828"/>
        <v>65.580824175140464</v>
      </c>
      <c r="DT288">
        <f t="shared" si="829"/>
        <v>7199.9999999999991</v>
      </c>
      <c r="DU288">
        <f t="shared" si="830"/>
        <v>65.580824175140464</v>
      </c>
      <c r="DW288" s="5">
        <f t="shared" si="859"/>
        <v>15.248359754207955</v>
      </c>
      <c r="DX288" s="5">
        <f t="shared" si="831"/>
        <v>2.3388918348087899</v>
      </c>
      <c r="DY288" s="5">
        <f t="shared" si="832"/>
        <v>12.909467919399166</v>
      </c>
      <c r="DZ288" s="5"/>
      <c r="EA288" s="173">
        <f t="shared" si="833"/>
        <v>0.15338645418326693</v>
      </c>
      <c r="EB288" s="173">
        <f t="shared" si="860"/>
        <v>107.99999999999997</v>
      </c>
      <c r="EC288" s="173">
        <f t="shared" si="861"/>
        <v>7.0129870129870122</v>
      </c>
      <c r="ED288" s="173">
        <f t="shared" si="862"/>
        <v>15.399999999999997</v>
      </c>
      <c r="EE288" s="460">
        <f t="shared" si="834"/>
        <v>112.2668080708219</v>
      </c>
      <c r="EF288" s="5">
        <f t="shared" si="835"/>
        <v>5.656075193894968</v>
      </c>
      <c r="EH288" s="173">
        <f t="shared" si="863"/>
        <v>3.7461114517393548</v>
      </c>
      <c r="EI288" s="173">
        <f t="shared" si="864"/>
        <v>8.8009549207114439</v>
      </c>
      <c r="EK288" s="528">
        <f t="shared" si="865"/>
        <v>0.28066702017705475</v>
      </c>
      <c r="EL288" s="528">
        <f t="shared" si="866"/>
        <v>2.1816666666666662</v>
      </c>
      <c r="EM288" s="528">
        <f t="shared" si="867"/>
        <v>8.1976030218925584E-3</v>
      </c>
      <c r="EN288" s="528">
        <f t="shared" si="868"/>
        <v>6.6106520061728402E-2</v>
      </c>
      <c r="EO288">
        <f t="shared" si="869"/>
        <v>3.8249999999999999E-2</v>
      </c>
      <c r="EP288" s="460">
        <f t="shared" si="870"/>
        <v>46.447603021892562</v>
      </c>
      <c r="EQ288" s="460"/>
      <c r="ER288" s="460">
        <f t="shared" si="871"/>
        <v>2574.887809927342</v>
      </c>
      <c r="ES288" s="528">
        <f t="shared" si="872"/>
        <v>5.0399999999999991</v>
      </c>
      <c r="EV288" s="460">
        <f t="shared" si="873"/>
        <v>5039.9999999999991</v>
      </c>
      <c r="EW288" s="528">
        <f t="shared" si="874"/>
        <v>0.4210005302655821</v>
      </c>
      <c r="EX288" s="528">
        <f t="shared" si="875"/>
        <v>2.323704225491849</v>
      </c>
      <c r="EY288" s="528">
        <f t="shared" si="876"/>
        <v>1.9455021880180798</v>
      </c>
      <c r="EZ288" s="528"/>
      <c r="FA288" s="528">
        <f t="shared" si="877"/>
        <v>1.7999999999999999E-2</v>
      </c>
      <c r="FB288" s="460">
        <f t="shared" si="878"/>
        <v>4708.2069437755108</v>
      </c>
      <c r="FC288" s="173">
        <f t="shared" si="879"/>
        <v>12.323094753702852</v>
      </c>
      <c r="FD288" s="5">
        <f t="shared" si="880"/>
        <v>107.99999999999999</v>
      </c>
      <c r="FE288" s="173">
        <f t="shared" si="881"/>
        <v>0.89758329621650945</v>
      </c>
      <c r="FF288" s="5">
        <f t="shared" si="882"/>
        <v>89.758329621650944</v>
      </c>
      <c r="FI288" s="562">
        <f t="shared" si="836"/>
        <v>-50</v>
      </c>
      <c r="FJ288">
        <f t="shared" si="837"/>
        <v>-50</v>
      </c>
      <c r="FL288">
        <f t="shared" si="838"/>
        <v>0.84661354581673309</v>
      </c>
    </row>
    <row r="289" spans="5:168">
      <c r="E289" s="170">
        <v>73</v>
      </c>
      <c r="F289" s="217">
        <f t="shared" si="839"/>
        <v>7.3</v>
      </c>
      <c r="G289" s="217"/>
      <c r="H289" s="217">
        <f t="shared" si="764"/>
        <v>109.5</v>
      </c>
      <c r="I289" s="541">
        <f t="shared" si="765"/>
        <v>84.567217328222213</v>
      </c>
      <c r="J289" s="172">
        <f t="shared" si="766"/>
        <v>15.659669603066677</v>
      </c>
      <c r="K289" s="172">
        <f t="shared" si="767"/>
        <v>100.22688693128889</v>
      </c>
      <c r="L289" s="443"/>
      <c r="M289" s="217">
        <f t="shared" si="768"/>
        <v>0.15623385204912127</v>
      </c>
      <c r="N289" s="172">
        <f t="shared" si="769"/>
        <v>331.71035585686184</v>
      </c>
      <c r="O289" s="172">
        <f t="shared" si="762"/>
        <v>109.5</v>
      </c>
      <c r="P289" s="217">
        <f t="shared" si="770"/>
        <v>22.11402372379079</v>
      </c>
      <c r="Q289" s="217">
        <f t="shared" si="771"/>
        <v>15</v>
      </c>
      <c r="R289" s="217"/>
      <c r="S289" s="172">
        <f t="shared" si="772"/>
        <v>205.21105945566097</v>
      </c>
      <c r="T289" s="172">
        <f t="shared" si="773"/>
        <v>15</v>
      </c>
      <c r="U289" s="217">
        <f t="shared" si="774"/>
        <v>17.303372546358617</v>
      </c>
      <c r="V289" s="217">
        <f t="shared" si="775"/>
        <v>2.455330530155786</v>
      </c>
      <c r="W289" s="217">
        <f t="shared" si="776"/>
        <v>13.259569059850445</v>
      </c>
      <c r="X289" s="197">
        <f t="shared" si="777"/>
        <v>110.10806939779981</v>
      </c>
      <c r="Y289" s="443">
        <f t="shared" si="840"/>
        <v>62.83420101675982</v>
      </c>
      <c r="AA289" s="217">
        <f t="shared" si="778"/>
        <v>9.9999999999999982</v>
      </c>
      <c r="AB289" s="173">
        <f t="shared" si="779"/>
        <v>7.6629969240538784</v>
      </c>
      <c r="AC289" s="173">
        <f t="shared" si="780"/>
        <v>4.2187889855442533</v>
      </c>
      <c r="AD289" s="173"/>
      <c r="AE289" s="173">
        <f t="shared" si="781"/>
        <v>7.6629969240538802</v>
      </c>
      <c r="AF289" s="545">
        <f t="shared" si="782"/>
        <v>190.52598017064454</v>
      </c>
      <c r="AG289" s="528">
        <f t="shared" si="783"/>
        <v>4.218788985544256</v>
      </c>
      <c r="AI289" s="173">
        <f t="shared" si="784"/>
        <v>7.378075245920841</v>
      </c>
      <c r="AJ289" s="173">
        <f t="shared" si="785"/>
        <v>17.303372546358617</v>
      </c>
      <c r="AK289" s="173">
        <f t="shared" si="786"/>
        <v>6.6099055898952717</v>
      </c>
      <c r="AM289" s="545">
        <f t="shared" si="787"/>
        <v>7300</v>
      </c>
      <c r="AN289" s="460">
        <f t="shared" si="788"/>
        <v>62.83420101675982</v>
      </c>
      <c r="AP289">
        <f t="shared" si="789"/>
        <v>7300</v>
      </c>
      <c r="AQ289">
        <f t="shared" si="790"/>
        <v>62.83420101675982</v>
      </c>
      <c r="AS289" s="5">
        <f t="shared" si="763"/>
        <v>15.914899590006231</v>
      </c>
      <c r="AT289" s="5">
        <f t="shared" si="791"/>
        <v>2.455330530155786</v>
      </c>
      <c r="AU289" s="5">
        <f t="shared" si="722"/>
        <v>13.459569059850445</v>
      </c>
      <c r="AV289" s="5"/>
      <c r="AW289" s="173">
        <f t="shared" si="723"/>
        <v>0.15427873209439613</v>
      </c>
      <c r="AX289" s="173">
        <f t="shared" si="792"/>
        <v>112.87788519863096</v>
      </c>
      <c r="AY289" s="173">
        <f t="shared" si="793"/>
        <v>7.3169150844747133</v>
      </c>
      <c r="AZ289" s="173">
        <f t="shared" si="794"/>
        <v>15.426977612209717</v>
      </c>
      <c r="BA289" s="460">
        <f t="shared" si="724"/>
        <v>119.49275246758158</v>
      </c>
      <c r="BB289" s="5">
        <f t="shared" si="725"/>
        <v>6.0095954299244454</v>
      </c>
      <c r="BD289" s="173">
        <f t="shared" si="841"/>
        <v>3.9239472594401286</v>
      </c>
      <c r="BE289" s="173">
        <f t="shared" si="842"/>
        <v>9.1872124026365043</v>
      </c>
      <c r="BG289" s="528">
        <f t="shared" si="843"/>
        <v>0.3079472418973539</v>
      </c>
      <c r="BH289" s="528">
        <f t="shared" si="795"/>
        <v>2.043207004612777</v>
      </c>
      <c r="BI289" s="528">
        <f t="shared" si="796"/>
        <v>0.13284283832573821</v>
      </c>
      <c r="BJ289" s="528">
        <f t="shared" si="844"/>
        <v>6.31196496536202E-2</v>
      </c>
      <c r="BK289">
        <f t="shared" si="845"/>
        <v>3.8055247797699997E-2</v>
      </c>
      <c r="BL289" s="460">
        <f t="shared" si="846"/>
        <v>170.89808612343822</v>
      </c>
      <c r="BM289" s="528">
        <f t="shared" si="797"/>
        <v>2.6945771883823015</v>
      </c>
      <c r="BN289" s="460">
        <f t="shared" si="847"/>
        <v>2694.5771883823018</v>
      </c>
      <c r="BO289" s="528">
        <f t="shared" si="798"/>
        <v>5.1099999999999994</v>
      </c>
      <c r="BR289" s="460">
        <f t="shared" si="848"/>
        <v>5109.9999999999991</v>
      </c>
      <c r="BS289" s="528">
        <f t="shared" si="849"/>
        <v>0.46192086284603084</v>
      </c>
      <c r="BT289" s="528">
        <f t="shared" si="850"/>
        <v>2.5321461519347404</v>
      </c>
      <c r="BU289" s="528">
        <f t="shared" si="851"/>
        <v>1.9488891731350764</v>
      </c>
      <c r="BV289" s="528"/>
      <c r="BW289" s="528">
        <f t="shared" si="852"/>
        <v>1.8812980866438494E-2</v>
      </c>
      <c r="BX289" s="460">
        <f t="shared" si="853"/>
        <v>4961.7691687822853</v>
      </c>
      <c r="BY289" s="173">
        <f t="shared" si="854"/>
        <v>12.656941151069475</v>
      </c>
      <c r="BZ289" s="5">
        <f t="shared" si="855"/>
        <v>109.5</v>
      </c>
      <c r="CA289" s="173">
        <f t="shared" si="856"/>
        <v>0.89638786767411893</v>
      </c>
      <c r="CB289" s="5">
        <f t="shared" si="857"/>
        <v>89.638786767411887</v>
      </c>
      <c r="CE289" s="562">
        <f t="shared" si="799"/>
        <v>-50</v>
      </c>
      <c r="CF289">
        <f t="shared" si="800"/>
        <v>-50</v>
      </c>
      <c r="CG289" s="173">
        <f t="shared" si="801"/>
        <v>0.84337942298069879</v>
      </c>
      <c r="CI289" s="170">
        <v>73</v>
      </c>
      <c r="CJ289" s="217">
        <f t="shared" si="858"/>
        <v>7.3</v>
      </c>
      <c r="CK289" s="217"/>
      <c r="CL289" s="217">
        <f t="shared" si="802"/>
        <v>109.5</v>
      </c>
      <c r="CM289" s="541">
        <f t="shared" si="803"/>
        <v>85</v>
      </c>
      <c r="CN289" s="443">
        <f t="shared" si="804"/>
        <v>15.4</v>
      </c>
      <c r="CO289" s="443">
        <f t="shared" si="805"/>
        <v>100.4</v>
      </c>
      <c r="CP289" s="443"/>
      <c r="CQ289" s="217">
        <f t="shared" si="806"/>
        <v>0.15338645418326693</v>
      </c>
      <c r="CR289" s="172">
        <f t="shared" si="807"/>
        <v>327.33148655378488</v>
      </c>
      <c r="CS289" s="172">
        <f t="shared" si="808"/>
        <v>109.5</v>
      </c>
      <c r="CT289" s="217">
        <f t="shared" si="809"/>
        <v>21.822099103585661</v>
      </c>
      <c r="CU289" s="217">
        <f t="shared" si="810"/>
        <v>15</v>
      </c>
      <c r="CV289" s="217"/>
      <c r="CW289" s="172">
        <f t="shared" si="811"/>
        <v>206.26041151952541</v>
      </c>
      <c r="CX289" s="172">
        <f t="shared" si="812"/>
        <v>15</v>
      </c>
      <c r="CY289" s="217">
        <f t="shared" si="813"/>
        <v>16.797249809014513</v>
      </c>
      <c r="CZ289" s="217">
        <f t="shared" si="814"/>
        <v>2.3713764436255782</v>
      </c>
      <c r="DA289" s="217">
        <f t="shared" si="815"/>
        <v>13.088766084946373</v>
      </c>
      <c r="DB289" s="197">
        <f t="shared" si="816"/>
        <v>108.64873837981409</v>
      </c>
      <c r="DC289" s="443">
        <f t="shared" si="817"/>
        <v>64.682456720686503</v>
      </c>
      <c r="DE289" s="217">
        <f t="shared" si="818"/>
        <v>10</v>
      </c>
      <c r="DF289" s="173">
        <f t="shared" si="819"/>
        <v>7.7922077922077913</v>
      </c>
      <c r="DG289" s="173">
        <f t="shared" si="820"/>
        <v>4.2330677290836656</v>
      </c>
      <c r="DH289" s="173"/>
      <c r="DI289" s="173">
        <f t="shared" si="821"/>
        <v>7.7922077922077913</v>
      </c>
      <c r="DJ289" s="545">
        <f t="shared" si="822"/>
        <v>187.36666666666665</v>
      </c>
      <c r="DK289" s="528">
        <f t="shared" si="823"/>
        <v>4.2330677290836656</v>
      </c>
      <c r="DM289" s="173">
        <f t="shared" si="824"/>
        <v>7.316647684105976</v>
      </c>
      <c r="DN289" s="173">
        <f t="shared" si="825"/>
        <v>16.797249809014513</v>
      </c>
      <c r="DO289" s="173">
        <f t="shared" si="826"/>
        <v>6.2349998585292692</v>
      </c>
      <c r="DQ289" s="545">
        <f t="shared" si="827"/>
        <v>7300</v>
      </c>
      <c r="DR289" s="460">
        <f t="shared" si="828"/>
        <v>64.682456720686503</v>
      </c>
      <c r="DT289">
        <f t="shared" si="829"/>
        <v>7300</v>
      </c>
      <c r="DU289">
        <f t="shared" si="830"/>
        <v>64.682456720686503</v>
      </c>
      <c r="DW289" s="5">
        <f t="shared" si="859"/>
        <v>15.460142528571952</v>
      </c>
      <c r="DX289" s="5">
        <f t="shared" si="831"/>
        <v>2.3713764436255782</v>
      </c>
      <c r="DY289" s="5">
        <f t="shared" si="832"/>
        <v>13.088766084946373</v>
      </c>
      <c r="DZ289" s="5"/>
      <c r="EA289" s="173">
        <f t="shared" si="833"/>
        <v>0.15338645418326693</v>
      </c>
      <c r="EB289" s="173">
        <f t="shared" si="860"/>
        <v>109.5</v>
      </c>
      <c r="EC289" s="173">
        <f t="shared" si="861"/>
        <v>7.1103896103896096</v>
      </c>
      <c r="ED289" s="173">
        <f t="shared" si="862"/>
        <v>15.400000000000002</v>
      </c>
      <c r="EE289" s="460">
        <f t="shared" si="834"/>
        <v>115.40698692311146</v>
      </c>
      <c r="EF289" s="5">
        <f t="shared" si="835"/>
        <v>5.8142794576130949</v>
      </c>
      <c r="EH289" s="173">
        <f t="shared" si="863"/>
        <v>3.7981407774579568</v>
      </c>
      <c r="EI289" s="173">
        <f t="shared" si="864"/>
        <v>8.9231904057213249</v>
      </c>
      <c r="EK289" s="528">
        <f t="shared" si="865"/>
        <v>0.28851746730777866</v>
      </c>
      <c r="EL289" s="528">
        <f t="shared" si="866"/>
        <v>2.1816666666666671</v>
      </c>
      <c r="EM289" s="528">
        <f t="shared" si="867"/>
        <v>8.085307090085812E-3</v>
      </c>
      <c r="EN289" s="528">
        <f t="shared" si="868"/>
        <v>6.5200951293759538E-2</v>
      </c>
      <c r="EO289">
        <f t="shared" si="869"/>
        <v>3.8249999999999999E-2</v>
      </c>
      <c r="EP289" s="460">
        <f t="shared" si="870"/>
        <v>46.335307090085813</v>
      </c>
      <c r="EQ289" s="460"/>
      <c r="ER289" s="460">
        <f t="shared" si="871"/>
        <v>2581.7203923582915</v>
      </c>
      <c r="ES289" s="528">
        <f t="shared" si="872"/>
        <v>5.1099999999999994</v>
      </c>
      <c r="EV289" s="460">
        <f t="shared" si="873"/>
        <v>5109.9999999999991</v>
      </c>
      <c r="EW289" s="528">
        <f t="shared" si="874"/>
        <v>0.43277620096166797</v>
      </c>
      <c r="EX289" s="528">
        <f t="shared" si="875"/>
        <v>2.3886998105027129</v>
      </c>
      <c r="EY289" s="528">
        <f t="shared" si="876"/>
        <v>1.9455021880180838</v>
      </c>
      <c r="EZ289" s="528"/>
      <c r="FA289" s="528">
        <f t="shared" si="877"/>
        <v>1.8250000000000002E-2</v>
      </c>
      <c r="FB289" s="460">
        <f t="shared" si="878"/>
        <v>4785.2281994824643</v>
      </c>
      <c r="FC289" s="173">
        <f t="shared" si="879"/>
        <v>12.476948591840756</v>
      </c>
      <c r="FD289" s="5">
        <f t="shared" si="880"/>
        <v>109.5</v>
      </c>
      <c r="FE289" s="173">
        <f t="shared" si="881"/>
        <v>0.89771060240577816</v>
      </c>
      <c r="FF289" s="5">
        <f t="shared" si="882"/>
        <v>89.77106024057781</v>
      </c>
      <c r="FI289" s="562">
        <f t="shared" si="836"/>
        <v>-50</v>
      </c>
      <c r="FJ289">
        <f t="shared" si="837"/>
        <v>-50</v>
      </c>
      <c r="FL289">
        <f t="shared" si="838"/>
        <v>0.84661354581673309</v>
      </c>
    </row>
    <row r="290" spans="5:168">
      <c r="E290" s="170">
        <v>74</v>
      </c>
      <c r="F290" s="217">
        <f t="shared" si="839"/>
        <v>7.4</v>
      </c>
      <c r="G290" s="217"/>
      <c r="H290" s="217">
        <f t="shared" si="764"/>
        <v>111</v>
      </c>
      <c r="I290" s="541">
        <f t="shared" si="765"/>
        <v>84.561311531537626</v>
      </c>
      <c r="J290" s="172">
        <f t="shared" si="766"/>
        <v>15.663213081077425</v>
      </c>
      <c r="K290" s="172">
        <f t="shared" si="767"/>
        <v>100.22452461261506</v>
      </c>
      <c r="L290" s="443"/>
      <c r="M290" s="217">
        <f t="shared" si="768"/>
        <v>0.15627289074015172</v>
      </c>
      <c r="N290" s="172">
        <f t="shared" si="769"/>
        <v>331.77007050881531</v>
      </c>
      <c r="O290" s="172">
        <f t="shared" si="762"/>
        <v>111</v>
      </c>
      <c r="P290" s="217">
        <f t="shared" si="770"/>
        <v>22.118004700587687</v>
      </c>
      <c r="Q290" s="217">
        <f t="shared" si="771"/>
        <v>15</v>
      </c>
      <c r="R290" s="217"/>
      <c r="S290" s="172">
        <f t="shared" si="772"/>
        <v>201.28650341288568</v>
      </c>
      <c r="T290" s="172">
        <f t="shared" si="773"/>
        <v>15</v>
      </c>
      <c r="U290" s="217">
        <f t="shared" si="774"/>
        <v>17.541216629845117</v>
      </c>
      <c r="V290" s="217">
        <f t="shared" si="775"/>
        <v>2.4892541961064101</v>
      </c>
      <c r="W290" s="217">
        <f t="shared" si="776"/>
        <v>13.438787972082043</v>
      </c>
      <c r="X290" s="197">
        <f t="shared" si="777"/>
        <v>110.12788919455839</v>
      </c>
      <c r="Y290" s="443">
        <f t="shared" si="840"/>
        <v>62.003806139125608</v>
      </c>
      <c r="AA290" s="217">
        <f t="shared" si="778"/>
        <v>10</v>
      </c>
      <c r="AB290" s="173">
        <f t="shared" si="779"/>
        <v>7.6612633294870287</v>
      </c>
      <c r="AC290" s="173">
        <f t="shared" si="780"/>
        <v>4.2185937952004053</v>
      </c>
      <c r="AD290" s="173"/>
      <c r="AE290" s="173">
        <f t="shared" si="781"/>
        <v>7.6612633294870287</v>
      </c>
      <c r="AF290" s="545">
        <f t="shared" si="782"/>
        <v>193.1796279999549</v>
      </c>
      <c r="AG290" s="528">
        <f t="shared" si="783"/>
        <v>4.2185937952004053</v>
      </c>
      <c r="AI290" s="173">
        <f t="shared" si="784"/>
        <v>7.4292785267856623</v>
      </c>
      <c r="AJ290" s="173">
        <f t="shared" si="785"/>
        <v>17.541216629845117</v>
      </c>
      <c r="AK290" s="173">
        <f t="shared" si="786"/>
        <v>6.7860863924778645</v>
      </c>
      <c r="AM290" s="545">
        <f t="shared" si="787"/>
        <v>7400</v>
      </c>
      <c r="AN290" s="460">
        <f t="shared" si="788"/>
        <v>62.003806139125608</v>
      </c>
      <c r="AP290">
        <f t="shared" si="789"/>
        <v>7400</v>
      </c>
      <c r="AQ290">
        <f t="shared" si="790"/>
        <v>62.003806139125608</v>
      </c>
      <c r="AS290" s="5">
        <f t="shared" si="763"/>
        <v>16.128042168188454</v>
      </c>
      <c r="AT290" s="5">
        <f t="shared" si="791"/>
        <v>2.4892541961064101</v>
      </c>
      <c r="AU290" s="5">
        <f t="shared" si="722"/>
        <v>13.638787972082044</v>
      </c>
      <c r="AV290" s="5"/>
      <c r="AW290" s="173">
        <f t="shared" si="723"/>
        <v>0.15434323460638683</v>
      </c>
      <c r="AX290" s="173">
        <f t="shared" si="792"/>
        <v>114.46929924156416</v>
      </c>
      <c r="AY290" s="173">
        <f t="shared" si="793"/>
        <v>7.4169242581317381</v>
      </c>
      <c r="AZ290" s="173">
        <f t="shared" si="794"/>
        <v>15.433526790578016</v>
      </c>
      <c r="BA290" s="460">
        <f t="shared" si="724"/>
        <v>122.80320700791624</v>
      </c>
      <c r="BB290" s="5">
        <f t="shared" si="725"/>
        <v>6.1734658291408087</v>
      </c>
      <c r="BD290" s="173">
        <f t="shared" si="841"/>
        <v>3.9787154785211207</v>
      </c>
      <c r="BE290" s="173">
        <f t="shared" si="842"/>
        <v>9.3131403632731775</v>
      </c>
      <c r="BG290" s="528">
        <f t="shared" si="843"/>
        <v>0.31660353718047102</v>
      </c>
      <c r="BH290" s="528">
        <f t="shared" si="795"/>
        <v>2.0438703279040746</v>
      </c>
      <c r="BI290" s="528">
        <f t="shared" si="796"/>
        <v>0.13107807917679162</v>
      </c>
      <c r="BJ290" s="528">
        <f t="shared" si="844"/>
        <v>6.2282546319464123E-2</v>
      </c>
      <c r="BK290">
        <f t="shared" si="845"/>
        <v>3.805259018919193E-2</v>
      </c>
      <c r="BL290" s="460">
        <f t="shared" si="846"/>
        <v>169.13066936598355</v>
      </c>
      <c r="BM290" s="528">
        <f t="shared" si="797"/>
        <v>2.7122698684762008</v>
      </c>
      <c r="BN290" s="460">
        <f t="shared" si="847"/>
        <v>2712.2698684762008</v>
      </c>
      <c r="BO290" s="528">
        <f t="shared" si="798"/>
        <v>5.18</v>
      </c>
      <c r="BR290" s="460">
        <f t="shared" si="848"/>
        <v>5180</v>
      </c>
      <c r="BS290" s="528">
        <f t="shared" si="849"/>
        <v>0.4749053057707065</v>
      </c>
      <c r="BT290" s="528">
        <f t="shared" si="850"/>
        <v>2.6020375027808416</v>
      </c>
      <c r="BU290" s="528">
        <f t="shared" si="851"/>
        <v>1.9505862511056329</v>
      </c>
      <c r="BV290" s="528"/>
      <c r="BW290" s="528">
        <f t="shared" si="852"/>
        <v>1.9078216540260692E-2</v>
      </c>
      <c r="BX290" s="460">
        <f t="shared" si="853"/>
        <v>5046.6072761974419</v>
      </c>
      <c r="BY290" s="173">
        <f t="shared" si="854"/>
        <v>12.818494356967435</v>
      </c>
      <c r="BZ290" s="5">
        <f t="shared" si="855"/>
        <v>111</v>
      </c>
      <c r="CA290" s="173">
        <f t="shared" si="856"/>
        <v>0.8964735080689008</v>
      </c>
      <c r="CB290" s="5">
        <f t="shared" si="857"/>
        <v>89.647350806890074</v>
      </c>
      <c r="CE290" s="562">
        <f t="shared" si="799"/>
        <v>-50</v>
      </c>
      <c r="CF290">
        <f t="shared" si="800"/>
        <v>-50</v>
      </c>
      <c r="CG290" s="173">
        <f t="shared" si="801"/>
        <v>0.8434231273433479</v>
      </c>
      <c r="CI290" s="170">
        <v>74</v>
      </c>
      <c r="CJ290" s="217">
        <f t="shared" si="858"/>
        <v>7.4</v>
      </c>
      <c r="CK290" s="217"/>
      <c r="CL290" s="217">
        <f t="shared" si="802"/>
        <v>111</v>
      </c>
      <c r="CM290" s="541">
        <f t="shared" si="803"/>
        <v>85</v>
      </c>
      <c r="CN290" s="443">
        <f t="shared" si="804"/>
        <v>15.4</v>
      </c>
      <c r="CO290" s="443">
        <f t="shared" si="805"/>
        <v>100.4</v>
      </c>
      <c r="CP290" s="443"/>
      <c r="CQ290" s="217">
        <f t="shared" si="806"/>
        <v>0.15338645418326693</v>
      </c>
      <c r="CR290" s="172">
        <f t="shared" si="807"/>
        <v>327.33148655378488</v>
      </c>
      <c r="CS290" s="172">
        <f t="shared" si="808"/>
        <v>111</v>
      </c>
      <c r="CT290" s="217">
        <f t="shared" si="809"/>
        <v>21.822099103585661</v>
      </c>
      <c r="CU290" s="217">
        <f t="shared" si="810"/>
        <v>15</v>
      </c>
      <c r="CV290" s="217"/>
      <c r="CW290" s="172">
        <f t="shared" si="811"/>
        <v>202.32987301549753</v>
      </c>
      <c r="CX290" s="172">
        <f t="shared" si="812"/>
        <v>15</v>
      </c>
      <c r="CY290" s="217">
        <f t="shared" si="813"/>
        <v>17.027349121466766</v>
      </c>
      <c r="CZ290" s="217">
        <f t="shared" si="814"/>
        <v>2.4038610524423669</v>
      </c>
      <c r="DA290" s="217">
        <f t="shared" si="815"/>
        <v>13.268064250493584</v>
      </c>
      <c r="DB290" s="197">
        <f t="shared" si="816"/>
        <v>108.64873837981409</v>
      </c>
      <c r="DC290" s="443">
        <f t="shared" si="817"/>
        <v>63.808369467704253</v>
      </c>
      <c r="DE290" s="217">
        <f t="shared" si="818"/>
        <v>10</v>
      </c>
      <c r="DF290" s="173">
        <f t="shared" si="819"/>
        <v>7.7922077922077913</v>
      </c>
      <c r="DG290" s="173">
        <f t="shared" si="820"/>
        <v>4.2330677290836656</v>
      </c>
      <c r="DH290" s="173"/>
      <c r="DI290" s="173">
        <f t="shared" si="821"/>
        <v>7.7922077922077913</v>
      </c>
      <c r="DJ290" s="545">
        <f t="shared" si="822"/>
        <v>189.93333333333334</v>
      </c>
      <c r="DK290" s="528">
        <f t="shared" si="823"/>
        <v>4.2330677290836656</v>
      </c>
      <c r="DM290" s="173">
        <f t="shared" si="824"/>
        <v>7.3665912514993437</v>
      </c>
      <c r="DN290" s="173">
        <f t="shared" si="825"/>
        <v>17.027349121466766</v>
      </c>
      <c r="DO290" s="173">
        <f t="shared" si="826"/>
        <v>6.4054437936790869</v>
      </c>
      <c r="DQ290" s="545">
        <f t="shared" si="827"/>
        <v>7400</v>
      </c>
      <c r="DR290" s="460">
        <f t="shared" si="828"/>
        <v>63.808369467704253</v>
      </c>
      <c r="DT290">
        <f t="shared" si="829"/>
        <v>7400</v>
      </c>
      <c r="DU290">
        <f t="shared" si="830"/>
        <v>63.808369467704253</v>
      </c>
      <c r="DW290" s="5">
        <f t="shared" si="859"/>
        <v>15.67192530293595</v>
      </c>
      <c r="DX290" s="5">
        <f t="shared" si="831"/>
        <v>2.4038610524423669</v>
      </c>
      <c r="DY290" s="5">
        <f t="shared" si="832"/>
        <v>13.268064250493584</v>
      </c>
      <c r="DZ290" s="5"/>
      <c r="EA290" s="173">
        <f t="shared" si="833"/>
        <v>0.15338645418326693</v>
      </c>
      <c r="EB290" s="173">
        <f t="shared" si="860"/>
        <v>110.99999999999999</v>
      </c>
      <c r="EC290" s="173">
        <f t="shared" si="861"/>
        <v>7.207792207792207</v>
      </c>
      <c r="ED290" s="173">
        <f t="shared" si="862"/>
        <v>15.4</v>
      </c>
      <c r="EE290" s="460">
        <f t="shared" si="834"/>
        <v>118.59047858715677</v>
      </c>
      <c r="EF290" s="5">
        <f t="shared" si="835"/>
        <v>5.9746658491066436</v>
      </c>
      <c r="EH290" s="173">
        <f t="shared" si="863"/>
        <v>3.8501701031765592</v>
      </c>
      <c r="EI290" s="173">
        <f t="shared" si="864"/>
        <v>9.045425890731206</v>
      </c>
      <c r="EK290" s="528">
        <f t="shared" si="865"/>
        <v>0.29647619646789192</v>
      </c>
      <c r="EL290" s="528">
        <f t="shared" si="866"/>
        <v>2.1816666666666671</v>
      </c>
      <c r="EM290" s="528">
        <f t="shared" si="867"/>
        <v>7.97604618346303E-3</v>
      </c>
      <c r="EN290" s="528">
        <f t="shared" si="868"/>
        <v>6.4319857357357388E-2</v>
      </c>
      <c r="EO290">
        <f t="shared" si="869"/>
        <v>3.8249999999999999E-2</v>
      </c>
      <c r="EP290" s="460">
        <f t="shared" si="870"/>
        <v>46.226046183463026</v>
      </c>
      <c r="EQ290" s="460"/>
      <c r="ER290" s="460">
        <f t="shared" si="871"/>
        <v>2588.6887666753796</v>
      </c>
      <c r="ES290" s="528">
        <f t="shared" si="872"/>
        <v>5.18</v>
      </c>
      <c r="EV290" s="460">
        <f t="shared" si="873"/>
        <v>5180</v>
      </c>
      <c r="EW290" s="528">
        <f t="shared" si="874"/>
        <v>0.44471429470183788</v>
      </c>
      <c r="EX290" s="528">
        <f t="shared" si="875"/>
        <v>2.4545918863413125</v>
      </c>
      <c r="EY290" s="528">
        <f t="shared" si="876"/>
        <v>1.9455021880180832</v>
      </c>
      <c r="EZ290" s="528"/>
      <c r="FA290" s="528">
        <f t="shared" si="877"/>
        <v>1.8499999999999999E-2</v>
      </c>
      <c r="FB290" s="460">
        <f t="shared" si="878"/>
        <v>4863.3083690612339</v>
      </c>
      <c r="FC290" s="173">
        <f t="shared" si="879"/>
        <v>12.631997135736611</v>
      </c>
      <c r="FD290" s="5">
        <f t="shared" si="880"/>
        <v>111</v>
      </c>
      <c r="FE290" s="173">
        <f t="shared" si="881"/>
        <v>0.89782582641718689</v>
      </c>
      <c r="FF290" s="5">
        <f t="shared" si="882"/>
        <v>89.78258264171869</v>
      </c>
      <c r="FI290" s="562">
        <f t="shared" si="836"/>
        <v>-50</v>
      </c>
      <c r="FJ290">
        <f t="shared" si="837"/>
        <v>-50</v>
      </c>
      <c r="FL290">
        <f t="shared" si="838"/>
        <v>0.84661354581673309</v>
      </c>
    </row>
    <row r="291" spans="5:168">
      <c r="E291" s="170">
        <v>75</v>
      </c>
      <c r="F291" s="217">
        <f t="shared" si="839"/>
        <v>7.5</v>
      </c>
      <c r="G291" s="217"/>
      <c r="H291" s="217">
        <f t="shared" si="764"/>
        <v>112.5</v>
      </c>
      <c r="I291" s="541">
        <f t="shared" si="765"/>
        <v>84.555405732560033</v>
      </c>
      <c r="J291" s="172">
        <f t="shared" si="766"/>
        <v>15.666756560463984</v>
      </c>
      <c r="K291" s="172">
        <f t="shared" si="767"/>
        <v>100.22216229302401</v>
      </c>
      <c r="L291" s="443"/>
      <c r="M291" s="217">
        <f t="shared" si="768"/>
        <v>0.15631193127508466</v>
      </c>
      <c r="N291" s="172">
        <f t="shared" si="769"/>
        <v>331.82977748941232</v>
      </c>
      <c r="O291" s="172">
        <f t="shared" si="762"/>
        <v>112.5</v>
      </c>
      <c r="P291" s="217">
        <f t="shared" si="770"/>
        <v>22.121985165960822</v>
      </c>
      <c r="Q291" s="217">
        <f t="shared" si="771"/>
        <v>15</v>
      </c>
      <c r="R291" s="217"/>
      <c r="S291" s="172">
        <f t="shared" si="772"/>
        <v>197.46688063308827</v>
      </c>
      <c r="T291" s="172">
        <f t="shared" si="773"/>
        <v>15</v>
      </c>
      <c r="U291" s="217">
        <f t="shared" si="774"/>
        <v>17.779082762981155</v>
      </c>
      <c r="V291" s="217">
        <f t="shared" si="775"/>
        <v>2.5231857302012668</v>
      </c>
      <c r="W291" s="217">
        <f t="shared" si="776"/>
        <v>13.617942701310177</v>
      </c>
      <c r="X291" s="197">
        <f t="shared" si="777"/>
        <v>110.14770645323669</v>
      </c>
      <c r="Y291" s="443">
        <f t="shared" si="840"/>
        <v>61.195284290872365</v>
      </c>
      <c r="AA291" s="217">
        <f t="shared" si="778"/>
        <v>10</v>
      </c>
      <c r="AB291" s="173">
        <f t="shared" si="779"/>
        <v>7.6595305184499605</v>
      </c>
      <c r="AC291" s="173">
        <f t="shared" si="780"/>
        <v>4.2183985955791705</v>
      </c>
      <c r="AD291" s="173"/>
      <c r="AE291" s="173">
        <f t="shared" si="781"/>
        <v>7.6595305184499605</v>
      </c>
      <c r="AF291" s="545">
        <f t="shared" si="782"/>
        <v>195.83445700579978</v>
      </c>
      <c r="AG291" s="528">
        <f t="shared" si="783"/>
        <v>4.2183985955791705</v>
      </c>
      <c r="AI291" s="173">
        <f t="shared" si="784"/>
        <v>7.4801538755333832</v>
      </c>
      <c r="AJ291" s="173">
        <f t="shared" si="785"/>
        <v>17.779082762981155</v>
      </c>
      <c r="AK291" s="173">
        <f t="shared" si="786"/>
        <v>6.962283528134189</v>
      </c>
      <c r="AM291" s="545">
        <f t="shared" si="787"/>
        <v>7500</v>
      </c>
      <c r="AN291" s="460">
        <f t="shared" si="788"/>
        <v>61.195284290872365</v>
      </c>
      <c r="AP291">
        <f t="shared" si="789"/>
        <v>7500</v>
      </c>
      <c r="AQ291">
        <f t="shared" si="790"/>
        <v>61.195284290872365</v>
      </c>
      <c r="AS291" s="5">
        <f t="shared" si="763"/>
        <v>16.341128431511443</v>
      </c>
      <c r="AT291" s="5">
        <f t="shared" si="791"/>
        <v>2.5231857302012668</v>
      </c>
      <c r="AU291" s="5">
        <f t="shared" si="722"/>
        <v>13.817942701310177</v>
      </c>
      <c r="AV291" s="5"/>
      <c r="AW291" s="173">
        <f t="shared" si="723"/>
        <v>0.1544070680783389</v>
      </c>
      <c r="AX291" s="173">
        <f t="shared" si="792"/>
        <v>116.06142815084536</v>
      </c>
      <c r="AY291" s="173">
        <f t="shared" si="793"/>
        <v>7.5169333602135504</v>
      </c>
      <c r="AZ291" s="173">
        <f t="shared" si="794"/>
        <v>15.439996949440582</v>
      </c>
      <c r="BA291" s="460">
        <f t="shared" si="724"/>
        <v>126.15928651006334</v>
      </c>
      <c r="BB291" s="5">
        <f t="shared" si="725"/>
        <v>6.3395223050518572</v>
      </c>
      <c r="BD291" s="173">
        <f t="shared" si="841"/>
        <v>4.0335023334910032</v>
      </c>
      <c r="BE291" s="173">
        <f t="shared" si="842"/>
        <v>9.4390741189677687</v>
      </c>
      <c r="BG291" s="528">
        <f t="shared" si="843"/>
        <v>0.32538282148554737</v>
      </c>
      <c r="BH291" s="528">
        <f t="shared" si="795"/>
        <v>2.0445246394251684</v>
      </c>
      <c r="BI291" s="528">
        <f t="shared" si="796"/>
        <v>0.12935980230335176</v>
      </c>
      <c r="BJ291" s="528">
        <f t="shared" si="844"/>
        <v>6.1467492020440585E-2</v>
      </c>
      <c r="BK291">
        <f t="shared" si="845"/>
        <v>3.8049932579652015E-2</v>
      </c>
      <c r="BL291" s="460">
        <f t="shared" si="846"/>
        <v>167.40973488300375</v>
      </c>
      <c r="BM291" s="528">
        <f t="shared" si="797"/>
        <v>2.7303112978590374</v>
      </c>
      <c r="BN291" s="460">
        <f t="shared" si="847"/>
        <v>2730.3112978590375</v>
      </c>
      <c r="BO291" s="528">
        <f t="shared" si="798"/>
        <v>5.25</v>
      </c>
      <c r="BR291" s="460">
        <f t="shared" si="848"/>
        <v>5250</v>
      </c>
      <c r="BS291" s="528">
        <f t="shared" si="849"/>
        <v>0.48807423222832103</v>
      </c>
      <c r="BT291" s="528">
        <f t="shared" si="850"/>
        <v>2.6728836067010149</v>
      </c>
      <c r="BU291" s="528">
        <f t="shared" si="851"/>
        <v>1.9522627827327375</v>
      </c>
      <c r="BV291" s="528"/>
      <c r="BW291" s="528">
        <f t="shared" si="852"/>
        <v>1.9343571358474226E-2</v>
      </c>
      <c r="BX291" s="460">
        <f t="shared" si="853"/>
        <v>5132.5641930205475</v>
      </c>
      <c r="BY291" s="173">
        <f t="shared" si="854"/>
        <v>12.981348880834707</v>
      </c>
      <c r="BZ291" s="5">
        <f t="shared" si="855"/>
        <v>112.5</v>
      </c>
      <c r="CA291" s="173">
        <f t="shared" si="856"/>
        <v>0.89654758259601874</v>
      </c>
      <c r="CB291" s="5">
        <f t="shared" si="857"/>
        <v>89.654758259601877</v>
      </c>
      <c r="CE291" s="562">
        <f t="shared" si="799"/>
        <v>-50</v>
      </c>
      <c r="CF291">
        <f t="shared" si="800"/>
        <v>-50</v>
      </c>
      <c r="CG291" s="173">
        <f t="shared" si="801"/>
        <v>0.84346566625632624</v>
      </c>
      <c r="CI291" s="170">
        <v>75</v>
      </c>
      <c r="CJ291" s="217">
        <f t="shared" si="858"/>
        <v>7.5</v>
      </c>
      <c r="CK291" s="217"/>
      <c r="CL291" s="217">
        <f t="shared" si="802"/>
        <v>112.5</v>
      </c>
      <c r="CM291" s="541">
        <f t="shared" si="803"/>
        <v>85</v>
      </c>
      <c r="CN291" s="443">
        <f t="shared" si="804"/>
        <v>15.4</v>
      </c>
      <c r="CO291" s="443">
        <f t="shared" si="805"/>
        <v>100.4</v>
      </c>
      <c r="CP291" s="443"/>
      <c r="CQ291" s="217">
        <f t="shared" si="806"/>
        <v>0.15338645418326693</v>
      </c>
      <c r="CR291" s="172">
        <f t="shared" si="807"/>
        <v>327.33148655378488</v>
      </c>
      <c r="CS291" s="172">
        <f t="shared" si="808"/>
        <v>112.5</v>
      </c>
      <c r="CT291" s="217">
        <f t="shared" si="809"/>
        <v>21.822099103585661</v>
      </c>
      <c r="CU291" s="217">
        <f t="shared" si="810"/>
        <v>15</v>
      </c>
      <c r="CV291" s="217"/>
      <c r="CW291" s="172">
        <f t="shared" si="811"/>
        <v>198.50426983473801</v>
      </c>
      <c r="CX291" s="172">
        <f t="shared" si="812"/>
        <v>15</v>
      </c>
      <c r="CY291" s="217">
        <f t="shared" si="813"/>
        <v>17.25744843391902</v>
      </c>
      <c r="CZ291" s="217">
        <f t="shared" si="814"/>
        <v>2.4363456612591561</v>
      </c>
      <c r="DA291" s="217">
        <f t="shared" si="815"/>
        <v>13.447362416040795</v>
      </c>
      <c r="DB291" s="197">
        <f t="shared" si="816"/>
        <v>108.64873837981409</v>
      </c>
      <c r="DC291" s="443">
        <f t="shared" si="817"/>
        <v>62.957591208134865</v>
      </c>
      <c r="DE291" s="217">
        <f t="shared" si="818"/>
        <v>10</v>
      </c>
      <c r="DF291" s="173">
        <f t="shared" si="819"/>
        <v>7.7922077922077913</v>
      </c>
      <c r="DG291" s="173">
        <f t="shared" si="820"/>
        <v>4.2330677290836656</v>
      </c>
      <c r="DH291" s="173"/>
      <c r="DI291" s="173">
        <f t="shared" si="821"/>
        <v>7.7922077922077913</v>
      </c>
      <c r="DJ291" s="545">
        <f t="shared" si="822"/>
        <v>192.5</v>
      </c>
      <c r="DK291" s="528">
        <f t="shared" si="823"/>
        <v>4.2330677290836656</v>
      </c>
      <c r="DM291" s="173">
        <f t="shared" si="824"/>
        <v>7.4161984870956639</v>
      </c>
      <c r="DN291" s="173">
        <f t="shared" si="825"/>
        <v>17.25744843391902</v>
      </c>
      <c r="DO291" s="173">
        <f t="shared" si="826"/>
        <v>6.5758877288289037</v>
      </c>
      <c r="DQ291" s="545">
        <f t="shared" si="827"/>
        <v>7500</v>
      </c>
      <c r="DR291" s="460">
        <f t="shared" si="828"/>
        <v>62.957591208134865</v>
      </c>
      <c r="DT291">
        <f t="shared" si="829"/>
        <v>7500</v>
      </c>
      <c r="DU291">
        <f t="shared" si="830"/>
        <v>62.957591208134865</v>
      </c>
      <c r="DW291" s="5">
        <f t="shared" si="859"/>
        <v>15.883708077299948</v>
      </c>
      <c r="DX291" s="5">
        <f t="shared" si="831"/>
        <v>2.4363456612591561</v>
      </c>
      <c r="DY291" s="5">
        <f t="shared" si="832"/>
        <v>13.447362416040793</v>
      </c>
      <c r="DZ291" s="5"/>
      <c r="EA291" s="173">
        <f t="shared" si="833"/>
        <v>0.15338645418326696</v>
      </c>
      <c r="EB291" s="173">
        <f t="shared" si="860"/>
        <v>112.5</v>
      </c>
      <c r="EC291" s="173">
        <f t="shared" si="861"/>
        <v>7.3051948051948035</v>
      </c>
      <c r="ED291" s="173">
        <f t="shared" si="862"/>
        <v>15.400000000000004</v>
      </c>
      <c r="EE291" s="460">
        <f t="shared" si="834"/>
        <v>121.81728306295781</v>
      </c>
      <c r="EF291" s="5">
        <f t="shared" si="835"/>
        <v>6.1372343683756139</v>
      </c>
      <c r="EH291" s="173">
        <f t="shared" si="863"/>
        <v>3.9021994288951616</v>
      </c>
      <c r="EI291" s="173">
        <f t="shared" si="864"/>
        <v>9.1676613757410852</v>
      </c>
      <c r="EK291" s="528">
        <f t="shared" si="865"/>
        <v>0.30454320765739451</v>
      </c>
      <c r="EL291" s="528">
        <f t="shared" si="866"/>
        <v>2.1816666666666671</v>
      </c>
      <c r="EM291" s="528">
        <f t="shared" si="867"/>
        <v>7.869698901016858E-3</v>
      </c>
      <c r="EN291" s="528">
        <f t="shared" si="868"/>
        <v>6.3462259259259274E-2</v>
      </c>
      <c r="EO291">
        <f t="shared" si="869"/>
        <v>3.8249999999999999E-2</v>
      </c>
      <c r="EP291" s="460">
        <f t="shared" si="870"/>
        <v>46.119698901016861</v>
      </c>
      <c r="EQ291" s="460"/>
      <c r="ER291" s="460">
        <f t="shared" si="871"/>
        <v>2595.7918324843381</v>
      </c>
      <c r="ES291" s="528">
        <f t="shared" si="872"/>
        <v>5.25</v>
      </c>
      <c r="EV291" s="460">
        <f t="shared" si="873"/>
        <v>5250</v>
      </c>
      <c r="EW291" s="528">
        <f t="shared" si="874"/>
        <v>0.45681481148609171</v>
      </c>
      <c r="EX291" s="528">
        <f t="shared" si="875"/>
        <v>2.521380453007648</v>
      </c>
      <c r="EY291" s="528">
        <f t="shared" si="876"/>
        <v>1.9455021880180834</v>
      </c>
      <c r="EZ291" s="528"/>
      <c r="FA291" s="528">
        <f t="shared" si="877"/>
        <v>1.8750000000000003E-2</v>
      </c>
      <c r="FB291" s="460">
        <f t="shared" si="878"/>
        <v>4942.447452511823</v>
      </c>
      <c r="FC291" s="173">
        <f t="shared" si="879"/>
        <v>12.788239284996163</v>
      </c>
      <c r="FD291" s="5">
        <f t="shared" si="880"/>
        <v>112.5</v>
      </c>
      <c r="FE291" s="173">
        <f t="shared" si="881"/>
        <v>0.89792945165502369</v>
      </c>
      <c r="FF291" s="5">
        <f t="shared" si="882"/>
        <v>89.792945165502374</v>
      </c>
      <c r="FI291" s="562">
        <f t="shared" si="836"/>
        <v>-50</v>
      </c>
      <c r="FJ291">
        <f t="shared" si="837"/>
        <v>-50</v>
      </c>
      <c r="FL291">
        <f t="shared" si="838"/>
        <v>0.84661354581673298</v>
      </c>
    </row>
    <row r="292" spans="5:168">
      <c r="E292" s="170">
        <v>76</v>
      </c>
      <c r="F292" s="217">
        <f t="shared" si="839"/>
        <v>7.6</v>
      </c>
      <c r="G292" s="217"/>
      <c r="H292" s="217">
        <f t="shared" si="764"/>
        <v>114</v>
      </c>
      <c r="I292" s="541">
        <f t="shared" si="765"/>
        <v>84.549499931380268</v>
      </c>
      <c r="J292" s="172">
        <f t="shared" si="766"/>
        <v>15.670300041171844</v>
      </c>
      <c r="K292" s="172">
        <f t="shared" si="767"/>
        <v>100.21979997255211</v>
      </c>
      <c r="L292" s="443"/>
      <c r="M292" s="217">
        <f t="shared" si="768"/>
        <v>0.15635097365391148</v>
      </c>
      <c r="N292" s="172">
        <f t="shared" si="769"/>
        <v>331.88947679816431</v>
      </c>
      <c r="O292" s="172">
        <f t="shared" si="762"/>
        <v>114</v>
      </c>
      <c r="P292" s="217">
        <f t="shared" si="770"/>
        <v>22.12596511987762</v>
      </c>
      <c r="Q292" s="217">
        <f t="shared" si="771"/>
        <v>15</v>
      </c>
      <c r="R292" s="217"/>
      <c r="S292" s="172">
        <f t="shared" si="772"/>
        <v>193.74805103432905</v>
      </c>
      <c r="T292" s="172">
        <f t="shared" si="773"/>
        <v>15</v>
      </c>
      <c r="U292" s="217">
        <f t="shared" si="774"/>
        <v>18.016970950387293</v>
      </c>
      <c r="V292" s="217">
        <f t="shared" si="775"/>
        <v>2.5571251347449335</v>
      </c>
      <c r="W292" s="217">
        <f t="shared" si="776"/>
        <v>13.79703329461454</v>
      </c>
      <c r="X292" s="197">
        <f t="shared" si="777"/>
        <v>110.1675211733469</v>
      </c>
      <c r="Y292" s="443">
        <f t="shared" si="840"/>
        <v>60.407782386959603</v>
      </c>
      <c r="AA292" s="217">
        <f t="shared" si="778"/>
        <v>10</v>
      </c>
      <c r="AB292" s="173">
        <f t="shared" si="779"/>
        <v>7.6577984904382372</v>
      </c>
      <c r="AC292" s="173">
        <f t="shared" si="780"/>
        <v>4.2182033866828927</v>
      </c>
      <c r="AD292" s="173"/>
      <c r="AE292" s="173">
        <f t="shared" si="781"/>
        <v>7.6577984904382372</v>
      </c>
      <c r="AF292" s="545">
        <f t="shared" si="782"/>
        <v>198.49046718817669</v>
      </c>
      <c r="AG292" s="528">
        <f t="shared" si="783"/>
        <v>4.2182033866828919</v>
      </c>
      <c r="AI292" s="173">
        <f t="shared" si="784"/>
        <v>7.5307079384188551</v>
      </c>
      <c r="AJ292" s="173">
        <f t="shared" si="785"/>
        <v>18.016970950387293</v>
      </c>
      <c r="AK292" s="173">
        <f t="shared" si="786"/>
        <v>7.1384970002868835</v>
      </c>
      <c r="AM292" s="545">
        <f t="shared" si="787"/>
        <v>7600</v>
      </c>
      <c r="AN292" s="460">
        <f t="shared" si="788"/>
        <v>60.407782386959603</v>
      </c>
      <c r="AP292">
        <f t="shared" si="789"/>
        <v>7600</v>
      </c>
      <c r="AQ292">
        <f t="shared" si="790"/>
        <v>60.407782386959603</v>
      </c>
      <c r="AS292" s="5">
        <f t="shared" si="763"/>
        <v>16.554158429359472</v>
      </c>
      <c r="AT292" s="5">
        <f t="shared" si="791"/>
        <v>2.5571251347449335</v>
      </c>
      <c r="AU292" s="5">
        <f t="shared" si="722"/>
        <v>13.997033294614539</v>
      </c>
      <c r="AV292" s="5"/>
      <c r="AW292" s="173">
        <f t="shared" si="723"/>
        <v>0.1544702586758967</v>
      </c>
      <c r="AX292" s="173">
        <f t="shared" si="792"/>
        <v>117.6542716848916</v>
      </c>
      <c r="AY292" s="173">
        <f t="shared" si="793"/>
        <v>7.6169423935624261</v>
      </c>
      <c r="AZ292" s="173">
        <f t="shared" si="794"/>
        <v>15.446391164035701</v>
      </c>
      <c r="BA292" s="460">
        <f t="shared" si="724"/>
        <v>129.5610068270766</v>
      </c>
      <c r="BB292" s="5">
        <f t="shared" si="725"/>
        <v>6.5077641597060127</v>
      </c>
      <c r="BD292" s="173">
        <f t="shared" si="841"/>
        <v>4.0883078225562643</v>
      </c>
      <c r="BE292" s="173">
        <f t="shared" si="842"/>
        <v>9.5650136726017525</v>
      </c>
      <c r="BG292" s="528">
        <f t="shared" si="843"/>
        <v>0.33428521703949488</v>
      </c>
      <c r="BH292" s="528">
        <f t="shared" si="795"/>
        <v>2.045170288100417</v>
      </c>
      <c r="BI292" s="528">
        <f t="shared" si="796"/>
        <v>0.12768619481952687</v>
      </c>
      <c r="BJ292" s="528">
        <f t="shared" si="844"/>
        <v>6.067362680741837E-2</v>
      </c>
      <c r="BK292">
        <f t="shared" si="845"/>
        <v>3.8047274969121123E-2</v>
      </c>
      <c r="BL292" s="460">
        <f t="shared" si="846"/>
        <v>165.73346978864799</v>
      </c>
      <c r="BM292" s="528">
        <f t="shared" si="797"/>
        <v>2.7487052655676165</v>
      </c>
      <c r="BN292" s="460">
        <f t="shared" si="847"/>
        <v>2748.7052655676166</v>
      </c>
      <c r="BO292" s="528">
        <f t="shared" si="798"/>
        <v>5.3199999999999994</v>
      </c>
      <c r="BR292" s="460">
        <f t="shared" si="848"/>
        <v>5319.9999999999991</v>
      </c>
      <c r="BS292" s="528">
        <f t="shared" si="849"/>
        <v>0.50142782555924226</v>
      </c>
      <c r="BT292" s="528">
        <f t="shared" si="850"/>
        <v>2.7446845967117541</v>
      </c>
      <c r="BU292" s="528">
        <f t="shared" si="851"/>
        <v>1.9539195669014293</v>
      </c>
      <c r="BV292" s="528"/>
      <c r="BW292" s="528">
        <f t="shared" si="852"/>
        <v>1.9609045280815265E-2</v>
      </c>
      <c r="BX292" s="460">
        <f t="shared" si="853"/>
        <v>5219.6410344532414</v>
      </c>
      <c r="BY292" s="173">
        <f t="shared" si="854"/>
        <v>13.145503636189217</v>
      </c>
      <c r="BZ292" s="5">
        <f t="shared" si="855"/>
        <v>114</v>
      </c>
      <c r="CA292" s="173">
        <f t="shared" si="856"/>
        <v>0.89661055043044691</v>
      </c>
      <c r="CB292" s="5">
        <f t="shared" si="857"/>
        <v>89.661055043044684</v>
      </c>
      <c r="CE292" s="562">
        <f t="shared" si="799"/>
        <v>-50</v>
      </c>
      <c r="CF292">
        <f t="shared" si="800"/>
        <v>-50</v>
      </c>
      <c r="CG292" s="173">
        <f t="shared" si="801"/>
        <v>0.84350708572422639</v>
      </c>
      <c r="CI292" s="170">
        <v>76</v>
      </c>
      <c r="CJ292" s="217">
        <f t="shared" si="858"/>
        <v>7.6</v>
      </c>
      <c r="CK292" s="217"/>
      <c r="CL292" s="217">
        <f t="shared" si="802"/>
        <v>114</v>
      </c>
      <c r="CM292" s="541">
        <f t="shared" si="803"/>
        <v>85</v>
      </c>
      <c r="CN292" s="443">
        <f t="shared" si="804"/>
        <v>15.4</v>
      </c>
      <c r="CO292" s="443">
        <f t="shared" si="805"/>
        <v>100.4</v>
      </c>
      <c r="CP292" s="443"/>
      <c r="CQ292" s="217">
        <f t="shared" si="806"/>
        <v>0.15338645418326693</v>
      </c>
      <c r="CR292" s="172">
        <f t="shared" si="807"/>
        <v>327.33148655378488</v>
      </c>
      <c r="CS292" s="172">
        <f t="shared" si="808"/>
        <v>114</v>
      </c>
      <c r="CT292" s="217">
        <f t="shared" si="809"/>
        <v>21.822099103585661</v>
      </c>
      <c r="CU292" s="217">
        <f t="shared" si="810"/>
        <v>15</v>
      </c>
      <c r="CV292" s="217"/>
      <c r="CW292" s="172">
        <f t="shared" si="811"/>
        <v>194.77946181426952</v>
      </c>
      <c r="CX292" s="172">
        <f t="shared" si="812"/>
        <v>15</v>
      </c>
      <c r="CY292" s="217">
        <f t="shared" si="813"/>
        <v>17.487547746371277</v>
      </c>
      <c r="CZ292" s="217">
        <f t="shared" si="814"/>
        <v>2.4688302700759448</v>
      </c>
      <c r="DA292" s="217">
        <f t="shared" si="815"/>
        <v>13.626660581588007</v>
      </c>
      <c r="DB292" s="197">
        <f t="shared" si="816"/>
        <v>108.64873837981409</v>
      </c>
      <c r="DC292" s="443">
        <f t="shared" si="817"/>
        <v>62.129201850133072</v>
      </c>
      <c r="DE292" s="217">
        <f t="shared" si="818"/>
        <v>10</v>
      </c>
      <c r="DF292" s="173">
        <f t="shared" si="819"/>
        <v>7.7922077922077913</v>
      </c>
      <c r="DG292" s="173">
        <f t="shared" si="820"/>
        <v>4.2330677290836656</v>
      </c>
      <c r="DH292" s="173"/>
      <c r="DI292" s="173">
        <f t="shared" si="821"/>
        <v>7.7922077922077913</v>
      </c>
      <c r="DJ292" s="545">
        <f t="shared" si="822"/>
        <v>195.06666666666666</v>
      </c>
      <c r="DK292" s="528">
        <f t="shared" si="823"/>
        <v>4.2330677290836656</v>
      </c>
      <c r="DM292" s="173">
        <f t="shared" si="824"/>
        <v>7.4654760955570234</v>
      </c>
      <c r="DN292" s="173">
        <f t="shared" si="825"/>
        <v>17.487547746371277</v>
      </c>
      <c r="DO292" s="173">
        <f t="shared" si="826"/>
        <v>6.7463316639787232</v>
      </c>
      <c r="DQ292" s="545">
        <f t="shared" si="827"/>
        <v>7600</v>
      </c>
      <c r="DR292" s="460">
        <f t="shared" si="828"/>
        <v>62.129201850133072</v>
      </c>
      <c r="DT292">
        <f t="shared" si="829"/>
        <v>7600</v>
      </c>
      <c r="DU292">
        <f t="shared" si="830"/>
        <v>62.129201850133072</v>
      </c>
      <c r="DW292" s="5">
        <f t="shared" si="859"/>
        <v>16.095490851663953</v>
      </c>
      <c r="DX292" s="5">
        <f t="shared" si="831"/>
        <v>2.4688302700759448</v>
      </c>
      <c r="DY292" s="5">
        <f t="shared" si="832"/>
        <v>13.626660581588009</v>
      </c>
      <c r="DZ292" s="5"/>
      <c r="EA292" s="173">
        <f t="shared" si="833"/>
        <v>0.15338645418326691</v>
      </c>
      <c r="EB292" s="173">
        <f t="shared" si="860"/>
        <v>114</v>
      </c>
      <c r="EC292" s="173">
        <f t="shared" si="861"/>
        <v>7.4025974025974035</v>
      </c>
      <c r="ED292" s="173">
        <f t="shared" si="862"/>
        <v>15.399999999999999</v>
      </c>
      <c r="EE292" s="460">
        <f t="shared" si="834"/>
        <v>125.08740035051453</v>
      </c>
      <c r="EF292" s="5">
        <f t="shared" si="835"/>
        <v>6.3019850154200112</v>
      </c>
      <c r="EH292" s="173">
        <f t="shared" si="863"/>
        <v>3.9542287546137636</v>
      </c>
      <c r="EI292" s="173">
        <f t="shared" si="864"/>
        <v>9.2898968607509698</v>
      </c>
      <c r="EK292" s="528">
        <f t="shared" si="865"/>
        <v>0.31271850087628633</v>
      </c>
      <c r="EL292" s="528">
        <f t="shared" si="866"/>
        <v>2.1816666666666671</v>
      </c>
      <c r="EM292" s="528">
        <f t="shared" si="867"/>
        <v>7.7661502312666338E-3</v>
      </c>
      <c r="EN292" s="528">
        <f t="shared" si="868"/>
        <v>6.262722953216375E-2</v>
      </c>
      <c r="EO292">
        <f t="shared" si="869"/>
        <v>3.8249999999999999E-2</v>
      </c>
      <c r="EP292" s="460">
        <f t="shared" si="870"/>
        <v>46.016150231266636</v>
      </c>
      <c r="EQ292" s="460"/>
      <c r="ER292" s="460">
        <f t="shared" si="871"/>
        <v>2603.0285473063846</v>
      </c>
      <c r="ES292" s="528">
        <f t="shared" si="872"/>
        <v>5.3199999999999994</v>
      </c>
      <c r="EV292" s="460">
        <f t="shared" si="873"/>
        <v>5319.9999999999991</v>
      </c>
      <c r="EW292" s="528">
        <f t="shared" si="874"/>
        <v>0.46907775131442947</v>
      </c>
      <c r="EX292" s="528">
        <f t="shared" si="875"/>
        <v>2.5890655105017215</v>
      </c>
      <c r="EY292" s="528">
        <f t="shared" si="876"/>
        <v>1.9455021880180834</v>
      </c>
      <c r="EZ292" s="528"/>
      <c r="FA292" s="528">
        <f t="shared" si="877"/>
        <v>1.9E-2</v>
      </c>
      <c r="FB292" s="460">
        <f t="shared" si="878"/>
        <v>5022.6454498342346</v>
      </c>
      <c r="FC292" s="173">
        <f t="shared" si="879"/>
        <v>12.94567399714062</v>
      </c>
      <c r="FD292" s="5">
        <f t="shared" si="880"/>
        <v>114</v>
      </c>
      <c r="FE292" s="173">
        <f t="shared" si="881"/>
        <v>0.89802193655348816</v>
      </c>
      <c r="FF292" s="5">
        <f t="shared" si="882"/>
        <v>89.802193655348816</v>
      </c>
      <c r="FI292" s="562">
        <f t="shared" si="836"/>
        <v>-50</v>
      </c>
      <c r="FJ292">
        <f t="shared" si="837"/>
        <v>-50</v>
      </c>
      <c r="FL292">
        <f t="shared" si="838"/>
        <v>0.84661354581673309</v>
      </c>
    </row>
    <row r="293" spans="5:168">
      <c r="E293" s="170">
        <v>77</v>
      </c>
      <c r="F293" s="217">
        <f t="shared" si="839"/>
        <v>7.7</v>
      </c>
      <c r="G293" s="217"/>
      <c r="H293" s="217">
        <f t="shared" si="764"/>
        <v>115.5</v>
      </c>
      <c r="I293" s="541">
        <f t="shared" si="765"/>
        <v>84.543594128084436</v>
      </c>
      <c r="J293" s="172">
        <f t="shared" si="766"/>
        <v>15.673843523149339</v>
      </c>
      <c r="K293" s="172">
        <f t="shared" si="767"/>
        <v>100.21743765123378</v>
      </c>
      <c r="L293" s="443"/>
      <c r="M293" s="217">
        <f t="shared" si="768"/>
        <v>0.15639001787663082</v>
      </c>
      <c r="N293" s="172">
        <f t="shared" si="769"/>
        <v>331.94916843457975</v>
      </c>
      <c r="O293" s="172">
        <f t="shared" si="762"/>
        <v>115.5</v>
      </c>
      <c r="P293" s="217">
        <f t="shared" si="770"/>
        <v>22.129944562305315</v>
      </c>
      <c r="Q293" s="217">
        <f t="shared" si="771"/>
        <v>15</v>
      </c>
      <c r="R293" s="217"/>
      <c r="S293" s="172">
        <f t="shared" si="772"/>
        <v>190.12608964863705</v>
      </c>
      <c r="T293" s="172">
        <f t="shared" si="773"/>
        <v>15</v>
      </c>
      <c r="U293" s="217">
        <f t="shared" si="774"/>
        <v>18.254881196685403</v>
      </c>
      <c r="V293" s="217">
        <f t="shared" si="775"/>
        <v>2.591072412042819</v>
      </c>
      <c r="W293" s="217">
        <f t="shared" si="776"/>
        <v>13.976059799033232</v>
      </c>
      <c r="X293" s="197">
        <f t="shared" si="777"/>
        <v>110.18733335441725</v>
      </c>
      <c r="Y293" s="443">
        <f t="shared" si="840"/>
        <v>59.640491135354623</v>
      </c>
      <c r="AA293" s="217">
        <f t="shared" si="778"/>
        <v>10</v>
      </c>
      <c r="AB293" s="173">
        <f t="shared" si="779"/>
        <v>7.6560672449464677</v>
      </c>
      <c r="AC293" s="173">
        <f t="shared" si="780"/>
        <v>4.2180081685137569</v>
      </c>
      <c r="AD293" s="173"/>
      <c r="AE293" s="173">
        <f t="shared" si="781"/>
        <v>7.6560672449464677</v>
      </c>
      <c r="AF293" s="545">
        <f t="shared" si="782"/>
        <v>201.14765854708321</v>
      </c>
      <c r="AG293" s="528">
        <f t="shared" si="783"/>
        <v>4.2180081685137552</v>
      </c>
      <c r="AI293" s="173">
        <f t="shared" si="784"/>
        <v>7.5809471429947921</v>
      </c>
      <c r="AJ293" s="173">
        <f t="shared" si="785"/>
        <v>18.254881196685403</v>
      </c>
      <c r="AK293" s="173">
        <f t="shared" si="786"/>
        <v>7.3147268123595577</v>
      </c>
      <c r="AM293" s="545">
        <f t="shared" si="787"/>
        <v>7700</v>
      </c>
      <c r="AN293" s="460">
        <f t="shared" si="788"/>
        <v>59.640491135354623</v>
      </c>
      <c r="AP293">
        <f t="shared" si="789"/>
        <v>7700</v>
      </c>
      <c r="AQ293">
        <f t="shared" si="790"/>
        <v>59.640491135354623</v>
      </c>
      <c r="AS293" s="5">
        <f t="shared" si="763"/>
        <v>16.767132211076049</v>
      </c>
      <c r="AT293" s="5">
        <f t="shared" si="791"/>
        <v>2.591072412042819</v>
      </c>
      <c r="AU293" s="5">
        <f t="shared" si="722"/>
        <v>14.176059799033229</v>
      </c>
      <c r="AV293" s="5"/>
      <c r="AW293" s="173">
        <f t="shared" si="723"/>
        <v>0.15453283122150166</v>
      </c>
      <c r="AX293" s="173">
        <f t="shared" si="792"/>
        <v>119.24782961452378</v>
      </c>
      <c r="AY293" s="173">
        <f t="shared" si="793"/>
        <v>7.7169513608747273</v>
      </c>
      <c r="AZ293" s="173">
        <f t="shared" si="794"/>
        <v>15.452712352071488</v>
      </c>
      <c r="BA293" s="460">
        <f t="shared" si="724"/>
        <v>133.00838381819804</v>
      </c>
      <c r="BB293" s="5">
        <f t="shared" si="725"/>
        <v>6.6781906960892181</v>
      </c>
      <c r="BD293" s="173">
        <f t="shared" si="841"/>
        <v>4.1431319440878109</v>
      </c>
      <c r="BE293" s="173">
        <f t="shared" si="842"/>
        <v>9.6909590269614316</v>
      </c>
      <c r="BG293" s="528">
        <f t="shared" si="843"/>
        <v>0.34331084612241691</v>
      </c>
      <c r="BH293" s="528">
        <f t="shared" si="795"/>
        <v>2.0458076049421945</v>
      </c>
      <c r="BI293" s="528">
        <f t="shared" si="796"/>
        <v>0.12605553690367596</v>
      </c>
      <c r="BJ293" s="528">
        <f t="shared" si="844"/>
        <v>5.9900134876638977E-2</v>
      </c>
      <c r="BK293">
        <f t="shared" si="845"/>
        <v>3.8044617357637998E-2</v>
      </c>
      <c r="BL293" s="460">
        <f t="shared" si="846"/>
        <v>164.10015426131397</v>
      </c>
      <c r="BM293" s="528">
        <f t="shared" si="797"/>
        <v>2.7674556936508568</v>
      </c>
      <c r="BN293" s="460">
        <f t="shared" si="847"/>
        <v>2767.4556936508566</v>
      </c>
      <c r="BO293" s="528">
        <f t="shared" si="798"/>
        <v>5.39</v>
      </c>
      <c r="BR293" s="460">
        <f t="shared" si="848"/>
        <v>5390</v>
      </c>
      <c r="BS293" s="528">
        <f t="shared" si="849"/>
        <v>0.51496626918362531</v>
      </c>
      <c r="BT293" s="528">
        <f t="shared" si="850"/>
        <v>2.8174406058673576</v>
      </c>
      <c r="BU293" s="528">
        <f t="shared" si="851"/>
        <v>1.9555573618550446</v>
      </c>
      <c r="BV293" s="528"/>
      <c r="BW293" s="528">
        <f t="shared" si="852"/>
        <v>1.9874638269087298E-2</v>
      </c>
      <c r="BX293" s="460">
        <f t="shared" si="853"/>
        <v>5307.8388751751145</v>
      </c>
      <c r="BY293" s="173">
        <f t="shared" si="854"/>
        <v>13.310957615377678</v>
      </c>
      <c r="BZ293" s="5">
        <f t="shared" si="855"/>
        <v>115.5</v>
      </c>
      <c r="CA293" s="173">
        <f t="shared" si="856"/>
        <v>0.89666284715370681</v>
      </c>
      <c r="CB293" s="5">
        <f t="shared" si="857"/>
        <v>89.666284715370679</v>
      </c>
      <c r="CE293" s="562">
        <f t="shared" si="799"/>
        <v>-50</v>
      </c>
      <c r="CF293">
        <f t="shared" si="800"/>
        <v>-50</v>
      </c>
      <c r="CG293" s="173">
        <f t="shared" si="801"/>
        <v>0.8435474293617915</v>
      </c>
      <c r="CI293" s="170">
        <v>77</v>
      </c>
      <c r="CJ293" s="217">
        <f t="shared" si="858"/>
        <v>7.7</v>
      </c>
      <c r="CK293" s="217"/>
      <c r="CL293" s="217">
        <f t="shared" si="802"/>
        <v>115.5</v>
      </c>
      <c r="CM293" s="541">
        <f t="shared" si="803"/>
        <v>85</v>
      </c>
      <c r="CN293" s="443">
        <f t="shared" si="804"/>
        <v>15.4</v>
      </c>
      <c r="CO293" s="443">
        <f t="shared" si="805"/>
        <v>100.4</v>
      </c>
      <c r="CP293" s="443"/>
      <c r="CQ293" s="217">
        <f t="shared" si="806"/>
        <v>0.15338645418326693</v>
      </c>
      <c r="CR293" s="172">
        <f t="shared" si="807"/>
        <v>327.33148655378488</v>
      </c>
      <c r="CS293" s="172">
        <f t="shared" si="808"/>
        <v>115.5</v>
      </c>
      <c r="CT293" s="217">
        <f t="shared" si="809"/>
        <v>21.822099103585661</v>
      </c>
      <c r="CU293" s="217">
        <f t="shared" si="810"/>
        <v>15</v>
      </c>
      <c r="CV293" s="217"/>
      <c r="CW293" s="172">
        <f t="shared" si="811"/>
        <v>191.15152390933912</v>
      </c>
      <c r="CX293" s="172">
        <f t="shared" si="812"/>
        <v>15</v>
      </c>
      <c r="CY293" s="217">
        <f t="shared" si="813"/>
        <v>17.71764705882353</v>
      </c>
      <c r="CZ293" s="217">
        <f t="shared" si="814"/>
        <v>2.501314878892734</v>
      </c>
      <c r="DA293" s="217">
        <f t="shared" si="815"/>
        <v>13.805958747135218</v>
      </c>
      <c r="DB293" s="197">
        <f t="shared" si="816"/>
        <v>108.64873837981409</v>
      </c>
      <c r="DC293" s="443">
        <f t="shared" si="817"/>
        <v>61.32232909883264</v>
      </c>
      <c r="DE293" s="217">
        <f t="shared" si="818"/>
        <v>10</v>
      </c>
      <c r="DF293" s="173">
        <f t="shared" si="819"/>
        <v>7.7922077922077913</v>
      </c>
      <c r="DG293" s="173">
        <f t="shared" si="820"/>
        <v>4.2330677290836656</v>
      </c>
      <c r="DH293" s="173"/>
      <c r="DI293" s="173">
        <f t="shared" si="821"/>
        <v>7.7922077922077913</v>
      </c>
      <c r="DJ293" s="545">
        <f t="shared" si="822"/>
        <v>197.63333333333335</v>
      </c>
      <c r="DK293" s="528">
        <f t="shared" si="823"/>
        <v>4.2330677290836656</v>
      </c>
      <c r="DM293" s="173">
        <f t="shared" si="824"/>
        <v>7.5144305617037057</v>
      </c>
      <c r="DN293" s="173">
        <f t="shared" si="825"/>
        <v>17.71764705882353</v>
      </c>
      <c r="DO293" s="173">
        <f t="shared" si="826"/>
        <v>6.9167755991285409</v>
      </c>
      <c r="DQ293" s="545">
        <f t="shared" si="827"/>
        <v>7700</v>
      </c>
      <c r="DR293" s="460">
        <f t="shared" si="828"/>
        <v>61.32232909883264</v>
      </c>
      <c r="DT293">
        <f t="shared" si="829"/>
        <v>7700</v>
      </c>
      <c r="DU293">
        <f t="shared" si="830"/>
        <v>61.32232909883264</v>
      </c>
      <c r="DW293" s="5">
        <f t="shared" si="859"/>
        <v>16.307273626027953</v>
      </c>
      <c r="DX293" s="5">
        <f t="shared" si="831"/>
        <v>2.501314878892734</v>
      </c>
      <c r="DY293" s="5">
        <f t="shared" si="832"/>
        <v>13.80595874713522</v>
      </c>
      <c r="DZ293" s="5"/>
      <c r="EA293" s="173">
        <f t="shared" si="833"/>
        <v>0.15338645418326693</v>
      </c>
      <c r="EB293" s="173">
        <f t="shared" si="860"/>
        <v>115.50000000000001</v>
      </c>
      <c r="EC293" s="173">
        <f t="shared" si="861"/>
        <v>7.5000000000000009</v>
      </c>
      <c r="ED293" s="173">
        <f t="shared" si="862"/>
        <v>15.4</v>
      </c>
      <c r="EE293" s="460">
        <f t="shared" si="834"/>
        <v>128.400830449827</v>
      </c>
      <c r="EF293" s="5">
        <f t="shared" si="835"/>
        <v>6.4689177902398285</v>
      </c>
      <c r="EH293" s="173">
        <f t="shared" si="863"/>
        <v>4.0062580803323664</v>
      </c>
      <c r="EI293" s="173">
        <f t="shared" si="864"/>
        <v>9.4121323457608508</v>
      </c>
      <c r="EK293" s="528">
        <f t="shared" si="865"/>
        <v>0.32100207612456755</v>
      </c>
      <c r="EL293" s="528">
        <f t="shared" si="866"/>
        <v>2.1816666666666666</v>
      </c>
      <c r="EM293" s="528">
        <f t="shared" si="867"/>
        <v>7.6652911373540798E-3</v>
      </c>
      <c r="EN293" s="528">
        <f t="shared" si="868"/>
        <v>6.1813888888888883E-2</v>
      </c>
      <c r="EO293">
        <f t="shared" si="869"/>
        <v>3.8249999999999999E-2</v>
      </c>
      <c r="EP293" s="460">
        <f t="shared" si="870"/>
        <v>45.915291137354075</v>
      </c>
      <c r="EQ293" s="460"/>
      <c r="ER293" s="460">
        <f t="shared" si="871"/>
        <v>2610.3979228174776</v>
      </c>
      <c r="ES293" s="528">
        <f t="shared" si="872"/>
        <v>5.39</v>
      </c>
      <c r="EV293" s="460">
        <f t="shared" si="873"/>
        <v>5390</v>
      </c>
      <c r="EW293" s="528">
        <f t="shared" si="874"/>
        <v>0.48150311418685132</v>
      </c>
      <c r="EX293" s="528">
        <f t="shared" si="875"/>
        <v>2.6576470588235295</v>
      </c>
      <c r="EY293" s="528">
        <f t="shared" si="876"/>
        <v>1.9455021880180892</v>
      </c>
      <c r="EZ293" s="528"/>
      <c r="FA293" s="528">
        <f t="shared" si="877"/>
        <v>1.925E-2</v>
      </c>
      <c r="FB293" s="460">
        <f t="shared" si="878"/>
        <v>5103.9023610284712</v>
      </c>
      <c r="FC293" s="173">
        <f t="shared" si="879"/>
        <v>13.104300283845948</v>
      </c>
      <c r="FD293" s="5">
        <f t="shared" si="880"/>
        <v>115.5</v>
      </c>
      <c r="FE293" s="173">
        <f t="shared" si="881"/>
        <v>0.89810371616716467</v>
      </c>
      <c r="FF293" s="5">
        <f t="shared" si="882"/>
        <v>89.810371616716466</v>
      </c>
      <c r="FI293" s="562">
        <f t="shared" si="836"/>
        <v>-50</v>
      </c>
      <c r="FJ293">
        <f t="shared" si="837"/>
        <v>-50</v>
      </c>
      <c r="FL293">
        <f t="shared" si="838"/>
        <v>0.84661354581673309</v>
      </c>
    </row>
    <row r="294" spans="5:168">
      <c r="E294" s="170">
        <v>78</v>
      </c>
      <c r="F294" s="217">
        <f t="shared" si="839"/>
        <v>7.8000000000000007</v>
      </c>
      <c r="G294" s="217"/>
      <c r="H294" s="217">
        <f t="shared" si="764"/>
        <v>117.00000000000001</v>
      </c>
      <c r="I294" s="541">
        <f t="shared" si="765"/>
        <v>84.537688322754235</v>
      </c>
      <c r="J294" s="172">
        <f t="shared" si="766"/>
        <v>15.677387006347459</v>
      </c>
      <c r="K294" s="172">
        <f t="shared" si="767"/>
        <v>100.21507532910169</v>
      </c>
      <c r="L294" s="443"/>
      <c r="M294" s="217">
        <f t="shared" si="768"/>
        <v>0.15642906394324796</v>
      </c>
      <c r="N294" s="172">
        <f t="shared" si="769"/>
        <v>332.00885239816427</v>
      </c>
      <c r="O294" s="172">
        <f t="shared" si="762"/>
        <v>117.00000000000001</v>
      </c>
      <c r="P294" s="217">
        <f t="shared" si="770"/>
        <v>22.133923493210951</v>
      </c>
      <c r="Q294" s="217">
        <f t="shared" si="771"/>
        <v>15</v>
      </c>
      <c r="R294" s="217"/>
      <c r="S294" s="172">
        <f t="shared" si="772"/>
        <v>186.5972728338896</v>
      </c>
      <c r="T294" s="172">
        <f t="shared" si="773"/>
        <v>15</v>
      </c>
      <c r="U294" s="217">
        <f t="shared" si="774"/>
        <v>18.492813506498631</v>
      </c>
      <c r="V294" s="217">
        <f t="shared" si="775"/>
        <v>2.6250275644011558</v>
      </c>
      <c r="W294" s="217">
        <f t="shared" si="776"/>
        <v>14.155022261562793</v>
      </c>
      <c r="X294" s="197">
        <f t="shared" si="777"/>
        <v>110.20714299599099</v>
      </c>
      <c r="Y294" s="443">
        <f t="shared" si="840"/>
        <v>58.892642262504701</v>
      </c>
      <c r="AA294" s="217">
        <f t="shared" si="778"/>
        <v>10</v>
      </c>
      <c r="AB294" s="173">
        <f t="shared" si="779"/>
        <v>7.6543367814683911</v>
      </c>
      <c r="AC294" s="173">
        <f t="shared" si="780"/>
        <v>4.2178129410738023</v>
      </c>
      <c r="AD294" s="173"/>
      <c r="AE294" s="173">
        <f t="shared" si="781"/>
        <v>7.6543367814683911</v>
      </c>
      <c r="AF294" s="545">
        <f t="shared" si="782"/>
        <v>203.80603108251699</v>
      </c>
      <c r="AG294" s="528">
        <f t="shared" si="783"/>
        <v>4.2178129410738023</v>
      </c>
      <c r="AI294" s="173">
        <f t="shared" si="784"/>
        <v>7.6308777080362686</v>
      </c>
      <c r="AJ294" s="173">
        <f t="shared" si="785"/>
        <v>18.492813506498631</v>
      </c>
      <c r="AK294" s="173">
        <f t="shared" si="786"/>
        <v>7.4909729677767638</v>
      </c>
      <c r="AM294" s="545">
        <f t="shared" si="787"/>
        <v>7800.0000000000009</v>
      </c>
      <c r="AN294" s="460">
        <f t="shared" si="788"/>
        <v>58.892642262504701</v>
      </c>
      <c r="AP294">
        <f t="shared" si="789"/>
        <v>7800.0000000000009</v>
      </c>
      <c r="AQ294">
        <f t="shared" si="790"/>
        <v>58.892642262504701</v>
      </c>
      <c r="AS294" s="5">
        <f t="shared" si="763"/>
        <v>16.980049825963945</v>
      </c>
      <c r="AT294" s="5">
        <f t="shared" si="791"/>
        <v>2.6250275644011558</v>
      </c>
      <c r="AU294" s="5">
        <f t="shared" si="722"/>
        <v>14.355022261562789</v>
      </c>
      <c r="AV294" s="5"/>
      <c r="AW294" s="173">
        <f t="shared" si="723"/>
        <v>0.15459480927949132</v>
      </c>
      <c r="AX294" s="173">
        <f t="shared" si="792"/>
        <v>120.84210172218052</v>
      </c>
      <c r="AY294" s="173">
        <f t="shared" si="793"/>
        <v>7.8169602647101373</v>
      </c>
      <c r="AZ294" s="173">
        <f t="shared" si="794"/>
        <v>15.458963283685247</v>
      </c>
      <c r="BA294" s="460">
        <f t="shared" si="724"/>
        <v>136.5014333488601</v>
      </c>
      <c r="BB294" s="5">
        <f t="shared" si="725"/>
        <v>6.8508012181240083</v>
      </c>
      <c r="BD294" s="173">
        <f t="shared" si="841"/>
        <v>4.197974696610606</v>
      </c>
      <c r="BE294" s="173">
        <f t="shared" si="842"/>
        <v>9.8169101847439677</v>
      </c>
      <c r="BG294" s="528">
        <f t="shared" si="843"/>
        <v>0.35245983106765821</v>
      </c>
      <c r="BH294" s="528">
        <f t="shared" si="795"/>
        <v>2.046436904185712</v>
      </c>
      <c r="BI294" s="528">
        <f t="shared" si="796"/>
        <v>0.12446619590227714</v>
      </c>
      <c r="BJ294" s="528">
        <f t="shared" si="844"/>
        <v>5.9146241772864691E-2</v>
      </c>
      <c r="BK294">
        <f t="shared" si="845"/>
        <v>3.8041959745239405E-2</v>
      </c>
      <c r="BL294" s="460">
        <f t="shared" si="846"/>
        <v>162.50815564751656</v>
      </c>
      <c r="BM294" s="528">
        <f t="shared" si="797"/>
        <v>2.7865666382576912</v>
      </c>
      <c r="BN294" s="460">
        <f t="shared" si="847"/>
        <v>2786.5666382576915</v>
      </c>
      <c r="BO294" s="528">
        <f t="shared" si="798"/>
        <v>5.46</v>
      </c>
      <c r="BR294" s="460">
        <f t="shared" si="848"/>
        <v>5460</v>
      </c>
      <c r="BS294" s="528">
        <f t="shared" si="849"/>
        <v>0.52868974660148726</v>
      </c>
      <c r="BT294" s="528">
        <f t="shared" si="850"/>
        <v>2.8911517672598954</v>
      </c>
      <c r="BU294" s="528">
        <f t="shared" si="851"/>
        <v>1.9571768877467881</v>
      </c>
      <c r="BV294" s="528"/>
      <c r="BW294" s="528">
        <f t="shared" si="852"/>
        <v>2.0140350287030089E-2</v>
      </c>
      <c r="BX294" s="460">
        <f t="shared" si="853"/>
        <v>5397.1587518952001</v>
      </c>
      <c r="BY294" s="173">
        <f t="shared" si="854"/>
        <v>13.47770988456895</v>
      </c>
      <c r="BZ294" s="5">
        <f t="shared" si="855"/>
        <v>117.00000000000001</v>
      </c>
      <c r="CA294" s="173">
        <f t="shared" si="856"/>
        <v>0.89670488624844502</v>
      </c>
      <c r="CB294" s="5">
        <f t="shared" si="857"/>
        <v>89.670488624844495</v>
      </c>
      <c r="CE294" s="562">
        <f t="shared" si="799"/>
        <v>-50</v>
      </c>
      <c r="CF294">
        <f t="shared" si="800"/>
        <v>-50</v>
      </c>
      <c r="CG294" s="173">
        <f t="shared" si="801"/>
        <v>0.84358673854711119</v>
      </c>
      <c r="CI294" s="170">
        <v>78</v>
      </c>
      <c r="CJ294" s="217">
        <f t="shared" si="858"/>
        <v>7.8000000000000007</v>
      </c>
      <c r="CK294" s="217"/>
      <c r="CL294" s="217">
        <f t="shared" si="802"/>
        <v>117.00000000000001</v>
      </c>
      <c r="CM294" s="541">
        <f t="shared" si="803"/>
        <v>85</v>
      </c>
      <c r="CN294" s="443">
        <f t="shared" si="804"/>
        <v>15.4</v>
      </c>
      <c r="CO294" s="443">
        <f t="shared" si="805"/>
        <v>100.4</v>
      </c>
      <c r="CP294" s="443"/>
      <c r="CQ294" s="217">
        <f t="shared" si="806"/>
        <v>0.15338645418326693</v>
      </c>
      <c r="CR294" s="172">
        <f t="shared" si="807"/>
        <v>327.33148655378488</v>
      </c>
      <c r="CS294" s="172">
        <f t="shared" si="808"/>
        <v>117.00000000000001</v>
      </c>
      <c r="CT294" s="217">
        <f t="shared" si="809"/>
        <v>21.822099103585661</v>
      </c>
      <c r="CU294" s="217">
        <f t="shared" si="810"/>
        <v>15</v>
      </c>
      <c r="CV294" s="217"/>
      <c r="CW294" s="172">
        <f t="shared" si="811"/>
        <v>187.61673240502535</v>
      </c>
      <c r="CX294" s="172">
        <f t="shared" si="812"/>
        <v>15</v>
      </c>
      <c r="CY294" s="217">
        <f t="shared" si="813"/>
        <v>17.947746371275784</v>
      </c>
      <c r="CZ294" s="217">
        <f t="shared" si="814"/>
        <v>2.5337994877095222</v>
      </c>
      <c r="DA294" s="217">
        <f t="shared" si="815"/>
        <v>13.985256912682429</v>
      </c>
      <c r="DB294" s="197">
        <f t="shared" si="816"/>
        <v>108.64873837981409</v>
      </c>
      <c r="DC294" s="443">
        <f t="shared" si="817"/>
        <v>60.536145392437362</v>
      </c>
      <c r="DE294" s="217">
        <f t="shared" si="818"/>
        <v>10</v>
      </c>
      <c r="DF294" s="173">
        <f t="shared" si="819"/>
        <v>7.7922077922077913</v>
      </c>
      <c r="DG294" s="173">
        <f t="shared" si="820"/>
        <v>4.2330677290836656</v>
      </c>
      <c r="DH294" s="173"/>
      <c r="DI294" s="173">
        <f t="shared" si="821"/>
        <v>7.7922077922077913</v>
      </c>
      <c r="DJ294" s="545">
        <f t="shared" si="822"/>
        <v>200.20000000000002</v>
      </c>
      <c r="DK294" s="528">
        <f t="shared" si="823"/>
        <v>4.2330677290836656</v>
      </c>
      <c r="DM294" s="173">
        <f t="shared" si="824"/>
        <v>7.5630681604756154</v>
      </c>
      <c r="DN294" s="173">
        <f t="shared" si="825"/>
        <v>17.947746371275784</v>
      </c>
      <c r="DO294" s="173">
        <f t="shared" si="826"/>
        <v>7.0872195342783586</v>
      </c>
      <c r="DQ294" s="545">
        <f t="shared" si="827"/>
        <v>7800.0000000000009</v>
      </c>
      <c r="DR294" s="460">
        <f t="shared" si="828"/>
        <v>60.536145392437362</v>
      </c>
      <c r="DT294">
        <f t="shared" si="829"/>
        <v>7800.0000000000009</v>
      </c>
      <c r="DU294">
        <f t="shared" si="830"/>
        <v>60.536145392437362</v>
      </c>
      <c r="DW294" s="5">
        <f t="shared" si="859"/>
        <v>16.51905640039195</v>
      </c>
      <c r="DX294" s="5">
        <f t="shared" si="831"/>
        <v>2.5337994877095222</v>
      </c>
      <c r="DY294" s="5">
        <f t="shared" si="832"/>
        <v>13.985256912682427</v>
      </c>
      <c r="DZ294" s="5"/>
      <c r="EA294" s="173">
        <f t="shared" si="833"/>
        <v>0.15338645418326693</v>
      </c>
      <c r="EB294" s="173">
        <f t="shared" si="860"/>
        <v>117.00000000000003</v>
      </c>
      <c r="EC294" s="173">
        <f t="shared" si="861"/>
        <v>7.5974025974025983</v>
      </c>
      <c r="ED294" s="173">
        <f t="shared" si="862"/>
        <v>15.400000000000002</v>
      </c>
      <c r="EE294" s="460">
        <f t="shared" si="834"/>
        <v>131.75757336089518</v>
      </c>
      <c r="EF294" s="5">
        <f t="shared" si="835"/>
        <v>6.6380326928350666</v>
      </c>
      <c r="EH294" s="173">
        <f t="shared" si="863"/>
        <v>4.0582874060509679</v>
      </c>
      <c r="EI294" s="173">
        <f t="shared" si="864"/>
        <v>9.5343678307707318</v>
      </c>
      <c r="EK294" s="528">
        <f t="shared" si="865"/>
        <v>0.32939393340223788</v>
      </c>
      <c r="EL294" s="528">
        <f t="shared" si="866"/>
        <v>2.1816666666666671</v>
      </c>
      <c r="EM294" s="528">
        <f t="shared" si="867"/>
        <v>7.56701817405467E-3</v>
      </c>
      <c r="EN294" s="528">
        <f t="shared" si="868"/>
        <v>6.1021403133903147E-2</v>
      </c>
      <c r="EO294">
        <f t="shared" si="869"/>
        <v>3.8249999999999999E-2</v>
      </c>
      <c r="EP294" s="460">
        <f t="shared" si="870"/>
        <v>45.817018174054667</v>
      </c>
      <c r="EQ294" s="460"/>
      <c r="ER294" s="460">
        <f t="shared" si="871"/>
        <v>2617.8990213768629</v>
      </c>
      <c r="ES294" s="528">
        <f t="shared" si="872"/>
        <v>5.46</v>
      </c>
      <c r="EV294" s="460">
        <f t="shared" si="873"/>
        <v>5460</v>
      </c>
      <c r="EW294" s="528">
        <f t="shared" si="874"/>
        <v>0.49409090010335682</v>
      </c>
      <c r="EX294" s="528">
        <f t="shared" si="875"/>
        <v>2.7271250979730737</v>
      </c>
      <c r="EY294" s="528">
        <f t="shared" si="876"/>
        <v>1.9455021880180816</v>
      </c>
      <c r="EZ294" s="528"/>
      <c r="FA294" s="528">
        <f t="shared" si="877"/>
        <v>1.9500000000000003E-2</v>
      </c>
      <c r="FB294" s="460">
        <f t="shared" si="878"/>
        <v>5186.218186094512</v>
      </c>
      <c r="FC294" s="173">
        <f t="shared" si="879"/>
        <v>13.264117207471378</v>
      </c>
      <c r="FD294" s="5">
        <f t="shared" si="880"/>
        <v>117.00000000000001</v>
      </c>
      <c r="FE294" s="173">
        <f t="shared" si="881"/>
        <v>0.89817520364149361</v>
      </c>
      <c r="FF294" s="5">
        <f t="shared" si="882"/>
        <v>89.81752036414936</v>
      </c>
      <c r="FI294" s="562">
        <f t="shared" si="836"/>
        <v>-50</v>
      </c>
      <c r="FJ294">
        <f t="shared" si="837"/>
        <v>-50</v>
      </c>
      <c r="FL294">
        <f t="shared" si="838"/>
        <v>0.84661354581673309</v>
      </c>
    </row>
    <row r="295" spans="5:168">
      <c r="E295" s="170">
        <v>79</v>
      </c>
      <c r="F295" s="217">
        <f t="shared" si="839"/>
        <v>7.9</v>
      </c>
      <c r="G295" s="217"/>
      <c r="H295" s="217">
        <f t="shared" si="764"/>
        <v>118.5</v>
      </c>
      <c r="I295" s="541">
        <f t="shared" si="765"/>
        <v>84.531782515467185</v>
      </c>
      <c r="J295" s="172">
        <f t="shared" si="766"/>
        <v>15.680930490719691</v>
      </c>
      <c r="K295" s="172">
        <f t="shared" si="767"/>
        <v>100.21271300618687</v>
      </c>
      <c r="L295" s="443"/>
      <c r="M295" s="217">
        <f t="shared" si="768"/>
        <v>0.1564681118537746</v>
      </c>
      <c r="N295" s="172">
        <f t="shared" si="769"/>
        <v>332.068528688421</v>
      </c>
      <c r="O295" s="172">
        <f t="shared" si="762"/>
        <v>118.5</v>
      </c>
      <c r="P295" s="217">
        <f t="shared" si="770"/>
        <v>22.1379019125614</v>
      </c>
      <c r="Q295" s="217">
        <f t="shared" si="771"/>
        <v>15</v>
      </c>
      <c r="R295" s="217"/>
      <c r="S295" s="172">
        <f t="shared" si="772"/>
        <v>183.15806553293089</v>
      </c>
      <c r="T295" s="172">
        <f t="shared" si="773"/>
        <v>15</v>
      </c>
      <c r="U295" s="217">
        <f t="shared" si="774"/>
        <v>18.730767884451438</v>
      </c>
      <c r="V295" s="217">
        <f t="shared" si="775"/>
        <v>2.65899059412701</v>
      </c>
      <c r="W295" s="217">
        <f t="shared" si="776"/>
        <v>14.333920729158292</v>
      </c>
      <c r="X295" s="197">
        <f t="shared" si="777"/>
        <v>110.22695009762549</v>
      </c>
      <c r="Y295" s="443">
        <f t="shared" si="840"/>
        <v>58.163505947107701</v>
      </c>
      <c r="AA295" s="217">
        <f t="shared" si="778"/>
        <v>10</v>
      </c>
      <c r="AB295" s="173">
        <f t="shared" si="779"/>
        <v>7.6526070994969704</v>
      </c>
      <c r="AC295" s="173">
        <f t="shared" si="780"/>
        <v>4.217617704364935</v>
      </c>
      <c r="AD295" s="173"/>
      <c r="AE295" s="173">
        <f t="shared" si="781"/>
        <v>7.6526070994969704</v>
      </c>
      <c r="AF295" s="545">
        <f t="shared" si="782"/>
        <v>206.46558479447589</v>
      </c>
      <c r="AG295" s="528">
        <f t="shared" si="783"/>
        <v>4.217617704364935</v>
      </c>
      <c r="AI295" s="173">
        <f t="shared" si="784"/>
        <v>7.6805056528939541</v>
      </c>
      <c r="AJ295" s="173">
        <f t="shared" si="785"/>
        <v>18.730767884451438</v>
      </c>
      <c r="AK295" s="173">
        <f t="shared" si="786"/>
        <v>7.6672354699640284</v>
      </c>
      <c r="AM295" s="545">
        <f t="shared" si="787"/>
        <v>7900</v>
      </c>
      <c r="AN295" s="460">
        <f t="shared" si="788"/>
        <v>58.163505947107701</v>
      </c>
      <c r="AP295">
        <f t="shared" si="789"/>
        <v>7900</v>
      </c>
      <c r="AQ295">
        <f t="shared" si="790"/>
        <v>58.163505947107701</v>
      </c>
      <c r="AS295" s="5">
        <f t="shared" si="763"/>
        <v>17.192911323285301</v>
      </c>
      <c r="AT295" s="5">
        <f t="shared" si="791"/>
        <v>2.65899059412701</v>
      </c>
      <c r="AU295" s="5">
        <f t="shared" si="722"/>
        <v>14.533920729158291</v>
      </c>
      <c r="AV295" s="5"/>
      <c r="AW295" s="173">
        <f t="shared" si="723"/>
        <v>0.1546562152348098</v>
      </c>
      <c r="AX295" s="173">
        <f t="shared" si="792"/>
        <v>122.43708780119164</v>
      </c>
      <c r="AY295" s="173">
        <f t="shared" si="793"/>
        <v>7.9169691075002273</v>
      </c>
      <c r="AZ295" s="173">
        <f t="shared" si="794"/>
        <v>15.46514659065671</v>
      </c>
      <c r="BA295" s="460">
        <f t="shared" si="724"/>
        <v>140.04017129068922</v>
      </c>
      <c r="BB295" s="5">
        <f t="shared" si="725"/>
        <v>7.0255950306686179</v>
      </c>
      <c r="BD295" s="173">
        <f t="shared" si="841"/>
        <v>4.2528360787941102</v>
      </c>
      <c r="BE295" s="173">
        <f t="shared" si="842"/>
        <v>9.9428671485629803</v>
      </c>
      <c r="BG295" s="528">
        <f t="shared" si="843"/>
        <v>0.36173229426185727</v>
      </c>
      <c r="BH295" s="528">
        <f t="shared" si="795"/>
        <v>2.047058484338645</v>
      </c>
      <c r="BI295" s="528">
        <f t="shared" si="796"/>
        <v>0.12291662087644976</v>
      </c>
      <c r="BJ295" s="528">
        <f t="shared" si="844"/>
        <v>5.8411211802501119E-2</v>
      </c>
      <c r="BK295">
        <f t="shared" si="845"/>
        <v>3.8039302131960231E-2</v>
      </c>
      <c r="BL295" s="460">
        <f t="shared" si="846"/>
        <v>160.95592300841</v>
      </c>
      <c r="BM295" s="528">
        <f t="shared" si="797"/>
        <v>2.8060422909437599</v>
      </c>
      <c r="BN295" s="460">
        <f t="shared" si="847"/>
        <v>2806.0422909437598</v>
      </c>
      <c r="BO295" s="528">
        <f t="shared" si="798"/>
        <v>5.53</v>
      </c>
      <c r="BR295" s="460">
        <f t="shared" si="848"/>
        <v>5530</v>
      </c>
      <c r="BS295" s="528">
        <f t="shared" si="849"/>
        <v>0.5425984413927859</v>
      </c>
      <c r="BT295" s="528">
        <f t="shared" si="850"/>
        <v>2.9658182140191878</v>
      </c>
      <c r="BU295" s="528">
        <f t="shared" si="851"/>
        <v>1.9587788290014829</v>
      </c>
      <c r="BV295" s="528"/>
      <c r="BW295" s="528">
        <f t="shared" si="852"/>
        <v>2.0406181300198608E-2</v>
      </c>
      <c r="BX295" s="460">
        <f t="shared" si="853"/>
        <v>5487.6016657136543</v>
      </c>
      <c r="BY295" s="173">
        <f t="shared" si="854"/>
        <v>13.645759579125068</v>
      </c>
      <c r="BZ295" s="5">
        <f t="shared" si="855"/>
        <v>118.5</v>
      </c>
      <c r="CA295" s="173">
        <f t="shared" si="856"/>
        <v>0.89673706048089741</v>
      </c>
      <c r="CB295" s="5">
        <f t="shared" si="857"/>
        <v>89.673706048089741</v>
      </c>
      <c r="CE295" s="562">
        <f t="shared" si="799"/>
        <v>-50</v>
      </c>
      <c r="CF295">
        <f t="shared" si="800"/>
        <v>-50</v>
      </c>
      <c r="CG295" s="173">
        <f t="shared" si="801"/>
        <v>0.84362505256318243</v>
      </c>
      <c r="CI295" s="170">
        <v>79</v>
      </c>
      <c r="CJ295" s="217">
        <f t="shared" si="858"/>
        <v>7.9</v>
      </c>
      <c r="CK295" s="217"/>
      <c r="CL295" s="217">
        <f t="shared" si="802"/>
        <v>118.5</v>
      </c>
      <c r="CM295" s="541">
        <f t="shared" si="803"/>
        <v>85</v>
      </c>
      <c r="CN295" s="443">
        <f t="shared" si="804"/>
        <v>15.4</v>
      </c>
      <c r="CO295" s="443">
        <f t="shared" si="805"/>
        <v>100.4</v>
      </c>
      <c r="CP295" s="443"/>
      <c r="CQ295" s="217">
        <f t="shared" si="806"/>
        <v>0.15338645418326693</v>
      </c>
      <c r="CR295" s="172">
        <f t="shared" si="807"/>
        <v>327.33148655378488</v>
      </c>
      <c r="CS295" s="172">
        <f t="shared" si="808"/>
        <v>118.5</v>
      </c>
      <c r="CT295" s="217">
        <f t="shared" si="809"/>
        <v>21.822099103585661</v>
      </c>
      <c r="CU295" s="217">
        <f t="shared" si="810"/>
        <v>15</v>
      </c>
      <c r="CV295" s="217"/>
      <c r="CW295" s="172">
        <f t="shared" si="811"/>
        <v>184.17155217510577</v>
      </c>
      <c r="CX295" s="172">
        <f t="shared" si="812"/>
        <v>15</v>
      </c>
      <c r="CY295" s="217">
        <f t="shared" si="813"/>
        <v>18.177845683728037</v>
      </c>
      <c r="CZ295" s="217">
        <f t="shared" si="814"/>
        <v>2.566284096526311</v>
      </c>
      <c r="DA295" s="217">
        <f t="shared" si="815"/>
        <v>14.16455507822964</v>
      </c>
      <c r="DB295" s="197">
        <f t="shared" si="816"/>
        <v>108.64873837981409</v>
      </c>
      <c r="DC295" s="443">
        <f t="shared" si="817"/>
        <v>59.769865071014102</v>
      </c>
      <c r="DE295" s="217">
        <f t="shared" si="818"/>
        <v>10</v>
      </c>
      <c r="DF295" s="173">
        <f t="shared" si="819"/>
        <v>7.7922077922077913</v>
      </c>
      <c r="DG295" s="173">
        <f t="shared" si="820"/>
        <v>4.2330677290836656</v>
      </c>
      <c r="DH295" s="173"/>
      <c r="DI295" s="173">
        <f t="shared" si="821"/>
        <v>7.7922077922077913</v>
      </c>
      <c r="DJ295" s="545">
        <f t="shared" si="822"/>
        <v>202.76666666666668</v>
      </c>
      <c r="DK295" s="528">
        <f t="shared" si="823"/>
        <v>4.2330677290836656</v>
      </c>
      <c r="DM295" s="173">
        <f t="shared" si="824"/>
        <v>7.6113949663207823</v>
      </c>
      <c r="DN295" s="173">
        <f t="shared" si="825"/>
        <v>18.177845683728037</v>
      </c>
      <c r="DO295" s="173">
        <f t="shared" si="826"/>
        <v>7.2576634694281754</v>
      </c>
      <c r="DQ295" s="545">
        <f t="shared" si="827"/>
        <v>7900</v>
      </c>
      <c r="DR295" s="460">
        <f t="shared" si="828"/>
        <v>59.769865071014102</v>
      </c>
      <c r="DT295">
        <f t="shared" si="829"/>
        <v>7900</v>
      </c>
      <c r="DU295">
        <f t="shared" si="830"/>
        <v>59.769865071014102</v>
      </c>
      <c r="DW295" s="5">
        <f t="shared" si="859"/>
        <v>16.73083917475595</v>
      </c>
      <c r="DX295" s="5">
        <f t="shared" si="831"/>
        <v>2.566284096526311</v>
      </c>
      <c r="DY295" s="5">
        <f t="shared" si="832"/>
        <v>14.16455507822964</v>
      </c>
      <c r="DZ295" s="5"/>
      <c r="EA295" s="173">
        <f t="shared" si="833"/>
        <v>0.15338645418326693</v>
      </c>
      <c r="EB295" s="173">
        <f t="shared" si="860"/>
        <v>118.50000000000003</v>
      </c>
      <c r="EC295" s="173">
        <f t="shared" si="861"/>
        <v>7.6948051948051956</v>
      </c>
      <c r="ED295" s="173">
        <f t="shared" si="862"/>
        <v>15.400000000000002</v>
      </c>
      <c r="EE295" s="460">
        <f t="shared" si="834"/>
        <v>135.15762908371903</v>
      </c>
      <c r="EF295" s="5">
        <f t="shared" si="835"/>
        <v>6.8093297232057282</v>
      </c>
      <c r="EH295" s="173">
        <f t="shared" si="863"/>
        <v>4.1103167317695704</v>
      </c>
      <c r="EI295" s="173">
        <f t="shared" si="864"/>
        <v>9.6566033157806128</v>
      </c>
      <c r="EK295" s="528">
        <f t="shared" si="865"/>
        <v>0.33789407270929767</v>
      </c>
      <c r="EL295" s="528">
        <f t="shared" si="866"/>
        <v>2.1816666666666671</v>
      </c>
      <c r="EM295" s="528">
        <f t="shared" si="867"/>
        <v>7.4712331338767628E-3</v>
      </c>
      <c r="EN295" s="528">
        <f t="shared" si="868"/>
        <v>6.0248980309423363E-2</v>
      </c>
      <c r="EO295">
        <f t="shared" si="869"/>
        <v>3.8249999999999999E-2</v>
      </c>
      <c r="EP295" s="460">
        <f t="shared" si="870"/>
        <v>45.721233133876765</v>
      </c>
      <c r="EQ295" s="460"/>
      <c r="ER295" s="460">
        <f t="shared" si="871"/>
        <v>2625.5309528192652</v>
      </c>
      <c r="ES295" s="528">
        <f t="shared" si="872"/>
        <v>5.53</v>
      </c>
      <c r="EV295" s="460">
        <f t="shared" si="873"/>
        <v>5530</v>
      </c>
      <c r="EW295" s="528">
        <f t="shared" si="874"/>
        <v>0.50684110906394642</v>
      </c>
      <c r="EX295" s="528">
        <f t="shared" si="875"/>
        <v>2.7974996279503537</v>
      </c>
      <c r="EY295" s="528">
        <f t="shared" si="876"/>
        <v>1.9455021880180834</v>
      </c>
      <c r="EZ295" s="528"/>
      <c r="FA295" s="528">
        <f t="shared" si="877"/>
        <v>1.9750000000000004E-2</v>
      </c>
      <c r="FB295" s="460">
        <f t="shared" si="878"/>
        <v>5269.5929250323834</v>
      </c>
      <c r="FC295" s="173">
        <f t="shared" si="879"/>
        <v>13.42512387785165</v>
      </c>
      <c r="FD295" s="5">
        <f t="shared" si="880"/>
        <v>118.5</v>
      </c>
      <c r="FE295" s="173">
        <f t="shared" si="881"/>
        <v>0.89823679157366665</v>
      </c>
      <c r="FF295" s="5">
        <f t="shared" si="882"/>
        <v>89.823679157366669</v>
      </c>
      <c r="FI295" s="562">
        <f t="shared" si="836"/>
        <v>-50</v>
      </c>
      <c r="FJ295">
        <f t="shared" si="837"/>
        <v>-50</v>
      </c>
      <c r="FL295">
        <f t="shared" si="838"/>
        <v>0.84661354581673309</v>
      </c>
    </row>
    <row r="296" spans="5:168">
      <c r="E296" s="170">
        <v>80</v>
      </c>
      <c r="F296" s="217">
        <f t="shared" si="839"/>
        <v>8</v>
      </c>
      <c r="G296" s="217"/>
      <c r="H296" s="217">
        <f t="shared" si="764"/>
        <v>120</v>
      </c>
      <c r="I296" s="541">
        <f t="shared" si="765"/>
        <v>84.525876706296913</v>
      </c>
      <c r="J296" s="172">
        <f t="shared" si="766"/>
        <v>15.684473976221851</v>
      </c>
      <c r="K296" s="172">
        <f t="shared" si="767"/>
        <v>100.21035068251877</v>
      </c>
      <c r="L296" s="443"/>
      <c r="M296" s="217">
        <f t="shared" si="768"/>
        <v>0.15650716160822853</v>
      </c>
      <c r="N296" s="172">
        <f t="shared" si="769"/>
        <v>332.12819730485114</v>
      </c>
      <c r="O296" s="172">
        <f t="shared" si="762"/>
        <v>120</v>
      </c>
      <c r="P296" s="217">
        <f t="shared" si="770"/>
        <v>22.14187982032341</v>
      </c>
      <c r="Q296" s="217">
        <f t="shared" si="771"/>
        <v>15</v>
      </c>
      <c r="R296" s="217"/>
      <c r="S296" s="172">
        <f t="shared" si="772"/>
        <v>179.80510948829894</v>
      </c>
      <c r="T296" s="172">
        <f t="shared" si="773"/>
        <v>15</v>
      </c>
      <c r="U296" s="217">
        <f t="shared" si="774"/>
        <v>18.968744335169553</v>
      </c>
      <c r="V296" s="217">
        <f t="shared" si="775"/>
        <v>2.6929615035282715</v>
      </c>
      <c r="W296" s="217">
        <f t="shared" si="776"/>
        <v>14.512755248733308</v>
      </c>
      <c r="X296" s="197">
        <f t="shared" si="777"/>
        <v>110.24675465889113</v>
      </c>
      <c r="Y296" s="443">
        <f t="shared" si="840"/>
        <v>57.452388444162565</v>
      </c>
      <c r="AA296" s="217">
        <f t="shared" si="778"/>
        <v>10</v>
      </c>
      <c r="AB296" s="173">
        <f t="shared" si="779"/>
        <v>7.6508781985244596</v>
      </c>
      <c r="AC296" s="173">
        <f t="shared" si="780"/>
        <v>4.217422458388925</v>
      </c>
      <c r="AD296" s="173"/>
      <c r="AE296" s="173">
        <f t="shared" si="781"/>
        <v>7.6508781985244596</v>
      </c>
      <c r="AF296" s="545">
        <f t="shared" si="782"/>
        <v>209.12631968295798</v>
      </c>
      <c r="AG296" s="528">
        <f t="shared" si="783"/>
        <v>4.2174224583889259</v>
      </c>
      <c r="AI296" s="173">
        <f t="shared" si="784"/>
        <v>7.7298368063157534</v>
      </c>
      <c r="AJ296" s="173">
        <f t="shared" si="785"/>
        <v>18.968744335169553</v>
      </c>
      <c r="AK296" s="173">
        <f t="shared" si="786"/>
        <v>7.8435143223478168</v>
      </c>
      <c r="AM296" s="545">
        <f t="shared" si="787"/>
        <v>8000</v>
      </c>
      <c r="AN296" s="460">
        <f t="shared" si="788"/>
        <v>57.452388444162565</v>
      </c>
      <c r="AP296">
        <f t="shared" si="789"/>
        <v>8000</v>
      </c>
      <c r="AQ296">
        <f t="shared" si="790"/>
        <v>57.452388444162565</v>
      </c>
      <c r="AS296" s="5">
        <f t="shared" si="763"/>
        <v>17.405716752261583</v>
      </c>
      <c r="AT296" s="5">
        <f t="shared" si="791"/>
        <v>2.6929615035282715</v>
      </c>
      <c r="AU296" s="5">
        <f t="shared" si="722"/>
        <v>14.712755248733311</v>
      </c>
      <c r="AV296" s="5"/>
      <c r="AW296" s="173">
        <f t="shared" si="723"/>
        <v>0.15471707036588228</v>
      </c>
      <c r="AX296" s="173">
        <f t="shared" si="792"/>
        <v>124.03278765510488</v>
      </c>
      <c r="AY296" s="173">
        <f t="shared" si="793"/>
        <v>8.0169778915563477</v>
      </c>
      <c r="AZ296" s="173">
        <f t="shared" si="794"/>
        <v>15.471264774939552</v>
      </c>
      <c r="BA296" s="460">
        <f t="shared" si="724"/>
        <v>143.62461352150783</v>
      </c>
      <c r="BB296" s="5">
        <f t="shared" si="725"/>
        <v>7.2025714395160199</v>
      </c>
      <c r="BD296" s="173">
        <f t="shared" si="841"/>
        <v>4.3077160894434146</v>
      </c>
      <c r="BE296" s="173">
        <f t="shared" si="842"/>
        <v>10.068829920953709</v>
      </c>
      <c r="BG296" s="528">
        <f t="shared" si="843"/>
        <v>0.37112835814499329</v>
      </c>
      <c r="BH296" s="528">
        <f t="shared" si="795"/>
        <v>2.0476726291529297</v>
      </c>
      <c r="BI296" s="528">
        <f t="shared" si="796"/>
        <v>0.12140533755283907</v>
      </c>
      <c r="BJ296" s="528">
        <f t="shared" si="844"/>
        <v>5.7694345638530431E-2</v>
      </c>
      <c r="BK296">
        <f t="shared" si="845"/>
        <v>3.8036644517833611E-2</v>
      </c>
      <c r="BL296" s="460">
        <f t="shared" si="846"/>
        <v>159.44198207067268</v>
      </c>
      <c r="BM296" s="528">
        <f t="shared" si="797"/>
        <v>2.8258869801896371</v>
      </c>
      <c r="BN296" s="460">
        <f t="shared" si="847"/>
        <v>2825.8869801896371</v>
      </c>
      <c r="BO296" s="528">
        <f t="shared" si="798"/>
        <v>5.6</v>
      </c>
      <c r="BR296" s="460">
        <f t="shared" si="848"/>
        <v>5600</v>
      </c>
      <c r="BS296" s="528">
        <f t="shared" si="849"/>
        <v>0.5566925372174899</v>
      </c>
      <c r="BT296" s="528">
        <f t="shared" si="850"/>
        <v>3.04144007931278</v>
      </c>
      <c r="BU296" s="528">
        <f t="shared" si="851"/>
        <v>1.9603638365037679</v>
      </c>
      <c r="BV296" s="528"/>
      <c r="BW296" s="528">
        <f t="shared" si="852"/>
        <v>2.0672131275850814E-2</v>
      </c>
      <c r="BX296" s="460">
        <f t="shared" si="853"/>
        <v>5579.1685843098885</v>
      </c>
      <c r="BY296" s="173">
        <f t="shared" si="854"/>
        <v>13.815105899317015</v>
      </c>
      <c r="BZ296" s="5">
        <f t="shared" si="855"/>
        <v>120</v>
      </c>
      <c r="CA296" s="173">
        <f t="shared" si="856"/>
        <v>0.89675974318092644</v>
      </c>
      <c r="CB296" s="5">
        <f t="shared" si="857"/>
        <v>89.675974318092642</v>
      </c>
      <c r="CE296" s="562">
        <f t="shared" si="799"/>
        <v>-50</v>
      </c>
      <c r="CF296">
        <f t="shared" si="800"/>
        <v>-50</v>
      </c>
      <c r="CG296" s="173">
        <f t="shared" si="801"/>
        <v>0.84366240872885179</v>
      </c>
      <c r="CI296" s="170">
        <v>80</v>
      </c>
      <c r="CJ296" s="217">
        <f t="shared" si="858"/>
        <v>8</v>
      </c>
      <c r="CK296" s="217"/>
      <c r="CL296" s="217">
        <f t="shared" si="802"/>
        <v>120</v>
      </c>
      <c r="CM296" s="541">
        <f t="shared" si="803"/>
        <v>85</v>
      </c>
      <c r="CN296" s="443">
        <f t="shared" si="804"/>
        <v>15.4</v>
      </c>
      <c r="CO296" s="443">
        <f t="shared" si="805"/>
        <v>100.4</v>
      </c>
      <c r="CP296" s="443"/>
      <c r="CQ296" s="217">
        <f t="shared" si="806"/>
        <v>0.15338645418326693</v>
      </c>
      <c r="CR296" s="172">
        <f t="shared" si="807"/>
        <v>327.33148655378488</v>
      </c>
      <c r="CS296" s="172">
        <f t="shared" si="808"/>
        <v>120</v>
      </c>
      <c r="CT296" s="217">
        <f t="shared" si="809"/>
        <v>21.822099103585661</v>
      </c>
      <c r="CU296" s="217">
        <f t="shared" si="810"/>
        <v>15</v>
      </c>
      <c r="CV296" s="217"/>
      <c r="CW296" s="172">
        <f t="shared" si="811"/>
        <v>180.81262489655126</v>
      </c>
      <c r="CX296" s="172">
        <f t="shared" si="812"/>
        <v>15</v>
      </c>
      <c r="CY296" s="217">
        <f t="shared" si="813"/>
        <v>18.407944996180291</v>
      </c>
      <c r="CZ296" s="217">
        <f t="shared" si="814"/>
        <v>2.5987687053430997</v>
      </c>
      <c r="DA296" s="217">
        <f t="shared" si="815"/>
        <v>14.343853243776849</v>
      </c>
      <c r="DB296" s="197">
        <f t="shared" si="816"/>
        <v>108.64873837981409</v>
      </c>
      <c r="DC296" s="443">
        <f t="shared" si="817"/>
        <v>59.02274175762642</v>
      </c>
      <c r="DE296" s="217">
        <f t="shared" si="818"/>
        <v>10</v>
      </c>
      <c r="DF296" s="173">
        <f t="shared" si="819"/>
        <v>7.7922077922077913</v>
      </c>
      <c r="DG296" s="173">
        <f t="shared" si="820"/>
        <v>4.2330677290836656</v>
      </c>
      <c r="DH296" s="173"/>
      <c r="DI296" s="173">
        <f t="shared" si="821"/>
        <v>7.7922077922077913</v>
      </c>
      <c r="DJ296" s="545">
        <f t="shared" si="822"/>
        <v>205.33333333333334</v>
      </c>
      <c r="DK296" s="528">
        <f t="shared" si="823"/>
        <v>4.2330677290836656</v>
      </c>
      <c r="DM296" s="173">
        <f t="shared" si="824"/>
        <v>7.6594168620507048</v>
      </c>
      <c r="DN296" s="173">
        <f t="shared" si="825"/>
        <v>18.407944996180291</v>
      </c>
      <c r="DO296" s="173">
        <f t="shared" si="826"/>
        <v>7.4281074045779931</v>
      </c>
      <c r="DQ296" s="545">
        <f t="shared" si="827"/>
        <v>8000</v>
      </c>
      <c r="DR296" s="460">
        <f t="shared" si="828"/>
        <v>59.02274175762642</v>
      </c>
      <c r="DT296">
        <f t="shared" si="829"/>
        <v>8000</v>
      </c>
      <c r="DU296">
        <f t="shared" si="830"/>
        <v>59.02274175762642</v>
      </c>
      <c r="DW296" s="5">
        <f t="shared" si="859"/>
        <v>16.94262194911995</v>
      </c>
      <c r="DX296" s="5">
        <f t="shared" si="831"/>
        <v>2.5987687053430997</v>
      </c>
      <c r="DY296" s="5">
        <f t="shared" si="832"/>
        <v>14.34385324377685</v>
      </c>
      <c r="DZ296" s="5"/>
      <c r="EA296" s="173">
        <f t="shared" si="833"/>
        <v>0.15338645418326693</v>
      </c>
      <c r="EB296" s="173">
        <f t="shared" si="860"/>
        <v>120</v>
      </c>
      <c r="EC296" s="173">
        <f t="shared" si="861"/>
        <v>7.792207792207793</v>
      </c>
      <c r="ED296" s="173">
        <f t="shared" si="862"/>
        <v>15.399999999999999</v>
      </c>
      <c r="EE296" s="460">
        <f t="shared" si="834"/>
        <v>138.60099761829863</v>
      </c>
      <c r="EF296" s="5">
        <f t="shared" si="835"/>
        <v>6.9828088813518132</v>
      </c>
      <c r="EH296" s="173">
        <f t="shared" si="863"/>
        <v>4.1623460574881728</v>
      </c>
      <c r="EI296" s="173">
        <f t="shared" si="864"/>
        <v>9.7788388007904938</v>
      </c>
      <c r="EK296" s="528">
        <f t="shared" si="865"/>
        <v>0.34650249404574673</v>
      </c>
      <c r="EL296" s="528">
        <f t="shared" si="866"/>
        <v>2.1816666666666671</v>
      </c>
      <c r="EM296" s="528">
        <f t="shared" si="867"/>
        <v>7.3778427197033021E-3</v>
      </c>
      <c r="EN296" s="528">
        <f t="shared" si="868"/>
        <v>5.9495868055555561E-2</v>
      </c>
      <c r="EO296">
        <f t="shared" si="869"/>
        <v>3.8249999999999999E-2</v>
      </c>
      <c r="EP296" s="460">
        <f t="shared" si="870"/>
        <v>45.627842719703295</v>
      </c>
      <c r="EQ296" s="460"/>
      <c r="ER296" s="460">
        <f t="shared" si="871"/>
        <v>2633.2928714876725</v>
      </c>
      <c r="ES296" s="528">
        <f t="shared" si="872"/>
        <v>5.6</v>
      </c>
      <c r="EV296" s="460">
        <f t="shared" si="873"/>
        <v>5600</v>
      </c>
      <c r="EW296" s="528">
        <f t="shared" si="874"/>
        <v>0.51975374106862005</v>
      </c>
      <c r="EX296" s="528">
        <f t="shared" si="875"/>
        <v>2.8687706487553699</v>
      </c>
      <c r="EY296" s="528">
        <f t="shared" si="876"/>
        <v>1.9455021880180834</v>
      </c>
      <c r="EZ296" s="528"/>
      <c r="FA296" s="528">
        <f t="shared" si="877"/>
        <v>0.02</v>
      </c>
      <c r="FB296" s="460">
        <f t="shared" si="878"/>
        <v>5354.0265778420726</v>
      </c>
      <c r="FC296" s="173">
        <f t="shared" si="879"/>
        <v>13.587319449329746</v>
      </c>
      <c r="FD296" s="5">
        <f t="shared" si="880"/>
        <v>120</v>
      </c>
      <c r="FE296" s="173">
        <f t="shared" si="881"/>
        <v>0.89828885327335661</v>
      </c>
      <c r="FF296" s="5">
        <f t="shared" si="882"/>
        <v>89.828885327335655</v>
      </c>
      <c r="FI296" s="562">
        <f t="shared" si="836"/>
        <v>-50</v>
      </c>
      <c r="FJ296">
        <f t="shared" si="837"/>
        <v>-50</v>
      </c>
      <c r="FL296">
        <f t="shared" si="838"/>
        <v>0.84661354581673309</v>
      </c>
    </row>
    <row r="297" spans="5:168">
      <c r="E297" s="170">
        <v>81</v>
      </c>
      <c r="F297" s="217">
        <f t="shared" si="839"/>
        <v>8.1000000000000014</v>
      </c>
      <c r="G297" s="217"/>
      <c r="H297" s="217">
        <f t="shared" si="764"/>
        <v>121.50000000000003</v>
      </c>
      <c r="I297" s="541">
        <f t="shared" si="765"/>
        <v>84.519970895313435</v>
      </c>
      <c r="J297" s="172">
        <f t="shared" si="766"/>
        <v>15.688017462811942</v>
      </c>
      <c r="K297" s="172">
        <f t="shared" si="767"/>
        <v>100.20798835812538</v>
      </c>
      <c r="L297" s="443"/>
      <c r="M297" s="217">
        <f t="shared" si="768"/>
        <v>0.15654621320663295</v>
      </c>
      <c r="N297" s="172">
        <f t="shared" si="769"/>
        <v>332.18785824695328</v>
      </c>
      <c r="O297" s="172">
        <f t="shared" si="762"/>
        <v>121.50000000000003</v>
      </c>
      <c r="P297" s="217">
        <f t="shared" si="770"/>
        <v>22.145857216463551</v>
      </c>
      <c r="Q297" s="217">
        <f t="shared" si="771"/>
        <v>15</v>
      </c>
      <c r="R297" s="217"/>
      <c r="S297" s="172">
        <f t="shared" si="772"/>
        <v>176.53521232997801</v>
      </c>
      <c r="T297" s="172">
        <f t="shared" si="773"/>
        <v>15</v>
      </c>
      <c r="U297" s="217">
        <f t="shared" si="774"/>
        <v>19.206742863280009</v>
      </c>
      <c r="V297" s="217">
        <f t="shared" si="775"/>
        <v>2.7269402949136619</v>
      </c>
      <c r="W297" s="217">
        <f t="shared" si="776"/>
        <v>14.691525867160044</v>
      </c>
      <c r="X297" s="197">
        <f t="shared" si="777"/>
        <v>110.26655667937071</v>
      </c>
      <c r="Y297" s="443">
        <f t="shared" si="840"/>
        <v>56.758629883039681</v>
      </c>
      <c r="AA297" s="217">
        <f t="shared" si="778"/>
        <v>10</v>
      </c>
      <c r="AB297" s="173">
        <f t="shared" si="779"/>
        <v>7.6491500780424966</v>
      </c>
      <c r="AC297" s="173">
        <f t="shared" si="780"/>
        <v>4.2172272031474298</v>
      </c>
      <c r="AD297" s="173"/>
      <c r="AE297" s="173">
        <f t="shared" si="781"/>
        <v>7.6491500780424966</v>
      </c>
      <c r="AF297" s="545">
        <f t="shared" si="782"/>
        <v>211.78823574796124</v>
      </c>
      <c r="AG297" s="528">
        <f t="shared" si="783"/>
        <v>4.2172272031474289</v>
      </c>
      <c r="AI297" s="173">
        <f t="shared" si="784"/>
        <v>7.7788768147732936</v>
      </c>
      <c r="AJ297" s="173">
        <f t="shared" si="785"/>
        <v>19.206742863280009</v>
      </c>
      <c r="AK297" s="173">
        <f t="shared" si="786"/>
        <v>8.0198095283555624</v>
      </c>
      <c r="AM297" s="545">
        <f t="shared" si="787"/>
        <v>8100.0000000000018</v>
      </c>
      <c r="AN297" s="460">
        <f t="shared" si="788"/>
        <v>56.758629883039681</v>
      </c>
      <c r="AP297">
        <f t="shared" si="789"/>
        <v>8100.0000000000018</v>
      </c>
      <c r="AQ297">
        <f t="shared" si="790"/>
        <v>56.758629883039681</v>
      </c>
      <c r="AS297" s="5">
        <f t="shared" si="763"/>
        <v>17.618466162073705</v>
      </c>
      <c r="AT297" s="5">
        <f t="shared" si="791"/>
        <v>2.7269402949136619</v>
      </c>
      <c r="AU297" s="5">
        <f t="shared" si="722"/>
        <v>14.891525867160043</v>
      </c>
      <c r="AV297" s="5"/>
      <c r="AW297" s="173">
        <f t="shared" si="723"/>
        <v>0.15477739491215159</v>
      </c>
      <c r="AX297" s="173">
        <f t="shared" si="792"/>
        <v>125.62920109706235</v>
      </c>
      <c r="AY297" s="173">
        <f t="shared" si="793"/>
        <v>8.1169866190769859</v>
      </c>
      <c r="AZ297" s="173">
        <f t="shared" si="794"/>
        <v>15.477320216569254</v>
      </c>
      <c r="BA297" s="460">
        <f t="shared" si="724"/>
        <v>147.25477592533775</v>
      </c>
      <c r="BB297" s="5">
        <f t="shared" si="725"/>
        <v>7.3817297513930367</v>
      </c>
      <c r="BD297" s="173">
        <f t="shared" si="841"/>
        <v>4.3626147274910387</v>
      </c>
      <c r="BE297" s="173">
        <f t="shared" si="842"/>
        <v>10.194798504377816</v>
      </c>
      <c r="BG297" s="528">
        <f t="shared" si="843"/>
        <v>0.38064814521043422</v>
      </c>
      <c r="BH297" s="528">
        <f t="shared" si="795"/>
        <v>2.0482796085253856</v>
      </c>
      <c r="BI297" s="528">
        <f t="shared" si="796"/>
        <v>0.11993094364430953</v>
      </c>
      <c r="BJ297" s="528">
        <f t="shared" si="844"/>
        <v>5.6994978100864853E-2</v>
      </c>
      <c r="BK297">
        <f t="shared" si="845"/>
        <v>3.8033986902891045E-2</v>
      </c>
      <c r="BL297" s="460">
        <f t="shared" si="846"/>
        <v>157.96493054720057</v>
      </c>
      <c r="BM297" s="528">
        <f t="shared" si="797"/>
        <v>2.8461051731246587</v>
      </c>
      <c r="BN297" s="460">
        <f t="shared" si="847"/>
        <v>2846.1051731246589</v>
      </c>
      <c r="BO297" s="528">
        <f t="shared" si="798"/>
        <v>5.6700000000000008</v>
      </c>
      <c r="BR297" s="460">
        <f t="shared" si="848"/>
        <v>5670.0000000000009</v>
      </c>
      <c r="BS297" s="528">
        <f t="shared" si="849"/>
        <v>0.57097221781565133</v>
      </c>
      <c r="BT297" s="528">
        <f t="shared" si="850"/>
        <v>3.1180174963459248</v>
      </c>
      <c r="BU297" s="528">
        <f t="shared" si="851"/>
        <v>1.9619325296273782</v>
      </c>
      <c r="BV297" s="528"/>
      <c r="BW297" s="528">
        <f t="shared" si="852"/>
        <v>2.0938200182843727E-2</v>
      </c>
      <c r="BX297" s="460">
        <f t="shared" si="853"/>
        <v>5671.8604439717983</v>
      </c>
      <c r="BY297" s="173">
        <f t="shared" si="854"/>
        <v>13.985748106355683</v>
      </c>
      <c r="BZ297" s="5">
        <f t="shared" si="855"/>
        <v>121.50000000000003</v>
      </c>
      <c r="CA297" s="173">
        <f t="shared" si="856"/>
        <v>0.89677328942836898</v>
      </c>
      <c r="CB297" s="5">
        <f t="shared" si="857"/>
        <v>89.677328942836894</v>
      </c>
      <c r="CE297" s="562">
        <f t="shared" si="799"/>
        <v>-50</v>
      </c>
      <c r="CF297">
        <f t="shared" si="800"/>
        <v>-50</v>
      </c>
      <c r="CG297" s="173">
        <f t="shared" si="801"/>
        <v>0.84369884252006022</v>
      </c>
      <c r="CI297" s="170">
        <v>81</v>
      </c>
      <c r="CJ297" s="217">
        <f t="shared" si="858"/>
        <v>8.1000000000000014</v>
      </c>
      <c r="CK297" s="217"/>
      <c r="CL297" s="217">
        <f t="shared" si="802"/>
        <v>121.50000000000003</v>
      </c>
      <c r="CM297" s="541">
        <f t="shared" si="803"/>
        <v>85</v>
      </c>
      <c r="CN297" s="443">
        <f t="shared" si="804"/>
        <v>15.4</v>
      </c>
      <c r="CO297" s="443">
        <f t="shared" si="805"/>
        <v>100.4</v>
      </c>
      <c r="CP297" s="443"/>
      <c r="CQ297" s="217">
        <f t="shared" si="806"/>
        <v>0.15338645418326693</v>
      </c>
      <c r="CR297" s="172">
        <f t="shared" si="807"/>
        <v>327.33148655378488</v>
      </c>
      <c r="CS297" s="172">
        <f t="shared" si="808"/>
        <v>121.50000000000003</v>
      </c>
      <c r="CT297" s="217">
        <f t="shared" si="809"/>
        <v>21.822099103585661</v>
      </c>
      <c r="CU297" s="217">
        <f t="shared" si="810"/>
        <v>15</v>
      </c>
      <c r="CV297" s="217"/>
      <c r="CW297" s="172">
        <f t="shared" si="811"/>
        <v>177.53675813706369</v>
      </c>
      <c r="CX297" s="172">
        <f t="shared" si="812"/>
        <v>15</v>
      </c>
      <c r="CY297" s="217">
        <f t="shared" si="813"/>
        <v>18.638044308632548</v>
      </c>
      <c r="CZ297" s="217">
        <f t="shared" si="814"/>
        <v>2.6312533141598893</v>
      </c>
      <c r="DA297" s="217">
        <f t="shared" si="815"/>
        <v>14.523151409324063</v>
      </c>
      <c r="DB297" s="197">
        <f t="shared" si="816"/>
        <v>108.64873837981409</v>
      </c>
      <c r="DC297" s="443">
        <f t="shared" si="817"/>
        <v>58.294065933458178</v>
      </c>
      <c r="DE297" s="217">
        <f t="shared" si="818"/>
        <v>10</v>
      </c>
      <c r="DF297" s="173">
        <f t="shared" si="819"/>
        <v>7.7922077922077913</v>
      </c>
      <c r="DG297" s="173">
        <f t="shared" si="820"/>
        <v>4.2330677290836656</v>
      </c>
      <c r="DH297" s="173"/>
      <c r="DI297" s="173">
        <f t="shared" si="821"/>
        <v>7.7922077922077913</v>
      </c>
      <c r="DJ297" s="545">
        <f t="shared" si="822"/>
        <v>207.90000000000006</v>
      </c>
      <c r="DK297" s="528">
        <f t="shared" si="823"/>
        <v>4.2330677290836656</v>
      </c>
      <c r="DM297" s="173">
        <f t="shared" si="824"/>
        <v>7.7071395471990787</v>
      </c>
      <c r="DN297" s="173">
        <f t="shared" si="825"/>
        <v>18.638044308632548</v>
      </c>
      <c r="DO297" s="173">
        <f t="shared" si="826"/>
        <v>7.5985513397278135</v>
      </c>
      <c r="DQ297" s="545">
        <f t="shared" si="827"/>
        <v>8100.0000000000018</v>
      </c>
      <c r="DR297" s="460">
        <f t="shared" si="828"/>
        <v>58.294065933458178</v>
      </c>
      <c r="DT297">
        <f t="shared" si="829"/>
        <v>8100.0000000000018</v>
      </c>
      <c r="DU297">
        <f t="shared" si="830"/>
        <v>58.294065933458178</v>
      </c>
      <c r="DW297" s="5">
        <f t="shared" si="859"/>
        <v>17.154404723483953</v>
      </c>
      <c r="DX297" s="5">
        <f t="shared" si="831"/>
        <v>2.6312533141598893</v>
      </c>
      <c r="DY297" s="5">
        <f t="shared" si="832"/>
        <v>14.523151409324065</v>
      </c>
      <c r="DZ297" s="5"/>
      <c r="EA297" s="173">
        <f t="shared" si="833"/>
        <v>0.15338645418326693</v>
      </c>
      <c r="EB297" s="173">
        <f t="shared" si="860"/>
        <v>121.50000000000003</v>
      </c>
      <c r="EC297" s="173">
        <f t="shared" si="861"/>
        <v>7.8896103896103913</v>
      </c>
      <c r="ED297" s="173">
        <f t="shared" si="862"/>
        <v>15.4</v>
      </c>
      <c r="EE297" s="460">
        <f t="shared" si="834"/>
        <v>142.08767896463402</v>
      </c>
      <c r="EF297" s="5">
        <f t="shared" si="835"/>
        <v>7.1584701672733226</v>
      </c>
      <c r="EH297" s="173">
        <f t="shared" si="863"/>
        <v>4.2143753832067752</v>
      </c>
      <c r="EI297" s="173">
        <f t="shared" si="864"/>
        <v>9.9010742858003784</v>
      </c>
      <c r="EK297" s="528">
        <f t="shared" si="865"/>
        <v>0.35521919741158509</v>
      </c>
      <c r="EL297" s="528">
        <f t="shared" si="866"/>
        <v>2.1816666666666666</v>
      </c>
      <c r="EM297" s="528">
        <f t="shared" si="867"/>
        <v>7.2867582416822722E-3</v>
      </c>
      <c r="EN297" s="528">
        <f t="shared" si="868"/>
        <v>5.8761351165980788E-2</v>
      </c>
      <c r="EO297">
        <f t="shared" si="869"/>
        <v>3.8249999999999999E-2</v>
      </c>
      <c r="EP297" s="460">
        <f t="shared" si="870"/>
        <v>45.536758241682271</v>
      </c>
      <c r="EQ297" s="460"/>
      <c r="ER297" s="460">
        <f t="shared" si="871"/>
        <v>2641.1839734859154</v>
      </c>
      <c r="ES297" s="528">
        <f t="shared" si="872"/>
        <v>5.6700000000000008</v>
      </c>
      <c r="EV297" s="460">
        <f t="shared" si="873"/>
        <v>5670.0000000000009</v>
      </c>
      <c r="EW297" s="528">
        <f t="shared" si="874"/>
        <v>0.53282879611737755</v>
      </c>
      <c r="EX297" s="528">
        <f t="shared" si="875"/>
        <v>2.9409381603881242</v>
      </c>
      <c r="EY297" s="528">
        <f t="shared" si="876"/>
        <v>1.9455021880180834</v>
      </c>
      <c r="EZ297" s="528"/>
      <c r="FA297" s="528">
        <f t="shared" si="877"/>
        <v>2.0250000000000004E-2</v>
      </c>
      <c r="FB297" s="460">
        <f t="shared" si="878"/>
        <v>5439.5191445235851</v>
      </c>
      <c r="FC297" s="173">
        <f t="shared" si="879"/>
        <v>13.750703118009502</v>
      </c>
      <c r="FD297" s="5">
        <f t="shared" si="880"/>
        <v>121.50000000000003</v>
      </c>
      <c r="FE297" s="173">
        <f t="shared" si="881"/>
        <v>0.89833174393177317</v>
      </c>
      <c r="FF297" s="5">
        <f t="shared" si="882"/>
        <v>89.833174393177316</v>
      </c>
      <c r="FI297" s="562">
        <f t="shared" si="836"/>
        <v>-50</v>
      </c>
      <c r="FJ297">
        <f t="shared" si="837"/>
        <v>-50</v>
      </c>
      <c r="FL297">
        <f t="shared" si="838"/>
        <v>0.84661354581673309</v>
      </c>
    </row>
    <row r="298" spans="5:168">
      <c r="E298" s="170">
        <v>82</v>
      </c>
      <c r="F298" s="217">
        <f t="shared" si="839"/>
        <v>8.1999999999999993</v>
      </c>
      <c r="G298" s="217"/>
      <c r="H298" s="217">
        <f t="shared" si="764"/>
        <v>122.99999999999999</v>
      </c>
      <c r="I298" s="541">
        <f t="shared" si="765"/>
        <v>84.514065082583286</v>
      </c>
      <c r="J298" s="172">
        <f t="shared" si="766"/>
        <v>15.691560950450029</v>
      </c>
      <c r="K298" s="172">
        <f t="shared" si="767"/>
        <v>100.20562603303331</v>
      </c>
      <c r="L298" s="443"/>
      <c r="M298" s="217">
        <f t="shared" si="768"/>
        <v>0.15658526664901637</v>
      </c>
      <c r="N298" s="172">
        <f t="shared" si="769"/>
        <v>332.24751151422396</v>
      </c>
      <c r="O298" s="172">
        <f t="shared" si="762"/>
        <v>122.99999999999999</v>
      </c>
      <c r="P298" s="217">
        <f t="shared" si="770"/>
        <v>22.149834100948265</v>
      </c>
      <c r="Q298" s="217">
        <f t="shared" si="771"/>
        <v>15</v>
      </c>
      <c r="R298" s="217"/>
      <c r="S298" s="172">
        <f t="shared" si="772"/>
        <v>173.34533746165243</v>
      </c>
      <c r="T298" s="172">
        <f t="shared" si="773"/>
        <v>15</v>
      </c>
      <c r="U298" s="217">
        <f t="shared" si="774"/>
        <v>19.44476347341114</v>
      </c>
      <c r="V298" s="217">
        <f t="shared" si="775"/>
        <v>2.7609269705927324</v>
      </c>
      <c r="W298" s="217">
        <f t="shared" si="776"/>
        <v>14.870232631269335</v>
      </c>
      <c r="X298" s="197">
        <f t="shared" si="777"/>
        <v>110.28635615865863</v>
      </c>
      <c r="Y298" s="443">
        <f t="shared" si="840"/>
        <v>56.08160222488123</v>
      </c>
      <c r="AA298" s="217">
        <f t="shared" si="778"/>
        <v>10</v>
      </c>
      <c r="AB298" s="173">
        <f t="shared" si="779"/>
        <v>7.6474227375421453</v>
      </c>
      <c r="AC298" s="173">
        <f t="shared" si="780"/>
        <v>4.2170319386419859</v>
      </c>
      <c r="AD298" s="173"/>
      <c r="AE298" s="173">
        <f t="shared" si="781"/>
        <v>7.6474227375421453</v>
      </c>
      <c r="AF298" s="545">
        <f t="shared" si="782"/>
        <v>214.45133298948372</v>
      </c>
      <c r="AG298" s="528">
        <f t="shared" si="783"/>
        <v>4.2170319386419868</v>
      </c>
      <c r="AI298" s="173">
        <f t="shared" si="784"/>
        <v>7.8276311503268197</v>
      </c>
      <c r="AJ298" s="173">
        <f t="shared" si="785"/>
        <v>19.44476347341114</v>
      </c>
      <c r="AK298" s="173">
        <f t="shared" si="786"/>
        <v>8.1961210914156588</v>
      </c>
      <c r="AM298" s="545">
        <f t="shared" si="787"/>
        <v>8200</v>
      </c>
      <c r="AN298" s="460">
        <f t="shared" si="788"/>
        <v>56.08160222488123</v>
      </c>
      <c r="AP298">
        <f t="shared" si="789"/>
        <v>8200</v>
      </c>
      <c r="AQ298">
        <f t="shared" si="790"/>
        <v>56.08160222488123</v>
      </c>
      <c r="AS298" s="5">
        <f t="shared" si="763"/>
        <v>17.831159601862066</v>
      </c>
      <c r="AT298" s="5">
        <f t="shared" si="791"/>
        <v>2.7609269705927324</v>
      </c>
      <c r="AU298" s="5">
        <f t="shared" ref="AU298:AU316" si="883">AS298-AT298</f>
        <v>15.070232631269333</v>
      </c>
      <c r="AV298" s="5"/>
      <c r="AW298" s="173">
        <f t="shared" ref="AW298:AW315" si="884">AT298/AS298</f>
        <v>0.15483720813672799</v>
      </c>
      <c r="AX298" s="173">
        <f t="shared" si="792"/>
        <v>127.22632794922212</v>
      </c>
      <c r="AY298" s="173">
        <f t="shared" si="793"/>
        <v>8.2169952921545661</v>
      </c>
      <c r="AZ298" s="173">
        <f t="shared" si="794"/>
        <v>15.483315180999975</v>
      </c>
      <c r="BA298" s="460">
        <f t="shared" si="724"/>
        <v>150.93067439240272</v>
      </c>
      <c r="BB298" s="5">
        <f t="shared" si="725"/>
        <v>7.5630692739594192</v>
      </c>
      <c r="BD298" s="173">
        <f t="shared" si="841"/>
        <v>4.4175319919893141</v>
      </c>
      <c r="BE298" s="173">
        <f t="shared" si="842"/>
        <v>10.320772901227839</v>
      </c>
      <c r="BG298" s="528">
        <f t="shared" si="843"/>
        <v>0.39029177800498155</v>
      </c>
      <c r="BH298" s="528">
        <f t="shared" si="795"/>
        <v>2.0488796793331669</v>
      </c>
      <c r="BI298" s="528">
        <f t="shared" si="796"/>
        <v>0.11849210450922899</v>
      </c>
      <c r="BJ298" s="528">
        <f t="shared" si="844"/>
        <v>5.6312476097311957E-2</v>
      </c>
      <c r="BK298">
        <f t="shared" si="845"/>
        <v>3.8031329287162477E-2</v>
      </c>
      <c r="BL298" s="460">
        <f t="shared" si="846"/>
        <v>156.52343379639146</v>
      </c>
      <c r="BM298" s="528">
        <f t="shared" si="797"/>
        <v>2.8667014774514255</v>
      </c>
      <c r="BN298" s="460">
        <f t="shared" si="847"/>
        <v>2866.7014774514255</v>
      </c>
      <c r="BO298" s="528">
        <f t="shared" si="798"/>
        <v>5.7399999999999993</v>
      </c>
      <c r="BR298" s="460">
        <f t="shared" si="848"/>
        <v>5739.9999999999991</v>
      </c>
      <c r="BS298" s="528">
        <f t="shared" si="849"/>
        <v>0.58543766700747224</v>
      </c>
      <c r="BT298" s="528">
        <f t="shared" si="850"/>
        <v>3.1955505983615669</v>
      </c>
      <c r="BU298" s="528">
        <f t="shared" si="851"/>
        <v>1.9634854981189434</v>
      </c>
      <c r="BV298" s="528"/>
      <c r="BW298" s="528">
        <f t="shared" si="852"/>
        <v>2.1204387991537024E-2</v>
      </c>
      <c r="BX298" s="460">
        <f t="shared" si="853"/>
        <v>5765.6781514795193</v>
      </c>
      <c r="BY298" s="173">
        <f t="shared" si="854"/>
        <v>14.157685518711371</v>
      </c>
      <c r="BZ298" s="5">
        <f t="shared" si="855"/>
        <v>122.99999999999999</v>
      </c>
      <c r="CA298" s="173">
        <f t="shared" si="856"/>
        <v>0.89677803715359461</v>
      </c>
      <c r="CB298" s="5">
        <f t="shared" si="857"/>
        <v>89.67780371535946</v>
      </c>
      <c r="CE298" s="562">
        <f t="shared" si="799"/>
        <v>-50</v>
      </c>
      <c r="CF298">
        <f t="shared" si="800"/>
        <v>-50</v>
      </c>
      <c r="CG298" s="173">
        <f t="shared" si="801"/>
        <v>0.84373438768221476</v>
      </c>
      <c r="CI298" s="170">
        <v>82</v>
      </c>
      <c r="CJ298" s="217">
        <f t="shared" si="858"/>
        <v>8.1999999999999993</v>
      </c>
      <c r="CK298" s="217"/>
      <c r="CL298" s="217">
        <f t="shared" si="802"/>
        <v>122.99999999999999</v>
      </c>
      <c r="CM298" s="541">
        <f t="shared" si="803"/>
        <v>85</v>
      </c>
      <c r="CN298" s="443">
        <f t="shared" si="804"/>
        <v>15.4</v>
      </c>
      <c r="CO298" s="443">
        <f t="shared" si="805"/>
        <v>100.4</v>
      </c>
      <c r="CP298" s="443"/>
      <c r="CQ298" s="217">
        <f t="shared" si="806"/>
        <v>0.15338645418326693</v>
      </c>
      <c r="CR298" s="172">
        <f t="shared" si="807"/>
        <v>327.33148655378488</v>
      </c>
      <c r="CS298" s="172">
        <f t="shared" si="808"/>
        <v>122.99999999999999</v>
      </c>
      <c r="CT298" s="217">
        <f t="shared" si="809"/>
        <v>21.822099103585661</v>
      </c>
      <c r="CU298" s="217">
        <f t="shared" si="810"/>
        <v>15</v>
      </c>
      <c r="CV298" s="217"/>
      <c r="CW298" s="172">
        <f t="shared" si="811"/>
        <v>174.34091524113057</v>
      </c>
      <c r="CX298" s="172">
        <f t="shared" si="812"/>
        <v>15</v>
      </c>
      <c r="CY298" s="217">
        <f t="shared" si="813"/>
        <v>18.868143621084794</v>
      </c>
      <c r="CZ298" s="217">
        <f t="shared" si="814"/>
        <v>2.6637379229766771</v>
      </c>
      <c r="DA298" s="217">
        <f t="shared" si="815"/>
        <v>14.702449574871268</v>
      </c>
      <c r="DB298" s="197">
        <f t="shared" si="816"/>
        <v>108.64873837981409</v>
      </c>
      <c r="DC298" s="443">
        <f t="shared" si="817"/>
        <v>57.583162690367253</v>
      </c>
      <c r="DE298" s="217">
        <f t="shared" si="818"/>
        <v>10</v>
      </c>
      <c r="DF298" s="173">
        <f t="shared" si="819"/>
        <v>7.7922077922077913</v>
      </c>
      <c r="DG298" s="173">
        <f t="shared" si="820"/>
        <v>4.2330677290836656</v>
      </c>
      <c r="DH298" s="173"/>
      <c r="DI298" s="173">
        <f t="shared" si="821"/>
        <v>7.7922077922077913</v>
      </c>
      <c r="DJ298" s="545">
        <f t="shared" si="822"/>
        <v>210.46666666666667</v>
      </c>
      <c r="DK298" s="528">
        <f t="shared" si="823"/>
        <v>4.2330677290836656</v>
      </c>
      <c r="DM298" s="173">
        <f t="shared" si="824"/>
        <v>7.7545685459175182</v>
      </c>
      <c r="DN298" s="173">
        <f t="shared" si="825"/>
        <v>18.868143621084794</v>
      </c>
      <c r="DO298" s="173">
        <f t="shared" si="826"/>
        <v>7.7689952748776259</v>
      </c>
      <c r="DQ298" s="545">
        <f t="shared" si="827"/>
        <v>8200</v>
      </c>
      <c r="DR298" s="460">
        <f t="shared" si="828"/>
        <v>57.583162690367253</v>
      </c>
      <c r="DT298">
        <f t="shared" si="829"/>
        <v>8200</v>
      </c>
      <c r="DU298">
        <f t="shared" si="830"/>
        <v>57.583162690367253</v>
      </c>
      <c r="DW298" s="5">
        <f t="shared" si="859"/>
        <v>17.366187497847946</v>
      </c>
      <c r="DX298" s="5">
        <f t="shared" si="831"/>
        <v>2.6637379229766771</v>
      </c>
      <c r="DY298" s="5">
        <f t="shared" si="832"/>
        <v>14.702449574871268</v>
      </c>
      <c r="DZ298" s="5"/>
      <c r="EA298" s="173">
        <f t="shared" si="833"/>
        <v>0.15338645418326693</v>
      </c>
      <c r="EB298" s="173">
        <f t="shared" si="860"/>
        <v>123</v>
      </c>
      <c r="EC298" s="173">
        <f t="shared" si="861"/>
        <v>7.987012987012986</v>
      </c>
      <c r="ED298" s="173">
        <f t="shared" si="862"/>
        <v>15.400000000000002</v>
      </c>
      <c r="EE298" s="460">
        <f t="shared" si="834"/>
        <v>145.61767312272499</v>
      </c>
      <c r="EF298" s="5">
        <f t="shared" si="835"/>
        <v>7.3363135809702449</v>
      </c>
      <c r="EH298" s="173">
        <f t="shared" si="863"/>
        <v>4.2664047089253758</v>
      </c>
      <c r="EI298" s="173">
        <f t="shared" si="864"/>
        <v>10.023309770810256</v>
      </c>
      <c r="EK298" s="528">
        <f t="shared" si="865"/>
        <v>0.36404418280681244</v>
      </c>
      <c r="EL298" s="528">
        <f t="shared" si="866"/>
        <v>2.1816666666666671</v>
      </c>
      <c r="EM298" s="528">
        <f t="shared" si="867"/>
        <v>7.1978953362959062E-3</v>
      </c>
      <c r="EN298" s="528">
        <f t="shared" si="868"/>
        <v>5.804474932249324E-2</v>
      </c>
      <c r="EO298">
        <f t="shared" si="869"/>
        <v>3.8249999999999999E-2</v>
      </c>
      <c r="EP298" s="460">
        <f t="shared" si="870"/>
        <v>45.4478953362959</v>
      </c>
      <c r="EQ298" s="460"/>
      <c r="ER298" s="460">
        <f t="shared" si="871"/>
        <v>2649.203494132269</v>
      </c>
      <c r="ES298" s="528">
        <f t="shared" si="872"/>
        <v>5.7399999999999993</v>
      </c>
      <c r="EV298" s="460">
        <f t="shared" si="873"/>
        <v>5739.9999999999991</v>
      </c>
      <c r="EW298" s="528">
        <f t="shared" si="874"/>
        <v>0.54606627421021858</v>
      </c>
      <c r="EX298" s="528">
        <f t="shared" si="875"/>
        <v>3.0140021628486102</v>
      </c>
      <c r="EY298" s="528">
        <f t="shared" si="876"/>
        <v>1.9455021880180834</v>
      </c>
      <c r="EZ298" s="528"/>
      <c r="FA298" s="528">
        <f t="shared" si="877"/>
        <v>2.0500000000000001E-2</v>
      </c>
      <c r="FB298" s="460">
        <f t="shared" si="878"/>
        <v>5526.0706250769126</v>
      </c>
      <c r="FC298" s="173">
        <f t="shared" si="879"/>
        <v>13.915274119209181</v>
      </c>
      <c r="FD298" s="5">
        <f t="shared" si="880"/>
        <v>122.99999999999999</v>
      </c>
      <c r="FE298" s="173">
        <f t="shared" si="881"/>
        <v>0.89836580170672964</v>
      </c>
      <c r="FF298" s="5">
        <f t="shared" si="882"/>
        <v>89.83658017067296</v>
      </c>
      <c r="FI298" s="562">
        <f t="shared" si="836"/>
        <v>-50</v>
      </c>
      <c r="FJ298">
        <f t="shared" si="837"/>
        <v>-50</v>
      </c>
      <c r="FL298">
        <f t="shared" si="838"/>
        <v>0.84661354581673309</v>
      </c>
    </row>
    <row r="299" spans="5:168">
      <c r="E299" s="170">
        <v>83</v>
      </c>
      <c r="F299" s="217">
        <f t="shared" si="839"/>
        <v>8.2999999999999989</v>
      </c>
      <c r="G299" s="217"/>
      <c r="H299" s="217">
        <f t="shared" si="764"/>
        <v>124.49999999999999</v>
      </c>
      <c r="I299" s="541">
        <f t="shared" si="765"/>
        <v>84.50815926816982</v>
      </c>
      <c r="J299" s="172">
        <f t="shared" si="766"/>
        <v>15.695104439098104</v>
      </c>
      <c r="K299" s="172">
        <f t="shared" si="767"/>
        <v>100.20326370726792</v>
      </c>
      <c r="L299" s="443"/>
      <c r="M299" s="217">
        <f t="shared" si="768"/>
        <v>0.15662432193541231</v>
      </c>
      <c r="N299" s="172">
        <f t="shared" si="769"/>
        <v>332.30715710615806</v>
      </c>
      <c r="O299" s="172">
        <f t="shared" si="762"/>
        <v>124.49999999999999</v>
      </c>
      <c r="P299" s="217">
        <f t="shared" si="770"/>
        <v>22.153810473743871</v>
      </c>
      <c r="Q299" s="217">
        <f t="shared" si="771"/>
        <v>15</v>
      </c>
      <c r="R299" s="217"/>
      <c r="S299" s="172">
        <f t="shared" si="772"/>
        <v>170.23259467811903</v>
      </c>
      <c r="T299" s="172">
        <f t="shared" si="773"/>
        <v>15</v>
      </c>
      <c r="U299" s="217">
        <f t="shared" si="774"/>
        <v>19.682806170192553</v>
      </c>
      <c r="V299" s="217">
        <f t="shared" si="775"/>
        <v>2.7949215328758616</v>
      </c>
      <c r="W299" s="217">
        <f t="shared" si="776"/>
        <v>15.048875587850702</v>
      </c>
      <c r="X299" s="197">
        <f t="shared" si="777"/>
        <v>110.30615309636018</v>
      </c>
      <c r="Y299" s="443">
        <f t="shared" si="840"/>
        <v>55.420707366041</v>
      </c>
      <c r="AA299" s="217">
        <f t="shared" si="778"/>
        <v>10</v>
      </c>
      <c r="AB299" s="173">
        <f t="shared" si="779"/>
        <v>7.6456961765139813</v>
      </c>
      <c r="AC299" s="173">
        <f t="shared" si="780"/>
        <v>4.2168366648740339</v>
      </c>
      <c r="AD299" s="173"/>
      <c r="AE299" s="173">
        <f t="shared" si="781"/>
        <v>7.6456961765139813</v>
      </c>
      <c r="AF299" s="545">
        <f t="shared" si="782"/>
        <v>217.11561140752377</v>
      </c>
      <c r="AG299" s="528">
        <f t="shared" si="783"/>
        <v>4.2168366648740339</v>
      </c>
      <c r="AI299" s="173">
        <f t="shared" si="784"/>
        <v>7.8761051180593737</v>
      </c>
      <c r="AJ299" s="173">
        <f t="shared" si="785"/>
        <v>19.682806170192553</v>
      </c>
      <c r="AK299" s="173">
        <f t="shared" si="786"/>
        <v>8.3724490149574464</v>
      </c>
      <c r="AM299" s="545">
        <f t="shared" si="787"/>
        <v>8299.9999999999982</v>
      </c>
      <c r="AN299" s="460">
        <f t="shared" si="788"/>
        <v>55.420707366041</v>
      </c>
      <c r="AP299">
        <f t="shared" si="789"/>
        <v>8299.9999999999982</v>
      </c>
      <c r="AQ299">
        <f t="shared" si="790"/>
        <v>55.420707366041</v>
      </c>
      <c r="AS299" s="5">
        <f t="shared" si="763"/>
        <v>18.043797120726563</v>
      </c>
      <c r="AT299" s="5">
        <f t="shared" si="791"/>
        <v>2.7949215328758616</v>
      </c>
      <c r="AU299" s="5">
        <f t="shared" si="883"/>
        <v>15.248875587850701</v>
      </c>
      <c r="AV299" s="5"/>
      <c r="AW299" s="173">
        <f t="shared" si="884"/>
        <v>0.15489652838455986</v>
      </c>
      <c r="AX299" s="173">
        <f t="shared" si="792"/>
        <v>128.82416804222089</v>
      </c>
      <c r="AY299" s="173">
        <f t="shared" si="793"/>
        <v>8.3170039127817663</v>
      </c>
      <c r="AZ299" s="173">
        <f t="shared" si="794"/>
        <v>15.489251825917851</v>
      </c>
      <c r="BA299" s="460">
        <f t="shared" si="724"/>
        <v>154.652324819131</v>
      </c>
      <c r="BB299" s="5">
        <f t="shared" si="725"/>
        <v>7.7465893158069274</v>
      </c>
      <c r="BD299" s="173">
        <f t="shared" si="841"/>
        <v>4.4724678821033077</v>
      </c>
      <c r="BE299" s="173">
        <f t="shared" si="842"/>
        <v>10.446753113831319</v>
      </c>
      <c r="BG299" s="528">
        <f t="shared" si="843"/>
        <v>0.40005937912891293</v>
      </c>
      <c r="BH299" s="528">
        <f t="shared" si="795"/>
        <v>2.0494730862094874</v>
      </c>
      <c r="BI299" s="528">
        <f t="shared" si="796"/>
        <v>0.11708754912110061</v>
      </c>
      <c r="BJ299" s="528">
        <f t="shared" si="844"/>
        <v>5.5646236711754671E-2</v>
      </c>
      <c r="BK299">
        <f t="shared" si="845"/>
        <v>3.8028671670676417E-2</v>
      </c>
      <c r="BL299" s="460">
        <f t="shared" si="846"/>
        <v>155.11622079177704</v>
      </c>
      <c r="BM299" s="528">
        <f t="shared" si="797"/>
        <v>2.887680643567164</v>
      </c>
      <c r="BN299" s="460">
        <f t="shared" si="847"/>
        <v>2887.6806435671642</v>
      </c>
      <c r="BO299" s="528">
        <f t="shared" si="798"/>
        <v>5.8099999999999987</v>
      </c>
      <c r="BR299" s="460">
        <f t="shared" si="848"/>
        <v>5809.9999999999991</v>
      </c>
      <c r="BS299" s="528">
        <f t="shared" si="849"/>
        <v>0.60008906869336931</v>
      </c>
      <c r="BT299" s="528">
        <f t="shared" si="850"/>
        <v>3.2740395186403304</v>
      </c>
      <c r="BU299" s="528">
        <f t="shared" si="851"/>
        <v>1.965023303848189</v>
      </c>
      <c r="BV299" s="528"/>
      <c r="BW299" s="528">
        <f t="shared" si="852"/>
        <v>2.147069467370348E-2</v>
      </c>
      <c r="BX299" s="460">
        <f t="shared" si="853"/>
        <v>5860.6225858555918</v>
      </c>
      <c r="BY299" s="173">
        <f t="shared" si="854"/>
        <v>14.330917508697524</v>
      </c>
      <c r="BZ299" s="5">
        <f t="shared" si="855"/>
        <v>124.49999999999999</v>
      </c>
      <c r="CA299" s="173">
        <f t="shared" si="856"/>
        <v>0.89677430815942205</v>
      </c>
      <c r="CB299" s="5">
        <f t="shared" si="857"/>
        <v>89.677430815942202</v>
      </c>
      <c r="CE299" s="562">
        <f t="shared" si="799"/>
        <v>-50</v>
      </c>
      <c r="CF299">
        <f t="shared" si="800"/>
        <v>-50</v>
      </c>
      <c r="CG299" s="173">
        <f t="shared" si="801"/>
        <v>0.84376907633443787</v>
      </c>
      <c r="CI299" s="170">
        <v>83</v>
      </c>
      <c r="CJ299" s="217">
        <f t="shared" si="858"/>
        <v>8.2999999999999989</v>
      </c>
      <c r="CK299" s="217"/>
      <c r="CL299" s="217">
        <f t="shared" si="802"/>
        <v>124.49999999999999</v>
      </c>
      <c r="CM299" s="541">
        <f t="shared" si="803"/>
        <v>85</v>
      </c>
      <c r="CN299" s="443">
        <f t="shared" si="804"/>
        <v>15.4</v>
      </c>
      <c r="CO299" s="443">
        <f t="shared" si="805"/>
        <v>100.4</v>
      </c>
      <c r="CP299" s="443"/>
      <c r="CQ299" s="217">
        <f t="shared" si="806"/>
        <v>0.15338645418326693</v>
      </c>
      <c r="CR299" s="172">
        <f t="shared" si="807"/>
        <v>327.33148655378488</v>
      </c>
      <c r="CS299" s="172">
        <f t="shared" si="808"/>
        <v>124.49999999999999</v>
      </c>
      <c r="CT299" s="217">
        <f t="shared" si="809"/>
        <v>21.822099103585661</v>
      </c>
      <c r="CU299" s="217">
        <f t="shared" si="810"/>
        <v>15</v>
      </c>
      <c r="CV299" s="217"/>
      <c r="CW299" s="172">
        <f t="shared" si="811"/>
        <v>171.22220594725269</v>
      </c>
      <c r="CX299" s="172">
        <f t="shared" si="812"/>
        <v>15</v>
      </c>
      <c r="CY299" s="217">
        <f t="shared" si="813"/>
        <v>19.098242933537048</v>
      </c>
      <c r="CZ299" s="217">
        <f t="shared" si="814"/>
        <v>2.6962225317934654</v>
      </c>
      <c r="DA299" s="217">
        <f t="shared" si="815"/>
        <v>14.881747740418479</v>
      </c>
      <c r="DB299" s="197">
        <f t="shared" si="816"/>
        <v>108.64873837981409</v>
      </c>
      <c r="DC299" s="443">
        <f t="shared" si="817"/>
        <v>56.889389645904991</v>
      </c>
      <c r="DE299" s="217">
        <f t="shared" si="818"/>
        <v>10</v>
      </c>
      <c r="DF299" s="173">
        <f t="shared" si="819"/>
        <v>7.7922077922077913</v>
      </c>
      <c r="DG299" s="173">
        <f t="shared" si="820"/>
        <v>4.2330677290836656</v>
      </c>
      <c r="DH299" s="173"/>
      <c r="DI299" s="173">
        <f t="shared" si="821"/>
        <v>7.7922077922077913</v>
      </c>
      <c r="DJ299" s="545">
        <f t="shared" si="822"/>
        <v>213.0333333333333</v>
      </c>
      <c r="DK299" s="528">
        <f t="shared" si="823"/>
        <v>4.2330677290836656</v>
      </c>
      <c r="DM299" s="173">
        <f t="shared" si="824"/>
        <v>7.8017092144392732</v>
      </c>
      <c r="DN299" s="173">
        <f t="shared" si="825"/>
        <v>19.098242933537048</v>
      </c>
      <c r="DO299" s="173">
        <f t="shared" si="826"/>
        <v>7.9394392100274418</v>
      </c>
      <c r="DQ299" s="545">
        <f t="shared" si="827"/>
        <v>8299.9999999999982</v>
      </c>
      <c r="DR299" s="460">
        <f t="shared" si="828"/>
        <v>56.889389645904991</v>
      </c>
      <c r="DT299">
        <f t="shared" si="829"/>
        <v>8299.9999999999982</v>
      </c>
      <c r="DU299">
        <f t="shared" si="830"/>
        <v>56.889389645904991</v>
      </c>
      <c r="DW299" s="5">
        <f t="shared" si="859"/>
        <v>17.577970272211946</v>
      </c>
      <c r="DX299" s="5">
        <f t="shared" si="831"/>
        <v>2.6962225317934654</v>
      </c>
      <c r="DY299" s="5">
        <f t="shared" si="832"/>
        <v>14.881747740418481</v>
      </c>
      <c r="DZ299" s="5"/>
      <c r="EA299" s="173">
        <f t="shared" si="833"/>
        <v>0.15338645418326691</v>
      </c>
      <c r="EB299" s="173">
        <f t="shared" si="860"/>
        <v>124.49999999999997</v>
      </c>
      <c r="EC299" s="173">
        <f t="shared" si="861"/>
        <v>8.0844155844155825</v>
      </c>
      <c r="ED299" s="173">
        <f t="shared" si="862"/>
        <v>15.4</v>
      </c>
      <c r="EE299" s="460">
        <f t="shared" si="834"/>
        <v>149.19098009257172</v>
      </c>
      <c r="EF299" s="5">
        <f t="shared" si="835"/>
        <v>7.5163391224425977</v>
      </c>
      <c r="EH299" s="173">
        <f t="shared" si="863"/>
        <v>4.3184340346439773</v>
      </c>
      <c r="EI299" s="173">
        <f t="shared" si="864"/>
        <v>10.145545255820137</v>
      </c>
      <c r="EK299" s="528">
        <f t="shared" si="865"/>
        <v>0.37297745023142925</v>
      </c>
      <c r="EL299" s="528">
        <f t="shared" si="866"/>
        <v>2.1816666666666666</v>
      </c>
      <c r="EM299" s="528">
        <f t="shared" si="867"/>
        <v>7.1111737057381235E-3</v>
      </c>
      <c r="EN299" s="528">
        <f t="shared" si="868"/>
        <v>5.7345414993306573E-2</v>
      </c>
      <c r="EO299">
        <f t="shared" si="869"/>
        <v>3.8249999999999999E-2</v>
      </c>
      <c r="EP299" s="460">
        <f t="shared" si="870"/>
        <v>45.361173705738125</v>
      </c>
      <c r="EQ299" s="460"/>
      <c r="ER299" s="460">
        <f t="shared" si="871"/>
        <v>2657.3507055971409</v>
      </c>
      <c r="ES299" s="528">
        <f t="shared" si="872"/>
        <v>5.8099999999999987</v>
      </c>
      <c r="EV299" s="460">
        <f t="shared" si="873"/>
        <v>5809.9999999999991</v>
      </c>
      <c r="EW299" s="528">
        <f t="shared" si="874"/>
        <v>0.55946617534714382</v>
      </c>
      <c r="EX299" s="528">
        <f t="shared" si="875"/>
        <v>3.0879626561368343</v>
      </c>
      <c r="EY299" s="528">
        <f t="shared" si="876"/>
        <v>1.9455021880180854</v>
      </c>
      <c r="EZ299" s="528"/>
      <c r="FA299" s="528">
        <f t="shared" si="877"/>
        <v>2.0749999999999998E-2</v>
      </c>
      <c r="FB299" s="460">
        <f t="shared" si="878"/>
        <v>5613.6810195020635</v>
      </c>
      <c r="FC299" s="173">
        <f t="shared" si="879"/>
        <v>14.081031725099203</v>
      </c>
      <c r="FD299" s="5">
        <f t="shared" si="880"/>
        <v>124.49999999999999</v>
      </c>
      <c r="FE299" s="173">
        <f t="shared" si="881"/>
        <v>0.8983913487306725</v>
      </c>
      <c r="FF299" s="5">
        <f t="shared" si="882"/>
        <v>89.839134873067252</v>
      </c>
      <c r="FI299" s="562">
        <f t="shared" si="836"/>
        <v>-50</v>
      </c>
      <c r="FJ299">
        <f t="shared" si="837"/>
        <v>-50</v>
      </c>
      <c r="FL299">
        <f t="shared" si="838"/>
        <v>0.84661354581673309</v>
      </c>
    </row>
    <row r="300" spans="5:168">
      <c r="E300" s="170">
        <v>84</v>
      </c>
      <c r="F300" s="217">
        <f t="shared" si="839"/>
        <v>8.4</v>
      </c>
      <c r="G300" s="217"/>
      <c r="H300" s="217">
        <f t="shared" si="764"/>
        <v>126</v>
      </c>
      <c r="I300" s="541">
        <f t="shared" si="765"/>
        <v>84.502253452133374</v>
      </c>
      <c r="J300" s="172">
        <f t="shared" si="766"/>
        <v>15.698647928719977</v>
      </c>
      <c r="K300" s="172">
        <f t="shared" si="767"/>
        <v>100.20090138085335</v>
      </c>
      <c r="L300" s="443"/>
      <c r="M300" s="217">
        <f t="shared" si="768"/>
        <v>0.15666337906585873</v>
      </c>
      <c r="N300" s="172">
        <f t="shared" si="769"/>
        <v>332.36679502224814</v>
      </c>
      <c r="O300" s="172">
        <f t="shared" si="762"/>
        <v>126</v>
      </c>
      <c r="P300" s="217">
        <f t="shared" si="770"/>
        <v>22.157786334816542</v>
      </c>
      <c r="Q300" s="217">
        <f t="shared" si="771"/>
        <v>15</v>
      </c>
      <c r="R300" s="217"/>
      <c r="S300" s="172">
        <f t="shared" si="772"/>
        <v>167.19423145293143</v>
      </c>
      <c r="T300" s="172">
        <f t="shared" si="773"/>
        <v>15</v>
      </c>
      <c r="U300" s="217">
        <f t="shared" si="774"/>
        <v>19.92087095825519</v>
      </c>
      <c r="V300" s="217">
        <f t="shared" si="775"/>
        <v>2.828923984074263</v>
      </c>
      <c r="W300" s="217">
        <f t="shared" si="776"/>
        <v>15.227454783652428</v>
      </c>
      <c r="X300" s="197">
        <f t="shared" si="777"/>
        <v>110.32594749209086</v>
      </c>
      <c r="Y300" s="443">
        <f t="shared" si="840"/>
        <v>54.775375375525329</v>
      </c>
      <c r="AA300" s="217">
        <f t="shared" si="778"/>
        <v>10</v>
      </c>
      <c r="AB300" s="173">
        <f t="shared" si="779"/>
        <v>7.6439703944481323</v>
      </c>
      <c r="AC300" s="173">
        <f t="shared" si="780"/>
        <v>4.2166413818449078</v>
      </c>
      <c r="AD300" s="173"/>
      <c r="AE300" s="173">
        <f t="shared" si="781"/>
        <v>7.6439703944481323</v>
      </c>
      <c r="AF300" s="545">
        <f t="shared" si="782"/>
        <v>219.7810710020797</v>
      </c>
      <c r="AG300" s="528">
        <f t="shared" si="783"/>
        <v>4.2166413818449087</v>
      </c>
      <c r="AI300" s="173">
        <f t="shared" si="784"/>
        <v>7.9243038631087277</v>
      </c>
      <c r="AJ300" s="173">
        <f t="shared" si="785"/>
        <v>19.92087095825519</v>
      </c>
      <c r="AK300" s="173">
        <f t="shared" si="786"/>
        <v>8.5487933024112515</v>
      </c>
      <c r="AM300" s="545">
        <f t="shared" si="787"/>
        <v>8400</v>
      </c>
      <c r="AN300" s="460">
        <f t="shared" si="788"/>
        <v>54.775375375525329</v>
      </c>
      <c r="AP300">
        <f t="shared" si="789"/>
        <v>8400</v>
      </c>
      <c r="AQ300">
        <f t="shared" si="790"/>
        <v>54.775375375525329</v>
      </c>
      <c r="AS300" s="5">
        <f t="shared" si="763"/>
        <v>18.256378767726691</v>
      </c>
      <c r="AT300" s="5">
        <f t="shared" si="791"/>
        <v>2.828923984074263</v>
      </c>
      <c r="AU300" s="5">
        <f t="shared" si="883"/>
        <v>15.427454783652427</v>
      </c>
      <c r="AV300" s="5"/>
      <c r="AW300" s="173">
        <f t="shared" si="884"/>
        <v>0.15495537313649438</v>
      </c>
      <c r="AX300" s="173">
        <f t="shared" si="792"/>
        <v>130.42272121467502</v>
      </c>
      <c r="AY300" s="173">
        <f t="shared" si="793"/>
        <v>8.4170124828574018</v>
      </c>
      <c r="AZ300" s="173">
        <f t="shared" si="794"/>
        <v>15.495132207573869</v>
      </c>
      <c r="BA300" s="460">
        <f t="shared" si="724"/>
        <v>158.41974310815874</v>
      </c>
      <c r="BB300" s="5">
        <f t="shared" si="725"/>
        <v>7.9322891864584175</v>
      </c>
      <c r="BD300" s="173">
        <f t="shared" si="841"/>
        <v>4.5274223971042735</v>
      </c>
      <c r="BE300" s="173">
        <f t="shared" si="842"/>
        <v>10.572739144454649</v>
      </c>
      <c r="BG300" s="528">
        <f t="shared" si="843"/>
        <v>0.40995107123602814</v>
      </c>
      <c r="BH300" s="528">
        <f t="shared" si="795"/>
        <v>2.0500600622645306</v>
      </c>
      <c r="BI300" s="528">
        <f t="shared" si="796"/>
        <v>0.11571606632295965</v>
      </c>
      <c r="BJ300" s="528">
        <f t="shared" si="844"/>
        <v>5.4995685427410332E-2</v>
      </c>
      <c r="BK300">
        <f t="shared" si="845"/>
        <v>3.8026014053460018E-2</v>
      </c>
      <c r="BL300" s="460">
        <f t="shared" si="846"/>
        <v>153.74208037641966</v>
      </c>
      <c r="BM300" s="528">
        <f t="shared" si="797"/>
        <v>2.9090475668789977</v>
      </c>
      <c r="BN300" s="460">
        <f t="shared" si="847"/>
        <v>2909.0475668789977</v>
      </c>
      <c r="BO300" s="528">
        <f t="shared" si="798"/>
        <v>5.88</v>
      </c>
      <c r="BR300" s="460">
        <f t="shared" si="848"/>
        <v>5880</v>
      </c>
      <c r="BS300" s="528">
        <f t="shared" si="849"/>
        <v>0.61492660685404221</v>
      </c>
      <c r="BT300" s="528">
        <f t="shared" si="850"/>
        <v>3.3534843905005087</v>
      </c>
      <c r="BU300" s="528">
        <f t="shared" si="851"/>
        <v>1.9665464824355161</v>
      </c>
      <c r="BV300" s="528"/>
      <c r="BW300" s="528">
        <f t="shared" si="852"/>
        <v>2.1737120202445837E-2</v>
      </c>
      <c r="BX300" s="460">
        <f t="shared" si="853"/>
        <v>5956.6945999925128</v>
      </c>
      <c r="BY300" s="173">
        <f t="shared" si="854"/>
        <v>14.5054434992969</v>
      </c>
      <c r="BZ300" s="5">
        <f t="shared" si="855"/>
        <v>126</v>
      </c>
      <c r="CA300" s="173">
        <f t="shared" si="856"/>
        <v>0.89676240907086657</v>
      </c>
      <c r="CB300" s="5">
        <f t="shared" si="857"/>
        <v>89.676240907086651</v>
      </c>
      <c r="CE300" s="562">
        <f t="shared" si="799"/>
        <v>-50</v>
      </c>
      <c r="CF300">
        <f t="shared" si="800"/>
        <v>-50</v>
      </c>
      <c r="CG300" s="173">
        <f t="shared" si="801"/>
        <v>0.84380293906636983</v>
      </c>
      <c r="CI300" s="170">
        <v>84</v>
      </c>
      <c r="CJ300" s="217">
        <f t="shared" si="858"/>
        <v>8.4</v>
      </c>
      <c r="CK300" s="217"/>
      <c r="CL300" s="217">
        <f t="shared" si="802"/>
        <v>126</v>
      </c>
      <c r="CM300" s="541">
        <f t="shared" si="803"/>
        <v>85</v>
      </c>
      <c r="CN300" s="443">
        <f t="shared" si="804"/>
        <v>15.4</v>
      </c>
      <c r="CO300" s="443">
        <f t="shared" si="805"/>
        <v>100.4</v>
      </c>
      <c r="CP300" s="443"/>
      <c r="CQ300" s="217">
        <f t="shared" si="806"/>
        <v>0.15338645418326693</v>
      </c>
      <c r="CR300" s="172">
        <f t="shared" si="807"/>
        <v>327.33148655378488</v>
      </c>
      <c r="CS300" s="172">
        <f t="shared" si="808"/>
        <v>126</v>
      </c>
      <c r="CT300" s="217">
        <f t="shared" si="809"/>
        <v>21.822099103585661</v>
      </c>
      <c r="CU300" s="217">
        <f t="shared" si="810"/>
        <v>15</v>
      </c>
      <c r="CV300" s="217"/>
      <c r="CW300" s="172">
        <f t="shared" si="811"/>
        <v>168.17787767541756</v>
      </c>
      <c r="CX300" s="172">
        <f t="shared" si="812"/>
        <v>15</v>
      </c>
      <c r="CY300" s="217">
        <f t="shared" si="813"/>
        <v>19.328342245989305</v>
      </c>
      <c r="CZ300" s="217">
        <f t="shared" si="814"/>
        <v>2.728707140610255</v>
      </c>
      <c r="DA300" s="217">
        <f t="shared" si="815"/>
        <v>15.061045905965692</v>
      </c>
      <c r="DB300" s="197">
        <f t="shared" si="816"/>
        <v>108.64873837981409</v>
      </c>
      <c r="DC300" s="443">
        <f t="shared" si="817"/>
        <v>56.212135007263264</v>
      </c>
      <c r="DE300" s="217">
        <f t="shared" si="818"/>
        <v>10</v>
      </c>
      <c r="DF300" s="173">
        <f t="shared" si="819"/>
        <v>7.7922077922077913</v>
      </c>
      <c r="DG300" s="173">
        <f t="shared" si="820"/>
        <v>4.2330677290836656</v>
      </c>
      <c r="DH300" s="173"/>
      <c r="DI300" s="173">
        <f t="shared" si="821"/>
        <v>7.7922077922077913</v>
      </c>
      <c r="DJ300" s="545">
        <f t="shared" si="822"/>
        <v>215.60000000000002</v>
      </c>
      <c r="DK300" s="528">
        <f t="shared" si="823"/>
        <v>4.2330677290836656</v>
      </c>
      <c r="DM300" s="173">
        <f t="shared" si="824"/>
        <v>7.8485667481394339</v>
      </c>
      <c r="DN300" s="173">
        <f t="shared" si="825"/>
        <v>19.328342245989305</v>
      </c>
      <c r="DO300" s="173">
        <f t="shared" si="826"/>
        <v>8.1098831451772622</v>
      </c>
      <c r="DQ300" s="545">
        <f t="shared" si="827"/>
        <v>8400</v>
      </c>
      <c r="DR300" s="460">
        <f t="shared" si="828"/>
        <v>56.212135007263264</v>
      </c>
      <c r="DT300">
        <f t="shared" si="829"/>
        <v>8400</v>
      </c>
      <c r="DU300">
        <f t="shared" si="830"/>
        <v>56.212135007263264</v>
      </c>
      <c r="DW300" s="5">
        <f t="shared" si="859"/>
        <v>17.789753046575946</v>
      </c>
      <c r="DX300" s="5">
        <f t="shared" si="831"/>
        <v>2.728707140610255</v>
      </c>
      <c r="DY300" s="5">
        <f t="shared" si="832"/>
        <v>15.061045905965692</v>
      </c>
      <c r="DZ300" s="5"/>
      <c r="EA300" s="173">
        <f t="shared" si="833"/>
        <v>0.15338645418326696</v>
      </c>
      <c r="EB300" s="173">
        <f t="shared" si="860"/>
        <v>126</v>
      </c>
      <c r="EC300" s="173">
        <f t="shared" si="861"/>
        <v>8.1818181818181817</v>
      </c>
      <c r="ED300" s="173">
        <f t="shared" si="862"/>
        <v>15.4</v>
      </c>
      <c r="EE300" s="460">
        <f t="shared" si="834"/>
        <v>152.80759987417429</v>
      </c>
      <c r="EF300" s="5">
        <f t="shared" si="835"/>
        <v>7.6985467916903731</v>
      </c>
      <c r="EH300" s="173">
        <f t="shared" si="863"/>
        <v>4.3704633603625815</v>
      </c>
      <c r="EI300" s="173">
        <f t="shared" si="864"/>
        <v>10.267780740830016</v>
      </c>
      <c r="EK300" s="528">
        <f t="shared" si="865"/>
        <v>0.38201899968543579</v>
      </c>
      <c r="EL300" s="528">
        <f t="shared" si="866"/>
        <v>2.1816666666666671</v>
      </c>
      <c r="EM300" s="528">
        <f t="shared" si="867"/>
        <v>7.026516875907907E-3</v>
      </c>
      <c r="EN300" s="528">
        <f t="shared" si="868"/>
        <v>5.6662731481481494E-2</v>
      </c>
      <c r="EO300">
        <f t="shared" si="869"/>
        <v>3.8249999999999999E-2</v>
      </c>
      <c r="EP300" s="460">
        <f t="shared" si="870"/>
        <v>45.276516875907902</v>
      </c>
      <c r="EQ300" s="460"/>
      <c r="ER300" s="460">
        <f t="shared" si="871"/>
        <v>2665.6249147094923</v>
      </c>
      <c r="ES300" s="528">
        <f t="shared" si="872"/>
        <v>5.88</v>
      </c>
      <c r="EV300" s="460">
        <f t="shared" si="873"/>
        <v>5880</v>
      </c>
      <c r="EW300" s="528">
        <f t="shared" si="874"/>
        <v>0.57302849952815371</v>
      </c>
      <c r="EX300" s="528">
        <f t="shared" si="875"/>
        <v>3.1628196402527937</v>
      </c>
      <c r="EY300" s="528">
        <f t="shared" si="876"/>
        <v>1.9455021880180834</v>
      </c>
      <c r="EZ300" s="528"/>
      <c r="FA300" s="528">
        <f t="shared" si="877"/>
        <v>2.1000000000000001E-2</v>
      </c>
      <c r="FB300" s="460">
        <f t="shared" si="878"/>
        <v>5702.3503277990303</v>
      </c>
      <c r="FC300" s="173">
        <f t="shared" si="879"/>
        <v>14.247975242508524</v>
      </c>
      <c r="FD300" s="5">
        <f t="shared" si="880"/>
        <v>126</v>
      </c>
      <c r="FE300" s="173">
        <f t="shared" si="881"/>
        <v>0.89840869204798313</v>
      </c>
      <c r="FF300" s="5">
        <f t="shared" si="882"/>
        <v>89.84086920479831</v>
      </c>
      <c r="FI300" s="562">
        <f t="shared" si="836"/>
        <v>-50</v>
      </c>
      <c r="FJ300">
        <f t="shared" si="837"/>
        <v>-50</v>
      </c>
      <c r="FL300">
        <f t="shared" si="838"/>
        <v>0.84661354581673298</v>
      </c>
    </row>
    <row r="301" spans="5:168">
      <c r="E301" s="170">
        <v>85</v>
      </c>
      <c r="F301" s="217">
        <f t="shared" si="839"/>
        <v>8.5</v>
      </c>
      <c r="G301" s="217"/>
      <c r="H301" s="217">
        <f t="shared" si="764"/>
        <v>127.5</v>
      </c>
      <c r="I301" s="541">
        <f t="shared" si="765"/>
        <v>84.496347634531389</v>
      </c>
      <c r="J301" s="172">
        <f t="shared" si="766"/>
        <v>15.702191419281164</v>
      </c>
      <c r="K301" s="172">
        <f t="shared" si="767"/>
        <v>100.19853905381255</v>
      </c>
      <c r="L301" s="443"/>
      <c r="M301" s="217">
        <f t="shared" si="768"/>
        <v>0.15670243804039818</v>
      </c>
      <c r="N301" s="172">
        <f t="shared" si="769"/>
        <v>332.42642526198551</v>
      </c>
      <c r="O301" s="172">
        <f t="shared" si="762"/>
        <v>127.5</v>
      </c>
      <c r="P301" s="217">
        <f t="shared" si="770"/>
        <v>22.161761684132369</v>
      </c>
      <c r="Q301" s="217">
        <f t="shared" si="771"/>
        <v>15</v>
      </c>
      <c r="R301" s="217"/>
      <c r="S301" s="172">
        <f t="shared" si="772"/>
        <v>164.22762484108119</v>
      </c>
      <c r="T301" s="172">
        <f t="shared" si="773"/>
        <v>15</v>
      </c>
      <c r="U301" s="217">
        <f t="shared" si="774"/>
        <v>20.158957842231235</v>
      </c>
      <c r="V301" s="217">
        <f t="shared" si="775"/>
        <v>2.8629343264999747</v>
      </c>
      <c r="W301" s="217">
        <f t="shared" si="776"/>
        <v>15.405970265381544</v>
      </c>
      <c r="X301" s="197">
        <f t="shared" si="777"/>
        <v>110.34573934547578</v>
      </c>
      <c r="Y301" s="443">
        <f t="shared" si="840"/>
        <v>54.145062855518553</v>
      </c>
      <c r="AA301" s="217">
        <f t="shared" si="778"/>
        <v>10</v>
      </c>
      <c r="AB301" s="173">
        <f t="shared" si="779"/>
        <v>7.64224539083434</v>
      </c>
      <c r="AC301" s="173">
        <f t="shared" si="780"/>
        <v>4.2164460895558484</v>
      </c>
      <c r="AD301" s="173"/>
      <c r="AE301" s="173">
        <f t="shared" si="781"/>
        <v>7.64224539083434</v>
      </c>
      <c r="AF301" s="545">
        <f t="shared" si="782"/>
        <v>222.44771177314982</v>
      </c>
      <c r="AG301" s="528">
        <f t="shared" si="783"/>
        <v>4.2164460895558484</v>
      </c>
      <c r="AI301" s="173">
        <f t="shared" si="784"/>
        <v>7.9722323773233565</v>
      </c>
      <c r="AJ301" s="173">
        <f t="shared" si="785"/>
        <v>20.158957842231235</v>
      </c>
      <c r="AK301" s="173">
        <f t="shared" si="786"/>
        <v>8.7251539572083221</v>
      </c>
      <c r="AM301" s="545">
        <f t="shared" si="787"/>
        <v>8500</v>
      </c>
      <c r="AN301" s="460">
        <f t="shared" si="788"/>
        <v>54.145062855518553</v>
      </c>
      <c r="AP301">
        <f t="shared" si="789"/>
        <v>8500</v>
      </c>
      <c r="AQ301">
        <f t="shared" si="790"/>
        <v>54.145062855518553</v>
      </c>
      <c r="AS301" s="5">
        <f t="shared" si="763"/>
        <v>18.468904591881518</v>
      </c>
      <c r="AT301" s="5">
        <f t="shared" si="791"/>
        <v>2.8629343264999747</v>
      </c>
      <c r="AU301" s="5">
        <f t="shared" si="883"/>
        <v>15.605970265381544</v>
      </c>
      <c r="AV301" s="5"/>
      <c r="AW301" s="173">
        <f t="shared" si="884"/>
        <v>0.1550137590595628</v>
      </c>
      <c r="AX301" s="173">
        <f t="shared" si="792"/>
        <v>132.02198731271565</v>
      </c>
      <c r="AY301" s="173">
        <f t="shared" si="793"/>
        <v>8.517021004191859</v>
      </c>
      <c r="AZ301" s="173">
        <f t="shared" si="794"/>
        <v>15.500958286675331</v>
      </c>
      <c r="BA301" s="460">
        <f t="shared" si="724"/>
        <v>162.2329451683319</v>
      </c>
      <c r="BB301" s="5">
        <f t="shared" si="725"/>
        <v>8.1201681963669206</v>
      </c>
      <c r="BD301" s="173">
        <f t="shared" si="841"/>
        <v>4.5823955363635207</v>
      </c>
      <c r="BE301" s="173">
        <f t="shared" si="842"/>
        <v>10.698730995306612</v>
      </c>
      <c r="BG301" s="528">
        <f t="shared" si="843"/>
        <v>0.41996697703368641</v>
      </c>
      <c r="BH301" s="528">
        <f t="shared" si="795"/>
        <v>2.0506408297560172</v>
      </c>
      <c r="BI301" s="528">
        <f t="shared" si="796"/>
        <v>0.11437650134333623</v>
      </c>
      <c r="BJ301" s="528">
        <f t="shared" si="844"/>
        <v>5.4360274474164694E-2</v>
      </c>
      <c r="BK301">
        <f t="shared" si="845"/>
        <v>3.8023356435539127E-2</v>
      </c>
      <c r="BL301" s="460">
        <f t="shared" si="846"/>
        <v>152.39985777887534</v>
      </c>
      <c r="BM301" s="528">
        <f t="shared" si="797"/>
        <v>2.9308072903110656</v>
      </c>
      <c r="BN301" s="460">
        <f t="shared" si="847"/>
        <v>2930.8072903110656</v>
      </c>
      <c r="BO301" s="528">
        <f t="shared" si="798"/>
        <v>5.9499999999999993</v>
      </c>
      <c r="BR301" s="460">
        <f t="shared" si="848"/>
        <v>5949.9999999999991</v>
      </c>
      <c r="BS301" s="528">
        <f t="shared" si="849"/>
        <v>0.62995046555052958</v>
      </c>
      <c r="BT301" s="528">
        <f t="shared" si="850"/>
        <v>3.4338853472980322</v>
      </c>
      <c r="BU301" s="528">
        <f t="shared" si="851"/>
        <v>1.9680555447669494</v>
      </c>
      <c r="BV301" s="528"/>
      <c r="BW301" s="528">
        <f t="shared" si="852"/>
        <v>2.2003664552119277E-2</v>
      </c>
      <c r="BX301" s="460">
        <f t="shared" si="853"/>
        <v>6053.8950221676305</v>
      </c>
      <c r="BY301" s="173">
        <f t="shared" si="854"/>
        <v>14.681262961210374</v>
      </c>
      <c r="BZ301" s="5">
        <f t="shared" si="855"/>
        <v>127.5</v>
      </c>
      <c r="CA301" s="173">
        <f t="shared" si="856"/>
        <v>0.89674263221859496</v>
      </c>
      <c r="CB301" s="5">
        <f t="shared" si="857"/>
        <v>89.674263221859491</v>
      </c>
      <c r="CE301" s="562">
        <f t="shared" si="799"/>
        <v>-50</v>
      </c>
      <c r="CF301">
        <f t="shared" si="800"/>
        <v>-50</v>
      </c>
      <c r="CG301" s="173">
        <f t="shared" si="801"/>
        <v>0.84383600502813894</v>
      </c>
      <c r="CI301" s="170">
        <v>85</v>
      </c>
      <c r="CJ301" s="217">
        <f t="shared" si="858"/>
        <v>8.5</v>
      </c>
      <c r="CK301" s="217"/>
      <c r="CL301" s="217">
        <f t="shared" si="802"/>
        <v>127.5</v>
      </c>
      <c r="CM301" s="541">
        <f t="shared" si="803"/>
        <v>85</v>
      </c>
      <c r="CN301" s="443">
        <f t="shared" si="804"/>
        <v>15.4</v>
      </c>
      <c r="CO301" s="443">
        <f t="shared" si="805"/>
        <v>100.4</v>
      </c>
      <c r="CP301" s="443"/>
      <c r="CQ301" s="217">
        <f t="shared" si="806"/>
        <v>0.15338645418326693</v>
      </c>
      <c r="CR301" s="172">
        <f t="shared" si="807"/>
        <v>327.33148655378488</v>
      </c>
      <c r="CS301" s="172">
        <f t="shared" si="808"/>
        <v>127.5</v>
      </c>
      <c r="CT301" s="217">
        <f t="shared" si="809"/>
        <v>21.822099103585661</v>
      </c>
      <c r="CU301" s="217">
        <f t="shared" si="810"/>
        <v>15</v>
      </c>
      <c r="CV301" s="217"/>
      <c r="CW301" s="172">
        <f t="shared" si="811"/>
        <v>165.20530742962117</v>
      </c>
      <c r="CX301" s="172">
        <f t="shared" si="812"/>
        <v>15</v>
      </c>
      <c r="CY301" s="217">
        <f t="shared" si="813"/>
        <v>19.558441558441558</v>
      </c>
      <c r="CZ301" s="217">
        <f t="shared" si="814"/>
        <v>2.7611917494270433</v>
      </c>
      <c r="DA301" s="217">
        <f t="shared" si="815"/>
        <v>15.240344071512903</v>
      </c>
      <c r="DB301" s="197">
        <f t="shared" si="816"/>
        <v>108.64873837981409</v>
      </c>
      <c r="DC301" s="443">
        <f t="shared" si="817"/>
        <v>55.550815771883691</v>
      </c>
      <c r="DE301" s="217">
        <f t="shared" si="818"/>
        <v>10</v>
      </c>
      <c r="DF301" s="173">
        <f t="shared" si="819"/>
        <v>7.7922077922077913</v>
      </c>
      <c r="DG301" s="173">
        <f t="shared" si="820"/>
        <v>4.2330677290836656</v>
      </c>
      <c r="DH301" s="173"/>
      <c r="DI301" s="173">
        <f t="shared" si="821"/>
        <v>7.7922077922077913</v>
      </c>
      <c r="DJ301" s="545">
        <f t="shared" si="822"/>
        <v>218.16666666666669</v>
      </c>
      <c r="DK301" s="528">
        <f t="shared" si="823"/>
        <v>4.2330677290836656</v>
      </c>
      <c r="DM301" s="173">
        <f t="shared" si="824"/>
        <v>7.8951461882180078</v>
      </c>
      <c r="DN301" s="173">
        <f t="shared" si="825"/>
        <v>19.558441558441558</v>
      </c>
      <c r="DO301" s="173">
        <f t="shared" si="826"/>
        <v>8.2803270803270799</v>
      </c>
      <c r="DQ301" s="545">
        <f t="shared" si="827"/>
        <v>8500</v>
      </c>
      <c r="DR301" s="460">
        <f t="shared" si="828"/>
        <v>55.550815771883691</v>
      </c>
      <c r="DT301">
        <f t="shared" si="829"/>
        <v>8500</v>
      </c>
      <c r="DU301">
        <f t="shared" si="830"/>
        <v>55.550815771883691</v>
      </c>
      <c r="DW301" s="5">
        <f t="shared" si="859"/>
        <v>18.001535820939946</v>
      </c>
      <c r="DX301" s="5">
        <f t="shared" si="831"/>
        <v>2.7611917494270433</v>
      </c>
      <c r="DY301" s="5">
        <f t="shared" si="832"/>
        <v>15.240344071512903</v>
      </c>
      <c r="DZ301" s="5"/>
      <c r="EA301" s="173">
        <f t="shared" si="833"/>
        <v>0.15338645418326691</v>
      </c>
      <c r="EB301" s="173">
        <f t="shared" si="860"/>
        <v>127.5</v>
      </c>
      <c r="EC301" s="173">
        <f t="shared" si="861"/>
        <v>8.279220779220779</v>
      </c>
      <c r="ED301" s="173">
        <f t="shared" si="862"/>
        <v>15.4</v>
      </c>
      <c r="EE301" s="460">
        <f t="shared" si="834"/>
        <v>156.46753246753244</v>
      </c>
      <c r="EF301" s="5">
        <f t="shared" si="835"/>
        <v>7.8829365887135694</v>
      </c>
      <c r="EH301" s="173">
        <f t="shared" si="863"/>
        <v>4.4224926860811822</v>
      </c>
      <c r="EI301" s="173">
        <f t="shared" si="864"/>
        <v>10.390016225839901</v>
      </c>
      <c r="EK301" s="528">
        <f t="shared" si="865"/>
        <v>0.39116883116883105</v>
      </c>
      <c r="EL301" s="528">
        <f t="shared" si="866"/>
        <v>2.1816666666666666</v>
      </c>
      <c r="EM301" s="528">
        <f t="shared" si="867"/>
        <v>6.9438519714854607E-3</v>
      </c>
      <c r="EN301" s="528">
        <f t="shared" si="868"/>
        <v>5.5996111111111121E-2</v>
      </c>
      <c r="EO301">
        <f t="shared" si="869"/>
        <v>3.8249999999999999E-2</v>
      </c>
      <c r="EP301" s="460">
        <f t="shared" si="870"/>
        <v>45.193851971485465</v>
      </c>
      <c r="EQ301" s="460"/>
      <c r="ER301" s="460">
        <f t="shared" si="871"/>
        <v>2674.0254609180943</v>
      </c>
      <c r="ES301" s="528">
        <f t="shared" si="872"/>
        <v>5.9499999999999993</v>
      </c>
      <c r="EV301" s="460">
        <f t="shared" si="873"/>
        <v>5949.9999999999991</v>
      </c>
      <c r="EW301" s="528">
        <f t="shared" si="874"/>
        <v>0.58675324675324647</v>
      </c>
      <c r="EX301" s="528">
        <f t="shared" si="875"/>
        <v>3.238573115196492</v>
      </c>
      <c r="EY301" s="528">
        <f t="shared" si="876"/>
        <v>1.9455021880180869</v>
      </c>
      <c r="EZ301" s="528"/>
      <c r="FA301" s="528">
        <f t="shared" si="877"/>
        <v>2.1250000000000002E-2</v>
      </c>
      <c r="FB301" s="460">
        <f t="shared" si="878"/>
        <v>5792.0785499678259</v>
      </c>
      <c r="FC301" s="173">
        <f t="shared" si="879"/>
        <v>14.41610401088592</v>
      </c>
      <c r="FD301" s="5">
        <f t="shared" si="880"/>
        <v>127.5</v>
      </c>
      <c r="FE301" s="173">
        <f t="shared" si="881"/>
        <v>0.89841812448726666</v>
      </c>
      <c r="FF301" s="5">
        <f t="shared" si="882"/>
        <v>89.841812448726671</v>
      </c>
      <c r="FI301" s="562">
        <f t="shared" si="836"/>
        <v>-50</v>
      </c>
      <c r="FJ301">
        <f t="shared" si="837"/>
        <v>-50</v>
      </c>
      <c r="FL301">
        <f t="shared" si="838"/>
        <v>0.84661354581673309</v>
      </c>
    </row>
    <row r="302" spans="5:168">
      <c r="E302" s="170">
        <v>86</v>
      </c>
      <c r="F302" s="217">
        <f t="shared" si="839"/>
        <v>8.6</v>
      </c>
      <c r="G302" s="217"/>
      <c r="H302" s="217">
        <f t="shared" si="764"/>
        <v>129</v>
      </c>
      <c r="I302" s="541">
        <f t="shared" si="765"/>
        <v>84.490441815418677</v>
      </c>
      <c r="J302" s="172">
        <f t="shared" si="766"/>
        <v>15.705734910748792</v>
      </c>
      <c r="K302" s="172">
        <f t="shared" si="767"/>
        <v>100.19617672616747</v>
      </c>
      <c r="L302" s="443"/>
      <c r="M302" s="217">
        <f t="shared" si="768"/>
        <v>0.15674149885907718</v>
      </c>
      <c r="N302" s="172">
        <f t="shared" si="769"/>
        <v>332.48604782485961</v>
      </c>
      <c r="O302" s="172">
        <f t="shared" si="762"/>
        <v>129</v>
      </c>
      <c r="P302" s="217">
        <f t="shared" si="770"/>
        <v>22.165736521657308</v>
      </c>
      <c r="Q302" s="217">
        <f t="shared" si="771"/>
        <v>15</v>
      </c>
      <c r="R302" s="217"/>
      <c r="S302" s="172">
        <f t="shared" si="772"/>
        <v>161.330273946657</v>
      </c>
      <c r="T302" s="172">
        <f t="shared" si="773"/>
        <v>15</v>
      </c>
      <c r="U302" s="217">
        <f t="shared" si="774"/>
        <v>20.397066826754212</v>
      </c>
      <c r="V302" s="217">
        <f t="shared" si="775"/>
        <v>2.8969525624658696</v>
      </c>
      <c r="W302" s="217">
        <f t="shared" si="776"/>
        <v>15.584422079703947</v>
      </c>
      <c r="X302" s="197">
        <f t="shared" si="777"/>
        <v>110.36552865614915</v>
      </c>
      <c r="Y302" s="443">
        <f t="shared" si="840"/>
        <v>53.529251415079564</v>
      </c>
      <c r="AA302" s="217">
        <f t="shared" si="778"/>
        <v>10</v>
      </c>
      <c r="AB302" s="173">
        <f t="shared" si="779"/>
        <v>7.6405211651620091</v>
      </c>
      <c r="AC302" s="173">
        <f t="shared" si="780"/>
        <v>4.2162507880080096</v>
      </c>
      <c r="AD302" s="173"/>
      <c r="AE302" s="173">
        <f t="shared" si="781"/>
        <v>7.6405211651620091</v>
      </c>
      <c r="AF302" s="545">
        <f t="shared" si="782"/>
        <v>225.11553372073266</v>
      </c>
      <c r="AG302" s="528">
        <f t="shared" si="783"/>
        <v>4.2162507880080087</v>
      </c>
      <c r="AI302" s="173">
        <f t="shared" si="784"/>
        <v>8.0198955055667245</v>
      </c>
      <c r="AJ302" s="173">
        <f t="shared" si="785"/>
        <v>20.397066826754212</v>
      </c>
      <c r="AK302" s="173">
        <f t="shared" si="786"/>
        <v>8.9015309827808977</v>
      </c>
      <c r="AM302" s="545">
        <f t="shared" si="787"/>
        <v>8600</v>
      </c>
      <c r="AN302" s="460">
        <f t="shared" si="788"/>
        <v>53.529251415079564</v>
      </c>
      <c r="AP302">
        <f t="shared" si="789"/>
        <v>8600</v>
      </c>
      <c r="AQ302">
        <f t="shared" si="790"/>
        <v>53.529251415079564</v>
      </c>
      <c r="AS302" s="5">
        <f t="shared" si="763"/>
        <v>18.681374642169814</v>
      </c>
      <c r="AT302" s="5">
        <f t="shared" si="791"/>
        <v>2.8969525624658696</v>
      </c>
      <c r="AU302" s="5">
        <f t="shared" si="883"/>
        <v>15.784422079703944</v>
      </c>
      <c r="AV302" s="5"/>
      <c r="AW302" s="173">
        <f t="shared" si="884"/>
        <v>0.15507170205379453</v>
      </c>
      <c r="AX302" s="173">
        <f t="shared" si="792"/>
        <v>133.62196618955701</v>
      </c>
      <c r="AY302" s="173">
        <f t="shared" si="793"/>
        <v>8.6170294785122241</v>
      </c>
      <c r="AZ302" s="173">
        <f t="shared" si="794"/>
        <v>15.506731933871434</v>
      </c>
      <c r="BA302" s="460">
        <f t="shared" si="724"/>
        <v>166.09194691470987</v>
      </c>
      <c r="BB302" s="5">
        <f t="shared" si="725"/>
        <v>8.3102256569147439</v>
      </c>
      <c r="BD302" s="173">
        <f t="shared" si="841"/>
        <v>4.637387299346746</v>
      </c>
      <c r="BE302" s="173">
        <f t="shared" si="842"/>
        <v>10.824728668541761</v>
      </c>
      <c r="BG302" s="528">
        <f t="shared" si="843"/>
        <v>0.43010721928285017</v>
      </c>
      <c r="BH302" s="528">
        <f t="shared" si="795"/>
        <v>2.0512156007134901</v>
      </c>
      <c r="BI302" s="528">
        <f t="shared" si="796"/>
        <v>0.11306775255271745</v>
      </c>
      <c r="BJ302" s="528">
        <f t="shared" si="844"/>
        <v>5.3739481289987852E-2</v>
      </c>
      <c r="BK302">
        <f t="shared" si="845"/>
        <v>3.8020698816938404E-2</v>
      </c>
      <c r="BL302" s="460">
        <f t="shared" si="846"/>
        <v>151.08845136965584</v>
      </c>
      <c r="BM302" s="528">
        <f t="shared" si="797"/>
        <v>2.952965007002291</v>
      </c>
      <c r="BN302" s="460">
        <f t="shared" si="847"/>
        <v>2952.9650070022908</v>
      </c>
      <c r="BO302" s="528">
        <f t="shared" si="798"/>
        <v>6.02</v>
      </c>
      <c r="BR302" s="460">
        <f t="shared" si="848"/>
        <v>6020</v>
      </c>
      <c r="BS302" s="528">
        <f t="shared" si="849"/>
        <v>0.64516082892427518</v>
      </c>
      <c r="BT302" s="528">
        <f t="shared" si="850"/>
        <v>3.515242522426496</v>
      </c>
      <c r="BU302" s="528">
        <f t="shared" si="851"/>
        <v>1.9695509784052583</v>
      </c>
      <c r="BV302" s="528"/>
      <c r="BW302" s="528">
        <f t="shared" si="852"/>
        <v>2.2270327698259509E-2</v>
      </c>
      <c r="BX302" s="460">
        <f t="shared" si="853"/>
        <v>6152.2246574542887</v>
      </c>
      <c r="BY302" s="173">
        <f t="shared" si="854"/>
        <v>14.858375410110273</v>
      </c>
      <c r="BZ302" s="5">
        <f t="shared" si="855"/>
        <v>129</v>
      </c>
      <c r="CA302" s="173">
        <f t="shared" si="856"/>
        <v>0.89671525646141803</v>
      </c>
      <c r="CB302" s="5">
        <f t="shared" si="857"/>
        <v>89.671525646141802</v>
      </c>
      <c r="CE302" s="562">
        <f t="shared" si="799"/>
        <v>-50</v>
      </c>
      <c r="CF302">
        <f t="shared" si="800"/>
        <v>-50</v>
      </c>
      <c r="CG302" s="173">
        <f t="shared" si="801"/>
        <v>0.84386830201405283</v>
      </c>
      <c r="CI302" s="170">
        <v>86</v>
      </c>
      <c r="CJ302" s="217">
        <f t="shared" si="858"/>
        <v>8.6</v>
      </c>
      <c r="CK302" s="217"/>
      <c r="CL302" s="217">
        <f t="shared" si="802"/>
        <v>129</v>
      </c>
      <c r="CM302" s="541">
        <f t="shared" si="803"/>
        <v>85</v>
      </c>
      <c r="CN302" s="443">
        <f t="shared" si="804"/>
        <v>15.4</v>
      </c>
      <c r="CO302" s="443">
        <f t="shared" si="805"/>
        <v>100.4</v>
      </c>
      <c r="CP302" s="443"/>
      <c r="CQ302" s="217">
        <f t="shared" si="806"/>
        <v>0.15338645418326693</v>
      </c>
      <c r="CR302" s="172">
        <f t="shared" si="807"/>
        <v>327.33148655378488</v>
      </c>
      <c r="CS302" s="172">
        <f t="shared" si="808"/>
        <v>129</v>
      </c>
      <c r="CT302" s="217">
        <f t="shared" si="809"/>
        <v>21.822099103585661</v>
      </c>
      <c r="CU302" s="217">
        <f t="shared" si="810"/>
        <v>15</v>
      </c>
      <c r="CV302" s="217"/>
      <c r="CW302" s="172">
        <f t="shared" si="811"/>
        <v>162.3019942653797</v>
      </c>
      <c r="CX302" s="172">
        <f t="shared" si="812"/>
        <v>15</v>
      </c>
      <c r="CY302" s="217">
        <f t="shared" si="813"/>
        <v>19.788540870893812</v>
      </c>
      <c r="CZ302" s="217">
        <f t="shared" si="814"/>
        <v>2.793676358243832</v>
      </c>
      <c r="DA302" s="217">
        <f t="shared" si="815"/>
        <v>15.419642237060113</v>
      </c>
      <c r="DB302" s="197">
        <f t="shared" si="816"/>
        <v>108.64873837981409</v>
      </c>
      <c r="DC302" s="443">
        <f t="shared" si="817"/>
        <v>54.904876053605975</v>
      </c>
      <c r="DE302" s="217">
        <f t="shared" si="818"/>
        <v>10</v>
      </c>
      <c r="DF302" s="173">
        <f t="shared" si="819"/>
        <v>7.7922077922077913</v>
      </c>
      <c r="DG302" s="173">
        <f t="shared" si="820"/>
        <v>4.2330677290836656</v>
      </c>
      <c r="DH302" s="173"/>
      <c r="DI302" s="173">
        <f t="shared" si="821"/>
        <v>7.7922077922077913</v>
      </c>
      <c r="DJ302" s="545">
        <f t="shared" si="822"/>
        <v>220.73333333333335</v>
      </c>
      <c r="DK302" s="528">
        <f t="shared" si="823"/>
        <v>4.2330677290836656</v>
      </c>
      <c r="DM302" s="173">
        <f t="shared" si="824"/>
        <v>7.9414524280301944</v>
      </c>
      <c r="DN302" s="173">
        <f t="shared" si="825"/>
        <v>19.788540870893812</v>
      </c>
      <c r="DO302" s="173">
        <f t="shared" si="826"/>
        <v>8.4507710154768976</v>
      </c>
      <c r="DQ302" s="545">
        <f t="shared" si="827"/>
        <v>8600</v>
      </c>
      <c r="DR302" s="460">
        <f t="shared" si="828"/>
        <v>54.904876053605975</v>
      </c>
      <c r="DT302">
        <f t="shared" si="829"/>
        <v>8600</v>
      </c>
      <c r="DU302">
        <f t="shared" si="830"/>
        <v>54.904876053605975</v>
      </c>
      <c r="DW302" s="5">
        <f t="shared" si="859"/>
        <v>18.213318595303946</v>
      </c>
      <c r="DX302" s="5">
        <f t="shared" si="831"/>
        <v>2.793676358243832</v>
      </c>
      <c r="DY302" s="5">
        <f t="shared" si="832"/>
        <v>15.419642237060113</v>
      </c>
      <c r="DZ302" s="5"/>
      <c r="EA302" s="173">
        <f t="shared" si="833"/>
        <v>0.15338645418326691</v>
      </c>
      <c r="EB302" s="173">
        <f t="shared" si="860"/>
        <v>129</v>
      </c>
      <c r="EC302" s="173">
        <f t="shared" si="861"/>
        <v>8.3766233766233764</v>
      </c>
      <c r="ED302" s="173">
        <f t="shared" si="862"/>
        <v>15.4</v>
      </c>
      <c r="EE302" s="460">
        <f t="shared" si="834"/>
        <v>160.17077787264637</v>
      </c>
      <c r="EF302" s="5">
        <f t="shared" si="835"/>
        <v>8.0695085135121882</v>
      </c>
      <c r="EH302" s="173">
        <f t="shared" si="863"/>
        <v>4.4745220117997846</v>
      </c>
      <c r="EI302" s="173">
        <f t="shared" si="864"/>
        <v>10.512251710849782</v>
      </c>
      <c r="EK302" s="528">
        <f t="shared" si="865"/>
        <v>0.40042694468161588</v>
      </c>
      <c r="EL302" s="528">
        <f t="shared" si="866"/>
        <v>2.1816666666666671</v>
      </c>
      <c r="EM302" s="528">
        <f t="shared" si="867"/>
        <v>6.8631095067007465E-3</v>
      </c>
      <c r="EN302" s="528">
        <f t="shared" si="868"/>
        <v>5.5344993540051686E-2</v>
      </c>
      <c r="EO302">
        <f t="shared" si="869"/>
        <v>3.8249999999999999E-2</v>
      </c>
      <c r="EP302" s="460">
        <f t="shared" si="870"/>
        <v>45.113109506700752</v>
      </c>
      <c r="EQ302" s="460"/>
      <c r="ER302" s="460">
        <f t="shared" si="871"/>
        <v>2682.5517143950356</v>
      </c>
      <c r="ES302" s="528">
        <f t="shared" si="872"/>
        <v>6.02</v>
      </c>
      <c r="EV302" s="460">
        <f t="shared" si="873"/>
        <v>6020</v>
      </c>
      <c r="EW302" s="528">
        <f t="shared" si="874"/>
        <v>0.60064041702242377</v>
      </c>
      <c r="EX302" s="528">
        <f t="shared" si="875"/>
        <v>3.3152230809679248</v>
      </c>
      <c r="EY302" s="528">
        <f t="shared" si="876"/>
        <v>1.9455021880180854</v>
      </c>
      <c r="EZ302" s="528"/>
      <c r="FA302" s="528">
        <f t="shared" si="877"/>
        <v>2.1500000000000002E-2</v>
      </c>
      <c r="FB302" s="460">
        <f t="shared" si="878"/>
        <v>5882.8656860084329</v>
      </c>
      <c r="FC302" s="173">
        <f t="shared" si="879"/>
        <v>14.58541740040347</v>
      </c>
      <c r="FD302" s="5">
        <f t="shared" si="880"/>
        <v>129</v>
      </c>
      <c r="FE302" s="173">
        <f t="shared" si="881"/>
        <v>0.8984199254738352</v>
      </c>
      <c r="FF302" s="5">
        <f t="shared" si="882"/>
        <v>89.841992547383526</v>
      </c>
      <c r="FI302" s="562">
        <f t="shared" si="836"/>
        <v>-50</v>
      </c>
      <c r="FJ302">
        <f t="shared" si="837"/>
        <v>-50</v>
      </c>
      <c r="FL302">
        <f t="shared" si="838"/>
        <v>0.84661354581673309</v>
      </c>
    </row>
    <row r="303" spans="5:168">
      <c r="E303" s="170">
        <v>87</v>
      </c>
      <c r="F303" s="217">
        <f t="shared" si="839"/>
        <v>8.6999999999999993</v>
      </c>
      <c r="G303" s="217"/>
      <c r="H303" s="217">
        <f t="shared" si="764"/>
        <v>130.5</v>
      </c>
      <c r="I303" s="541">
        <f t="shared" si="765"/>
        <v>84.484535994847491</v>
      </c>
      <c r="J303" s="172">
        <f t="shared" si="766"/>
        <v>15.709278403091503</v>
      </c>
      <c r="K303" s="172">
        <f t="shared" si="767"/>
        <v>100.19381439793899</v>
      </c>
      <c r="L303" s="443"/>
      <c r="M303" s="217">
        <f t="shared" si="768"/>
        <v>0.15678056152194611</v>
      </c>
      <c r="N303" s="172">
        <f t="shared" si="769"/>
        <v>332.54566271035822</v>
      </c>
      <c r="O303" s="172">
        <f t="shared" si="762"/>
        <v>130.5</v>
      </c>
      <c r="P303" s="217">
        <f t="shared" si="770"/>
        <v>22.169710847357216</v>
      </c>
      <c r="Q303" s="217">
        <f t="shared" si="771"/>
        <v>15</v>
      </c>
      <c r="R303" s="217"/>
      <c r="S303" s="172">
        <f t="shared" si="772"/>
        <v>158.49979291002609</v>
      </c>
      <c r="T303" s="172">
        <f t="shared" si="773"/>
        <v>15</v>
      </c>
      <c r="U303" s="217">
        <f t="shared" si="774"/>
        <v>20.635197916458921</v>
      </c>
      <c r="V303" s="217">
        <f t="shared" si="775"/>
        <v>2.9309786942856499</v>
      </c>
      <c r="W303" s="217">
        <f t="shared" si="776"/>
        <v>15.762810273244398</v>
      </c>
      <c r="X303" s="197">
        <f t="shared" si="777"/>
        <v>110.38531542375374</v>
      </c>
      <c r="Y303" s="443">
        <f t="shared" si="840"/>
        <v>52.927446247999896</v>
      </c>
      <c r="AA303" s="217">
        <f t="shared" si="778"/>
        <v>10</v>
      </c>
      <c r="AB303" s="173">
        <f t="shared" si="779"/>
        <v>7.6387977169202523</v>
      </c>
      <c r="AC303" s="173">
        <f t="shared" si="780"/>
        <v>4.2160554772024597</v>
      </c>
      <c r="AD303" s="173"/>
      <c r="AE303" s="173">
        <f t="shared" si="781"/>
        <v>7.6387977169202523</v>
      </c>
      <c r="AF303" s="545">
        <f t="shared" si="782"/>
        <v>227.78453684482676</v>
      </c>
      <c r="AG303" s="528">
        <f t="shared" si="783"/>
        <v>4.2160554772024597</v>
      </c>
      <c r="AI303" s="173">
        <f t="shared" si="784"/>
        <v>8.0672979516923178</v>
      </c>
      <c r="AJ303" s="173">
        <f t="shared" si="785"/>
        <v>20.635197916458921</v>
      </c>
      <c r="AK303" s="173">
        <f t="shared" si="786"/>
        <v>9.0779243825621627</v>
      </c>
      <c r="AM303" s="545">
        <f t="shared" si="787"/>
        <v>8700</v>
      </c>
      <c r="AN303" s="460">
        <f t="shared" si="788"/>
        <v>52.927446247999896</v>
      </c>
      <c r="AP303">
        <f t="shared" si="789"/>
        <v>8700</v>
      </c>
      <c r="AQ303">
        <f t="shared" si="790"/>
        <v>52.927446247999896</v>
      </c>
      <c r="AS303" s="5">
        <f t="shared" si="763"/>
        <v>18.893788967530046</v>
      </c>
      <c r="AT303" s="5">
        <f t="shared" si="791"/>
        <v>2.9309786942856499</v>
      </c>
      <c r="AU303" s="5">
        <f t="shared" si="883"/>
        <v>15.962810273244397</v>
      </c>
      <c r="AV303" s="5"/>
      <c r="AW303" s="173">
        <f t="shared" si="884"/>
        <v>0.15512921729583667</v>
      </c>
      <c r="AX303" s="173">
        <f t="shared" si="792"/>
        <v>135.2226577050933</v>
      </c>
      <c r="AY303" s="173">
        <f t="shared" si="793"/>
        <v>8.7170379074669846</v>
      </c>
      <c r="AZ303" s="173">
        <f t="shared" si="794"/>
        <v>15.512454934865206</v>
      </c>
      <c r="BA303" s="460">
        <f t="shared" si="724"/>
        <v>169.99676426856769</v>
      </c>
      <c r="BB303" s="5">
        <f t="shared" si="725"/>
        <v>8.5024608804125617</v>
      </c>
      <c r="BD303" s="173">
        <f t="shared" si="841"/>
        <v>4.6923976856087224</v>
      </c>
      <c r="BE303" s="173">
        <f t="shared" si="842"/>
        <v>10.950732166263471</v>
      </c>
      <c r="BG303" s="528">
        <f t="shared" si="843"/>
        <v>0.44037192079812187</v>
      </c>
      <c r="BH303" s="528">
        <f t="shared" si="795"/>
        <v>2.051784577519987</v>
      </c>
      <c r="BI303" s="528">
        <f t="shared" si="796"/>
        <v>0.11178876844136257</v>
      </c>
      <c r="BJ303" s="528">
        <f t="shared" si="844"/>
        <v>5.3132807087349417E-2</v>
      </c>
      <c r="BK303">
        <f t="shared" si="845"/>
        <v>3.8018041197681367E-2</v>
      </c>
      <c r="BL303" s="460">
        <f t="shared" si="846"/>
        <v>149.80680963904393</v>
      </c>
      <c r="BM303" s="528">
        <f t="shared" si="797"/>
        <v>2.9755260631942435</v>
      </c>
      <c r="BN303" s="460">
        <f t="shared" si="847"/>
        <v>2975.5260631942433</v>
      </c>
      <c r="BO303" s="528">
        <f t="shared" si="798"/>
        <v>6.089999999999999</v>
      </c>
      <c r="BR303" s="460">
        <f t="shared" si="848"/>
        <v>6089.9999999999991</v>
      </c>
      <c r="BS303" s="528">
        <f t="shared" si="849"/>
        <v>0.66055788119718273</v>
      </c>
      <c r="BT303" s="528">
        <f t="shared" si="850"/>
        <v>3.5975560493171237</v>
      </c>
      <c r="BU303" s="528">
        <f t="shared" si="851"/>
        <v>1.9710332489056579</v>
      </c>
      <c r="BV303" s="528"/>
      <c r="BW303" s="528">
        <f t="shared" si="852"/>
        <v>2.2537109617515549E-2</v>
      </c>
      <c r="BX303" s="460">
        <f t="shared" si="853"/>
        <v>6251.6842890374801</v>
      </c>
      <c r="BY303" s="173">
        <f t="shared" si="854"/>
        <v>15.036780404081981</v>
      </c>
      <c r="BZ303" s="5">
        <f t="shared" si="855"/>
        <v>130.5</v>
      </c>
      <c r="CA303" s="173">
        <f t="shared" si="856"/>
        <v>0.89668054795267249</v>
      </c>
      <c r="CB303" s="5">
        <f t="shared" si="857"/>
        <v>89.668054795267253</v>
      </c>
      <c r="CE303" s="562">
        <f t="shared" si="799"/>
        <v>-50</v>
      </c>
      <c r="CF303">
        <f t="shared" si="800"/>
        <v>-50</v>
      </c>
      <c r="CG303" s="173">
        <f t="shared" si="801"/>
        <v>0.84389985654052024</v>
      </c>
      <c r="CI303" s="170">
        <v>87</v>
      </c>
      <c r="CJ303" s="217">
        <f t="shared" si="858"/>
        <v>8.6999999999999993</v>
      </c>
      <c r="CK303" s="217"/>
      <c r="CL303" s="217">
        <f t="shared" si="802"/>
        <v>130.5</v>
      </c>
      <c r="CM303" s="541">
        <f t="shared" si="803"/>
        <v>85</v>
      </c>
      <c r="CN303" s="443">
        <f t="shared" si="804"/>
        <v>15.4</v>
      </c>
      <c r="CO303" s="443">
        <f t="shared" si="805"/>
        <v>100.4</v>
      </c>
      <c r="CP303" s="443"/>
      <c r="CQ303" s="217">
        <f t="shared" si="806"/>
        <v>0.15338645418326693</v>
      </c>
      <c r="CR303" s="172">
        <f t="shared" si="807"/>
        <v>327.33148655378488</v>
      </c>
      <c r="CS303" s="172">
        <f t="shared" si="808"/>
        <v>130.5</v>
      </c>
      <c r="CT303" s="217">
        <f t="shared" si="809"/>
        <v>21.822099103585661</v>
      </c>
      <c r="CU303" s="217">
        <f t="shared" si="810"/>
        <v>15</v>
      </c>
      <c r="CV303" s="217"/>
      <c r="CW303" s="172">
        <f t="shared" si="811"/>
        <v>159.46555227677351</v>
      </c>
      <c r="CX303" s="172">
        <f t="shared" si="812"/>
        <v>15</v>
      </c>
      <c r="CY303" s="217">
        <f t="shared" si="813"/>
        <v>20.018640183346065</v>
      </c>
      <c r="CZ303" s="217">
        <f t="shared" si="814"/>
        <v>2.8261609670606211</v>
      </c>
      <c r="DA303" s="217">
        <f t="shared" si="815"/>
        <v>15.598940402607322</v>
      </c>
      <c r="DB303" s="197">
        <f t="shared" si="816"/>
        <v>108.64873837981409</v>
      </c>
      <c r="DC303" s="443">
        <f t="shared" si="817"/>
        <v>54.273785524254187</v>
      </c>
      <c r="DE303" s="217">
        <f t="shared" si="818"/>
        <v>10</v>
      </c>
      <c r="DF303" s="173">
        <f t="shared" si="819"/>
        <v>7.7922077922077913</v>
      </c>
      <c r="DG303" s="173">
        <f t="shared" si="820"/>
        <v>4.2330677290836656</v>
      </c>
      <c r="DH303" s="173"/>
      <c r="DI303" s="173">
        <f t="shared" si="821"/>
        <v>7.7922077922077913</v>
      </c>
      <c r="DJ303" s="545">
        <f t="shared" si="822"/>
        <v>223.3</v>
      </c>
      <c r="DK303" s="528">
        <f t="shared" si="823"/>
        <v>4.2330677290836656</v>
      </c>
      <c r="DM303" s="173">
        <f t="shared" si="824"/>
        <v>7.987490219086343</v>
      </c>
      <c r="DN303" s="173">
        <f t="shared" si="825"/>
        <v>20.018640183346065</v>
      </c>
      <c r="DO303" s="173">
        <f t="shared" si="826"/>
        <v>8.6212149506267135</v>
      </c>
      <c r="DQ303" s="545">
        <f t="shared" si="827"/>
        <v>8700</v>
      </c>
      <c r="DR303" s="460">
        <f t="shared" si="828"/>
        <v>54.273785524254187</v>
      </c>
      <c r="DT303">
        <f t="shared" si="829"/>
        <v>8700</v>
      </c>
      <c r="DU303">
        <f t="shared" si="830"/>
        <v>54.273785524254187</v>
      </c>
      <c r="DW303" s="5">
        <f t="shared" si="859"/>
        <v>18.425101369667942</v>
      </c>
      <c r="DX303" s="5">
        <f t="shared" si="831"/>
        <v>2.8261609670606211</v>
      </c>
      <c r="DY303" s="5">
        <f t="shared" si="832"/>
        <v>15.598940402607321</v>
      </c>
      <c r="DZ303" s="5"/>
      <c r="EA303" s="173">
        <f t="shared" si="833"/>
        <v>0.15338645418326696</v>
      </c>
      <c r="EB303" s="173">
        <f t="shared" si="860"/>
        <v>130.50000000000003</v>
      </c>
      <c r="EC303" s="173">
        <f t="shared" si="861"/>
        <v>8.474025974025972</v>
      </c>
      <c r="ED303" s="173">
        <f t="shared" si="862"/>
        <v>15.400000000000007</v>
      </c>
      <c r="EE303" s="460">
        <f t="shared" si="834"/>
        <v>163.91733608951603</v>
      </c>
      <c r="EF303" s="5">
        <f t="shared" si="835"/>
        <v>8.258262566086227</v>
      </c>
      <c r="EH303" s="173">
        <f t="shared" si="863"/>
        <v>4.5265513375183879</v>
      </c>
      <c r="EI303" s="173">
        <f t="shared" si="864"/>
        <v>10.634487195859661</v>
      </c>
      <c r="EK303" s="528">
        <f t="shared" si="865"/>
        <v>0.40979334022379016</v>
      </c>
      <c r="EL303" s="528">
        <f t="shared" si="866"/>
        <v>2.1816666666666671</v>
      </c>
      <c r="EM303" s="528">
        <f t="shared" si="867"/>
        <v>6.7842231905317733E-3</v>
      </c>
      <c r="EN303" s="528">
        <f t="shared" si="868"/>
        <v>5.4708844189016614E-2</v>
      </c>
      <c r="EO303">
        <f t="shared" si="869"/>
        <v>3.8249999999999999E-2</v>
      </c>
      <c r="EP303" s="460">
        <f t="shared" si="870"/>
        <v>45.034223190531769</v>
      </c>
      <c r="EQ303" s="460"/>
      <c r="ER303" s="460">
        <f t="shared" si="871"/>
        <v>2691.2030742700058</v>
      </c>
      <c r="ES303" s="528">
        <f t="shared" si="872"/>
        <v>6.089999999999999</v>
      </c>
      <c r="EV303" s="460">
        <f t="shared" si="873"/>
        <v>6089.9999999999991</v>
      </c>
      <c r="EW303" s="528">
        <f t="shared" si="874"/>
        <v>0.61469001033568516</v>
      </c>
      <c r="EX303" s="528">
        <f t="shared" si="875"/>
        <v>3.3927695375670921</v>
      </c>
      <c r="EY303" s="528">
        <f t="shared" si="876"/>
        <v>1.9455021880180834</v>
      </c>
      <c r="EZ303" s="528"/>
      <c r="FA303" s="528">
        <f t="shared" si="877"/>
        <v>2.1749999999999999E-2</v>
      </c>
      <c r="FB303" s="460">
        <f t="shared" si="878"/>
        <v>5974.7117359208605</v>
      </c>
      <c r="FC303" s="173">
        <f t="shared" si="879"/>
        <v>14.755914810190868</v>
      </c>
      <c r="FD303" s="5">
        <f t="shared" si="880"/>
        <v>130.5</v>
      </c>
      <c r="FE303" s="173">
        <f t="shared" si="881"/>
        <v>0.89841436178710699</v>
      </c>
      <c r="FF303" s="5">
        <f t="shared" si="882"/>
        <v>89.841436178710694</v>
      </c>
      <c r="FI303" s="562">
        <f t="shared" si="836"/>
        <v>-50</v>
      </c>
      <c r="FJ303">
        <f t="shared" si="837"/>
        <v>-50</v>
      </c>
      <c r="FL303">
        <f t="shared" si="838"/>
        <v>0.84661354581673298</v>
      </c>
    </row>
    <row r="304" spans="5:168">
      <c r="E304" s="170">
        <v>88</v>
      </c>
      <c r="F304" s="217">
        <f t="shared" si="839"/>
        <v>8.8000000000000007</v>
      </c>
      <c r="G304" s="217"/>
      <c r="H304" s="217">
        <f t="shared" si="764"/>
        <v>132</v>
      </c>
      <c r="I304" s="541">
        <f t="shared" si="765"/>
        <v>84.47863017286771</v>
      </c>
      <c r="J304" s="172">
        <f t="shared" si="766"/>
        <v>15.712821896279371</v>
      </c>
      <c r="K304" s="172">
        <f t="shared" si="767"/>
        <v>100.19145206914708</v>
      </c>
      <c r="L304" s="443"/>
      <c r="M304" s="217">
        <f t="shared" si="768"/>
        <v>0.15681962602905913</v>
      </c>
      <c r="N304" s="172">
        <f t="shared" si="769"/>
        <v>332.60526991796797</v>
      </c>
      <c r="O304" s="172">
        <f t="shared" si="762"/>
        <v>132</v>
      </c>
      <c r="P304" s="217">
        <f t="shared" si="770"/>
        <v>22.173684661197864</v>
      </c>
      <c r="Q304" s="217">
        <f t="shared" si="771"/>
        <v>15</v>
      </c>
      <c r="R304" s="217"/>
      <c r="S304" s="172">
        <f t="shared" si="772"/>
        <v>155.73390437321393</v>
      </c>
      <c r="T304" s="172">
        <f t="shared" si="773"/>
        <v>15</v>
      </c>
      <c r="U304" s="217">
        <f t="shared" si="774"/>
        <v>20.873351115981457</v>
      </c>
      <c r="V304" s="217">
        <f t="shared" si="775"/>
        <v>2.9650127242738491</v>
      </c>
      <c r="W304" s="217">
        <f t="shared" si="776"/>
        <v>15.941134892586577</v>
      </c>
      <c r="X304" s="197">
        <f t="shared" si="777"/>
        <v>110.40509964794038</v>
      </c>
      <c r="Y304" s="443">
        <f t="shared" si="840"/>
        <v>52.339174806622928</v>
      </c>
      <c r="AA304" s="217">
        <f t="shared" si="778"/>
        <v>10</v>
      </c>
      <c r="AB304" s="173">
        <f t="shared" si="779"/>
        <v>7.6370750455979355</v>
      </c>
      <c r="AC304" s="173">
        <f t="shared" si="780"/>
        <v>4.2158601571401952</v>
      </c>
      <c r="AD304" s="173"/>
      <c r="AE304" s="173">
        <f t="shared" si="781"/>
        <v>7.6370750455979355</v>
      </c>
      <c r="AF304" s="545">
        <f t="shared" si="782"/>
        <v>230.4547211454308</v>
      </c>
      <c r="AG304" s="528">
        <f t="shared" si="783"/>
        <v>4.2158601571401935</v>
      </c>
      <c r="AI304" s="173">
        <f t="shared" si="784"/>
        <v>8.1144442842102045</v>
      </c>
      <c r="AJ304" s="173">
        <f t="shared" si="785"/>
        <v>20.873351115981457</v>
      </c>
      <c r="AK304" s="173">
        <f t="shared" si="786"/>
        <v>9.2543341599862643</v>
      </c>
      <c r="AM304" s="545">
        <f t="shared" si="787"/>
        <v>8800</v>
      </c>
      <c r="AN304" s="460">
        <f t="shared" si="788"/>
        <v>52.339174806622928</v>
      </c>
      <c r="AP304">
        <f t="shared" si="789"/>
        <v>8800</v>
      </c>
      <c r="AQ304">
        <f t="shared" si="790"/>
        <v>52.339174806622928</v>
      </c>
      <c r="AS304" s="5">
        <f t="shared" si="763"/>
        <v>19.106147616860429</v>
      </c>
      <c r="AT304" s="5">
        <f t="shared" si="791"/>
        <v>2.9650127242738491</v>
      </c>
      <c r="AU304" s="5">
        <f t="shared" si="883"/>
        <v>16.141134892586582</v>
      </c>
      <c r="AV304" s="5"/>
      <c r="AW304" s="173">
        <f t="shared" si="884"/>
        <v>0.15518631927963025</v>
      </c>
      <c r="AX304" s="173">
        <f t="shared" si="792"/>
        <v>136.82406172552302</v>
      </c>
      <c r="AY304" s="173">
        <f t="shared" si="793"/>
        <v>8.8170462926304669</v>
      </c>
      <c r="AZ304" s="173">
        <f t="shared" si="794"/>
        <v>15.518128995181117</v>
      </c>
      <c r="BA304" s="460">
        <f t="shared" si="724"/>
        <v>173.94741315739918</v>
      </c>
      <c r="BB304" s="5">
        <f t="shared" si="725"/>
        <v>8.6968731800984855</v>
      </c>
      <c r="BD304" s="173">
        <f t="shared" si="841"/>
        <v>4.7474266947883716</v>
      </c>
      <c r="BE304" s="173">
        <f t="shared" si="842"/>
        <v>11.076741490526844</v>
      </c>
      <c r="BG304" s="528">
        <f t="shared" si="843"/>
        <v>0.45076120444778489</v>
      </c>
      <c r="BH304" s="528">
        <f t="shared" si="795"/>
        <v>2.0523479534544706</v>
      </c>
      <c r="BI304" s="528">
        <f t="shared" si="796"/>
        <v>0.11053854480104432</v>
      </c>
      <c r="BJ304" s="528">
        <f t="shared" si="844"/>
        <v>5.2539775516367127E-2</v>
      </c>
      <c r="BK304">
        <f t="shared" si="845"/>
        <v>3.8015383577790468E-2</v>
      </c>
      <c r="BL304" s="460">
        <f t="shared" si="846"/>
        <v>148.5539283788348</v>
      </c>
      <c r="BM304" s="528">
        <f t="shared" si="797"/>
        <v>2.9984959613093944</v>
      </c>
      <c r="BN304" s="460">
        <f t="shared" si="847"/>
        <v>2998.4959613093943</v>
      </c>
      <c r="BO304" s="528">
        <f t="shared" si="798"/>
        <v>6.16</v>
      </c>
      <c r="BR304" s="460">
        <f t="shared" si="848"/>
        <v>6160</v>
      </c>
      <c r="BS304" s="528">
        <f t="shared" si="849"/>
        <v>0.67614180667167734</v>
      </c>
      <c r="BT304" s="528">
        <f t="shared" si="850"/>
        <v>3.6808260614387653</v>
      </c>
      <c r="BU304" s="528">
        <f t="shared" si="851"/>
        <v>1.9725028010433974</v>
      </c>
      <c r="BV304" s="528"/>
      <c r="BW304" s="528">
        <f t="shared" si="852"/>
        <v>2.2804010287587172E-2</v>
      </c>
      <c r="BX304" s="460">
        <f t="shared" si="853"/>
        <v>6352.2746794414279</v>
      </c>
      <c r="BY304" s="173">
        <f t="shared" si="854"/>
        <v>15.216477541238884</v>
      </c>
      <c r="BZ304" s="5">
        <f t="shared" si="855"/>
        <v>132</v>
      </c>
      <c r="CA304" s="173">
        <f t="shared" si="856"/>
        <v>0.89663876085490246</v>
      </c>
      <c r="CB304" s="5">
        <f t="shared" si="857"/>
        <v>89.663876085490244</v>
      </c>
      <c r="CE304" s="562">
        <f t="shared" si="799"/>
        <v>-50</v>
      </c>
      <c r="CF304">
        <f t="shared" si="800"/>
        <v>-50</v>
      </c>
      <c r="CG304" s="173">
        <f t="shared" si="801"/>
        <v>0.84393069391865916</v>
      </c>
      <c r="CI304" s="170">
        <v>88</v>
      </c>
      <c r="CJ304" s="217">
        <f t="shared" si="858"/>
        <v>8.8000000000000007</v>
      </c>
      <c r="CK304" s="217"/>
      <c r="CL304" s="217">
        <f t="shared" si="802"/>
        <v>132</v>
      </c>
      <c r="CM304" s="541">
        <f t="shared" si="803"/>
        <v>85</v>
      </c>
      <c r="CN304" s="443">
        <f t="shared" si="804"/>
        <v>15.4</v>
      </c>
      <c r="CO304" s="443">
        <f t="shared" si="805"/>
        <v>100.4</v>
      </c>
      <c r="CP304" s="443"/>
      <c r="CQ304" s="217">
        <f t="shared" si="806"/>
        <v>0.15338645418326693</v>
      </c>
      <c r="CR304" s="172">
        <f t="shared" si="807"/>
        <v>327.33148655378488</v>
      </c>
      <c r="CS304" s="172">
        <f t="shared" si="808"/>
        <v>132</v>
      </c>
      <c r="CT304" s="217">
        <f t="shared" si="809"/>
        <v>21.822099103585661</v>
      </c>
      <c r="CU304" s="217">
        <f t="shared" si="810"/>
        <v>15</v>
      </c>
      <c r="CV304" s="217"/>
      <c r="CW304" s="172">
        <f t="shared" si="811"/>
        <v>156.69370406169872</v>
      </c>
      <c r="CX304" s="172">
        <f t="shared" si="812"/>
        <v>15</v>
      </c>
      <c r="CY304" s="217">
        <f t="shared" si="813"/>
        <v>20.248739495798318</v>
      </c>
      <c r="CZ304" s="217">
        <f t="shared" si="814"/>
        <v>2.8586455758774094</v>
      </c>
      <c r="DA304" s="217">
        <f t="shared" si="815"/>
        <v>15.778238568154533</v>
      </c>
      <c r="DB304" s="197">
        <f t="shared" si="816"/>
        <v>108.64873837981409</v>
      </c>
      <c r="DC304" s="443">
        <f t="shared" si="817"/>
        <v>53.657037961478572</v>
      </c>
      <c r="DE304" s="217">
        <f t="shared" si="818"/>
        <v>10</v>
      </c>
      <c r="DF304" s="173">
        <f t="shared" si="819"/>
        <v>7.7922077922077913</v>
      </c>
      <c r="DG304" s="173">
        <f t="shared" si="820"/>
        <v>4.2330677290836656</v>
      </c>
      <c r="DH304" s="173"/>
      <c r="DI304" s="173">
        <f t="shared" si="821"/>
        <v>7.7922077922077913</v>
      </c>
      <c r="DJ304" s="545">
        <f t="shared" si="822"/>
        <v>225.86666666666667</v>
      </c>
      <c r="DK304" s="528">
        <f t="shared" si="823"/>
        <v>4.2330677290836656</v>
      </c>
      <c r="DM304" s="173">
        <f t="shared" si="824"/>
        <v>8.0332641767424366</v>
      </c>
      <c r="DN304" s="173">
        <f t="shared" si="825"/>
        <v>20.248739495798318</v>
      </c>
      <c r="DO304" s="173">
        <f t="shared" si="826"/>
        <v>8.7916588857765312</v>
      </c>
      <c r="DQ304" s="545">
        <f t="shared" si="827"/>
        <v>8800</v>
      </c>
      <c r="DR304" s="460">
        <f t="shared" si="828"/>
        <v>53.657037961478572</v>
      </c>
      <c r="DT304">
        <f t="shared" si="829"/>
        <v>8800</v>
      </c>
      <c r="DU304">
        <f t="shared" si="830"/>
        <v>53.657037961478572</v>
      </c>
      <c r="DW304" s="5">
        <f t="shared" si="859"/>
        <v>18.636884144031942</v>
      </c>
      <c r="DX304" s="5">
        <f t="shared" si="831"/>
        <v>2.8586455758774094</v>
      </c>
      <c r="DY304" s="5">
        <f t="shared" si="832"/>
        <v>15.778238568154533</v>
      </c>
      <c r="DZ304" s="5"/>
      <c r="EA304" s="173">
        <f t="shared" si="833"/>
        <v>0.15338645418326693</v>
      </c>
      <c r="EB304" s="173">
        <f t="shared" si="860"/>
        <v>132</v>
      </c>
      <c r="EC304" s="173">
        <f t="shared" si="861"/>
        <v>8.5714285714285712</v>
      </c>
      <c r="ED304" s="173">
        <f t="shared" si="862"/>
        <v>15.4</v>
      </c>
      <c r="EE304" s="460">
        <f t="shared" si="834"/>
        <v>167.70720711814135</v>
      </c>
      <c r="EF304" s="5">
        <f t="shared" si="835"/>
        <v>8.4491987464356928</v>
      </c>
      <c r="EH304" s="173">
        <f t="shared" si="863"/>
        <v>4.5785806632369894</v>
      </c>
      <c r="EI304" s="173">
        <f t="shared" si="864"/>
        <v>10.756722680869544</v>
      </c>
      <c r="EK304" s="528">
        <f t="shared" si="865"/>
        <v>0.41926801779535339</v>
      </c>
      <c r="EL304" s="528">
        <f t="shared" si="866"/>
        <v>2.1816666666666671</v>
      </c>
      <c r="EM304" s="528">
        <f t="shared" si="867"/>
        <v>6.707129745184821E-3</v>
      </c>
      <c r="EN304" s="528">
        <f t="shared" si="868"/>
        <v>5.4087152777777793E-2</v>
      </c>
      <c r="EO304">
        <f t="shared" si="869"/>
        <v>3.8249999999999999E-2</v>
      </c>
      <c r="EP304" s="460">
        <f t="shared" si="870"/>
        <v>44.957129745184822</v>
      </c>
      <c r="EQ304" s="460"/>
      <c r="ER304" s="460">
        <f t="shared" si="871"/>
        <v>2699.9789669849833</v>
      </c>
      <c r="ES304" s="528">
        <f t="shared" si="872"/>
        <v>6.16</v>
      </c>
      <c r="EV304" s="460">
        <f t="shared" si="873"/>
        <v>6160</v>
      </c>
      <c r="EW304" s="528">
        <f t="shared" si="874"/>
        <v>0.62890202669303008</v>
      </c>
      <c r="EX304" s="528">
        <f t="shared" si="875"/>
        <v>3.4712124849939978</v>
      </c>
      <c r="EY304" s="528">
        <f t="shared" si="876"/>
        <v>1.9455021880180821</v>
      </c>
      <c r="EZ304" s="528"/>
      <c r="FA304" s="528">
        <f t="shared" si="877"/>
        <v>2.2000000000000002E-2</v>
      </c>
      <c r="FB304" s="460">
        <f t="shared" si="878"/>
        <v>6067.6166997051105</v>
      </c>
      <c r="FC304" s="173">
        <f t="shared" si="879"/>
        <v>14.927595666690094</v>
      </c>
      <c r="FD304" s="5">
        <f t="shared" si="880"/>
        <v>132</v>
      </c>
      <c r="FE304" s="173">
        <f t="shared" si="881"/>
        <v>0.89840168826723465</v>
      </c>
      <c r="FF304" s="5">
        <f t="shared" si="882"/>
        <v>89.84016882672347</v>
      </c>
      <c r="FI304" s="562">
        <f t="shared" si="836"/>
        <v>-50</v>
      </c>
      <c r="FJ304">
        <f t="shared" si="837"/>
        <v>-50</v>
      </c>
      <c r="FL304">
        <f t="shared" si="838"/>
        <v>0.84661354581673309</v>
      </c>
    </row>
    <row r="305" spans="5:168">
      <c r="E305" s="170">
        <v>89</v>
      </c>
      <c r="F305" s="217">
        <f t="shared" si="839"/>
        <v>8.9</v>
      </c>
      <c r="G305" s="217"/>
      <c r="H305" s="217">
        <f t="shared" si="764"/>
        <v>133.5</v>
      </c>
      <c r="I305" s="541">
        <f t="shared" si="765"/>
        <v>84.47272434952697</v>
      </c>
      <c r="J305" s="172">
        <f t="shared" si="766"/>
        <v>15.716365390283817</v>
      </c>
      <c r="K305" s="172">
        <f t="shared" si="767"/>
        <v>100.18908973981078</v>
      </c>
      <c r="L305" s="443"/>
      <c r="M305" s="217">
        <f t="shared" si="768"/>
        <v>0.1568586923804737</v>
      </c>
      <c r="N305" s="172">
        <f t="shared" si="769"/>
        <v>332.66486944717383</v>
      </c>
      <c r="O305" s="172">
        <f t="shared" si="762"/>
        <v>133.5</v>
      </c>
      <c r="P305" s="217">
        <f t="shared" si="770"/>
        <v>22.17765796314492</v>
      </c>
      <c r="Q305" s="217">
        <f t="shared" si="771"/>
        <v>15</v>
      </c>
      <c r="R305" s="217"/>
      <c r="S305" s="172">
        <f t="shared" si="772"/>
        <v>153.03043338587352</v>
      </c>
      <c r="T305" s="172">
        <f t="shared" si="773"/>
        <v>15</v>
      </c>
      <c r="U305" s="217">
        <f t="shared" si="774"/>
        <v>21.111526429959213</v>
      </c>
      <c r="V305" s="217">
        <f t="shared" si="775"/>
        <v>2.9990546547458332</v>
      </c>
      <c r="W305" s="217">
        <f t="shared" si="776"/>
        <v>16.119395984273154</v>
      </c>
      <c r="X305" s="197">
        <f t="shared" si="777"/>
        <v>110.42488132836739</v>
      </c>
      <c r="Y305" s="443">
        <f t="shared" si="840"/>
        <v>51.76398556415397</v>
      </c>
      <c r="AA305" s="217">
        <f t="shared" si="778"/>
        <v>9.9999999999999982</v>
      </c>
      <c r="AB305" s="173">
        <f t="shared" si="779"/>
        <v>7.635353150683712</v>
      </c>
      <c r="AC305" s="173">
        <f t="shared" si="780"/>
        <v>4.215664827822124</v>
      </c>
      <c r="AD305" s="173"/>
      <c r="AE305" s="173">
        <f t="shared" si="781"/>
        <v>7.6353531506837138</v>
      </c>
      <c r="AF305" s="545">
        <f t="shared" si="782"/>
        <v>233.12608662254326</v>
      </c>
      <c r="AG305" s="528">
        <f t="shared" si="783"/>
        <v>4.2156648278221258</v>
      </c>
      <c r="AI305" s="173">
        <f t="shared" si="784"/>
        <v>8.1613389416643294</v>
      </c>
      <c r="AJ305" s="173">
        <f t="shared" si="785"/>
        <v>21.111526429959213</v>
      </c>
      <c r="AK305" s="173">
        <f t="shared" si="786"/>
        <v>9.4307603184883053</v>
      </c>
      <c r="AM305" s="545">
        <f t="shared" si="787"/>
        <v>8900</v>
      </c>
      <c r="AN305" s="460">
        <f t="shared" si="788"/>
        <v>51.76398556415397</v>
      </c>
      <c r="AP305">
        <f t="shared" si="789"/>
        <v>8900</v>
      </c>
      <c r="AQ305">
        <f t="shared" si="790"/>
        <v>51.76398556415397</v>
      </c>
      <c r="AS305" s="5">
        <f t="shared" si="763"/>
        <v>19.318450639018987</v>
      </c>
      <c r="AT305" s="5">
        <f t="shared" si="791"/>
        <v>2.9990546547458332</v>
      </c>
      <c r="AU305" s="5">
        <f t="shared" si="883"/>
        <v>16.319395984273154</v>
      </c>
      <c r="AV305" s="5"/>
      <c r="AW305" s="173">
        <f t="shared" si="884"/>
        <v>0.15524302185437208</v>
      </c>
      <c r="AX305" s="173">
        <f t="shared" si="792"/>
        <v>138.42617812299861</v>
      </c>
      <c r="AY305" s="173">
        <f t="shared" si="793"/>
        <v>8.9170546355069504</v>
      </c>
      <c r="AZ305" s="173">
        <f t="shared" si="794"/>
        <v>15.523755744615199</v>
      </c>
      <c r="BA305" s="460">
        <f t="shared" si="724"/>
        <v>177.94390951491943</v>
      </c>
      <c r="BB305" s="5">
        <f t="shared" si="725"/>
        <v>8.8934618701371733</v>
      </c>
      <c r="BD305" s="173">
        <f t="shared" si="841"/>
        <v>4.8024743266041447</v>
      </c>
      <c r="BE305" s="173">
        <f t="shared" si="842"/>
        <v>11.202756643341415</v>
      </c>
      <c r="BG305" s="528">
        <f t="shared" si="843"/>
        <v>0.46127519315383864</v>
      </c>
      <c r="BH305" s="528">
        <f t="shared" si="795"/>
        <v>2.0529059131980616</v>
      </c>
      <c r="BI305" s="528">
        <f t="shared" si="796"/>
        <v>0.10931612209484179</v>
      </c>
      <c r="BJ305" s="528">
        <f t="shared" si="844"/>
        <v>5.1959931417158364E-2</v>
      </c>
      <c r="BK305">
        <f t="shared" si="845"/>
        <v>3.8012725957287136E-2</v>
      </c>
      <c r="BL305" s="460">
        <f t="shared" si="846"/>
        <v>147.32884805212893</v>
      </c>
      <c r="BM305" s="528">
        <f t="shared" si="797"/>
        <v>3.0218803632206082</v>
      </c>
      <c r="BN305" s="460">
        <f t="shared" si="847"/>
        <v>3021.8803632206082</v>
      </c>
      <c r="BO305" s="528">
        <f t="shared" si="798"/>
        <v>6.2299999999999995</v>
      </c>
      <c r="BR305" s="460">
        <f t="shared" si="848"/>
        <v>6229.9999999999991</v>
      </c>
      <c r="BS305" s="528">
        <f t="shared" si="849"/>
        <v>0.69191278973075798</v>
      </c>
      <c r="BT305" s="528">
        <f t="shared" si="850"/>
        <v>3.7650526922979055</v>
      </c>
      <c r="BU305" s="528">
        <f t="shared" si="851"/>
        <v>1.9739600599600995</v>
      </c>
      <c r="BV305" s="528"/>
      <c r="BW305" s="528">
        <f t="shared" si="852"/>
        <v>2.3071029687166431E-2</v>
      </c>
      <c r="BX305" s="460">
        <f t="shared" si="853"/>
        <v>6453.9965716759298</v>
      </c>
      <c r="BY305" s="173">
        <f t="shared" si="854"/>
        <v>15.397466457497115</v>
      </c>
      <c r="BZ305" s="5">
        <f t="shared" si="855"/>
        <v>133.5</v>
      </c>
      <c r="CA305" s="173">
        <f t="shared" si="856"/>
        <v>0.89659013800686582</v>
      </c>
      <c r="CB305" s="5">
        <f t="shared" si="857"/>
        <v>89.65901380068658</v>
      </c>
      <c r="CE305" s="562">
        <f t="shared" si="799"/>
        <v>-50</v>
      </c>
      <c r="CF305">
        <f t="shared" si="800"/>
        <v>-50</v>
      </c>
      <c r="CG305" s="173">
        <f t="shared" si="801"/>
        <v>0.8439608383220083</v>
      </c>
      <c r="CI305" s="170">
        <v>89</v>
      </c>
      <c r="CJ305" s="217">
        <f t="shared" si="858"/>
        <v>8.9</v>
      </c>
      <c r="CK305" s="217"/>
      <c r="CL305" s="217">
        <f t="shared" si="802"/>
        <v>133.5</v>
      </c>
      <c r="CM305" s="541">
        <f t="shared" si="803"/>
        <v>85</v>
      </c>
      <c r="CN305" s="443">
        <f t="shared" si="804"/>
        <v>15.4</v>
      </c>
      <c r="CO305" s="443">
        <f t="shared" si="805"/>
        <v>100.4</v>
      </c>
      <c r="CP305" s="443"/>
      <c r="CQ305" s="217">
        <f t="shared" si="806"/>
        <v>0.15338645418326693</v>
      </c>
      <c r="CR305" s="172">
        <f t="shared" si="807"/>
        <v>327.33148655378488</v>
      </c>
      <c r="CS305" s="172">
        <f t="shared" si="808"/>
        <v>133.5</v>
      </c>
      <c r="CT305" s="217">
        <f t="shared" si="809"/>
        <v>21.822099103585661</v>
      </c>
      <c r="CU305" s="217">
        <f t="shared" si="810"/>
        <v>15</v>
      </c>
      <c r="CV305" s="217"/>
      <c r="CW305" s="172">
        <f t="shared" si="811"/>
        <v>153.98427462771767</v>
      </c>
      <c r="CX305" s="172">
        <f t="shared" si="812"/>
        <v>15</v>
      </c>
      <c r="CY305" s="217">
        <f t="shared" si="813"/>
        <v>20.478838808250572</v>
      </c>
      <c r="CZ305" s="217">
        <f t="shared" si="814"/>
        <v>2.8911301846941986</v>
      </c>
      <c r="DA305" s="217">
        <f t="shared" si="815"/>
        <v>15.957536733701744</v>
      </c>
      <c r="DB305" s="197">
        <f t="shared" si="816"/>
        <v>108.64873837981409</v>
      </c>
      <c r="DC305" s="443">
        <f t="shared" si="817"/>
        <v>53.054149894495666</v>
      </c>
      <c r="DE305" s="217">
        <f t="shared" si="818"/>
        <v>10</v>
      </c>
      <c r="DF305" s="173">
        <f t="shared" si="819"/>
        <v>7.7922077922077913</v>
      </c>
      <c r="DG305" s="173">
        <f t="shared" si="820"/>
        <v>4.2330677290836656</v>
      </c>
      <c r="DH305" s="173"/>
      <c r="DI305" s="173">
        <f t="shared" si="821"/>
        <v>7.7922077922077913</v>
      </c>
      <c r="DJ305" s="545">
        <f t="shared" si="822"/>
        <v>228.43333333333334</v>
      </c>
      <c r="DK305" s="528">
        <f t="shared" si="823"/>
        <v>4.2330677290836656</v>
      </c>
      <c r="DM305" s="173">
        <f t="shared" si="824"/>
        <v>8.0787787856003757</v>
      </c>
      <c r="DN305" s="173">
        <f t="shared" si="825"/>
        <v>20.478838808250572</v>
      </c>
      <c r="DO305" s="173">
        <f t="shared" si="826"/>
        <v>8.9621028209263489</v>
      </c>
      <c r="DQ305" s="545">
        <f t="shared" si="827"/>
        <v>8900</v>
      </c>
      <c r="DR305" s="460">
        <f t="shared" si="828"/>
        <v>53.054149894495666</v>
      </c>
      <c r="DT305">
        <f t="shared" si="829"/>
        <v>8900</v>
      </c>
      <c r="DU305">
        <f t="shared" si="830"/>
        <v>53.054149894495666</v>
      </c>
      <c r="DW305" s="5">
        <f t="shared" si="859"/>
        <v>18.848666918395942</v>
      </c>
      <c r="DX305" s="5">
        <f t="shared" si="831"/>
        <v>2.8911301846941986</v>
      </c>
      <c r="DY305" s="5">
        <f t="shared" si="832"/>
        <v>15.957536733701744</v>
      </c>
      <c r="DZ305" s="5"/>
      <c r="EA305" s="173">
        <f t="shared" si="833"/>
        <v>0.15338645418326693</v>
      </c>
      <c r="EB305" s="173">
        <f t="shared" si="860"/>
        <v>133.5</v>
      </c>
      <c r="EC305" s="173">
        <f t="shared" si="861"/>
        <v>8.6688311688311686</v>
      </c>
      <c r="ED305" s="173">
        <f t="shared" si="862"/>
        <v>15.4</v>
      </c>
      <c r="EE305" s="460">
        <f t="shared" si="834"/>
        <v>171.54039095852244</v>
      </c>
      <c r="EF305" s="5">
        <f t="shared" si="835"/>
        <v>8.6423170545605785</v>
      </c>
      <c r="EH305" s="173">
        <f t="shared" si="863"/>
        <v>4.6306099889555918</v>
      </c>
      <c r="EI305" s="173">
        <f t="shared" si="864"/>
        <v>10.878958165879425</v>
      </c>
      <c r="EK305" s="528">
        <f t="shared" si="865"/>
        <v>0.42885097739630612</v>
      </c>
      <c r="EL305" s="528">
        <f t="shared" si="866"/>
        <v>2.1816666666666671</v>
      </c>
      <c r="EM305" s="528">
        <f t="shared" si="867"/>
        <v>6.6317687368119584E-3</v>
      </c>
      <c r="EN305" s="528">
        <f t="shared" si="868"/>
        <v>5.347943196004995E-2</v>
      </c>
      <c r="EO305">
        <f t="shared" si="869"/>
        <v>3.8249999999999999E-2</v>
      </c>
      <c r="EP305" s="460">
        <f t="shared" si="870"/>
        <v>44.881768736811964</v>
      </c>
      <c r="EQ305" s="460"/>
      <c r="ER305" s="460">
        <f t="shared" si="871"/>
        <v>2708.8788447598354</v>
      </c>
      <c r="ES305" s="528">
        <f t="shared" si="872"/>
        <v>6.2299999999999995</v>
      </c>
      <c r="EV305" s="460">
        <f t="shared" si="873"/>
        <v>6229.9999999999991</v>
      </c>
      <c r="EW305" s="528">
        <f t="shared" si="874"/>
        <v>0.6432764660944591</v>
      </c>
      <c r="EX305" s="528">
        <f t="shared" si="875"/>
        <v>3.5505519232486384</v>
      </c>
      <c r="EY305" s="528">
        <f t="shared" si="876"/>
        <v>1.9455021880180834</v>
      </c>
      <c r="EZ305" s="528"/>
      <c r="FA305" s="528">
        <f t="shared" si="877"/>
        <v>2.2249999999999999E-2</v>
      </c>
      <c r="FB305" s="460">
        <f t="shared" si="878"/>
        <v>6161.5805773611801</v>
      </c>
      <c r="FC305" s="173">
        <f t="shared" si="879"/>
        <v>15.100459422121016</v>
      </c>
      <c r="FD305" s="5">
        <f t="shared" si="880"/>
        <v>133.5</v>
      </c>
      <c r="FE305" s="173">
        <f t="shared" si="881"/>
        <v>0.89838214847488462</v>
      </c>
      <c r="FF305" s="5">
        <f t="shared" si="882"/>
        <v>89.838214847488459</v>
      </c>
      <c r="FI305" s="562">
        <f t="shared" si="836"/>
        <v>-50</v>
      </c>
      <c r="FJ305">
        <f t="shared" si="837"/>
        <v>-50</v>
      </c>
      <c r="FL305">
        <f t="shared" si="838"/>
        <v>0.84661354581673309</v>
      </c>
    </row>
    <row r="306" spans="5:168">
      <c r="E306" s="170">
        <v>90</v>
      </c>
      <c r="F306" s="217">
        <f t="shared" si="839"/>
        <v>9</v>
      </c>
      <c r="G306" s="217"/>
      <c r="H306" s="217">
        <f t="shared" si="764"/>
        <v>135</v>
      </c>
      <c r="I306" s="541">
        <f t="shared" si="765"/>
        <v>84.466818524870774</v>
      </c>
      <c r="J306" s="172">
        <f t="shared" si="766"/>
        <v>15.71990888507754</v>
      </c>
      <c r="K306" s="172">
        <f t="shared" si="767"/>
        <v>100.18672740994832</v>
      </c>
      <c r="L306" s="443"/>
      <c r="M306" s="217">
        <f t="shared" si="768"/>
        <v>0.15689776057625066</v>
      </c>
      <c r="N306" s="172">
        <f t="shared" si="769"/>
        <v>332.7244612974597</v>
      </c>
      <c r="O306" s="172">
        <f t="shared" si="762"/>
        <v>135</v>
      </c>
      <c r="P306" s="217">
        <f t="shared" si="770"/>
        <v>22.181630753163979</v>
      </c>
      <c r="Q306" s="217">
        <f t="shared" si="771"/>
        <v>15</v>
      </c>
      <c r="R306" s="217"/>
      <c r="S306" s="172">
        <f t="shared" si="772"/>
        <v>150.38730171757746</v>
      </c>
      <c r="T306" s="172">
        <f t="shared" si="773"/>
        <v>15</v>
      </c>
      <c r="U306" s="217">
        <f t="shared" si="774"/>
        <v>21.349723863030881</v>
      </c>
      <c r="V306" s="217">
        <f t="shared" si="775"/>
        <v>3.0331044880177997</v>
      </c>
      <c r="W306" s="217">
        <f t="shared" si="776"/>
        <v>16.297593594805807</v>
      </c>
      <c r="X306" s="197">
        <f t="shared" si="777"/>
        <v>110.44466046470042</v>
      </c>
      <c r="Y306" s="443">
        <f t="shared" si="840"/>
        <v>51.201446858648445</v>
      </c>
      <c r="AA306" s="217">
        <f t="shared" si="778"/>
        <v>10</v>
      </c>
      <c r="AB306" s="173">
        <f t="shared" si="779"/>
        <v>7.6336320316660728</v>
      </c>
      <c r="AC306" s="173">
        <f t="shared" si="780"/>
        <v>4.2154694892491031</v>
      </c>
      <c r="AD306" s="173"/>
      <c r="AE306" s="173">
        <f t="shared" si="781"/>
        <v>7.6336320316660728</v>
      </c>
      <c r="AF306" s="545">
        <f t="shared" si="782"/>
        <v>235.79863327616312</v>
      </c>
      <c r="AG306" s="528">
        <f t="shared" si="783"/>
        <v>4.2154694892491031</v>
      </c>
      <c r="AI306" s="173">
        <f t="shared" si="784"/>
        <v>8.2079862377384458</v>
      </c>
      <c r="AJ306" s="173">
        <f t="shared" si="785"/>
        <v>21.349723863030881</v>
      </c>
      <c r="AK306" s="173">
        <f t="shared" si="786"/>
        <v>9.6072028615043568</v>
      </c>
      <c r="AM306" s="545">
        <f t="shared" si="787"/>
        <v>9000</v>
      </c>
      <c r="AN306" s="460">
        <f t="shared" si="788"/>
        <v>51.201446858648445</v>
      </c>
      <c r="AP306">
        <f t="shared" si="789"/>
        <v>9000</v>
      </c>
      <c r="AQ306">
        <f t="shared" si="790"/>
        <v>51.201446858648445</v>
      </c>
      <c r="AS306" s="5">
        <f t="shared" si="763"/>
        <v>19.530698082823609</v>
      </c>
      <c r="AT306" s="5">
        <f t="shared" si="791"/>
        <v>3.0331044880177997</v>
      </c>
      <c r="AU306" s="5">
        <f t="shared" si="883"/>
        <v>16.49759359480581</v>
      </c>
      <c r="AV306" s="5"/>
      <c r="AW306" s="173">
        <f t="shared" si="884"/>
        <v>0.15529933825997147</v>
      </c>
      <c r="AX306" s="173">
        <f t="shared" si="792"/>
        <v>140.02900677529877</v>
      </c>
      <c r="AY306" s="173">
        <f t="shared" si="793"/>
        <v>9.0170629375345328</v>
      </c>
      <c r="AZ306" s="173">
        <f t="shared" si="794"/>
        <v>15.529336741391964</v>
      </c>
      <c r="BA306" s="460">
        <f t="shared" si="724"/>
        <v>181.98626928106799</v>
      </c>
      <c r="BB306" s="5">
        <f t="shared" si="725"/>
        <v>9.0922262656189332</v>
      </c>
      <c r="BD306" s="173">
        <f t="shared" si="841"/>
        <v>4.8575405808497223</v>
      </c>
      <c r="BE306" s="173">
        <f t="shared" si="842"/>
        <v>11.328777626673654</v>
      </c>
      <c r="BG306" s="528">
        <f t="shared" si="843"/>
        <v>0.47191400989203713</v>
      </c>
      <c r="BH306" s="528">
        <f t="shared" si="795"/>
        <v>2.0534586333068634</v>
      </c>
      <c r="BI306" s="528">
        <f t="shared" si="796"/>
        <v>0.10812058300050681</v>
      </c>
      <c r="BJ306" s="528">
        <f t="shared" si="844"/>
        <v>5.1392839654526873E-2</v>
      </c>
      <c r="BK306">
        <f t="shared" si="845"/>
        <v>3.8010068336191846E-2</v>
      </c>
      <c r="BL306" s="460">
        <f t="shared" si="846"/>
        <v>146.13065133669866</v>
      </c>
      <c r="BM306" s="528">
        <f t="shared" si="797"/>
        <v>3.0456850937134692</v>
      </c>
      <c r="BN306" s="460">
        <f t="shared" si="847"/>
        <v>3045.6850937134691</v>
      </c>
      <c r="BO306" s="528">
        <f t="shared" si="798"/>
        <v>6.3</v>
      </c>
      <c r="BR306" s="460">
        <f t="shared" si="848"/>
        <v>6300</v>
      </c>
      <c r="BS306" s="528">
        <f t="shared" si="849"/>
        <v>0.7078710148380557</v>
      </c>
      <c r="BT306" s="528">
        <f t="shared" si="850"/>
        <v>3.8502360754386467</v>
      </c>
      <c r="BU306" s="528">
        <f t="shared" si="851"/>
        <v>1.9754054322350356</v>
      </c>
      <c r="BV306" s="528"/>
      <c r="BW306" s="528">
        <f t="shared" si="852"/>
        <v>2.333816779588313E-2</v>
      </c>
      <c r="BX306" s="460">
        <f t="shared" si="853"/>
        <v>6556.8506903076204</v>
      </c>
      <c r="BY306" s="173">
        <f t="shared" si="854"/>
        <v>15.579746824497745</v>
      </c>
      <c r="BZ306" s="5">
        <f t="shared" si="855"/>
        <v>135</v>
      </c>
      <c r="CA306" s="173">
        <f t="shared" si="856"/>
        <v>0.89653491154653031</v>
      </c>
      <c r="CB306" s="5">
        <f t="shared" si="857"/>
        <v>89.653491154653025</v>
      </c>
      <c r="CE306" s="562">
        <f t="shared" si="799"/>
        <v>-50</v>
      </c>
      <c r="CF306">
        <f t="shared" si="800"/>
        <v>-50</v>
      </c>
      <c r="CG306" s="173">
        <f t="shared" si="801"/>
        <v>0.84399031284972748</v>
      </c>
      <c r="CI306" s="170">
        <v>90</v>
      </c>
      <c r="CJ306" s="217">
        <f t="shared" si="858"/>
        <v>9</v>
      </c>
      <c r="CK306" s="217"/>
      <c r="CL306" s="217">
        <f t="shared" si="802"/>
        <v>135</v>
      </c>
      <c r="CM306" s="541">
        <f t="shared" si="803"/>
        <v>85</v>
      </c>
      <c r="CN306" s="443">
        <f t="shared" si="804"/>
        <v>15.4</v>
      </c>
      <c r="CO306" s="443">
        <f t="shared" si="805"/>
        <v>100.4</v>
      </c>
      <c r="CP306" s="443"/>
      <c r="CQ306" s="217">
        <f t="shared" si="806"/>
        <v>0.15338645418326693</v>
      </c>
      <c r="CR306" s="172">
        <f t="shared" si="807"/>
        <v>327.33148655378488</v>
      </c>
      <c r="CS306" s="172">
        <f t="shared" si="808"/>
        <v>135</v>
      </c>
      <c r="CT306" s="217">
        <f t="shared" si="809"/>
        <v>21.822099103585661</v>
      </c>
      <c r="CU306" s="217">
        <f t="shared" si="810"/>
        <v>15</v>
      </c>
      <c r="CV306" s="217"/>
      <c r="CW306" s="172">
        <f t="shared" si="811"/>
        <v>151.3351857042399</v>
      </c>
      <c r="CX306" s="172">
        <f t="shared" si="812"/>
        <v>15</v>
      </c>
      <c r="CY306" s="217">
        <f t="shared" si="813"/>
        <v>20.708938120702825</v>
      </c>
      <c r="CZ306" s="217">
        <f t="shared" si="814"/>
        <v>2.9236147935109869</v>
      </c>
      <c r="DA306" s="217">
        <f t="shared" si="815"/>
        <v>16.136834899248953</v>
      </c>
      <c r="DB306" s="197">
        <f t="shared" si="816"/>
        <v>108.64873837981409</v>
      </c>
      <c r="DC306" s="443">
        <f t="shared" si="817"/>
        <v>52.464659340112384</v>
      </c>
      <c r="DE306" s="217">
        <f t="shared" si="818"/>
        <v>10</v>
      </c>
      <c r="DF306" s="173">
        <f t="shared" si="819"/>
        <v>7.7922077922077913</v>
      </c>
      <c r="DG306" s="173">
        <f t="shared" si="820"/>
        <v>4.2330677290836656</v>
      </c>
      <c r="DH306" s="173"/>
      <c r="DI306" s="173">
        <f t="shared" si="821"/>
        <v>7.7922077922077913</v>
      </c>
      <c r="DJ306" s="545">
        <f t="shared" si="822"/>
        <v>231</v>
      </c>
      <c r="DK306" s="528">
        <f t="shared" si="823"/>
        <v>4.2330677290836656</v>
      </c>
      <c r="DM306" s="173">
        <f t="shared" si="824"/>
        <v>8.1240384046359608</v>
      </c>
      <c r="DN306" s="173">
        <f t="shared" si="825"/>
        <v>20.708938120702825</v>
      </c>
      <c r="DO306" s="173">
        <f t="shared" si="826"/>
        <v>9.1325467560761666</v>
      </c>
      <c r="DQ306" s="545">
        <f t="shared" si="827"/>
        <v>9000</v>
      </c>
      <c r="DR306" s="460">
        <f t="shared" si="828"/>
        <v>52.464659340112384</v>
      </c>
      <c r="DT306">
        <f t="shared" si="829"/>
        <v>9000</v>
      </c>
      <c r="DU306">
        <f t="shared" si="830"/>
        <v>52.464659340112384</v>
      </c>
      <c r="DW306" s="5">
        <f t="shared" si="859"/>
        <v>19.060449692759939</v>
      </c>
      <c r="DX306" s="5">
        <f t="shared" si="831"/>
        <v>2.9236147935109869</v>
      </c>
      <c r="DY306" s="5">
        <f t="shared" si="832"/>
        <v>16.136834899248953</v>
      </c>
      <c r="DZ306" s="5"/>
      <c r="EA306" s="173">
        <f t="shared" si="833"/>
        <v>0.15338645418326693</v>
      </c>
      <c r="EB306" s="173">
        <f t="shared" si="860"/>
        <v>135</v>
      </c>
      <c r="EC306" s="173">
        <f t="shared" si="861"/>
        <v>8.7662337662337659</v>
      </c>
      <c r="ED306" s="173">
        <f t="shared" si="862"/>
        <v>15.4</v>
      </c>
      <c r="EE306" s="460">
        <f t="shared" si="834"/>
        <v>175.41688761065922</v>
      </c>
      <c r="EF306" s="5">
        <f t="shared" si="835"/>
        <v>8.837617490460886</v>
      </c>
      <c r="EH306" s="173">
        <f t="shared" si="863"/>
        <v>4.6826393146741934</v>
      </c>
      <c r="EI306" s="173">
        <f t="shared" si="864"/>
        <v>11.001193650889306</v>
      </c>
      <c r="EK306" s="528">
        <f t="shared" si="865"/>
        <v>0.43854221902664797</v>
      </c>
      <c r="EL306" s="528">
        <f t="shared" si="866"/>
        <v>2.1816666666666671</v>
      </c>
      <c r="EM306" s="528">
        <f t="shared" si="867"/>
        <v>6.5580824175140474E-3</v>
      </c>
      <c r="EN306" s="528">
        <f t="shared" si="868"/>
        <v>5.2885216049382726E-2</v>
      </c>
      <c r="EO306">
        <f t="shared" si="869"/>
        <v>3.8249999999999999E-2</v>
      </c>
      <c r="EP306" s="460">
        <f t="shared" si="870"/>
        <v>44.808082417514051</v>
      </c>
      <c r="EQ306" s="460"/>
      <c r="ER306" s="460">
        <f t="shared" si="871"/>
        <v>2717.9021841602121</v>
      </c>
      <c r="ES306" s="528">
        <f t="shared" si="872"/>
        <v>6.3</v>
      </c>
      <c r="EV306" s="460">
        <f t="shared" si="873"/>
        <v>6300</v>
      </c>
      <c r="EW306" s="528">
        <f t="shared" si="874"/>
        <v>0.65781332853997199</v>
      </c>
      <c r="EX306" s="528">
        <f t="shared" si="875"/>
        <v>3.6307878523310153</v>
      </c>
      <c r="EY306" s="528">
        <f t="shared" si="876"/>
        <v>1.9455021880180854</v>
      </c>
      <c r="EZ306" s="528"/>
      <c r="FA306" s="528">
        <f t="shared" si="877"/>
        <v>2.2500000000000003E-2</v>
      </c>
      <c r="FB306" s="460">
        <f t="shared" si="878"/>
        <v>6256.603368889073</v>
      </c>
      <c r="FC306" s="173">
        <f t="shared" si="879"/>
        <v>15.274505553049284</v>
      </c>
      <c r="FD306" s="5">
        <f t="shared" si="880"/>
        <v>135</v>
      </c>
      <c r="FE306" s="173">
        <f t="shared" si="881"/>
        <v>0.89835597530775335</v>
      </c>
      <c r="FF306" s="5">
        <f t="shared" si="882"/>
        <v>89.835597530775331</v>
      </c>
      <c r="FI306" s="562">
        <f t="shared" si="836"/>
        <v>-50</v>
      </c>
      <c r="FJ306">
        <f t="shared" si="837"/>
        <v>-50</v>
      </c>
      <c r="FL306">
        <f t="shared" si="838"/>
        <v>0.84661354581673309</v>
      </c>
    </row>
    <row r="307" spans="5:168">
      <c r="E307" s="170">
        <v>91</v>
      </c>
      <c r="F307" s="217">
        <f t="shared" si="839"/>
        <v>9.1</v>
      </c>
      <c r="G307" s="217"/>
      <c r="H307" s="217">
        <f t="shared" si="764"/>
        <v>136.5</v>
      </c>
      <c r="I307" s="541">
        <f t="shared" si="765"/>
        <v>84.460912698942607</v>
      </c>
      <c r="J307" s="172">
        <f t="shared" si="766"/>
        <v>15.723452380634436</v>
      </c>
      <c r="K307" s="172">
        <f t="shared" si="767"/>
        <v>100.18436507957705</v>
      </c>
      <c r="L307" s="443"/>
      <c r="M307" s="217">
        <f t="shared" si="768"/>
        <v>0.15693683061645386</v>
      </c>
      <c r="N307" s="172">
        <f t="shared" si="769"/>
        <v>332.78404546830797</v>
      </c>
      <c r="O307" s="172">
        <f t="shared" si="762"/>
        <v>136.5</v>
      </c>
      <c r="P307" s="217">
        <f t="shared" si="770"/>
        <v>22.185603031220531</v>
      </c>
      <c r="Q307" s="217">
        <f t="shared" si="771"/>
        <v>15</v>
      </c>
      <c r="R307" s="217"/>
      <c r="S307" s="172">
        <f t="shared" si="772"/>
        <v>147.80252254518081</v>
      </c>
      <c r="T307" s="172">
        <f t="shared" si="773"/>
        <v>15</v>
      </c>
      <c r="U307" s="217">
        <f t="shared" si="774"/>
        <v>21.587943419836463</v>
      </c>
      <c r="V307" s="217">
        <f t="shared" si="775"/>
        <v>3.067162226406781</v>
      </c>
      <c r="W307" s="217">
        <f t="shared" si="776"/>
        <v>16.475727770645289</v>
      </c>
      <c r="X307" s="197">
        <f t="shared" si="777"/>
        <v>110.46443705661177</v>
      </c>
      <c r="Y307" s="443">
        <f t="shared" si="840"/>
        <v>50.651145812457855</v>
      </c>
      <c r="AA307" s="217">
        <f t="shared" si="778"/>
        <v>10</v>
      </c>
      <c r="AB307" s="173">
        <f t="shared" si="779"/>
        <v>7.6319116880333659</v>
      </c>
      <c r="AC307" s="173">
        <f t="shared" si="780"/>
        <v>4.215274141421907</v>
      </c>
      <c r="AD307" s="173"/>
      <c r="AE307" s="173">
        <f t="shared" si="781"/>
        <v>7.6319116880333659</v>
      </c>
      <c r="AF307" s="545">
        <f t="shared" si="782"/>
        <v>238.47236110628893</v>
      </c>
      <c r="AG307" s="528">
        <f t="shared" si="783"/>
        <v>4.215274141421907</v>
      </c>
      <c r="AI307" s="173">
        <f t="shared" si="784"/>
        <v>8.2543903661071507</v>
      </c>
      <c r="AJ307" s="173">
        <f t="shared" si="785"/>
        <v>21.587943419836463</v>
      </c>
      <c r="AK307" s="173">
        <f t="shared" si="786"/>
        <v>9.7836617924714542</v>
      </c>
      <c r="AM307" s="545">
        <f t="shared" si="787"/>
        <v>9100</v>
      </c>
      <c r="AN307" s="460">
        <f t="shared" si="788"/>
        <v>50.651145812457855</v>
      </c>
      <c r="AP307">
        <f t="shared" si="789"/>
        <v>9100</v>
      </c>
      <c r="AQ307">
        <f t="shared" si="790"/>
        <v>50.651145812457855</v>
      </c>
      <c r="AS307" s="5">
        <f t="shared" si="763"/>
        <v>19.742889997052067</v>
      </c>
      <c r="AT307" s="5">
        <f t="shared" si="791"/>
        <v>3.067162226406781</v>
      </c>
      <c r="AU307" s="5">
        <f t="shared" si="883"/>
        <v>16.675727770645288</v>
      </c>
      <c r="AV307" s="5"/>
      <c r="AW307" s="173">
        <f t="shared" si="884"/>
        <v>0.15535528116019276</v>
      </c>
      <c r="AX307" s="173">
        <f t="shared" si="792"/>
        <v>141.63254756552286</v>
      </c>
      <c r="AY307" s="173">
        <f t="shared" si="793"/>
        <v>9.1170712000887182</v>
      </c>
      <c r="AZ307" s="173">
        <f t="shared" si="794"/>
        <v>15.53487347605058</v>
      </c>
      <c r="BA307" s="460">
        <f t="shared" si="724"/>
        <v>186.07450840201136</v>
      </c>
      <c r="BB307" s="5">
        <f t="shared" si="725"/>
        <v>9.2931656825587918</v>
      </c>
      <c r="BD307" s="173">
        <f t="shared" si="841"/>
        <v>4.9126254573899999</v>
      </c>
      <c r="BE307" s="173">
        <f t="shared" si="842"/>
        <v>11.454804442449342</v>
      </c>
      <c r="BG307" s="528">
        <f t="shared" si="843"/>
        <v>0.48267777769192616</v>
      </c>
      <c r="BH307" s="528">
        <f t="shared" si="795"/>
        <v>2.0540062826539258</v>
      </c>
      <c r="BI307" s="528">
        <f t="shared" si="796"/>
        <v>0.10695105011418539</v>
      </c>
      <c r="BJ307" s="528">
        <f t="shared" si="844"/>
        <v>5.0838084028714384E-2</v>
      </c>
      <c r="BK307">
        <f t="shared" si="845"/>
        <v>3.8007410714524174E-2</v>
      </c>
      <c r="BL307" s="460">
        <f t="shared" si="846"/>
        <v>144.95846082870955</v>
      </c>
      <c r="BM307" s="528">
        <f t="shared" si="797"/>
        <v>3.0699161441436051</v>
      </c>
      <c r="BN307" s="460">
        <f t="shared" si="847"/>
        <v>3069.9161441436049</v>
      </c>
      <c r="BO307" s="528">
        <f t="shared" si="798"/>
        <v>6.3699999999999992</v>
      </c>
      <c r="BR307" s="460">
        <f t="shared" si="848"/>
        <v>6369.9999999999991</v>
      </c>
      <c r="BS307" s="528">
        <f t="shared" si="849"/>
        <v>0.72401666653788921</v>
      </c>
      <c r="BT307" s="528">
        <f t="shared" si="850"/>
        <v>3.9363763444427158</v>
      </c>
      <c r="BU307" s="528">
        <f t="shared" si="851"/>
        <v>1.9768393068870398</v>
      </c>
      <c r="BV307" s="528"/>
      <c r="BW307" s="528">
        <f t="shared" si="852"/>
        <v>2.3605424594253813E-2</v>
      </c>
      <c r="BX307" s="460">
        <f t="shared" si="853"/>
        <v>6660.8377424618984</v>
      </c>
      <c r="BY307" s="173">
        <f t="shared" si="854"/>
        <v>15.763318347665173</v>
      </c>
      <c r="BZ307" s="5">
        <f t="shared" si="855"/>
        <v>136.5</v>
      </c>
      <c r="CA307" s="173">
        <f t="shared" si="856"/>
        <v>0.89647330349340903</v>
      </c>
      <c r="CB307" s="5">
        <f t="shared" si="857"/>
        <v>89.647330349340905</v>
      </c>
      <c r="CE307" s="562">
        <f t="shared" si="799"/>
        <v>-50</v>
      </c>
      <c r="CF307">
        <f t="shared" si="800"/>
        <v>-50</v>
      </c>
      <c r="CG307" s="173">
        <f t="shared" si="801"/>
        <v>0.84401913958562869</v>
      </c>
      <c r="CI307" s="170">
        <v>91</v>
      </c>
      <c r="CJ307" s="217">
        <f t="shared" si="858"/>
        <v>9.1</v>
      </c>
      <c r="CK307" s="217"/>
      <c r="CL307" s="217">
        <f t="shared" si="802"/>
        <v>136.5</v>
      </c>
      <c r="CM307" s="541">
        <f t="shared" si="803"/>
        <v>85</v>
      </c>
      <c r="CN307" s="443">
        <f t="shared" si="804"/>
        <v>15.4</v>
      </c>
      <c r="CO307" s="443">
        <f t="shared" si="805"/>
        <v>100.4</v>
      </c>
      <c r="CP307" s="443"/>
      <c r="CQ307" s="217">
        <f t="shared" si="806"/>
        <v>0.15338645418326693</v>
      </c>
      <c r="CR307" s="172">
        <f t="shared" si="807"/>
        <v>327.33148655378488</v>
      </c>
      <c r="CS307" s="172">
        <f t="shared" si="808"/>
        <v>136.5</v>
      </c>
      <c r="CT307" s="217">
        <f t="shared" si="809"/>
        <v>21.822099103585661</v>
      </c>
      <c r="CU307" s="217">
        <f t="shared" si="810"/>
        <v>15</v>
      </c>
      <c r="CV307" s="217"/>
      <c r="CW307" s="172">
        <f t="shared" si="811"/>
        <v>148.74445042978149</v>
      </c>
      <c r="CX307" s="172">
        <f t="shared" si="812"/>
        <v>15</v>
      </c>
      <c r="CY307" s="217">
        <f t="shared" si="813"/>
        <v>20.939037433155079</v>
      </c>
      <c r="CZ307" s="217">
        <f t="shared" si="814"/>
        <v>2.956099402327776</v>
      </c>
      <c r="DA307" s="217">
        <f t="shared" si="815"/>
        <v>16.316133064796166</v>
      </c>
      <c r="DB307" s="197">
        <f t="shared" si="816"/>
        <v>108.64873837981409</v>
      </c>
      <c r="DC307" s="443">
        <f t="shared" si="817"/>
        <v>51.888124622089165</v>
      </c>
      <c r="DE307" s="217">
        <f t="shared" si="818"/>
        <v>10</v>
      </c>
      <c r="DF307" s="173">
        <f t="shared" si="819"/>
        <v>7.7922077922077913</v>
      </c>
      <c r="DG307" s="173">
        <f t="shared" si="820"/>
        <v>4.2330677290836656</v>
      </c>
      <c r="DH307" s="173"/>
      <c r="DI307" s="173">
        <f t="shared" si="821"/>
        <v>7.7922077922077913</v>
      </c>
      <c r="DJ307" s="545">
        <f t="shared" si="822"/>
        <v>233.56666666666666</v>
      </c>
      <c r="DK307" s="528">
        <f t="shared" si="823"/>
        <v>4.2330677290836656</v>
      </c>
      <c r="DM307" s="173">
        <f t="shared" si="824"/>
        <v>8.1690472720711647</v>
      </c>
      <c r="DN307" s="173">
        <f t="shared" si="825"/>
        <v>20.939037433155079</v>
      </c>
      <c r="DO307" s="173">
        <f t="shared" si="826"/>
        <v>9.3029906912259825</v>
      </c>
      <c r="DQ307" s="545">
        <f t="shared" si="827"/>
        <v>9100</v>
      </c>
      <c r="DR307" s="460">
        <f t="shared" si="828"/>
        <v>51.888124622089165</v>
      </c>
      <c r="DT307">
        <f t="shared" si="829"/>
        <v>9100</v>
      </c>
      <c r="DU307">
        <f t="shared" si="830"/>
        <v>51.888124622089165</v>
      </c>
      <c r="DW307" s="5">
        <f t="shared" si="859"/>
        <v>19.272232467123942</v>
      </c>
      <c r="DX307" s="5">
        <f t="shared" si="831"/>
        <v>2.956099402327776</v>
      </c>
      <c r="DY307" s="5">
        <f t="shared" si="832"/>
        <v>16.316133064796166</v>
      </c>
      <c r="DZ307" s="5"/>
      <c r="EA307" s="173">
        <f t="shared" si="833"/>
        <v>0.15338645418326693</v>
      </c>
      <c r="EB307" s="173">
        <f t="shared" si="860"/>
        <v>136.5</v>
      </c>
      <c r="EC307" s="173">
        <f t="shared" si="861"/>
        <v>8.8636363636363633</v>
      </c>
      <c r="ED307" s="173">
        <f t="shared" si="862"/>
        <v>15.4</v>
      </c>
      <c r="EE307" s="460">
        <f t="shared" si="834"/>
        <v>179.33669707455175</v>
      </c>
      <c r="EF307" s="5">
        <f t="shared" si="835"/>
        <v>9.0351000541366187</v>
      </c>
      <c r="EH307" s="173">
        <f t="shared" si="863"/>
        <v>4.7346686403927958</v>
      </c>
      <c r="EI307" s="173">
        <f t="shared" si="864"/>
        <v>11.123429135899187</v>
      </c>
      <c r="EK307" s="528">
        <f t="shared" si="865"/>
        <v>0.44834174268637933</v>
      </c>
      <c r="EL307" s="528">
        <f t="shared" si="866"/>
        <v>2.1816666666666671</v>
      </c>
      <c r="EM307" s="528">
        <f t="shared" si="867"/>
        <v>6.4860155777611448E-3</v>
      </c>
      <c r="EN307" s="528">
        <f t="shared" si="868"/>
        <v>5.2304059829059835E-2</v>
      </c>
      <c r="EO307">
        <f t="shared" si="869"/>
        <v>3.8249999999999999E-2</v>
      </c>
      <c r="EP307" s="460">
        <f t="shared" si="870"/>
        <v>44.736015577761144</v>
      </c>
      <c r="EQ307" s="460"/>
      <c r="ER307" s="460">
        <f t="shared" si="871"/>
        <v>2727.0484847598673</v>
      </c>
      <c r="ES307" s="528">
        <f t="shared" si="872"/>
        <v>6.3699999999999992</v>
      </c>
      <c r="EV307" s="460">
        <f t="shared" si="873"/>
        <v>6369.9999999999991</v>
      </c>
      <c r="EW307" s="528">
        <f t="shared" si="874"/>
        <v>0.67251261402956897</v>
      </c>
      <c r="EX307" s="528">
        <f t="shared" si="875"/>
        <v>3.711920272241128</v>
      </c>
      <c r="EY307" s="528">
        <f t="shared" si="876"/>
        <v>1.9455021880180854</v>
      </c>
      <c r="EZ307" s="528"/>
      <c r="FA307" s="528">
        <f t="shared" si="877"/>
        <v>2.2749999999999999E-2</v>
      </c>
      <c r="FB307" s="460">
        <f t="shared" si="878"/>
        <v>6352.6850742887827</v>
      </c>
      <c r="FC307" s="173">
        <f t="shared" si="879"/>
        <v>15.449733559048651</v>
      </c>
      <c r="FD307" s="5">
        <f t="shared" si="880"/>
        <v>136.5</v>
      </c>
      <c r="FE307" s="173">
        <f t="shared" si="881"/>
        <v>0.89832339157709173</v>
      </c>
      <c r="FF307" s="5">
        <f t="shared" si="882"/>
        <v>89.832339157709171</v>
      </c>
      <c r="FI307" s="562">
        <f t="shared" si="836"/>
        <v>-50</v>
      </c>
      <c r="FJ307">
        <f t="shared" si="837"/>
        <v>-50</v>
      </c>
      <c r="FL307">
        <f t="shared" si="838"/>
        <v>0.84661354581673309</v>
      </c>
    </row>
    <row r="308" spans="5:168">
      <c r="E308" s="170">
        <v>92</v>
      </c>
      <c r="F308" s="217">
        <f t="shared" si="839"/>
        <v>9.2000000000000011</v>
      </c>
      <c r="G308" s="217"/>
      <c r="H308" s="217">
        <f t="shared" si="764"/>
        <v>138.00000000000003</v>
      </c>
      <c r="I308" s="541">
        <f t="shared" si="765"/>
        <v>84.455006871784093</v>
      </c>
      <c r="J308" s="172">
        <f t="shared" si="766"/>
        <v>15.726995876929546</v>
      </c>
      <c r="K308" s="172">
        <f t="shared" si="767"/>
        <v>100.18200274871364</v>
      </c>
      <c r="L308" s="443"/>
      <c r="M308" s="217">
        <f t="shared" si="768"/>
        <v>0.15697590250115004</v>
      </c>
      <c r="N308" s="172">
        <f t="shared" si="769"/>
        <v>332.84362195920005</v>
      </c>
      <c r="O308" s="172">
        <f t="shared" si="762"/>
        <v>138.00000000000003</v>
      </c>
      <c r="P308" s="217">
        <f t="shared" si="770"/>
        <v>22.189574797280002</v>
      </c>
      <c r="Q308" s="217">
        <f t="shared" si="771"/>
        <v>15</v>
      </c>
      <c r="R308" s="217"/>
      <c r="S308" s="172">
        <f t="shared" si="772"/>
        <v>145.27419548671779</v>
      </c>
      <c r="T308" s="172">
        <f t="shared" si="773"/>
        <v>15</v>
      </c>
      <c r="U308" s="217">
        <f t="shared" si="774"/>
        <v>21.826185105017245</v>
      </c>
      <c r="V308" s="217">
        <f t="shared" si="775"/>
        <v>3.101227872230639</v>
      </c>
      <c r="W308" s="217">
        <f t="shared" si="776"/>
        <v>16.653798558211466</v>
      </c>
      <c r="X308" s="197">
        <f t="shared" si="777"/>
        <v>110.48421110378027</v>
      </c>
      <c r="Y308" s="443">
        <f t="shared" si="840"/>
        <v>50.112687321449215</v>
      </c>
      <c r="AA308" s="217">
        <f t="shared" si="778"/>
        <v>10</v>
      </c>
      <c r="AB308" s="173">
        <f t="shared" si="779"/>
        <v>7.6301921192738398</v>
      </c>
      <c r="AC308" s="173">
        <f t="shared" si="780"/>
        <v>4.2150787843412578</v>
      </c>
      <c r="AD308" s="173"/>
      <c r="AE308" s="173">
        <f t="shared" si="781"/>
        <v>7.6301921192738398</v>
      </c>
      <c r="AF308" s="545">
        <f t="shared" si="782"/>
        <v>241.14727011291976</v>
      </c>
      <c r="AG308" s="528">
        <f t="shared" si="783"/>
        <v>4.2150787843412578</v>
      </c>
      <c r="AI308" s="173">
        <f t="shared" si="784"/>
        <v>8.3005554050474704</v>
      </c>
      <c r="AJ308" s="173">
        <f t="shared" si="785"/>
        <v>21.826185105017245</v>
      </c>
      <c r="AK308" s="173">
        <f t="shared" si="786"/>
        <v>9.9601371148275888</v>
      </c>
      <c r="AM308" s="545">
        <f t="shared" si="787"/>
        <v>9200.0000000000018</v>
      </c>
      <c r="AN308" s="460">
        <f t="shared" si="788"/>
        <v>50.112687321449215</v>
      </c>
      <c r="AP308">
        <f t="shared" si="789"/>
        <v>9200.0000000000018</v>
      </c>
      <c r="AQ308">
        <f t="shared" si="790"/>
        <v>50.112687321449215</v>
      </c>
      <c r="AS308" s="5">
        <f t="shared" si="763"/>
        <v>19.955026430442103</v>
      </c>
      <c r="AT308" s="5">
        <f t="shared" si="791"/>
        <v>3.101227872230639</v>
      </c>
      <c r="AU308" s="5">
        <f t="shared" si="883"/>
        <v>16.853798558211466</v>
      </c>
      <c r="AV308" s="5"/>
      <c r="AW308" s="173">
        <f t="shared" si="884"/>
        <v>0.15541086267365728</v>
      </c>
      <c r="AX308" s="173">
        <f t="shared" si="792"/>
        <v>143.23680038180407</v>
      </c>
      <c r="AY308" s="173">
        <f t="shared" si="793"/>
        <v>9.2170794244857941</v>
      </c>
      <c r="AZ308" s="173">
        <f t="shared" si="794"/>
        <v>15.540367375080423</v>
      </c>
      <c r="BA308" s="460">
        <f t="shared" si="724"/>
        <v>190.20864283014589</v>
      </c>
      <c r="BB308" s="5">
        <f t="shared" si="725"/>
        <v>9.4962794378956126</v>
      </c>
      <c r="BD308" s="173">
        <f t="shared" si="841"/>
        <v>4.9677289561573028</v>
      </c>
      <c r="BE308" s="173">
        <f t="shared" si="842"/>
        <v>11.580837092555754</v>
      </c>
      <c r="BG308" s="528">
        <f t="shared" si="843"/>
        <v>0.49356661963687454</v>
      </c>
      <c r="BH308" s="528">
        <f t="shared" si="795"/>
        <v>2.0545490228426684</v>
      </c>
      <c r="BI308" s="528">
        <f t="shared" si="796"/>
        <v>0.10580668380241401</v>
      </c>
      <c r="BJ308" s="528">
        <f t="shared" si="844"/>
        <v>5.0295266256487295E-2</v>
      </c>
      <c r="BK308">
        <f t="shared" si="845"/>
        <v>3.8004753092302841E-2</v>
      </c>
      <c r="BL308" s="460">
        <f t="shared" si="846"/>
        <v>143.81143689471685</v>
      </c>
      <c r="BM308" s="528">
        <f t="shared" si="797"/>
        <v>3.0945796762917595</v>
      </c>
      <c r="BN308" s="460">
        <f t="shared" si="847"/>
        <v>3094.5796762917594</v>
      </c>
      <c r="BO308" s="528">
        <f t="shared" si="798"/>
        <v>6.44</v>
      </c>
      <c r="BR308" s="460">
        <f t="shared" si="848"/>
        <v>6440</v>
      </c>
      <c r="BS308" s="528">
        <f t="shared" si="849"/>
        <v>0.74034992945531175</v>
      </c>
      <c r="BT308" s="528">
        <f t="shared" si="850"/>
        <v>4.0234736329294556</v>
      </c>
      <c r="BU308" s="528">
        <f t="shared" si="851"/>
        <v>1.9782620563122122</v>
      </c>
      <c r="BV308" s="528"/>
      <c r="BW308" s="528">
        <f t="shared" si="852"/>
        <v>2.3872800063634014E-2</v>
      </c>
      <c r="BX308" s="460">
        <f t="shared" si="853"/>
        <v>6765.9584187606133</v>
      </c>
      <c r="BY308" s="173">
        <f t="shared" si="854"/>
        <v>15.948180764391362</v>
      </c>
      <c r="BZ308" s="5">
        <f t="shared" si="855"/>
        <v>138.00000000000003</v>
      </c>
      <c r="CA308" s="173">
        <f t="shared" si="856"/>
        <v>0.89640552629329795</v>
      </c>
      <c r="CB308" s="5">
        <f t="shared" si="857"/>
        <v>89.64055262932979</v>
      </c>
      <c r="CE308" s="562">
        <f t="shared" si="799"/>
        <v>-50</v>
      </c>
      <c r="CF308">
        <f t="shared" si="800"/>
        <v>-50</v>
      </c>
      <c r="CG308" s="173">
        <f t="shared" si="801"/>
        <v>0.84404733965335799</v>
      </c>
      <c r="CI308" s="170">
        <v>92</v>
      </c>
      <c r="CJ308" s="217">
        <f t="shared" si="858"/>
        <v>9.2000000000000011</v>
      </c>
      <c r="CK308" s="217"/>
      <c r="CL308" s="217">
        <f t="shared" si="802"/>
        <v>138.00000000000003</v>
      </c>
      <c r="CM308" s="541">
        <f t="shared" si="803"/>
        <v>85</v>
      </c>
      <c r="CN308" s="443">
        <f t="shared" si="804"/>
        <v>15.4</v>
      </c>
      <c r="CO308" s="443">
        <f t="shared" si="805"/>
        <v>100.4</v>
      </c>
      <c r="CP308" s="443"/>
      <c r="CQ308" s="217">
        <f t="shared" si="806"/>
        <v>0.15338645418326693</v>
      </c>
      <c r="CR308" s="172">
        <f t="shared" si="807"/>
        <v>327.33148655378488</v>
      </c>
      <c r="CS308" s="172">
        <f t="shared" si="808"/>
        <v>138.00000000000003</v>
      </c>
      <c r="CT308" s="217">
        <f t="shared" si="809"/>
        <v>21.822099103585661</v>
      </c>
      <c r="CU308" s="217">
        <f t="shared" si="810"/>
        <v>15</v>
      </c>
      <c r="CV308" s="217"/>
      <c r="CW308" s="172">
        <f t="shared" si="811"/>
        <v>146.21016838576514</v>
      </c>
      <c r="CX308" s="172">
        <f t="shared" si="812"/>
        <v>15</v>
      </c>
      <c r="CY308" s="217">
        <f t="shared" si="813"/>
        <v>21.169136745607336</v>
      </c>
      <c r="CZ308" s="217">
        <f t="shared" si="814"/>
        <v>2.9885840111445656</v>
      </c>
      <c r="DA308" s="217">
        <f t="shared" si="815"/>
        <v>16.495431230343378</v>
      </c>
      <c r="DB308" s="197">
        <f t="shared" si="816"/>
        <v>108.64873837981409</v>
      </c>
      <c r="DC308" s="443">
        <f t="shared" si="817"/>
        <v>51.324123267501228</v>
      </c>
      <c r="DE308" s="217">
        <f t="shared" si="818"/>
        <v>10</v>
      </c>
      <c r="DF308" s="173">
        <f t="shared" si="819"/>
        <v>7.7922077922077913</v>
      </c>
      <c r="DG308" s="173">
        <f t="shared" si="820"/>
        <v>4.2330677290836656</v>
      </c>
      <c r="DH308" s="173"/>
      <c r="DI308" s="173">
        <f t="shared" si="821"/>
        <v>7.7922077922077913</v>
      </c>
      <c r="DJ308" s="545">
        <f t="shared" si="822"/>
        <v>236.13333333333338</v>
      </c>
      <c r="DK308" s="528">
        <f t="shared" si="823"/>
        <v>4.2330677290836656</v>
      </c>
      <c r="DM308" s="173">
        <f t="shared" si="824"/>
        <v>8.2138095100061026</v>
      </c>
      <c r="DN308" s="173">
        <f t="shared" si="825"/>
        <v>21.169136745607336</v>
      </c>
      <c r="DO308" s="173">
        <f t="shared" si="826"/>
        <v>9.4734346263758038</v>
      </c>
      <c r="DQ308" s="545">
        <f t="shared" si="827"/>
        <v>9200.0000000000018</v>
      </c>
      <c r="DR308" s="460">
        <f t="shared" si="828"/>
        <v>51.324123267501228</v>
      </c>
      <c r="DT308">
        <f t="shared" si="829"/>
        <v>9200.0000000000018</v>
      </c>
      <c r="DU308">
        <f t="shared" si="830"/>
        <v>51.324123267501228</v>
      </c>
      <c r="DW308" s="5">
        <f t="shared" si="859"/>
        <v>19.484015241487946</v>
      </c>
      <c r="DX308" s="5">
        <f t="shared" si="831"/>
        <v>2.9885840111445656</v>
      </c>
      <c r="DY308" s="5">
        <f t="shared" si="832"/>
        <v>16.495431230343378</v>
      </c>
      <c r="DZ308" s="5"/>
      <c r="EA308" s="173">
        <f t="shared" si="833"/>
        <v>0.15338645418326693</v>
      </c>
      <c r="EB308" s="173">
        <f t="shared" si="860"/>
        <v>138</v>
      </c>
      <c r="EC308" s="173">
        <f t="shared" si="861"/>
        <v>8.9610389610389625</v>
      </c>
      <c r="ED308" s="173">
        <f t="shared" si="862"/>
        <v>15.399999999999997</v>
      </c>
      <c r="EE308" s="460">
        <f t="shared" si="834"/>
        <v>183.29981935020004</v>
      </c>
      <c r="EF308" s="5">
        <f t="shared" si="835"/>
        <v>9.234764745587773</v>
      </c>
      <c r="EH308" s="173">
        <f t="shared" si="863"/>
        <v>4.7866979661113991</v>
      </c>
      <c r="EI308" s="173">
        <f t="shared" si="864"/>
        <v>11.24566462090907</v>
      </c>
      <c r="EK308" s="528">
        <f t="shared" si="865"/>
        <v>0.45824954837550008</v>
      </c>
      <c r="EL308" s="528">
        <f t="shared" si="866"/>
        <v>2.1816666666666666</v>
      </c>
      <c r="EM308" s="528">
        <f t="shared" si="867"/>
        <v>6.4155154084376536E-3</v>
      </c>
      <c r="EN308" s="528">
        <f t="shared" si="868"/>
        <v>5.1735537439613531E-2</v>
      </c>
      <c r="EO308">
        <f t="shared" si="869"/>
        <v>3.8249999999999999E-2</v>
      </c>
      <c r="EP308" s="460">
        <f t="shared" si="870"/>
        <v>44.665515408437656</v>
      </c>
      <c r="EQ308" s="460"/>
      <c r="ER308" s="460">
        <f t="shared" si="871"/>
        <v>2736.3172678902183</v>
      </c>
      <c r="ES308" s="528">
        <f t="shared" si="872"/>
        <v>6.44</v>
      </c>
      <c r="EV308" s="460">
        <f t="shared" si="873"/>
        <v>6440</v>
      </c>
      <c r="EW308" s="528">
        <f t="shared" si="874"/>
        <v>0.68737432256325015</v>
      </c>
      <c r="EX308" s="528">
        <f t="shared" si="875"/>
        <v>3.7939491829789778</v>
      </c>
      <c r="EY308" s="528">
        <f t="shared" si="876"/>
        <v>1.9455021880180854</v>
      </c>
      <c r="EZ308" s="528"/>
      <c r="FA308" s="528">
        <f t="shared" si="877"/>
        <v>2.3E-2</v>
      </c>
      <c r="FB308" s="460">
        <f t="shared" si="878"/>
        <v>6449.825693560314</v>
      </c>
      <c r="FC308" s="173">
        <f t="shared" si="879"/>
        <v>15.626142961450533</v>
      </c>
      <c r="FD308" s="5">
        <f t="shared" si="880"/>
        <v>138.00000000000003</v>
      </c>
      <c r="FE308" s="173">
        <f t="shared" si="881"/>
        <v>0.89828461054723208</v>
      </c>
      <c r="FF308" s="5">
        <f t="shared" si="882"/>
        <v>89.828461054723206</v>
      </c>
      <c r="FI308" s="562">
        <f t="shared" si="836"/>
        <v>-50</v>
      </c>
      <c r="FJ308">
        <f t="shared" si="837"/>
        <v>-50</v>
      </c>
      <c r="FL308">
        <f t="shared" si="838"/>
        <v>0.84661354581673309</v>
      </c>
    </row>
    <row r="309" spans="5:168">
      <c r="E309" s="170">
        <v>93</v>
      </c>
      <c r="F309" s="217">
        <f t="shared" si="839"/>
        <v>9.3000000000000007</v>
      </c>
      <c r="G309" s="217"/>
      <c r="H309" s="217">
        <f t="shared" si="764"/>
        <v>139.5</v>
      </c>
      <c r="I309" s="541">
        <f t="shared" si="765"/>
        <v>84.449101043435022</v>
      </c>
      <c r="J309" s="172">
        <f t="shared" si="766"/>
        <v>15.730539373938983</v>
      </c>
      <c r="K309" s="172">
        <f t="shared" si="767"/>
        <v>100.179640417374</v>
      </c>
      <c r="L309" s="443"/>
      <c r="M309" s="217">
        <f t="shared" si="768"/>
        <v>0.15701497623040883</v>
      </c>
      <c r="N309" s="172">
        <f t="shared" si="769"/>
        <v>332.9031907696164</v>
      </c>
      <c r="O309" s="172">
        <f t="shared" si="762"/>
        <v>139.5</v>
      </c>
      <c r="P309" s="217">
        <f t="shared" si="770"/>
        <v>22.193546051307759</v>
      </c>
      <c r="Q309" s="217">
        <f t="shared" si="771"/>
        <v>15</v>
      </c>
      <c r="R309" s="217"/>
      <c r="S309" s="172">
        <f t="shared" si="772"/>
        <v>142.80050195575217</v>
      </c>
      <c r="T309" s="172">
        <f t="shared" si="773"/>
        <v>15</v>
      </c>
      <c r="U309" s="217">
        <f t="shared" si="774"/>
        <v>22.064448923215796</v>
      </c>
      <c r="V309" s="217">
        <f t="shared" si="775"/>
        <v>3.1353014278080669</v>
      </c>
      <c r="W309" s="217">
        <f t="shared" si="776"/>
        <v>16.831806003883347</v>
      </c>
      <c r="X309" s="197">
        <f t="shared" si="777"/>
        <v>110.50398260589073</v>
      </c>
      <c r="Y309" s="443">
        <f t="shared" si="840"/>
        <v>49.585693108797514</v>
      </c>
      <c r="AA309" s="217">
        <f t="shared" si="778"/>
        <v>10</v>
      </c>
      <c r="AB309" s="173">
        <f t="shared" si="779"/>
        <v>7.6284733248756726</v>
      </c>
      <c r="AC309" s="173">
        <f t="shared" si="780"/>
        <v>4.2148834180078136</v>
      </c>
      <c r="AD309" s="173"/>
      <c r="AE309" s="173">
        <f t="shared" si="781"/>
        <v>7.6284733248756726</v>
      </c>
      <c r="AF309" s="545">
        <f t="shared" si="782"/>
        <v>243.82336029605426</v>
      </c>
      <c r="AG309" s="528">
        <f t="shared" si="783"/>
        <v>4.2148834180078145</v>
      </c>
      <c r="AI309" s="173">
        <f t="shared" si="784"/>
        <v>8.3464853218252326</v>
      </c>
      <c r="AJ309" s="173">
        <f t="shared" si="785"/>
        <v>22.064448923215796</v>
      </c>
      <c r="AK309" s="173">
        <f t="shared" si="786"/>
        <v>10.1366288320117</v>
      </c>
      <c r="AM309" s="545">
        <f t="shared" si="787"/>
        <v>9300</v>
      </c>
      <c r="AN309" s="460">
        <f t="shared" si="788"/>
        <v>49.585693108797514</v>
      </c>
      <c r="AP309">
        <f t="shared" si="789"/>
        <v>9300</v>
      </c>
      <c r="AQ309">
        <f t="shared" si="790"/>
        <v>49.585693108797514</v>
      </c>
      <c r="AS309" s="5">
        <f t="shared" si="763"/>
        <v>20.167107431691413</v>
      </c>
      <c r="AT309" s="5">
        <f t="shared" si="791"/>
        <v>3.1353014278080669</v>
      </c>
      <c r="AU309" s="5">
        <f t="shared" si="883"/>
        <v>17.031806003883347</v>
      </c>
      <c r="AV309" s="5"/>
      <c r="AW309" s="173">
        <f t="shared" si="884"/>
        <v>0.15546609440286546</v>
      </c>
      <c r="AX309" s="173">
        <f t="shared" si="792"/>
        <v>144.84176511704163</v>
      </c>
      <c r="AY309" s="173">
        <f t="shared" si="793"/>
        <v>9.3170876119859631</v>
      </c>
      <c r="AZ309" s="173">
        <f t="shared" si="794"/>
        <v>15.545819804324907</v>
      </c>
      <c r="BA309" s="460">
        <f t="shared" ref="BA309:BA316" si="885">F309*AT309/Vout_ripple*1000</f>
        <v>194.38868852410016</v>
      </c>
      <c r="BB309" s="5">
        <f t="shared" ref="BB309:BB316" si="886">H309/Efficiency/I309*AU309/Vinripple1</f>
        <v>9.7015668494911722</v>
      </c>
      <c r="BD309" s="173">
        <f t="shared" si="841"/>
        <v>5.0228510771478811</v>
      </c>
      <c r="BE309" s="173">
        <f t="shared" si="842"/>
        <v>11.706875578843711</v>
      </c>
      <c r="BG309" s="528">
        <f t="shared" si="843"/>
        <v>0.50458065886411263</v>
      </c>
      <c r="BH309" s="528">
        <f t="shared" si="795"/>
        <v>2.055087008593893</v>
      </c>
      <c r="BI309" s="528">
        <f t="shared" si="796"/>
        <v>0.10468668019134003</v>
      </c>
      <c r="BJ309" s="528">
        <f t="shared" si="844"/>
        <v>4.9764005017315663E-2</v>
      </c>
      <c r="BK309">
        <f t="shared" si="845"/>
        <v>3.8002095469545756E-2</v>
      </c>
      <c r="BL309" s="460">
        <f t="shared" si="846"/>
        <v>142.68877566088577</v>
      </c>
      <c r="BM309" s="528">
        <f t="shared" si="797"/>
        <v>3.1196820264200338</v>
      </c>
      <c r="BN309" s="460">
        <f t="shared" si="847"/>
        <v>3119.6820264200337</v>
      </c>
      <c r="BO309" s="528">
        <f t="shared" si="798"/>
        <v>6.51</v>
      </c>
      <c r="BR309" s="460">
        <f t="shared" si="848"/>
        <v>6510</v>
      </c>
      <c r="BS309" s="528">
        <f t="shared" si="849"/>
        <v>0.75687098829616895</v>
      </c>
      <c r="BT309" s="528">
        <f t="shared" si="850"/>
        <v>4.1115280745558183</v>
      </c>
      <c r="BU309" s="528">
        <f t="shared" si="851"/>
        <v>1.9796740371621599</v>
      </c>
      <c r="BV309" s="528"/>
      <c r="BW309" s="528">
        <f t="shared" si="852"/>
        <v>2.4140294186173604E-2</v>
      </c>
      <c r="BX309" s="460">
        <f t="shared" si="853"/>
        <v>6872.2133942003202</v>
      </c>
      <c r="BY309" s="173">
        <f t="shared" si="854"/>
        <v>16.134333842336527</v>
      </c>
      <c r="BZ309" s="5">
        <f t="shared" si="855"/>
        <v>139.5</v>
      </c>
      <c r="CA309" s="173">
        <f t="shared" si="856"/>
        <v>0.89633178332821328</v>
      </c>
      <c r="CB309" s="5">
        <f t="shared" si="857"/>
        <v>89.633178332821331</v>
      </c>
      <c r="CE309" s="562">
        <f t="shared" si="799"/>
        <v>-50</v>
      </c>
      <c r="CF309">
        <f t="shared" si="800"/>
        <v>-50</v>
      </c>
      <c r="CG309" s="173">
        <f t="shared" si="801"/>
        <v>0.84407493326801797</v>
      </c>
      <c r="CI309" s="170">
        <v>93</v>
      </c>
      <c r="CJ309" s="217">
        <f t="shared" si="858"/>
        <v>9.3000000000000007</v>
      </c>
      <c r="CK309" s="217"/>
      <c r="CL309" s="217">
        <f t="shared" si="802"/>
        <v>139.5</v>
      </c>
      <c r="CM309" s="541">
        <f t="shared" si="803"/>
        <v>85</v>
      </c>
      <c r="CN309" s="443">
        <f t="shared" si="804"/>
        <v>15.4</v>
      </c>
      <c r="CO309" s="443">
        <f t="shared" si="805"/>
        <v>100.4</v>
      </c>
      <c r="CP309" s="443"/>
      <c r="CQ309" s="217">
        <f t="shared" si="806"/>
        <v>0.15338645418326693</v>
      </c>
      <c r="CR309" s="172">
        <f t="shared" si="807"/>
        <v>327.33148655378488</v>
      </c>
      <c r="CS309" s="172">
        <f t="shared" si="808"/>
        <v>139.5</v>
      </c>
      <c r="CT309" s="217">
        <f t="shared" si="809"/>
        <v>21.822099103585661</v>
      </c>
      <c r="CU309" s="217">
        <f t="shared" si="810"/>
        <v>15</v>
      </c>
      <c r="CV309" s="217"/>
      <c r="CW309" s="172">
        <f t="shared" si="811"/>
        <v>143.73052095078054</v>
      </c>
      <c r="CX309" s="172">
        <f t="shared" si="812"/>
        <v>15</v>
      </c>
      <c r="CY309" s="217">
        <f t="shared" si="813"/>
        <v>21.399236058059586</v>
      </c>
      <c r="CZ309" s="217">
        <f t="shared" si="814"/>
        <v>3.021068619961353</v>
      </c>
      <c r="DA309" s="217">
        <f t="shared" si="815"/>
        <v>16.674729395890587</v>
      </c>
      <c r="DB309" s="197">
        <f t="shared" si="816"/>
        <v>108.64873837981409</v>
      </c>
      <c r="DC309" s="443">
        <f t="shared" si="817"/>
        <v>50.772250974302295</v>
      </c>
      <c r="DE309" s="217">
        <f t="shared" si="818"/>
        <v>10</v>
      </c>
      <c r="DF309" s="173">
        <f t="shared" si="819"/>
        <v>7.7922077922077913</v>
      </c>
      <c r="DG309" s="173">
        <f t="shared" si="820"/>
        <v>4.2330677290836656</v>
      </c>
      <c r="DH309" s="173"/>
      <c r="DI309" s="173">
        <f t="shared" si="821"/>
        <v>7.7922077922077913</v>
      </c>
      <c r="DJ309" s="545">
        <f t="shared" si="822"/>
        <v>238.70000000000002</v>
      </c>
      <c r="DK309" s="528">
        <f t="shared" si="823"/>
        <v>4.2330677290836656</v>
      </c>
      <c r="DM309" s="173">
        <f t="shared" si="824"/>
        <v>8.2583291288250322</v>
      </c>
      <c r="DN309" s="173">
        <f t="shared" si="825"/>
        <v>21.399236058059586</v>
      </c>
      <c r="DO309" s="173">
        <f t="shared" si="826"/>
        <v>9.643878561525618</v>
      </c>
      <c r="DQ309" s="545">
        <f t="shared" si="827"/>
        <v>9300</v>
      </c>
      <c r="DR309" s="460">
        <f t="shared" si="828"/>
        <v>50.772250974302295</v>
      </c>
      <c r="DT309">
        <f t="shared" si="829"/>
        <v>9300</v>
      </c>
      <c r="DU309">
        <f t="shared" si="830"/>
        <v>50.772250974302295</v>
      </c>
      <c r="DW309" s="5">
        <f t="shared" si="859"/>
        <v>19.695798015851942</v>
      </c>
      <c r="DX309" s="5">
        <f t="shared" si="831"/>
        <v>3.021068619961353</v>
      </c>
      <c r="DY309" s="5">
        <f t="shared" si="832"/>
        <v>16.674729395890587</v>
      </c>
      <c r="DZ309" s="5"/>
      <c r="EA309" s="173">
        <f t="shared" si="833"/>
        <v>0.15338645418326691</v>
      </c>
      <c r="EB309" s="173">
        <f t="shared" si="860"/>
        <v>139.49999999999994</v>
      </c>
      <c r="EC309" s="173">
        <f t="shared" si="861"/>
        <v>9.0584415584415581</v>
      </c>
      <c r="ED309" s="173">
        <f t="shared" si="862"/>
        <v>15.399999999999995</v>
      </c>
      <c r="EE309" s="460">
        <f t="shared" si="834"/>
        <v>187.30625443760391</v>
      </c>
      <c r="EF309" s="5">
        <f t="shared" si="835"/>
        <v>9.4366115648143474</v>
      </c>
      <c r="EH309" s="173">
        <f t="shared" si="863"/>
        <v>4.8387272918299997</v>
      </c>
      <c r="EI309" s="173">
        <f t="shared" si="864"/>
        <v>11.367900105918949</v>
      </c>
      <c r="EK309" s="528">
        <f t="shared" si="865"/>
        <v>0.46826563609400962</v>
      </c>
      <c r="EL309" s="528">
        <f t="shared" si="866"/>
        <v>2.1816666666666666</v>
      </c>
      <c r="EM309" s="528">
        <f t="shared" si="867"/>
        <v>6.3465313717877871E-3</v>
      </c>
      <c r="EN309" s="528">
        <f t="shared" si="868"/>
        <v>5.1179241338112309E-2</v>
      </c>
      <c r="EO309">
        <f t="shared" si="869"/>
        <v>3.8249999999999999E-2</v>
      </c>
      <c r="EP309" s="460">
        <f t="shared" si="870"/>
        <v>44.59653137178779</v>
      </c>
      <c r="EQ309" s="460"/>
      <c r="ER309" s="460">
        <f t="shared" si="871"/>
        <v>2745.7080754705767</v>
      </c>
      <c r="ES309" s="528">
        <f t="shared" si="872"/>
        <v>6.51</v>
      </c>
      <c r="EV309" s="460">
        <f t="shared" si="873"/>
        <v>6510</v>
      </c>
      <c r="EW309" s="528">
        <f t="shared" si="874"/>
        <v>0.70239845414101443</v>
      </c>
      <c r="EX309" s="528">
        <f t="shared" si="875"/>
        <v>3.8768745845445611</v>
      </c>
      <c r="EY309" s="528">
        <f t="shared" si="876"/>
        <v>1.9455021880180821</v>
      </c>
      <c r="EZ309" s="528"/>
      <c r="FA309" s="528">
        <f t="shared" si="877"/>
        <v>2.3249999999999996E-2</v>
      </c>
      <c r="FB309" s="460">
        <f t="shared" si="878"/>
        <v>6548.0252267036576</v>
      </c>
      <c r="FC309" s="173">
        <f t="shared" si="879"/>
        <v>15.803733302174235</v>
      </c>
      <c r="FD309" s="5">
        <f t="shared" si="880"/>
        <v>139.5</v>
      </c>
      <c r="FE309" s="173">
        <f t="shared" si="881"/>
        <v>0.89823983644086047</v>
      </c>
      <c r="FF309" s="5">
        <f t="shared" si="882"/>
        <v>89.823983644086042</v>
      </c>
      <c r="FI309" s="562">
        <f t="shared" si="836"/>
        <v>-50</v>
      </c>
      <c r="FJ309">
        <f t="shared" si="837"/>
        <v>-50</v>
      </c>
      <c r="FL309">
        <f t="shared" si="838"/>
        <v>0.84661354581673309</v>
      </c>
    </row>
    <row r="310" spans="5:168">
      <c r="E310" s="170">
        <v>94</v>
      </c>
      <c r="F310" s="217">
        <f t="shared" si="839"/>
        <v>9.3999999999999986</v>
      </c>
      <c r="G310" s="217"/>
      <c r="H310" s="217">
        <f t="shared" si="764"/>
        <v>140.99999999999997</v>
      </c>
      <c r="I310" s="541">
        <f t="shared" si="765"/>
        <v>84.443195213933521</v>
      </c>
      <c r="J310" s="172">
        <f t="shared" si="766"/>
        <v>15.734082871639885</v>
      </c>
      <c r="K310" s="172">
        <f t="shared" si="767"/>
        <v>100.17727808557341</v>
      </c>
      <c r="L310" s="443"/>
      <c r="M310" s="217">
        <f t="shared" si="768"/>
        <v>0.15705405180430224</v>
      </c>
      <c r="N310" s="172">
        <f t="shared" si="769"/>
        <v>332.96275189903582</v>
      </c>
      <c r="O310" s="172">
        <f t="shared" si="762"/>
        <v>140.99999999999997</v>
      </c>
      <c r="P310" s="217">
        <f t="shared" si="770"/>
        <v>22.197516793269056</v>
      </c>
      <c r="Q310" s="217">
        <f t="shared" si="771"/>
        <v>15</v>
      </c>
      <c r="R310" s="217"/>
      <c r="S310" s="172">
        <f t="shared" si="772"/>
        <v>140.37970081231995</v>
      </c>
      <c r="T310" s="172">
        <f t="shared" si="773"/>
        <v>15</v>
      </c>
      <c r="U310" s="217">
        <f t="shared" si="774"/>
        <v>22.302734879076027</v>
      </c>
      <c r="V310" s="217">
        <f t="shared" si="775"/>
        <v>3.169382895458599</v>
      </c>
      <c r="W310" s="217">
        <f t="shared" si="776"/>
        <v>17.009750153999175</v>
      </c>
      <c r="X310" s="197">
        <f t="shared" si="777"/>
        <v>110.52375156263371</v>
      </c>
      <c r="Y310" s="443">
        <f t="shared" si="840"/>
        <v>49.069800838589011</v>
      </c>
      <c r="AA310" s="217">
        <f t="shared" si="778"/>
        <v>10</v>
      </c>
      <c r="AB310" s="173">
        <f t="shared" si="779"/>
        <v>7.6267553043269949</v>
      </c>
      <c r="AC310" s="173">
        <f t="shared" si="780"/>
        <v>4.2146880424221775</v>
      </c>
      <c r="AD310" s="173"/>
      <c r="AE310" s="173">
        <f t="shared" si="781"/>
        <v>7.6267553043269949</v>
      </c>
      <c r="AF310" s="545">
        <f t="shared" si="782"/>
        <v>246.50063165569148</v>
      </c>
      <c r="AG310" s="528">
        <f t="shared" si="783"/>
        <v>4.2146880424221784</v>
      </c>
      <c r="AI310" s="173">
        <f t="shared" si="784"/>
        <v>8.392183976869557</v>
      </c>
      <c r="AJ310" s="173">
        <f t="shared" si="785"/>
        <v>22.302734879076027</v>
      </c>
      <c r="AK310" s="173">
        <f t="shared" si="786"/>
        <v>10.313136947463724</v>
      </c>
      <c r="AM310" s="545">
        <f t="shared" si="787"/>
        <v>9399.9999999999982</v>
      </c>
      <c r="AN310" s="460">
        <f t="shared" si="788"/>
        <v>49.069800838589011</v>
      </c>
      <c r="AP310">
        <f t="shared" si="789"/>
        <v>9399.9999999999982</v>
      </c>
      <c r="AQ310">
        <f t="shared" si="790"/>
        <v>49.069800838589011</v>
      </c>
      <c r="AS310" s="5">
        <f t="shared" si="763"/>
        <v>20.379133049457771</v>
      </c>
      <c r="AT310" s="5">
        <f t="shared" si="791"/>
        <v>3.169382895458599</v>
      </c>
      <c r="AU310" s="5">
        <f t="shared" si="883"/>
        <v>17.20975015399917</v>
      </c>
      <c r="AV310" s="5"/>
      <c r="AW310" s="173">
        <f t="shared" si="884"/>
        <v>0.15552098746138404</v>
      </c>
      <c r="AX310" s="173">
        <f t="shared" si="792"/>
        <v>146.4474416686501</v>
      </c>
      <c r="AY310" s="173">
        <f t="shared" si="793"/>
        <v>9.4170957637963344</v>
      </c>
      <c r="AZ310" s="173">
        <f t="shared" si="794"/>
        <v>15.551232072170457</v>
      </c>
      <c r="BA310" s="460">
        <f t="shared" si="885"/>
        <v>198.61466144873884</v>
      </c>
      <c r="BB310" s="5">
        <f t="shared" si="886"/>
        <v>9.9090272361292815</v>
      </c>
      <c r="BD310" s="173">
        <f t="shared" si="841"/>
        <v>5.0779918204186156</v>
      </c>
      <c r="BE310" s="173">
        <f t="shared" si="842"/>
        <v>11.832919903129564</v>
      </c>
      <c r="BG310" s="528">
        <f t="shared" si="843"/>
        <v>0.51572001856476735</v>
      </c>
      <c r="BH310" s="528">
        <f t="shared" si="795"/>
        <v>2.0556203881083364</v>
      </c>
      <c r="BI310" s="528">
        <f t="shared" si="796"/>
        <v>0.10359026928304527</v>
      </c>
      <c r="BJ310" s="528">
        <f t="shared" si="844"/>
        <v>4.9243935059844549E-2</v>
      </c>
      <c r="BK310">
        <f t="shared" si="845"/>
        <v>3.7999437846270086E-2</v>
      </c>
      <c r="BL310" s="460">
        <f t="shared" si="846"/>
        <v>141.58970712931534</v>
      </c>
      <c r="BM310" s="528">
        <f t="shared" si="797"/>
        <v>3.1452297095331971</v>
      </c>
      <c r="BN310" s="460">
        <f t="shared" si="847"/>
        <v>3145.2297095331969</v>
      </c>
      <c r="BO310" s="528">
        <f t="shared" si="798"/>
        <v>6.5799999999999983</v>
      </c>
      <c r="BR310" s="460">
        <f t="shared" si="848"/>
        <v>6579.9999999999982</v>
      </c>
      <c r="BS310" s="528">
        <f t="shared" si="849"/>
        <v>0.77358002784715096</v>
      </c>
      <c r="BT310" s="528">
        <f t="shared" si="850"/>
        <v>4.200539803016393</v>
      </c>
      <c r="BU310" s="528">
        <f t="shared" si="851"/>
        <v>1.9810755911671782</v>
      </c>
      <c r="BV310" s="528"/>
      <c r="BW310" s="528">
        <f t="shared" si="852"/>
        <v>2.4407906944775015E-2</v>
      </c>
      <c r="BX310" s="460">
        <f t="shared" si="853"/>
        <v>6979.6033289754978</v>
      </c>
      <c r="BY310" s="173">
        <f t="shared" si="854"/>
        <v>16.321777377837758</v>
      </c>
      <c r="BZ310" s="5">
        <f t="shared" si="855"/>
        <v>140.99999999999997</v>
      </c>
      <c r="CA310" s="173">
        <f t="shared" si="856"/>
        <v>0.89625226939409708</v>
      </c>
      <c r="CB310" s="5">
        <f t="shared" si="857"/>
        <v>89.625226939409714</v>
      </c>
      <c r="CE310" s="562">
        <f t="shared" si="799"/>
        <v>-50</v>
      </c>
      <c r="CF310">
        <f t="shared" si="800"/>
        <v>-50</v>
      </c>
      <c r="CG310" s="173">
        <f t="shared" si="801"/>
        <v>0.84410193978449366</v>
      </c>
      <c r="CI310" s="170">
        <v>94</v>
      </c>
      <c r="CJ310" s="217">
        <f t="shared" si="858"/>
        <v>9.3999999999999986</v>
      </c>
      <c r="CK310" s="217"/>
      <c r="CL310" s="217">
        <f t="shared" si="802"/>
        <v>140.99999999999997</v>
      </c>
      <c r="CM310" s="541">
        <f t="shared" si="803"/>
        <v>85</v>
      </c>
      <c r="CN310" s="443">
        <f t="shared" si="804"/>
        <v>15.4</v>
      </c>
      <c r="CO310" s="443">
        <f t="shared" si="805"/>
        <v>100.4</v>
      </c>
      <c r="CP310" s="443"/>
      <c r="CQ310" s="217">
        <f t="shared" si="806"/>
        <v>0.15338645418326693</v>
      </c>
      <c r="CR310" s="172">
        <f t="shared" si="807"/>
        <v>327.33148655378488</v>
      </c>
      <c r="CS310" s="172">
        <f t="shared" si="808"/>
        <v>140.99999999999997</v>
      </c>
      <c r="CT310" s="217">
        <f t="shared" si="809"/>
        <v>21.822099103585661</v>
      </c>
      <c r="CU310" s="217">
        <f t="shared" si="810"/>
        <v>15</v>
      </c>
      <c r="CV310" s="217"/>
      <c r="CW310" s="172">
        <f t="shared" si="811"/>
        <v>141.30376695144264</v>
      </c>
      <c r="CX310" s="172">
        <f t="shared" si="812"/>
        <v>15</v>
      </c>
      <c r="CY310" s="217">
        <f t="shared" si="813"/>
        <v>21.629335370511836</v>
      </c>
      <c r="CZ310" s="217">
        <f t="shared" si="814"/>
        <v>3.0535532287781413</v>
      </c>
      <c r="DA310" s="217">
        <f t="shared" si="815"/>
        <v>16.854027561437793</v>
      </c>
      <c r="DB310" s="197">
        <f t="shared" si="816"/>
        <v>108.64873837981409</v>
      </c>
      <c r="DC310" s="443">
        <f t="shared" si="817"/>
        <v>50.232120644788459</v>
      </c>
      <c r="DE310" s="217">
        <f t="shared" si="818"/>
        <v>10</v>
      </c>
      <c r="DF310" s="173">
        <f t="shared" si="819"/>
        <v>7.7922077922077913</v>
      </c>
      <c r="DG310" s="173">
        <f t="shared" si="820"/>
        <v>4.2330677290836656</v>
      </c>
      <c r="DH310" s="173"/>
      <c r="DI310" s="173">
        <f t="shared" si="821"/>
        <v>7.7922077922077913</v>
      </c>
      <c r="DJ310" s="545">
        <f t="shared" si="822"/>
        <v>241.26666666666662</v>
      </c>
      <c r="DK310" s="528">
        <f t="shared" si="823"/>
        <v>4.2330677290836656</v>
      </c>
      <c r="DM310" s="173">
        <f t="shared" si="824"/>
        <v>8.3026100313897278</v>
      </c>
      <c r="DN310" s="173">
        <f t="shared" si="825"/>
        <v>21.629335370511836</v>
      </c>
      <c r="DO310" s="173">
        <f t="shared" si="826"/>
        <v>9.8143224966754321</v>
      </c>
      <c r="DQ310" s="545">
        <f t="shared" si="827"/>
        <v>9399.9999999999982</v>
      </c>
      <c r="DR310" s="460">
        <f t="shared" si="828"/>
        <v>50.232120644788459</v>
      </c>
      <c r="DT310">
        <f t="shared" si="829"/>
        <v>9399.9999999999982</v>
      </c>
      <c r="DU310">
        <f t="shared" si="830"/>
        <v>50.232120644788459</v>
      </c>
      <c r="DW310" s="5">
        <f t="shared" si="859"/>
        <v>19.907580790215935</v>
      </c>
      <c r="DX310" s="5">
        <f t="shared" si="831"/>
        <v>3.0535532287781413</v>
      </c>
      <c r="DY310" s="5">
        <f t="shared" si="832"/>
        <v>16.854027561437793</v>
      </c>
      <c r="DZ310" s="5"/>
      <c r="EA310" s="173">
        <f t="shared" si="833"/>
        <v>0.15338645418326693</v>
      </c>
      <c r="EB310" s="173">
        <f t="shared" si="860"/>
        <v>140.99999999999997</v>
      </c>
      <c r="EC310" s="173">
        <f t="shared" si="861"/>
        <v>9.1558441558441537</v>
      </c>
      <c r="ED310" s="173">
        <f t="shared" si="862"/>
        <v>15.4</v>
      </c>
      <c r="EE310" s="460">
        <f t="shared" si="834"/>
        <v>191.35600233676351</v>
      </c>
      <c r="EF310" s="5">
        <f t="shared" si="835"/>
        <v>9.6406405118163416</v>
      </c>
      <c r="EH310" s="173">
        <f t="shared" si="863"/>
        <v>4.8907566175486012</v>
      </c>
      <c r="EI310" s="173">
        <f t="shared" si="864"/>
        <v>11.490135590928828</v>
      </c>
      <c r="EK310" s="528">
        <f t="shared" si="865"/>
        <v>0.47839000584190872</v>
      </c>
      <c r="EL310" s="528">
        <f t="shared" si="866"/>
        <v>2.1816666666666671</v>
      </c>
      <c r="EM310" s="528">
        <f t="shared" si="867"/>
        <v>6.2790150805985571E-3</v>
      </c>
      <c r="EN310" s="528">
        <f t="shared" si="868"/>
        <v>5.0634781323877096E-2</v>
      </c>
      <c r="EO310">
        <f t="shared" si="869"/>
        <v>3.8249999999999999E-2</v>
      </c>
      <c r="EP310" s="460">
        <f t="shared" si="870"/>
        <v>44.529015080598555</v>
      </c>
      <c r="EQ310" s="460"/>
      <c r="ER310" s="460">
        <f t="shared" si="871"/>
        <v>2755.2204689130522</v>
      </c>
      <c r="ES310" s="528">
        <f t="shared" si="872"/>
        <v>6.5799999999999983</v>
      </c>
      <c r="EV310" s="460">
        <f t="shared" si="873"/>
        <v>6579.9999999999982</v>
      </c>
      <c r="EW310" s="528">
        <f t="shared" si="874"/>
        <v>0.71758500876286302</v>
      </c>
      <c r="EX310" s="528">
        <f t="shared" si="875"/>
        <v>3.9606964769378807</v>
      </c>
      <c r="EY310" s="528">
        <f t="shared" si="876"/>
        <v>1.9455021880180849</v>
      </c>
      <c r="EZ310" s="528"/>
      <c r="FA310" s="528">
        <f t="shared" si="877"/>
        <v>2.3499999999999997E-2</v>
      </c>
      <c r="FB310" s="460">
        <f t="shared" si="878"/>
        <v>6647.283673718829</v>
      </c>
      <c r="FC310" s="173">
        <f t="shared" si="879"/>
        <v>15.98250414263188</v>
      </c>
      <c r="FD310" s="5">
        <f t="shared" si="880"/>
        <v>140.99999999999997</v>
      </c>
      <c r="FE310" s="173">
        <f t="shared" si="881"/>
        <v>0.89818926491253814</v>
      </c>
      <c r="FF310" s="5">
        <f t="shared" si="882"/>
        <v>89.818926491253819</v>
      </c>
      <c r="FI310" s="562">
        <f t="shared" si="836"/>
        <v>-50</v>
      </c>
      <c r="FJ310">
        <f t="shared" si="837"/>
        <v>-50</v>
      </c>
      <c r="FL310">
        <f t="shared" si="838"/>
        <v>0.84661354581673309</v>
      </c>
    </row>
    <row r="311" spans="5:168">
      <c r="E311" s="170">
        <v>95</v>
      </c>
      <c r="F311" s="217">
        <f t="shared" si="839"/>
        <v>9.5</v>
      </c>
      <c r="G311" s="217"/>
      <c r="H311" s="217">
        <f t="shared" si="764"/>
        <v>142.5</v>
      </c>
      <c r="I311" s="541">
        <f t="shared" si="765"/>
        <v>84.437289383316084</v>
      </c>
      <c r="J311" s="172">
        <f t="shared" si="766"/>
        <v>15.737626370010346</v>
      </c>
      <c r="K311" s="172">
        <f t="shared" si="767"/>
        <v>100.17491575332643</v>
      </c>
      <c r="L311" s="443"/>
      <c r="M311" s="217">
        <f t="shared" si="768"/>
        <v>0.15709312922290497</v>
      </c>
      <c r="N311" s="172">
        <f t="shared" si="769"/>
        <v>333.02230534693695</v>
      </c>
      <c r="O311" s="172">
        <f t="shared" si="762"/>
        <v>142.5</v>
      </c>
      <c r="P311" s="217">
        <f t="shared" si="770"/>
        <v>22.201487023129129</v>
      </c>
      <c r="Q311" s="217">
        <f t="shared" si="771"/>
        <v>15</v>
      </c>
      <c r="R311" s="217"/>
      <c r="S311" s="172">
        <f t="shared" si="772"/>
        <v>138.0101242886127</v>
      </c>
      <c r="T311" s="172">
        <f t="shared" si="773"/>
        <v>15</v>
      </c>
      <c r="U311" s="217">
        <f t="shared" si="774"/>
        <v>22.541042977243105</v>
      </c>
      <c r="V311" s="217">
        <f t="shared" si="775"/>
        <v>3.2034722775025952</v>
      </c>
      <c r="W311" s="217">
        <f t="shared" si="776"/>
        <v>17.187631054856428</v>
      </c>
      <c r="X311" s="197">
        <f t="shared" si="777"/>
        <v>110.54351797370524</v>
      </c>
      <c r="Y311" s="443">
        <f t="shared" si="840"/>
        <v>48.564663284870946</v>
      </c>
      <c r="AA311" s="217">
        <f t="shared" si="778"/>
        <v>10</v>
      </c>
      <c r="AB311" s="173">
        <f t="shared" si="779"/>
        <v>7.6250380571159226</v>
      </c>
      <c r="AC311" s="173">
        <f t="shared" si="780"/>
        <v>4.214492657584902</v>
      </c>
      <c r="AD311" s="173"/>
      <c r="AE311" s="173">
        <f t="shared" si="781"/>
        <v>7.6250380571159226</v>
      </c>
      <c r="AF311" s="545">
        <f t="shared" si="782"/>
        <v>249.17908419183044</v>
      </c>
      <c r="AG311" s="528">
        <f t="shared" si="783"/>
        <v>4.2144926575849029</v>
      </c>
      <c r="AI311" s="173">
        <f t="shared" si="784"/>
        <v>8.4376551277477976</v>
      </c>
      <c r="AJ311" s="173">
        <f t="shared" si="785"/>
        <v>22.541042977243105</v>
      </c>
      <c r="AK311" s="173">
        <f t="shared" si="786"/>
        <v>10.48966146462452</v>
      </c>
      <c r="AM311" s="545">
        <f t="shared" si="787"/>
        <v>9500</v>
      </c>
      <c r="AN311" s="460">
        <f t="shared" si="788"/>
        <v>48.564663284870946</v>
      </c>
      <c r="AP311">
        <f t="shared" si="789"/>
        <v>9500</v>
      </c>
      <c r="AQ311">
        <f t="shared" si="790"/>
        <v>48.564663284870946</v>
      </c>
      <c r="AS311" s="5">
        <f t="shared" si="763"/>
        <v>20.591103332359022</v>
      </c>
      <c r="AT311" s="5">
        <f t="shared" si="791"/>
        <v>3.2034722775025952</v>
      </c>
      <c r="AU311" s="5">
        <f t="shared" si="883"/>
        <v>17.387631054856428</v>
      </c>
      <c r="AV311" s="5"/>
      <c r="AW311" s="173">
        <f t="shared" si="884"/>
        <v>0.15557555249933219</v>
      </c>
      <c r="AX311" s="173">
        <f t="shared" si="792"/>
        <v>148.05382993832328</v>
      </c>
      <c r="AY311" s="173">
        <f t="shared" si="793"/>
        <v>9.517103881073659</v>
      </c>
      <c r="AZ311" s="173">
        <f t="shared" si="794"/>
        <v>15.556605432536351</v>
      </c>
      <c r="BA311" s="460">
        <f t="shared" si="885"/>
        <v>202.88657757516438</v>
      </c>
      <c r="BB311" s="5">
        <f t="shared" si="886"/>
        <v>10.118659917514888</v>
      </c>
      <c r="BD311" s="173">
        <f t="shared" si="841"/>
        <v>5.1331511860839028</v>
      </c>
      <c r="BE311" s="173">
        <f t="shared" si="842"/>
        <v>11.958970067196937</v>
      </c>
      <c r="BG311" s="528">
        <f t="shared" si="843"/>
        <v>0.52698482198389163</v>
      </c>
      <c r="BH311" s="528">
        <f t="shared" si="795"/>
        <v>2.0561493034065341</v>
      </c>
      <c r="BI311" s="528">
        <f t="shared" si="796"/>
        <v>0.10251671318969885</v>
      </c>
      <c r="BJ311" s="528">
        <f t="shared" si="844"/>
        <v>4.8734706364257675E-2</v>
      </c>
      <c r="BK311">
        <f t="shared" si="845"/>
        <v>3.7996780222492234E-2</v>
      </c>
      <c r="BL311" s="460">
        <f t="shared" si="846"/>
        <v>140.51349341219108</v>
      </c>
      <c r="BM311" s="528">
        <f t="shared" si="797"/>
        <v>3.1712294238495669</v>
      </c>
      <c r="BN311" s="460">
        <f t="shared" si="847"/>
        <v>3171.229423849567</v>
      </c>
      <c r="BO311" s="528">
        <f t="shared" si="798"/>
        <v>6.6499999999999995</v>
      </c>
      <c r="BR311" s="460">
        <f t="shared" si="848"/>
        <v>6649.9999999999991</v>
      </c>
      <c r="BS311" s="528">
        <f t="shared" si="849"/>
        <v>0.79047723297583738</v>
      </c>
      <c r="BT311" s="528">
        <f t="shared" si="850"/>
        <v>4.2905089520433695</v>
      </c>
      <c r="BU311" s="528">
        <f t="shared" si="851"/>
        <v>1.9824670459082572</v>
      </c>
      <c r="BV311" s="528"/>
      <c r="BW311" s="528">
        <f t="shared" si="852"/>
        <v>2.4675638323053879E-2</v>
      </c>
      <c r="BX311" s="460">
        <f t="shared" si="853"/>
        <v>7088.1288692505177</v>
      </c>
      <c r="BY311" s="173">
        <f t="shared" si="854"/>
        <v>16.51051119441739</v>
      </c>
      <c r="BZ311" s="5">
        <f t="shared" si="855"/>
        <v>142.5</v>
      </c>
      <c r="CA311" s="173">
        <f t="shared" si="856"/>
        <v>0.89616717114863875</v>
      </c>
      <c r="CB311" s="5">
        <f t="shared" si="857"/>
        <v>89.616717114863874</v>
      </c>
      <c r="CE311" s="562">
        <f t="shared" si="799"/>
        <v>-50</v>
      </c>
      <c r="CF311">
        <f t="shared" si="800"/>
        <v>-50</v>
      </c>
      <c r="CG311" s="173">
        <f t="shared" si="801"/>
        <v>0.84412837774272775</v>
      </c>
      <c r="CI311" s="170">
        <v>95</v>
      </c>
      <c r="CJ311" s="217">
        <f t="shared" si="858"/>
        <v>9.5</v>
      </c>
      <c r="CK311" s="217"/>
      <c r="CL311" s="217">
        <f t="shared" si="802"/>
        <v>142.5</v>
      </c>
      <c r="CM311" s="541">
        <f t="shared" si="803"/>
        <v>85</v>
      </c>
      <c r="CN311" s="443">
        <f t="shared" si="804"/>
        <v>15.4</v>
      </c>
      <c r="CO311" s="443">
        <f t="shared" si="805"/>
        <v>100.4</v>
      </c>
      <c r="CP311" s="443"/>
      <c r="CQ311" s="217">
        <f t="shared" si="806"/>
        <v>0.15338645418326693</v>
      </c>
      <c r="CR311" s="172">
        <f t="shared" si="807"/>
        <v>327.33148655378488</v>
      </c>
      <c r="CS311" s="172">
        <f t="shared" si="808"/>
        <v>142.5</v>
      </c>
      <c r="CT311" s="217">
        <f t="shared" si="809"/>
        <v>21.822099103585661</v>
      </c>
      <c r="CU311" s="217">
        <f t="shared" si="810"/>
        <v>15</v>
      </c>
      <c r="CV311" s="217"/>
      <c r="CW311" s="172">
        <f t="shared" si="811"/>
        <v>138.92823858799639</v>
      </c>
      <c r="CX311" s="172">
        <f t="shared" si="812"/>
        <v>15</v>
      </c>
      <c r="CY311" s="217">
        <f t="shared" si="813"/>
        <v>21.859434682964093</v>
      </c>
      <c r="CZ311" s="217">
        <f t="shared" si="814"/>
        <v>3.0860378375949304</v>
      </c>
      <c r="DA311" s="217">
        <f t="shared" si="815"/>
        <v>17.033325726985009</v>
      </c>
      <c r="DB311" s="197">
        <f t="shared" si="816"/>
        <v>108.64873837981409</v>
      </c>
      <c r="DC311" s="443">
        <f t="shared" si="817"/>
        <v>49.703361480106466</v>
      </c>
      <c r="DE311" s="217">
        <f t="shared" si="818"/>
        <v>10</v>
      </c>
      <c r="DF311" s="173">
        <f t="shared" si="819"/>
        <v>7.7922077922077913</v>
      </c>
      <c r="DG311" s="173">
        <f t="shared" si="820"/>
        <v>4.2330677290836656</v>
      </c>
      <c r="DH311" s="173"/>
      <c r="DI311" s="173">
        <f t="shared" si="821"/>
        <v>7.7922077922077913</v>
      </c>
      <c r="DJ311" s="545">
        <f t="shared" si="822"/>
        <v>243.83333333333334</v>
      </c>
      <c r="DK311" s="528">
        <f t="shared" si="823"/>
        <v>4.2330677290836656</v>
      </c>
      <c r="DM311" s="173">
        <f t="shared" si="824"/>
        <v>8.3466560170326094</v>
      </c>
      <c r="DN311" s="173">
        <f t="shared" si="825"/>
        <v>21.859434682964093</v>
      </c>
      <c r="DO311" s="173">
        <f t="shared" si="826"/>
        <v>9.9847664318252516</v>
      </c>
      <c r="DQ311" s="545">
        <f t="shared" si="827"/>
        <v>9500</v>
      </c>
      <c r="DR311" s="460">
        <f t="shared" si="828"/>
        <v>49.703361480106466</v>
      </c>
      <c r="DT311">
        <f t="shared" si="829"/>
        <v>9500</v>
      </c>
      <c r="DU311">
        <f t="shared" si="830"/>
        <v>49.703361480106466</v>
      </c>
      <c r="DW311" s="5">
        <f t="shared" si="859"/>
        <v>20.119363564579938</v>
      </c>
      <c r="DX311" s="5">
        <f t="shared" si="831"/>
        <v>3.0860378375949304</v>
      </c>
      <c r="DY311" s="5">
        <f t="shared" si="832"/>
        <v>17.033325726985009</v>
      </c>
      <c r="DZ311" s="5"/>
      <c r="EA311" s="173">
        <f t="shared" si="833"/>
        <v>0.15338645418326691</v>
      </c>
      <c r="EB311" s="173">
        <f t="shared" si="860"/>
        <v>142.5</v>
      </c>
      <c r="EC311" s="173">
        <f t="shared" si="861"/>
        <v>9.2532467532467528</v>
      </c>
      <c r="ED311" s="173">
        <f t="shared" si="862"/>
        <v>15.4</v>
      </c>
      <c r="EE311" s="460">
        <f t="shared" si="834"/>
        <v>195.44906304767892</v>
      </c>
      <c r="EF311" s="5">
        <f t="shared" si="835"/>
        <v>9.8468515865937665</v>
      </c>
      <c r="EH311" s="173">
        <f t="shared" si="863"/>
        <v>4.9427859432672037</v>
      </c>
      <c r="EI311" s="173">
        <f t="shared" si="864"/>
        <v>11.612371075938711</v>
      </c>
      <c r="EK311" s="528">
        <f t="shared" si="865"/>
        <v>0.48862265761919726</v>
      </c>
      <c r="EL311" s="528">
        <f t="shared" si="866"/>
        <v>2.1816666666666666</v>
      </c>
      <c r="EM311" s="528">
        <f t="shared" si="867"/>
        <v>6.2129201850133079E-3</v>
      </c>
      <c r="EN311" s="528">
        <f t="shared" si="868"/>
        <v>5.0101783625731013E-2</v>
      </c>
      <c r="EO311">
        <f t="shared" si="869"/>
        <v>3.8249999999999999E-2</v>
      </c>
      <c r="EP311" s="460">
        <f t="shared" si="870"/>
        <v>44.462920185013303</v>
      </c>
      <c r="EQ311" s="460"/>
      <c r="ER311" s="460">
        <f t="shared" si="871"/>
        <v>2764.8540280966081</v>
      </c>
      <c r="ES311" s="528">
        <f t="shared" si="872"/>
        <v>6.6499999999999995</v>
      </c>
      <c r="EV311" s="460">
        <f t="shared" si="873"/>
        <v>6649.9999999999991</v>
      </c>
      <c r="EW311" s="528">
        <f t="shared" si="874"/>
        <v>0.73293398642879581</v>
      </c>
      <c r="EX311" s="528">
        <f t="shared" si="875"/>
        <v>4.0454148601589388</v>
      </c>
      <c r="EY311" s="528">
        <f t="shared" si="876"/>
        <v>1.9455021880180834</v>
      </c>
      <c r="EZ311" s="528"/>
      <c r="FA311" s="528">
        <f t="shared" si="877"/>
        <v>2.375E-2</v>
      </c>
      <c r="FB311" s="460">
        <f t="shared" si="878"/>
        <v>6747.6010346058174</v>
      </c>
      <c r="FC311" s="173">
        <f t="shared" si="879"/>
        <v>16.162455062702424</v>
      </c>
      <c r="FD311" s="5">
        <f t="shared" si="880"/>
        <v>142.5</v>
      </c>
      <c r="FE311" s="173">
        <f t="shared" si="881"/>
        <v>0.89813308349278265</v>
      </c>
      <c r="FF311" s="5">
        <f t="shared" si="882"/>
        <v>89.813308349278259</v>
      </c>
      <c r="FI311" s="562">
        <f t="shared" si="836"/>
        <v>-50</v>
      </c>
      <c r="FJ311">
        <f t="shared" si="837"/>
        <v>-50</v>
      </c>
      <c r="FL311">
        <f t="shared" si="838"/>
        <v>0.84661354581673309</v>
      </c>
    </row>
    <row r="312" spans="5:168">
      <c r="E312" s="170">
        <v>96</v>
      </c>
      <c r="F312" s="217">
        <f t="shared" si="839"/>
        <v>9.6</v>
      </c>
      <c r="G312" s="217"/>
      <c r="H312" s="217">
        <f>F312*Vout</f>
        <v>144</v>
      </c>
      <c r="I312" s="541">
        <f t="shared" si="765"/>
        <v>84.431383551617685</v>
      </c>
      <c r="J312" s="172">
        <f t="shared" si="766"/>
        <v>15.741169869029388</v>
      </c>
      <c r="K312" s="172">
        <f t="shared" si="767"/>
        <v>100.17255342064708</v>
      </c>
      <c r="L312" s="443"/>
      <c r="M312" s="217">
        <f t="shared" si="768"/>
        <v>0.15713220848629394</v>
      </c>
      <c r="N312" s="172">
        <f>M312*I312*(Isw_max+VIN_max/Lmag*ILIM_delay)*0.5*Efficiency</f>
        <v>333.08185111279676</v>
      </c>
      <c r="O312" s="172">
        <f t="shared" si="762"/>
        <v>144</v>
      </c>
      <c r="P312" s="217">
        <f>N312/Vout</f>
        <v>22.205456740853116</v>
      </c>
      <c r="Q312" s="217">
        <f t="shared" si="771"/>
        <v>15</v>
      </c>
      <c r="R312" s="217"/>
      <c r="S312" s="172">
        <f t="shared" si="772"/>
        <v>135.69017416937152</v>
      </c>
      <c r="T312" s="172">
        <f>MIN(Vout, S312)</f>
        <v>15</v>
      </c>
      <c r="U312" s="217">
        <f t="shared" si="774"/>
        <v>22.779373222363528</v>
      </c>
      <c r="V312" s="217">
        <f>L*U312/I312*1000000</f>
        <v>3.2375695762612549</v>
      </c>
      <c r="W312" s="217">
        <f t="shared" si="776"/>
        <v>17.365448752711888</v>
      </c>
      <c r="X312" s="197">
        <f t="shared" si="777"/>
        <v>110.56328183880646</v>
      </c>
      <c r="Y312" s="443">
        <f t="shared" si="840"/>
        <v>48.069947552142594</v>
      </c>
      <c r="AA312" s="217">
        <f t="shared" si="778"/>
        <v>10</v>
      </c>
      <c r="AB312" s="173">
        <f>L*AA312/J312*1000000</f>
        <v>7.6233215827305782</v>
      </c>
      <c r="AC312" s="173">
        <f>0.5*AB312*AA312*Nps*X312/1000</f>
        <v>4.2142972634964853</v>
      </c>
      <c r="AD312" s="173"/>
      <c r="AE312" s="173">
        <f t="shared" si="781"/>
        <v>7.6233215827305782</v>
      </c>
      <c r="AF312" s="545">
        <f>MAX(12000,F312/(0.5*AE312/1000000*Isw_min*Nps))/1000</f>
        <v>251.85871790447021</v>
      </c>
      <c r="AG312" s="528">
        <f t="shared" si="783"/>
        <v>4.2142972634964844</v>
      </c>
      <c r="AI312" s="173">
        <f t="shared" si="784"/>
        <v>8.4829024329525033</v>
      </c>
      <c r="AJ312" s="173">
        <f>MAX(IF(F312&gt;AC312,U312,AI312),Isw_min)</f>
        <v>22.779373222363528</v>
      </c>
      <c r="AK312" s="173">
        <f>IF(F312&gt;AG312, (AJ312-Isw_min)/1.08*0.8+1.2, AF312*0.2/350+1)</f>
        <v>10.666202386935945</v>
      </c>
      <c r="AM312" s="545">
        <f t="shared" si="787"/>
        <v>9600</v>
      </c>
      <c r="AN312" s="460">
        <f t="shared" si="788"/>
        <v>48.069947552142594</v>
      </c>
      <c r="AP312">
        <f t="shared" si="789"/>
        <v>9600</v>
      </c>
      <c r="AQ312">
        <f t="shared" si="790"/>
        <v>48.069947552142594</v>
      </c>
      <c r="AS312" s="5">
        <f t="shared" si="763"/>
        <v>20.803018328973142</v>
      </c>
      <c r="AT312" s="5">
        <f t="shared" si="791"/>
        <v>3.2375695762612549</v>
      </c>
      <c r="AU312" s="5">
        <f t="shared" si="883"/>
        <v>17.565448752711887</v>
      </c>
      <c r="AV312" s="5"/>
      <c r="AW312" s="173">
        <f t="shared" si="884"/>
        <v>0.15562979972729105</v>
      </c>
      <c r="AX312" s="173">
        <f t="shared" si="792"/>
        <v>149.66092983181429</v>
      </c>
      <c r="AY312" s="173">
        <f t="shared" si="793"/>
        <v>9.6171119649269379</v>
      </c>
      <c r="AZ312" s="173">
        <f t="shared" si="794"/>
        <v>15.561941087679878</v>
      </c>
      <c r="BA312" s="460">
        <f t="shared" si="885"/>
        <v>207.20445288072031</v>
      </c>
      <c r="BB312" s="5">
        <f t="shared" si="886"/>
        <v>10.330464214273132</v>
      </c>
      <c r="BD312" s="173">
        <f t="shared" si="841"/>
        <v>5.1883291743127788</v>
      </c>
      <c r="BE312" s="173">
        <f t="shared" si="842"/>
        <v>12.085026072798481</v>
      </c>
      <c r="BG312" s="528">
        <f t="shared" si="843"/>
        <v>0.53837519242050247</v>
      </c>
      <c r="BH312" s="528">
        <f t="shared" si="795"/>
        <v>2.05667389064766</v>
      </c>
      <c r="BI312" s="528">
        <f t="shared" si="796"/>
        <v>0.10146530447702742</v>
      </c>
      <c r="BJ312" s="528">
        <f t="shared" si="844"/>
        <v>4.8235983356496467E-2</v>
      </c>
      <c r="BK312">
        <f t="shared" si="845"/>
        <v>3.7994122598227958E-2</v>
      </c>
      <c r="BL312" s="460">
        <f t="shared" si="846"/>
        <v>139.45942707525538</v>
      </c>
      <c r="BM312" s="528">
        <f t="shared" si="797"/>
        <v>3.1976880554865774</v>
      </c>
      <c r="BN312" s="460">
        <f t="shared" si="847"/>
        <v>3197.6880554865775</v>
      </c>
      <c r="BO312" s="528">
        <f t="shared" si="798"/>
        <v>6.72</v>
      </c>
      <c r="BR312" s="460">
        <f t="shared" si="848"/>
        <v>6720</v>
      </c>
      <c r="BS312" s="528">
        <f t="shared" si="849"/>
        <v>0.80756278863075359</v>
      </c>
      <c r="BT312" s="528">
        <f t="shared" si="850"/>
        <v>4.3814356554065723</v>
      </c>
      <c r="BU312" s="528">
        <f t="shared" si="851"/>
        <v>1.9838487155417441</v>
      </c>
      <c r="BV312" s="528"/>
      <c r="BW312" s="528">
        <f t="shared" si="852"/>
        <v>2.494348830530238E-2</v>
      </c>
      <c r="BX312" s="460">
        <f t="shared" si="853"/>
        <v>7197.7906478843724</v>
      </c>
      <c r="BY312" s="173">
        <f t="shared" si="854"/>
        <v>16.70053514138429</v>
      </c>
      <c r="BZ312" s="5">
        <f t="shared" si="855"/>
        <v>144</v>
      </c>
      <c r="CA312" s="173">
        <f t="shared" si="856"/>
        <v>0.89607666753137349</v>
      </c>
      <c r="CB312" s="5">
        <f t="shared" si="857"/>
        <v>89.607666753137352</v>
      </c>
      <c r="CE312" s="562">
        <f t="shared" si="799"/>
        <v>-50</v>
      </c>
      <c r="CF312">
        <f t="shared" si="800"/>
        <v>-50</v>
      </c>
      <c r="CG312" s="173">
        <f t="shared" si="801"/>
        <v>0.84415426491016532</v>
      </c>
      <c r="CI312" s="170">
        <v>96</v>
      </c>
      <c r="CJ312" s="217">
        <f t="shared" si="858"/>
        <v>9.6</v>
      </c>
      <c r="CK312" s="217"/>
      <c r="CL312" s="217">
        <f t="shared" si="802"/>
        <v>144</v>
      </c>
      <c r="CM312" s="541">
        <f t="shared" si="803"/>
        <v>85</v>
      </c>
      <c r="CN312" s="443">
        <f t="shared" si="804"/>
        <v>15.4</v>
      </c>
      <c r="CO312" s="443">
        <f t="shared" si="805"/>
        <v>100.4</v>
      </c>
      <c r="CP312" s="443"/>
      <c r="CQ312" s="217">
        <f t="shared" si="806"/>
        <v>0.15338645418326693</v>
      </c>
      <c r="CR312" s="172">
        <f t="shared" si="807"/>
        <v>327.33148655378488</v>
      </c>
      <c r="CS312" s="172">
        <f t="shared" si="808"/>
        <v>144</v>
      </c>
      <c r="CT312" s="217">
        <f t="shared" si="809"/>
        <v>21.822099103585661</v>
      </c>
      <c r="CU312" s="217">
        <f t="shared" si="810"/>
        <v>15</v>
      </c>
      <c r="CV312" s="217"/>
      <c r="CW312" s="172">
        <f t="shared" si="811"/>
        <v>136.60233761463718</v>
      </c>
      <c r="CX312" s="172">
        <f t="shared" si="812"/>
        <v>15</v>
      </c>
      <c r="CY312" s="217">
        <f t="shared" si="813"/>
        <v>22.089533995416346</v>
      </c>
      <c r="CZ312" s="217">
        <f t="shared" si="814"/>
        <v>3.1185224464117196</v>
      </c>
      <c r="DA312" s="217">
        <f t="shared" si="815"/>
        <v>17.212623892532218</v>
      </c>
      <c r="DB312" s="197">
        <f t="shared" si="816"/>
        <v>108.64873837981409</v>
      </c>
      <c r="DC312" s="443">
        <f t="shared" si="817"/>
        <v>49.185618131355355</v>
      </c>
      <c r="DE312" s="217">
        <f t="shared" si="818"/>
        <v>10</v>
      </c>
      <c r="DF312" s="173">
        <f t="shared" si="819"/>
        <v>7.7922077922077913</v>
      </c>
      <c r="DG312" s="173">
        <f t="shared" si="820"/>
        <v>4.2330677290836656</v>
      </c>
      <c r="DH312" s="173"/>
      <c r="DI312" s="173">
        <f t="shared" si="821"/>
        <v>7.7922077922077913</v>
      </c>
      <c r="DJ312" s="545">
        <f t="shared" si="822"/>
        <v>246.4</v>
      </c>
      <c r="DK312" s="528">
        <f t="shared" si="823"/>
        <v>4.2330677290836656</v>
      </c>
      <c r="DM312" s="173">
        <f t="shared" si="824"/>
        <v>8.390470785361213</v>
      </c>
      <c r="DN312" s="173">
        <f t="shared" si="825"/>
        <v>22.089533995416346</v>
      </c>
      <c r="DO312" s="173">
        <f t="shared" si="826"/>
        <v>10.155210366975071</v>
      </c>
      <c r="DQ312" s="545">
        <f t="shared" si="827"/>
        <v>9600</v>
      </c>
      <c r="DR312" s="460">
        <f t="shared" si="828"/>
        <v>49.185618131355355</v>
      </c>
      <c r="DT312">
        <f t="shared" si="829"/>
        <v>9600</v>
      </c>
      <c r="DU312">
        <f t="shared" si="830"/>
        <v>49.185618131355355</v>
      </c>
      <c r="DW312" s="5">
        <f t="shared" si="859"/>
        <v>20.331146338943938</v>
      </c>
      <c r="DX312" s="5">
        <f t="shared" si="831"/>
        <v>3.1185224464117196</v>
      </c>
      <c r="DY312" s="5">
        <f t="shared" si="832"/>
        <v>17.212623892532218</v>
      </c>
      <c r="DZ312" s="5"/>
      <c r="EA312" s="173">
        <f t="shared" si="833"/>
        <v>0.15338645418326693</v>
      </c>
      <c r="EB312" s="173">
        <f t="shared" si="860"/>
        <v>144</v>
      </c>
      <c r="EC312" s="173">
        <f t="shared" si="861"/>
        <v>9.3506493506493502</v>
      </c>
      <c r="ED312" s="173">
        <f t="shared" si="862"/>
        <v>15.4</v>
      </c>
      <c r="EE312" s="460">
        <f t="shared" si="834"/>
        <v>199.58543657035003</v>
      </c>
      <c r="EF312" s="5">
        <f t="shared" si="835"/>
        <v>10.055244789146609</v>
      </c>
      <c r="EH312" s="173">
        <f t="shared" si="863"/>
        <v>4.9948152689858061</v>
      </c>
      <c r="EI312" s="173">
        <f t="shared" si="864"/>
        <v>11.734606560948592</v>
      </c>
      <c r="EK312" s="528">
        <f t="shared" si="865"/>
        <v>0.49896359142587499</v>
      </c>
      <c r="EL312" s="528">
        <f t="shared" si="866"/>
        <v>2.1816666666666666</v>
      </c>
      <c r="EM312" s="528">
        <f t="shared" si="867"/>
        <v>6.1482022664194188E-3</v>
      </c>
      <c r="EN312" s="528">
        <f t="shared" si="868"/>
        <v>4.9579890046296309E-2</v>
      </c>
      <c r="EO312">
        <f t="shared" si="869"/>
        <v>3.8249999999999999E-2</v>
      </c>
      <c r="EP312" s="460">
        <f t="shared" si="870"/>
        <v>44.398202266419418</v>
      </c>
      <c r="EQ312" s="460"/>
      <c r="ER312" s="460">
        <f t="shared" si="871"/>
        <v>2774.6083504052576</v>
      </c>
      <c r="ES312" s="528">
        <f t="shared" si="872"/>
        <v>6.72</v>
      </c>
      <c r="EV312" s="460">
        <f t="shared" si="873"/>
        <v>6720</v>
      </c>
      <c r="EW312" s="528">
        <f t="shared" si="874"/>
        <v>0.74844538713881248</v>
      </c>
      <c r="EX312" s="528">
        <f t="shared" si="875"/>
        <v>4.1310297342077318</v>
      </c>
      <c r="EY312" s="528">
        <f t="shared" si="876"/>
        <v>1.9455021880180854</v>
      </c>
      <c r="EZ312" s="528"/>
      <c r="FA312" s="528">
        <f t="shared" si="877"/>
        <v>2.4E-2</v>
      </c>
      <c r="FB312" s="460">
        <f t="shared" si="878"/>
        <v>6848.9773093646309</v>
      </c>
      <c r="FC312" s="173">
        <f t="shared" si="879"/>
        <v>16.343585659769889</v>
      </c>
      <c r="FD312" s="5">
        <f t="shared" si="880"/>
        <v>144</v>
      </c>
      <c r="FE312" s="173">
        <f t="shared" si="881"/>
        <v>0.89807147200481685</v>
      </c>
      <c r="FF312" s="5">
        <f t="shared" si="882"/>
        <v>89.80714720048168</v>
      </c>
      <c r="FI312" s="562">
        <f t="shared" si="836"/>
        <v>-50</v>
      </c>
      <c r="FJ312">
        <f t="shared" si="837"/>
        <v>-50</v>
      </c>
      <c r="FL312">
        <f t="shared" si="838"/>
        <v>0.84661354581673309</v>
      </c>
    </row>
    <row r="313" spans="5:168">
      <c r="E313" s="170">
        <v>97</v>
      </c>
      <c r="F313" s="217">
        <f>IF(PLOT_TYPE=1, E313/100*Iout_max, min_I*EXP(N313*rr/100))</f>
        <v>9.6999999999999993</v>
      </c>
      <c r="G313" s="217"/>
      <c r="H313" s="217">
        <f>F313*Vout</f>
        <v>145.5</v>
      </c>
      <c r="I313" s="541">
        <f t="shared" si="765"/>
        <v>84.425477718871846</v>
      </c>
      <c r="J313" s="172">
        <f t="shared" si="766"/>
        <v>15.744713368676889</v>
      </c>
      <c r="K313" s="172">
        <f t="shared" si="767"/>
        <v>100.17019108754873</v>
      </c>
      <c r="L313" s="443"/>
      <c r="M313" s="217">
        <f t="shared" si="768"/>
        <v>0.15717128959454835</v>
      </c>
      <c r="N313" s="172">
        <f>M313*I313*(Isw_max+VIN_max/Lmag*ILIM_delay)*0.5*Efficiency</f>
        <v>333.14138919609167</v>
      </c>
      <c r="O313" s="172">
        <f t="shared" si="762"/>
        <v>145.5</v>
      </c>
      <c r="P313" s="217">
        <f>N313/Vout</f>
        <v>22.20942594640611</v>
      </c>
      <c r="Q313" s="217">
        <f t="shared" si="771"/>
        <v>15</v>
      </c>
      <c r="R313" s="217"/>
      <c r="S313" s="172">
        <f t="shared" si="772"/>
        <v>133.41831820861216</v>
      </c>
      <c r="T313" s="172">
        <f>MIN(Vout, S313)</f>
        <v>15</v>
      </c>
      <c r="U313" s="217">
        <f t="shared" si="774"/>
        <v>23.01772561908507</v>
      </c>
      <c r="V313" s="217">
        <f>L*U313/I313*1000000</f>
        <v>3.2716747940566093</v>
      </c>
      <c r="W313" s="217">
        <f t="shared" si="776"/>
        <v>17.543203293781684</v>
      </c>
      <c r="X313" s="197">
        <f t="shared" si="777"/>
        <v>110.58304315764337</v>
      </c>
      <c r="Y313" s="443">
        <f t="shared" si="840"/>
        <v>47.58533434361054</v>
      </c>
      <c r="AA313" s="217">
        <f t="shared" si="778"/>
        <v>10</v>
      </c>
      <c r="AB313" s="173">
        <f>L*AA313/J313*1000000</f>
        <v>7.6216058806591178</v>
      </c>
      <c r="AC313" s="173">
        <f>0.5*AB313*AA313*Nps*X313/1000</f>
        <v>4.2141018601573785</v>
      </c>
      <c r="AD313" s="173"/>
      <c r="AE313" s="173">
        <f t="shared" si="781"/>
        <v>7.6216058806591178</v>
      </c>
      <c r="AF313" s="545">
        <f>MAX(12000,F313/(0.5*AE313/1000000*Isw_min*Nps))/1000</f>
        <v>254.53953279360968</v>
      </c>
      <c r="AG313" s="528">
        <f t="shared" si="783"/>
        <v>4.2141018601573785</v>
      </c>
      <c r="AI313" s="173">
        <f t="shared" si="784"/>
        <v>8.5279294555111207</v>
      </c>
      <c r="AJ313" s="173">
        <f>MAX(IF(F313&gt;AC313,U313,AI313),Isw_min)</f>
        <v>23.01772561908507</v>
      </c>
      <c r="AK313" s="173">
        <f>IF(F313&gt;AG313, (AJ313-Isw_min)/1.08*0.8+1.2, AF313*0.2/350+1)</f>
        <v>10.842759717840792</v>
      </c>
      <c r="AM313" s="545">
        <f t="shared" si="787"/>
        <v>9700</v>
      </c>
      <c r="AN313" s="460">
        <f t="shared" si="788"/>
        <v>47.58533434361054</v>
      </c>
      <c r="AP313">
        <f t="shared" si="789"/>
        <v>9700</v>
      </c>
      <c r="AQ313">
        <f t="shared" si="790"/>
        <v>47.58533434361054</v>
      </c>
      <c r="AS313" s="5">
        <f t="shared" si="763"/>
        <v>21.014878087838291</v>
      </c>
      <c r="AT313" s="5">
        <f t="shared" si="791"/>
        <v>3.2716747940566093</v>
      </c>
      <c r="AU313" s="5">
        <f t="shared" si="883"/>
        <v>17.743203293781683</v>
      </c>
      <c r="AV313" s="5"/>
      <c r="AW313" s="173">
        <f t="shared" si="884"/>
        <v>0.1556837389387469</v>
      </c>
      <c r="AX313" s="173">
        <f t="shared" si="792"/>
        <v>151.2687412587274</v>
      </c>
      <c r="AY313" s="173">
        <f t="shared" si="793"/>
        <v>9.7171200164198623</v>
      </c>
      <c r="AZ313" s="173">
        <f t="shared" si="794"/>
        <v>15.567240190829738</v>
      </c>
      <c r="BA313" s="460">
        <f t="shared" si="885"/>
        <v>211.56830334899408</v>
      </c>
      <c r="BB313" s="5">
        <f t="shared" si="886"/>
        <v>10.544439447948513</v>
      </c>
      <c r="BD313" s="173">
        <f t="shared" si="841"/>
        <v>5.2435257853261801</v>
      </c>
      <c r="BE313" s="173">
        <f t="shared" si="842"/>
        <v>12.211087921657427</v>
      </c>
      <c r="BG313" s="528">
        <f t="shared" si="843"/>
        <v>0.54989125322761068</v>
      </c>
      <c r="BH313" s="528">
        <f t="shared" si="795"/>
        <v>2.0571942804288117</v>
      </c>
      <c r="BI313" s="528">
        <f t="shared" si="796"/>
        <v>0.10043536460928897</v>
      </c>
      <c r="BJ313" s="528">
        <f t="shared" si="844"/>
        <v>4.7747444170627533E-2</v>
      </c>
      <c r="BK313">
        <f t="shared" si="845"/>
        <v>3.7991464973492331E-2</v>
      </c>
      <c r="BL313" s="460">
        <f t="shared" si="846"/>
        <v>138.42682958278129</v>
      </c>
      <c r="BM313" s="528">
        <f t="shared" si="797"/>
        <v>3.2246126833666211</v>
      </c>
      <c r="BN313" s="460">
        <f t="shared" si="847"/>
        <v>3224.6126833666212</v>
      </c>
      <c r="BO313" s="528">
        <f t="shared" si="798"/>
        <v>6.7899999999999991</v>
      </c>
      <c r="BR313" s="460">
        <f t="shared" si="848"/>
        <v>6789.9999999999991</v>
      </c>
      <c r="BS313" s="528">
        <f t="shared" si="849"/>
        <v>0.82483687984141596</v>
      </c>
      <c r="BT313" s="528">
        <f t="shared" si="850"/>
        <v>4.473320046913436</v>
      </c>
      <c r="BU313" s="528">
        <f t="shared" si="851"/>
        <v>1.9852209014798377</v>
      </c>
      <c r="BV313" s="528"/>
      <c r="BW313" s="528">
        <f t="shared" si="852"/>
        <v>2.5211456876454576E-2</v>
      </c>
      <c r="BX313" s="460">
        <f t="shared" si="853"/>
        <v>7308.5892851111439</v>
      </c>
      <c r="BY313" s="173">
        <f t="shared" si="854"/>
        <v>16.891849092520975</v>
      </c>
      <c r="BZ313" s="5">
        <f t="shared" si="855"/>
        <v>145.5</v>
      </c>
      <c r="CA313" s="173">
        <f t="shared" si="856"/>
        <v>0.89598093015803382</v>
      </c>
      <c r="CB313" s="5">
        <f t="shared" si="857"/>
        <v>89.598093015803386</v>
      </c>
      <c r="CE313" s="562">
        <f t="shared" si="799"/>
        <v>-50</v>
      </c>
      <c r="CF313">
        <f t="shared" si="800"/>
        <v>-50</v>
      </c>
      <c r="CG313" s="173">
        <f t="shared" si="801"/>
        <v>0.84417961832157318</v>
      </c>
      <c r="CI313" s="170">
        <v>97</v>
      </c>
      <c r="CJ313" s="217">
        <f t="shared" si="858"/>
        <v>9.6999999999999993</v>
      </c>
      <c r="CK313" s="217"/>
      <c r="CL313" s="217">
        <f t="shared" si="802"/>
        <v>145.5</v>
      </c>
      <c r="CM313" s="541">
        <f t="shared" si="803"/>
        <v>85</v>
      </c>
      <c r="CN313" s="443">
        <f t="shared" si="804"/>
        <v>15.4</v>
      </c>
      <c r="CO313" s="443">
        <f t="shared" si="805"/>
        <v>100.4</v>
      </c>
      <c r="CP313" s="443"/>
      <c r="CQ313" s="217">
        <f t="shared" si="806"/>
        <v>0.15338645418326693</v>
      </c>
      <c r="CR313" s="172">
        <f t="shared" si="807"/>
        <v>327.33148655378488</v>
      </c>
      <c r="CS313" s="172">
        <f t="shared" si="808"/>
        <v>145.5</v>
      </c>
      <c r="CT313" s="217">
        <f t="shared" si="809"/>
        <v>21.822099103585661</v>
      </c>
      <c r="CU313" s="217">
        <f t="shared" si="810"/>
        <v>15</v>
      </c>
      <c r="CV313" s="217"/>
      <c r="CW313" s="172">
        <f t="shared" si="811"/>
        <v>134.32453175616715</v>
      </c>
      <c r="CX313" s="172">
        <f t="shared" si="812"/>
        <v>15</v>
      </c>
      <c r="CY313" s="217">
        <f t="shared" si="813"/>
        <v>22.3196333078686</v>
      </c>
      <c r="CZ313" s="217">
        <f t="shared" si="814"/>
        <v>3.1510070552285083</v>
      </c>
      <c r="DA313" s="217">
        <f t="shared" si="815"/>
        <v>17.391922058079427</v>
      </c>
      <c r="DB313" s="197">
        <f t="shared" si="816"/>
        <v>108.64873837981409</v>
      </c>
      <c r="DC313" s="443">
        <f t="shared" si="817"/>
        <v>48.678549903197059</v>
      </c>
      <c r="DE313" s="217">
        <f t="shared" si="818"/>
        <v>10</v>
      </c>
      <c r="DF313" s="173">
        <f t="shared" si="819"/>
        <v>7.7922077922077913</v>
      </c>
      <c r="DG313" s="173">
        <f t="shared" si="820"/>
        <v>4.2330677290836656</v>
      </c>
      <c r="DH313" s="173"/>
      <c r="DI313" s="173">
        <f t="shared" si="821"/>
        <v>7.7922077922077913</v>
      </c>
      <c r="DJ313" s="545">
        <f t="shared" si="822"/>
        <v>248.96666666666667</v>
      </c>
      <c r="DK313" s="528">
        <f t="shared" si="823"/>
        <v>4.2330677290836656</v>
      </c>
      <c r="DM313" s="173">
        <f t="shared" si="824"/>
        <v>8.4340579398847701</v>
      </c>
      <c r="DN313" s="173">
        <f t="shared" si="825"/>
        <v>22.3196333078686</v>
      </c>
      <c r="DO313" s="173">
        <f t="shared" si="826"/>
        <v>10.325654302124887</v>
      </c>
      <c r="DQ313" s="545">
        <f t="shared" si="827"/>
        <v>9700</v>
      </c>
      <c r="DR313" s="460">
        <f t="shared" si="828"/>
        <v>48.678549903197059</v>
      </c>
      <c r="DT313">
        <f t="shared" si="829"/>
        <v>9700</v>
      </c>
      <c r="DU313">
        <f t="shared" si="830"/>
        <v>48.678549903197059</v>
      </c>
      <c r="DW313" s="5">
        <f t="shared" si="859"/>
        <v>20.542929113307935</v>
      </c>
      <c r="DX313" s="5">
        <f t="shared" si="831"/>
        <v>3.1510070552285083</v>
      </c>
      <c r="DY313" s="5">
        <f t="shared" si="832"/>
        <v>17.391922058079427</v>
      </c>
      <c r="DZ313" s="5"/>
      <c r="EA313" s="173">
        <f t="shared" si="833"/>
        <v>0.15338645418326696</v>
      </c>
      <c r="EB313" s="173">
        <f t="shared" si="860"/>
        <v>145.50000000000003</v>
      </c>
      <c r="EC313" s="173">
        <f t="shared" si="861"/>
        <v>9.4480519480519458</v>
      </c>
      <c r="ED313" s="173">
        <f t="shared" si="862"/>
        <v>15.400000000000007</v>
      </c>
      <c r="EE313" s="460">
        <f t="shared" si="834"/>
        <v>203.76512290477686</v>
      </c>
      <c r="EF313" s="5">
        <f t="shared" si="835"/>
        <v>10.265820119474874</v>
      </c>
      <c r="EH313" s="173">
        <f t="shared" si="863"/>
        <v>5.0468445947044094</v>
      </c>
      <c r="EI313" s="173">
        <f t="shared" si="864"/>
        <v>11.856842045958471</v>
      </c>
      <c r="EK313" s="528">
        <f t="shared" si="865"/>
        <v>0.50941280726194227</v>
      </c>
      <c r="EL313" s="528">
        <f t="shared" si="866"/>
        <v>2.1816666666666671</v>
      </c>
      <c r="EM313" s="528">
        <f t="shared" si="867"/>
        <v>6.0848187378996325E-3</v>
      </c>
      <c r="EN313" s="528">
        <f t="shared" si="868"/>
        <v>4.9068757159221092E-2</v>
      </c>
      <c r="EO313">
        <f t="shared" si="869"/>
        <v>3.8249999999999999E-2</v>
      </c>
      <c r="EP313" s="460">
        <f t="shared" si="870"/>
        <v>44.334818737899631</v>
      </c>
      <c r="EQ313" s="460"/>
      <c r="ER313" s="460">
        <f t="shared" si="871"/>
        <v>2784.4830498257306</v>
      </c>
      <c r="ES313" s="528">
        <f t="shared" si="872"/>
        <v>6.7899999999999991</v>
      </c>
      <c r="EV313" s="460">
        <f t="shared" si="873"/>
        <v>6789.9999999999991</v>
      </c>
      <c r="EW313" s="528">
        <f t="shared" si="874"/>
        <v>0.76411921089291346</v>
      </c>
      <c r="EX313" s="528">
        <f t="shared" si="875"/>
        <v>4.2175410990842597</v>
      </c>
      <c r="EY313" s="528">
        <f t="shared" si="876"/>
        <v>1.9455021880180854</v>
      </c>
      <c r="EZ313" s="528"/>
      <c r="FA313" s="528">
        <f t="shared" si="877"/>
        <v>2.4250000000000001E-2</v>
      </c>
      <c r="FB313" s="460">
        <f t="shared" si="878"/>
        <v>6951.4124979952585</v>
      </c>
      <c r="FC313" s="173">
        <f t="shared" si="879"/>
        <v>16.525895547820987</v>
      </c>
      <c r="FD313" s="5">
        <f t="shared" si="880"/>
        <v>145.5</v>
      </c>
      <c r="FE313" s="173">
        <f t="shared" si="881"/>
        <v>0.8980046029559301</v>
      </c>
      <c r="FF313" s="5">
        <f t="shared" si="882"/>
        <v>89.800460295593012</v>
      </c>
      <c r="FI313" s="562">
        <f t="shared" si="836"/>
        <v>-50</v>
      </c>
      <c r="FJ313">
        <f t="shared" si="837"/>
        <v>-50</v>
      </c>
      <c r="FL313">
        <f t="shared" si="838"/>
        <v>0.84661354581673298</v>
      </c>
    </row>
    <row r="314" spans="5:168">
      <c r="E314" s="170">
        <v>98</v>
      </c>
      <c r="F314" s="217">
        <f>IF(PLOT_TYPE=1, E314/100*Iout_max, min_I*EXP(N314*rr/100))</f>
        <v>9.8000000000000007</v>
      </c>
      <c r="G314" s="217"/>
      <c r="H314" s="217">
        <f>F314*Vout</f>
        <v>147</v>
      </c>
      <c r="I314" s="541">
        <f t="shared" si="765"/>
        <v>84.419571885110742</v>
      </c>
      <c r="J314" s="172">
        <f t="shared" si="766"/>
        <v>15.748256868933558</v>
      </c>
      <c r="K314" s="172">
        <f t="shared" si="767"/>
        <v>100.16782875404429</v>
      </c>
      <c r="L314" s="443"/>
      <c r="M314" s="217">
        <f t="shared" si="768"/>
        <v>0.15721037254774942</v>
      </c>
      <c r="N314" s="172">
        <f>M314*I314*(Isw_max+VIN_max/Lmag*ILIM_delay)*0.5*Efficiency</f>
        <v>333.20091959629713</v>
      </c>
      <c r="O314" s="172">
        <f t="shared" si="762"/>
        <v>147</v>
      </c>
      <c r="P314" s="217">
        <f>N314/Vout</f>
        <v>22.21339463975314</v>
      </c>
      <c r="Q314" s="217">
        <f t="shared" si="771"/>
        <v>15</v>
      </c>
      <c r="R314" s="217"/>
      <c r="S314" s="172">
        <f t="shared" si="772"/>
        <v>131.19308676580462</v>
      </c>
      <c r="T314" s="172">
        <f>MIN(Vout, S314)</f>
        <v>15</v>
      </c>
      <c r="U314" s="217">
        <f t="shared" si="774"/>
        <v>23.256100172056836</v>
      </c>
      <c r="V314" s="217">
        <f>L*U314/I314*1000000</f>
        <v>3.3057879332115259</v>
      </c>
      <c r="W314" s="217">
        <f t="shared" si="776"/>
        <v>17.720894724241337</v>
      </c>
      <c r="X314" s="197">
        <f t="shared" si="777"/>
        <v>110.60280192992671</v>
      </c>
      <c r="Y314" s="443">
        <f t="shared" si="840"/>
        <v>47.11051727382808</v>
      </c>
      <c r="AA314" s="217">
        <f t="shared" si="778"/>
        <v>10</v>
      </c>
      <c r="AB314" s="173">
        <f>L*AA314/J314*1000000</f>
        <v>7.6198909503897481</v>
      </c>
      <c r="AC314" s="173">
        <f>0.5*AB314*AA314*Nps*X314/1000</f>
        <v>4.2139064475679913</v>
      </c>
      <c r="AD314" s="173"/>
      <c r="AE314" s="173">
        <f t="shared" si="781"/>
        <v>7.6198909503897481</v>
      </c>
      <c r="AF314" s="545">
        <f>MAX(12000,F314/(0.5*AE314/1000000*Isw_min*Nps))/1000</f>
        <v>257.22152885924811</v>
      </c>
      <c r="AG314" s="528">
        <f t="shared" si="783"/>
        <v>4.2139064475679913</v>
      </c>
      <c r="AI314" s="173">
        <f t="shared" si="784"/>
        <v>8.5727396664284985</v>
      </c>
      <c r="AJ314" s="173">
        <f>MAX(IF(F314&gt;AC314,U314,AI314),Isw_min)</f>
        <v>23.256100172056836</v>
      </c>
      <c r="AK314" s="173">
        <f>IF(F314&gt;AG314, (AJ314-Isw_min)/1.08*0.8+1.2, AF314*0.2/350+1)</f>
        <v>11.019333460782841</v>
      </c>
      <c r="AM314" s="545">
        <f t="shared" si="787"/>
        <v>9800</v>
      </c>
      <c r="AN314" s="460">
        <f t="shared" si="788"/>
        <v>47.11051727382808</v>
      </c>
      <c r="AP314">
        <f t="shared" si="789"/>
        <v>9800</v>
      </c>
      <c r="AQ314">
        <f t="shared" si="790"/>
        <v>47.11051727382808</v>
      </c>
      <c r="AS314" s="5">
        <f t="shared" si="763"/>
        <v>21.226682657452862</v>
      </c>
      <c r="AT314" s="5">
        <f t="shared" si="791"/>
        <v>3.3057879332115259</v>
      </c>
      <c r="AU314" s="5">
        <f t="shared" si="883"/>
        <v>17.920894724241336</v>
      </c>
      <c r="AV314" s="5"/>
      <c r="AW314" s="173">
        <f t="shared" si="884"/>
        <v>0.15573737953117403</v>
      </c>
      <c r="AX314" s="173">
        <f t="shared" si="792"/>
        <v>152.87726413232446</v>
      </c>
      <c r="AY314" s="173">
        <f t="shared" si="793"/>
        <v>9.8171280365731093</v>
      </c>
      <c r="AZ314" s="173">
        <f t="shared" si="794"/>
        <v>15.572503848660176</v>
      </c>
      <c r="BA314" s="460">
        <f t="shared" si="885"/>
        <v>215.97814496981974</v>
      </c>
      <c r="BB314" s="5">
        <f t="shared" si="886"/>
        <v>10.760584941003946</v>
      </c>
      <c r="BD314" s="173">
        <f t="shared" si="841"/>
        <v>5.2987410193943942</v>
      </c>
      <c r="BE314" s="173">
        <f t="shared" si="842"/>
        <v>12.337155615469118</v>
      </c>
      <c r="BG314" s="528">
        <f t="shared" si="843"/>
        <v>0.56153312781225484</v>
      </c>
      <c r="BH314" s="528">
        <f t="shared" si="795"/>
        <v>2.0577105980661603</v>
      </c>
      <c r="BI314" s="528">
        <f t="shared" si="796"/>
        <v>9.9426242488567018E-2</v>
      </c>
      <c r="BJ314" s="528">
        <f t="shared" si="844"/>
        <v>4.7268779955951648E-2</v>
      </c>
      <c r="BK314">
        <f t="shared" si="845"/>
        <v>3.7988807348299833E-2</v>
      </c>
      <c r="BL314" s="460">
        <f t="shared" si="846"/>
        <v>137.41504983686687</v>
      </c>
      <c r="BM314" s="528">
        <f t="shared" si="797"/>
        <v>3.2520105843494025</v>
      </c>
      <c r="BN314" s="460">
        <f t="shared" si="847"/>
        <v>3252.0105843494025</v>
      </c>
      <c r="BO314" s="528">
        <f t="shared" si="798"/>
        <v>6.86</v>
      </c>
      <c r="BR314" s="460">
        <f t="shared" si="848"/>
        <v>6860</v>
      </c>
      <c r="BS314" s="528">
        <f t="shared" si="849"/>
        <v>0.84229969171838226</v>
      </c>
      <c r="BT314" s="528">
        <f t="shared" si="850"/>
        <v>4.5661622604090359</v>
      </c>
      <c r="BU314" s="528">
        <f t="shared" si="851"/>
        <v>1.9865838930301334</v>
      </c>
      <c r="BV314" s="528"/>
      <c r="BW314" s="528">
        <f t="shared" si="852"/>
        <v>2.5479544022054081E-2</v>
      </c>
      <c r="BX314" s="460">
        <f t="shared" si="853"/>
        <v>7420.5253891796046</v>
      </c>
      <c r="BY314" s="173">
        <f t="shared" si="854"/>
        <v>17.084452944850842</v>
      </c>
      <c r="BZ314" s="5">
        <f t="shared" si="855"/>
        <v>147</v>
      </c>
      <c r="CA314" s="173">
        <f t="shared" si="856"/>
        <v>0.89588012369098136</v>
      </c>
      <c r="CB314" s="5">
        <f t="shared" si="857"/>
        <v>89.588012369098138</v>
      </c>
      <c r="CE314" s="562">
        <f t="shared" si="799"/>
        <v>-50</v>
      </c>
      <c r="CF314">
        <f t="shared" si="800"/>
        <v>-50</v>
      </c>
      <c r="CG314" s="173">
        <f t="shared" si="801"/>
        <v>0.84420445431642177</v>
      </c>
      <c r="CI314" s="170">
        <v>98</v>
      </c>
      <c r="CJ314" s="217">
        <f t="shared" si="858"/>
        <v>9.8000000000000007</v>
      </c>
      <c r="CK314" s="217"/>
      <c r="CL314" s="217">
        <f t="shared" si="802"/>
        <v>147</v>
      </c>
      <c r="CM314" s="541">
        <f t="shared" si="803"/>
        <v>85</v>
      </c>
      <c r="CN314" s="443">
        <f t="shared" si="804"/>
        <v>15.4</v>
      </c>
      <c r="CO314" s="443">
        <f t="shared" si="805"/>
        <v>100.4</v>
      </c>
      <c r="CP314" s="443"/>
      <c r="CQ314" s="217">
        <f t="shared" si="806"/>
        <v>0.15338645418326693</v>
      </c>
      <c r="CR314" s="172">
        <f t="shared" si="807"/>
        <v>327.33148655378488</v>
      </c>
      <c r="CS314" s="172">
        <f t="shared" si="808"/>
        <v>147</v>
      </c>
      <c r="CT314" s="217">
        <f t="shared" si="809"/>
        <v>21.822099103585661</v>
      </c>
      <c r="CU314" s="217">
        <f t="shared" si="810"/>
        <v>15</v>
      </c>
      <c r="CV314" s="217"/>
      <c r="CW314" s="172">
        <f t="shared" si="811"/>
        <v>132.09335134411</v>
      </c>
      <c r="CX314" s="172">
        <f t="shared" si="812"/>
        <v>15</v>
      </c>
      <c r="CY314" s="217">
        <f t="shared" si="813"/>
        <v>22.549732620320857</v>
      </c>
      <c r="CZ314" s="217">
        <f t="shared" si="814"/>
        <v>3.1834916640452975</v>
      </c>
      <c r="DA314" s="217">
        <f t="shared" si="815"/>
        <v>17.571220223626643</v>
      </c>
      <c r="DB314" s="197">
        <f t="shared" si="816"/>
        <v>108.64873837981409</v>
      </c>
      <c r="DC314" s="443">
        <f t="shared" si="817"/>
        <v>48.181830006225638</v>
      </c>
      <c r="DE314" s="217">
        <f t="shared" si="818"/>
        <v>10</v>
      </c>
      <c r="DF314" s="173">
        <f t="shared" si="819"/>
        <v>7.7922077922077913</v>
      </c>
      <c r="DG314" s="173">
        <f t="shared" si="820"/>
        <v>4.2330677290836656</v>
      </c>
      <c r="DH314" s="173"/>
      <c r="DI314" s="173">
        <f t="shared" si="821"/>
        <v>7.7922077922077913</v>
      </c>
      <c r="DJ314" s="545">
        <f t="shared" si="822"/>
        <v>251.53333333333336</v>
      </c>
      <c r="DK314" s="528">
        <f t="shared" si="823"/>
        <v>4.2330677290836656</v>
      </c>
      <c r="DM314" s="173">
        <f t="shared" si="824"/>
        <v>8.477420991472977</v>
      </c>
      <c r="DN314" s="173">
        <f t="shared" si="825"/>
        <v>22.549732620320857</v>
      </c>
      <c r="DO314" s="173">
        <f t="shared" si="826"/>
        <v>10.496098237274708</v>
      </c>
      <c r="DQ314" s="545">
        <f t="shared" si="827"/>
        <v>9800</v>
      </c>
      <c r="DR314" s="460">
        <f t="shared" si="828"/>
        <v>48.181830006225638</v>
      </c>
      <c r="DT314">
        <f t="shared" si="829"/>
        <v>9800</v>
      </c>
      <c r="DU314">
        <f t="shared" si="830"/>
        <v>48.181830006225638</v>
      </c>
      <c r="DW314" s="5">
        <f t="shared" si="859"/>
        <v>20.754711887671945</v>
      </c>
      <c r="DX314" s="5">
        <f t="shared" si="831"/>
        <v>3.1834916640452975</v>
      </c>
      <c r="DY314" s="5">
        <f t="shared" si="832"/>
        <v>17.571220223626646</v>
      </c>
      <c r="DZ314" s="5"/>
      <c r="EA314" s="173">
        <f t="shared" si="833"/>
        <v>0.15338645418326688</v>
      </c>
      <c r="EB314" s="173">
        <f t="shared" si="860"/>
        <v>147</v>
      </c>
      <c r="EC314" s="173">
        <f t="shared" si="861"/>
        <v>9.5454545454545467</v>
      </c>
      <c r="ED314" s="173">
        <f t="shared" si="862"/>
        <v>15.399999999999999</v>
      </c>
      <c r="EE314" s="460">
        <f t="shared" si="834"/>
        <v>207.98812205095942</v>
      </c>
      <c r="EF314" s="5">
        <f t="shared" si="835"/>
        <v>10.478577577578568</v>
      </c>
      <c r="EH314" s="173">
        <f t="shared" si="863"/>
        <v>5.0988739204230109</v>
      </c>
      <c r="EI314" s="173">
        <f t="shared" si="864"/>
        <v>11.979077530968356</v>
      </c>
      <c r="EK314" s="528">
        <f t="shared" si="865"/>
        <v>0.5199703051273985</v>
      </c>
      <c r="EL314" s="528">
        <f t="shared" si="866"/>
        <v>2.1816666666666662</v>
      </c>
      <c r="EM314" s="528">
        <f t="shared" si="867"/>
        <v>6.0227287507782041E-3</v>
      </c>
      <c r="EN314" s="528">
        <f t="shared" si="868"/>
        <v>4.8568055555555552E-2</v>
      </c>
      <c r="EO314">
        <f t="shared" si="869"/>
        <v>3.8249999999999999E-2</v>
      </c>
      <c r="EP314" s="460">
        <f t="shared" si="870"/>
        <v>44.272728750778199</v>
      </c>
      <c r="EQ314" s="460"/>
      <c r="ER314" s="460">
        <f t="shared" si="871"/>
        <v>2794.4777561003984</v>
      </c>
      <c r="ES314" s="528">
        <f t="shared" si="872"/>
        <v>6.86</v>
      </c>
      <c r="EV314" s="460">
        <f t="shared" si="873"/>
        <v>6860</v>
      </c>
      <c r="EW314" s="528">
        <f t="shared" si="874"/>
        <v>0.77995545769109764</v>
      </c>
      <c r="EX314" s="528">
        <f t="shared" si="875"/>
        <v>4.3049489547885269</v>
      </c>
      <c r="EY314" s="528">
        <f t="shared" si="876"/>
        <v>1.9455021880180816</v>
      </c>
      <c r="EZ314" s="528"/>
      <c r="FA314" s="528">
        <f t="shared" si="877"/>
        <v>2.4500000000000001E-2</v>
      </c>
      <c r="FB314" s="460">
        <f t="shared" si="878"/>
        <v>7054.9066004977058</v>
      </c>
      <c r="FC314" s="173">
        <f t="shared" si="879"/>
        <v>16.709384356598104</v>
      </c>
      <c r="FD314" s="5">
        <f t="shared" si="880"/>
        <v>147</v>
      </c>
      <c r="FE314" s="173">
        <f t="shared" si="881"/>
        <v>0.89793264190523703</v>
      </c>
      <c r="FF314" s="5">
        <f t="shared" si="882"/>
        <v>89.793264190523701</v>
      </c>
      <c r="FI314" s="562">
        <f t="shared" si="836"/>
        <v>-50</v>
      </c>
      <c r="FJ314">
        <f t="shared" si="837"/>
        <v>-50</v>
      </c>
      <c r="FL314">
        <f t="shared" si="838"/>
        <v>0.84661354581673309</v>
      </c>
    </row>
    <row r="315" spans="5:168">
      <c r="E315" s="170">
        <v>99</v>
      </c>
      <c r="F315" s="217">
        <f>IF(PLOT_TYPE=1, E315/100*Iout_max, min_I*EXP(N315*rr/100))</f>
        <v>9.9</v>
      </c>
      <c r="G315" s="217"/>
      <c r="H315" s="217">
        <f>F315*Vout</f>
        <v>148.5</v>
      </c>
      <c r="I315" s="541">
        <f t="shared" si="765"/>
        <v>84.413666050365194</v>
      </c>
      <c r="J315" s="172">
        <f t="shared" si="766"/>
        <v>15.751800369780883</v>
      </c>
      <c r="K315" s="172">
        <f t="shared" si="767"/>
        <v>100.16546642014607</v>
      </c>
      <c r="L315" s="443"/>
      <c r="M315" s="217">
        <f t="shared" si="768"/>
        <v>0.1572494573459805</v>
      </c>
      <c r="N315" s="172">
        <f>M315*I315*(Isw_max+VIN_max/Lmag*ILIM_delay)*0.5*Efficiency</f>
        <v>333.26044231288785</v>
      </c>
      <c r="O315" s="172">
        <f t="shared" si="762"/>
        <v>148.5</v>
      </c>
      <c r="P315" s="217">
        <f>N315/Vout</f>
        <v>22.21736282085919</v>
      </c>
      <c r="Q315" s="217">
        <f t="shared" si="771"/>
        <v>15</v>
      </c>
      <c r="R315" s="217"/>
      <c r="S315" s="172">
        <f t="shared" si="772"/>
        <v>129.01306964599195</v>
      </c>
      <c r="T315" s="172">
        <f>MIN(Vout, S315)</f>
        <v>15</v>
      </c>
      <c r="U315" s="217">
        <f t="shared" si="774"/>
        <v>23.494496885929198</v>
      </c>
      <c r="V315" s="217">
        <f>L*U315/I315*1000000</f>
        <v>3.3399089960497066</v>
      </c>
      <c r="W315" s="217">
        <f t="shared" si="776"/>
        <v>17.898523090225797</v>
      </c>
      <c r="X315" s="197">
        <f t="shared" si="777"/>
        <v>110.62255815537149</v>
      </c>
      <c r="Y315" s="443">
        <f t="shared" si="840"/>
        <v>46.645202222609456</v>
      </c>
      <c r="AA315" s="217">
        <f t="shared" si="778"/>
        <v>10</v>
      </c>
      <c r="AB315" s="173">
        <f>L*AA315/J315*1000000</f>
        <v>7.6181767914107512</v>
      </c>
      <c r="AC315" s="173">
        <f>0.5*AB315*AA315*Nps*X315/1000</f>
        <v>4.2137110257286858</v>
      </c>
      <c r="AD315" s="173"/>
      <c r="AE315" s="173">
        <f t="shared" si="781"/>
        <v>7.6181767914107512</v>
      </c>
      <c r="AF315" s="545">
        <f>MAX(12000,F315/(0.5*AE315/1000000*Isw_min*Nps))/1000</f>
        <v>259.90470610138453</v>
      </c>
      <c r="AG315" s="528">
        <f t="shared" si="783"/>
        <v>4.2137110257286858</v>
      </c>
      <c r="AI315" s="173">
        <f t="shared" si="784"/>
        <v>8.6173364479715229</v>
      </c>
      <c r="AJ315" s="173">
        <f>MAX(IF(F315&gt;AC315,U315,AI315),Isw_min)</f>
        <v>23.494496885929198</v>
      </c>
      <c r="AK315" s="173">
        <f>IF(F315&gt;AG315, (AJ315-Isw_min)/1.08*0.8+1.2, AF315*0.2/350+1)</f>
        <v>11.195923619206813</v>
      </c>
      <c r="AM315" s="545">
        <f t="shared" si="787"/>
        <v>9900</v>
      </c>
      <c r="AN315" s="460">
        <f t="shared" si="788"/>
        <v>46.645202222609456</v>
      </c>
      <c r="AP315">
        <f t="shared" si="789"/>
        <v>9900</v>
      </c>
      <c r="AQ315">
        <f t="shared" si="790"/>
        <v>46.645202222609456</v>
      </c>
      <c r="AS315" s="5">
        <f t="shared" si="763"/>
        <v>21.438432086275505</v>
      </c>
      <c r="AT315" s="5">
        <f t="shared" si="791"/>
        <v>3.3399089960497066</v>
      </c>
      <c r="AU315" s="5">
        <f t="shared" si="883"/>
        <v>18.098523090225797</v>
      </c>
      <c r="AV315" s="5"/>
      <c r="AW315" s="173">
        <f t="shared" si="884"/>
        <v>0.15579073052585107</v>
      </c>
      <c r="AX315" s="173">
        <f t="shared" si="792"/>
        <v>154.48649836934067</v>
      </c>
      <c r="AY315" s="173">
        <f t="shared" si="793"/>
        <v>9.9171360263664781</v>
      </c>
      <c r="AZ315" s="173">
        <f t="shared" si="794"/>
        <v>15.577733123616607</v>
      </c>
      <c r="BA315" s="460">
        <f t="shared" si="885"/>
        <v>220.43399373928062</v>
      </c>
      <c r="BB315" s="5">
        <f t="shared" si="886"/>
        <v>10.978900016819889</v>
      </c>
      <c r="BD315" s="173">
        <f t="shared" si="841"/>
        <v>5.3539748768346511</v>
      </c>
      <c r="BE315" s="173">
        <f t="shared" si="842"/>
        <v>12.463229155902402</v>
      </c>
      <c r="BG315" s="528">
        <f t="shared" si="843"/>
        <v>0.57330093963553241</v>
      </c>
      <c r="BH315" s="528">
        <f t="shared" si="795"/>
        <v>2.0582229638592002</v>
      </c>
      <c r="BI315" s="528">
        <f t="shared" si="796"/>
        <v>9.8437313081777666E-2</v>
      </c>
      <c r="BJ315" s="528">
        <f t="shared" si="844"/>
        <v>4.679969422571921E-2</v>
      </c>
      <c r="BK315">
        <f t="shared" si="845"/>
        <v>3.7986149722664335E-2</v>
      </c>
      <c r="BL315" s="460">
        <f t="shared" si="846"/>
        <v>136.42346280444201</v>
      </c>
      <c r="BM315" s="528">
        <f t="shared" si="797"/>
        <v>3.2798892385975384</v>
      </c>
      <c r="BN315" s="460">
        <f t="shared" si="847"/>
        <v>3279.8892385975382</v>
      </c>
      <c r="BO315" s="528">
        <f t="shared" si="798"/>
        <v>6.93</v>
      </c>
      <c r="BR315" s="460">
        <f t="shared" si="848"/>
        <v>6930</v>
      </c>
      <c r="BS315" s="528">
        <f t="shared" si="849"/>
        <v>0.85995140945329851</v>
      </c>
      <c r="BT315" s="528">
        <f t="shared" si="850"/>
        <v>4.6599624297760709</v>
      </c>
      <c r="BU315" s="528">
        <f t="shared" si="851"/>
        <v>1.9879379679970637</v>
      </c>
      <c r="BV315" s="528"/>
      <c r="BW315" s="528">
        <f t="shared" si="852"/>
        <v>2.5747749728223447E-2</v>
      </c>
      <c r="BX315" s="460">
        <f t="shared" si="853"/>
        <v>7533.5995569546567</v>
      </c>
      <c r="BY315" s="173">
        <f t="shared" si="854"/>
        <v>17.278346617479549</v>
      </c>
      <c r="BZ315" s="5">
        <f t="shared" si="855"/>
        <v>148.5</v>
      </c>
      <c r="CA315" s="173">
        <f t="shared" si="856"/>
        <v>0.89577440618738968</v>
      </c>
      <c r="CB315" s="5">
        <f t="shared" si="857"/>
        <v>89.577440618738962</v>
      </c>
      <c r="CE315" s="562">
        <f t="shared" si="799"/>
        <v>-50</v>
      </c>
      <c r="CF315">
        <f t="shared" si="800"/>
        <v>-50</v>
      </c>
      <c r="CG315" s="173">
        <f t="shared" si="801"/>
        <v>0.84422878857400063</v>
      </c>
      <c r="CI315" s="170">
        <v>99</v>
      </c>
      <c r="CJ315" s="217">
        <f t="shared" si="858"/>
        <v>9.9</v>
      </c>
      <c r="CK315" s="217"/>
      <c r="CL315" s="217">
        <f t="shared" si="802"/>
        <v>148.5</v>
      </c>
      <c r="CM315" s="541">
        <f t="shared" si="803"/>
        <v>85</v>
      </c>
      <c r="CN315" s="443">
        <f t="shared" si="804"/>
        <v>15.4</v>
      </c>
      <c r="CO315" s="443">
        <f t="shared" si="805"/>
        <v>100.4</v>
      </c>
      <c r="CP315" s="443"/>
      <c r="CQ315" s="217">
        <f t="shared" si="806"/>
        <v>0.15338645418326693</v>
      </c>
      <c r="CR315" s="172">
        <f t="shared" si="807"/>
        <v>327.33148655378488</v>
      </c>
      <c r="CS315" s="172">
        <f t="shared" si="808"/>
        <v>148.5</v>
      </c>
      <c r="CT315" s="217">
        <f t="shared" si="809"/>
        <v>21.822099103585661</v>
      </c>
      <c r="CU315" s="217">
        <f t="shared" si="810"/>
        <v>15</v>
      </c>
      <c r="CV315" s="217"/>
      <c r="CW315" s="172">
        <f t="shared" si="811"/>
        <v>129.90738615677023</v>
      </c>
      <c r="CX315" s="172">
        <f t="shared" si="812"/>
        <v>15</v>
      </c>
      <c r="CY315" s="217">
        <f t="shared" si="813"/>
        <v>22.77983193277311</v>
      </c>
      <c r="CZ315" s="217">
        <f t="shared" si="814"/>
        <v>3.2159762728620866</v>
      </c>
      <c r="DA315" s="217">
        <f t="shared" si="815"/>
        <v>17.750518389173852</v>
      </c>
      <c r="DB315" s="197">
        <f t="shared" si="816"/>
        <v>108.64873837981409</v>
      </c>
      <c r="DC315" s="443">
        <f t="shared" si="817"/>
        <v>47.695144854647609</v>
      </c>
      <c r="DE315" s="217">
        <f t="shared" si="818"/>
        <v>10</v>
      </c>
      <c r="DF315" s="173">
        <f t="shared" si="819"/>
        <v>7.7922077922077913</v>
      </c>
      <c r="DG315" s="173">
        <f t="shared" si="820"/>
        <v>4.2330677290836656</v>
      </c>
      <c r="DH315" s="173"/>
      <c r="DI315" s="173">
        <f t="shared" si="821"/>
        <v>7.7922077922077913</v>
      </c>
      <c r="DJ315" s="545">
        <f t="shared" si="822"/>
        <v>254.10000000000002</v>
      </c>
      <c r="DK315" s="528">
        <f t="shared" si="823"/>
        <v>4.2330677290836656</v>
      </c>
      <c r="DM315" s="173">
        <f t="shared" si="824"/>
        <v>8.5205633616563183</v>
      </c>
      <c r="DN315" s="173">
        <f t="shared" si="825"/>
        <v>22.77983193277311</v>
      </c>
      <c r="DO315" s="173">
        <f t="shared" si="826"/>
        <v>10.666542172424524</v>
      </c>
      <c r="DQ315" s="545">
        <f t="shared" si="827"/>
        <v>9900</v>
      </c>
      <c r="DR315" s="460">
        <f t="shared" si="828"/>
        <v>47.695144854647609</v>
      </c>
      <c r="DT315">
        <f t="shared" si="829"/>
        <v>9900</v>
      </c>
      <c r="DU315">
        <f t="shared" si="830"/>
        <v>47.695144854647609</v>
      </c>
      <c r="DW315" s="5">
        <f t="shared" si="859"/>
        <v>20.966494662035938</v>
      </c>
      <c r="DX315" s="5">
        <f t="shared" si="831"/>
        <v>3.2159762728620866</v>
      </c>
      <c r="DY315" s="5">
        <f t="shared" si="832"/>
        <v>17.750518389173852</v>
      </c>
      <c r="DZ315" s="5"/>
      <c r="EA315" s="173">
        <f t="shared" si="833"/>
        <v>0.15338645418326696</v>
      </c>
      <c r="EB315" s="173">
        <f t="shared" si="860"/>
        <v>148.5</v>
      </c>
      <c r="EC315" s="173">
        <f t="shared" si="861"/>
        <v>9.6428571428571423</v>
      </c>
      <c r="ED315" s="173">
        <f t="shared" si="862"/>
        <v>15.4</v>
      </c>
      <c r="EE315" s="460">
        <f t="shared" si="834"/>
        <v>212.25443400889773</v>
      </c>
      <c r="EF315" s="5">
        <f t="shared" si="835"/>
        <v>10.693517163457674</v>
      </c>
      <c r="EH315" s="173">
        <f t="shared" si="863"/>
        <v>5.1509032461416142</v>
      </c>
      <c r="EI315" s="173">
        <f t="shared" si="864"/>
        <v>12.101313015978235</v>
      </c>
      <c r="EK315" s="528">
        <f t="shared" si="865"/>
        <v>0.53063608502224446</v>
      </c>
      <c r="EL315" s="528">
        <f t="shared" si="866"/>
        <v>2.1816666666666666</v>
      </c>
      <c r="EM315" s="528">
        <f t="shared" si="867"/>
        <v>5.9618931068309506E-3</v>
      </c>
      <c r="EN315" s="528">
        <f t="shared" si="868"/>
        <v>4.8077469135802471E-2</v>
      </c>
      <c r="EO315">
        <f t="shared" si="869"/>
        <v>3.8249999999999999E-2</v>
      </c>
      <c r="EP315" s="460">
        <f t="shared" si="870"/>
        <v>44.211893106830949</v>
      </c>
      <c r="EQ315" s="460"/>
      <c r="ER315" s="460">
        <f t="shared" si="871"/>
        <v>2804.5921139315446</v>
      </c>
      <c r="ES315" s="528">
        <f t="shared" si="872"/>
        <v>6.93</v>
      </c>
      <c r="EV315" s="460">
        <f t="shared" si="873"/>
        <v>6930</v>
      </c>
      <c r="EW315" s="528">
        <f t="shared" si="874"/>
        <v>0.79595412753336658</v>
      </c>
      <c r="EX315" s="528">
        <f t="shared" si="875"/>
        <v>4.3932533013205273</v>
      </c>
      <c r="EY315" s="528">
        <f t="shared" si="876"/>
        <v>1.9455021880180834</v>
      </c>
      <c r="EZ315" s="528"/>
      <c r="FA315" s="528">
        <f t="shared" si="877"/>
        <v>2.4750000000000001E-2</v>
      </c>
      <c r="FB315" s="460">
        <f t="shared" si="878"/>
        <v>7159.4596168719772</v>
      </c>
      <c r="FC315" s="173">
        <f t="shared" si="879"/>
        <v>16.894051730803522</v>
      </c>
      <c r="FD315" s="5">
        <f t="shared" si="880"/>
        <v>148.5</v>
      </c>
      <c r="FE315" s="173">
        <f t="shared" si="881"/>
        <v>0.89785574780947752</v>
      </c>
      <c r="FF315" s="5">
        <f t="shared" si="882"/>
        <v>89.785574780947755</v>
      </c>
      <c r="FI315" s="562">
        <f t="shared" si="836"/>
        <v>-50</v>
      </c>
      <c r="FJ315">
        <f t="shared" si="837"/>
        <v>-50</v>
      </c>
      <c r="FL315">
        <f t="shared" si="838"/>
        <v>0.84661354581673298</v>
      </c>
    </row>
    <row r="316" spans="5:168">
      <c r="E316" s="170">
        <v>100</v>
      </c>
      <c r="F316" s="217">
        <f>IF(PLOT_TYPE=1, E316/100*Iout_max, min_I*EXP(N316*rr/100))</f>
        <v>10</v>
      </c>
      <c r="G316" s="217"/>
      <c r="H316" s="217">
        <f>F316*Vout</f>
        <v>150</v>
      </c>
      <c r="I316" s="541">
        <f t="shared" si="765"/>
        <v>84.407760214664847</v>
      </c>
      <c r="J316" s="172">
        <f t="shared" si="766"/>
        <v>15.755343871201093</v>
      </c>
      <c r="K316" s="172">
        <f t="shared" si="767"/>
        <v>100.16310408586594</v>
      </c>
      <c r="L316" s="443"/>
      <c r="M316" s="217">
        <f t="shared" si="768"/>
        <v>0.15728854398932673</v>
      </c>
      <c r="N316" s="172">
        <f>M316*I316*(Isw_max+VIN_max/Lmag*ILIM_delay)*0.5*Efficiency</f>
        <v>333.31995734533763</v>
      </c>
      <c r="O316" s="172">
        <f t="shared" si="762"/>
        <v>150</v>
      </c>
      <c r="P316" s="217">
        <f>N316/Vout</f>
        <v>22.221330489689176</v>
      </c>
      <c r="Q316" s="217">
        <f t="shared" si="771"/>
        <v>15</v>
      </c>
      <c r="R316" s="217"/>
      <c r="S316" s="172">
        <f t="shared" si="772"/>
        <v>126.87691312957625</v>
      </c>
      <c r="T316" s="172">
        <f>MIN(Vout, S316)</f>
        <v>15</v>
      </c>
      <c r="U316" s="217">
        <f t="shared" si="774"/>
        <v>23.732915765353852</v>
      </c>
      <c r="V316" s="217">
        <f>L*U316/I316*1000000</f>
        <v>3.3740379848956881</v>
      </c>
      <c r="W316" s="217">
        <f t="shared" si="776"/>
        <v>18.076088437829515</v>
      </c>
      <c r="X316" s="197">
        <f t="shared" si="777"/>
        <v>110.64231183369697</v>
      </c>
      <c r="Y316" s="443">
        <f t="shared" si="840"/>
        <v>46.189106727355785</v>
      </c>
      <c r="AA316" s="217">
        <f t="shared" si="778"/>
        <v>10</v>
      </c>
      <c r="AB316" s="173">
        <f>L*AA316/J316*1000000</f>
        <v>7.6164634032105019</v>
      </c>
      <c r="AC316" s="173">
        <f>0.5*AB316*AA316*Nps*X316/1000</f>
        <v>4.2135155946397855</v>
      </c>
      <c r="AD316" s="173"/>
      <c r="AE316" s="173">
        <f t="shared" si="781"/>
        <v>7.6164634032105019</v>
      </c>
      <c r="AF316" s="545">
        <f>MAX(12000,F316/(0.5*AE316/1000000*Isw_min*Nps))/1000</f>
        <v>262.58906452001816</v>
      </c>
      <c r="AG316" s="528">
        <f t="shared" si="783"/>
        <v>4.2135155946397864</v>
      </c>
      <c r="AI316" s="173">
        <f t="shared" si="784"/>
        <v>8.6617230968046695</v>
      </c>
      <c r="AJ316" s="173">
        <f>MAX(IF(F316&gt;AC316,U316,AI316),Isw_min)</f>
        <v>23.732915765353852</v>
      </c>
      <c r="AK316" s="173">
        <f>IF(F316&gt;AG316, (AJ316-Isw_min)/1.08*0.8+1.2, AF316*0.2/350+1)</f>
        <v>11.372530196558408</v>
      </c>
      <c r="AM316" s="545">
        <f t="shared" si="787"/>
        <v>10000</v>
      </c>
      <c r="AN316" s="460">
        <f t="shared" si="788"/>
        <v>46.189106727355785</v>
      </c>
      <c r="AP316">
        <f t="shared" si="789"/>
        <v>10000</v>
      </c>
      <c r="AQ316">
        <f t="shared" si="790"/>
        <v>46.189106727355785</v>
      </c>
      <c r="AS316" s="5">
        <f t="shared" si="763"/>
        <v>21.650126422725204</v>
      </c>
      <c r="AT316" s="5">
        <f t="shared" si="791"/>
        <v>3.3740379848956881</v>
      </c>
      <c r="AU316" s="5">
        <f t="shared" si="883"/>
        <v>18.276088437829515</v>
      </c>
      <c r="AV316" s="5"/>
      <c r="AW316" s="173">
        <f>AT316/AS316</f>
        <v>0.15584380058649938</v>
      </c>
      <c r="AX316" s="173">
        <f t="shared" si="792"/>
        <v>156.09644388981326</v>
      </c>
      <c r="AY316" s="173">
        <f t="shared" si="793"/>
        <v>10.01714398674093</v>
      </c>
      <c r="AZ316" s="173">
        <f t="shared" si="794"/>
        <v>15.582929036103346</v>
      </c>
      <c r="BA316" s="460">
        <f t="shared" si="885"/>
        <v>224.93586565971253</v>
      </c>
      <c r="BB316" s="5">
        <f t="shared" si="886"/>
        <v>11.199383999693442</v>
      </c>
      <c r="BD316" s="173">
        <f t="shared" si="841"/>
        <v>5.4092273580088657</v>
      </c>
      <c r="BE316" s="173">
        <f t="shared" si="842"/>
        <v>12.589308544600941</v>
      </c>
      <c r="BG316" s="528">
        <f t="shared" si="843"/>
        <v>0.58519481221263148</v>
      </c>
      <c r="BH316" s="528">
        <f t="shared" si="795"/>
        <v>2.0587314933393022</v>
      </c>
      <c r="BI316" s="528">
        <f t="shared" si="796"/>
        <v>9.7467976129305259E-2</v>
      </c>
      <c r="BJ316" s="528">
        <f t="shared" si="844"/>
        <v>4.6339902244566925E-2</v>
      </c>
      <c r="BK316">
        <f t="shared" si="845"/>
        <v>3.7983492096599181E-2</v>
      </c>
      <c r="BL316" s="460">
        <f t="shared" si="846"/>
        <v>135.45146822590442</v>
      </c>
      <c r="BM316" s="528">
        <f t="shared" si="797"/>
        <v>3.3082563351827972</v>
      </c>
      <c r="BN316" s="460">
        <f t="shared" si="847"/>
        <v>3308.2563351827971</v>
      </c>
      <c r="BO316" s="528">
        <f t="shared" si="798"/>
        <v>7</v>
      </c>
      <c r="BR316" s="460">
        <f t="shared" si="848"/>
        <v>7000</v>
      </c>
      <c r="BS316" s="528">
        <f t="shared" si="849"/>
        <v>0.87779221831894716</v>
      </c>
      <c r="BT316" s="528">
        <f t="shared" si="850"/>
        <v>4.7547206889348681</v>
      </c>
      <c r="BU316" s="528">
        <f t="shared" si="851"/>
        <v>1.9892833932478002</v>
      </c>
      <c r="BV316" s="528"/>
      <c r="BW316" s="528">
        <f t="shared" si="852"/>
        <v>2.6016073981635544E-2</v>
      </c>
      <c r="BX316" s="460">
        <f t="shared" si="853"/>
        <v>7647.812374483251</v>
      </c>
      <c r="BY316" s="173">
        <f t="shared" si="854"/>
        <v>17.473530050505655</v>
      </c>
      <c r="BZ316" s="5">
        <f t="shared" si="855"/>
        <v>150</v>
      </c>
      <c r="CA316" s="173">
        <f t="shared" si="856"/>
        <v>0.89566392942672146</v>
      </c>
      <c r="CB316" s="5">
        <f t="shared" si="857"/>
        <v>89.566392942672152</v>
      </c>
      <c r="CE316" s="562">
        <f t="shared" si="799"/>
        <v>-50</v>
      </c>
      <c r="CF316">
        <f t="shared" si="800"/>
        <v>-50</v>
      </c>
      <c r="CG316" s="173">
        <f t="shared" si="801"/>
        <v>0.84425263614642787</v>
      </c>
      <c r="CI316" s="170">
        <v>100</v>
      </c>
      <c r="CJ316" s="217">
        <f t="shared" si="858"/>
        <v>10</v>
      </c>
      <c r="CK316" s="217"/>
      <c r="CL316" s="217">
        <f t="shared" si="802"/>
        <v>150</v>
      </c>
      <c r="CM316" s="541">
        <f t="shared" si="803"/>
        <v>85</v>
      </c>
      <c r="CN316" s="443">
        <f t="shared" si="804"/>
        <v>15.4</v>
      </c>
      <c r="CO316" s="443">
        <f t="shared" si="805"/>
        <v>100.4</v>
      </c>
      <c r="CP316" s="443"/>
      <c r="CQ316" s="217">
        <f t="shared" si="806"/>
        <v>0.15338645418326693</v>
      </c>
      <c r="CR316" s="172">
        <f t="shared" si="807"/>
        <v>327.33148655378488</v>
      </c>
      <c r="CS316" s="172">
        <f t="shared" si="808"/>
        <v>150</v>
      </c>
      <c r="CT316" s="217">
        <f t="shared" si="809"/>
        <v>21.822099103585661</v>
      </c>
      <c r="CU316" s="217">
        <f t="shared" si="810"/>
        <v>15</v>
      </c>
      <c r="CV316" s="217"/>
      <c r="CW316" s="172">
        <f t="shared" si="811"/>
        <v>127.76528244896227</v>
      </c>
      <c r="CX316" s="172">
        <f t="shared" si="812"/>
        <v>15</v>
      </c>
      <c r="CY316" s="217">
        <f t="shared" si="813"/>
        <v>23.009931245225363</v>
      </c>
      <c r="CZ316" s="217">
        <f t="shared" si="814"/>
        <v>3.2484608816788749</v>
      </c>
      <c r="DA316" s="217">
        <f t="shared" si="815"/>
        <v>17.929816554721064</v>
      </c>
      <c r="DB316" s="197">
        <f t="shared" si="816"/>
        <v>108.64873837981409</v>
      </c>
      <c r="DC316" s="443">
        <f t="shared" si="817"/>
        <v>47.218193406101136</v>
      </c>
      <c r="DE316" s="217">
        <f t="shared" si="818"/>
        <v>10</v>
      </c>
      <c r="DF316" s="173">
        <f t="shared" si="819"/>
        <v>7.7922077922077913</v>
      </c>
      <c r="DG316" s="173">
        <f t="shared" si="820"/>
        <v>4.2330677290836656</v>
      </c>
      <c r="DH316" s="173"/>
      <c r="DI316" s="173">
        <f t="shared" si="821"/>
        <v>7.7922077922077913</v>
      </c>
      <c r="DJ316" s="545">
        <f t="shared" si="822"/>
        <v>256.66666666666669</v>
      </c>
      <c r="DK316" s="528">
        <f t="shared" si="823"/>
        <v>4.2330677290836656</v>
      </c>
      <c r="DM316" s="173">
        <f t="shared" si="824"/>
        <v>8.5634883857767541</v>
      </c>
      <c r="DN316" s="173">
        <f t="shared" si="825"/>
        <v>23.009931245225363</v>
      </c>
      <c r="DO316" s="173">
        <f t="shared" si="826"/>
        <v>10.836986107574344</v>
      </c>
      <c r="DQ316" s="545">
        <f t="shared" si="827"/>
        <v>10000</v>
      </c>
      <c r="DR316" s="460">
        <f t="shared" si="828"/>
        <v>47.218193406101136</v>
      </c>
      <c r="DT316">
        <f t="shared" si="829"/>
        <v>10000</v>
      </c>
      <c r="DU316">
        <f t="shared" si="830"/>
        <v>47.218193406101136</v>
      </c>
      <c r="DW316" s="5">
        <f t="shared" si="859"/>
        <v>21.178277436399934</v>
      </c>
      <c r="DX316" s="5">
        <f t="shared" si="831"/>
        <v>3.2484608816788749</v>
      </c>
      <c r="DY316" s="5">
        <f t="shared" si="832"/>
        <v>17.929816554721061</v>
      </c>
      <c r="DZ316" s="5"/>
      <c r="EA316" s="173">
        <f t="shared" si="833"/>
        <v>0.15338645418326696</v>
      </c>
      <c r="EB316" s="173">
        <f t="shared" si="860"/>
        <v>150.00000000000003</v>
      </c>
      <c r="EC316" s="173">
        <f t="shared" si="861"/>
        <v>9.7402597402597397</v>
      </c>
      <c r="ED316" s="173">
        <f t="shared" si="862"/>
        <v>15.400000000000004</v>
      </c>
      <c r="EE316" s="460">
        <f t="shared" si="834"/>
        <v>216.56405877859166</v>
      </c>
      <c r="EF316" s="5">
        <f t="shared" si="835"/>
        <v>10.910638877112206</v>
      </c>
      <c r="EH316" s="173">
        <f t="shared" si="863"/>
        <v>5.2029325718602166</v>
      </c>
      <c r="EI316" s="173">
        <f t="shared" si="864"/>
        <v>12.223548500988116</v>
      </c>
      <c r="EK316" s="528">
        <f t="shared" si="865"/>
        <v>0.54141014694647938</v>
      </c>
      <c r="EL316" s="528">
        <f t="shared" si="866"/>
        <v>2.1816666666666671</v>
      </c>
      <c r="EM316" s="528">
        <f t="shared" si="867"/>
        <v>5.9022741757626413E-3</v>
      </c>
      <c r="EN316" s="528">
        <f t="shared" si="868"/>
        <v>4.7596694444444448E-2</v>
      </c>
      <c r="EO316">
        <f t="shared" si="869"/>
        <v>3.8249999999999999E-2</v>
      </c>
      <c r="EP316" s="460">
        <f t="shared" si="870"/>
        <v>44.152274175762642</v>
      </c>
      <c r="EQ316" s="460"/>
      <c r="ER316" s="460">
        <f t="shared" si="871"/>
        <v>2814.8257822333539</v>
      </c>
      <c r="ES316" s="528">
        <f t="shared" si="872"/>
        <v>7</v>
      </c>
      <c r="EV316" s="460">
        <f t="shared" si="873"/>
        <v>7000</v>
      </c>
      <c r="EW316" s="528">
        <f t="shared" si="874"/>
        <v>0.81211522041971895</v>
      </c>
      <c r="EX316" s="528">
        <f t="shared" si="875"/>
        <v>4.4824541386802643</v>
      </c>
      <c r="EY316" s="528">
        <f t="shared" si="876"/>
        <v>1.9455021880180849</v>
      </c>
      <c r="EZ316" s="528"/>
      <c r="FA316" s="528">
        <f t="shared" si="877"/>
        <v>2.5000000000000005E-2</v>
      </c>
      <c r="FB316" s="460">
        <f t="shared" si="878"/>
        <v>7265.0715471180692</v>
      </c>
      <c r="FC316" s="173">
        <f t="shared" si="879"/>
        <v>17.079897329351422</v>
      </c>
      <c r="FD316" s="5">
        <f t="shared" si="880"/>
        <v>150</v>
      </c>
      <c r="FE316" s="173">
        <f t="shared" si="881"/>
        <v>0.89777407334837445</v>
      </c>
      <c r="FF316" s="5">
        <f t="shared" si="882"/>
        <v>89.777407334837449</v>
      </c>
      <c r="FI316" s="562">
        <f t="shared" si="836"/>
        <v>-50</v>
      </c>
      <c r="FJ316">
        <f t="shared" si="837"/>
        <v>-50</v>
      </c>
      <c r="FL316">
        <f t="shared" si="838"/>
        <v>0.84661354581673298</v>
      </c>
    </row>
    <row r="317" spans="5:168">
      <c r="E317" s="170"/>
      <c r="F317" s="217"/>
      <c r="G317" s="217"/>
      <c r="CE317" s="562"/>
      <c r="CI317" s="170"/>
      <c r="CJ317" s="217"/>
      <c r="CK317" s="217"/>
      <c r="FI317" s="562"/>
    </row>
    <row r="318" spans="5:168" ht="45" customHeight="1" thickBot="1">
      <c r="E318" s="241" t="s">
        <v>25</v>
      </c>
      <c r="F318" s="444" t="s">
        <v>194</v>
      </c>
      <c r="G318" s="260"/>
      <c r="H318" s="527" t="s">
        <v>223</v>
      </c>
      <c r="I318" s="242" t="s">
        <v>412</v>
      </c>
      <c r="J318" s="243" t="s">
        <v>418</v>
      </c>
      <c r="K318" s="527" t="s">
        <v>413</v>
      </c>
      <c r="L318" s="527"/>
      <c r="M318" s="244" t="s">
        <v>48</v>
      </c>
      <c r="N318" s="527" t="s">
        <v>402</v>
      </c>
      <c r="O318" s="527" t="s">
        <v>656</v>
      </c>
      <c r="P318" s="527" t="s">
        <v>403</v>
      </c>
      <c r="Q318" s="527" t="s">
        <v>433</v>
      </c>
      <c r="R318" s="527" t="s">
        <v>654</v>
      </c>
      <c r="S318" s="527" t="s">
        <v>657</v>
      </c>
      <c r="T318" s="527" t="s">
        <v>655</v>
      </c>
      <c r="U318" s="527" t="s">
        <v>414</v>
      </c>
      <c r="V318" s="527" t="s">
        <v>466</v>
      </c>
      <c r="W318" s="527" t="s">
        <v>465</v>
      </c>
      <c r="X318" s="546" t="s">
        <v>420</v>
      </c>
      <c r="Y318" s="542" t="s">
        <v>425</v>
      </c>
      <c r="AA318" s="245" t="s">
        <v>417</v>
      </c>
      <c r="AB318" s="245" t="s">
        <v>464</v>
      </c>
      <c r="AC318" s="245" t="s">
        <v>423</v>
      </c>
      <c r="AD318" s="544"/>
      <c r="AE318" s="245" t="s">
        <v>463</v>
      </c>
      <c r="AF318" s="245" t="s">
        <v>681</v>
      </c>
      <c r="AG318" s="245" t="s">
        <v>427</v>
      </c>
      <c r="AH318" s="544"/>
      <c r="AI318" s="245" t="s">
        <v>429</v>
      </c>
      <c r="AJ318" s="547" t="s">
        <v>430</v>
      </c>
      <c r="AK318" s="547" t="s">
        <v>431</v>
      </c>
      <c r="AM318" s="543" t="s">
        <v>275</v>
      </c>
      <c r="AN318" s="543" t="s">
        <v>432</v>
      </c>
      <c r="AP318" s="245" t="s">
        <v>275</v>
      </c>
      <c r="AQ318" s="245" t="s">
        <v>432</v>
      </c>
      <c r="AR318" s="548"/>
      <c r="AS318" s="245" t="s">
        <v>467</v>
      </c>
      <c r="AT318" s="245" t="s">
        <v>461</v>
      </c>
      <c r="AU318" s="245" t="s">
        <v>462</v>
      </c>
      <c r="AV318" s="245" t="s">
        <v>653</v>
      </c>
      <c r="AW318" s="245" t="s">
        <v>48</v>
      </c>
      <c r="AX318" s="548" t="s">
        <v>651</v>
      </c>
      <c r="AY318" s="544" t="s">
        <v>650</v>
      </c>
      <c r="AZ318" s="544" t="s">
        <v>652</v>
      </c>
      <c r="BA318" s="245" t="s">
        <v>481</v>
      </c>
      <c r="BB318" s="245" t="s">
        <v>514</v>
      </c>
      <c r="BC318" s="544"/>
      <c r="BD318" s="557" t="s">
        <v>456</v>
      </c>
      <c r="BE318" s="245" t="s">
        <v>457</v>
      </c>
      <c r="BF318" s="544"/>
      <c r="BG318" s="557" t="s">
        <v>474</v>
      </c>
      <c r="BH318" s="245" t="s">
        <v>475</v>
      </c>
      <c r="BI318" s="245" t="s">
        <v>473</v>
      </c>
      <c r="BJ318" s="245" t="s">
        <v>469</v>
      </c>
      <c r="BK318" s="245" t="s">
        <v>478</v>
      </c>
      <c r="BL318" s="245" t="s">
        <v>777</v>
      </c>
      <c r="BM318" s="245" t="s">
        <v>776</v>
      </c>
      <c r="BN318" s="245" t="s">
        <v>491</v>
      </c>
      <c r="BO318" s="557" t="s">
        <v>476</v>
      </c>
      <c r="BP318" s="245" t="s">
        <v>477</v>
      </c>
      <c r="BQ318" s="245" t="s">
        <v>483</v>
      </c>
      <c r="BR318" s="245" t="s">
        <v>487</v>
      </c>
      <c r="BS318" s="557" t="s">
        <v>458</v>
      </c>
      <c r="BT318" s="245" t="s">
        <v>459</v>
      </c>
      <c r="BU318" s="245" t="s">
        <v>468</v>
      </c>
      <c r="BV318" s="245" t="s">
        <v>666</v>
      </c>
      <c r="BW318" s="245" t="s">
        <v>484</v>
      </c>
      <c r="BX318" s="245" t="s">
        <v>667</v>
      </c>
      <c r="BY318" s="557" t="s">
        <v>482</v>
      </c>
      <c r="BZ318" s="245" t="s">
        <v>223</v>
      </c>
      <c r="CA318" s="245" t="s">
        <v>47</v>
      </c>
      <c r="CB318" s="245" t="s">
        <v>485</v>
      </c>
      <c r="CC318" s="245"/>
      <c r="CE318" s="569" t="s">
        <v>664</v>
      </c>
      <c r="CF318" s="569" t="s">
        <v>665</v>
      </c>
      <c r="CG318" s="781" t="s">
        <v>828</v>
      </c>
      <c r="CI318" s="241" t="s">
        <v>25</v>
      </c>
      <c r="CJ318" s="444" t="s">
        <v>194</v>
      </c>
      <c r="CK318" s="260"/>
      <c r="CL318" s="527" t="s">
        <v>223</v>
      </c>
      <c r="CM318" s="242" t="s">
        <v>412</v>
      </c>
      <c r="CN318" s="243" t="s">
        <v>418</v>
      </c>
      <c r="CO318" s="527" t="s">
        <v>413</v>
      </c>
      <c r="CP318" s="527"/>
      <c r="CQ318" s="244" t="s">
        <v>48</v>
      </c>
      <c r="CR318" s="527" t="s">
        <v>402</v>
      </c>
      <c r="CS318" s="527" t="s">
        <v>656</v>
      </c>
      <c r="CT318" s="527" t="s">
        <v>403</v>
      </c>
      <c r="CU318" s="527" t="s">
        <v>433</v>
      </c>
      <c r="CV318" s="527" t="s">
        <v>654</v>
      </c>
      <c r="CW318" s="527" t="s">
        <v>657</v>
      </c>
      <c r="CX318" s="527" t="s">
        <v>655</v>
      </c>
      <c r="CY318" s="527" t="s">
        <v>414</v>
      </c>
      <c r="CZ318" s="527" t="s">
        <v>466</v>
      </c>
      <c r="DA318" s="527" t="s">
        <v>465</v>
      </c>
      <c r="DB318" s="546" t="s">
        <v>420</v>
      </c>
      <c r="DC318" s="542" t="s">
        <v>425</v>
      </c>
      <c r="DE318" s="245" t="s">
        <v>417</v>
      </c>
      <c r="DF318" s="245" t="s">
        <v>464</v>
      </c>
      <c r="DG318" s="245" t="s">
        <v>423</v>
      </c>
      <c r="DH318" s="544"/>
      <c r="DI318" s="245" t="s">
        <v>463</v>
      </c>
      <c r="DJ318" s="245" t="s">
        <v>681</v>
      </c>
      <c r="DK318" s="245" t="s">
        <v>427</v>
      </c>
      <c r="DL318" s="544"/>
      <c r="DM318" s="245" t="s">
        <v>429</v>
      </c>
      <c r="DN318" s="547" t="s">
        <v>430</v>
      </c>
      <c r="DO318" s="547" t="s">
        <v>431</v>
      </c>
      <c r="DQ318" s="543" t="s">
        <v>275</v>
      </c>
      <c r="DR318" s="543" t="s">
        <v>432</v>
      </c>
      <c r="DT318" s="245" t="s">
        <v>275</v>
      </c>
      <c r="DU318" s="245" t="s">
        <v>432</v>
      </c>
      <c r="DV318" s="548"/>
      <c r="DW318" s="245" t="s">
        <v>467</v>
      </c>
      <c r="DX318" s="245" t="s">
        <v>461</v>
      </c>
      <c r="DY318" s="245" t="s">
        <v>462</v>
      </c>
      <c r="DZ318" s="245" t="s">
        <v>653</v>
      </c>
      <c r="EA318" s="245" t="s">
        <v>48</v>
      </c>
      <c r="EB318" s="548" t="s">
        <v>651</v>
      </c>
      <c r="EC318" s="544" t="s">
        <v>650</v>
      </c>
      <c r="ED318" s="544" t="s">
        <v>652</v>
      </c>
      <c r="EE318" s="245" t="s">
        <v>481</v>
      </c>
      <c r="EF318" s="245" t="s">
        <v>514</v>
      </c>
      <c r="EG318" s="544"/>
      <c r="EH318" s="557" t="s">
        <v>456</v>
      </c>
      <c r="EI318" s="245" t="s">
        <v>457</v>
      </c>
      <c r="EJ318" s="544"/>
      <c r="EK318" s="557" t="s">
        <v>474</v>
      </c>
      <c r="EL318" s="245" t="s">
        <v>475</v>
      </c>
      <c r="EM318" s="245" t="s">
        <v>473</v>
      </c>
      <c r="EN318" s="245" t="s">
        <v>469</v>
      </c>
      <c r="EO318" s="245" t="s">
        <v>478</v>
      </c>
      <c r="EP318" s="245" t="s">
        <v>777</v>
      </c>
      <c r="EQ318" s="245" t="s">
        <v>776</v>
      </c>
      <c r="ER318" s="245" t="s">
        <v>491</v>
      </c>
      <c r="ES318" s="557" t="s">
        <v>476</v>
      </c>
      <c r="ET318" s="245" t="s">
        <v>477</v>
      </c>
      <c r="EU318" s="245" t="s">
        <v>483</v>
      </c>
      <c r="EV318" s="245" t="s">
        <v>487</v>
      </c>
      <c r="EW318" s="557" t="s">
        <v>458</v>
      </c>
      <c r="EX318" s="245" t="s">
        <v>459</v>
      </c>
      <c r="EY318" s="245" t="s">
        <v>468</v>
      </c>
      <c r="EZ318" s="245" t="s">
        <v>666</v>
      </c>
      <c r="FA318" s="245" t="s">
        <v>484</v>
      </c>
      <c r="FB318" s="245" t="s">
        <v>667</v>
      </c>
      <c r="FC318" s="557" t="s">
        <v>482</v>
      </c>
      <c r="FD318" s="245" t="s">
        <v>223</v>
      </c>
      <c r="FE318" s="245" t="s">
        <v>47</v>
      </c>
      <c r="FF318" s="245" t="s">
        <v>485</v>
      </c>
      <c r="FG318" s="245"/>
      <c r="FI318" s="569" t="s">
        <v>664</v>
      </c>
      <c r="FJ318" s="569" t="s">
        <v>665</v>
      </c>
      <c r="FL318" t="s">
        <v>825</v>
      </c>
    </row>
    <row r="319" spans="5:168">
      <c r="CE319" s="562"/>
      <c r="FI319" s="562"/>
    </row>
    <row r="320" spans="5:168">
      <c r="E320" s="76" t="s">
        <v>904</v>
      </c>
      <c r="CE320" s="562"/>
      <c r="FI320" s="562"/>
    </row>
    <row r="321" spans="5:165">
      <c r="F321" s="76" t="s">
        <v>905</v>
      </c>
      <c r="G321" s="76" t="s">
        <v>906</v>
      </c>
      <c r="N321">
        <f>Efficiency</f>
        <v>1</v>
      </c>
      <c r="CE321" s="562"/>
      <c r="FI321" s="562"/>
    </row>
    <row r="322" spans="5:165">
      <c r="F322">
        <f>'Design Converter'!E73</f>
        <v>5.0000000000000001E-4</v>
      </c>
      <c r="G322" s="884">
        <f>F322*Vout</f>
        <v>7.4999999999999997E-3</v>
      </c>
    </row>
    <row r="323" spans="5:165">
      <c r="E323" t="s">
        <v>907</v>
      </c>
    </row>
    <row r="324" spans="5:165">
      <c r="F324" t="s">
        <v>908</v>
      </c>
      <c r="G324" t="s">
        <v>909</v>
      </c>
      <c r="H324" t="s">
        <v>910</v>
      </c>
      <c r="I324" s="76" t="s">
        <v>660</v>
      </c>
    </row>
    <row r="325" spans="5:165">
      <c r="F325" s="885">
        <v>1.9999999999999999E-7</v>
      </c>
      <c r="G325">
        <f>VIN_max</f>
        <v>85</v>
      </c>
      <c r="H325">
        <f>15000</f>
        <v>15000</v>
      </c>
      <c r="I325">
        <f>L*0.9</f>
        <v>1.08E-5</v>
      </c>
    </row>
    <row r="326" spans="5:165">
      <c r="G326" s="76" t="s">
        <v>911</v>
      </c>
    </row>
    <row r="327" spans="5:165">
      <c r="G327" s="884">
        <f>0.5*(G325/I325*F325)^2*H325*I325</f>
        <v>0.2006944444444444</v>
      </c>
    </row>
    <row r="328" spans="5:165">
      <c r="E328" s="76" t="s">
        <v>912</v>
      </c>
    </row>
    <row r="329" spans="5:165">
      <c r="G329" t="str">
        <f>IF(G327&gt;G322, "Yes", "No")</f>
        <v>Yes</v>
      </c>
      <c r="H329">
        <f>(Vout*1.05)^2/(G327-G322)</f>
        <v>1284.0043134435662</v>
      </c>
    </row>
  </sheetData>
  <sheetProtection algorithmName="SHA-512" hashValue="VK9QLheCludiINuQfxcfr4LD7XKmIutxyBhDX9CBej4SI+A2YK/orixBMJ17m2Jn48eh8hMMGdtnWNAzP5Gq+g==" saltValue="O7wVceKtoOG+YSWrHwWkjA==" spinCount="100000" sheet="1" selectLockedCells="1" selectUnlockedCells="1"/>
  <mergeCells count="2">
    <mergeCell ref="M3:AA3"/>
    <mergeCell ref="CQ3:DE3"/>
  </mergeCells>
  <phoneticPr fontId="83"/>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7030A0"/>
  </sheetPr>
  <dimension ref="A1:FM329"/>
  <sheetViews>
    <sheetView topLeftCell="A67" zoomScale="70" zoomScaleNormal="70" workbookViewId="0">
      <selection activeCell="BG107" sqref="BG107"/>
    </sheetView>
  </sheetViews>
  <sheetFormatPr defaultRowHeight="12.5"/>
  <cols>
    <col min="1" max="1" width="2.81640625" customWidth="1"/>
    <col min="2" max="2" width="3.54296875" customWidth="1"/>
    <col min="3" max="3" width="2.81640625" customWidth="1"/>
    <col min="4" max="4" width="3.7265625" customWidth="1"/>
    <col min="5" max="5" width="6.1796875" customWidth="1"/>
    <col min="6" max="7" width="7.7265625" customWidth="1"/>
    <col min="8" max="9" width="7.81640625" customWidth="1"/>
    <col min="10" max="10" width="6.26953125" customWidth="1"/>
    <col min="11" max="11" width="9.54296875" customWidth="1"/>
    <col min="12" max="12" width="9.26953125" customWidth="1"/>
    <col min="13" max="13" width="7.81640625" customWidth="1"/>
    <col min="14" max="14" width="8.453125" customWidth="1"/>
    <col min="15" max="16" width="9.54296875" customWidth="1"/>
    <col min="17" max="18" width="8.81640625" customWidth="1"/>
    <col min="19" max="19" width="8.54296875" customWidth="1"/>
    <col min="20" max="20" width="7.54296875" customWidth="1"/>
    <col min="21" max="21" width="9" customWidth="1"/>
    <col min="22" max="22" width="8.81640625" customWidth="1"/>
    <col min="23" max="23" width="10" customWidth="1"/>
    <col min="24" max="24" width="9.54296875" customWidth="1"/>
    <col min="25" max="25" width="1.81640625" customWidth="1"/>
    <col min="26" max="26" width="9.81640625" customWidth="1"/>
    <col min="27" max="27" width="10.453125" customWidth="1"/>
    <col min="28" max="28" width="10.1796875" customWidth="1"/>
    <col min="29" max="29" width="2" customWidth="1"/>
    <col min="30" max="30" width="9.1796875" customWidth="1"/>
    <col min="31" max="31" width="9.453125" customWidth="1"/>
    <col min="32" max="32" width="10.453125" customWidth="1"/>
    <col min="33" max="33" width="2.1796875" customWidth="1"/>
    <col min="35" max="35" width="8" customWidth="1"/>
    <col min="37" max="37" width="2.26953125" customWidth="1"/>
    <col min="38" max="38" width="6.54296875" customWidth="1"/>
    <col min="39" max="39" width="7.54296875" customWidth="1"/>
    <col min="40" max="40" width="2" customWidth="1"/>
    <col min="41" max="41" width="6.453125" customWidth="1"/>
    <col min="42" max="42" width="7.54296875" customWidth="1"/>
    <col min="43" max="43" width="2.1796875" customWidth="1"/>
    <col min="44" max="46" width="7" customWidth="1"/>
    <col min="47" max="47" width="8.453125" customWidth="1"/>
    <col min="48" max="48" width="2.1796875" customWidth="1"/>
    <col min="49" max="50" width="9.453125" customWidth="1"/>
    <col min="51" max="51" width="9.81640625" customWidth="1"/>
    <col min="52" max="52" width="2" customWidth="1"/>
    <col min="56" max="56" width="2.1796875" customWidth="1"/>
    <col min="57" max="57" width="9" customWidth="1"/>
    <col min="58" max="59" width="8.1796875" customWidth="1"/>
    <col min="60" max="60" width="8.7265625" customWidth="1"/>
    <col min="61" max="64" width="7.54296875" customWidth="1"/>
    <col min="65" max="66" width="10.26953125" customWidth="1"/>
    <col min="67" max="67" width="9.453125" customWidth="1"/>
    <col min="68" max="68" width="9.54296875" customWidth="1"/>
    <col min="69" max="69" width="10" customWidth="1"/>
    <col min="70" max="70" width="8.7265625" customWidth="1"/>
    <col min="73" max="74" width="9.81640625" customWidth="1"/>
    <col min="75" max="75" width="12.1796875" customWidth="1"/>
    <col min="76" max="76" width="9.1796875" customWidth="1"/>
    <col min="78" max="78" width="7.7265625" customWidth="1"/>
    <col min="79" max="79" width="10.453125" customWidth="1"/>
    <col min="80" max="80" width="12.453125" bestFit="1" customWidth="1"/>
    <col min="81" max="81" width="6.54296875" customWidth="1"/>
    <col min="82" max="82" width="5" customWidth="1"/>
    <col min="83" max="83" width="9.54296875" customWidth="1"/>
    <col min="85" max="85" width="15" customWidth="1"/>
    <col min="86" max="86" width="16.7265625" customWidth="1"/>
    <col min="87" max="87" width="6.1796875" customWidth="1"/>
    <col min="88" max="89" width="7.7265625" customWidth="1"/>
    <col min="90" max="91" width="7.81640625" customWidth="1"/>
    <col min="92" max="92" width="6.26953125" customWidth="1"/>
    <col min="93" max="93" width="9.54296875" customWidth="1"/>
    <col min="94" max="94" width="9.26953125" customWidth="1"/>
    <col min="95" max="95" width="1.81640625" customWidth="1"/>
    <col min="96" max="96" width="8.453125" customWidth="1"/>
    <col min="97" max="98" width="9.54296875" customWidth="1"/>
    <col min="99" max="100" width="8.81640625" customWidth="1"/>
    <col min="101" max="101" width="8.54296875" customWidth="1"/>
    <col min="102" max="102" width="7.54296875" customWidth="1"/>
    <col min="103" max="103" width="9" customWidth="1"/>
    <col min="104" max="104" width="8.81640625" customWidth="1"/>
    <col min="105" max="105" width="10" customWidth="1"/>
    <col min="106" max="106" width="9.54296875" customWidth="1"/>
    <col min="107" max="107" width="1.81640625" customWidth="1"/>
    <col min="108" max="108" width="9.81640625" customWidth="1"/>
    <col min="109" max="109" width="10.453125" customWidth="1"/>
    <col min="110" max="110" width="10.1796875" customWidth="1"/>
    <col min="111" max="111" width="2" customWidth="1"/>
    <col min="113" max="113" width="9.453125" customWidth="1"/>
    <col min="114" max="114" width="10.453125" customWidth="1"/>
    <col min="115" max="115" width="2.1796875" customWidth="1"/>
    <col min="117" max="117" width="8" customWidth="1"/>
    <col min="119" max="119" width="2.26953125" customWidth="1"/>
    <col min="120" max="120" width="6.54296875" customWidth="1"/>
    <col min="121" max="121" width="7.54296875" customWidth="1"/>
    <col min="122" max="122" width="2" customWidth="1"/>
    <col min="123" max="123" width="6.453125" customWidth="1"/>
    <col min="124" max="124" width="7.54296875" customWidth="1"/>
    <col min="125" max="125" width="2.1796875" customWidth="1"/>
    <col min="126" max="128" width="7" customWidth="1"/>
    <col min="129" max="129" width="8.453125" customWidth="1"/>
    <col min="130" max="130" width="2.1796875" customWidth="1"/>
    <col min="131" max="132" width="9.453125" customWidth="1"/>
    <col min="133" max="133" width="9.81640625" customWidth="1"/>
    <col min="134" max="134" width="2" customWidth="1"/>
    <col min="138" max="138" width="2.1796875" customWidth="1"/>
    <col min="139" max="139" width="9" customWidth="1"/>
    <col min="140" max="141" width="8.1796875" customWidth="1"/>
    <col min="142" max="142" width="8.7265625" customWidth="1"/>
    <col min="143" max="146" width="7.54296875" customWidth="1"/>
    <col min="147" max="148" width="10.26953125" customWidth="1"/>
    <col min="149" max="149" width="9.453125" customWidth="1"/>
    <col min="150" max="150" width="9.54296875" customWidth="1"/>
    <col min="151" max="151" width="10" customWidth="1"/>
    <col min="152" max="152" width="8.7265625" customWidth="1"/>
    <col min="155" max="156" width="9.81640625" customWidth="1"/>
    <col min="157" max="157" width="12.1796875" customWidth="1"/>
    <col min="160" max="160" width="7.7265625" customWidth="1"/>
    <col min="161" max="161" width="10.453125" customWidth="1"/>
    <col min="162" max="162" width="12.453125" bestFit="1" customWidth="1"/>
    <col min="163" max="163" width="6.54296875" customWidth="1"/>
    <col min="164" max="164" width="5" customWidth="1"/>
    <col min="165" max="165" width="9.54296875" customWidth="1"/>
    <col min="168" max="168" width="17.453125" customWidth="1"/>
    <col min="169" max="169" width="14.1796875" customWidth="1"/>
  </cols>
  <sheetData>
    <row r="1" spans="2:169" ht="25">
      <c r="B1" s="445" t="s">
        <v>515</v>
      </c>
      <c r="CI1" s="779" t="s">
        <v>823</v>
      </c>
    </row>
    <row r="2" spans="2:169" ht="13" thickBot="1">
      <c r="AW2">
        <f>Vout_ripple</f>
        <v>150</v>
      </c>
      <c r="EA2">
        <f>Vout_ripple</f>
        <v>150</v>
      </c>
    </row>
    <row r="3" spans="2:169" ht="13">
      <c r="E3" s="220" t="s">
        <v>421</v>
      </c>
      <c r="F3" s="540"/>
      <c r="G3" s="540"/>
      <c r="H3" s="540"/>
      <c r="I3" s="540"/>
      <c r="J3" s="221"/>
      <c r="K3" s="222"/>
      <c r="L3" s="524"/>
      <c r="M3" s="524"/>
      <c r="N3" s="947" t="s">
        <v>189</v>
      </c>
      <c r="O3" s="948"/>
      <c r="P3" s="950"/>
      <c r="Q3" s="947"/>
      <c r="R3" s="950"/>
      <c r="S3" s="947"/>
      <c r="T3" s="947"/>
      <c r="U3" s="948"/>
      <c r="V3" s="948"/>
      <c r="W3" s="947"/>
      <c r="X3" s="948"/>
      <c r="Y3" s="947"/>
      <c r="Z3" s="949"/>
      <c r="AA3" s="533"/>
      <c r="AB3" s="533"/>
      <c r="AC3" s="533"/>
      <c r="AD3" s="533"/>
      <c r="AE3" s="533"/>
      <c r="AF3" s="533"/>
      <c r="AG3" s="533"/>
      <c r="AH3" s="533"/>
      <c r="AI3" s="533"/>
      <c r="AJ3" s="533"/>
      <c r="AK3" s="533"/>
      <c r="AL3" s="533"/>
      <c r="AM3" s="533"/>
      <c r="AN3" s="533"/>
      <c r="AO3" s="533"/>
      <c r="AP3" s="533"/>
      <c r="AQ3" s="533"/>
      <c r="AR3" s="533" t="s">
        <v>460</v>
      </c>
      <c r="AS3" s="533"/>
      <c r="AT3" s="533"/>
      <c r="AU3" s="533"/>
      <c r="AV3" s="533"/>
      <c r="AW3" s="533" t="s">
        <v>470</v>
      </c>
      <c r="AX3" s="533" t="s">
        <v>470</v>
      </c>
      <c r="AY3" s="533"/>
      <c r="AZ3" s="533"/>
      <c r="BA3" s="558" t="s">
        <v>471</v>
      </c>
      <c r="BB3" s="533"/>
      <c r="BC3" s="533"/>
      <c r="BD3" s="533"/>
      <c r="BE3" s="558" t="s">
        <v>888</v>
      </c>
      <c r="BF3" s="533"/>
      <c r="BG3" s="533"/>
      <c r="BH3" s="533"/>
      <c r="BI3" s="533"/>
      <c r="BJ3" s="533"/>
      <c r="BK3" s="533"/>
      <c r="BL3" s="533"/>
      <c r="BM3" s="558" t="s">
        <v>489</v>
      </c>
      <c r="BN3" s="533"/>
      <c r="BO3" s="533"/>
      <c r="BP3" s="533"/>
      <c r="BQ3" s="533"/>
      <c r="BR3" s="559" t="s">
        <v>490</v>
      </c>
      <c r="BS3" s="533"/>
      <c r="BT3" s="533"/>
      <c r="BU3" s="533"/>
      <c r="BV3" s="533"/>
      <c r="BW3" s="533"/>
      <c r="BX3" s="533"/>
      <c r="BY3" s="558"/>
      <c r="BZ3" s="533"/>
      <c r="CA3" s="533"/>
      <c r="CB3" s="533"/>
      <c r="CC3" s="533"/>
      <c r="CI3" s="220" t="s">
        <v>421</v>
      </c>
      <c r="CJ3" s="540"/>
      <c r="CK3" s="540"/>
      <c r="CL3" s="540"/>
      <c r="CM3" s="540"/>
      <c r="CN3" s="221"/>
      <c r="CO3" s="222"/>
      <c r="CP3" s="524"/>
      <c r="CQ3" s="524"/>
      <c r="CR3" s="947" t="s">
        <v>189</v>
      </c>
      <c r="CS3" s="948"/>
      <c r="CT3" s="950"/>
      <c r="CU3" s="947"/>
      <c r="CV3" s="950"/>
      <c r="CW3" s="947"/>
      <c r="CX3" s="947"/>
      <c r="CY3" s="948"/>
      <c r="CZ3" s="948"/>
      <c r="DA3" s="947"/>
      <c r="DB3" s="948"/>
      <c r="DC3" s="947"/>
      <c r="DD3" s="949"/>
      <c r="DE3" s="533"/>
      <c r="DF3" s="533"/>
      <c r="DG3" s="533"/>
      <c r="DH3" s="533"/>
      <c r="DI3" s="533"/>
      <c r="DJ3" s="533"/>
      <c r="DK3" s="533"/>
      <c r="DL3" s="533"/>
      <c r="DM3" s="533"/>
      <c r="DN3" s="533"/>
      <c r="DO3" s="533"/>
      <c r="DP3" s="533"/>
      <c r="DQ3" s="533"/>
      <c r="DR3" s="533"/>
      <c r="DS3" s="533"/>
      <c r="DT3" s="533"/>
      <c r="DU3" s="533"/>
      <c r="DV3" s="533" t="s">
        <v>460</v>
      </c>
      <c r="DW3" s="533"/>
      <c r="DX3" s="533"/>
      <c r="DY3" s="533"/>
      <c r="DZ3" s="533"/>
      <c r="EA3" s="533" t="s">
        <v>470</v>
      </c>
      <c r="EB3" s="533" t="s">
        <v>470</v>
      </c>
      <c r="EC3" s="533"/>
      <c r="ED3" s="533"/>
      <c r="EE3" s="558" t="s">
        <v>471</v>
      </c>
      <c r="EF3" s="533"/>
      <c r="EG3" s="533"/>
      <c r="EH3" s="533"/>
      <c r="EI3" s="558" t="s">
        <v>493</v>
      </c>
      <c r="EJ3" s="533"/>
      <c r="EK3" s="533"/>
      <c r="EL3" s="533"/>
      <c r="EM3" s="533"/>
      <c r="EN3" s="533"/>
      <c r="EO3" s="533"/>
      <c r="EP3" s="533"/>
      <c r="EQ3" s="558" t="s">
        <v>489</v>
      </c>
      <c r="ER3" s="533"/>
      <c r="ES3" s="533"/>
      <c r="ET3" s="533"/>
      <c r="EU3" s="533"/>
      <c r="EV3" s="559" t="s">
        <v>490</v>
      </c>
      <c r="EW3" s="533"/>
      <c r="EX3" s="533"/>
      <c r="EY3" s="533"/>
      <c r="EZ3" s="533"/>
      <c r="FA3" s="533"/>
      <c r="FB3" s="533"/>
      <c r="FC3" s="558"/>
      <c r="FD3" s="533"/>
      <c r="FE3" s="533"/>
      <c r="FF3" s="533"/>
      <c r="FG3" s="533"/>
    </row>
    <row r="4" spans="2:169" ht="45" customHeight="1" thickBot="1">
      <c r="E4" s="241" t="s">
        <v>25</v>
      </c>
      <c r="F4" s="602" t="s">
        <v>580</v>
      </c>
      <c r="G4" s="444" t="s">
        <v>579</v>
      </c>
      <c r="H4" s="603" t="s">
        <v>581</v>
      </c>
      <c r="I4" s="604" t="s">
        <v>582</v>
      </c>
      <c r="J4" s="242" t="s">
        <v>412</v>
      </c>
      <c r="K4" s="243" t="s">
        <v>586</v>
      </c>
      <c r="L4" s="605" t="s">
        <v>413</v>
      </c>
      <c r="M4" s="606"/>
      <c r="N4" s="244" t="s">
        <v>48</v>
      </c>
      <c r="O4" s="606" t="s">
        <v>590</v>
      </c>
      <c r="P4" s="606" t="s">
        <v>606</v>
      </c>
      <c r="Q4" s="606" t="s">
        <v>583</v>
      </c>
      <c r="R4" s="606" t="s">
        <v>584</v>
      </c>
      <c r="S4" s="606" t="s">
        <v>585</v>
      </c>
      <c r="T4" s="606" t="s">
        <v>414</v>
      </c>
      <c r="U4" s="606" t="s">
        <v>466</v>
      </c>
      <c r="V4" s="606" t="s">
        <v>465</v>
      </c>
      <c r="W4" s="607" t="s">
        <v>420</v>
      </c>
      <c r="X4" s="608" t="s">
        <v>425</v>
      </c>
      <c r="Z4" s="245" t="s">
        <v>417</v>
      </c>
      <c r="AA4" s="245" t="s">
        <v>464</v>
      </c>
      <c r="AB4" s="245" t="s">
        <v>587</v>
      </c>
      <c r="AC4" s="544"/>
      <c r="AD4" s="245" t="s">
        <v>463</v>
      </c>
      <c r="AE4" s="607" t="s">
        <v>426</v>
      </c>
      <c r="AF4" s="245" t="s">
        <v>588</v>
      </c>
      <c r="AG4" s="544"/>
      <c r="AH4" s="245" t="s">
        <v>429</v>
      </c>
      <c r="AI4" s="547" t="s">
        <v>430</v>
      </c>
      <c r="AJ4" s="547" t="s">
        <v>431</v>
      </c>
      <c r="AL4" s="543" t="s">
        <v>275</v>
      </c>
      <c r="AM4" s="543" t="s">
        <v>432</v>
      </c>
      <c r="AO4" s="245" t="s">
        <v>275</v>
      </c>
      <c r="AP4" s="245" t="s">
        <v>432</v>
      </c>
      <c r="AQ4" s="548"/>
      <c r="AR4" s="245" t="s">
        <v>467</v>
      </c>
      <c r="AS4" s="245" t="s">
        <v>461</v>
      </c>
      <c r="AT4" s="245" t="s">
        <v>462</v>
      </c>
      <c r="AU4" s="245" t="s">
        <v>48</v>
      </c>
      <c r="AV4" s="544"/>
      <c r="AW4" s="245" t="s">
        <v>591</v>
      </c>
      <c r="AX4" s="245" t="s">
        <v>592</v>
      </c>
      <c r="AY4" s="245" t="s">
        <v>514</v>
      </c>
      <c r="AZ4" s="544"/>
      <c r="BA4" s="557" t="s">
        <v>456</v>
      </c>
      <c r="BB4" s="245" t="s">
        <v>599</v>
      </c>
      <c r="BC4" s="245" t="s">
        <v>598</v>
      </c>
      <c r="BD4" s="544"/>
      <c r="BE4" s="557" t="s">
        <v>474</v>
      </c>
      <c r="BF4" s="245" t="s">
        <v>475</v>
      </c>
      <c r="BG4" s="245" t="s">
        <v>473</v>
      </c>
      <c r="BH4" s="245" t="s">
        <v>469</v>
      </c>
      <c r="BI4" s="245" t="s">
        <v>478</v>
      </c>
      <c r="BJ4" s="245" t="s">
        <v>491</v>
      </c>
      <c r="BK4" s="245" t="s">
        <v>776</v>
      </c>
      <c r="BL4" s="245" t="s">
        <v>778</v>
      </c>
      <c r="BM4" s="557" t="s">
        <v>601</v>
      </c>
      <c r="BN4" s="245" t="s">
        <v>600</v>
      </c>
      <c r="BO4" s="245" t="s">
        <v>477</v>
      </c>
      <c r="BP4" s="245" t="s">
        <v>483</v>
      </c>
      <c r="BQ4" s="245" t="s">
        <v>487</v>
      </c>
      <c r="BR4" s="557" t="s">
        <v>458</v>
      </c>
      <c r="BS4" s="245" t="s">
        <v>603</v>
      </c>
      <c r="BT4" s="245" t="s">
        <v>602</v>
      </c>
      <c r="BU4" s="245" t="s">
        <v>468</v>
      </c>
      <c r="BV4" s="245" t="s">
        <v>673</v>
      </c>
      <c r="BW4" s="245" t="s">
        <v>484</v>
      </c>
      <c r="BX4" s="245" t="s">
        <v>667</v>
      </c>
      <c r="BY4" s="557" t="s">
        <v>482</v>
      </c>
      <c r="BZ4" s="245" t="s">
        <v>223</v>
      </c>
      <c r="CA4" s="245" t="s">
        <v>47</v>
      </c>
      <c r="CB4" s="245" t="s">
        <v>485</v>
      </c>
      <c r="CC4" s="245" t="s">
        <v>604</v>
      </c>
      <c r="CE4" s="569" t="s">
        <v>497</v>
      </c>
      <c r="CG4" s="782" t="s">
        <v>829</v>
      </c>
      <c r="CH4" s="783" t="s">
        <v>830</v>
      </c>
      <c r="CI4" s="241" t="s">
        <v>25</v>
      </c>
      <c r="CJ4" s="602" t="s">
        <v>580</v>
      </c>
      <c r="CK4" s="444" t="s">
        <v>579</v>
      </c>
      <c r="CL4" s="603" t="s">
        <v>581</v>
      </c>
      <c r="CM4" s="604" t="s">
        <v>582</v>
      </c>
      <c r="CN4" s="242" t="s">
        <v>412</v>
      </c>
      <c r="CO4" s="243" t="s">
        <v>586</v>
      </c>
      <c r="CP4" s="605" t="s">
        <v>413</v>
      </c>
      <c r="CQ4" s="606"/>
      <c r="CR4" s="244" t="s">
        <v>48</v>
      </c>
      <c r="CS4" s="606" t="s">
        <v>590</v>
      </c>
      <c r="CT4" s="606" t="s">
        <v>606</v>
      </c>
      <c r="CU4" s="606" t="s">
        <v>583</v>
      </c>
      <c r="CV4" s="606" t="s">
        <v>584</v>
      </c>
      <c r="CW4" s="606" t="s">
        <v>585</v>
      </c>
      <c r="CX4" s="606" t="s">
        <v>414</v>
      </c>
      <c r="CY4" s="606" t="s">
        <v>466</v>
      </c>
      <c r="CZ4" s="606" t="s">
        <v>465</v>
      </c>
      <c r="DA4" s="607" t="s">
        <v>420</v>
      </c>
      <c r="DB4" s="608" t="s">
        <v>425</v>
      </c>
      <c r="DD4" s="245" t="s">
        <v>417</v>
      </c>
      <c r="DE4" s="245" t="s">
        <v>464</v>
      </c>
      <c r="DF4" s="245" t="s">
        <v>587</v>
      </c>
      <c r="DG4" s="544"/>
      <c r="DH4" s="245" t="s">
        <v>463</v>
      </c>
      <c r="DI4" s="607" t="s">
        <v>426</v>
      </c>
      <c r="DJ4" s="245" t="s">
        <v>588</v>
      </c>
      <c r="DK4" s="544"/>
      <c r="DL4" s="245" t="s">
        <v>429</v>
      </c>
      <c r="DM4" s="547" t="s">
        <v>430</v>
      </c>
      <c r="DN4" s="547" t="s">
        <v>431</v>
      </c>
      <c r="DP4" s="543" t="s">
        <v>275</v>
      </c>
      <c r="DQ4" s="543" t="s">
        <v>432</v>
      </c>
      <c r="DS4" s="245" t="s">
        <v>275</v>
      </c>
      <c r="DT4" s="245" t="s">
        <v>432</v>
      </c>
      <c r="DU4" s="548"/>
      <c r="DV4" s="245" t="s">
        <v>467</v>
      </c>
      <c r="DW4" s="245" t="s">
        <v>461</v>
      </c>
      <c r="DX4" s="245" t="s">
        <v>462</v>
      </c>
      <c r="DY4" s="245" t="s">
        <v>48</v>
      </c>
      <c r="DZ4" s="544"/>
      <c r="EA4" s="245" t="s">
        <v>591</v>
      </c>
      <c r="EB4" s="245" t="s">
        <v>592</v>
      </c>
      <c r="EC4" s="245" t="s">
        <v>514</v>
      </c>
      <c r="ED4" s="544"/>
      <c r="EE4" s="557" t="s">
        <v>456</v>
      </c>
      <c r="EF4" s="245" t="s">
        <v>599</v>
      </c>
      <c r="EG4" s="245" t="s">
        <v>598</v>
      </c>
      <c r="EH4" s="544"/>
      <c r="EI4" s="557" t="s">
        <v>474</v>
      </c>
      <c r="EJ4" s="245" t="s">
        <v>475</v>
      </c>
      <c r="EK4" s="245" t="s">
        <v>473</v>
      </c>
      <c r="EL4" s="245" t="s">
        <v>469</v>
      </c>
      <c r="EM4" s="245" t="s">
        <v>478</v>
      </c>
      <c r="EN4" s="245" t="s">
        <v>491</v>
      </c>
      <c r="EO4" s="245" t="s">
        <v>776</v>
      </c>
      <c r="EP4" s="245" t="s">
        <v>778</v>
      </c>
      <c r="EQ4" s="557" t="s">
        <v>601</v>
      </c>
      <c r="ER4" s="245" t="s">
        <v>600</v>
      </c>
      <c r="ES4" s="245" t="s">
        <v>477</v>
      </c>
      <c r="ET4" s="245" t="s">
        <v>483</v>
      </c>
      <c r="EU4" s="245" t="s">
        <v>487</v>
      </c>
      <c r="EV4" s="557" t="s">
        <v>458</v>
      </c>
      <c r="EW4" s="245" t="s">
        <v>603</v>
      </c>
      <c r="EX4" s="245" t="s">
        <v>602</v>
      </c>
      <c r="EY4" s="245" t="s">
        <v>468</v>
      </c>
      <c r="EZ4" s="245" t="s">
        <v>673</v>
      </c>
      <c r="FA4" s="245" t="s">
        <v>484</v>
      </c>
      <c r="FB4" s="245" t="s">
        <v>486</v>
      </c>
      <c r="FC4" s="557" t="s">
        <v>482</v>
      </c>
      <c r="FD4" s="245" t="s">
        <v>223</v>
      </c>
      <c r="FE4" s="245" t="s">
        <v>47</v>
      </c>
      <c r="FF4" s="245" t="s">
        <v>485</v>
      </c>
      <c r="FG4" s="245" t="s">
        <v>604</v>
      </c>
      <c r="FI4" s="569" t="s">
        <v>497</v>
      </c>
      <c r="FL4" s="782" t="s">
        <v>876</v>
      </c>
      <c r="FM4" s="782" t="s">
        <v>875</v>
      </c>
    </row>
    <row r="5" spans="2:169">
      <c r="E5" s="170">
        <v>0.1</v>
      </c>
      <c r="F5" s="217">
        <v>1.0000000000000001E-9</v>
      </c>
      <c r="G5" s="217">
        <v>1.0000000000000001E-9</v>
      </c>
      <c r="H5" s="217">
        <f t="shared" ref="H5:H36" si="0">F5*Vout</f>
        <v>1.5000000000000002E-8</v>
      </c>
      <c r="I5" s="217">
        <f>G5*Vout2</f>
        <v>8.0000000000000005E-9</v>
      </c>
      <c r="J5" s="541">
        <f t="shared" ref="J5:J36" si="1">Vin-(F5/CG5/Nps+G5/CH5/(Nps/Nsec1sec2))*(Rdcr_pri+RON/1000)</f>
        <v>57.999977924771713</v>
      </c>
      <c r="K5" s="443">
        <f t="shared" ref="K5:K36" si="2">MAX((S5+Vfwd2+Rdcr_sec*F5/CG5)*Nps,(Vout2+Vfwd22+Rdcr_sec2*G5/CH5)*Nps/Nsec1sec2)</f>
        <v>15.700007599342076</v>
      </c>
      <c r="L5" s="172">
        <f t="shared" ref="L5:L36" si="3">MAX((Vout+Vfwd2+F5/CG5*Rdcr_sec)*Nps+J5, (Vout2+Vfwd22+G5/CH5*Rdcr_sec2)*Nps/Nsec1sec2+J5)</f>
        <v>73.699985524113785</v>
      </c>
      <c r="M5" s="443"/>
      <c r="N5" s="217">
        <f t="shared" ref="N5:N36" si="4">MAX((Vout+Vfwd2+F5/CG5*Rdcr_sec)*Nps/((Vout+Vfwd2+F5/CG5*Rdcr_sec)*Nps+J5), (Vout2+Vfwd22+G5/CH5*Rdcr_sec2)*Nps/Nsec1sec2/((Vout2+Vfwd22+G5/CH5*Rdcr_sec2)*Nps/Nsec1sec2+J5))</f>
        <v>0.21302592514357027</v>
      </c>
      <c r="O5" s="172">
        <f>N5*J5*Isw_max*0.5*Efficiency*(Pout/Pout_total)</f>
        <v>308.88747389327864</v>
      </c>
      <c r="P5" s="172">
        <f t="shared" ref="P5:P36" si="5">N5*J5*Isw_max*0.5*Efficiency*(Pout2/Pout_total)</f>
        <v>4.1184996519103825</v>
      </c>
      <c r="Q5" s="217">
        <f t="shared" ref="Q5:Q68" si="6">O5/Vout</f>
        <v>20.59249825955191</v>
      </c>
      <c r="R5" s="217">
        <f t="shared" ref="R5:R36" si="7">O5/Vout2</f>
        <v>38.61093423665983</v>
      </c>
      <c r="S5" s="443">
        <f t="shared" ref="S5:S36" si="8">MIN(Vout,O5/F5)</f>
        <v>15</v>
      </c>
      <c r="T5" s="217">
        <f t="shared" ref="T5:T36" si="9">MIN(2*(Vout*F5+Vout2*G5)/(Efficiency*J5*N5), Isw_max)</f>
        <v>3.7230386376798421E-9</v>
      </c>
      <c r="U5" s="217">
        <f t="shared" ref="U5:U68" si="10">L*T5/J5*1000000</f>
        <v>7.7028414924752665E-10</v>
      </c>
      <c r="V5" s="217">
        <f t="shared" ref="V5:V68" si="11">L*T5/K5*1000000</f>
        <v>2.8456332501412494E-9</v>
      </c>
      <c r="W5" s="197">
        <f t="shared" ref="W5:W68" si="12">IF(1/((350000*L)*(1/J5+1/K5))&gt;Isw_min, 350, 0.001/((Isw_min*L)*(1/J5+1/K5)))</f>
        <v>102.96249129775954</v>
      </c>
      <c r="X5" s="443">
        <f>MIN(1/(U5+V5+0.2)*1000, 350)</f>
        <v>350</v>
      </c>
      <c r="Z5" s="217">
        <f t="shared" ref="Z5:Z68" si="13">1/((W5*1000*L)*(1/J5+1/K5))</f>
        <v>10</v>
      </c>
      <c r="AA5" s="173">
        <f t="shared" ref="AA5:AA68" si="14">L*Z5/K5*1000000</f>
        <v>7.6433084022856592</v>
      </c>
      <c r="AB5" s="173">
        <f t="shared" ref="AB5:AB36" si="15">0.5*AA5*Z5*Nps*W5/1000*(Pout/Pout_total)</f>
        <v>3.9348703742821476</v>
      </c>
      <c r="AC5" s="173"/>
      <c r="AD5" s="173">
        <f t="shared" ref="AD5:AD68" si="16">L*Isw_min/K5*1000000</f>
        <v>7.6433084022856592</v>
      </c>
      <c r="AE5" s="545">
        <f t="shared" ref="AE5:AE36" si="17">MAX(10, F5/(0.5*AD5/1000000*Isw_min*Nps)/1000*Pout_total/Pout)</f>
        <v>10</v>
      </c>
      <c r="AF5" s="528">
        <f t="shared" ref="AF5:AF36" si="18">0.5*AD5/1000000*Isw_min*Nps*W5*1000*(Pout/Pout_total)</f>
        <v>3.934870374282148</v>
      </c>
      <c r="AH5" s="173">
        <f t="shared" ref="AH5:AH36" si="19">SQRT((H5+I5)/(0.5*L*Fsw_DCM))</f>
        <v>1.0465362369445672E-4</v>
      </c>
      <c r="AI5" s="173">
        <f t="shared" ref="AI5:AI36" si="20">MAX(IF(F5&gt;AB5,T5,AH5),Isw_min)</f>
        <v>10</v>
      </c>
      <c r="AJ5" s="173">
        <f t="shared" ref="AJ5:AJ36" si="21">IF(F5&gt;AF5, (AI5-Isw_min)/1.08*0.8+1.2, AE5*0.2/350+1)</f>
        <v>1.0057142857142858</v>
      </c>
      <c r="AL5" s="545">
        <f t="shared" ref="AL5:AL36" si="22">F5*1000</f>
        <v>1.0000000000000002E-6</v>
      </c>
      <c r="AM5" s="460">
        <f t="shared" ref="AM5:AM36" si="23">IF(F5&gt;AF5, X5, AE5)</f>
        <v>10</v>
      </c>
      <c r="AO5">
        <f>IF(H5&gt;O5, "",AL5)</f>
        <v>1.0000000000000002E-6</v>
      </c>
      <c r="AP5" s="460">
        <f t="shared" ref="AP5:AP68" si="24">IF(H5&gt;O5, "",AM5)</f>
        <v>10</v>
      </c>
      <c r="AQ5" s="460"/>
      <c r="AR5" s="5">
        <f>1/AM5*1000</f>
        <v>100</v>
      </c>
      <c r="AS5" s="5">
        <f t="shared" ref="AS5:AS68" si="25">L*AI5/J5*1000000</f>
        <v>2.0689663047052327</v>
      </c>
      <c r="AT5" s="5">
        <f>AR5-AS5</f>
        <v>97.931033695294772</v>
      </c>
      <c r="AU5" s="173">
        <f>AS5/AR5</f>
        <v>2.0689663047052328E-2</v>
      </c>
      <c r="AW5" s="5">
        <f t="shared" ref="AW5:AW36" si="26">F5*AS5/Vout_ripple*1000</f>
        <v>1.3793108698034885E-8</v>
      </c>
      <c r="AX5" s="5">
        <f t="shared" ref="AX5:AX36" si="27">G5*AS5/Vout_ripple2*1000</f>
        <v>2.5862078808815408E-8</v>
      </c>
      <c r="AY5" s="5">
        <f t="shared" ref="AY5:AY68" si="28">H5/Efficiency/J5*AT5/Vinripple1</f>
        <v>8.7334486595050723E-9</v>
      </c>
      <c r="AZ5" s="5"/>
      <c r="BA5" s="173">
        <f>AI5*SQRT(AU5/3)</f>
        <v>0.83045495657605906</v>
      </c>
      <c r="BB5" s="173">
        <f t="shared" ref="BB5:BB36" si="29">AI5*Npri_sec1*SQRT((1-AU5)/3)*(Pout/Pout_total)</f>
        <v>5.7134646142626622</v>
      </c>
      <c r="BC5" s="173">
        <f t="shared" ref="BC5:BC36" si="30">AI5*Npri_sec2*SQRT((1-AU5)/3)*(Pout2/Pout_total)</f>
        <v>0.14070806971595892</v>
      </c>
      <c r="BD5" s="173"/>
      <c r="BE5" s="528">
        <f t="shared" ref="BE5:BE68" si="31">Rdson*BA5^2</f>
        <v>1.3793108698034882E-2</v>
      </c>
      <c r="BF5" s="528">
        <f t="shared" ref="BF5:BF36" si="32">0.5*L5*AI5*AM5*1000*Tfall</f>
        <v>0.13818747285771335</v>
      </c>
      <c r="BG5" s="528">
        <f t="shared" ref="BG5:BG36" si="33">Qg*Vdd*AM5*1000*0+Qg*J5*AM5*1000</f>
        <v>1.4499994481192928E-2</v>
      </c>
      <c r="BH5" s="528">
        <f t="shared" ref="BH5:BH68" si="34">0.5*(Coss+Csw)*L5^2*AM5*1000</f>
        <v>5.4316878662545812E-3</v>
      </c>
      <c r="BI5">
        <f t="shared" ref="BI5:BI68" si="35">J5*IQ</f>
        <v>2.6099990066147272E-2</v>
      </c>
      <c r="BJ5" s="460">
        <f>(BG5+BI5)*1000</f>
        <v>40.599984547340199</v>
      </c>
      <c r="BK5">
        <f t="shared" ref="BK5:BK36" si="36">(BF5+BG5*0+BH5+BI5*0+BE5*(1+RdsonTC*(Ta-25)))/(1-BE5*RdsonTC*ThetaJA)</f>
        <v>0.16166622822490112</v>
      </c>
      <c r="BL5" s="460">
        <f>BK5*1000</f>
        <v>161.66622822490112</v>
      </c>
      <c r="BM5" s="173">
        <f t="shared" ref="BM5:BM36" si="37">Vfwd2*F5*(1+Diode_TC/1000*(Ta-25))</f>
        <v>6.212499999999999E-10</v>
      </c>
      <c r="BN5" s="173">
        <f t="shared" ref="BN5:BN36" si="38">Vfwd22*G5*(1+Diode_TC/1000*(Ta-25))</f>
        <v>4.4374999999999999E-10</v>
      </c>
      <c r="BO5" s="528"/>
      <c r="BQ5" s="460">
        <f>SUM(BM5:BP5)*1000</f>
        <v>1.065E-6</v>
      </c>
      <c r="BR5" s="528">
        <f t="shared" ref="BR5:BR68" si="39">Rdcr_pri*BA5^2</f>
        <v>2.0689663047052321E-2</v>
      </c>
      <c r="BS5" s="528">
        <f>Rdcr_sec*BB5^2</f>
        <v>0.97931033695294767</v>
      </c>
      <c r="BT5" s="528">
        <f t="shared" ref="BT5:BT36" si="40">Rdcr_sec2*BC5^2</f>
        <v>9.8993804415955795E-5</v>
      </c>
      <c r="BU5" s="528">
        <f t="shared" ref="BU5:BU68" si="41">AI5^2.5*AM5^2.5*k_core</f>
        <v>5.0000000000000096E-3</v>
      </c>
      <c r="BV5" s="528">
        <f t="shared" ref="BV5:BV36" si="42">(BU5+(BR5+BS5+BT5)*(1+Ltc*(Ta-25)))/(1-(BR5+BS5+BT5)*Ltc*ThetaCa)</f>
        <v>1.3534059463279995</v>
      </c>
      <c r="BW5" s="625">
        <f t="shared" ref="BW5:BW36" si="43">0.5*Lleak*0.000000001*AI5^2*AM5*1000</f>
        <v>1.0000000000000002E-3</v>
      </c>
      <c r="BX5" s="460">
        <f>(BV5+BW5)*1000</f>
        <v>1354.4059463279993</v>
      </c>
      <c r="BY5" s="173">
        <f>SUM(BK5,BM5:BP5,BV5:BW5)</f>
        <v>1.5160721756179005</v>
      </c>
      <c r="BZ5" s="5">
        <f>MIN(H5+I5,O5+P5)</f>
        <v>2.3000000000000001E-8</v>
      </c>
      <c r="CA5" s="173">
        <f>BZ5/(BZ5+BY5)</f>
        <v>1.5170781458143965E-8</v>
      </c>
      <c r="CB5" s="5">
        <f>CA5*100</f>
        <v>1.5170781458143964E-6</v>
      </c>
      <c r="CC5">
        <v>0</v>
      </c>
      <c r="CE5" s="562">
        <f t="shared" ref="CE5:CE36" si="44">IF(ABS(F5-Ioutmax_Vinnom)&lt;Iout/200, AM5, -50)</f>
        <v>-50</v>
      </c>
      <c r="CF5">
        <f t="shared" ref="CF5:CF36" si="45">IF(ABS(F5-Ioutmax_Vinnom)&lt;Iout/200, (O5+P5)*CA5, -50)</f>
        <v>-50</v>
      </c>
      <c r="CG5" s="173">
        <f t="shared" ref="CG5:CG36" si="46">MIN(SQRT(2*DT5*1000*Ls1_*(CL5+CJ5*Vfwd1))/(CW5+Vfwd1), 1-DY5)</f>
        <v>3.947710169758614E-6</v>
      </c>
      <c r="CH5" s="173">
        <f t="shared" ref="CH5:CH36" si="47">MIN(SQRT(2*DT5*1000*Ls2_*(CM5+CK5*Vfwd22))/(Vout2+Vfwd22), 1-DY5)</f>
        <v>2.8768381632194177E-6</v>
      </c>
      <c r="CI5" s="170">
        <v>0.1</v>
      </c>
      <c r="CJ5" s="217">
        <v>1.0000000000000001E-9</v>
      </c>
      <c r="CK5" s="217">
        <v>1.0000000000000001E-9</v>
      </c>
      <c r="CL5" s="217">
        <f t="shared" ref="CL5:CL68" si="48">CJ5*Vout</f>
        <v>1.5000000000000002E-8</v>
      </c>
      <c r="CM5" s="217">
        <f>CK5*Vout2</f>
        <v>8.0000000000000005E-9</v>
      </c>
      <c r="CN5" s="541">
        <f>Vin</f>
        <v>58</v>
      </c>
      <c r="CO5" s="443">
        <f t="shared" ref="CO5:CO36" si="49">(CW5+Vfwd2)*Nps</f>
        <v>15.7</v>
      </c>
      <c r="CP5" s="443">
        <f t="shared" ref="CP5:CP36" si="50">(Vout+Vfwd2)*Nps+CN5</f>
        <v>73.7</v>
      </c>
      <c r="CQ5" s="443"/>
      <c r="CR5" s="217">
        <f>(Vout+Vfwd2)*Nps/((Vout+Vfwd2)*Nps+CN5)</f>
        <v>0.21302578018995927</v>
      </c>
      <c r="CS5" s="172">
        <f>CR5*CN5*Isw_max*0.5*Efficiency*(Pout/Pout_total)</f>
        <v>308.88738127544093</v>
      </c>
      <c r="CT5" s="172">
        <f t="shared" ref="CT5:CT68" si="51">CR5*CN5*Isw_max*0.5*Efficiency*(Pout2/Pout_total)</f>
        <v>4.1184984170058794</v>
      </c>
      <c r="CU5" s="217">
        <f t="shared" ref="CU5:CU68" si="52">CS5/Vout</f>
        <v>20.592492085029395</v>
      </c>
      <c r="CV5" s="217">
        <f t="shared" ref="CV5:CV68" si="53">CS5/Vout2</f>
        <v>38.610922659430116</v>
      </c>
      <c r="CW5" s="443">
        <f t="shared" ref="CW5:CW68" si="54">MIN(Vout,CS5/CJ5)</f>
        <v>15</v>
      </c>
      <c r="CX5" s="217">
        <f t="shared" ref="CX5:CX68" si="55">MIN(2*(Vout*CJ5+Vout2*CK5)/(Efficiency*CN5*CR5), Isw_max)</f>
        <v>3.7230397540083468E-9</v>
      </c>
      <c r="CY5" s="217">
        <f t="shared" ref="CY5:CY68" si="56">L*CX5/CN5*1000000</f>
        <v>7.7028408703620977E-10</v>
      </c>
      <c r="CZ5" s="217">
        <f t="shared" ref="CZ5:CZ68" si="57">L*CX5/CO5*1000000</f>
        <v>2.8456354807707113E-9</v>
      </c>
      <c r="DA5" s="197">
        <f t="shared" ref="DA5:DA68" si="58">IF(1/((350000*L)*(1/CN5+1/CO5))&gt;Isw_min, 350, 0.001/((Isw_min*L)*(1/CN5+1/CO5)))</f>
        <v>102.962460425147</v>
      </c>
      <c r="DB5" s="443">
        <f>MIN(1/(CY5+CZ5)*1000, 350)</f>
        <v>350</v>
      </c>
      <c r="DD5" s="217">
        <f t="shared" ref="DD5:DD68" si="59">1/((DA5*1000*L)*(1/CN5+1/CO5))</f>
        <v>10</v>
      </c>
      <c r="DE5" s="173">
        <f t="shared" ref="DE5:DE68" si="60">L*DD5/CO5*1000000</f>
        <v>7.6433121019108281</v>
      </c>
      <c r="DF5" s="173">
        <f t="shared" ref="DF5:DF68" si="61">0.5*DE5*DD5*Nps*DA5/1000*(Pout/Pout_total)</f>
        <v>3.9348710990502043</v>
      </c>
      <c r="DG5" s="173"/>
      <c r="DH5" s="173">
        <f t="shared" ref="DH5:DH68" si="62">L*Isw_min/CO5*1000000</f>
        <v>7.6433121019108281</v>
      </c>
      <c r="DI5" s="545">
        <f t="shared" ref="DI5:DI68" si="63">MAX(10, CJ5/(0.5*DH5/1000000*Isw_min*Nps)/1000*Pout_total/Pout)</f>
        <v>10</v>
      </c>
      <c r="DJ5" s="528">
        <f t="shared" ref="DJ5:DJ68" si="64">0.5*DH5/1000000*Isw_min*Nps*DA5*1000*(Pout/Pout_total)</f>
        <v>3.9348710990502034</v>
      </c>
      <c r="DL5" s="173">
        <f t="shared" ref="DL5:DL68" si="65">SQRT((CL5+CM5)/(0.5*L*Fsw_DCM))</f>
        <v>1.0465362369445672E-4</v>
      </c>
      <c r="DM5" s="173">
        <f t="shared" ref="DM5:DM68" si="66">MAX(IF(CJ5&gt;DF5,CX5,DL5),Isw_min)</f>
        <v>10</v>
      </c>
      <c r="DN5" s="173">
        <f t="shared" ref="DN5:DN68" si="67">IF(CJ5&gt;DJ5, (DM5-Isw_min)/1.08*0.8+1.2, DI5*0.2/350+1)</f>
        <v>1.0057142857142858</v>
      </c>
      <c r="DP5" s="545">
        <f t="shared" ref="DP5:DP68" si="68">CJ5*1000</f>
        <v>1.0000000000000002E-6</v>
      </c>
      <c r="DQ5" s="460">
        <f t="shared" ref="DQ5:DQ68" si="69">IF(CJ5&gt;DJ5, DB5, DI5)</f>
        <v>10</v>
      </c>
      <c r="DS5">
        <f>IF(CL5&gt;CS5, "",DP5)</f>
        <v>1.0000000000000002E-6</v>
      </c>
      <c r="DT5" s="460">
        <f t="shared" ref="DT5:DT68" si="70">IF(CL5&gt;CS5, "",DQ5)</f>
        <v>10</v>
      </c>
      <c r="DU5" s="460"/>
      <c r="DV5" s="5">
        <f>1/DQ5*1000</f>
        <v>100</v>
      </c>
      <c r="DW5" s="5">
        <f t="shared" ref="DW5:DW68" si="71">L*DM5/CN5*1000000</f>
        <v>2.068965517241379</v>
      </c>
      <c r="DX5" s="5">
        <f>DV5-DW5</f>
        <v>97.931034482758619</v>
      </c>
      <c r="DY5" s="173">
        <f>DW5/DV5</f>
        <v>2.0689655172413789E-2</v>
      </c>
      <c r="EA5" s="5">
        <f t="shared" ref="EA5:EA68" si="72">CJ5*DW5/Vout_ripple*1000</f>
        <v>1.3793103448275862E-8</v>
      </c>
      <c r="EB5" s="5">
        <f t="shared" ref="EB5:EB68" si="73">CK5*DW5/Vout_ripple2*1000</f>
        <v>2.5862068965517238E-8</v>
      </c>
      <c r="EC5" s="5">
        <f t="shared" ref="EC5:EC68" si="74">CL5/Efficiency/CN5*DX5/Vinripple1</f>
        <v>8.7334454057156915E-9</v>
      </c>
      <c r="ED5" s="5"/>
      <c r="EE5" s="173">
        <f>DM5*SQRT(DY5/3)</f>
        <v>0.83045479853739956</v>
      </c>
      <c r="EF5" s="173">
        <f t="shared" ref="EF5:EF68" si="75">DM5*Npri_sec1*SQRT((1-DY5)/3)*(Pout/Pout_total)</f>
        <v>5.7134646372336579</v>
      </c>
      <c r="EG5" s="173">
        <f t="shared" ref="EG5:EG68" si="76">DM5*Npri_sec2*SQRT((1-DY5)/3)*(Pout2/Pout_total)</f>
        <v>0.14070807028167601</v>
      </c>
      <c r="EH5" s="173"/>
      <c r="EI5" s="528">
        <f t="shared" ref="EI5:EI68" si="77">Rdson*EE5^2</f>
        <v>1.3793103448275858E-2</v>
      </c>
      <c r="EJ5" s="528">
        <f t="shared" ref="EJ5:EJ68" si="78">0.5*CP5*DM5*DQ5*1000*Trise</f>
        <v>0.1474</v>
      </c>
      <c r="EK5" s="528">
        <f t="shared" ref="EK5:EK68" si="79">Qg*Vdd*DQ5*1000</f>
        <v>1.2499999999999998E-3</v>
      </c>
      <c r="EL5" s="528">
        <f t="shared" ref="EL5:EL68" si="80">0.5*(Coss+Csw)*CP5^2*DQ5*1000</f>
        <v>5.4316900000000003E-3</v>
      </c>
      <c r="EM5">
        <f t="shared" ref="EM5:EM68" si="81">CN5*IQ</f>
        <v>2.6099999999999998E-2</v>
      </c>
      <c r="EN5" s="460">
        <f>(EK5+EM5)*1000</f>
        <v>27.349999999999998</v>
      </c>
      <c r="EO5">
        <f t="shared" ref="EO5:EO68" si="82">(EJ5+EK5+EL5+EM5+EI5*(1+RdsonTC*(Ta-25)))/(1-EI5*RdsonTC*ThetaJA)</f>
        <v>0.19834896882749534</v>
      </c>
      <c r="EP5" s="460">
        <f>EO5*1000</f>
        <v>198.34896882749533</v>
      </c>
      <c r="EQ5" s="173">
        <f t="shared" ref="EQ5:EQ68" si="83">Vfwd2*CJ5*(1+Diode_TC/1000*(Ta-25))</f>
        <v>6.212499999999999E-10</v>
      </c>
      <c r="ER5" s="173">
        <f t="shared" ref="ER5:ER36" si="84">Vfwd22*CK5*(1+Diode_TC/1000*(Ta-25))</f>
        <v>4.4374999999999999E-10</v>
      </c>
      <c r="ES5" s="528"/>
      <c r="EU5" s="460">
        <f>SUM(EQ5:ET5)*1000</f>
        <v>1.065E-6</v>
      </c>
      <c r="EV5" s="528">
        <f t="shared" ref="EV5:EV68" si="85">Rdcr_pri*EE5^2</f>
        <v>2.0689655172413786E-2</v>
      </c>
      <c r="EW5" s="528">
        <f>Rdcr_sec*EF5^2</f>
        <v>0.97931034482758605</v>
      </c>
      <c r="EX5" s="528">
        <f t="shared" ref="EX5:EX68" si="86">Rdcr_sec2*EG5^2</f>
        <v>9.8993805211965375E-5</v>
      </c>
      <c r="EY5" s="528">
        <f t="shared" ref="EY5:EY68" si="87">DM5^2.5*DQ5^2.5*k_core</f>
        <v>5.0000000000000096E-3</v>
      </c>
      <c r="EZ5" s="528">
        <f t="shared" ref="EZ5:EZ68" si="88">(EY5+(EV5+EW5+EX5)*(1+Ltc*(Ta-25)))/(1-(EV5+EW5+EX5)*Ltc*ThetaCa)</f>
        <v>1.3534059463291659</v>
      </c>
      <c r="FA5" s="625">
        <f t="shared" ref="FA5:FA68" si="89">0.5*Lleak*0.000000001*DM5^2*DQ5*1000</f>
        <v>1.0000000000000002E-3</v>
      </c>
      <c r="FB5" s="460">
        <f>(EZ5+FA5)*1000</f>
        <v>1354.4059463291658</v>
      </c>
      <c r="FC5" s="173">
        <f>SUM(EO5,EQ5:ET5,EZ5:FA5)</f>
        <v>1.5527549162216612</v>
      </c>
      <c r="FD5" s="5">
        <f>MIN(CL5+CM5,CS5+CT5)</f>
        <v>2.3000000000000001E-8</v>
      </c>
      <c r="FE5" s="173">
        <f>FD5/(FD5+FC5)</f>
        <v>1.4812382442994549E-8</v>
      </c>
      <c r="FF5" s="5">
        <f>FE5*100</f>
        <v>1.4812382442994549E-6</v>
      </c>
      <c r="FG5">
        <v>0</v>
      </c>
      <c r="FI5" s="562">
        <f t="shared" ref="FI5:FI68" si="90">IF(ABS(CJ5-Ioutmax_Vinnom)&lt;Iout/200, DQ5, -50)</f>
        <v>-50</v>
      </c>
      <c r="FJ5">
        <f t="shared" ref="FJ5:FJ68" si="91">IF(ABS(CJ5-Ioutmax_Vinnom)&lt;Iout/200, (CS5+CT5)*FE5, -50)</f>
        <v>-50</v>
      </c>
      <c r="FL5">
        <f t="shared" ref="FL5:FL68" si="92">MIN(SQRT(2*DQ5*1000*L*CJ5*(Vout+Vfwd1))/(Nps*(Vout+Vfwd1)),1-DY5)</f>
        <v>3.947710169758614E-6</v>
      </c>
      <c r="FM5">
        <f>MIN(,)</f>
        <v>0</v>
      </c>
    </row>
    <row r="6" spans="2:169">
      <c r="E6" s="170">
        <v>1</v>
      </c>
      <c r="F6" s="217">
        <f>IF(PLOT_TYPE=1, E6/100*Iout, min_I*EXP(O6*rr/100))</f>
        <v>0.1</v>
      </c>
      <c r="G6" s="217">
        <f t="shared" ref="G6:G37" si="93">IF(PLOT_TYPE=1, E6/100*Iout2, min_I*EXP(Q6*rr/100))</f>
        <v>2.5000000000000001E-3</v>
      </c>
      <c r="H6" s="217">
        <f t="shared" si="0"/>
        <v>1.5</v>
      </c>
      <c r="I6" s="217">
        <f>G6*Vout2</f>
        <v>0.02</v>
      </c>
      <c r="J6" s="541">
        <f t="shared" si="1"/>
        <v>57.858466322827447</v>
      </c>
      <c r="K6" s="443">
        <f t="shared" si="2"/>
        <v>15.775993420767852</v>
      </c>
      <c r="L6" s="172">
        <f t="shared" si="3"/>
        <v>73.634459743595301</v>
      </c>
      <c r="M6" s="443"/>
      <c r="N6" s="217">
        <f t="shared" si="4"/>
        <v>0.21424742539976391</v>
      </c>
      <c r="O6" s="172">
        <f t="shared" ref="O6:O37" si="94">N6*J6*Isw_max*0.5*Efficiency*Pout/(Pout+Pout2)</f>
        <v>305.82304557347186</v>
      </c>
      <c r="P6" s="172">
        <f t="shared" si="5"/>
        <v>4.1320091490815756</v>
      </c>
      <c r="Q6" s="217">
        <f t="shared" si="6"/>
        <v>20.388203038231456</v>
      </c>
      <c r="R6" s="217">
        <f t="shared" si="7"/>
        <v>38.227880696683982</v>
      </c>
      <c r="S6" s="443">
        <f t="shared" si="8"/>
        <v>15</v>
      </c>
      <c r="T6" s="217">
        <f t="shared" si="9"/>
        <v>0.24523985711855642</v>
      </c>
      <c r="U6" s="217">
        <f t="shared" si="10"/>
        <v>5.0863399472128687E-2</v>
      </c>
      <c r="V6" s="217">
        <f t="shared" si="11"/>
        <v>0.18654155126285804</v>
      </c>
      <c r="W6" s="197">
        <f t="shared" si="12"/>
        <v>103.30022872703938</v>
      </c>
      <c r="X6" s="443">
        <f t="shared" ref="X6:X69" si="95">MIN(1/(U6+V6+0.2)*1000, 350)</f>
        <v>350</v>
      </c>
      <c r="Z6" s="217">
        <f t="shared" si="13"/>
        <v>10</v>
      </c>
      <c r="AA6" s="173">
        <f t="shared" si="14"/>
        <v>7.6064940444276212</v>
      </c>
      <c r="AB6" s="173">
        <f t="shared" si="15"/>
        <v>3.928762873001181</v>
      </c>
      <c r="AC6" s="173"/>
      <c r="AD6" s="173">
        <f t="shared" si="16"/>
        <v>7.6064940444276212</v>
      </c>
      <c r="AE6" s="545">
        <f t="shared" si="17"/>
        <v>10</v>
      </c>
      <c r="AF6" s="528">
        <f t="shared" si="18"/>
        <v>3.9287628730011805</v>
      </c>
      <c r="AH6" s="173">
        <f t="shared" si="19"/>
        <v>0.85076995939532551</v>
      </c>
      <c r="AI6" s="173">
        <f t="shared" si="20"/>
        <v>10</v>
      </c>
      <c r="AJ6" s="173">
        <f t="shared" si="21"/>
        <v>1.0057142857142858</v>
      </c>
      <c r="AL6" s="545">
        <f t="shared" si="22"/>
        <v>100</v>
      </c>
      <c r="AM6" s="460">
        <f t="shared" si="23"/>
        <v>10</v>
      </c>
      <c r="AO6">
        <f t="shared" ref="AO6:AO69" si="96">IF(H6&gt;O6, "",AL6)</f>
        <v>100</v>
      </c>
      <c r="AP6" s="460">
        <f t="shared" si="24"/>
        <v>10</v>
      </c>
      <c r="AQ6" s="460"/>
      <c r="AR6" s="5">
        <f t="shared" ref="AR6:AR69" si="97">1/AM6*1000</f>
        <v>100</v>
      </c>
      <c r="AS6" s="5">
        <f t="shared" si="25"/>
        <v>2.0740266313048688</v>
      </c>
      <c r="AT6" s="5">
        <f t="shared" ref="AT6:AT69" si="98">AR6-AS6</f>
        <v>97.925973368695125</v>
      </c>
      <c r="AU6" s="173">
        <f t="shared" ref="AU6:AU69" si="99">AS6/AR6</f>
        <v>2.0740266313048688E-2</v>
      </c>
      <c r="AW6" s="5">
        <f t="shared" si="26"/>
        <v>1.3826844208699127</v>
      </c>
      <c r="AX6" s="5">
        <f t="shared" si="27"/>
        <v>6.4813332228277148E-2</v>
      </c>
      <c r="AY6" s="5">
        <f t="shared" si="28"/>
        <v>0.87543567527209043</v>
      </c>
      <c r="AZ6" s="5"/>
      <c r="BA6" s="173">
        <f t="shared" ref="BA6:BA69" si="100">AI6*SQRT(AU6/3)</f>
        <v>0.83146990951865263</v>
      </c>
      <c r="BB6" s="173">
        <f t="shared" si="29"/>
        <v>5.7133169982855305</v>
      </c>
      <c r="BC6" s="173">
        <f t="shared" si="30"/>
        <v>0.14070443431071819</v>
      </c>
      <c r="BD6" s="173"/>
      <c r="BE6" s="528">
        <f t="shared" si="31"/>
        <v>1.3826844208699127E-2</v>
      </c>
      <c r="BF6" s="528">
        <f t="shared" si="32"/>
        <v>0.1380646120192412</v>
      </c>
      <c r="BG6" s="528">
        <f t="shared" si="33"/>
        <v>1.4464616580706861E-2</v>
      </c>
      <c r="BH6" s="528">
        <f t="shared" si="34"/>
        <v>5.4220336617311583E-3</v>
      </c>
      <c r="BI6">
        <f t="shared" si="35"/>
        <v>2.6036309845272349E-2</v>
      </c>
      <c r="BJ6" s="460">
        <f t="shared" ref="BJ6:BJ69" si="101">(BG6+BI6)*1000</f>
        <v>40.500926425979209</v>
      </c>
      <c r="BK6">
        <f t="shared" si="36"/>
        <v>0.16157756183338201</v>
      </c>
      <c r="BL6" s="460">
        <f t="shared" ref="BL6:BL69" si="102">BK6*1000</f>
        <v>161.57756183338202</v>
      </c>
      <c r="BM6" s="173">
        <f t="shared" si="37"/>
        <v>6.2124999999999993E-2</v>
      </c>
      <c r="BN6" s="173">
        <f t="shared" si="38"/>
        <v>1.1093749999999999E-3</v>
      </c>
      <c r="BO6" s="528"/>
      <c r="BQ6" s="460">
        <f t="shared" ref="BQ6:BQ69" si="103">SUM(BM6:BP6)*1000</f>
        <v>63.234374999999993</v>
      </c>
      <c r="BR6" s="528">
        <f t="shared" si="39"/>
        <v>2.0740266313048691E-2</v>
      </c>
      <c r="BS6" s="528">
        <f t="shared" ref="BS6:BS68" si="104">Rdcr_sec*BB6^2</f>
        <v>0.97925973368695141</v>
      </c>
      <c r="BT6" s="528">
        <f t="shared" si="40"/>
        <v>9.8988689173496057E-5</v>
      </c>
      <c r="BU6" s="528">
        <f t="shared" si="41"/>
        <v>5.0000000000000096E-3</v>
      </c>
      <c r="BV6" s="528">
        <f t="shared" si="42"/>
        <v>1.3534059388314779</v>
      </c>
      <c r="BW6" s="625">
        <f t="shared" si="43"/>
        <v>1.0000000000000002E-3</v>
      </c>
      <c r="BX6" s="460">
        <f t="shared" ref="BX6:BX69" si="105">(BV6+BW6)*1000</f>
        <v>1354.4059388314777</v>
      </c>
      <c r="BY6" s="173">
        <f t="shared" ref="BY6:BY69" si="106">SUM(BK6,BM6:BP6,BV6:BW6)</f>
        <v>1.5792178756648598</v>
      </c>
      <c r="BZ6" s="5">
        <f t="shared" ref="BZ6:BZ69" si="107">MIN(H6+I6,O6+P6)</f>
        <v>1.52</v>
      </c>
      <c r="CA6" s="173">
        <f t="shared" ref="CA6:CA69" si="108">BZ6/(BZ6+BY6)</f>
        <v>0.49044631935530569</v>
      </c>
      <c r="CB6" s="5">
        <f t="shared" ref="CB6:CB69" si="109">CA6*100</f>
        <v>49.044631935530568</v>
      </c>
      <c r="CC6">
        <f t="shared" ref="CC6:CC37" si="110">F6/Iout*100</f>
        <v>1</v>
      </c>
      <c r="CE6" s="562">
        <f t="shared" si="44"/>
        <v>-50</v>
      </c>
      <c r="CF6">
        <f t="shared" si="45"/>
        <v>-50</v>
      </c>
      <c r="CG6" s="173">
        <f t="shared" si="46"/>
        <v>3.9477101697586142E-2</v>
      </c>
      <c r="CH6" s="173">
        <f t="shared" si="47"/>
        <v>4.5486805277342992E-3</v>
      </c>
      <c r="CI6" s="170">
        <v>1</v>
      </c>
      <c r="CJ6" s="217">
        <f>IF(PLOT_TYPE=1, CI6/100*Iout, min_I*EXP(CS6*rr/100))</f>
        <v>0.1</v>
      </c>
      <c r="CK6" s="217">
        <f t="shared" ref="CK6:CK69" si="111">IF(PLOT_TYPE=1, CI6/100*Iout2, min_I*EXP(CU6*rr/100))</f>
        <v>2.5000000000000001E-3</v>
      </c>
      <c r="CL6" s="217">
        <f t="shared" si="48"/>
        <v>1.5</v>
      </c>
      <c r="CM6" s="217">
        <f>CK6*Vout2</f>
        <v>0.02</v>
      </c>
      <c r="CN6" s="541">
        <f t="shared" ref="CN6:CN69" si="112">Vin</f>
        <v>58</v>
      </c>
      <c r="CO6" s="443">
        <f t="shared" si="49"/>
        <v>15.7</v>
      </c>
      <c r="CP6" s="443">
        <f t="shared" si="50"/>
        <v>73.7</v>
      </c>
      <c r="CQ6" s="443"/>
      <c r="CR6" s="217">
        <f t="shared" ref="CR6:CR68" si="113">(Vout+Vfwd1)*Nps/((Vout+Vfwd1)*Nps+CN6)</f>
        <v>0.2098092643051771</v>
      </c>
      <c r="CS6" s="172">
        <f t="shared" ref="CS6:CS69" si="114">CR6*CN6*Isw_max*0.5*Efficiency*Pout/(Pout+Pout2)</f>
        <v>300.22049333142121</v>
      </c>
      <c r="CT6" s="172">
        <f t="shared" si="51"/>
        <v>4.0563124432334243</v>
      </c>
      <c r="CU6" s="217">
        <f t="shared" si="52"/>
        <v>20.014699555428081</v>
      </c>
      <c r="CV6" s="217">
        <f t="shared" si="53"/>
        <v>37.527561666427651</v>
      </c>
      <c r="CW6" s="443">
        <f t="shared" si="54"/>
        <v>15</v>
      </c>
      <c r="CX6" s="217">
        <f t="shared" si="55"/>
        <v>0.24981639050604568</v>
      </c>
      <c r="CY6" s="217">
        <f t="shared" si="56"/>
        <v>5.1686149759871527E-2</v>
      </c>
      <c r="CZ6" s="217">
        <f t="shared" si="57"/>
        <v>0.19094246408105403</v>
      </c>
      <c r="DA6" s="197">
        <f t="shared" si="58"/>
        <v>102.962460425147</v>
      </c>
      <c r="DB6" s="443">
        <f t="shared" ref="DB6:DB69" si="115">MIN(1/(CY6+CZ6)*1000, 350)</f>
        <v>350</v>
      </c>
      <c r="DD6" s="217">
        <f t="shared" si="59"/>
        <v>10</v>
      </c>
      <c r="DE6" s="173">
        <f t="shared" si="60"/>
        <v>7.6433121019108281</v>
      </c>
      <c r="DF6" s="173">
        <f t="shared" si="61"/>
        <v>3.9348710990502043</v>
      </c>
      <c r="DG6" s="173"/>
      <c r="DH6" s="173">
        <f t="shared" si="62"/>
        <v>7.6433121019108281</v>
      </c>
      <c r="DI6" s="545">
        <f t="shared" si="63"/>
        <v>10</v>
      </c>
      <c r="DJ6" s="528">
        <f t="shared" si="64"/>
        <v>3.9348710990502034</v>
      </c>
      <c r="DL6" s="173">
        <f t="shared" si="65"/>
        <v>0.85076995939532551</v>
      </c>
      <c r="DM6" s="173">
        <f t="shared" si="66"/>
        <v>10</v>
      </c>
      <c r="DN6" s="173">
        <f t="shared" si="67"/>
        <v>1.0057142857142858</v>
      </c>
      <c r="DP6" s="545">
        <f t="shared" si="68"/>
        <v>100</v>
      </c>
      <c r="DQ6" s="460">
        <f t="shared" si="69"/>
        <v>10</v>
      </c>
      <c r="DS6">
        <f t="shared" ref="DS6:DS69" si="116">IF(CL6&gt;CS6, "",DP6)</f>
        <v>100</v>
      </c>
      <c r="DT6" s="460">
        <f t="shared" si="70"/>
        <v>10</v>
      </c>
      <c r="DU6" s="460"/>
      <c r="DV6" s="5">
        <f t="shared" ref="DV6:DV69" si="117">1/DQ6*1000</f>
        <v>100</v>
      </c>
      <c r="DW6" s="5">
        <f t="shared" si="71"/>
        <v>2.068965517241379</v>
      </c>
      <c r="DX6" s="5">
        <f t="shared" ref="DX6:DX69" si="118">DV6-DW6</f>
        <v>97.931034482758619</v>
      </c>
      <c r="DY6" s="173">
        <f t="shared" ref="DY6:DY69" si="119">DW6/DV6</f>
        <v>2.0689655172413789E-2</v>
      </c>
      <c r="EA6" s="5">
        <f t="shared" si="72"/>
        <v>1.3793103448275861</v>
      </c>
      <c r="EB6" s="5">
        <f t="shared" si="73"/>
        <v>6.4655172413793094E-2</v>
      </c>
      <c r="EC6" s="5">
        <f t="shared" si="74"/>
        <v>0.87334454057156907</v>
      </c>
      <c r="ED6" s="5"/>
      <c r="EE6" s="173">
        <f t="shared" ref="EE6:EE69" si="120">DM6*SQRT(DY6/3)</f>
        <v>0.83045479853739956</v>
      </c>
      <c r="EF6" s="173">
        <f t="shared" si="75"/>
        <v>5.7134646372336579</v>
      </c>
      <c r="EG6" s="173">
        <f t="shared" si="76"/>
        <v>0.14070807028167601</v>
      </c>
      <c r="EH6" s="173"/>
      <c r="EI6" s="528">
        <f t="shared" si="77"/>
        <v>1.3793103448275858E-2</v>
      </c>
      <c r="EJ6" s="528">
        <f t="shared" si="78"/>
        <v>0.1474</v>
      </c>
      <c r="EK6" s="528">
        <f t="shared" si="79"/>
        <v>1.2499999999999998E-3</v>
      </c>
      <c r="EL6" s="528">
        <f t="shared" si="80"/>
        <v>5.4316900000000003E-3</v>
      </c>
      <c r="EM6">
        <f t="shared" si="81"/>
        <v>2.6099999999999998E-2</v>
      </c>
      <c r="EN6" s="460">
        <f t="shared" ref="EN6:EN69" si="121">(EK6+EM6)*1000</f>
        <v>27.349999999999998</v>
      </c>
      <c r="EO6">
        <f t="shared" si="82"/>
        <v>0.19834896882749534</v>
      </c>
      <c r="EP6" s="460">
        <f t="shared" ref="EP6:EP69" si="122">EO6*1000</f>
        <v>198.34896882749533</v>
      </c>
      <c r="EQ6" s="173">
        <f t="shared" si="83"/>
        <v>6.2124999999999993E-2</v>
      </c>
      <c r="ER6" s="173">
        <f t="shared" si="84"/>
        <v>1.1093749999999999E-3</v>
      </c>
      <c r="ES6" s="528"/>
      <c r="EU6" s="460">
        <f t="shared" ref="EU6:EU69" si="123">SUM(EQ6:ET6)*1000</f>
        <v>63.234374999999993</v>
      </c>
      <c r="EV6" s="528">
        <f t="shared" si="85"/>
        <v>2.0689655172413786E-2</v>
      </c>
      <c r="EW6" s="528">
        <f t="shared" ref="EW6:EW69" si="124">Rdcr_sec*EF6^2</f>
        <v>0.97931034482758605</v>
      </c>
      <c r="EX6" s="528">
        <f t="shared" si="86"/>
        <v>9.8993805211965375E-5</v>
      </c>
      <c r="EY6" s="528">
        <f t="shared" si="87"/>
        <v>5.0000000000000096E-3</v>
      </c>
      <c r="EZ6" s="528">
        <f t="shared" si="88"/>
        <v>1.3534059463291659</v>
      </c>
      <c r="FA6" s="625">
        <f t="shared" si="89"/>
        <v>1.0000000000000002E-3</v>
      </c>
      <c r="FB6" s="460">
        <f t="shared" ref="FB6:FB69" si="125">(EZ6+FA6)*1000</f>
        <v>1354.4059463291658</v>
      </c>
      <c r="FC6" s="173">
        <f t="shared" ref="FC6:FC69" si="126">SUM(EO6,EQ6:ET6,EZ6:FA6)</f>
        <v>1.6159892901566613</v>
      </c>
      <c r="FD6" s="5">
        <f t="shared" ref="FD6:FD69" si="127">MIN(CL6+CM6,CS6+CT6)</f>
        <v>1.52</v>
      </c>
      <c r="FE6" s="173">
        <f t="shared" ref="FE6:FE69" si="128">FD6/(FD6+FC6)</f>
        <v>0.4846955328486045</v>
      </c>
      <c r="FF6" s="5">
        <f t="shared" ref="FF6:FF69" si="129">FE6*100</f>
        <v>48.469553284860453</v>
      </c>
      <c r="FG6">
        <f t="shared" ref="FG6:FG69" si="130">CJ6/Iout*100</f>
        <v>1</v>
      </c>
      <c r="FI6" s="562">
        <f t="shared" si="90"/>
        <v>-50</v>
      </c>
      <c r="FJ6">
        <f t="shared" si="91"/>
        <v>-50</v>
      </c>
      <c r="FL6">
        <f t="shared" si="92"/>
        <v>3.9477101697586142E-2</v>
      </c>
    </row>
    <row r="7" spans="2:169">
      <c r="E7" s="170">
        <v>2</v>
      </c>
      <c r="F7" s="217">
        <f>IF(PLOT_TYPE=1, E7/100*Iout, min_I*EXP(O7*rr/100))</f>
        <v>0.2</v>
      </c>
      <c r="G7" s="217">
        <f t="shared" si="93"/>
        <v>5.0000000000000001E-3</v>
      </c>
      <c r="H7" s="217">
        <f t="shared" si="0"/>
        <v>3</v>
      </c>
      <c r="I7" s="217">
        <f>G7*Vout2</f>
        <v>0.04</v>
      </c>
      <c r="J7" s="541">
        <f t="shared" si="1"/>
        <v>57.799841154210043</v>
      </c>
      <c r="K7" s="443">
        <f t="shared" si="2"/>
        <v>15.807470926301022</v>
      </c>
      <c r="L7" s="172">
        <f t="shared" si="3"/>
        <v>73.607312080511065</v>
      </c>
      <c r="M7" s="443"/>
      <c r="N7" s="217">
        <f t="shared" si="4"/>
        <v>0.21475408460793871</v>
      </c>
      <c r="O7" s="172">
        <f t="shared" si="94"/>
        <v>306.23565734103562</v>
      </c>
      <c r="P7" s="172">
        <f t="shared" si="5"/>
        <v>4.1375839925188815</v>
      </c>
      <c r="Q7" s="217">
        <f t="shared" si="6"/>
        <v>20.415710489402375</v>
      </c>
      <c r="R7" s="217">
        <f t="shared" si="7"/>
        <v>38.279457167629452</v>
      </c>
      <c r="S7" s="443">
        <f t="shared" si="8"/>
        <v>15</v>
      </c>
      <c r="T7" s="217">
        <f t="shared" si="9"/>
        <v>0.48981885813824205</v>
      </c>
      <c r="U7" s="217">
        <f t="shared" si="10"/>
        <v>0.10169277597107677</v>
      </c>
      <c r="V7" s="217">
        <f t="shared" si="11"/>
        <v>0.37183850124178763</v>
      </c>
      <c r="W7" s="197">
        <f t="shared" si="12"/>
        <v>103.43959981297201</v>
      </c>
      <c r="X7" s="443">
        <f t="shared" si="95"/>
        <v>350</v>
      </c>
      <c r="Z7" s="217">
        <f t="shared" si="13"/>
        <v>10</v>
      </c>
      <c r="AA7" s="173">
        <f t="shared" si="14"/>
        <v>7.59134719016562</v>
      </c>
      <c r="AB7" s="173">
        <f t="shared" si="15"/>
        <v>3.9262295769603059</v>
      </c>
      <c r="AC7" s="173"/>
      <c r="AD7" s="173">
        <f t="shared" si="16"/>
        <v>7.59134719016562</v>
      </c>
      <c r="AE7" s="545">
        <f t="shared" si="17"/>
        <v>10</v>
      </c>
      <c r="AF7" s="528">
        <f t="shared" si="18"/>
        <v>3.9262295769603059</v>
      </c>
      <c r="AH7" s="173">
        <f t="shared" si="19"/>
        <v>1.2031704150364766</v>
      </c>
      <c r="AI7" s="173">
        <f t="shared" si="20"/>
        <v>10</v>
      </c>
      <c r="AJ7" s="173">
        <f t="shared" si="21"/>
        <v>1.0057142857142858</v>
      </c>
      <c r="AL7" s="545">
        <f t="shared" si="22"/>
        <v>200</v>
      </c>
      <c r="AM7" s="460">
        <f t="shared" si="23"/>
        <v>10</v>
      </c>
      <c r="AO7">
        <f t="shared" si="96"/>
        <v>200</v>
      </c>
      <c r="AP7" s="460">
        <f t="shared" si="24"/>
        <v>10</v>
      </c>
      <c r="AQ7" s="460"/>
      <c r="AR7" s="5">
        <f t="shared" si="97"/>
        <v>100</v>
      </c>
      <c r="AS7" s="5">
        <f t="shared" si="25"/>
        <v>2.0761302730891575</v>
      </c>
      <c r="AT7" s="5">
        <f t="shared" si="98"/>
        <v>97.923869726910837</v>
      </c>
      <c r="AU7" s="173">
        <f t="shared" si="99"/>
        <v>2.0761302730891575E-2</v>
      </c>
      <c r="AW7" s="5">
        <f t="shared" si="26"/>
        <v>2.7681736974522102</v>
      </c>
      <c r="AX7" s="5">
        <f t="shared" si="27"/>
        <v>0.12975814206807235</v>
      </c>
      <c r="AY7" s="5">
        <f t="shared" si="28"/>
        <v>1.7526095723972277</v>
      </c>
      <c r="AZ7" s="5"/>
      <c r="BA7" s="173">
        <f t="shared" si="100"/>
        <v>0.83189147390933904</v>
      </c>
      <c r="BB7" s="173">
        <f t="shared" si="29"/>
        <v>5.7132556313340546</v>
      </c>
      <c r="BC7" s="173">
        <f t="shared" si="30"/>
        <v>0.1407029229991289</v>
      </c>
      <c r="BD7" s="173"/>
      <c r="BE7" s="528">
        <f t="shared" si="31"/>
        <v>1.3840868487261052E-2</v>
      </c>
      <c r="BF7" s="528">
        <f t="shared" si="32"/>
        <v>0.13801371015095826</v>
      </c>
      <c r="BG7" s="528">
        <f t="shared" si="33"/>
        <v>1.444996028855251E-2</v>
      </c>
      <c r="BH7" s="528">
        <f t="shared" si="34"/>
        <v>5.4180363917177505E-3</v>
      </c>
      <c r="BI7">
        <f t="shared" si="35"/>
        <v>2.6009928519394519E-2</v>
      </c>
      <c r="BJ7" s="460">
        <f t="shared" si="101"/>
        <v>40.459888807947031</v>
      </c>
      <c r="BK7">
        <f t="shared" si="36"/>
        <v>0.16154089133829874</v>
      </c>
      <c r="BL7" s="460">
        <f t="shared" si="102"/>
        <v>161.54089133829874</v>
      </c>
      <c r="BM7" s="173">
        <f t="shared" si="37"/>
        <v>0.12424999999999999</v>
      </c>
      <c r="BN7" s="173">
        <f t="shared" si="38"/>
        <v>2.2187499999999998E-3</v>
      </c>
      <c r="BO7" s="528"/>
      <c r="BQ7" s="460">
        <f t="shared" si="103"/>
        <v>126.46874999999999</v>
      </c>
      <c r="BR7" s="528">
        <f t="shared" si="39"/>
        <v>2.0761302730891575E-2</v>
      </c>
      <c r="BS7" s="528">
        <f t="shared" si="104"/>
        <v>0.9792386972691085</v>
      </c>
      <c r="BT7" s="528">
        <f t="shared" si="40"/>
        <v>9.8986562702493979E-5</v>
      </c>
      <c r="BU7" s="528">
        <f t="shared" si="41"/>
        <v>5.0000000000000096E-3</v>
      </c>
      <c r="BV7" s="528">
        <f t="shared" si="42"/>
        <v>1.3534059357150789</v>
      </c>
      <c r="BW7" s="625">
        <f t="shared" si="43"/>
        <v>1.0000000000000002E-3</v>
      </c>
      <c r="BX7" s="460">
        <f t="shared" si="105"/>
        <v>1354.4059357150788</v>
      </c>
      <c r="BY7" s="173">
        <f t="shared" si="106"/>
        <v>1.6424155770533775</v>
      </c>
      <c r="BZ7" s="5">
        <f t="shared" si="107"/>
        <v>3.04</v>
      </c>
      <c r="CA7" s="173">
        <f t="shared" si="108"/>
        <v>0.64923754629935226</v>
      </c>
      <c r="CB7" s="5">
        <f t="shared" si="109"/>
        <v>64.923754629935232</v>
      </c>
      <c r="CC7">
        <f t="shared" si="110"/>
        <v>2</v>
      </c>
      <c r="CE7" s="562">
        <f t="shared" si="44"/>
        <v>-50</v>
      </c>
      <c r="CF7">
        <f t="shared" si="45"/>
        <v>-50</v>
      </c>
      <c r="CG7" s="173">
        <f t="shared" si="46"/>
        <v>5.5829052623908255E-2</v>
      </c>
      <c r="CH7" s="173">
        <f t="shared" si="47"/>
        <v>6.4328056932242538E-3</v>
      </c>
      <c r="CI7" s="170">
        <v>2</v>
      </c>
      <c r="CJ7" s="217">
        <f>IF(PLOT_TYPE=1, CI7/100*Iout, min_I*EXP(CS7*rr/100))</f>
        <v>0.2</v>
      </c>
      <c r="CK7" s="217">
        <f t="shared" si="111"/>
        <v>5.0000000000000001E-3</v>
      </c>
      <c r="CL7" s="217">
        <f t="shared" si="48"/>
        <v>3</v>
      </c>
      <c r="CM7" s="217">
        <f>CK7*Vout2</f>
        <v>0.04</v>
      </c>
      <c r="CN7" s="541">
        <f t="shared" si="112"/>
        <v>58</v>
      </c>
      <c r="CO7" s="443">
        <f t="shared" si="49"/>
        <v>15.7</v>
      </c>
      <c r="CP7" s="443">
        <f t="shared" si="50"/>
        <v>73.7</v>
      </c>
      <c r="CQ7" s="443"/>
      <c r="CR7" s="217">
        <f t="shared" si="113"/>
        <v>0.2098092643051771</v>
      </c>
      <c r="CS7" s="172">
        <f t="shared" si="114"/>
        <v>300.22049333142121</v>
      </c>
      <c r="CT7" s="172">
        <f t="shared" si="51"/>
        <v>4.0563124432334243</v>
      </c>
      <c r="CU7" s="217">
        <f t="shared" si="52"/>
        <v>20.014699555428081</v>
      </c>
      <c r="CV7" s="217">
        <f t="shared" si="53"/>
        <v>37.527561666427651</v>
      </c>
      <c r="CW7" s="443">
        <f t="shared" si="54"/>
        <v>15</v>
      </c>
      <c r="CX7" s="217">
        <f t="shared" si="55"/>
        <v>0.49963278101209135</v>
      </c>
      <c r="CY7" s="217">
        <f t="shared" si="56"/>
        <v>0.10337229951974305</v>
      </c>
      <c r="CZ7" s="217">
        <f t="shared" si="57"/>
        <v>0.38188492816210806</v>
      </c>
      <c r="DA7" s="197">
        <f t="shared" si="58"/>
        <v>102.962460425147</v>
      </c>
      <c r="DB7" s="443">
        <f t="shared" si="115"/>
        <v>350</v>
      </c>
      <c r="DD7" s="217">
        <f t="shared" si="59"/>
        <v>10</v>
      </c>
      <c r="DE7" s="173">
        <f t="shared" si="60"/>
        <v>7.6433121019108281</v>
      </c>
      <c r="DF7" s="173">
        <f t="shared" si="61"/>
        <v>3.9348710990502043</v>
      </c>
      <c r="DG7" s="173"/>
      <c r="DH7" s="173">
        <f t="shared" si="62"/>
        <v>7.6433121019108281</v>
      </c>
      <c r="DI7" s="545">
        <f t="shared" si="63"/>
        <v>10</v>
      </c>
      <c r="DJ7" s="528">
        <f t="shared" si="64"/>
        <v>3.9348710990502034</v>
      </c>
      <c r="DL7" s="173">
        <f t="shared" si="65"/>
        <v>1.2031704150364766</v>
      </c>
      <c r="DM7" s="173">
        <f t="shared" si="66"/>
        <v>10</v>
      </c>
      <c r="DN7" s="173">
        <f t="shared" si="67"/>
        <v>1.0057142857142858</v>
      </c>
      <c r="DP7" s="545">
        <f t="shared" si="68"/>
        <v>200</v>
      </c>
      <c r="DQ7" s="460">
        <f t="shared" si="69"/>
        <v>10</v>
      </c>
      <c r="DS7">
        <f t="shared" si="116"/>
        <v>200</v>
      </c>
      <c r="DT7" s="460">
        <f t="shared" si="70"/>
        <v>10</v>
      </c>
      <c r="DU7" s="460"/>
      <c r="DV7" s="5">
        <f t="shared" si="117"/>
        <v>100</v>
      </c>
      <c r="DW7" s="5">
        <f t="shared" si="71"/>
        <v>2.068965517241379</v>
      </c>
      <c r="DX7" s="5">
        <f t="shared" si="118"/>
        <v>97.931034482758619</v>
      </c>
      <c r="DY7" s="173">
        <f t="shared" si="119"/>
        <v>2.0689655172413789E-2</v>
      </c>
      <c r="EA7" s="5">
        <f t="shared" si="72"/>
        <v>2.7586206896551722</v>
      </c>
      <c r="EB7" s="5">
        <f t="shared" si="73"/>
        <v>0.12931034482758619</v>
      </c>
      <c r="EC7" s="5">
        <f t="shared" si="74"/>
        <v>1.7466890811431381</v>
      </c>
      <c r="ED7" s="5"/>
      <c r="EE7" s="173">
        <f t="shared" si="120"/>
        <v>0.83045479853739956</v>
      </c>
      <c r="EF7" s="173">
        <f t="shared" si="75"/>
        <v>5.7134646372336579</v>
      </c>
      <c r="EG7" s="173">
        <f t="shared" si="76"/>
        <v>0.14070807028167601</v>
      </c>
      <c r="EH7" s="173"/>
      <c r="EI7" s="528">
        <f t="shared" si="77"/>
        <v>1.3793103448275858E-2</v>
      </c>
      <c r="EJ7" s="528">
        <f t="shared" si="78"/>
        <v>0.1474</v>
      </c>
      <c r="EK7" s="528">
        <f t="shared" si="79"/>
        <v>1.2499999999999998E-3</v>
      </c>
      <c r="EL7" s="528">
        <f t="shared" si="80"/>
        <v>5.4316900000000003E-3</v>
      </c>
      <c r="EM7">
        <f t="shared" si="81"/>
        <v>2.6099999999999998E-2</v>
      </c>
      <c r="EN7" s="460">
        <f t="shared" si="121"/>
        <v>27.349999999999998</v>
      </c>
      <c r="EO7">
        <f t="shared" si="82"/>
        <v>0.19834896882749534</v>
      </c>
      <c r="EP7" s="460">
        <f t="shared" si="122"/>
        <v>198.34896882749533</v>
      </c>
      <c r="EQ7" s="173">
        <f t="shared" si="83"/>
        <v>0.12424999999999999</v>
      </c>
      <c r="ER7" s="173">
        <f t="shared" si="84"/>
        <v>2.2187499999999998E-3</v>
      </c>
      <c r="ES7" s="528"/>
      <c r="EU7" s="460">
        <f t="shared" si="123"/>
        <v>126.46874999999999</v>
      </c>
      <c r="EV7" s="528">
        <f t="shared" si="85"/>
        <v>2.0689655172413786E-2</v>
      </c>
      <c r="EW7" s="528">
        <f t="shared" si="124"/>
        <v>0.97931034482758605</v>
      </c>
      <c r="EX7" s="528">
        <f t="shared" si="86"/>
        <v>9.8993805211965375E-5</v>
      </c>
      <c r="EY7" s="528">
        <f t="shared" si="87"/>
        <v>5.0000000000000096E-3</v>
      </c>
      <c r="EZ7" s="528">
        <f t="shared" si="88"/>
        <v>1.3534059463291659</v>
      </c>
      <c r="FA7" s="625">
        <f t="shared" si="89"/>
        <v>1.0000000000000002E-3</v>
      </c>
      <c r="FB7" s="460">
        <f t="shared" si="125"/>
        <v>1354.4059463291658</v>
      </c>
      <c r="FC7" s="173">
        <f t="shared" si="126"/>
        <v>1.6792236651566612</v>
      </c>
      <c r="FD7" s="5">
        <f t="shared" si="127"/>
        <v>3.04</v>
      </c>
      <c r="FE7" s="173">
        <f t="shared" si="128"/>
        <v>0.64417374884033662</v>
      </c>
      <c r="FF7" s="5">
        <f t="shared" si="129"/>
        <v>64.417374884033663</v>
      </c>
      <c r="FG7">
        <f t="shared" si="130"/>
        <v>2</v>
      </c>
      <c r="FI7" s="562">
        <f t="shared" si="90"/>
        <v>-50</v>
      </c>
      <c r="FJ7">
        <f t="shared" si="91"/>
        <v>-50</v>
      </c>
      <c r="FL7">
        <f t="shared" si="92"/>
        <v>5.5829052623908255E-2</v>
      </c>
    </row>
    <row r="8" spans="2:169">
      <c r="E8" s="170">
        <v>3</v>
      </c>
      <c r="F8" s="217">
        <f t="shared" ref="F8:F39" si="131">IF(PLOT_TYPE=1, E8/100*Iout_max, min_I*EXP(O8*rr/100))</f>
        <v>0.3</v>
      </c>
      <c r="G8" s="217">
        <f t="shared" si="93"/>
        <v>7.4999999999999997E-3</v>
      </c>
      <c r="H8" s="217">
        <f t="shared" si="0"/>
        <v>4.5</v>
      </c>
      <c r="I8" s="217">
        <f t="shared" ref="I8:I39" si="132">Vout2*G8</f>
        <v>0.06</v>
      </c>
      <c r="J8" s="541">
        <f t="shared" si="1"/>
        <v>57.754856480155084</v>
      </c>
      <c r="K8" s="443">
        <f t="shared" si="2"/>
        <v>15.831624465810881</v>
      </c>
      <c r="L8" s="172">
        <f t="shared" si="3"/>
        <v>73.58648094596596</v>
      </c>
      <c r="M8" s="443"/>
      <c r="N8" s="217">
        <f t="shared" si="4"/>
        <v>0.21514311137443756</v>
      </c>
      <c r="O8" s="172">
        <f t="shared" si="94"/>
        <v>306.5516328978124</v>
      </c>
      <c r="P8" s="172">
        <f t="shared" si="5"/>
        <v>4.1418531733748871</v>
      </c>
      <c r="Q8" s="217">
        <f t="shared" si="6"/>
        <v>20.436775526520826</v>
      </c>
      <c r="R8" s="217">
        <f t="shared" si="7"/>
        <v>38.31895411222655</v>
      </c>
      <c r="S8" s="443">
        <f t="shared" si="8"/>
        <v>15</v>
      </c>
      <c r="T8" s="217">
        <f t="shared" si="9"/>
        <v>0.73397097211027651</v>
      </c>
      <c r="U8" s="217">
        <f t="shared" si="10"/>
        <v>0.15250062422628791</v>
      </c>
      <c r="V8" s="217">
        <f t="shared" si="11"/>
        <v>0.55633278090595484</v>
      </c>
      <c r="W8" s="197">
        <f t="shared" si="12"/>
        <v>103.54632933437217</v>
      </c>
      <c r="X8" s="443">
        <f t="shared" si="95"/>
        <v>350</v>
      </c>
      <c r="Z8" s="217">
        <f t="shared" si="13"/>
        <v>10</v>
      </c>
      <c r="AA8" s="173">
        <f t="shared" si="14"/>
        <v>7.5797654409467272</v>
      </c>
      <c r="AB8" s="173">
        <f t="shared" si="15"/>
        <v>3.9242844431278128</v>
      </c>
      <c r="AC8" s="173"/>
      <c r="AD8" s="173">
        <f t="shared" si="16"/>
        <v>7.5797654409467272</v>
      </c>
      <c r="AE8" s="545">
        <f t="shared" si="17"/>
        <v>10</v>
      </c>
      <c r="AF8" s="528">
        <f t="shared" si="18"/>
        <v>3.9242844431278123</v>
      </c>
      <c r="AH8" s="173">
        <f t="shared" si="19"/>
        <v>1.4735767952260144</v>
      </c>
      <c r="AI8" s="173">
        <f t="shared" si="20"/>
        <v>10</v>
      </c>
      <c r="AJ8" s="173">
        <f t="shared" si="21"/>
        <v>1.0057142857142858</v>
      </c>
      <c r="AL8" s="545">
        <f t="shared" si="22"/>
        <v>300</v>
      </c>
      <c r="AM8" s="460">
        <f t="shared" si="23"/>
        <v>10</v>
      </c>
      <c r="AO8">
        <f t="shared" si="96"/>
        <v>300</v>
      </c>
      <c r="AP8" s="460">
        <f t="shared" si="24"/>
        <v>10</v>
      </c>
      <c r="AQ8" s="460"/>
      <c r="AR8" s="5">
        <f t="shared" si="97"/>
        <v>100</v>
      </c>
      <c r="AS8" s="5">
        <f t="shared" si="25"/>
        <v>2.0777473499779662</v>
      </c>
      <c r="AT8" s="5">
        <f t="shared" si="98"/>
        <v>97.922252650022031</v>
      </c>
      <c r="AU8" s="173">
        <f t="shared" si="99"/>
        <v>2.0777473499779663E-2</v>
      </c>
      <c r="AW8" s="5">
        <f t="shared" si="26"/>
        <v>4.1554946999559315</v>
      </c>
      <c r="AX8" s="5">
        <f t="shared" si="27"/>
        <v>0.19478881406043436</v>
      </c>
      <c r="AY8" s="5">
        <f t="shared" si="28"/>
        <v>2.6309185467343466</v>
      </c>
      <c r="AZ8" s="5"/>
      <c r="BA8" s="173">
        <f t="shared" si="100"/>
        <v>0.83221538677956175</v>
      </c>
      <c r="BB8" s="173">
        <f t="shared" si="29"/>
        <v>5.7132084578930495</v>
      </c>
      <c r="BC8" s="173">
        <f t="shared" si="30"/>
        <v>0.14070176123752298</v>
      </c>
      <c r="BD8" s="173"/>
      <c r="BE8" s="528">
        <f t="shared" si="31"/>
        <v>1.3851648999853113E-2</v>
      </c>
      <c r="BF8" s="528">
        <f t="shared" si="32"/>
        <v>0.13797465177368615</v>
      </c>
      <c r="BG8" s="528">
        <f t="shared" si="33"/>
        <v>1.4438714120038769E-2</v>
      </c>
      <c r="BH8" s="528">
        <f t="shared" si="34"/>
        <v>5.4149701780110112E-3</v>
      </c>
      <c r="BI8">
        <f t="shared" si="35"/>
        <v>2.5989685416069788E-2</v>
      </c>
      <c r="BJ8" s="460">
        <f t="shared" si="101"/>
        <v>40.428399536108557</v>
      </c>
      <c r="BK8">
        <f t="shared" si="36"/>
        <v>0.16151277925606422</v>
      </c>
      <c r="BL8" s="460">
        <f t="shared" si="102"/>
        <v>161.51277925606422</v>
      </c>
      <c r="BM8" s="173">
        <f t="shared" si="37"/>
        <v>0.18637499999999999</v>
      </c>
      <c r="BN8" s="173">
        <f t="shared" si="38"/>
        <v>3.3281249999999999E-3</v>
      </c>
      <c r="BO8" s="528"/>
      <c r="BQ8" s="460">
        <f t="shared" si="103"/>
        <v>189.70312499999997</v>
      </c>
      <c r="BR8" s="528">
        <f t="shared" si="39"/>
        <v>2.0777473499779667E-2</v>
      </c>
      <c r="BS8" s="528">
        <f t="shared" si="104"/>
        <v>0.97922252650022035</v>
      </c>
      <c r="BT8" s="528">
        <f t="shared" si="40"/>
        <v>9.8984928076704625E-5</v>
      </c>
      <c r="BU8" s="528">
        <f t="shared" si="41"/>
        <v>5.0000000000000096E-3</v>
      </c>
      <c r="BV8" s="528">
        <f t="shared" si="42"/>
        <v>1.3534059333194921</v>
      </c>
      <c r="BW8" s="625">
        <f t="shared" si="43"/>
        <v>1.0000000000000002E-3</v>
      </c>
      <c r="BX8" s="460">
        <f t="shared" si="105"/>
        <v>1354.4059333194921</v>
      </c>
      <c r="BY8" s="173">
        <f t="shared" si="106"/>
        <v>1.7056218375755563</v>
      </c>
      <c r="BZ8" s="5">
        <f t="shared" si="107"/>
        <v>4.5599999999999996</v>
      </c>
      <c r="CA8" s="173">
        <f t="shared" si="108"/>
        <v>0.72778091595844918</v>
      </c>
      <c r="CB8" s="5">
        <f t="shared" si="109"/>
        <v>72.778091595844913</v>
      </c>
      <c r="CC8">
        <f t="shared" si="110"/>
        <v>3</v>
      </c>
      <c r="CE8" s="562">
        <f t="shared" si="44"/>
        <v>-50</v>
      </c>
      <c r="CF8">
        <f t="shared" si="45"/>
        <v>-50</v>
      </c>
      <c r="CG8" s="173">
        <f t="shared" si="46"/>
        <v>6.8376345875782771E-2</v>
      </c>
      <c r="CH8" s="173">
        <f t="shared" si="47"/>
        <v>7.8785457814350198E-3</v>
      </c>
      <c r="CI8" s="170">
        <v>3</v>
      </c>
      <c r="CJ8" s="217">
        <f t="shared" ref="CJ8:CJ71" si="133">IF(PLOT_TYPE=1, CI8/100*Iout_max, min_I*EXP(CS8*rr/100))</f>
        <v>0.3</v>
      </c>
      <c r="CK8" s="217">
        <f t="shared" si="111"/>
        <v>7.4999999999999997E-3</v>
      </c>
      <c r="CL8" s="217">
        <f t="shared" si="48"/>
        <v>4.5</v>
      </c>
      <c r="CM8" s="217">
        <f t="shared" ref="CM8:CM71" si="134">Vout2*CK8</f>
        <v>0.06</v>
      </c>
      <c r="CN8" s="541">
        <f t="shared" si="112"/>
        <v>58</v>
      </c>
      <c r="CO8" s="443">
        <f t="shared" si="49"/>
        <v>15.7</v>
      </c>
      <c r="CP8" s="443">
        <f t="shared" si="50"/>
        <v>73.7</v>
      </c>
      <c r="CQ8" s="443"/>
      <c r="CR8" s="217">
        <f t="shared" si="113"/>
        <v>0.2098092643051771</v>
      </c>
      <c r="CS8" s="172">
        <f t="shared" si="114"/>
        <v>300.22049333142121</v>
      </c>
      <c r="CT8" s="172">
        <f t="shared" si="51"/>
        <v>4.0563124432334243</v>
      </c>
      <c r="CU8" s="217">
        <f t="shared" si="52"/>
        <v>20.014699555428081</v>
      </c>
      <c r="CV8" s="217">
        <f t="shared" si="53"/>
        <v>37.527561666427651</v>
      </c>
      <c r="CW8" s="443">
        <f t="shared" si="54"/>
        <v>15</v>
      </c>
      <c r="CX8" s="217">
        <f t="shared" si="55"/>
        <v>0.74944917151813695</v>
      </c>
      <c r="CY8" s="217">
        <f t="shared" si="56"/>
        <v>0.15505844927961454</v>
      </c>
      <c r="CZ8" s="217">
        <f t="shared" si="57"/>
        <v>0.57282739224316204</v>
      </c>
      <c r="DA8" s="197">
        <f t="shared" si="58"/>
        <v>102.962460425147</v>
      </c>
      <c r="DB8" s="443">
        <f t="shared" si="115"/>
        <v>350</v>
      </c>
      <c r="DD8" s="217">
        <f t="shared" si="59"/>
        <v>10</v>
      </c>
      <c r="DE8" s="173">
        <f t="shared" si="60"/>
        <v>7.6433121019108281</v>
      </c>
      <c r="DF8" s="173">
        <f t="shared" si="61"/>
        <v>3.9348710990502043</v>
      </c>
      <c r="DG8" s="173"/>
      <c r="DH8" s="173">
        <f t="shared" si="62"/>
        <v>7.6433121019108281</v>
      </c>
      <c r="DI8" s="545">
        <f t="shared" si="63"/>
        <v>10</v>
      </c>
      <c r="DJ8" s="528">
        <f t="shared" si="64"/>
        <v>3.9348710990502034</v>
      </c>
      <c r="DL8" s="173">
        <f t="shared" si="65"/>
        <v>1.4735767952260144</v>
      </c>
      <c r="DM8" s="173">
        <f t="shared" si="66"/>
        <v>10</v>
      </c>
      <c r="DN8" s="173">
        <f t="shared" si="67"/>
        <v>1.0057142857142858</v>
      </c>
      <c r="DP8" s="545">
        <f t="shared" si="68"/>
        <v>300</v>
      </c>
      <c r="DQ8" s="460">
        <f t="shared" si="69"/>
        <v>10</v>
      </c>
      <c r="DS8">
        <f t="shared" si="116"/>
        <v>300</v>
      </c>
      <c r="DT8" s="460">
        <f t="shared" si="70"/>
        <v>10</v>
      </c>
      <c r="DU8" s="460"/>
      <c r="DV8" s="5">
        <f t="shared" si="117"/>
        <v>100</v>
      </c>
      <c r="DW8" s="5">
        <f t="shared" si="71"/>
        <v>2.068965517241379</v>
      </c>
      <c r="DX8" s="5">
        <f t="shared" si="118"/>
        <v>97.931034482758619</v>
      </c>
      <c r="DY8" s="173">
        <f t="shared" si="119"/>
        <v>2.0689655172413789E-2</v>
      </c>
      <c r="EA8" s="5">
        <f t="shared" si="72"/>
        <v>4.137931034482758</v>
      </c>
      <c r="EB8" s="5">
        <f t="shared" si="73"/>
        <v>0.19396551724137928</v>
      </c>
      <c r="EC8" s="5">
        <f t="shared" si="74"/>
        <v>2.6200336217147071</v>
      </c>
      <c r="ED8" s="5"/>
      <c r="EE8" s="173">
        <f t="shared" si="120"/>
        <v>0.83045479853739956</v>
      </c>
      <c r="EF8" s="173">
        <f t="shared" si="75"/>
        <v>5.7134646372336579</v>
      </c>
      <c r="EG8" s="173">
        <f t="shared" si="76"/>
        <v>0.14070807028167601</v>
      </c>
      <c r="EH8" s="173"/>
      <c r="EI8" s="528">
        <f t="shared" si="77"/>
        <v>1.3793103448275858E-2</v>
      </c>
      <c r="EJ8" s="528">
        <f t="shared" si="78"/>
        <v>0.1474</v>
      </c>
      <c r="EK8" s="528">
        <f t="shared" si="79"/>
        <v>1.2499999999999998E-3</v>
      </c>
      <c r="EL8" s="528">
        <f t="shared" si="80"/>
        <v>5.4316900000000003E-3</v>
      </c>
      <c r="EM8">
        <f t="shared" si="81"/>
        <v>2.6099999999999998E-2</v>
      </c>
      <c r="EN8" s="460">
        <f t="shared" si="121"/>
        <v>27.349999999999998</v>
      </c>
      <c r="EO8">
        <f t="shared" si="82"/>
        <v>0.19834896882749534</v>
      </c>
      <c r="EP8" s="460">
        <f t="shared" si="122"/>
        <v>198.34896882749533</v>
      </c>
      <c r="EQ8" s="173">
        <f t="shared" si="83"/>
        <v>0.18637499999999999</v>
      </c>
      <c r="ER8" s="173">
        <f t="shared" si="84"/>
        <v>3.3281249999999999E-3</v>
      </c>
      <c r="ES8" s="528"/>
      <c r="EU8" s="460">
        <f t="shared" si="123"/>
        <v>189.70312499999997</v>
      </c>
      <c r="EV8" s="528">
        <f t="shared" si="85"/>
        <v>2.0689655172413786E-2</v>
      </c>
      <c r="EW8" s="528">
        <f t="shared" si="124"/>
        <v>0.97931034482758605</v>
      </c>
      <c r="EX8" s="528">
        <f t="shared" si="86"/>
        <v>9.8993805211965375E-5</v>
      </c>
      <c r="EY8" s="528">
        <f t="shared" si="87"/>
        <v>5.0000000000000096E-3</v>
      </c>
      <c r="EZ8" s="528">
        <f t="shared" si="88"/>
        <v>1.3534059463291659</v>
      </c>
      <c r="FA8" s="625">
        <f t="shared" si="89"/>
        <v>1.0000000000000002E-3</v>
      </c>
      <c r="FB8" s="460">
        <f t="shared" si="125"/>
        <v>1354.4059463291658</v>
      </c>
      <c r="FC8" s="173">
        <f t="shared" si="126"/>
        <v>1.7424580401566612</v>
      </c>
      <c r="FD8" s="5">
        <f t="shared" si="127"/>
        <v>4.5599999999999996</v>
      </c>
      <c r="FE8" s="173">
        <f t="shared" si="128"/>
        <v>0.72352722873291053</v>
      </c>
      <c r="FF8" s="5">
        <f t="shared" si="129"/>
        <v>72.352722873291057</v>
      </c>
      <c r="FG8">
        <f t="shared" si="130"/>
        <v>3</v>
      </c>
      <c r="FI8" s="562">
        <f t="shared" si="90"/>
        <v>-50</v>
      </c>
      <c r="FJ8">
        <f t="shared" si="91"/>
        <v>-50</v>
      </c>
      <c r="FL8">
        <f t="shared" si="92"/>
        <v>6.8376345875782785E-2</v>
      </c>
    </row>
    <row r="9" spans="2:169">
      <c r="E9" s="170">
        <v>4</v>
      </c>
      <c r="F9" s="217">
        <f t="shared" si="131"/>
        <v>0.4</v>
      </c>
      <c r="G9" s="217">
        <f t="shared" si="93"/>
        <v>0.01</v>
      </c>
      <c r="H9" s="217">
        <f t="shared" si="0"/>
        <v>6</v>
      </c>
      <c r="I9" s="217">
        <f t="shared" si="132"/>
        <v>0.08</v>
      </c>
      <c r="J9" s="541">
        <f t="shared" si="1"/>
        <v>57.723315016620042</v>
      </c>
      <c r="K9" s="443">
        <f t="shared" si="2"/>
        <v>15.848559966660831</v>
      </c>
      <c r="L9" s="172">
        <f t="shared" si="3"/>
        <v>73.571874983280878</v>
      </c>
      <c r="M9" s="443"/>
      <c r="N9" s="217">
        <f t="shared" si="4"/>
        <v>0.21541601284814879</v>
      </c>
      <c r="O9" s="172">
        <f t="shared" si="94"/>
        <v>306.77285450471948</v>
      </c>
      <c r="P9" s="172">
        <f t="shared" si="5"/>
        <v>4.1448421230859873</v>
      </c>
      <c r="Q9" s="217">
        <f t="shared" si="6"/>
        <v>20.451523633647966</v>
      </c>
      <c r="R9" s="217">
        <f t="shared" si="7"/>
        <v>38.346606813089934</v>
      </c>
      <c r="S9" s="443">
        <f t="shared" si="8"/>
        <v>15</v>
      </c>
      <c r="T9" s="217">
        <f t="shared" si="9"/>
        <v>0.97792224962129015</v>
      </c>
      <c r="U9" s="217">
        <f t="shared" si="10"/>
        <v>0.20329856301698285</v>
      </c>
      <c r="V9" s="217">
        <f t="shared" si="11"/>
        <v>0.74045004846758766</v>
      </c>
      <c r="W9" s="197">
        <f t="shared" si="12"/>
        <v>103.62105307714972</v>
      </c>
      <c r="X9" s="443">
        <f t="shared" si="95"/>
        <v>350</v>
      </c>
      <c r="Z9" s="217">
        <f t="shared" si="13"/>
        <v>10</v>
      </c>
      <c r="AA9" s="173">
        <f t="shared" si="14"/>
        <v>7.5716658328853255</v>
      </c>
      <c r="AB9" s="173">
        <f t="shared" si="15"/>
        <v>3.922919935759257</v>
      </c>
      <c r="AC9" s="173"/>
      <c r="AD9" s="173">
        <f t="shared" si="16"/>
        <v>7.5716658328853255</v>
      </c>
      <c r="AE9" s="545">
        <f t="shared" si="17"/>
        <v>10.565706644440553</v>
      </c>
      <c r="AF9" s="528">
        <f t="shared" si="18"/>
        <v>3.922919935759257</v>
      </c>
      <c r="AH9" s="173">
        <f t="shared" si="19"/>
        <v>1.701539918790651</v>
      </c>
      <c r="AI9" s="173">
        <f t="shared" si="20"/>
        <v>10</v>
      </c>
      <c r="AJ9" s="173">
        <f t="shared" si="21"/>
        <v>1.0060375466539659</v>
      </c>
      <c r="AL9" s="545">
        <f t="shared" si="22"/>
        <v>400</v>
      </c>
      <c r="AM9" s="460">
        <f t="shared" si="23"/>
        <v>10.565706644440553</v>
      </c>
      <c r="AO9">
        <f t="shared" si="96"/>
        <v>400</v>
      </c>
      <c r="AP9" s="460">
        <f t="shared" si="24"/>
        <v>10.565706644440553</v>
      </c>
      <c r="AQ9" s="460"/>
      <c r="AR9" s="5">
        <f t="shared" si="97"/>
        <v>94.645822911066574</v>
      </c>
      <c r="AS9" s="5">
        <f t="shared" si="25"/>
        <v>2.0788826831142475</v>
      </c>
      <c r="AT9" s="5">
        <f t="shared" si="98"/>
        <v>92.56694022795233</v>
      </c>
      <c r="AU9" s="173">
        <f t="shared" si="99"/>
        <v>2.1964864577992609E-2</v>
      </c>
      <c r="AW9" s="5">
        <f t="shared" si="26"/>
        <v>5.5436871549713267</v>
      </c>
      <c r="AX9" s="5">
        <f t="shared" si="27"/>
        <v>0.25986033538928088</v>
      </c>
      <c r="AY9" s="5">
        <f t="shared" si="28"/>
        <v>3.3178587770476149</v>
      </c>
      <c r="AZ9" s="5"/>
      <c r="BA9" s="173">
        <f t="shared" si="100"/>
        <v>0.85566474310897822</v>
      </c>
      <c r="BB9" s="173">
        <f t="shared" si="29"/>
        <v>5.709743530206377</v>
      </c>
      <c r="BC9" s="173">
        <f t="shared" si="30"/>
        <v>0.14061642890076884</v>
      </c>
      <c r="BD9" s="173"/>
      <c r="BE9" s="528">
        <f t="shared" si="31"/>
        <v>1.4643243051995075E-2</v>
      </c>
      <c r="BF9" s="528">
        <f t="shared" si="32"/>
        <v>0.14575103406652506</v>
      </c>
      <c r="BG9" s="528">
        <f t="shared" si="33"/>
        <v>1.5247190325255939E-2</v>
      </c>
      <c r="BH9" s="528">
        <f t="shared" si="34"/>
        <v>5.7190276570806926E-3</v>
      </c>
      <c r="BI9">
        <f t="shared" si="35"/>
        <v>2.5975491757479017E-2</v>
      </c>
      <c r="BJ9" s="460">
        <f t="shared" si="101"/>
        <v>41.222682082734956</v>
      </c>
      <c r="BK9">
        <f t="shared" si="36"/>
        <v>0.17066074917435139</v>
      </c>
      <c r="BL9" s="460">
        <f t="shared" si="102"/>
        <v>170.66074917435139</v>
      </c>
      <c r="BM9" s="173">
        <f t="shared" si="37"/>
        <v>0.24849999999999997</v>
      </c>
      <c r="BN9" s="173">
        <f t="shared" si="38"/>
        <v>4.4374999999999996E-3</v>
      </c>
      <c r="BO9" s="528"/>
      <c r="BQ9" s="460">
        <f t="shared" si="103"/>
        <v>252.93749999999997</v>
      </c>
      <c r="BR9" s="528">
        <f t="shared" si="39"/>
        <v>2.1964864577992609E-2</v>
      </c>
      <c r="BS9" s="528">
        <f t="shared" si="104"/>
        <v>0.97803513542200737</v>
      </c>
      <c r="BT9" s="528">
        <f t="shared" si="40"/>
        <v>9.8864900384024887E-5</v>
      </c>
      <c r="BU9" s="528">
        <f t="shared" si="41"/>
        <v>5.7374164636718877E-3</v>
      </c>
      <c r="BV9" s="528">
        <f t="shared" si="42"/>
        <v>1.3542073039410483</v>
      </c>
      <c r="BW9" s="625">
        <f t="shared" si="43"/>
        <v>1.0565706644440555E-3</v>
      </c>
      <c r="BX9" s="460">
        <f t="shared" si="105"/>
        <v>1355.2638746054924</v>
      </c>
      <c r="BY9" s="173">
        <f t="shared" si="106"/>
        <v>1.7788621237798437</v>
      </c>
      <c r="BZ9" s="5">
        <f t="shared" si="107"/>
        <v>6.08</v>
      </c>
      <c r="CA9" s="173">
        <f t="shared" si="108"/>
        <v>0.7736488952519921</v>
      </c>
      <c r="CB9" s="5">
        <f t="shared" si="109"/>
        <v>77.364889525199203</v>
      </c>
      <c r="CC9">
        <f t="shared" si="110"/>
        <v>4</v>
      </c>
      <c r="CE9" s="562">
        <f t="shared" si="44"/>
        <v>-50</v>
      </c>
      <c r="CF9">
        <f t="shared" si="45"/>
        <v>-50</v>
      </c>
      <c r="CG9" s="173">
        <f t="shared" si="46"/>
        <v>8.0775462392209965E-2</v>
      </c>
      <c r="CH9" s="173">
        <f t="shared" si="47"/>
        <v>9.3072124624753293E-3</v>
      </c>
      <c r="CI9" s="170">
        <v>4</v>
      </c>
      <c r="CJ9" s="217">
        <f t="shared" si="133"/>
        <v>0.4</v>
      </c>
      <c r="CK9" s="217">
        <f t="shared" si="111"/>
        <v>0.01</v>
      </c>
      <c r="CL9" s="217">
        <f t="shared" si="48"/>
        <v>6</v>
      </c>
      <c r="CM9" s="217">
        <f t="shared" si="134"/>
        <v>0.08</v>
      </c>
      <c r="CN9" s="541">
        <f t="shared" si="112"/>
        <v>58</v>
      </c>
      <c r="CO9" s="443">
        <f t="shared" si="49"/>
        <v>15.7</v>
      </c>
      <c r="CP9" s="443">
        <f t="shared" si="50"/>
        <v>73.7</v>
      </c>
      <c r="CQ9" s="443"/>
      <c r="CR9" s="217">
        <f t="shared" si="113"/>
        <v>0.2098092643051771</v>
      </c>
      <c r="CS9" s="172">
        <f t="shared" si="114"/>
        <v>300.22049333142121</v>
      </c>
      <c r="CT9" s="172">
        <f t="shared" si="51"/>
        <v>4.0563124432334243</v>
      </c>
      <c r="CU9" s="217">
        <f t="shared" si="52"/>
        <v>20.014699555428081</v>
      </c>
      <c r="CV9" s="217">
        <f t="shared" si="53"/>
        <v>37.527561666427651</v>
      </c>
      <c r="CW9" s="443">
        <f t="shared" si="54"/>
        <v>15</v>
      </c>
      <c r="CX9" s="217">
        <f t="shared" si="55"/>
        <v>0.99926556202418271</v>
      </c>
      <c r="CY9" s="217">
        <f t="shared" si="56"/>
        <v>0.20674459903948611</v>
      </c>
      <c r="CZ9" s="217">
        <f t="shared" si="57"/>
        <v>0.76376985632421612</v>
      </c>
      <c r="DA9" s="197">
        <f t="shared" si="58"/>
        <v>102.962460425147</v>
      </c>
      <c r="DB9" s="443">
        <f t="shared" si="115"/>
        <v>350</v>
      </c>
      <c r="DD9" s="217">
        <f t="shared" si="59"/>
        <v>10</v>
      </c>
      <c r="DE9" s="173">
        <f t="shared" si="60"/>
        <v>7.6433121019108281</v>
      </c>
      <c r="DF9" s="173">
        <f t="shared" si="61"/>
        <v>3.9348710990502043</v>
      </c>
      <c r="DG9" s="173"/>
      <c r="DH9" s="173">
        <f t="shared" si="62"/>
        <v>7.6433121019108281</v>
      </c>
      <c r="DI9" s="545">
        <f t="shared" si="63"/>
        <v>10.466666666666669</v>
      </c>
      <c r="DJ9" s="528">
        <f t="shared" si="64"/>
        <v>3.9348710990502034</v>
      </c>
      <c r="DL9" s="173">
        <f t="shared" si="65"/>
        <v>1.701539918790651</v>
      </c>
      <c r="DM9" s="173">
        <f t="shared" si="66"/>
        <v>10</v>
      </c>
      <c r="DN9" s="173">
        <f t="shared" si="67"/>
        <v>1.0059809523809524</v>
      </c>
      <c r="DP9" s="545">
        <f t="shared" si="68"/>
        <v>400</v>
      </c>
      <c r="DQ9" s="460">
        <f t="shared" si="69"/>
        <v>10.466666666666669</v>
      </c>
      <c r="DS9">
        <f t="shared" si="116"/>
        <v>400</v>
      </c>
      <c r="DT9" s="460">
        <f t="shared" si="70"/>
        <v>10.466666666666669</v>
      </c>
      <c r="DU9" s="460"/>
      <c r="DV9" s="5">
        <f t="shared" si="117"/>
        <v>95.541401273885327</v>
      </c>
      <c r="DW9" s="5">
        <f t="shared" si="71"/>
        <v>2.068965517241379</v>
      </c>
      <c r="DX9" s="5">
        <f t="shared" si="118"/>
        <v>93.472435756643947</v>
      </c>
      <c r="DY9" s="173">
        <f t="shared" si="119"/>
        <v>2.1655172413793104E-2</v>
      </c>
      <c r="EA9" s="5">
        <f t="shared" si="72"/>
        <v>5.5172413793103443</v>
      </c>
      <c r="EB9" s="5">
        <f t="shared" si="73"/>
        <v>0.25862068965517238</v>
      </c>
      <c r="EC9" s="5">
        <f t="shared" si="74"/>
        <v>3.3343318343630419</v>
      </c>
      <c r="ED9" s="5"/>
      <c r="EE9" s="173">
        <f t="shared" si="120"/>
        <v>0.84961113484921458</v>
      </c>
      <c r="EF9" s="173">
        <f t="shared" si="75"/>
        <v>5.7106474460321541</v>
      </c>
      <c r="EG9" s="173">
        <f t="shared" si="76"/>
        <v>0.14063869004345858</v>
      </c>
      <c r="EH9" s="173"/>
      <c r="EI9" s="528">
        <f t="shared" si="77"/>
        <v>1.4436781609195407E-2</v>
      </c>
      <c r="EJ9" s="528">
        <f t="shared" si="78"/>
        <v>0.15427866666666668</v>
      </c>
      <c r="EK9" s="528">
        <f t="shared" si="79"/>
        <v>1.3083333333333334E-3</v>
      </c>
      <c r="EL9" s="528">
        <f t="shared" si="80"/>
        <v>5.6851688666666681E-3</v>
      </c>
      <c r="EM9">
        <f t="shared" si="81"/>
        <v>2.6099999999999998E-2</v>
      </c>
      <c r="EN9" s="460">
        <f t="shared" si="121"/>
        <v>27.408333333333331</v>
      </c>
      <c r="EO9">
        <f t="shared" si="82"/>
        <v>0.20641492170412079</v>
      </c>
      <c r="EP9" s="460">
        <f t="shared" si="122"/>
        <v>206.41492170412079</v>
      </c>
      <c r="EQ9" s="173">
        <f t="shared" si="83"/>
        <v>0.24849999999999997</v>
      </c>
      <c r="ER9" s="173">
        <f t="shared" si="84"/>
        <v>4.4374999999999996E-3</v>
      </c>
      <c r="ES9" s="528"/>
      <c r="EU9" s="460">
        <f t="shared" si="123"/>
        <v>252.93749999999997</v>
      </c>
      <c r="EV9" s="528">
        <f t="shared" si="85"/>
        <v>2.1655172413793108E-2</v>
      </c>
      <c r="EW9" s="528">
        <f t="shared" si="124"/>
        <v>0.97834482758620689</v>
      </c>
      <c r="EX9" s="528">
        <f t="shared" si="86"/>
        <v>9.8896205685700077E-5</v>
      </c>
      <c r="EY9" s="528">
        <f t="shared" si="87"/>
        <v>5.6039078827065068E-3</v>
      </c>
      <c r="EZ9" s="528">
        <f t="shared" si="88"/>
        <v>1.354062230551202</v>
      </c>
      <c r="FA9" s="625">
        <f t="shared" si="89"/>
        <v>1.0466666666666669E-3</v>
      </c>
      <c r="FB9" s="460">
        <f t="shared" si="125"/>
        <v>1355.1088972178686</v>
      </c>
      <c r="FC9" s="173">
        <f t="shared" si="126"/>
        <v>1.8144613189219894</v>
      </c>
      <c r="FD9" s="5">
        <f t="shared" si="127"/>
        <v>6.08</v>
      </c>
      <c r="FE9" s="173">
        <f t="shared" si="128"/>
        <v>0.77016021161913062</v>
      </c>
      <c r="FF9" s="5">
        <f t="shared" si="129"/>
        <v>77.016021161913059</v>
      </c>
      <c r="FG9">
        <f t="shared" si="130"/>
        <v>4</v>
      </c>
      <c r="FI9" s="562">
        <f t="shared" si="90"/>
        <v>-50</v>
      </c>
      <c r="FJ9">
        <f t="shared" si="91"/>
        <v>-50</v>
      </c>
      <c r="FL9">
        <f t="shared" si="92"/>
        <v>8.0775462392209965E-2</v>
      </c>
    </row>
    <row r="10" spans="2:169">
      <c r="E10" s="170">
        <v>5</v>
      </c>
      <c r="F10" s="217">
        <f t="shared" si="131"/>
        <v>0.5</v>
      </c>
      <c r="G10" s="217">
        <f t="shared" si="93"/>
        <v>1.2500000000000001E-2</v>
      </c>
      <c r="H10" s="217">
        <f t="shared" si="0"/>
        <v>7.5</v>
      </c>
      <c r="I10" s="217">
        <f t="shared" si="132"/>
        <v>0.1</v>
      </c>
      <c r="J10" s="541">
        <f t="shared" si="1"/>
        <v>57.723315016620042</v>
      </c>
      <c r="K10" s="443">
        <f t="shared" si="2"/>
        <v>15.848559966660831</v>
      </c>
      <c r="L10" s="172">
        <f t="shared" si="3"/>
        <v>73.571874983280878</v>
      </c>
      <c r="M10" s="443"/>
      <c r="N10" s="217">
        <f t="shared" si="4"/>
        <v>0.21541601284814879</v>
      </c>
      <c r="O10" s="172">
        <f t="shared" si="94"/>
        <v>306.77285450471948</v>
      </c>
      <c r="P10" s="172">
        <f t="shared" si="5"/>
        <v>4.1448421230859873</v>
      </c>
      <c r="Q10" s="217">
        <f t="shared" si="6"/>
        <v>20.451523633647966</v>
      </c>
      <c r="R10" s="217">
        <f t="shared" si="7"/>
        <v>38.346606813089934</v>
      </c>
      <c r="S10" s="443">
        <f t="shared" si="8"/>
        <v>15</v>
      </c>
      <c r="T10" s="217">
        <f t="shared" si="9"/>
        <v>1.2224028120266126</v>
      </c>
      <c r="U10" s="217">
        <f t="shared" si="10"/>
        <v>0.25412320377122855</v>
      </c>
      <c r="V10" s="217">
        <f t="shared" si="11"/>
        <v>0.92556256058448449</v>
      </c>
      <c r="W10" s="197">
        <f t="shared" si="12"/>
        <v>103.62105307714972</v>
      </c>
      <c r="X10" s="443">
        <f t="shared" si="95"/>
        <v>350</v>
      </c>
      <c r="Z10" s="217">
        <f t="shared" si="13"/>
        <v>10</v>
      </c>
      <c r="AA10" s="173">
        <f t="shared" si="14"/>
        <v>7.5716658328853255</v>
      </c>
      <c r="AB10" s="173">
        <f t="shared" si="15"/>
        <v>3.922919935759257</v>
      </c>
      <c r="AC10" s="173"/>
      <c r="AD10" s="173">
        <f t="shared" si="16"/>
        <v>7.5716658328853255</v>
      </c>
      <c r="AE10" s="545">
        <f t="shared" si="17"/>
        <v>13.207133305550691</v>
      </c>
      <c r="AF10" s="528">
        <f t="shared" si="18"/>
        <v>3.922919935759257</v>
      </c>
      <c r="AH10" s="173">
        <f t="shared" si="19"/>
        <v>1.9023794624226835</v>
      </c>
      <c r="AI10" s="173">
        <f t="shared" si="20"/>
        <v>10</v>
      </c>
      <c r="AJ10" s="173">
        <f t="shared" si="21"/>
        <v>1.0075469333174576</v>
      </c>
      <c r="AL10" s="545">
        <f t="shared" si="22"/>
        <v>500</v>
      </c>
      <c r="AM10" s="460">
        <f t="shared" si="23"/>
        <v>13.207133305550691</v>
      </c>
      <c r="AO10">
        <f t="shared" si="96"/>
        <v>500</v>
      </c>
      <c r="AP10" s="460">
        <f t="shared" si="24"/>
        <v>13.207133305550691</v>
      </c>
      <c r="AQ10" s="460"/>
      <c r="AR10" s="5">
        <f t="shared" si="97"/>
        <v>75.716658328853256</v>
      </c>
      <c r="AS10" s="5">
        <f t="shared" si="25"/>
        <v>2.0788826831142475</v>
      </c>
      <c r="AT10" s="5">
        <f t="shared" si="98"/>
        <v>73.637775645739012</v>
      </c>
      <c r="AU10" s="173">
        <f t="shared" si="99"/>
        <v>2.7456080722490762E-2</v>
      </c>
      <c r="AW10" s="5">
        <f t="shared" si="26"/>
        <v>6.9296089437141584</v>
      </c>
      <c r="AX10" s="5">
        <f t="shared" si="27"/>
        <v>0.32482541923660119</v>
      </c>
      <c r="AY10" s="5">
        <f t="shared" si="28"/>
        <v>3.2992305304521312</v>
      </c>
      <c r="AZ10" s="5"/>
      <c r="BA10" s="173">
        <f t="shared" si="100"/>
        <v>0.95666226577078506</v>
      </c>
      <c r="BB10" s="173">
        <f t="shared" si="29"/>
        <v>5.6936921801747973</v>
      </c>
      <c r="BC10" s="173">
        <f t="shared" si="30"/>
        <v>0.140221125064697</v>
      </c>
      <c r="BD10" s="173"/>
      <c r="BE10" s="528">
        <f t="shared" si="31"/>
        <v>1.8304053814993844E-2</v>
      </c>
      <c r="BF10" s="528">
        <f t="shared" si="32"/>
        <v>0.18218879258315634</v>
      </c>
      <c r="BG10" s="528">
        <f t="shared" si="33"/>
        <v>1.9058987906569923E-2</v>
      </c>
      <c r="BH10" s="528">
        <f t="shared" si="34"/>
        <v>7.1487845713508651E-3</v>
      </c>
      <c r="BI10">
        <f t="shared" si="35"/>
        <v>2.5975491757479017E-2</v>
      </c>
      <c r="BJ10" s="460">
        <f t="shared" si="101"/>
        <v>45.034479664048945</v>
      </c>
      <c r="BK10">
        <f t="shared" si="36"/>
        <v>0.21351229971183283</v>
      </c>
      <c r="BL10" s="460">
        <f t="shared" si="102"/>
        <v>213.51229971183284</v>
      </c>
      <c r="BM10" s="173">
        <f t="shared" si="37"/>
        <v>0.31062499999999998</v>
      </c>
      <c r="BN10" s="173">
        <f t="shared" si="38"/>
        <v>5.5468749999999997E-3</v>
      </c>
      <c r="BO10" s="528"/>
      <c r="BQ10" s="460">
        <f t="shared" si="103"/>
        <v>316.171875</v>
      </c>
      <c r="BR10" s="528">
        <f t="shared" si="39"/>
        <v>2.7456080722490766E-2</v>
      </c>
      <c r="BS10" s="528">
        <f t="shared" si="104"/>
        <v>0.97254391927750894</v>
      </c>
      <c r="BT10" s="528">
        <f t="shared" si="40"/>
        <v>9.8309819572046985E-5</v>
      </c>
      <c r="BU10" s="528">
        <f t="shared" si="41"/>
        <v>1.0022854084372489E-2</v>
      </c>
      <c r="BV10" s="528">
        <f t="shared" si="42"/>
        <v>1.358864614608096</v>
      </c>
      <c r="BW10" s="625">
        <f t="shared" si="43"/>
        <v>1.320713330555069E-3</v>
      </c>
      <c r="BX10" s="460">
        <f t="shared" si="105"/>
        <v>1360.1853279386512</v>
      </c>
      <c r="BY10" s="173">
        <f t="shared" si="106"/>
        <v>1.8898695026504837</v>
      </c>
      <c r="BZ10" s="5">
        <f t="shared" si="107"/>
        <v>7.6</v>
      </c>
      <c r="CA10" s="173">
        <f t="shared" si="108"/>
        <v>0.80085400519757932</v>
      </c>
      <c r="CB10" s="5">
        <f t="shared" si="109"/>
        <v>80.085400519757926</v>
      </c>
      <c r="CC10">
        <f t="shared" si="110"/>
        <v>5</v>
      </c>
      <c r="CE10" s="562">
        <f t="shared" si="44"/>
        <v>-50</v>
      </c>
      <c r="CF10">
        <f t="shared" si="45"/>
        <v>-50</v>
      </c>
      <c r="CG10" s="173">
        <f t="shared" si="46"/>
        <v>0.10096932799026244</v>
      </c>
      <c r="CH10" s="173">
        <f t="shared" si="47"/>
        <v>1.163401557809416E-2</v>
      </c>
      <c r="CI10" s="170">
        <v>5</v>
      </c>
      <c r="CJ10" s="217">
        <f t="shared" si="133"/>
        <v>0.5</v>
      </c>
      <c r="CK10" s="217">
        <f t="shared" si="111"/>
        <v>1.2500000000000001E-2</v>
      </c>
      <c r="CL10" s="217">
        <f t="shared" si="48"/>
        <v>7.5</v>
      </c>
      <c r="CM10" s="217">
        <f t="shared" si="134"/>
        <v>0.1</v>
      </c>
      <c r="CN10" s="541">
        <f t="shared" si="112"/>
        <v>58</v>
      </c>
      <c r="CO10" s="443">
        <f t="shared" si="49"/>
        <v>15.7</v>
      </c>
      <c r="CP10" s="443">
        <f t="shared" si="50"/>
        <v>73.7</v>
      </c>
      <c r="CQ10" s="443"/>
      <c r="CR10" s="217">
        <f t="shared" si="113"/>
        <v>0.2098092643051771</v>
      </c>
      <c r="CS10" s="172">
        <f t="shared" si="114"/>
        <v>300.22049333142121</v>
      </c>
      <c r="CT10" s="172">
        <f t="shared" si="51"/>
        <v>4.0563124432334243</v>
      </c>
      <c r="CU10" s="217">
        <f t="shared" si="52"/>
        <v>20.014699555428081</v>
      </c>
      <c r="CV10" s="217">
        <f t="shared" si="53"/>
        <v>37.527561666427651</v>
      </c>
      <c r="CW10" s="443">
        <f t="shared" si="54"/>
        <v>15</v>
      </c>
      <c r="CX10" s="217">
        <f t="shared" si="55"/>
        <v>1.2490819525302284</v>
      </c>
      <c r="CY10" s="217">
        <f t="shared" si="56"/>
        <v>0.25843074879935762</v>
      </c>
      <c r="CZ10" s="217">
        <f t="shared" si="57"/>
        <v>0.95471232040527032</v>
      </c>
      <c r="DA10" s="197">
        <f t="shared" si="58"/>
        <v>102.962460425147</v>
      </c>
      <c r="DB10" s="443">
        <f t="shared" si="115"/>
        <v>350</v>
      </c>
      <c r="DD10" s="217">
        <f t="shared" si="59"/>
        <v>10</v>
      </c>
      <c r="DE10" s="173">
        <f t="shared" si="60"/>
        <v>7.6433121019108281</v>
      </c>
      <c r="DF10" s="173">
        <f t="shared" si="61"/>
        <v>3.9348710990502043</v>
      </c>
      <c r="DG10" s="173"/>
      <c r="DH10" s="173">
        <f t="shared" si="62"/>
        <v>7.6433121019108281</v>
      </c>
      <c r="DI10" s="545">
        <f t="shared" si="63"/>
        <v>13.083333333333334</v>
      </c>
      <c r="DJ10" s="528">
        <f t="shared" si="64"/>
        <v>3.9348710990502034</v>
      </c>
      <c r="DL10" s="173">
        <f t="shared" si="65"/>
        <v>1.9023794624226835</v>
      </c>
      <c r="DM10" s="173">
        <f t="shared" si="66"/>
        <v>10</v>
      </c>
      <c r="DN10" s="173">
        <f t="shared" si="67"/>
        <v>1.0074761904761904</v>
      </c>
      <c r="DP10" s="545">
        <f t="shared" si="68"/>
        <v>500</v>
      </c>
      <c r="DQ10" s="460">
        <f t="shared" si="69"/>
        <v>13.083333333333334</v>
      </c>
      <c r="DS10">
        <f t="shared" si="116"/>
        <v>500</v>
      </c>
      <c r="DT10" s="460">
        <f t="shared" si="70"/>
        <v>13.083333333333334</v>
      </c>
      <c r="DU10" s="460"/>
      <c r="DV10" s="5">
        <f t="shared" si="117"/>
        <v>76.43312101910827</v>
      </c>
      <c r="DW10" s="5">
        <f t="shared" si="71"/>
        <v>2.068965517241379</v>
      </c>
      <c r="DX10" s="5">
        <f t="shared" si="118"/>
        <v>74.36415550186689</v>
      </c>
      <c r="DY10" s="173">
        <f t="shared" si="119"/>
        <v>2.7068965517241379E-2</v>
      </c>
      <c r="EA10" s="5">
        <f t="shared" si="72"/>
        <v>6.8965517241379297</v>
      </c>
      <c r="EB10" s="5">
        <f t="shared" si="73"/>
        <v>0.32327586206896547</v>
      </c>
      <c r="EC10" s="5">
        <f t="shared" si="74"/>
        <v>3.3158808933650517</v>
      </c>
      <c r="ED10" s="5"/>
      <c r="EE10" s="173">
        <f t="shared" si="120"/>
        <v>0.9498941259817919</v>
      </c>
      <c r="EF10" s="173">
        <f t="shared" si="75"/>
        <v>5.6948252372446531</v>
      </c>
      <c r="EG10" s="173">
        <f t="shared" si="76"/>
        <v>0.14024902937214284</v>
      </c>
      <c r="EH10" s="173"/>
      <c r="EI10" s="528">
        <f t="shared" si="77"/>
        <v>1.8045977011494248E-2</v>
      </c>
      <c r="EJ10" s="528">
        <f t="shared" si="78"/>
        <v>0.19284833333333337</v>
      </c>
      <c r="EK10" s="528">
        <f t="shared" si="79"/>
        <v>1.6354166666666667E-3</v>
      </c>
      <c r="EL10" s="528">
        <f t="shared" si="80"/>
        <v>7.1064610833333338E-3</v>
      </c>
      <c r="EM10">
        <f t="shared" si="81"/>
        <v>2.6099999999999998E-2</v>
      </c>
      <c r="EN10" s="460">
        <f t="shared" si="121"/>
        <v>27.735416666666666</v>
      </c>
      <c r="EO10">
        <f t="shared" si="82"/>
        <v>0.25168776961292239</v>
      </c>
      <c r="EP10" s="460">
        <f t="shared" si="122"/>
        <v>251.68776961292238</v>
      </c>
      <c r="EQ10" s="173">
        <f t="shared" si="83"/>
        <v>0.31062499999999998</v>
      </c>
      <c r="ER10" s="173">
        <f t="shared" si="84"/>
        <v>5.5468749999999997E-3</v>
      </c>
      <c r="ES10" s="528"/>
      <c r="EU10" s="460">
        <f t="shared" si="123"/>
        <v>316.171875</v>
      </c>
      <c r="EV10" s="528">
        <f t="shared" si="85"/>
        <v>2.7068965517241372E-2</v>
      </c>
      <c r="EW10" s="528">
        <f t="shared" si="124"/>
        <v>0.97293103448275853</v>
      </c>
      <c r="EX10" s="528">
        <f t="shared" si="86"/>
        <v>9.8348951199140925E-5</v>
      </c>
      <c r="EY10" s="528">
        <f t="shared" si="87"/>
        <v>9.7896241917020885E-3</v>
      </c>
      <c r="EZ10" s="528">
        <f t="shared" si="88"/>
        <v>1.3586111590541252</v>
      </c>
      <c r="FA10" s="625">
        <f t="shared" si="89"/>
        <v>1.3083333333333334E-3</v>
      </c>
      <c r="FB10" s="460">
        <f t="shared" si="125"/>
        <v>1359.9194923874584</v>
      </c>
      <c r="FC10" s="173">
        <f t="shared" si="126"/>
        <v>1.9277791370003809</v>
      </c>
      <c r="FD10" s="5">
        <f t="shared" si="127"/>
        <v>7.6</v>
      </c>
      <c r="FE10" s="173">
        <f t="shared" si="128"/>
        <v>0.79766752468956781</v>
      </c>
      <c r="FF10" s="5">
        <f t="shared" si="129"/>
        <v>79.766752468956781</v>
      </c>
      <c r="FG10">
        <f t="shared" si="130"/>
        <v>5</v>
      </c>
      <c r="FI10" s="562">
        <f t="shared" si="90"/>
        <v>-50</v>
      </c>
      <c r="FJ10">
        <f t="shared" si="91"/>
        <v>-50</v>
      </c>
      <c r="FL10">
        <f t="shared" si="92"/>
        <v>0.10096932799026244</v>
      </c>
    </row>
    <row r="11" spans="2:169">
      <c r="E11" s="170">
        <v>6</v>
      </c>
      <c r="F11" s="217">
        <f t="shared" si="131"/>
        <v>0.6</v>
      </c>
      <c r="G11" s="217">
        <f t="shared" si="93"/>
        <v>1.4999999999999999E-2</v>
      </c>
      <c r="H11" s="217">
        <f t="shared" si="0"/>
        <v>9</v>
      </c>
      <c r="I11" s="217">
        <f t="shared" si="132"/>
        <v>0.12</v>
      </c>
      <c r="J11" s="541">
        <f t="shared" si="1"/>
        <v>57.723315016620042</v>
      </c>
      <c r="K11" s="443">
        <f t="shared" si="2"/>
        <v>15.848559966660831</v>
      </c>
      <c r="L11" s="172">
        <f t="shared" si="3"/>
        <v>73.571874983280878</v>
      </c>
      <c r="M11" s="443"/>
      <c r="N11" s="217">
        <f t="shared" si="4"/>
        <v>0.21541601284814879</v>
      </c>
      <c r="O11" s="172">
        <f t="shared" si="94"/>
        <v>306.77285450471948</v>
      </c>
      <c r="P11" s="172">
        <f t="shared" si="5"/>
        <v>4.1448421230859873</v>
      </c>
      <c r="Q11" s="217">
        <f t="shared" si="6"/>
        <v>20.451523633647966</v>
      </c>
      <c r="R11" s="217">
        <f t="shared" si="7"/>
        <v>38.346606813089934</v>
      </c>
      <c r="S11" s="443">
        <f t="shared" si="8"/>
        <v>15</v>
      </c>
      <c r="T11" s="217">
        <f t="shared" si="9"/>
        <v>1.4668833744319352</v>
      </c>
      <c r="U11" s="217">
        <f t="shared" si="10"/>
        <v>0.30494784452547424</v>
      </c>
      <c r="V11" s="217">
        <f t="shared" si="11"/>
        <v>1.1106750727013814</v>
      </c>
      <c r="W11" s="197">
        <f t="shared" si="12"/>
        <v>103.62105307714972</v>
      </c>
      <c r="X11" s="443">
        <f t="shared" si="95"/>
        <v>350</v>
      </c>
      <c r="Z11" s="217">
        <f t="shared" si="13"/>
        <v>10</v>
      </c>
      <c r="AA11" s="173">
        <f t="shared" si="14"/>
        <v>7.5716658328853255</v>
      </c>
      <c r="AB11" s="173">
        <f t="shared" si="15"/>
        <v>3.922919935759257</v>
      </c>
      <c r="AC11" s="173"/>
      <c r="AD11" s="173">
        <f t="shared" si="16"/>
        <v>7.5716658328853255</v>
      </c>
      <c r="AE11" s="545">
        <f t="shared" si="17"/>
        <v>15.848559966660829</v>
      </c>
      <c r="AF11" s="528">
        <f t="shared" si="18"/>
        <v>3.922919935759257</v>
      </c>
      <c r="AH11" s="173">
        <f t="shared" si="19"/>
        <v>2.0839522890069109</v>
      </c>
      <c r="AI11" s="173">
        <f t="shared" si="20"/>
        <v>10</v>
      </c>
      <c r="AJ11" s="173">
        <f t="shared" si="21"/>
        <v>1.009056319980949</v>
      </c>
      <c r="AL11" s="545">
        <f t="shared" si="22"/>
        <v>600</v>
      </c>
      <c r="AM11" s="460">
        <f t="shared" si="23"/>
        <v>15.848559966660829</v>
      </c>
      <c r="AO11">
        <f t="shared" si="96"/>
        <v>600</v>
      </c>
      <c r="AP11" s="460">
        <f t="shared" si="24"/>
        <v>15.848559966660829</v>
      </c>
      <c r="AQ11" s="460"/>
      <c r="AR11" s="5">
        <f t="shared" si="97"/>
        <v>63.09721527404438</v>
      </c>
      <c r="AS11" s="5">
        <f t="shared" si="25"/>
        <v>2.0788826831142475</v>
      </c>
      <c r="AT11" s="5">
        <f t="shared" si="98"/>
        <v>61.018332590930136</v>
      </c>
      <c r="AU11" s="173">
        <f t="shared" si="99"/>
        <v>3.2947296866988912E-2</v>
      </c>
      <c r="AW11" s="5">
        <f t="shared" si="26"/>
        <v>8.3155307324569883</v>
      </c>
      <c r="AX11" s="5">
        <f t="shared" si="27"/>
        <v>0.38979050308392144</v>
      </c>
      <c r="AY11" s="5">
        <f t="shared" si="28"/>
        <v>3.2806022838566475</v>
      </c>
      <c r="AZ11" s="5"/>
      <c r="BA11" s="173">
        <f t="shared" si="100"/>
        <v>1.0479710057533227</v>
      </c>
      <c r="BB11" s="173">
        <f t="shared" si="29"/>
        <v>5.6775954509311157</v>
      </c>
      <c r="BC11" s="173">
        <f t="shared" si="30"/>
        <v>0.13982470365430358</v>
      </c>
      <c r="BD11" s="173"/>
      <c r="BE11" s="528">
        <f t="shared" si="31"/>
        <v>2.1964864577992613E-2</v>
      </c>
      <c r="BF11" s="528">
        <f t="shared" si="32"/>
        <v>0.2186265510997876</v>
      </c>
      <c r="BG11" s="528">
        <f t="shared" si="33"/>
        <v>2.2870785487883908E-2</v>
      </c>
      <c r="BH11" s="528">
        <f t="shared" si="34"/>
        <v>8.5785414856210367E-3</v>
      </c>
      <c r="BI11">
        <f t="shared" si="35"/>
        <v>2.5975491757479017E-2</v>
      </c>
      <c r="BJ11" s="460">
        <f t="shared" si="101"/>
        <v>48.846277245362927</v>
      </c>
      <c r="BK11">
        <f t="shared" si="36"/>
        <v>0.25643878662873204</v>
      </c>
      <c r="BL11" s="460">
        <f t="shared" si="102"/>
        <v>256.43878662873203</v>
      </c>
      <c r="BM11" s="173">
        <f t="shared" si="37"/>
        <v>0.37274999999999997</v>
      </c>
      <c r="BN11" s="173">
        <f t="shared" si="38"/>
        <v>6.6562499999999998E-3</v>
      </c>
      <c r="BO11" s="528"/>
      <c r="BQ11" s="460">
        <f t="shared" si="103"/>
        <v>379.40624999999994</v>
      </c>
      <c r="BR11" s="528">
        <f t="shared" si="39"/>
        <v>3.2947296866988919E-2</v>
      </c>
      <c r="BS11" s="528">
        <f t="shared" si="104"/>
        <v>0.96705270313301106</v>
      </c>
      <c r="BT11" s="528">
        <f t="shared" si="40"/>
        <v>9.7754738760069083E-5</v>
      </c>
      <c r="BU11" s="528">
        <f t="shared" si="41"/>
        <v>1.5810460625069578E-2</v>
      </c>
      <c r="BV11" s="528">
        <f t="shared" si="42"/>
        <v>1.365154731009413</v>
      </c>
      <c r="BW11" s="625">
        <f t="shared" si="43"/>
        <v>1.584855996666083E-3</v>
      </c>
      <c r="BX11" s="460">
        <f t="shared" si="105"/>
        <v>1366.7395870060791</v>
      </c>
      <c r="BY11" s="173">
        <f t="shared" si="106"/>
        <v>2.0025846236348115</v>
      </c>
      <c r="BZ11" s="5">
        <f t="shared" si="107"/>
        <v>9.1199999999999992</v>
      </c>
      <c r="CA11" s="173">
        <f t="shared" si="108"/>
        <v>0.81995330299583047</v>
      </c>
      <c r="CB11" s="5">
        <f t="shared" si="109"/>
        <v>81.995330299583046</v>
      </c>
      <c r="CC11">
        <f t="shared" si="110"/>
        <v>6</v>
      </c>
      <c r="CE11" s="562">
        <f t="shared" si="44"/>
        <v>-50</v>
      </c>
      <c r="CF11">
        <f t="shared" si="45"/>
        <v>-50</v>
      </c>
      <c r="CG11" s="173">
        <f t="shared" si="46"/>
        <v>0.12116319358831493</v>
      </c>
      <c r="CH11" s="173">
        <f t="shared" si="47"/>
        <v>1.3960818693712991E-2</v>
      </c>
      <c r="CI11" s="170">
        <v>6</v>
      </c>
      <c r="CJ11" s="217">
        <f t="shared" si="133"/>
        <v>0.6</v>
      </c>
      <c r="CK11" s="217">
        <f t="shared" si="111"/>
        <v>1.4999999999999999E-2</v>
      </c>
      <c r="CL11" s="217">
        <f t="shared" si="48"/>
        <v>9</v>
      </c>
      <c r="CM11" s="217">
        <f t="shared" si="134"/>
        <v>0.12</v>
      </c>
      <c r="CN11" s="541">
        <f t="shared" si="112"/>
        <v>58</v>
      </c>
      <c r="CO11" s="443">
        <f t="shared" si="49"/>
        <v>15.7</v>
      </c>
      <c r="CP11" s="443">
        <f t="shared" si="50"/>
        <v>73.7</v>
      </c>
      <c r="CQ11" s="443"/>
      <c r="CR11" s="217">
        <f t="shared" si="113"/>
        <v>0.2098092643051771</v>
      </c>
      <c r="CS11" s="172">
        <f t="shared" si="114"/>
        <v>300.22049333142121</v>
      </c>
      <c r="CT11" s="172">
        <f t="shared" si="51"/>
        <v>4.0563124432334243</v>
      </c>
      <c r="CU11" s="217">
        <f t="shared" si="52"/>
        <v>20.014699555428081</v>
      </c>
      <c r="CV11" s="217">
        <f t="shared" si="53"/>
        <v>37.527561666427651</v>
      </c>
      <c r="CW11" s="443">
        <f t="shared" si="54"/>
        <v>15</v>
      </c>
      <c r="CX11" s="217">
        <f t="shared" si="55"/>
        <v>1.4988983430362739</v>
      </c>
      <c r="CY11" s="217">
        <f t="shared" si="56"/>
        <v>0.31011689855922908</v>
      </c>
      <c r="CZ11" s="217">
        <f t="shared" si="57"/>
        <v>1.1456547844863241</v>
      </c>
      <c r="DA11" s="197">
        <f t="shared" si="58"/>
        <v>102.962460425147</v>
      </c>
      <c r="DB11" s="443">
        <f t="shared" si="115"/>
        <v>350</v>
      </c>
      <c r="DD11" s="217">
        <f t="shared" si="59"/>
        <v>10</v>
      </c>
      <c r="DE11" s="173">
        <f t="shared" si="60"/>
        <v>7.6433121019108281</v>
      </c>
      <c r="DF11" s="173">
        <f t="shared" si="61"/>
        <v>3.9348710990502043</v>
      </c>
      <c r="DG11" s="173"/>
      <c r="DH11" s="173">
        <f t="shared" si="62"/>
        <v>7.6433121019108281</v>
      </c>
      <c r="DI11" s="545">
        <f t="shared" si="63"/>
        <v>15.7</v>
      </c>
      <c r="DJ11" s="528">
        <f t="shared" si="64"/>
        <v>3.9348710990502034</v>
      </c>
      <c r="DL11" s="173">
        <f t="shared" si="65"/>
        <v>2.0839522890069109</v>
      </c>
      <c r="DM11" s="173">
        <f t="shared" si="66"/>
        <v>10</v>
      </c>
      <c r="DN11" s="173">
        <f t="shared" si="67"/>
        <v>1.0089714285714286</v>
      </c>
      <c r="DP11" s="545">
        <f t="shared" si="68"/>
        <v>600</v>
      </c>
      <c r="DQ11" s="460">
        <f t="shared" si="69"/>
        <v>15.7</v>
      </c>
      <c r="DS11">
        <f t="shared" si="116"/>
        <v>600</v>
      </c>
      <c r="DT11" s="460">
        <f t="shared" si="70"/>
        <v>15.7</v>
      </c>
      <c r="DU11" s="460"/>
      <c r="DV11" s="5">
        <f t="shared" si="117"/>
        <v>63.694267515923563</v>
      </c>
      <c r="DW11" s="5">
        <f t="shared" si="71"/>
        <v>2.068965517241379</v>
      </c>
      <c r="DX11" s="5">
        <f t="shared" si="118"/>
        <v>61.625301998682183</v>
      </c>
      <c r="DY11" s="173">
        <f t="shared" si="119"/>
        <v>3.2482758620689653E-2</v>
      </c>
      <c r="EA11" s="5">
        <f t="shared" si="72"/>
        <v>8.275862068965516</v>
      </c>
      <c r="EB11" s="5">
        <f t="shared" si="73"/>
        <v>0.38793103448275856</v>
      </c>
      <c r="EC11" s="5">
        <f t="shared" si="74"/>
        <v>3.2974299523670609</v>
      </c>
      <c r="ED11" s="5"/>
      <c r="EE11" s="173">
        <f t="shared" si="120"/>
        <v>1.0405568800837632</v>
      </c>
      <c r="EF11" s="173">
        <f t="shared" si="75"/>
        <v>5.678958946201643</v>
      </c>
      <c r="EG11" s="173">
        <f t="shared" si="76"/>
        <v>0.13985828306724049</v>
      </c>
      <c r="EH11" s="173"/>
      <c r="EI11" s="528">
        <f t="shared" si="77"/>
        <v>2.1655172413793104E-2</v>
      </c>
      <c r="EJ11" s="528">
        <f t="shared" si="78"/>
        <v>0.23141800000000001</v>
      </c>
      <c r="EK11" s="528">
        <f t="shared" si="79"/>
        <v>1.9624999999999998E-3</v>
      </c>
      <c r="EL11" s="528">
        <f t="shared" si="80"/>
        <v>8.5277532999999996E-3</v>
      </c>
      <c r="EM11">
        <f t="shared" si="81"/>
        <v>2.6099999999999998E-2</v>
      </c>
      <c r="EN11" s="460">
        <f t="shared" si="121"/>
        <v>28.062499999999996</v>
      </c>
      <c r="EO11">
        <f t="shared" si="82"/>
        <v>0.29703866609573831</v>
      </c>
      <c r="EP11" s="460">
        <f t="shared" si="122"/>
        <v>297.03866609573834</v>
      </c>
      <c r="EQ11" s="173">
        <f t="shared" si="83"/>
        <v>0.37274999999999997</v>
      </c>
      <c r="ER11" s="173">
        <f t="shared" si="84"/>
        <v>6.6562499999999998E-3</v>
      </c>
      <c r="ES11" s="528"/>
      <c r="EU11" s="460">
        <f t="shared" si="123"/>
        <v>379.40624999999994</v>
      </c>
      <c r="EV11" s="528">
        <f t="shared" si="85"/>
        <v>3.2482758620689653E-2</v>
      </c>
      <c r="EW11" s="528">
        <f t="shared" si="124"/>
        <v>0.96751724137931028</v>
      </c>
      <c r="EX11" s="528">
        <f t="shared" si="86"/>
        <v>9.780169671258184E-5</v>
      </c>
      <c r="EY11" s="528">
        <f t="shared" si="87"/>
        <v>1.544255423796531E-2</v>
      </c>
      <c r="EZ11" s="528">
        <f t="shared" si="88"/>
        <v>1.364754898227674</v>
      </c>
      <c r="FA11" s="625">
        <f t="shared" si="89"/>
        <v>1.57E-3</v>
      </c>
      <c r="FB11" s="460">
        <f t="shared" si="125"/>
        <v>1366.3248982276741</v>
      </c>
      <c r="FC11" s="173">
        <f t="shared" si="126"/>
        <v>2.0427698143234125</v>
      </c>
      <c r="FD11" s="5">
        <f t="shared" si="127"/>
        <v>9.1199999999999992</v>
      </c>
      <c r="FE11" s="173">
        <f t="shared" si="128"/>
        <v>0.81700152844661822</v>
      </c>
      <c r="FF11" s="5">
        <f t="shared" si="129"/>
        <v>81.700152844661815</v>
      </c>
      <c r="FG11">
        <f t="shared" si="130"/>
        <v>6</v>
      </c>
      <c r="FI11" s="562">
        <f t="shared" si="90"/>
        <v>-50</v>
      </c>
      <c r="FJ11">
        <f t="shared" si="91"/>
        <v>-50</v>
      </c>
      <c r="FL11">
        <f t="shared" si="92"/>
        <v>0.12116319358831493</v>
      </c>
    </row>
    <row r="12" spans="2:169">
      <c r="E12" s="170">
        <v>7</v>
      </c>
      <c r="F12" s="217">
        <f t="shared" si="131"/>
        <v>0.70000000000000007</v>
      </c>
      <c r="G12" s="217">
        <f t="shared" si="93"/>
        <v>1.7500000000000002E-2</v>
      </c>
      <c r="H12" s="217">
        <f t="shared" si="0"/>
        <v>10.500000000000002</v>
      </c>
      <c r="I12" s="217">
        <f t="shared" si="132"/>
        <v>0.14000000000000001</v>
      </c>
      <c r="J12" s="541">
        <f t="shared" si="1"/>
        <v>57.723315016620042</v>
      </c>
      <c r="K12" s="443">
        <f t="shared" si="2"/>
        <v>15.848559966660831</v>
      </c>
      <c r="L12" s="172">
        <f t="shared" si="3"/>
        <v>73.571874983280878</v>
      </c>
      <c r="M12" s="443"/>
      <c r="N12" s="217">
        <f t="shared" si="4"/>
        <v>0.21541601284814879</v>
      </c>
      <c r="O12" s="172">
        <f t="shared" si="94"/>
        <v>306.77285450471948</v>
      </c>
      <c r="P12" s="172">
        <f t="shared" si="5"/>
        <v>4.1448421230859873</v>
      </c>
      <c r="Q12" s="217">
        <f t="shared" si="6"/>
        <v>20.451523633647966</v>
      </c>
      <c r="R12" s="217">
        <f t="shared" si="7"/>
        <v>38.346606813089934</v>
      </c>
      <c r="S12" s="443">
        <f t="shared" si="8"/>
        <v>15</v>
      </c>
      <c r="T12" s="217">
        <f t="shared" si="9"/>
        <v>1.7113639368372582</v>
      </c>
      <c r="U12" s="217">
        <f t="shared" si="10"/>
        <v>0.35577248527972011</v>
      </c>
      <c r="V12" s="217">
        <f t="shared" si="11"/>
        <v>1.2957875848182787</v>
      </c>
      <c r="W12" s="197">
        <f t="shared" si="12"/>
        <v>103.62105307714972</v>
      </c>
      <c r="X12" s="443">
        <f t="shared" si="95"/>
        <v>350</v>
      </c>
      <c r="Z12" s="217">
        <f t="shared" si="13"/>
        <v>10</v>
      </c>
      <c r="AA12" s="173">
        <f t="shared" si="14"/>
        <v>7.5716658328853255</v>
      </c>
      <c r="AB12" s="173">
        <f t="shared" si="15"/>
        <v>3.922919935759257</v>
      </c>
      <c r="AC12" s="173"/>
      <c r="AD12" s="173">
        <f t="shared" si="16"/>
        <v>7.5716658328853255</v>
      </c>
      <c r="AE12" s="545">
        <f t="shared" si="17"/>
        <v>18.489986627770971</v>
      </c>
      <c r="AF12" s="528">
        <f t="shared" si="18"/>
        <v>3.922919935759257</v>
      </c>
      <c r="AH12" s="173">
        <f t="shared" si="19"/>
        <v>2.2509257354845511</v>
      </c>
      <c r="AI12" s="173">
        <f t="shared" si="20"/>
        <v>10</v>
      </c>
      <c r="AJ12" s="173">
        <f t="shared" si="21"/>
        <v>1.0105657066444405</v>
      </c>
      <c r="AL12" s="545">
        <f t="shared" si="22"/>
        <v>700.00000000000011</v>
      </c>
      <c r="AM12" s="460">
        <f t="shared" si="23"/>
        <v>18.489986627770971</v>
      </c>
      <c r="AO12">
        <f t="shared" si="96"/>
        <v>700.00000000000011</v>
      </c>
      <c r="AP12" s="460">
        <f t="shared" si="24"/>
        <v>18.489986627770971</v>
      </c>
      <c r="AQ12" s="460"/>
      <c r="AR12" s="5">
        <f t="shared" si="97"/>
        <v>54.083327377752319</v>
      </c>
      <c r="AS12" s="5">
        <f t="shared" si="25"/>
        <v>2.0788826831142475</v>
      </c>
      <c r="AT12" s="5">
        <f t="shared" si="98"/>
        <v>52.004444694638075</v>
      </c>
      <c r="AU12" s="173">
        <f t="shared" si="99"/>
        <v>3.8438513011487069E-2</v>
      </c>
      <c r="AW12" s="5">
        <f t="shared" si="26"/>
        <v>9.7014525211998226</v>
      </c>
      <c r="AX12" s="5">
        <f t="shared" si="27"/>
        <v>0.45475558693124174</v>
      </c>
      <c r="AY12" s="5">
        <f t="shared" si="28"/>
        <v>3.261974037261163</v>
      </c>
      <c r="AZ12" s="5"/>
      <c r="BA12" s="173">
        <f t="shared" si="100"/>
        <v>1.1319380579561626</v>
      </c>
      <c r="BB12" s="173">
        <f t="shared" si="29"/>
        <v>5.6614529554067445</v>
      </c>
      <c r="BC12" s="173">
        <f t="shared" si="30"/>
        <v>0.13942715513707593</v>
      </c>
      <c r="BD12" s="173"/>
      <c r="BE12" s="528">
        <f t="shared" si="31"/>
        <v>2.5625675340991378E-2</v>
      </c>
      <c r="BF12" s="528">
        <f t="shared" si="32"/>
        <v>0.2550643096164189</v>
      </c>
      <c r="BG12" s="528">
        <f t="shared" si="33"/>
        <v>2.6682583069197897E-2</v>
      </c>
      <c r="BH12" s="528">
        <f t="shared" si="34"/>
        <v>1.0008298399891213E-2</v>
      </c>
      <c r="BI12">
        <f t="shared" si="35"/>
        <v>2.5975491757479017E-2</v>
      </c>
      <c r="BJ12" s="460">
        <f t="shared" si="101"/>
        <v>52.658074826676916</v>
      </c>
      <c r="BK12">
        <f t="shared" si="36"/>
        <v>0.29944040666385496</v>
      </c>
      <c r="BL12" s="460">
        <f t="shared" si="102"/>
        <v>299.44040666385496</v>
      </c>
      <c r="BM12" s="173">
        <f t="shared" si="37"/>
        <v>0.43487499999999996</v>
      </c>
      <c r="BN12" s="173">
        <f t="shared" si="38"/>
        <v>7.765625E-3</v>
      </c>
      <c r="BO12" s="528"/>
      <c r="BQ12" s="460">
        <f t="shared" si="103"/>
        <v>442.64062499999994</v>
      </c>
      <c r="BR12" s="528">
        <f t="shared" si="39"/>
        <v>3.8438513011487069E-2</v>
      </c>
      <c r="BS12" s="528">
        <f t="shared" si="104"/>
        <v>0.96156148698851285</v>
      </c>
      <c r="BT12" s="528">
        <f t="shared" si="40"/>
        <v>9.7199657948091208E-5</v>
      </c>
      <c r="BU12" s="528">
        <f t="shared" si="41"/>
        <v>2.3244033731665323E-2</v>
      </c>
      <c r="BV12" s="528">
        <f t="shared" si="42"/>
        <v>1.3732339560186799</v>
      </c>
      <c r="BW12" s="625">
        <f t="shared" si="43"/>
        <v>1.8489986627770972E-3</v>
      </c>
      <c r="BX12" s="460">
        <f t="shared" si="105"/>
        <v>1375.0829546814568</v>
      </c>
      <c r="BY12" s="173">
        <f t="shared" si="106"/>
        <v>2.1171639863453118</v>
      </c>
      <c r="BZ12" s="5">
        <f t="shared" si="107"/>
        <v>10.640000000000002</v>
      </c>
      <c r="CA12" s="173">
        <f t="shared" si="108"/>
        <v>0.83404117179872983</v>
      </c>
      <c r="CB12" s="5">
        <f t="shared" si="109"/>
        <v>83.404117179872983</v>
      </c>
      <c r="CC12">
        <f t="shared" si="110"/>
        <v>7.0000000000000009</v>
      </c>
      <c r="CE12" s="562">
        <f t="shared" si="44"/>
        <v>-50</v>
      </c>
      <c r="CF12">
        <f t="shared" si="45"/>
        <v>-50</v>
      </c>
      <c r="CG12" s="173">
        <f t="shared" si="46"/>
        <v>0.14135705918636746</v>
      </c>
      <c r="CH12" s="173">
        <f t="shared" si="47"/>
        <v>1.6287621809331826E-2</v>
      </c>
      <c r="CI12" s="170">
        <v>7</v>
      </c>
      <c r="CJ12" s="217">
        <f t="shared" si="133"/>
        <v>0.70000000000000007</v>
      </c>
      <c r="CK12" s="217">
        <f t="shared" si="111"/>
        <v>1.7500000000000002E-2</v>
      </c>
      <c r="CL12" s="217">
        <f t="shared" si="48"/>
        <v>10.500000000000002</v>
      </c>
      <c r="CM12" s="217">
        <f t="shared" si="134"/>
        <v>0.14000000000000001</v>
      </c>
      <c r="CN12" s="541">
        <f t="shared" si="112"/>
        <v>58</v>
      </c>
      <c r="CO12" s="443">
        <f t="shared" si="49"/>
        <v>15.7</v>
      </c>
      <c r="CP12" s="443">
        <f t="shared" si="50"/>
        <v>73.7</v>
      </c>
      <c r="CQ12" s="443"/>
      <c r="CR12" s="217">
        <f t="shared" si="113"/>
        <v>0.2098092643051771</v>
      </c>
      <c r="CS12" s="172">
        <f t="shared" si="114"/>
        <v>300.22049333142121</v>
      </c>
      <c r="CT12" s="172">
        <f t="shared" si="51"/>
        <v>4.0563124432334243</v>
      </c>
      <c r="CU12" s="217">
        <f t="shared" si="52"/>
        <v>20.014699555428081</v>
      </c>
      <c r="CV12" s="217">
        <f t="shared" si="53"/>
        <v>37.527561666427651</v>
      </c>
      <c r="CW12" s="443">
        <f t="shared" si="54"/>
        <v>15</v>
      </c>
      <c r="CX12" s="217">
        <f t="shared" si="55"/>
        <v>1.7487147335423201</v>
      </c>
      <c r="CY12" s="217">
        <f t="shared" si="56"/>
        <v>0.36180304831910065</v>
      </c>
      <c r="CZ12" s="217">
        <f t="shared" si="57"/>
        <v>1.3365972485673785</v>
      </c>
      <c r="DA12" s="197">
        <f t="shared" si="58"/>
        <v>102.962460425147</v>
      </c>
      <c r="DB12" s="443">
        <f t="shared" si="115"/>
        <v>350</v>
      </c>
      <c r="DD12" s="217">
        <f t="shared" si="59"/>
        <v>10</v>
      </c>
      <c r="DE12" s="173">
        <f t="shared" si="60"/>
        <v>7.6433121019108281</v>
      </c>
      <c r="DF12" s="173">
        <f t="shared" si="61"/>
        <v>3.9348710990502043</v>
      </c>
      <c r="DG12" s="173"/>
      <c r="DH12" s="173">
        <f t="shared" si="62"/>
        <v>7.6433121019108281</v>
      </c>
      <c r="DI12" s="545">
        <f t="shared" si="63"/>
        <v>18.31666666666667</v>
      </c>
      <c r="DJ12" s="528">
        <f t="shared" si="64"/>
        <v>3.9348710990502034</v>
      </c>
      <c r="DL12" s="173">
        <f t="shared" si="65"/>
        <v>2.2509257354845511</v>
      </c>
      <c r="DM12" s="173">
        <f t="shared" si="66"/>
        <v>10</v>
      </c>
      <c r="DN12" s="173">
        <f t="shared" si="67"/>
        <v>1.0104666666666666</v>
      </c>
      <c r="DP12" s="545">
        <f t="shared" si="68"/>
        <v>700.00000000000011</v>
      </c>
      <c r="DQ12" s="460">
        <f t="shared" si="69"/>
        <v>18.31666666666667</v>
      </c>
      <c r="DS12">
        <f t="shared" si="116"/>
        <v>700.00000000000011</v>
      </c>
      <c r="DT12" s="460">
        <f t="shared" si="70"/>
        <v>18.31666666666667</v>
      </c>
      <c r="DU12" s="460"/>
      <c r="DV12" s="5">
        <f t="shared" si="117"/>
        <v>54.595086442220193</v>
      </c>
      <c r="DW12" s="5">
        <f t="shared" si="71"/>
        <v>2.068965517241379</v>
      </c>
      <c r="DX12" s="5">
        <f t="shared" si="118"/>
        <v>52.526120924978812</v>
      </c>
      <c r="DY12" s="173">
        <f t="shared" si="119"/>
        <v>3.7896551724137931E-2</v>
      </c>
      <c r="EA12" s="5">
        <f t="shared" si="72"/>
        <v>9.6551724137931032</v>
      </c>
      <c r="EB12" s="5">
        <f t="shared" si="73"/>
        <v>0.45258620689655171</v>
      </c>
      <c r="EC12" s="5">
        <f t="shared" si="74"/>
        <v>3.2789790113690702</v>
      </c>
      <c r="ED12" s="5"/>
      <c r="EE12" s="173">
        <f t="shared" si="120"/>
        <v>1.123929886961192</v>
      </c>
      <c r="EF12" s="173">
        <f t="shared" si="75"/>
        <v>5.6630482023843598</v>
      </c>
      <c r="EG12" s="173">
        <f t="shared" si="76"/>
        <v>0.13946644200381877</v>
      </c>
      <c r="EH12" s="173"/>
      <c r="EI12" s="528">
        <f t="shared" si="77"/>
        <v>2.5264367816091954E-2</v>
      </c>
      <c r="EJ12" s="528">
        <f t="shared" si="78"/>
        <v>0.26998766666666674</v>
      </c>
      <c r="EK12" s="528">
        <f t="shared" si="79"/>
        <v>2.2895833333333336E-3</v>
      </c>
      <c r="EL12" s="528">
        <f t="shared" si="80"/>
        <v>9.9490455166666696E-3</v>
      </c>
      <c r="EM12">
        <f t="shared" si="81"/>
        <v>2.6099999999999998E-2</v>
      </c>
      <c r="EN12" s="460">
        <f t="shared" si="121"/>
        <v>28.389583333333334</v>
      </c>
      <c r="EO12">
        <f t="shared" si="82"/>
        <v>0.34246781315560798</v>
      </c>
      <c r="EP12" s="460">
        <f t="shared" si="122"/>
        <v>342.46781315560798</v>
      </c>
      <c r="EQ12" s="173">
        <f t="shared" si="83"/>
        <v>0.43487499999999996</v>
      </c>
      <c r="ER12" s="173">
        <f t="shared" si="84"/>
        <v>7.765625E-3</v>
      </c>
      <c r="ES12" s="528"/>
      <c r="EU12" s="460">
        <f t="shared" si="123"/>
        <v>442.64062499999994</v>
      </c>
      <c r="EV12" s="528">
        <f t="shared" si="85"/>
        <v>3.7896551724137931E-2</v>
      </c>
      <c r="EW12" s="528">
        <f t="shared" si="124"/>
        <v>0.96210344827586169</v>
      </c>
      <c r="EX12" s="528">
        <f t="shared" si="86"/>
        <v>9.7254442226022729E-5</v>
      </c>
      <c r="EY12" s="528">
        <f t="shared" si="87"/>
        <v>2.2703149523751295E-2</v>
      </c>
      <c r="EZ12" s="528">
        <f t="shared" si="88"/>
        <v>1.3726461138116139</v>
      </c>
      <c r="FA12" s="625">
        <f t="shared" si="89"/>
        <v>1.8316666666666672E-3</v>
      </c>
      <c r="FB12" s="460">
        <f t="shared" si="125"/>
        <v>1374.4777804782807</v>
      </c>
      <c r="FC12" s="173">
        <f t="shared" si="126"/>
        <v>2.1595862186338883</v>
      </c>
      <c r="FD12" s="5">
        <f t="shared" si="127"/>
        <v>10.640000000000002</v>
      </c>
      <c r="FE12" s="173">
        <f t="shared" si="128"/>
        <v>0.83127687241249093</v>
      </c>
      <c r="FF12" s="5">
        <f t="shared" si="129"/>
        <v>83.127687241249092</v>
      </c>
      <c r="FG12">
        <f t="shared" si="130"/>
        <v>7.0000000000000009</v>
      </c>
      <c r="FI12" s="562">
        <f t="shared" si="90"/>
        <v>-50</v>
      </c>
      <c r="FJ12">
        <f t="shared" si="91"/>
        <v>-50</v>
      </c>
      <c r="FL12">
        <f t="shared" si="92"/>
        <v>0.14135705918636746</v>
      </c>
    </row>
    <row r="13" spans="2:169" s="76" customFormat="1">
      <c r="E13" s="189">
        <v>8</v>
      </c>
      <c r="F13" s="217">
        <f t="shared" si="131"/>
        <v>0.8</v>
      </c>
      <c r="G13" s="217">
        <f t="shared" si="93"/>
        <v>0.02</v>
      </c>
      <c r="H13" s="217">
        <f t="shared" si="0"/>
        <v>12</v>
      </c>
      <c r="I13" s="217">
        <f t="shared" si="132"/>
        <v>0.16</v>
      </c>
      <c r="J13" s="541">
        <f t="shared" si="1"/>
        <v>57.723315016620042</v>
      </c>
      <c r="K13" s="443">
        <f t="shared" si="2"/>
        <v>15.848559966660831</v>
      </c>
      <c r="L13" s="172">
        <f t="shared" si="3"/>
        <v>73.571874983280878</v>
      </c>
      <c r="M13" s="443"/>
      <c r="N13" s="217">
        <f t="shared" si="4"/>
        <v>0.21541601284814879</v>
      </c>
      <c r="O13" s="172">
        <f t="shared" si="94"/>
        <v>306.77285450471948</v>
      </c>
      <c r="P13" s="172">
        <f t="shared" si="5"/>
        <v>4.1448421230859873</v>
      </c>
      <c r="Q13" s="329">
        <f t="shared" si="6"/>
        <v>20.451523633647966</v>
      </c>
      <c r="R13" s="217">
        <f t="shared" si="7"/>
        <v>38.346606813089934</v>
      </c>
      <c r="S13" s="443">
        <f t="shared" si="8"/>
        <v>15</v>
      </c>
      <c r="T13" s="217">
        <f t="shared" si="9"/>
        <v>1.9558444992425803</v>
      </c>
      <c r="U13" s="329">
        <f t="shared" si="10"/>
        <v>0.40659712603396569</v>
      </c>
      <c r="V13" s="217">
        <f t="shared" si="11"/>
        <v>1.4809000969351753</v>
      </c>
      <c r="W13" s="537">
        <f t="shared" si="12"/>
        <v>103.62105307714972</v>
      </c>
      <c r="X13" s="443">
        <f t="shared" si="95"/>
        <v>350</v>
      </c>
      <c r="Z13" s="329">
        <f t="shared" si="13"/>
        <v>10</v>
      </c>
      <c r="AA13" s="173">
        <f t="shared" si="14"/>
        <v>7.5716658328853255</v>
      </c>
      <c r="AB13" s="173">
        <f t="shared" si="15"/>
        <v>3.922919935759257</v>
      </c>
      <c r="AC13" s="538"/>
      <c r="AD13" s="173">
        <f t="shared" si="16"/>
        <v>7.5716658328853255</v>
      </c>
      <c r="AE13" s="545">
        <f t="shared" si="17"/>
        <v>21.131413288881106</v>
      </c>
      <c r="AF13" s="528">
        <f t="shared" si="18"/>
        <v>3.922919935759257</v>
      </c>
      <c r="AG13"/>
      <c r="AH13" s="173">
        <f t="shared" si="19"/>
        <v>2.4063408300729532</v>
      </c>
      <c r="AI13" s="173">
        <f t="shared" si="20"/>
        <v>10</v>
      </c>
      <c r="AJ13" s="173">
        <f t="shared" si="21"/>
        <v>1.0120750933079321</v>
      </c>
      <c r="AL13" s="545">
        <f t="shared" si="22"/>
        <v>800</v>
      </c>
      <c r="AM13" s="460">
        <f t="shared" si="23"/>
        <v>21.131413288881106</v>
      </c>
      <c r="AO13">
        <f t="shared" si="96"/>
        <v>800</v>
      </c>
      <c r="AP13" s="460">
        <f t="shared" si="24"/>
        <v>21.131413288881106</v>
      </c>
      <c r="AQ13" s="460"/>
      <c r="AR13" s="5">
        <f t="shared" si="97"/>
        <v>47.322911455533287</v>
      </c>
      <c r="AS13" s="5">
        <f t="shared" si="25"/>
        <v>2.0788826831142475</v>
      </c>
      <c r="AT13" s="5">
        <f t="shared" si="98"/>
        <v>45.244028772419043</v>
      </c>
      <c r="AU13" s="173">
        <f t="shared" si="99"/>
        <v>4.3929729155985218E-2</v>
      </c>
      <c r="AW13" s="5">
        <f t="shared" si="26"/>
        <v>11.087374309942653</v>
      </c>
      <c r="AX13" s="5">
        <f t="shared" si="27"/>
        <v>0.51972067077856177</v>
      </c>
      <c r="AY13" s="5">
        <f t="shared" si="28"/>
        <v>3.2433457906656793</v>
      </c>
      <c r="AZ13" s="5"/>
      <c r="BA13" s="173">
        <f t="shared" si="100"/>
        <v>1.2100926845492073</v>
      </c>
      <c r="BB13" s="173">
        <f t="shared" si="29"/>
        <v>5.6452643009990089</v>
      </c>
      <c r="BC13" s="173">
        <f t="shared" si="30"/>
        <v>0.13902846984421091</v>
      </c>
      <c r="BD13" s="173"/>
      <c r="BE13" s="528">
        <f t="shared" si="31"/>
        <v>2.9286486103990143E-2</v>
      </c>
      <c r="BF13" s="528">
        <f t="shared" si="32"/>
        <v>0.29150206813305013</v>
      </c>
      <c r="BG13" s="528">
        <f t="shared" si="33"/>
        <v>3.0494380650511878E-2</v>
      </c>
      <c r="BH13" s="528">
        <f t="shared" si="34"/>
        <v>1.1438055314161385E-2</v>
      </c>
      <c r="BI13">
        <f t="shared" si="35"/>
        <v>2.5975491757479017E-2</v>
      </c>
      <c r="BJ13" s="460">
        <f t="shared" si="101"/>
        <v>56.469872407990898</v>
      </c>
      <c r="BK13">
        <f t="shared" si="36"/>
        <v>0.34251735724530458</v>
      </c>
      <c r="BL13" s="460">
        <f t="shared" si="102"/>
        <v>342.51735724530459</v>
      </c>
      <c r="BM13" s="173">
        <f t="shared" si="37"/>
        <v>0.49699999999999994</v>
      </c>
      <c r="BN13" s="173">
        <f t="shared" si="38"/>
        <v>8.8749999999999992E-3</v>
      </c>
      <c r="BO13" s="528"/>
      <c r="BQ13" s="460">
        <f t="shared" si="103"/>
        <v>505.87499999999994</v>
      </c>
      <c r="BR13" s="528">
        <f t="shared" si="39"/>
        <v>4.3929729155985212E-2</v>
      </c>
      <c r="BS13" s="528">
        <f t="shared" si="104"/>
        <v>0.95607027084401475</v>
      </c>
      <c r="BT13" s="528">
        <f t="shared" si="40"/>
        <v>9.6644577136113319E-5</v>
      </c>
      <c r="BU13" s="528">
        <f t="shared" si="41"/>
        <v>3.2455728703629873E-2</v>
      </c>
      <c r="BV13" s="528">
        <f t="shared" si="42"/>
        <v>1.3832459376486699</v>
      </c>
      <c r="BW13" s="625">
        <f t="shared" si="43"/>
        <v>2.113141328888111E-3</v>
      </c>
      <c r="BX13" s="460">
        <f t="shared" si="105"/>
        <v>1385.3590789775581</v>
      </c>
      <c r="BY13" s="173">
        <f t="shared" si="106"/>
        <v>2.2337514362228625</v>
      </c>
      <c r="BZ13" s="5">
        <f t="shared" si="107"/>
        <v>12.16</v>
      </c>
      <c r="CA13" s="173">
        <f t="shared" si="108"/>
        <v>0.844811031639641</v>
      </c>
      <c r="CB13" s="5">
        <f t="shared" si="109"/>
        <v>84.481103163964093</v>
      </c>
      <c r="CC13">
        <f t="shared" si="110"/>
        <v>8</v>
      </c>
      <c r="CE13" s="562">
        <f t="shared" si="44"/>
        <v>-50</v>
      </c>
      <c r="CF13">
        <f t="shared" si="45"/>
        <v>-50</v>
      </c>
      <c r="CG13" s="173">
        <f t="shared" si="46"/>
        <v>0.16155092478441993</v>
      </c>
      <c r="CH13" s="173">
        <f t="shared" si="47"/>
        <v>1.8614424924950659E-2</v>
      </c>
      <c r="CI13" s="189">
        <v>8</v>
      </c>
      <c r="CJ13" s="217">
        <f t="shared" si="133"/>
        <v>0.8</v>
      </c>
      <c r="CK13" s="217">
        <f t="shared" si="111"/>
        <v>0.02</v>
      </c>
      <c r="CL13" s="217">
        <f t="shared" si="48"/>
        <v>12</v>
      </c>
      <c r="CM13" s="217">
        <f t="shared" si="134"/>
        <v>0.16</v>
      </c>
      <c r="CN13" s="541">
        <f t="shared" si="112"/>
        <v>58</v>
      </c>
      <c r="CO13" s="443">
        <f t="shared" si="49"/>
        <v>15.7</v>
      </c>
      <c r="CP13" s="443">
        <f t="shared" si="50"/>
        <v>73.7</v>
      </c>
      <c r="CQ13" s="535"/>
      <c r="CR13" s="329">
        <f t="shared" si="113"/>
        <v>0.2098092643051771</v>
      </c>
      <c r="CS13" s="172">
        <f t="shared" si="114"/>
        <v>300.22049333142121</v>
      </c>
      <c r="CT13" s="172">
        <f t="shared" si="51"/>
        <v>4.0563124432334243</v>
      </c>
      <c r="CU13" s="329">
        <f t="shared" si="52"/>
        <v>20.014699555428081</v>
      </c>
      <c r="CV13" s="217">
        <f t="shared" si="53"/>
        <v>37.527561666427651</v>
      </c>
      <c r="CW13" s="443">
        <f t="shared" si="54"/>
        <v>15</v>
      </c>
      <c r="CX13" s="217">
        <f t="shared" si="55"/>
        <v>1.9985311240483654</v>
      </c>
      <c r="CY13" s="329">
        <f t="shared" si="56"/>
        <v>0.41348919807897222</v>
      </c>
      <c r="CZ13" s="217">
        <f t="shared" si="57"/>
        <v>1.5275397126484322</v>
      </c>
      <c r="DA13" s="537">
        <f t="shared" si="58"/>
        <v>102.962460425147</v>
      </c>
      <c r="DB13" s="535">
        <f t="shared" si="115"/>
        <v>350</v>
      </c>
      <c r="DD13" s="329">
        <f t="shared" si="59"/>
        <v>10</v>
      </c>
      <c r="DE13" s="173">
        <f t="shared" si="60"/>
        <v>7.6433121019108281</v>
      </c>
      <c r="DF13" s="173">
        <f t="shared" si="61"/>
        <v>3.9348710990502043</v>
      </c>
      <c r="DG13" s="538"/>
      <c r="DH13" s="173">
        <f t="shared" si="62"/>
        <v>7.6433121019108281</v>
      </c>
      <c r="DI13" s="545">
        <f t="shared" si="63"/>
        <v>20.933333333333337</v>
      </c>
      <c r="DJ13" s="528">
        <f t="shared" si="64"/>
        <v>3.9348710990502034</v>
      </c>
      <c r="DK13"/>
      <c r="DL13" s="173">
        <f t="shared" si="65"/>
        <v>2.4063408300729532</v>
      </c>
      <c r="DM13" s="173">
        <f t="shared" si="66"/>
        <v>10</v>
      </c>
      <c r="DN13" s="173">
        <f t="shared" si="67"/>
        <v>1.0119619047619048</v>
      </c>
      <c r="DP13" s="545">
        <f t="shared" si="68"/>
        <v>800</v>
      </c>
      <c r="DQ13" s="460">
        <f t="shared" si="69"/>
        <v>20.933333333333337</v>
      </c>
      <c r="DS13">
        <f t="shared" si="116"/>
        <v>800</v>
      </c>
      <c r="DT13" s="460">
        <f t="shared" si="70"/>
        <v>20.933333333333337</v>
      </c>
      <c r="DU13" s="460"/>
      <c r="DV13" s="5">
        <f t="shared" si="117"/>
        <v>47.770700636942664</v>
      </c>
      <c r="DW13" s="5">
        <f t="shared" si="71"/>
        <v>2.068965517241379</v>
      </c>
      <c r="DX13" s="5">
        <f t="shared" si="118"/>
        <v>45.701735119701283</v>
      </c>
      <c r="DY13" s="173">
        <f t="shared" si="119"/>
        <v>4.3310344827586209E-2</v>
      </c>
      <c r="EA13" s="5">
        <f t="shared" si="72"/>
        <v>11.034482758620689</v>
      </c>
      <c r="EB13" s="5">
        <f t="shared" si="73"/>
        <v>0.51724137931034475</v>
      </c>
      <c r="EC13" s="5">
        <f t="shared" si="74"/>
        <v>3.2605280703710782</v>
      </c>
      <c r="ED13" s="5"/>
      <c r="EE13" s="173">
        <f t="shared" si="120"/>
        <v>1.2015315896469556</v>
      </c>
      <c r="EF13" s="173">
        <f t="shared" si="75"/>
        <v>5.6470926300543178</v>
      </c>
      <c r="EG13" s="173">
        <f t="shared" si="76"/>
        <v>0.13907349692839654</v>
      </c>
      <c r="EH13" s="173"/>
      <c r="EI13" s="528">
        <f t="shared" si="77"/>
        <v>2.8873563218390803E-2</v>
      </c>
      <c r="EJ13" s="528">
        <f t="shared" si="78"/>
        <v>0.30855733333333335</v>
      </c>
      <c r="EK13" s="528">
        <f t="shared" si="79"/>
        <v>2.6166666666666669E-3</v>
      </c>
      <c r="EL13" s="528">
        <f t="shared" si="80"/>
        <v>1.1370337733333336E-2</v>
      </c>
      <c r="EM13">
        <f t="shared" si="81"/>
        <v>2.6099999999999998E-2</v>
      </c>
      <c r="EN13" s="460">
        <f t="shared" si="121"/>
        <v>28.716666666666665</v>
      </c>
      <c r="EO13">
        <f t="shared" si="82"/>
        <v>0.38797541349326387</v>
      </c>
      <c r="EP13" s="460">
        <f t="shared" si="122"/>
        <v>387.97541349326389</v>
      </c>
      <c r="EQ13" s="173">
        <f t="shared" si="83"/>
        <v>0.49699999999999994</v>
      </c>
      <c r="ER13" s="173">
        <f t="shared" si="84"/>
        <v>8.8749999999999992E-3</v>
      </c>
      <c r="ES13" s="528"/>
      <c r="EU13" s="460">
        <f t="shared" si="123"/>
        <v>505.87499999999994</v>
      </c>
      <c r="EV13" s="528">
        <f t="shared" si="85"/>
        <v>4.3310344827586202E-2</v>
      </c>
      <c r="EW13" s="528">
        <f t="shared" si="124"/>
        <v>0.95668965517241378</v>
      </c>
      <c r="EX13" s="528">
        <f t="shared" si="86"/>
        <v>9.6707187739463618E-5</v>
      </c>
      <c r="EY13" s="528">
        <f t="shared" si="87"/>
        <v>3.1700490120052188E-2</v>
      </c>
      <c r="EZ13" s="528">
        <f t="shared" si="88"/>
        <v>1.3824251111613368</v>
      </c>
      <c r="FA13" s="625">
        <f t="shared" si="89"/>
        <v>2.0933333333333338E-3</v>
      </c>
      <c r="FB13" s="460">
        <f t="shared" si="125"/>
        <v>1384.5184444946701</v>
      </c>
      <c r="FC13" s="173">
        <f t="shared" si="126"/>
        <v>2.278368857987934</v>
      </c>
      <c r="FD13" s="5">
        <f t="shared" si="127"/>
        <v>12.16</v>
      </c>
      <c r="FE13" s="173">
        <f t="shared" si="128"/>
        <v>0.84220039809223735</v>
      </c>
      <c r="FF13" s="5">
        <f t="shared" si="129"/>
        <v>84.220039809223735</v>
      </c>
      <c r="FG13">
        <f t="shared" si="130"/>
        <v>8</v>
      </c>
      <c r="FI13" s="562">
        <f t="shared" si="90"/>
        <v>-50</v>
      </c>
      <c r="FJ13">
        <f t="shared" si="91"/>
        <v>-50</v>
      </c>
      <c r="FL13">
        <f t="shared" si="92"/>
        <v>0.16155092478441993</v>
      </c>
    </row>
    <row r="14" spans="2:169">
      <c r="E14" s="170">
        <v>9</v>
      </c>
      <c r="F14" s="217">
        <f t="shared" si="131"/>
        <v>0.89999999999999991</v>
      </c>
      <c r="G14" s="217">
        <f t="shared" si="93"/>
        <v>2.2499999999999999E-2</v>
      </c>
      <c r="H14" s="217">
        <f t="shared" si="0"/>
        <v>13.499999999999998</v>
      </c>
      <c r="I14" s="217">
        <f t="shared" si="132"/>
        <v>0.18</v>
      </c>
      <c r="J14" s="541">
        <f t="shared" si="1"/>
        <v>57.723315016620042</v>
      </c>
      <c r="K14" s="443">
        <f t="shared" si="2"/>
        <v>15.848559966660831</v>
      </c>
      <c r="L14" s="172">
        <f t="shared" si="3"/>
        <v>73.571874983280878</v>
      </c>
      <c r="M14" s="443"/>
      <c r="N14" s="217">
        <f t="shared" si="4"/>
        <v>0.21541601284814879</v>
      </c>
      <c r="O14" s="172">
        <f t="shared" si="94"/>
        <v>306.77285450471948</v>
      </c>
      <c r="P14" s="172">
        <f t="shared" si="5"/>
        <v>4.1448421230859873</v>
      </c>
      <c r="Q14" s="217">
        <f t="shared" si="6"/>
        <v>20.451523633647966</v>
      </c>
      <c r="R14" s="217">
        <f t="shared" si="7"/>
        <v>38.346606813089934</v>
      </c>
      <c r="S14" s="443">
        <f t="shared" si="8"/>
        <v>15</v>
      </c>
      <c r="T14" s="217">
        <f t="shared" si="9"/>
        <v>2.2003250616479026</v>
      </c>
      <c r="U14" s="217">
        <f t="shared" si="10"/>
        <v>0.45742176678821134</v>
      </c>
      <c r="V14" s="217">
        <f t="shared" si="11"/>
        <v>1.6660126090520722</v>
      </c>
      <c r="W14" s="197">
        <f t="shared" si="12"/>
        <v>103.62105307714972</v>
      </c>
      <c r="X14" s="443">
        <f t="shared" si="95"/>
        <v>350</v>
      </c>
      <c r="Z14" s="217">
        <f t="shared" si="13"/>
        <v>10</v>
      </c>
      <c r="AA14" s="173">
        <f t="shared" si="14"/>
        <v>7.5716658328853255</v>
      </c>
      <c r="AB14" s="173">
        <f t="shared" si="15"/>
        <v>3.922919935759257</v>
      </c>
      <c r="AC14" s="173"/>
      <c r="AD14" s="173">
        <f t="shared" si="16"/>
        <v>7.5716658328853255</v>
      </c>
      <c r="AE14" s="545">
        <f t="shared" si="17"/>
        <v>23.772839949991241</v>
      </c>
      <c r="AF14" s="528">
        <f t="shared" si="18"/>
        <v>3.922919935759257</v>
      </c>
      <c r="AH14" s="173">
        <f t="shared" si="19"/>
        <v>2.5523098781859765</v>
      </c>
      <c r="AI14" s="173">
        <f t="shared" si="20"/>
        <v>10</v>
      </c>
      <c r="AJ14" s="173">
        <f t="shared" si="21"/>
        <v>1.0135844799714235</v>
      </c>
      <c r="AL14" s="545">
        <f t="shared" si="22"/>
        <v>899.99999999999989</v>
      </c>
      <c r="AM14" s="460">
        <f t="shared" si="23"/>
        <v>23.772839949991241</v>
      </c>
      <c r="AO14">
        <f t="shared" si="96"/>
        <v>899.99999999999989</v>
      </c>
      <c r="AP14" s="460">
        <f t="shared" si="24"/>
        <v>23.772839949991241</v>
      </c>
      <c r="AQ14" s="460"/>
      <c r="AR14" s="5">
        <f t="shared" si="97"/>
        <v>42.064810182696263</v>
      </c>
      <c r="AS14" s="5">
        <f t="shared" si="25"/>
        <v>2.0788826831142475</v>
      </c>
      <c r="AT14" s="5">
        <f t="shared" si="98"/>
        <v>39.985927499582019</v>
      </c>
      <c r="AU14" s="173">
        <f t="shared" si="99"/>
        <v>4.9420945300483361E-2</v>
      </c>
      <c r="AW14" s="5">
        <f t="shared" si="26"/>
        <v>12.473296098685484</v>
      </c>
      <c r="AX14" s="5">
        <f t="shared" si="27"/>
        <v>0.58468575462588213</v>
      </c>
      <c r="AY14" s="5">
        <f t="shared" si="28"/>
        <v>3.2247175440701956</v>
      </c>
      <c r="AZ14" s="5"/>
      <c r="BA14" s="173">
        <f t="shared" si="100"/>
        <v>1.2834971146634673</v>
      </c>
      <c r="BB14" s="173">
        <f t="shared" si="29"/>
        <v>5.6290290894597348</v>
      </c>
      <c r="BC14" s="173">
        <f t="shared" si="30"/>
        <v>0.13862863796787114</v>
      </c>
      <c r="BD14" s="173"/>
      <c r="BE14" s="528">
        <f t="shared" si="31"/>
        <v>3.2947296866988912E-2</v>
      </c>
      <c r="BF14" s="528">
        <f t="shared" si="32"/>
        <v>0.32793982664968141</v>
      </c>
      <c r="BG14" s="528">
        <f t="shared" si="33"/>
        <v>3.4306178231825857E-2</v>
      </c>
      <c r="BH14" s="528">
        <f t="shared" si="34"/>
        <v>1.2867812228431556E-2</v>
      </c>
      <c r="BI14">
        <f t="shared" si="35"/>
        <v>2.5975491757479017E-2</v>
      </c>
      <c r="BJ14" s="460">
        <f t="shared" si="101"/>
        <v>60.281669989304874</v>
      </c>
      <c r="BK14">
        <f t="shared" si="36"/>
        <v>0.38566983649350212</v>
      </c>
      <c r="BL14" s="460">
        <f t="shared" si="102"/>
        <v>385.66983649350209</v>
      </c>
      <c r="BM14" s="173">
        <f t="shared" si="37"/>
        <v>0.55912499999999987</v>
      </c>
      <c r="BN14" s="173">
        <f t="shared" si="38"/>
        <v>9.9843749999999985E-3</v>
      </c>
      <c r="BO14" s="528"/>
      <c r="BQ14" s="460">
        <f t="shared" si="103"/>
        <v>569.10937499999989</v>
      </c>
      <c r="BR14" s="528">
        <f t="shared" si="39"/>
        <v>4.9420945300483368E-2</v>
      </c>
      <c r="BS14" s="528">
        <f t="shared" si="104"/>
        <v>0.95057905469951676</v>
      </c>
      <c r="BT14" s="528">
        <f t="shared" si="40"/>
        <v>9.6089496324135417E-5</v>
      </c>
      <c r="BU14" s="528">
        <f t="shared" si="41"/>
        <v>4.3568506271008368E-2</v>
      </c>
      <c r="BV14" s="528">
        <f t="shared" si="42"/>
        <v>1.3953243297037117</v>
      </c>
      <c r="BW14" s="625">
        <f t="shared" si="43"/>
        <v>2.3772839949991243E-3</v>
      </c>
      <c r="BX14" s="460">
        <f t="shared" si="105"/>
        <v>1397.7016136987108</v>
      </c>
      <c r="BY14" s="173">
        <f t="shared" si="106"/>
        <v>2.3524808251922127</v>
      </c>
      <c r="BZ14" s="5">
        <f t="shared" si="107"/>
        <v>13.679999999999998</v>
      </c>
      <c r="CA14" s="173">
        <f t="shared" si="108"/>
        <v>0.85326782231383036</v>
      </c>
      <c r="CB14" s="5">
        <f t="shared" si="109"/>
        <v>85.326782231383035</v>
      </c>
      <c r="CC14">
        <f t="shared" si="110"/>
        <v>9</v>
      </c>
      <c r="CE14" s="562">
        <f t="shared" si="44"/>
        <v>-50</v>
      </c>
      <c r="CF14">
        <f t="shared" si="45"/>
        <v>-50</v>
      </c>
      <c r="CG14" s="173">
        <f t="shared" si="46"/>
        <v>0.18174479038247238</v>
      </c>
      <c r="CH14" s="173">
        <f t="shared" si="47"/>
        <v>2.0941228040569488E-2</v>
      </c>
      <c r="CI14" s="170">
        <v>9</v>
      </c>
      <c r="CJ14" s="217">
        <f t="shared" si="133"/>
        <v>0.89999999999999991</v>
      </c>
      <c r="CK14" s="217">
        <f t="shared" si="111"/>
        <v>2.2499999999999999E-2</v>
      </c>
      <c r="CL14" s="217">
        <f t="shared" si="48"/>
        <v>13.499999999999998</v>
      </c>
      <c r="CM14" s="217">
        <f t="shared" si="134"/>
        <v>0.18</v>
      </c>
      <c r="CN14" s="541">
        <f t="shared" si="112"/>
        <v>58</v>
      </c>
      <c r="CO14" s="443">
        <f t="shared" si="49"/>
        <v>15.7</v>
      </c>
      <c r="CP14" s="443">
        <f t="shared" si="50"/>
        <v>73.7</v>
      </c>
      <c r="CQ14" s="443"/>
      <c r="CR14" s="217">
        <f t="shared" si="113"/>
        <v>0.2098092643051771</v>
      </c>
      <c r="CS14" s="172">
        <f t="shared" si="114"/>
        <v>300.22049333142121</v>
      </c>
      <c r="CT14" s="172">
        <f t="shared" si="51"/>
        <v>4.0563124432334243</v>
      </c>
      <c r="CU14" s="217">
        <f t="shared" si="52"/>
        <v>20.014699555428081</v>
      </c>
      <c r="CV14" s="217">
        <f t="shared" si="53"/>
        <v>37.527561666427651</v>
      </c>
      <c r="CW14" s="443">
        <f t="shared" si="54"/>
        <v>15</v>
      </c>
      <c r="CX14" s="217">
        <f t="shared" si="55"/>
        <v>2.248347514554411</v>
      </c>
      <c r="CY14" s="217">
        <f t="shared" si="56"/>
        <v>0.46517534783884368</v>
      </c>
      <c r="CZ14" s="217">
        <f t="shared" si="57"/>
        <v>1.7184821767294862</v>
      </c>
      <c r="DA14" s="197">
        <f t="shared" si="58"/>
        <v>102.962460425147</v>
      </c>
      <c r="DB14" s="443">
        <f t="shared" si="115"/>
        <v>350</v>
      </c>
      <c r="DD14" s="217">
        <f t="shared" si="59"/>
        <v>10</v>
      </c>
      <c r="DE14" s="173">
        <f t="shared" si="60"/>
        <v>7.6433121019108281</v>
      </c>
      <c r="DF14" s="173">
        <f t="shared" si="61"/>
        <v>3.9348710990502043</v>
      </c>
      <c r="DG14" s="173"/>
      <c r="DH14" s="173">
        <f t="shared" si="62"/>
        <v>7.6433121019108281</v>
      </c>
      <c r="DI14" s="545">
        <f t="shared" si="63"/>
        <v>23.55</v>
      </c>
      <c r="DJ14" s="528">
        <f t="shared" si="64"/>
        <v>3.9348710990502034</v>
      </c>
      <c r="DL14" s="173">
        <f t="shared" si="65"/>
        <v>2.5523098781859765</v>
      </c>
      <c r="DM14" s="173">
        <f t="shared" si="66"/>
        <v>10</v>
      </c>
      <c r="DN14" s="173">
        <f t="shared" si="67"/>
        <v>1.0134571428571428</v>
      </c>
      <c r="DP14" s="545">
        <f t="shared" si="68"/>
        <v>899.99999999999989</v>
      </c>
      <c r="DQ14" s="460">
        <f t="shared" si="69"/>
        <v>23.55</v>
      </c>
      <c r="DS14">
        <f t="shared" si="116"/>
        <v>899.99999999999989</v>
      </c>
      <c r="DT14" s="460">
        <f t="shared" si="70"/>
        <v>23.55</v>
      </c>
      <c r="DU14" s="460"/>
      <c r="DV14" s="5">
        <f t="shared" si="117"/>
        <v>42.462845010615709</v>
      </c>
      <c r="DW14" s="5">
        <f t="shared" si="71"/>
        <v>2.068965517241379</v>
      </c>
      <c r="DX14" s="5">
        <f t="shared" si="118"/>
        <v>40.393879493374328</v>
      </c>
      <c r="DY14" s="173">
        <f t="shared" si="119"/>
        <v>4.8724137931034479E-2</v>
      </c>
      <c r="EA14" s="5">
        <f t="shared" si="72"/>
        <v>12.413793103448272</v>
      </c>
      <c r="EB14" s="5">
        <f t="shared" si="73"/>
        <v>0.58189655172413779</v>
      </c>
      <c r="EC14" s="5">
        <f t="shared" si="74"/>
        <v>3.2420771293730875</v>
      </c>
      <c r="ED14" s="5"/>
      <c r="EE14" s="173">
        <f t="shared" si="120"/>
        <v>1.2744167022738218</v>
      </c>
      <c r="EF14" s="173">
        <f t="shared" si="75"/>
        <v>5.6310918481497749</v>
      </c>
      <c r="EG14" s="173">
        <f t="shared" si="76"/>
        <v>0.13867943845639449</v>
      </c>
      <c r="EH14" s="173"/>
      <c r="EI14" s="528">
        <f t="shared" si="77"/>
        <v>3.2482758620689653E-2</v>
      </c>
      <c r="EJ14" s="528">
        <f t="shared" si="78"/>
        <v>0.34712700000000007</v>
      </c>
      <c r="EK14" s="528">
        <f t="shared" si="79"/>
        <v>2.9437500000000002E-3</v>
      </c>
      <c r="EL14" s="528">
        <f t="shared" si="80"/>
        <v>1.2791629950000001E-2</v>
      </c>
      <c r="EM14">
        <f t="shared" si="81"/>
        <v>2.6099999999999998E-2</v>
      </c>
      <c r="EN14" s="460">
        <f t="shared" si="121"/>
        <v>29.043749999999999</v>
      </c>
      <c r="EO14">
        <f t="shared" si="82"/>
        <v>0.43356167051014649</v>
      </c>
      <c r="EP14" s="460">
        <f t="shared" si="122"/>
        <v>433.56167051014648</v>
      </c>
      <c r="EQ14" s="173">
        <f t="shared" si="83"/>
        <v>0.55912499999999987</v>
      </c>
      <c r="ER14" s="173">
        <f t="shared" si="84"/>
        <v>9.9843749999999985E-3</v>
      </c>
      <c r="ES14" s="528"/>
      <c r="EU14" s="460">
        <f t="shared" si="123"/>
        <v>569.10937499999989</v>
      </c>
      <c r="EV14" s="528">
        <f t="shared" si="85"/>
        <v>4.8724137931034479E-2</v>
      </c>
      <c r="EW14" s="528">
        <f t="shared" si="124"/>
        <v>0.95127586206896542</v>
      </c>
      <c r="EX14" s="528">
        <f t="shared" si="86"/>
        <v>9.6159933252904547E-5</v>
      </c>
      <c r="EY14" s="528">
        <f t="shared" si="87"/>
        <v>4.255467548430255E-2</v>
      </c>
      <c r="EZ14" s="528">
        <f t="shared" si="88"/>
        <v>1.3942224339874254</v>
      </c>
      <c r="FA14" s="625">
        <f t="shared" si="89"/>
        <v>2.3550000000000003E-3</v>
      </c>
      <c r="FB14" s="460">
        <f t="shared" si="125"/>
        <v>1396.5774339874256</v>
      </c>
      <c r="FC14" s="173">
        <f t="shared" si="126"/>
        <v>2.3992484794975719</v>
      </c>
      <c r="FD14" s="5">
        <f t="shared" si="127"/>
        <v>13.679999999999998</v>
      </c>
      <c r="FE14" s="173">
        <f t="shared" si="128"/>
        <v>0.85078603129015518</v>
      </c>
      <c r="FF14" s="5">
        <f t="shared" si="129"/>
        <v>85.078603129015519</v>
      </c>
      <c r="FG14">
        <f t="shared" si="130"/>
        <v>9</v>
      </c>
      <c r="FI14" s="562">
        <f t="shared" si="90"/>
        <v>-50</v>
      </c>
      <c r="FJ14">
        <f t="shared" si="91"/>
        <v>-50</v>
      </c>
      <c r="FL14">
        <f t="shared" si="92"/>
        <v>0.1817447903824724</v>
      </c>
    </row>
    <row r="15" spans="2:169">
      <c r="E15" s="170">
        <v>10</v>
      </c>
      <c r="F15" s="217">
        <f t="shared" si="131"/>
        <v>1</v>
      </c>
      <c r="G15" s="217">
        <f t="shared" si="93"/>
        <v>2.5000000000000001E-2</v>
      </c>
      <c r="H15" s="217">
        <f t="shared" si="0"/>
        <v>15</v>
      </c>
      <c r="I15" s="217">
        <f t="shared" si="132"/>
        <v>0.2</v>
      </c>
      <c r="J15" s="541">
        <f t="shared" si="1"/>
        <v>57.723315016620042</v>
      </c>
      <c r="K15" s="443">
        <f t="shared" si="2"/>
        <v>15.848559966660831</v>
      </c>
      <c r="L15" s="172">
        <f t="shared" si="3"/>
        <v>73.571874983280878</v>
      </c>
      <c r="M15" s="443"/>
      <c r="N15" s="217">
        <f t="shared" si="4"/>
        <v>0.21541601284814879</v>
      </c>
      <c r="O15" s="172">
        <f t="shared" si="94"/>
        <v>306.77285450471948</v>
      </c>
      <c r="P15" s="172">
        <f t="shared" si="5"/>
        <v>4.1448421230859873</v>
      </c>
      <c r="Q15" s="217">
        <f t="shared" si="6"/>
        <v>20.451523633647966</v>
      </c>
      <c r="R15" s="217">
        <f t="shared" si="7"/>
        <v>38.346606813089934</v>
      </c>
      <c r="S15" s="443">
        <f t="shared" si="8"/>
        <v>15</v>
      </c>
      <c r="T15" s="217">
        <f t="shared" si="9"/>
        <v>2.4448056240532252</v>
      </c>
      <c r="U15" s="217">
        <f t="shared" si="10"/>
        <v>0.50824640754245709</v>
      </c>
      <c r="V15" s="217">
        <f t="shared" si="11"/>
        <v>1.851125121168969</v>
      </c>
      <c r="W15" s="197">
        <f t="shared" si="12"/>
        <v>103.62105307714972</v>
      </c>
      <c r="X15" s="443">
        <f t="shared" si="95"/>
        <v>350</v>
      </c>
      <c r="Z15" s="217">
        <f t="shared" si="13"/>
        <v>10</v>
      </c>
      <c r="AA15" s="173">
        <f t="shared" si="14"/>
        <v>7.5716658328853255</v>
      </c>
      <c r="AB15" s="173">
        <f t="shared" si="15"/>
        <v>3.922919935759257</v>
      </c>
      <c r="AC15" s="173"/>
      <c r="AD15" s="173">
        <f t="shared" si="16"/>
        <v>7.5716658328853255</v>
      </c>
      <c r="AE15" s="545">
        <f t="shared" si="17"/>
        <v>26.414266611101382</v>
      </c>
      <c r="AF15" s="528">
        <f t="shared" si="18"/>
        <v>3.922919935759257</v>
      </c>
      <c r="AH15" s="173">
        <f t="shared" si="19"/>
        <v>2.6903708365381971</v>
      </c>
      <c r="AI15" s="173">
        <f t="shared" si="20"/>
        <v>10</v>
      </c>
      <c r="AJ15" s="173">
        <f t="shared" si="21"/>
        <v>1.0150938666349152</v>
      </c>
      <c r="AL15" s="545">
        <f t="shared" si="22"/>
        <v>1000</v>
      </c>
      <c r="AM15" s="460">
        <f t="shared" si="23"/>
        <v>26.414266611101382</v>
      </c>
      <c r="AO15">
        <f t="shared" si="96"/>
        <v>1000</v>
      </c>
      <c r="AP15" s="460">
        <f t="shared" si="24"/>
        <v>26.414266611101382</v>
      </c>
      <c r="AQ15" s="460"/>
      <c r="AR15" s="5">
        <f t="shared" si="97"/>
        <v>37.858329164426628</v>
      </c>
      <c r="AS15" s="5">
        <f t="shared" si="25"/>
        <v>2.0788826831142475</v>
      </c>
      <c r="AT15" s="5">
        <f t="shared" si="98"/>
        <v>35.779446481312384</v>
      </c>
      <c r="AU15" s="173">
        <f t="shared" si="99"/>
        <v>5.4912161444981525E-2</v>
      </c>
      <c r="AW15" s="5">
        <f t="shared" si="26"/>
        <v>13.859217887428317</v>
      </c>
      <c r="AX15" s="5">
        <f t="shared" si="27"/>
        <v>0.64965083847320237</v>
      </c>
      <c r="AY15" s="5">
        <f t="shared" si="28"/>
        <v>3.2060892974747115</v>
      </c>
      <c r="AZ15" s="5"/>
      <c r="BA15" s="173">
        <f t="shared" si="100"/>
        <v>1.3529247508636186</v>
      </c>
      <c r="BB15" s="173">
        <f t="shared" si="29"/>
        <v>5.6127469167809396</v>
      </c>
      <c r="BC15" s="173">
        <f t="shared" si="30"/>
        <v>0.13822764955836983</v>
      </c>
      <c r="BD15" s="173"/>
      <c r="BE15" s="528">
        <f t="shared" si="31"/>
        <v>3.6608107629987695E-2</v>
      </c>
      <c r="BF15" s="528">
        <f t="shared" si="32"/>
        <v>0.36437758516631269</v>
      </c>
      <c r="BG15" s="528">
        <f t="shared" si="33"/>
        <v>3.8117975813139846E-2</v>
      </c>
      <c r="BH15" s="528">
        <f t="shared" si="34"/>
        <v>1.429756914270173E-2</v>
      </c>
      <c r="BI15">
        <f t="shared" si="35"/>
        <v>2.5975491757479017E-2</v>
      </c>
      <c r="BJ15" s="460">
        <f t="shared" si="101"/>
        <v>64.093467570618856</v>
      </c>
      <c r="BK15">
        <f t="shared" si="36"/>
        <v>0.42889804322422448</v>
      </c>
      <c r="BL15" s="460">
        <f t="shared" si="102"/>
        <v>428.89804322422447</v>
      </c>
      <c r="BM15" s="173">
        <f t="shared" si="37"/>
        <v>0.62124999999999997</v>
      </c>
      <c r="BN15" s="173">
        <f t="shared" si="38"/>
        <v>1.1093749999999999E-2</v>
      </c>
      <c r="BO15" s="528"/>
      <c r="BQ15" s="460">
        <f t="shared" si="103"/>
        <v>632.34375</v>
      </c>
      <c r="BR15" s="528">
        <f t="shared" si="39"/>
        <v>5.4912161444981539E-2</v>
      </c>
      <c r="BS15" s="528">
        <f t="shared" si="104"/>
        <v>0.94508783855501821</v>
      </c>
      <c r="BT15" s="528">
        <f t="shared" si="40"/>
        <v>9.5534415512157502E-5</v>
      </c>
      <c r="BU15" s="528">
        <f t="shared" si="41"/>
        <v>5.669782471922459E-2</v>
      </c>
      <c r="BV15" s="528">
        <f t="shared" si="42"/>
        <v>1.4095946310634724</v>
      </c>
      <c r="BW15" s="625">
        <f t="shared" si="43"/>
        <v>2.6414266611101381E-3</v>
      </c>
      <c r="BX15" s="460">
        <f t="shared" si="105"/>
        <v>1412.2360577245825</v>
      </c>
      <c r="BY15" s="173">
        <f t="shared" si="106"/>
        <v>2.4734778509488069</v>
      </c>
      <c r="BZ15" s="5">
        <f t="shared" si="107"/>
        <v>15.2</v>
      </c>
      <c r="CA15" s="173">
        <f t="shared" si="108"/>
        <v>0.86004577753121647</v>
      </c>
      <c r="CB15" s="5">
        <f t="shared" si="109"/>
        <v>86.004577753121652</v>
      </c>
      <c r="CC15">
        <f t="shared" si="110"/>
        <v>10</v>
      </c>
      <c r="CE15" s="562">
        <f t="shared" si="44"/>
        <v>-50</v>
      </c>
      <c r="CF15">
        <f t="shared" si="45"/>
        <v>-50</v>
      </c>
      <c r="CG15" s="173">
        <f t="shared" si="46"/>
        <v>0.20193865598052488</v>
      </c>
      <c r="CH15" s="173">
        <f t="shared" si="47"/>
        <v>2.3268031156188321E-2</v>
      </c>
      <c r="CI15" s="170">
        <v>10</v>
      </c>
      <c r="CJ15" s="217">
        <f t="shared" si="133"/>
        <v>1</v>
      </c>
      <c r="CK15" s="217">
        <f t="shared" si="111"/>
        <v>2.5000000000000001E-2</v>
      </c>
      <c r="CL15" s="217">
        <f t="shared" si="48"/>
        <v>15</v>
      </c>
      <c r="CM15" s="217">
        <f t="shared" si="134"/>
        <v>0.2</v>
      </c>
      <c r="CN15" s="541">
        <f t="shared" si="112"/>
        <v>58</v>
      </c>
      <c r="CO15" s="443">
        <f t="shared" si="49"/>
        <v>15.7</v>
      </c>
      <c r="CP15" s="443">
        <f t="shared" si="50"/>
        <v>73.7</v>
      </c>
      <c r="CQ15" s="443"/>
      <c r="CR15" s="217">
        <f t="shared" si="113"/>
        <v>0.2098092643051771</v>
      </c>
      <c r="CS15" s="172">
        <f t="shared" si="114"/>
        <v>300.22049333142121</v>
      </c>
      <c r="CT15" s="172">
        <f t="shared" si="51"/>
        <v>4.0563124432334243</v>
      </c>
      <c r="CU15" s="217">
        <f t="shared" si="52"/>
        <v>20.014699555428081</v>
      </c>
      <c r="CV15" s="217">
        <f t="shared" si="53"/>
        <v>37.527561666427651</v>
      </c>
      <c r="CW15" s="443">
        <f t="shared" si="54"/>
        <v>15</v>
      </c>
      <c r="CX15" s="217">
        <f t="shared" si="55"/>
        <v>2.4981639050604567</v>
      </c>
      <c r="CY15" s="217">
        <f t="shared" si="56"/>
        <v>0.51686149759871525</v>
      </c>
      <c r="CZ15" s="217">
        <f t="shared" si="57"/>
        <v>1.9094246408105406</v>
      </c>
      <c r="DA15" s="197">
        <f t="shared" si="58"/>
        <v>102.962460425147</v>
      </c>
      <c r="DB15" s="443">
        <f t="shared" si="115"/>
        <v>350</v>
      </c>
      <c r="DD15" s="217">
        <f t="shared" si="59"/>
        <v>10</v>
      </c>
      <c r="DE15" s="173">
        <f t="shared" si="60"/>
        <v>7.6433121019108281</v>
      </c>
      <c r="DF15" s="173">
        <f t="shared" si="61"/>
        <v>3.9348710990502043</v>
      </c>
      <c r="DG15" s="173"/>
      <c r="DH15" s="173">
        <f t="shared" si="62"/>
        <v>7.6433121019108281</v>
      </c>
      <c r="DI15" s="545">
        <f t="shared" si="63"/>
        <v>26.166666666666668</v>
      </c>
      <c r="DJ15" s="528">
        <f t="shared" si="64"/>
        <v>3.9348710990502034</v>
      </c>
      <c r="DL15" s="173">
        <f t="shared" si="65"/>
        <v>2.6903708365381971</v>
      </c>
      <c r="DM15" s="173">
        <f t="shared" si="66"/>
        <v>10</v>
      </c>
      <c r="DN15" s="173">
        <f t="shared" si="67"/>
        <v>1.0149523809523811</v>
      </c>
      <c r="DP15" s="545">
        <f t="shared" si="68"/>
        <v>1000</v>
      </c>
      <c r="DQ15" s="460">
        <f t="shared" si="69"/>
        <v>26.166666666666668</v>
      </c>
      <c r="DS15">
        <f t="shared" si="116"/>
        <v>1000</v>
      </c>
      <c r="DT15" s="460">
        <f t="shared" si="70"/>
        <v>26.166666666666668</v>
      </c>
      <c r="DU15" s="460"/>
      <c r="DV15" s="5">
        <f t="shared" si="117"/>
        <v>38.216560509554135</v>
      </c>
      <c r="DW15" s="5">
        <f t="shared" si="71"/>
        <v>2.068965517241379</v>
      </c>
      <c r="DX15" s="5">
        <f t="shared" si="118"/>
        <v>36.147594992312754</v>
      </c>
      <c r="DY15" s="173">
        <f t="shared" si="119"/>
        <v>5.4137931034482757E-2</v>
      </c>
      <c r="EA15" s="5">
        <f t="shared" si="72"/>
        <v>13.793103448275859</v>
      </c>
      <c r="EB15" s="5">
        <f t="shared" si="73"/>
        <v>0.64655172413793094</v>
      </c>
      <c r="EC15" s="5">
        <f t="shared" si="74"/>
        <v>3.2236261883750967</v>
      </c>
      <c r="ED15" s="5"/>
      <c r="EE15" s="173">
        <f t="shared" si="120"/>
        <v>1.3433531557819876</v>
      </c>
      <c r="EF15" s="173">
        <f t="shared" si="75"/>
        <v>5.6150454701795516</v>
      </c>
      <c r="EG15" s="173">
        <f t="shared" si="76"/>
        <v>0.13828425706951994</v>
      </c>
      <c r="EH15" s="173"/>
      <c r="EI15" s="528">
        <f t="shared" si="77"/>
        <v>3.6091954022988502E-2</v>
      </c>
      <c r="EJ15" s="528">
        <f t="shared" si="78"/>
        <v>0.38569666666666674</v>
      </c>
      <c r="EK15" s="528">
        <f t="shared" si="79"/>
        <v>3.2708333333333335E-3</v>
      </c>
      <c r="EL15" s="528">
        <f t="shared" si="80"/>
        <v>1.4212922166666668E-2</v>
      </c>
      <c r="EM15">
        <f t="shared" si="81"/>
        <v>2.6099999999999998E-2</v>
      </c>
      <c r="EN15" s="460">
        <f t="shared" si="121"/>
        <v>29.370833333333334</v>
      </c>
      <c r="EO15">
        <f t="shared" si="82"/>
        <v>0.47922678831143434</v>
      </c>
      <c r="EP15" s="460">
        <f t="shared" si="122"/>
        <v>479.22678831143435</v>
      </c>
      <c r="EQ15" s="173">
        <f t="shared" si="83"/>
        <v>0.62124999999999997</v>
      </c>
      <c r="ER15" s="173">
        <f t="shared" si="84"/>
        <v>1.1093749999999999E-2</v>
      </c>
      <c r="ES15" s="528"/>
      <c r="EU15" s="460">
        <f t="shared" si="123"/>
        <v>632.34375</v>
      </c>
      <c r="EV15" s="528">
        <f t="shared" si="85"/>
        <v>5.413793103448275E-2</v>
      </c>
      <c r="EW15" s="528">
        <f t="shared" si="124"/>
        <v>0.94586206896551706</v>
      </c>
      <c r="EX15" s="528">
        <f t="shared" si="86"/>
        <v>9.5612678766345382E-5</v>
      </c>
      <c r="EY15" s="528">
        <f t="shared" si="87"/>
        <v>5.5378477209763376E-2</v>
      </c>
      <c r="EZ15" s="528">
        <f t="shared" si="88"/>
        <v>1.4081606608396378</v>
      </c>
      <c r="FA15" s="625">
        <f t="shared" si="89"/>
        <v>2.6166666666666669E-3</v>
      </c>
      <c r="FB15" s="460">
        <f t="shared" si="125"/>
        <v>1410.7773275063046</v>
      </c>
      <c r="FC15" s="173">
        <f t="shared" si="126"/>
        <v>2.5223478658177383</v>
      </c>
      <c r="FD15" s="5">
        <f t="shared" si="127"/>
        <v>15.2</v>
      </c>
      <c r="FE15" s="173">
        <f t="shared" si="128"/>
        <v>0.85767417021066616</v>
      </c>
      <c r="FF15" s="5">
        <f t="shared" si="129"/>
        <v>85.76741702106662</v>
      </c>
      <c r="FG15">
        <f t="shared" si="130"/>
        <v>10</v>
      </c>
      <c r="FI15" s="562">
        <f t="shared" si="90"/>
        <v>-50</v>
      </c>
      <c r="FJ15">
        <f t="shared" si="91"/>
        <v>-50</v>
      </c>
      <c r="FL15">
        <f t="shared" si="92"/>
        <v>0.20193865598052488</v>
      </c>
    </row>
    <row r="16" spans="2:169">
      <c r="E16" s="170">
        <v>11</v>
      </c>
      <c r="F16" s="217">
        <f t="shared" si="131"/>
        <v>1.1000000000000001</v>
      </c>
      <c r="G16" s="217">
        <f t="shared" si="93"/>
        <v>2.75E-2</v>
      </c>
      <c r="H16" s="217">
        <f t="shared" si="0"/>
        <v>16.5</v>
      </c>
      <c r="I16" s="217">
        <f t="shared" si="132"/>
        <v>0.22</v>
      </c>
      <c r="J16" s="541">
        <f t="shared" si="1"/>
        <v>57.723315016620042</v>
      </c>
      <c r="K16" s="443">
        <f t="shared" si="2"/>
        <v>15.848559966660831</v>
      </c>
      <c r="L16" s="172">
        <f t="shared" si="3"/>
        <v>73.571874983280878</v>
      </c>
      <c r="M16" s="443"/>
      <c r="N16" s="217">
        <f t="shared" si="4"/>
        <v>0.21541601284814879</v>
      </c>
      <c r="O16" s="172">
        <f t="shared" si="94"/>
        <v>306.77285450471948</v>
      </c>
      <c r="P16" s="172">
        <f t="shared" si="5"/>
        <v>4.1448421230859873</v>
      </c>
      <c r="Q16" s="217">
        <f t="shared" si="6"/>
        <v>20.451523633647966</v>
      </c>
      <c r="R16" s="217">
        <f t="shared" si="7"/>
        <v>38.346606813089934</v>
      </c>
      <c r="S16" s="443">
        <f t="shared" si="8"/>
        <v>15</v>
      </c>
      <c r="T16" s="217">
        <f t="shared" si="9"/>
        <v>2.6892861864585478</v>
      </c>
      <c r="U16" s="217">
        <f t="shared" si="10"/>
        <v>0.55907104829670284</v>
      </c>
      <c r="V16" s="217">
        <f t="shared" si="11"/>
        <v>2.0362376332858663</v>
      </c>
      <c r="W16" s="197">
        <f t="shared" si="12"/>
        <v>103.62105307714972</v>
      </c>
      <c r="X16" s="443">
        <f t="shared" si="95"/>
        <v>350</v>
      </c>
      <c r="Z16" s="217">
        <f t="shared" si="13"/>
        <v>10</v>
      </c>
      <c r="AA16" s="173">
        <f t="shared" si="14"/>
        <v>7.5716658328853255</v>
      </c>
      <c r="AB16" s="173">
        <f t="shared" si="15"/>
        <v>3.922919935759257</v>
      </c>
      <c r="AC16" s="173"/>
      <c r="AD16" s="173">
        <f t="shared" si="16"/>
        <v>7.5716658328853255</v>
      </c>
      <c r="AE16" s="545">
        <f t="shared" si="17"/>
        <v>29.055693272211524</v>
      </c>
      <c r="AF16" s="528">
        <f t="shared" si="18"/>
        <v>3.922919935759257</v>
      </c>
      <c r="AH16" s="173">
        <f t="shared" si="19"/>
        <v>2.8216847382201933</v>
      </c>
      <c r="AI16" s="173">
        <f t="shared" si="20"/>
        <v>10</v>
      </c>
      <c r="AJ16" s="173">
        <f t="shared" si="21"/>
        <v>1.0166032532984066</v>
      </c>
      <c r="AL16" s="545">
        <f t="shared" si="22"/>
        <v>1100</v>
      </c>
      <c r="AM16" s="460">
        <f t="shared" si="23"/>
        <v>29.055693272211524</v>
      </c>
      <c r="AO16">
        <f t="shared" si="96"/>
        <v>1100</v>
      </c>
      <c r="AP16" s="460">
        <f t="shared" si="24"/>
        <v>29.055693272211524</v>
      </c>
      <c r="AQ16" s="460"/>
      <c r="AR16" s="5">
        <f t="shared" si="97"/>
        <v>34.416662876751481</v>
      </c>
      <c r="AS16" s="5">
        <f t="shared" si="25"/>
        <v>2.0788826831142475</v>
      </c>
      <c r="AT16" s="5">
        <f t="shared" si="98"/>
        <v>32.337780193637236</v>
      </c>
      <c r="AU16" s="173">
        <f t="shared" si="99"/>
        <v>6.0403377589479675E-2</v>
      </c>
      <c r="AW16" s="5">
        <f t="shared" si="26"/>
        <v>15.245139676171151</v>
      </c>
      <c r="AX16" s="5">
        <f t="shared" si="27"/>
        <v>0.71461592232052262</v>
      </c>
      <c r="AY16" s="5">
        <f t="shared" si="28"/>
        <v>3.1874610508792274</v>
      </c>
      <c r="AZ16" s="5"/>
      <c r="BA16" s="173">
        <f t="shared" si="100"/>
        <v>1.4189594496141609</v>
      </c>
      <c r="BB16" s="173">
        <f t="shared" si="29"/>
        <v>5.5964173730775313</v>
      </c>
      <c r="BC16" s="173">
        <f t="shared" si="30"/>
        <v>0.13782549452128198</v>
      </c>
      <c r="BD16" s="173"/>
      <c r="BE16" s="528">
        <f t="shared" si="31"/>
        <v>4.026891839298645E-2</v>
      </c>
      <c r="BF16" s="528">
        <f t="shared" si="32"/>
        <v>0.40081534368294397</v>
      </c>
      <c r="BG16" s="528">
        <f t="shared" si="33"/>
        <v>4.1929773394453834E-2</v>
      </c>
      <c r="BH16" s="528">
        <f t="shared" si="34"/>
        <v>1.5727326056971906E-2</v>
      </c>
      <c r="BI16">
        <f t="shared" si="35"/>
        <v>2.5975491757479017E-2</v>
      </c>
      <c r="BJ16" s="460">
        <f t="shared" si="101"/>
        <v>67.905265151932852</v>
      </c>
      <c r="BK16">
        <f t="shared" si="36"/>
        <v>0.47220217695165756</v>
      </c>
      <c r="BL16" s="460">
        <f t="shared" si="102"/>
        <v>472.20217695165758</v>
      </c>
      <c r="BM16" s="173">
        <f t="shared" si="37"/>
        <v>0.68337499999999995</v>
      </c>
      <c r="BN16" s="173">
        <f t="shared" si="38"/>
        <v>1.2203124999999999E-2</v>
      </c>
      <c r="BO16" s="528"/>
      <c r="BQ16" s="460">
        <f t="shared" si="103"/>
        <v>695.57812499999989</v>
      </c>
      <c r="BR16" s="528">
        <f t="shared" si="39"/>
        <v>6.0403377589479668E-2</v>
      </c>
      <c r="BS16" s="528">
        <f t="shared" si="104"/>
        <v>0.93959662241052044</v>
      </c>
      <c r="BT16" s="528">
        <f t="shared" si="40"/>
        <v>9.4979334700179654E-5</v>
      </c>
      <c r="BU16" s="528">
        <f t="shared" si="41"/>
        <v>7.1952868087402963E-2</v>
      </c>
      <c r="BV16" s="528">
        <f t="shared" si="42"/>
        <v>1.4261755206941313</v>
      </c>
      <c r="BW16" s="625">
        <f t="shared" si="43"/>
        <v>2.9055693272211527E-3</v>
      </c>
      <c r="BX16" s="460">
        <f t="shared" si="105"/>
        <v>1429.0810900213523</v>
      </c>
      <c r="BY16" s="173">
        <f t="shared" si="106"/>
        <v>2.5968613919730101</v>
      </c>
      <c r="BZ16" s="5">
        <f t="shared" si="107"/>
        <v>16.72</v>
      </c>
      <c r="CA16" s="173">
        <f t="shared" si="108"/>
        <v>0.86556504499990261</v>
      </c>
      <c r="CB16" s="5">
        <f t="shared" si="109"/>
        <v>86.556504499990268</v>
      </c>
      <c r="CC16">
        <f t="shared" si="110"/>
        <v>11.000000000000002</v>
      </c>
      <c r="CE16" s="562">
        <f t="shared" si="44"/>
        <v>-50</v>
      </c>
      <c r="CF16">
        <f t="shared" si="45"/>
        <v>-50</v>
      </c>
      <c r="CG16" s="173">
        <f t="shared" si="46"/>
        <v>0.22213252157857741</v>
      </c>
      <c r="CH16" s="173">
        <f t="shared" si="47"/>
        <v>2.5594834271807154E-2</v>
      </c>
      <c r="CI16" s="170">
        <v>11</v>
      </c>
      <c r="CJ16" s="217">
        <f t="shared" si="133"/>
        <v>1.1000000000000001</v>
      </c>
      <c r="CK16" s="217">
        <f t="shared" si="111"/>
        <v>2.75E-2</v>
      </c>
      <c r="CL16" s="217">
        <f t="shared" si="48"/>
        <v>16.5</v>
      </c>
      <c r="CM16" s="217">
        <f t="shared" si="134"/>
        <v>0.22</v>
      </c>
      <c r="CN16" s="541">
        <f t="shared" si="112"/>
        <v>58</v>
      </c>
      <c r="CO16" s="443">
        <f t="shared" si="49"/>
        <v>15.7</v>
      </c>
      <c r="CP16" s="443">
        <f t="shared" si="50"/>
        <v>73.7</v>
      </c>
      <c r="CQ16" s="443"/>
      <c r="CR16" s="217">
        <f t="shared" si="113"/>
        <v>0.2098092643051771</v>
      </c>
      <c r="CS16" s="172">
        <f t="shared" si="114"/>
        <v>300.22049333142121</v>
      </c>
      <c r="CT16" s="172">
        <f t="shared" si="51"/>
        <v>4.0563124432334243</v>
      </c>
      <c r="CU16" s="217">
        <f t="shared" si="52"/>
        <v>20.014699555428081</v>
      </c>
      <c r="CV16" s="217">
        <f t="shared" si="53"/>
        <v>37.527561666427651</v>
      </c>
      <c r="CW16" s="443">
        <f t="shared" si="54"/>
        <v>15</v>
      </c>
      <c r="CX16" s="217">
        <f t="shared" si="55"/>
        <v>2.7479802955665025</v>
      </c>
      <c r="CY16" s="217">
        <f t="shared" si="56"/>
        <v>0.56854764735858676</v>
      </c>
      <c r="CZ16" s="217">
        <f t="shared" si="57"/>
        <v>2.1003671048915944</v>
      </c>
      <c r="DA16" s="197">
        <f t="shared" si="58"/>
        <v>102.962460425147</v>
      </c>
      <c r="DB16" s="443">
        <f t="shared" si="115"/>
        <v>350</v>
      </c>
      <c r="DD16" s="217">
        <f t="shared" si="59"/>
        <v>10</v>
      </c>
      <c r="DE16" s="173">
        <f t="shared" si="60"/>
        <v>7.6433121019108281</v>
      </c>
      <c r="DF16" s="173">
        <f t="shared" si="61"/>
        <v>3.9348710990502043</v>
      </c>
      <c r="DG16" s="173"/>
      <c r="DH16" s="173">
        <f t="shared" si="62"/>
        <v>7.6433121019108281</v>
      </c>
      <c r="DI16" s="545">
        <f t="shared" si="63"/>
        <v>28.783333333333339</v>
      </c>
      <c r="DJ16" s="528">
        <f t="shared" si="64"/>
        <v>3.9348710990502034</v>
      </c>
      <c r="DL16" s="173">
        <f t="shared" si="65"/>
        <v>2.8216847382201933</v>
      </c>
      <c r="DM16" s="173">
        <f t="shared" si="66"/>
        <v>10</v>
      </c>
      <c r="DN16" s="173">
        <f t="shared" si="67"/>
        <v>1.016447619047619</v>
      </c>
      <c r="DP16" s="545">
        <f t="shared" si="68"/>
        <v>1100</v>
      </c>
      <c r="DQ16" s="460">
        <f t="shared" si="69"/>
        <v>28.783333333333339</v>
      </c>
      <c r="DS16">
        <f t="shared" si="116"/>
        <v>1100</v>
      </c>
      <c r="DT16" s="460">
        <f t="shared" si="70"/>
        <v>28.783333333333339</v>
      </c>
      <c r="DU16" s="460"/>
      <c r="DV16" s="5">
        <f t="shared" si="117"/>
        <v>34.742327735958305</v>
      </c>
      <c r="DW16" s="5">
        <f t="shared" si="71"/>
        <v>2.068965517241379</v>
      </c>
      <c r="DX16" s="5">
        <f t="shared" si="118"/>
        <v>32.673362218716925</v>
      </c>
      <c r="DY16" s="173">
        <f t="shared" si="119"/>
        <v>5.9551724137931035E-2</v>
      </c>
      <c r="EA16" s="5">
        <f t="shared" si="72"/>
        <v>15.172413793103447</v>
      </c>
      <c r="EB16" s="5">
        <f t="shared" si="73"/>
        <v>0.71120689655172398</v>
      </c>
      <c r="EC16" s="5">
        <f t="shared" si="74"/>
        <v>3.205175247377106</v>
      </c>
      <c r="ED16" s="5"/>
      <c r="EE16" s="173">
        <f t="shared" si="120"/>
        <v>1.4089206760014448</v>
      </c>
      <c r="EF16" s="173">
        <f t="shared" si="75"/>
        <v>5.5989531041141039</v>
      </c>
      <c r="EG16" s="173">
        <f t="shared" si="76"/>
        <v>0.13788794311308464</v>
      </c>
      <c r="EH16" s="173"/>
      <c r="EI16" s="528">
        <f t="shared" si="77"/>
        <v>3.9701149425287359E-2</v>
      </c>
      <c r="EJ16" s="528">
        <f t="shared" si="78"/>
        <v>0.42426633333333336</v>
      </c>
      <c r="EK16" s="528">
        <f t="shared" si="79"/>
        <v>3.5979166666666672E-3</v>
      </c>
      <c r="EL16" s="528">
        <f t="shared" si="80"/>
        <v>1.5634214383333338E-2</v>
      </c>
      <c r="EM16">
        <f t="shared" si="81"/>
        <v>2.6099999999999998E-2</v>
      </c>
      <c r="EN16" s="460">
        <f t="shared" si="121"/>
        <v>29.697916666666664</v>
      </c>
      <c r="EO16">
        <f t="shared" si="82"/>
        <v>0.52497097170909068</v>
      </c>
      <c r="EP16" s="460">
        <f t="shared" si="122"/>
        <v>524.97097170909069</v>
      </c>
      <c r="EQ16" s="173">
        <f t="shared" si="83"/>
        <v>0.68337499999999995</v>
      </c>
      <c r="ER16" s="173">
        <f t="shared" si="84"/>
        <v>1.2203124999999999E-2</v>
      </c>
      <c r="ES16" s="528"/>
      <c r="EU16" s="460">
        <f t="shared" si="123"/>
        <v>695.57812499999989</v>
      </c>
      <c r="EV16" s="528">
        <f t="shared" si="85"/>
        <v>5.9551724137931042E-2</v>
      </c>
      <c r="EW16" s="528">
        <f t="shared" si="124"/>
        <v>0.94044827586206869</v>
      </c>
      <c r="EX16" s="528">
        <f t="shared" si="86"/>
        <v>9.5065424279786338E-5</v>
      </c>
      <c r="EY16" s="528">
        <f t="shared" si="87"/>
        <v>7.0278538643904612E-2</v>
      </c>
      <c r="EZ16" s="528">
        <f t="shared" si="88"/>
        <v>1.424355709052604</v>
      </c>
      <c r="FA16" s="625">
        <f t="shared" si="89"/>
        <v>2.8783333333333343E-3</v>
      </c>
      <c r="FB16" s="460">
        <f t="shared" si="125"/>
        <v>1427.2340423859373</v>
      </c>
      <c r="FC16" s="173">
        <f t="shared" si="126"/>
        <v>2.6477831390950279</v>
      </c>
      <c r="FD16" s="5">
        <f t="shared" si="127"/>
        <v>16.72</v>
      </c>
      <c r="FE16" s="173">
        <f t="shared" si="128"/>
        <v>0.8632893026486691</v>
      </c>
      <c r="FF16" s="5">
        <f t="shared" si="129"/>
        <v>86.328930264866912</v>
      </c>
      <c r="FG16">
        <f t="shared" si="130"/>
        <v>11.000000000000002</v>
      </c>
      <c r="FI16" s="562">
        <f t="shared" si="90"/>
        <v>-50</v>
      </c>
      <c r="FJ16">
        <f t="shared" si="91"/>
        <v>-50</v>
      </c>
      <c r="FL16">
        <f t="shared" si="92"/>
        <v>0.22213252157857741</v>
      </c>
    </row>
    <row r="17" spans="5:168">
      <c r="E17" s="170">
        <v>12</v>
      </c>
      <c r="F17" s="217">
        <f t="shared" si="131"/>
        <v>1.2</v>
      </c>
      <c r="G17" s="217">
        <f t="shared" si="93"/>
        <v>0.03</v>
      </c>
      <c r="H17" s="217">
        <f t="shared" si="0"/>
        <v>18</v>
      </c>
      <c r="I17" s="217">
        <f t="shared" si="132"/>
        <v>0.24</v>
      </c>
      <c r="J17" s="541">
        <f t="shared" si="1"/>
        <v>57.723315016620042</v>
      </c>
      <c r="K17" s="443">
        <f t="shared" si="2"/>
        <v>15.848559966660831</v>
      </c>
      <c r="L17" s="172">
        <f t="shared" si="3"/>
        <v>73.571874983280878</v>
      </c>
      <c r="M17" s="443"/>
      <c r="N17" s="217">
        <f t="shared" si="4"/>
        <v>0.21541601284814879</v>
      </c>
      <c r="O17" s="172">
        <f t="shared" si="94"/>
        <v>306.77285450471948</v>
      </c>
      <c r="P17" s="172">
        <f t="shared" si="5"/>
        <v>4.1448421230859873</v>
      </c>
      <c r="Q17" s="217">
        <f t="shared" si="6"/>
        <v>20.451523633647966</v>
      </c>
      <c r="R17" s="217">
        <f t="shared" si="7"/>
        <v>38.346606813089934</v>
      </c>
      <c r="S17" s="443">
        <f t="shared" si="8"/>
        <v>15</v>
      </c>
      <c r="T17" s="217">
        <f t="shared" si="9"/>
        <v>2.9337667488638703</v>
      </c>
      <c r="U17" s="217">
        <f t="shared" si="10"/>
        <v>0.60989568905094849</v>
      </c>
      <c r="V17" s="217">
        <f t="shared" si="11"/>
        <v>2.2213501454027629</v>
      </c>
      <c r="W17" s="197">
        <f t="shared" si="12"/>
        <v>103.62105307714972</v>
      </c>
      <c r="X17" s="443">
        <f t="shared" si="95"/>
        <v>329.89736056172399</v>
      </c>
      <c r="Z17" s="217">
        <f t="shared" si="13"/>
        <v>10</v>
      </c>
      <c r="AA17" s="173">
        <f t="shared" si="14"/>
        <v>7.5716658328853255</v>
      </c>
      <c r="AB17" s="173">
        <f t="shared" si="15"/>
        <v>3.922919935759257</v>
      </c>
      <c r="AC17" s="173"/>
      <c r="AD17" s="173">
        <f t="shared" si="16"/>
        <v>7.5716658328853255</v>
      </c>
      <c r="AE17" s="545">
        <f t="shared" si="17"/>
        <v>31.697119933321659</v>
      </c>
      <c r="AF17" s="528">
        <f t="shared" si="18"/>
        <v>3.922919935759257</v>
      </c>
      <c r="AH17" s="173">
        <f t="shared" si="19"/>
        <v>2.9471535904520287</v>
      </c>
      <c r="AI17" s="173">
        <f t="shared" si="20"/>
        <v>10</v>
      </c>
      <c r="AJ17" s="173">
        <f t="shared" si="21"/>
        <v>1.018112639961898</v>
      </c>
      <c r="AL17" s="545">
        <f t="shared" si="22"/>
        <v>1200</v>
      </c>
      <c r="AM17" s="460">
        <f t="shared" si="23"/>
        <v>31.697119933321659</v>
      </c>
      <c r="AO17">
        <f t="shared" si="96"/>
        <v>1200</v>
      </c>
      <c r="AP17" s="460">
        <f t="shared" si="24"/>
        <v>31.697119933321659</v>
      </c>
      <c r="AQ17" s="460"/>
      <c r="AR17" s="5">
        <f t="shared" si="97"/>
        <v>31.54860763702219</v>
      </c>
      <c r="AS17" s="5">
        <f t="shared" si="25"/>
        <v>2.0788826831142475</v>
      </c>
      <c r="AT17" s="5">
        <f t="shared" si="98"/>
        <v>29.469724953907942</v>
      </c>
      <c r="AU17" s="173">
        <f t="shared" si="99"/>
        <v>6.5894593733977824E-2</v>
      </c>
      <c r="AW17" s="5">
        <f t="shared" si="26"/>
        <v>16.631061464913977</v>
      </c>
      <c r="AX17" s="5">
        <f t="shared" si="27"/>
        <v>0.77958100616784287</v>
      </c>
      <c r="AY17" s="5">
        <f t="shared" si="28"/>
        <v>3.1688328042837428</v>
      </c>
      <c r="AZ17" s="5"/>
      <c r="BA17" s="173">
        <f t="shared" si="100"/>
        <v>1.4820548093101216</v>
      </c>
      <c r="BB17" s="173">
        <f t="shared" si="29"/>
        <v>5.5800400424669059</v>
      </c>
      <c r="BC17" s="173">
        <f t="shared" si="30"/>
        <v>0.13742216261447912</v>
      </c>
      <c r="BD17" s="173"/>
      <c r="BE17" s="528">
        <f t="shared" si="31"/>
        <v>4.3929729155985218E-2</v>
      </c>
      <c r="BF17" s="528">
        <f t="shared" si="32"/>
        <v>0.43725310219957519</v>
      </c>
      <c r="BG17" s="528">
        <f t="shared" si="33"/>
        <v>4.5741570975767816E-2</v>
      </c>
      <c r="BH17" s="528">
        <f t="shared" si="34"/>
        <v>1.7157082971242073E-2</v>
      </c>
      <c r="BI17">
        <f t="shared" si="35"/>
        <v>2.5975491757479017E-2</v>
      </c>
      <c r="BJ17" s="460">
        <f t="shared" si="101"/>
        <v>71.717062733246834</v>
      </c>
      <c r="BK17">
        <f t="shared" si="36"/>
        <v>0.51558243789146563</v>
      </c>
      <c r="BL17" s="460">
        <f t="shared" si="102"/>
        <v>515.58243789146559</v>
      </c>
      <c r="BM17" s="173">
        <f t="shared" si="37"/>
        <v>0.74549999999999994</v>
      </c>
      <c r="BN17" s="173">
        <f t="shared" si="38"/>
        <v>1.33125E-2</v>
      </c>
      <c r="BO17" s="528"/>
      <c r="BQ17" s="460">
        <f t="shared" si="103"/>
        <v>758.81249999999989</v>
      </c>
      <c r="BR17" s="528">
        <f t="shared" si="39"/>
        <v>6.5894593733977824E-2</v>
      </c>
      <c r="BS17" s="528">
        <f t="shared" si="104"/>
        <v>0.93410540626602201</v>
      </c>
      <c r="BT17" s="528">
        <f t="shared" si="40"/>
        <v>9.4424253888201711E-5</v>
      </c>
      <c r="BU17" s="528">
        <f t="shared" si="41"/>
        <v>8.9437471373356683E-2</v>
      </c>
      <c r="BV17" s="528">
        <f t="shared" si="42"/>
        <v>1.4451798633158741</v>
      </c>
      <c r="BW17" s="625">
        <f t="shared" si="43"/>
        <v>3.1697119933321661E-3</v>
      </c>
      <c r="BX17" s="460">
        <f t="shared" si="105"/>
        <v>1448.3495753092063</v>
      </c>
      <c r="BY17" s="173">
        <f t="shared" si="106"/>
        <v>2.7227445132006718</v>
      </c>
      <c r="BZ17" s="5">
        <f t="shared" si="107"/>
        <v>18.239999999999998</v>
      </c>
      <c r="CA17" s="173">
        <f t="shared" si="108"/>
        <v>0.8701150743173871</v>
      </c>
      <c r="CB17" s="5">
        <f t="shared" si="109"/>
        <v>87.011507431738707</v>
      </c>
      <c r="CC17">
        <f t="shared" si="110"/>
        <v>12</v>
      </c>
      <c r="CE17" s="562">
        <f t="shared" si="44"/>
        <v>-50</v>
      </c>
      <c r="CF17">
        <f t="shared" si="45"/>
        <v>-50</v>
      </c>
      <c r="CG17" s="173">
        <f t="shared" si="46"/>
        <v>0.24232638717662985</v>
      </c>
      <c r="CH17" s="173">
        <f t="shared" si="47"/>
        <v>2.7921637387425983E-2</v>
      </c>
      <c r="CI17" s="170">
        <v>12</v>
      </c>
      <c r="CJ17" s="217">
        <f t="shared" si="133"/>
        <v>1.2</v>
      </c>
      <c r="CK17" s="217">
        <f t="shared" si="111"/>
        <v>0.03</v>
      </c>
      <c r="CL17" s="217">
        <f t="shared" si="48"/>
        <v>18</v>
      </c>
      <c r="CM17" s="217">
        <f t="shared" si="134"/>
        <v>0.24</v>
      </c>
      <c r="CN17" s="541">
        <f t="shared" si="112"/>
        <v>58</v>
      </c>
      <c r="CO17" s="443">
        <f t="shared" si="49"/>
        <v>15.7</v>
      </c>
      <c r="CP17" s="443">
        <f t="shared" si="50"/>
        <v>73.7</v>
      </c>
      <c r="CQ17" s="443"/>
      <c r="CR17" s="217">
        <f t="shared" si="113"/>
        <v>0.2098092643051771</v>
      </c>
      <c r="CS17" s="172">
        <f t="shared" si="114"/>
        <v>300.22049333142121</v>
      </c>
      <c r="CT17" s="172">
        <f t="shared" si="51"/>
        <v>4.0563124432334243</v>
      </c>
      <c r="CU17" s="217">
        <f t="shared" si="52"/>
        <v>20.014699555428081</v>
      </c>
      <c r="CV17" s="217">
        <f t="shared" si="53"/>
        <v>37.527561666427651</v>
      </c>
      <c r="CW17" s="443">
        <f t="shared" si="54"/>
        <v>15</v>
      </c>
      <c r="CX17" s="217">
        <f t="shared" si="55"/>
        <v>2.9977966860725478</v>
      </c>
      <c r="CY17" s="217">
        <f t="shared" si="56"/>
        <v>0.62023379711845816</v>
      </c>
      <c r="CZ17" s="217">
        <f t="shared" si="57"/>
        <v>2.2913095689726481</v>
      </c>
      <c r="DA17" s="197">
        <f t="shared" si="58"/>
        <v>102.962460425147</v>
      </c>
      <c r="DB17" s="443">
        <f t="shared" si="115"/>
        <v>343.46045181616182</v>
      </c>
      <c r="DD17" s="217">
        <f t="shared" si="59"/>
        <v>10</v>
      </c>
      <c r="DE17" s="173">
        <f t="shared" si="60"/>
        <v>7.6433121019108281</v>
      </c>
      <c r="DF17" s="173">
        <f t="shared" si="61"/>
        <v>3.9348710990502043</v>
      </c>
      <c r="DG17" s="173"/>
      <c r="DH17" s="173">
        <f t="shared" si="62"/>
        <v>7.6433121019108281</v>
      </c>
      <c r="DI17" s="545">
        <f t="shared" si="63"/>
        <v>31.4</v>
      </c>
      <c r="DJ17" s="528">
        <f t="shared" si="64"/>
        <v>3.9348710990502034</v>
      </c>
      <c r="DL17" s="173">
        <f t="shared" si="65"/>
        <v>2.9471535904520287</v>
      </c>
      <c r="DM17" s="173">
        <f t="shared" si="66"/>
        <v>10</v>
      </c>
      <c r="DN17" s="173">
        <f t="shared" si="67"/>
        <v>1.017942857142857</v>
      </c>
      <c r="DP17" s="545">
        <f t="shared" si="68"/>
        <v>1200</v>
      </c>
      <c r="DQ17" s="460">
        <f t="shared" si="69"/>
        <v>31.4</v>
      </c>
      <c r="DS17">
        <f t="shared" si="116"/>
        <v>1200</v>
      </c>
      <c r="DT17" s="460">
        <f t="shared" si="70"/>
        <v>31.4</v>
      </c>
      <c r="DU17" s="460"/>
      <c r="DV17" s="5">
        <f t="shared" si="117"/>
        <v>31.847133757961782</v>
      </c>
      <c r="DW17" s="5">
        <f t="shared" si="71"/>
        <v>2.068965517241379</v>
      </c>
      <c r="DX17" s="5">
        <f t="shared" si="118"/>
        <v>29.778168240720404</v>
      </c>
      <c r="DY17" s="173">
        <f t="shared" si="119"/>
        <v>6.4965517241379306E-2</v>
      </c>
      <c r="EA17" s="5">
        <f t="shared" si="72"/>
        <v>16.551724137931032</v>
      </c>
      <c r="EB17" s="5">
        <f t="shared" si="73"/>
        <v>0.77586206896551713</v>
      </c>
      <c r="EC17" s="5">
        <f t="shared" si="74"/>
        <v>3.1867243063791157</v>
      </c>
      <c r="ED17" s="5"/>
      <c r="EE17" s="173">
        <f t="shared" si="120"/>
        <v>1.4715696522350921</v>
      </c>
      <c r="EF17" s="173">
        <f t="shared" si="75"/>
        <v>5.5828143522737728</v>
      </c>
      <c r="EG17" s="173">
        <f t="shared" si="76"/>
        <v>0.13749048679325215</v>
      </c>
      <c r="EH17" s="173"/>
      <c r="EI17" s="528">
        <f t="shared" si="77"/>
        <v>4.3310344827586195E-2</v>
      </c>
      <c r="EJ17" s="528">
        <f t="shared" si="78"/>
        <v>0.46283600000000003</v>
      </c>
      <c r="EK17" s="528">
        <f t="shared" si="79"/>
        <v>3.9249999999999997E-3</v>
      </c>
      <c r="EL17" s="528">
        <f t="shared" si="80"/>
        <v>1.7055506599999999E-2</v>
      </c>
      <c r="EM17">
        <f t="shared" si="81"/>
        <v>2.6099999999999998E-2</v>
      </c>
      <c r="EN17" s="460">
        <f t="shared" si="121"/>
        <v>30.024999999999995</v>
      </c>
      <c r="EO17">
        <f t="shared" si="82"/>
        <v>0.57079442622492504</v>
      </c>
      <c r="EP17" s="460">
        <f t="shared" si="122"/>
        <v>570.79442622492502</v>
      </c>
      <c r="EQ17" s="173">
        <f t="shared" si="83"/>
        <v>0.74549999999999994</v>
      </c>
      <c r="ER17" s="173">
        <f t="shared" si="84"/>
        <v>1.33125E-2</v>
      </c>
      <c r="ES17" s="528"/>
      <c r="EU17" s="460">
        <f t="shared" si="123"/>
        <v>758.81249999999989</v>
      </c>
      <c r="EV17" s="528">
        <f t="shared" si="85"/>
        <v>6.4965517241379292E-2</v>
      </c>
      <c r="EW17" s="528">
        <f t="shared" si="124"/>
        <v>0.93503448275862067</v>
      </c>
      <c r="EX17" s="528">
        <f t="shared" si="86"/>
        <v>9.4518169793227227E-5</v>
      </c>
      <c r="EY17" s="528">
        <f t="shared" si="87"/>
        <v>8.7356278564050566E-2</v>
      </c>
      <c r="EZ17" s="528">
        <f t="shared" si="88"/>
        <v>1.4429178170116221</v>
      </c>
      <c r="FA17" s="625">
        <f t="shared" si="89"/>
        <v>3.14E-3</v>
      </c>
      <c r="FB17" s="460">
        <f t="shared" si="125"/>
        <v>1446.0578170116221</v>
      </c>
      <c r="FC17" s="173">
        <f t="shared" si="126"/>
        <v>2.7756647432365473</v>
      </c>
      <c r="FD17" s="5">
        <f t="shared" si="127"/>
        <v>18.239999999999998</v>
      </c>
      <c r="FE17" s="173">
        <f t="shared" si="128"/>
        <v>0.86792400920223867</v>
      </c>
      <c r="FF17" s="5">
        <f t="shared" si="129"/>
        <v>86.792400920223869</v>
      </c>
      <c r="FG17">
        <f t="shared" si="130"/>
        <v>12</v>
      </c>
      <c r="FI17" s="562">
        <f t="shared" si="90"/>
        <v>-50</v>
      </c>
      <c r="FJ17">
        <f t="shared" si="91"/>
        <v>-50</v>
      </c>
      <c r="FL17">
        <f t="shared" si="92"/>
        <v>0.24232638717662985</v>
      </c>
    </row>
    <row r="18" spans="5:168">
      <c r="E18" s="170">
        <v>13</v>
      </c>
      <c r="F18" s="217">
        <f t="shared" si="131"/>
        <v>1.3</v>
      </c>
      <c r="G18" s="217">
        <f t="shared" si="93"/>
        <v>3.2500000000000001E-2</v>
      </c>
      <c r="H18" s="217">
        <f t="shared" si="0"/>
        <v>19.5</v>
      </c>
      <c r="I18" s="217">
        <f t="shared" si="132"/>
        <v>0.26</v>
      </c>
      <c r="J18" s="541">
        <f t="shared" si="1"/>
        <v>57.723315016620042</v>
      </c>
      <c r="K18" s="443">
        <f t="shared" si="2"/>
        <v>15.848559966660831</v>
      </c>
      <c r="L18" s="172">
        <f t="shared" si="3"/>
        <v>73.571874983280878</v>
      </c>
      <c r="M18" s="443"/>
      <c r="N18" s="217">
        <f t="shared" si="4"/>
        <v>0.21541601284814879</v>
      </c>
      <c r="O18" s="172">
        <f t="shared" si="94"/>
        <v>306.77285450471948</v>
      </c>
      <c r="P18" s="172">
        <f t="shared" si="5"/>
        <v>4.1448421230859873</v>
      </c>
      <c r="Q18" s="217">
        <f t="shared" si="6"/>
        <v>20.451523633647966</v>
      </c>
      <c r="R18" s="217">
        <f t="shared" si="7"/>
        <v>38.346606813089934</v>
      </c>
      <c r="S18" s="443">
        <f t="shared" si="8"/>
        <v>15</v>
      </c>
      <c r="T18" s="217">
        <f t="shared" si="9"/>
        <v>3.1782473112691934</v>
      </c>
      <c r="U18" s="217">
        <f t="shared" si="10"/>
        <v>0.66072032980519435</v>
      </c>
      <c r="V18" s="217">
        <f t="shared" si="11"/>
        <v>2.4064626575196604</v>
      </c>
      <c r="W18" s="197">
        <f t="shared" si="12"/>
        <v>103.62105307714972</v>
      </c>
      <c r="X18" s="443">
        <f t="shared" si="95"/>
        <v>306.07407172464269</v>
      </c>
      <c r="Z18" s="217">
        <f t="shared" si="13"/>
        <v>10</v>
      </c>
      <c r="AA18" s="173">
        <f t="shared" si="14"/>
        <v>7.5716658328853255</v>
      </c>
      <c r="AB18" s="173">
        <f t="shared" si="15"/>
        <v>3.922919935759257</v>
      </c>
      <c r="AC18" s="173"/>
      <c r="AD18" s="173">
        <f t="shared" si="16"/>
        <v>7.5716658328853255</v>
      </c>
      <c r="AE18" s="545">
        <f t="shared" si="17"/>
        <v>34.338546594431797</v>
      </c>
      <c r="AF18" s="528">
        <f t="shared" si="18"/>
        <v>3.922919935759257</v>
      </c>
      <c r="AH18" s="173">
        <f t="shared" si="19"/>
        <v>3.0674947122242622</v>
      </c>
      <c r="AI18" s="173">
        <f t="shared" si="20"/>
        <v>10</v>
      </c>
      <c r="AJ18" s="173">
        <f t="shared" si="21"/>
        <v>1.0196220266253897</v>
      </c>
      <c r="AL18" s="545">
        <f t="shared" si="22"/>
        <v>1300</v>
      </c>
      <c r="AM18" s="460">
        <f t="shared" si="23"/>
        <v>34.338546594431797</v>
      </c>
      <c r="AO18">
        <f t="shared" si="96"/>
        <v>1300</v>
      </c>
      <c r="AP18" s="460">
        <f t="shared" si="24"/>
        <v>34.338546594431797</v>
      </c>
      <c r="AQ18" s="460"/>
      <c r="AR18" s="5">
        <f t="shared" si="97"/>
        <v>29.121791664943558</v>
      </c>
      <c r="AS18" s="5">
        <f t="shared" si="25"/>
        <v>2.0788826831142475</v>
      </c>
      <c r="AT18" s="5">
        <f t="shared" si="98"/>
        <v>27.04290898182931</v>
      </c>
      <c r="AU18" s="173">
        <f t="shared" si="99"/>
        <v>7.1385809878475981E-2</v>
      </c>
      <c r="AW18" s="5">
        <f t="shared" si="26"/>
        <v>18.016983253656814</v>
      </c>
      <c r="AX18" s="5">
        <f t="shared" si="27"/>
        <v>0.84454609001516301</v>
      </c>
      <c r="AY18" s="5">
        <f t="shared" si="28"/>
        <v>3.1502045576882582</v>
      </c>
      <c r="AZ18" s="5"/>
      <c r="BA18" s="173">
        <f t="shared" si="100"/>
        <v>1.5425715529430715</v>
      </c>
      <c r="BB18" s="173">
        <f t="shared" si="29"/>
        <v>5.5636145029453763</v>
      </c>
      <c r="BC18" s="173">
        <f t="shared" si="30"/>
        <v>0.13701764344508616</v>
      </c>
      <c r="BD18" s="173"/>
      <c r="BE18" s="528">
        <f t="shared" si="31"/>
        <v>4.759053991898398E-2</v>
      </c>
      <c r="BF18" s="528">
        <f t="shared" si="32"/>
        <v>0.47369086071620647</v>
      </c>
      <c r="BG18" s="528">
        <f t="shared" si="33"/>
        <v>4.9553368557081798E-2</v>
      </c>
      <c r="BH18" s="528">
        <f t="shared" si="34"/>
        <v>1.8586839885512248E-2</v>
      </c>
      <c r="BI18">
        <f t="shared" si="35"/>
        <v>2.5975491757479017E-2</v>
      </c>
      <c r="BJ18" s="460">
        <f t="shared" si="101"/>
        <v>75.528860314560816</v>
      </c>
      <c r="BK18">
        <f t="shared" si="36"/>
        <v>0.55903902696387742</v>
      </c>
      <c r="BL18" s="460">
        <f t="shared" si="102"/>
        <v>559.0390269638774</v>
      </c>
      <c r="BM18" s="173">
        <f t="shared" si="37"/>
        <v>0.80762499999999993</v>
      </c>
      <c r="BN18" s="173">
        <f t="shared" si="38"/>
        <v>1.4421874999999999E-2</v>
      </c>
      <c r="BO18" s="528"/>
      <c r="BQ18" s="460">
        <f t="shared" si="103"/>
        <v>822.046875</v>
      </c>
      <c r="BR18" s="528">
        <f t="shared" si="39"/>
        <v>7.1385809878475967E-2</v>
      </c>
      <c r="BS18" s="528">
        <f t="shared" si="104"/>
        <v>0.9286141901215238</v>
      </c>
      <c r="BT18" s="528">
        <f t="shared" si="40"/>
        <v>9.3869173076223809E-5</v>
      </c>
      <c r="BU18" s="528">
        <f t="shared" si="41"/>
        <v>0.10925083821843092</v>
      </c>
      <c r="BV18" s="528">
        <f t="shared" si="42"/>
        <v>1.4667154895028873</v>
      </c>
      <c r="BW18" s="625">
        <f t="shared" si="43"/>
        <v>3.4338546594431803E-3</v>
      </c>
      <c r="BX18" s="460">
        <f t="shared" si="105"/>
        <v>1470.1493441623306</v>
      </c>
      <c r="BY18" s="173">
        <f t="shared" si="106"/>
        <v>2.8512352461262078</v>
      </c>
      <c r="BZ18" s="5">
        <f t="shared" si="107"/>
        <v>19.760000000000002</v>
      </c>
      <c r="CA18" s="173">
        <f t="shared" si="108"/>
        <v>0.87390183618496975</v>
      </c>
      <c r="CB18" s="5">
        <f t="shared" si="109"/>
        <v>87.390183618496977</v>
      </c>
      <c r="CC18">
        <f t="shared" si="110"/>
        <v>13</v>
      </c>
      <c r="CE18" s="562">
        <f t="shared" si="44"/>
        <v>-50</v>
      </c>
      <c r="CF18">
        <f t="shared" si="45"/>
        <v>-50</v>
      </c>
      <c r="CG18" s="173">
        <f t="shared" si="46"/>
        <v>0.26252025277468233</v>
      </c>
      <c r="CH18" s="173">
        <f t="shared" si="47"/>
        <v>3.0248440503044819E-2</v>
      </c>
      <c r="CI18" s="170">
        <v>13</v>
      </c>
      <c r="CJ18" s="217">
        <f t="shared" si="133"/>
        <v>1.3</v>
      </c>
      <c r="CK18" s="217">
        <f t="shared" si="111"/>
        <v>3.2500000000000001E-2</v>
      </c>
      <c r="CL18" s="217">
        <f t="shared" si="48"/>
        <v>19.5</v>
      </c>
      <c r="CM18" s="217">
        <f t="shared" si="134"/>
        <v>0.26</v>
      </c>
      <c r="CN18" s="541">
        <f t="shared" si="112"/>
        <v>58</v>
      </c>
      <c r="CO18" s="443">
        <f t="shared" si="49"/>
        <v>15.7</v>
      </c>
      <c r="CP18" s="443">
        <f t="shared" si="50"/>
        <v>73.7</v>
      </c>
      <c r="CQ18" s="443"/>
      <c r="CR18" s="217">
        <f t="shared" si="113"/>
        <v>0.2098092643051771</v>
      </c>
      <c r="CS18" s="172">
        <f t="shared" si="114"/>
        <v>300.22049333142121</v>
      </c>
      <c r="CT18" s="172">
        <f t="shared" si="51"/>
        <v>4.0563124432334243</v>
      </c>
      <c r="CU18" s="217">
        <f t="shared" si="52"/>
        <v>20.014699555428081</v>
      </c>
      <c r="CV18" s="217">
        <f t="shared" si="53"/>
        <v>37.527561666427651</v>
      </c>
      <c r="CW18" s="443">
        <f t="shared" si="54"/>
        <v>15</v>
      </c>
      <c r="CX18" s="217">
        <f t="shared" si="55"/>
        <v>3.247613076578594</v>
      </c>
      <c r="CY18" s="217">
        <f t="shared" si="56"/>
        <v>0.67191994687832979</v>
      </c>
      <c r="CZ18" s="217">
        <f t="shared" si="57"/>
        <v>2.4822520330537028</v>
      </c>
      <c r="DA18" s="197">
        <f t="shared" si="58"/>
        <v>102.962460425147</v>
      </c>
      <c r="DB18" s="443">
        <f t="shared" si="115"/>
        <v>317.04041706107233</v>
      </c>
      <c r="DD18" s="217">
        <f t="shared" si="59"/>
        <v>10</v>
      </c>
      <c r="DE18" s="173">
        <f t="shared" si="60"/>
        <v>7.6433121019108281</v>
      </c>
      <c r="DF18" s="173">
        <f t="shared" si="61"/>
        <v>3.9348710990502043</v>
      </c>
      <c r="DG18" s="173"/>
      <c r="DH18" s="173">
        <f t="shared" si="62"/>
        <v>7.6433121019108281</v>
      </c>
      <c r="DI18" s="545">
        <f t="shared" si="63"/>
        <v>34.016666666666673</v>
      </c>
      <c r="DJ18" s="528">
        <f t="shared" si="64"/>
        <v>3.9348710990502034</v>
      </c>
      <c r="DL18" s="173">
        <f t="shared" si="65"/>
        <v>3.0674947122242622</v>
      </c>
      <c r="DM18" s="173">
        <f t="shared" si="66"/>
        <v>10</v>
      </c>
      <c r="DN18" s="173">
        <f t="shared" si="67"/>
        <v>1.0194380952380953</v>
      </c>
      <c r="DP18" s="545">
        <f t="shared" si="68"/>
        <v>1300</v>
      </c>
      <c r="DQ18" s="460">
        <f t="shared" si="69"/>
        <v>34.016666666666673</v>
      </c>
      <c r="DS18">
        <f t="shared" si="116"/>
        <v>1300</v>
      </c>
      <c r="DT18" s="460">
        <f t="shared" si="70"/>
        <v>34.016666666666673</v>
      </c>
      <c r="DU18" s="460"/>
      <c r="DV18" s="5">
        <f t="shared" si="117"/>
        <v>29.397354238118563</v>
      </c>
      <c r="DW18" s="5">
        <f t="shared" si="71"/>
        <v>2.068965517241379</v>
      </c>
      <c r="DX18" s="5">
        <f t="shared" si="118"/>
        <v>27.328388720877186</v>
      </c>
      <c r="DY18" s="173">
        <f t="shared" si="119"/>
        <v>7.0379310344827598E-2</v>
      </c>
      <c r="EA18" s="5">
        <f t="shared" si="72"/>
        <v>17.931034482758619</v>
      </c>
      <c r="EB18" s="5">
        <f t="shared" si="73"/>
        <v>0.84051724137931028</v>
      </c>
      <c r="EC18" s="5">
        <f t="shared" si="74"/>
        <v>3.1682733653811241</v>
      </c>
      <c r="ED18" s="5"/>
      <c r="EE18" s="173">
        <f t="shared" si="120"/>
        <v>1.5316582554519964</v>
      </c>
      <c r="EF18" s="173">
        <f t="shared" si="75"/>
        <v>5.566628811214116</v>
      </c>
      <c r="EG18" s="173">
        <f t="shared" si="76"/>
        <v>0.13709187817421434</v>
      </c>
      <c r="EH18" s="173"/>
      <c r="EI18" s="528">
        <f t="shared" si="77"/>
        <v>4.6919540229885065E-2</v>
      </c>
      <c r="EJ18" s="528">
        <f t="shared" si="78"/>
        <v>0.50140566666666675</v>
      </c>
      <c r="EK18" s="528">
        <f t="shared" si="79"/>
        <v>4.2520833333333334E-3</v>
      </c>
      <c r="EL18" s="528">
        <f t="shared" si="80"/>
        <v>1.8476798816666671E-2</v>
      </c>
      <c r="EM18">
        <f t="shared" si="81"/>
        <v>2.6099999999999998E-2</v>
      </c>
      <c r="EN18" s="460">
        <f t="shared" si="121"/>
        <v>30.352083333333333</v>
      </c>
      <c r="EO18">
        <f t="shared" si="82"/>
        <v>0.61669735809367188</v>
      </c>
      <c r="EP18" s="460">
        <f t="shared" si="122"/>
        <v>616.69735809367182</v>
      </c>
      <c r="EQ18" s="173">
        <f t="shared" si="83"/>
        <v>0.80762499999999993</v>
      </c>
      <c r="ER18" s="173">
        <f t="shared" si="84"/>
        <v>1.4421874999999999E-2</v>
      </c>
      <c r="ES18" s="528"/>
      <c r="EU18" s="460">
        <f t="shared" si="123"/>
        <v>822.046875</v>
      </c>
      <c r="EV18" s="528">
        <f t="shared" si="85"/>
        <v>7.0379310344827584E-2</v>
      </c>
      <c r="EW18" s="528">
        <f t="shared" si="124"/>
        <v>0.92962068965517242</v>
      </c>
      <c r="EX18" s="528">
        <f t="shared" si="86"/>
        <v>9.3970915306668129E-5</v>
      </c>
      <c r="EY18" s="528">
        <f t="shared" si="87"/>
        <v>0.1067085921618344</v>
      </c>
      <c r="EZ18" s="528">
        <f t="shared" si="88"/>
        <v>1.4639523060998569</v>
      </c>
      <c r="FA18" s="625">
        <f t="shared" si="89"/>
        <v>3.4016666666666674E-3</v>
      </c>
      <c r="FB18" s="460">
        <f t="shared" si="125"/>
        <v>1467.3539727665236</v>
      </c>
      <c r="FC18" s="173">
        <f t="shared" si="126"/>
        <v>2.9060982058601952</v>
      </c>
      <c r="FD18" s="5">
        <f t="shared" si="127"/>
        <v>19.760000000000002</v>
      </c>
      <c r="FE18" s="173">
        <f t="shared" si="128"/>
        <v>0.87178656955131162</v>
      </c>
      <c r="FF18" s="5">
        <f t="shared" si="129"/>
        <v>87.17865695513116</v>
      </c>
      <c r="FG18">
        <f t="shared" si="130"/>
        <v>13</v>
      </c>
      <c r="FI18" s="562">
        <f t="shared" si="90"/>
        <v>-50</v>
      </c>
      <c r="FJ18">
        <f t="shared" si="91"/>
        <v>-50</v>
      </c>
      <c r="FL18">
        <f t="shared" si="92"/>
        <v>0.26252025277468238</v>
      </c>
    </row>
    <row r="19" spans="5:168">
      <c r="E19" s="170">
        <v>14</v>
      </c>
      <c r="F19" s="217">
        <f t="shared" si="131"/>
        <v>1.4000000000000001</v>
      </c>
      <c r="G19" s="217">
        <f t="shared" si="93"/>
        <v>3.5000000000000003E-2</v>
      </c>
      <c r="H19" s="217">
        <f t="shared" si="0"/>
        <v>21.000000000000004</v>
      </c>
      <c r="I19" s="217">
        <f t="shared" si="132"/>
        <v>0.28000000000000003</v>
      </c>
      <c r="J19" s="541">
        <f t="shared" si="1"/>
        <v>57.723315016620042</v>
      </c>
      <c r="K19" s="443">
        <f t="shared" si="2"/>
        <v>15.848559966660831</v>
      </c>
      <c r="L19" s="172">
        <f t="shared" si="3"/>
        <v>73.571874983280878</v>
      </c>
      <c r="M19" s="443"/>
      <c r="N19" s="217">
        <f t="shared" si="4"/>
        <v>0.21541601284814879</v>
      </c>
      <c r="O19" s="172">
        <f t="shared" si="94"/>
        <v>306.77285450471948</v>
      </c>
      <c r="P19" s="172">
        <f t="shared" si="5"/>
        <v>4.1448421230859873</v>
      </c>
      <c r="Q19" s="217">
        <f t="shared" si="6"/>
        <v>20.451523633647966</v>
      </c>
      <c r="R19" s="217">
        <f t="shared" si="7"/>
        <v>38.346606813089934</v>
      </c>
      <c r="S19" s="443">
        <f t="shared" si="8"/>
        <v>15</v>
      </c>
      <c r="T19" s="217">
        <f t="shared" si="9"/>
        <v>3.4227278736745164</v>
      </c>
      <c r="U19" s="217">
        <f t="shared" si="10"/>
        <v>0.71154497055944022</v>
      </c>
      <c r="V19" s="217">
        <f t="shared" si="11"/>
        <v>2.5915751696365574</v>
      </c>
      <c r="W19" s="197">
        <f t="shared" si="12"/>
        <v>103.62105307714972</v>
      </c>
      <c r="X19" s="443">
        <f t="shared" si="95"/>
        <v>285.45980725172916</v>
      </c>
      <c r="Z19" s="217">
        <f t="shared" si="13"/>
        <v>10</v>
      </c>
      <c r="AA19" s="173">
        <f t="shared" si="14"/>
        <v>7.5716658328853255</v>
      </c>
      <c r="AB19" s="173">
        <f t="shared" si="15"/>
        <v>3.922919935759257</v>
      </c>
      <c r="AC19" s="173"/>
      <c r="AD19" s="173">
        <f t="shared" si="16"/>
        <v>7.5716658328853255</v>
      </c>
      <c r="AE19" s="545">
        <f t="shared" si="17"/>
        <v>36.979973255541942</v>
      </c>
      <c r="AF19" s="528">
        <f t="shared" si="18"/>
        <v>3.922919935759257</v>
      </c>
      <c r="AH19" s="173">
        <f t="shared" si="19"/>
        <v>3.1832897030168859</v>
      </c>
      <c r="AI19" s="173">
        <f t="shared" si="20"/>
        <v>10</v>
      </c>
      <c r="AJ19" s="173">
        <f t="shared" si="21"/>
        <v>1.0211314132888811</v>
      </c>
      <c r="AL19" s="545">
        <f t="shared" si="22"/>
        <v>1400.0000000000002</v>
      </c>
      <c r="AM19" s="460">
        <f t="shared" si="23"/>
        <v>36.979973255541942</v>
      </c>
      <c r="AO19">
        <f t="shared" si="96"/>
        <v>1400.0000000000002</v>
      </c>
      <c r="AP19" s="460">
        <f t="shared" si="24"/>
        <v>36.979973255541942</v>
      </c>
      <c r="AQ19" s="460"/>
      <c r="AR19" s="5">
        <f t="shared" si="97"/>
        <v>27.041663688876159</v>
      </c>
      <c r="AS19" s="5">
        <f t="shared" si="25"/>
        <v>2.0788826831142475</v>
      </c>
      <c r="AT19" s="5">
        <f t="shared" si="98"/>
        <v>24.962781005761912</v>
      </c>
      <c r="AU19" s="173">
        <f t="shared" si="99"/>
        <v>7.6877026022974138E-2</v>
      </c>
      <c r="AW19" s="5">
        <f t="shared" si="26"/>
        <v>19.402905042399645</v>
      </c>
      <c r="AX19" s="5">
        <f t="shared" si="27"/>
        <v>0.90951117386248348</v>
      </c>
      <c r="AY19" s="5">
        <f t="shared" si="28"/>
        <v>3.1315763110927746</v>
      </c>
      <c r="AZ19" s="5"/>
      <c r="BA19" s="173">
        <f t="shared" si="100"/>
        <v>1.6008021533278676</v>
      </c>
      <c r="BB19" s="173">
        <f t="shared" si="29"/>
        <v>5.5471403262612888</v>
      </c>
      <c r="BC19" s="173">
        <f t="shared" si="30"/>
        <v>0.13661192646635648</v>
      </c>
      <c r="BD19" s="173"/>
      <c r="BE19" s="528">
        <f t="shared" si="31"/>
        <v>5.1251350681982756E-2</v>
      </c>
      <c r="BF19" s="528">
        <f t="shared" si="32"/>
        <v>0.51012861923283781</v>
      </c>
      <c r="BG19" s="528">
        <f t="shared" si="33"/>
        <v>5.3365166138395793E-2</v>
      </c>
      <c r="BH19" s="528">
        <f t="shared" si="34"/>
        <v>2.0016596799782425E-2</v>
      </c>
      <c r="BI19">
        <f t="shared" si="35"/>
        <v>2.5975491757479017E-2</v>
      </c>
      <c r="BJ19" s="460">
        <f t="shared" si="101"/>
        <v>79.340657895874813</v>
      </c>
      <c r="BK19">
        <f t="shared" si="36"/>
        <v>0.60257214579678753</v>
      </c>
      <c r="BL19" s="460">
        <f t="shared" si="102"/>
        <v>602.57214579678748</v>
      </c>
      <c r="BM19" s="173">
        <f t="shared" si="37"/>
        <v>0.86974999999999991</v>
      </c>
      <c r="BN19" s="173">
        <f t="shared" si="38"/>
        <v>1.553125E-2</v>
      </c>
      <c r="BO19" s="528"/>
      <c r="BQ19" s="460">
        <f t="shared" si="103"/>
        <v>885.28124999999989</v>
      </c>
      <c r="BR19" s="528">
        <f t="shared" si="39"/>
        <v>7.6877026022974138E-2</v>
      </c>
      <c r="BS19" s="528">
        <f t="shared" si="104"/>
        <v>0.92312297397702592</v>
      </c>
      <c r="BT19" s="528">
        <f t="shared" si="40"/>
        <v>9.3314092264245948E-5</v>
      </c>
      <c r="BU19" s="528">
        <f t="shared" si="41"/>
        <v>0.13148811099031502</v>
      </c>
      <c r="BV19" s="528">
        <f t="shared" si="42"/>
        <v>1.4908858153448317</v>
      </c>
      <c r="BW19" s="625">
        <f t="shared" si="43"/>
        <v>3.6979973255541945E-3</v>
      </c>
      <c r="BX19" s="460">
        <f t="shared" si="105"/>
        <v>1494.5838126703859</v>
      </c>
      <c r="BY19" s="173">
        <f t="shared" si="106"/>
        <v>2.9824372084671729</v>
      </c>
      <c r="BZ19" s="5">
        <f t="shared" si="107"/>
        <v>21.280000000000005</v>
      </c>
      <c r="CA19" s="173">
        <f t="shared" si="108"/>
        <v>0.87707594324339555</v>
      </c>
      <c r="CB19" s="5">
        <f t="shared" si="109"/>
        <v>87.707594324339553</v>
      </c>
      <c r="CC19">
        <f t="shared" si="110"/>
        <v>14.000000000000002</v>
      </c>
      <c r="CE19" s="562">
        <f t="shared" si="44"/>
        <v>-50</v>
      </c>
      <c r="CF19">
        <f t="shared" si="45"/>
        <v>-50</v>
      </c>
      <c r="CG19" s="173">
        <f t="shared" si="46"/>
        <v>0.28271411837273491</v>
      </c>
      <c r="CH19" s="173">
        <f t="shared" si="47"/>
        <v>3.2575243618663652E-2</v>
      </c>
      <c r="CI19" s="170">
        <v>14</v>
      </c>
      <c r="CJ19" s="217">
        <f t="shared" si="133"/>
        <v>1.4000000000000001</v>
      </c>
      <c r="CK19" s="217">
        <f t="shared" si="111"/>
        <v>3.5000000000000003E-2</v>
      </c>
      <c r="CL19" s="217">
        <f t="shared" si="48"/>
        <v>21.000000000000004</v>
      </c>
      <c r="CM19" s="217">
        <f t="shared" si="134"/>
        <v>0.28000000000000003</v>
      </c>
      <c r="CN19" s="541">
        <f t="shared" si="112"/>
        <v>58</v>
      </c>
      <c r="CO19" s="443">
        <f t="shared" si="49"/>
        <v>15.7</v>
      </c>
      <c r="CP19" s="443">
        <f t="shared" si="50"/>
        <v>73.7</v>
      </c>
      <c r="CQ19" s="443"/>
      <c r="CR19" s="217">
        <f t="shared" si="113"/>
        <v>0.2098092643051771</v>
      </c>
      <c r="CS19" s="172">
        <f t="shared" si="114"/>
        <v>300.22049333142121</v>
      </c>
      <c r="CT19" s="172">
        <f t="shared" si="51"/>
        <v>4.0563124432334243</v>
      </c>
      <c r="CU19" s="217">
        <f t="shared" si="52"/>
        <v>20.014699555428081</v>
      </c>
      <c r="CV19" s="217">
        <f t="shared" si="53"/>
        <v>37.527561666427651</v>
      </c>
      <c r="CW19" s="443">
        <f t="shared" si="54"/>
        <v>15</v>
      </c>
      <c r="CX19" s="217">
        <f t="shared" si="55"/>
        <v>3.4974294670846402</v>
      </c>
      <c r="CY19" s="217">
        <f t="shared" si="56"/>
        <v>0.7236060966382013</v>
      </c>
      <c r="CZ19" s="217">
        <f t="shared" si="57"/>
        <v>2.673194497134757</v>
      </c>
      <c r="DA19" s="197">
        <f t="shared" si="58"/>
        <v>102.962460425147</v>
      </c>
      <c r="DB19" s="443">
        <f t="shared" si="115"/>
        <v>294.39467298528149</v>
      </c>
      <c r="DD19" s="217">
        <f t="shared" si="59"/>
        <v>10</v>
      </c>
      <c r="DE19" s="173">
        <f t="shared" si="60"/>
        <v>7.6433121019108281</v>
      </c>
      <c r="DF19" s="173">
        <f t="shared" si="61"/>
        <v>3.9348710990502043</v>
      </c>
      <c r="DG19" s="173"/>
      <c r="DH19" s="173">
        <f t="shared" si="62"/>
        <v>7.6433121019108281</v>
      </c>
      <c r="DI19" s="545">
        <f t="shared" si="63"/>
        <v>36.63333333333334</v>
      </c>
      <c r="DJ19" s="528">
        <f t="shared" si="64"/>
        <v>3.9348710990502034</v>
      </c>
      <c r="DL19" s="173">
        <f t="shared" si="65"/>
        <v>3.1832897030168859</v>
      </c>
      <c r="DM19" s="173">
        <f t="shared" si="66"/>
        <v>10</v>
      </c>
      <c r="DN19" s="173">
        <f t="shared" si="67"/>
        <v>1.0209333333333332</v>
      </c>
      <c r="DP19" s="545">
        <f t="shared" si="68"/>
        <v>1400.0000000000002</v>
      </c>
      <c r="DQ19" s="460">
        <f t="shared" si="69"/>
        <v>36.63333333333334</v>
      </c>
      <c r="DS19">
        <f t="shared" si="116"/>
        <v>1400.0000000000002</v>
      </c>
      <c r="DT19" s="460">
        <f t="shared" si="70"/>
        <v>36.63333333333334</v>
      </c>
      <c r="DU19" s="460"/>
      <c r="DV19" s="5">
        <f t="shared" si="117"/>
        <v>27.297543221110097</v>
      </c>
      <c r="DW19" s="5">
        <f t="shared" si="71"/>
        <v>2.068965517241379</v>
      </c>
      <c r="DX19" s="5">
        <f t="shared" si="118"/>
        <v>25.228577703868716</v>
      </c>
      <c r="DY19" s="173">
        <f t="shared" si="119"/>
        <v>7.5793103448275861E-2</v>
      </c>
      <c r="EA19" s="5">
        <f t="shared" si="72"/>
        <v>19.310344827586206</v>
      </c>
      <c r="EB19" s="5">
        <f t="shared" si="73"/>
        <v>0.90517241379310343</v>
      </c>
      <c r="EC19" s="5">
        <f t="shared" si="74"/>
        <v>3.1498224243831334</v>
      </c>
      <c r="ED19" s="5"/>
      <c r="EE19" s="173">
        <f t="shared" si="120"/>
        <v>1.5894768892969773</v>
      </c>
      <c r="EF19" s="173">
        <f t="shared" si="75"/>
        <v>5.5503960716082359</v>
      </c>
      <c r="EG19" s="173">
        <f t="shared" si="76"/>
        <v>0.13669210717529304</v>
      </c>
      <c r="EH19" s="173"/>
      <c r="EI19" s="528">
        <f t="shared" si="77"/>
        <v>5.0528735632183908E-2</v>
      </c>
      <c r="EJ19" s="528">
        <f t="shared" si="78"/>
        <v>0.53997533333333347</v>
      </c>
      <c r="EK19" s="528">
        <f t="shared" si="79"/>
        <v>4.5791666666666671E-3</v>
      </c>
      <c r="EL19" s="528">
        <f t="shared" si="80"/>
        <v>1.9898091033333339E-2</v>
      </c>
      <c r="EM19">
        <f t="shared" si="81"/>
        <v>2.6099999999999998E-2</v>
      </c>
      <c r="EN19" s="460">
        <f t="shared" si="121"/>
        <v>30.679166666666667</v>
      </c>
      <c r="EO19">
        <f t="shared" si="82"/>
        <v>0.66267997426608283</v>
      </c>
      <c r="EP19" s="460">
        <f t="shared" si="122"/>
        <v>662.67997426608281</v>
      </c>
      <c r="EQ19" s="173">
        <f t="shared" si="83"/>
        <v>0.86974999999999991</v>
      </c>
      <c r="ER19" s="173">
        <f t="shared" si="84"/>
        <v>1.553125E-2</v>
      </c>
      <c r="ES19" s="528"/>
      <c r="EU19" s="460">
        <f t="shared" si="123"/>
        <v>885.28124999999989</v>
      </c>
      <c r="EV19" s="528">
        <f t="shared" si="85"/>
        <v>7.5793103448275861E-2</v>
      </c>
      <c r="EW19" s="528">
        <f t="shared" si="124"/>
        <v>0.92420689655172406</v>
      </c>
      <c r="EX19" s="528">
        <f t="shared" si="86"/>
        <v>9.3423660820108991E-5</v>
      </c>
      <c r="EY19" s="528">
        <f t="shared" si="87"/>
        <v>0.12842840786029333</v>
      </c>
      <c r="EZ19" s="528">
        <f t="shared" si="88"/>
        <v>1.4875601859404033</v>
      </c>
      <c r="FA19" s="625">
        <f t="shared" si="89"/>
        <v>3.6633333333333344E-3</v>
      </c>
      <c r="FB19" s="460">
        <f t="shared" si="125"/>
        <v>1491.2235192737367</v>
      </c>
      <c r="FC19" s="173">
        <f t="shared" si="126"/>
        <v>3.0391847435398192</v>
      </c>
      <c r="FD19" s="5">
        <f t="shared" si="127"/>
        <v>21.280000000000005</v>
      </c>
      <c r="FE19" s="173">
        <f t="shared" si="128"/>
        <v>0.87502933278439143</v>
      </c>
      <c r="FF19" s="5">
        <f t="shared" si="129"/>
        <v>87.502933278439144</v>
      </c>
      <c r="FG19">
        <f t="shared" si="130"/>
        <v>14.000000000000002</v>
      </c>
      <c r="FI19" s="562">
        <f t="shared" si="90"/>
        <v>-50</v>
      </c>
      <c r="FJ19">
        <f t="shared" si="91"/>
        <v>-50</v>
      </c>
      <c r="FL19">
        <f t="shared" si="92"/>
        <v>0.28271411837273491</v>
      </c>
    </row>
    <row r="20" spans="5:168">
      <c r="E20" s="170">
        <v>15</v>
      </c>
      <c r="F20" s="217">
        <f t="shared" si="131"/>
        <v>1.5</v>
      </c>
      <c r="G20" s="217">
        <f t="shared" si="93"/>
        <v>3.7499999999999999E-2</v>
      </c>
      <c r="H20" s="217">
        <f t="shared" si="0"/>
        <v>22.5</v>
      </c>
      <c r="I20" s="217">
        <f t="shared" si="132"/>
        <v>0.3</v>
      </c>
      <c r="J20" s="541">
        <f t="shared" si="1"/>
        <v>57.723315016620042</v>
      </c>
      <c r="K20" s="443">
        <f t="shared" si="2"/>
        <v>15.848559966660831</v>
      </c>
      <c r="L20" s="172">
        <f t="shared" si="3"/>
        <v>73.571874983280878</v>
      </c>
      <c r="M20" s="443"/>
      <c r="N20" s="217">
        <f t="shared" si="4"/>
        <v>0.21541601284814879</v>
      </c>
      <c r="O20" s="172">
        <f t="shared" si="94"/>
        <v>306.77285450471948</v>
      </c>
      <c r="P20" s="172">
        <f t="shared" si="5"/>
        <v>4.1448421230859873</v>
      </c>
      <c r="Q20" s="217">
        <f t="shared" si="6"/>
        <v>20.451523633647966</v>
      </c>
      <c r="R20" s="217">
        <f t="shared" si="7"/>
        <v>38.346606813089934</v>
      </c>
      <c r="S20" s="443">
        <f t="shared" si="8"/>
        <v>15</v>
      </c>
      <c r="T20" s="217">
        <f t="shared" si="9"/>
        <v>3.667208436079838</v>
      </c>
      <c r="U20" s="217">
        <f t="shared" si="10"/>
        <v>0.76236961131368575</v>
      </c>
      <c r="V20" s="217">
        <f t="shared" si="11"/>
        <v>2.7766876817534536</v>
      </c>
      <c r="W20" s="197">
        <f t="shared" si="12"/>
        <v>103.62105307714972</v>
      </c>
      <c r="X20" s="443">
        <f t="shared" si="95"/>
        <v>267.44709203952914</v>
      </c>
      <c r="Z20" s="217">
        <f t="shared" si="13"/>
        <v>10</v>
      </c>
      <c r="AA20" s="173">
        <f t="shared" si="14"/>
        <v>7.5716658328853255</v>
      </c>
      <c r="AB20" s="173">
        <f t="shared" si="15"/>
        <v>3.922919935759257</v>
      </c>
      <c r="AC20" s="173"/>
      <c r="AD20" s="173">
        <f t="shared" si="16"/>
        <v>7.5716658328853255</v>
      </c>
      <c r="AE20" s="545">
        <f t="shared" si="17"/>
        <v>39.621399916652074</v>
      </c>
      <c r="AF20" s="528">
        <f t="shared" si="18"/>
        <v>3.922919935759257</v>
      </c>
      <c r="AH20" s="173">
        <f t="shared" si="19"/>
        <v>3.295017884191656</v>
      </c>
      <c r="AI20" s="173">
        <f t="shared" si="20"/>
        <v>10</v>
      </c>
      <c r="AJ20" s="173">
        <f t="shared" si="21"/>
        <v>1.0226407999523726</v>
      </c>
      <c r="AL20" s="545">
        <f t="shared" si="22"/>
        <v>1500</v>
      </c>
      <c r="AM20" s="460">
        <f t="shared" si="23"/>
        <v>39.621399916652074</v>
      </c>
      <c r="AO20">
        <f t="shared" si="96"/>
        <v>1500</v>
      </c>
      <c r="AP20" s="460">
        <f t="shared" si="24"/>
        <v>39.621399916652074</v>
      </c>
      <c r="AQ20" s="460"/>
      <c r="AR20" s="5">
        <f t="shared" si="97"/>
        <v>25.238886109617752</v>
      </c>
      <c r="AS20" s="5">
        <f t="shared" si="25"/>
        <v>2.0788826831142475</v>
      </c>
      <c r="AT20" s="5">
        <f t="shared" si="98"/>
        <v>23.160003426503504</v>
      </c>
      <c r="AU20" s="173">
        <f t="shared" si="99"/>
        <v>8.236824216747228E-2</v>
      </c>
      <c r="AW20" s="5">
        <f t="shared" si="26"/>
        <v>20.788826831142472</v>
      </c>
      <c r="AX20" s="5">
        <f t="shared" si="27"/>
        <v>0.97447625770980351</v>
      </c>
      <c r="AY20" s="5">
        <f t="shared" si="28"/>
        <v>3.1129480644972909</v>
      </c>
      <c r="AZ20" s="5"/>
      <c r="BA20" s="173">
        <f t="shared" si="100"/>
        <v>1.65698764999896</v>
      </c>
      <c r="BB20" s="173">
        <f t="shared" si="29"/>
        <v>5.5306170777847443</v>
      </c>
      <c r="BC20" s="173">
        <f t="shared" si="30"/>
        <v>0.1362050009744635</v>
      </c>
      <c r="BD20" s="173"/>
      <c r="BE20" s="528">
        <f t="shared" si="31"/>
        <v>5.4912161444981518E-2</v>
      </c>
      <c r="BF20" s="528">
        <f t="shared" si="32"/>
        <v>0.54656637774946903</v>
      </c>
      <c r="BG20" s="528">
        <f t="shared" si="33"/>
        <v>5.7176963719709768E-2</v>
      </c>
      <c r="BH20" s="528">
        <f t="shared" si="34"/>
        <v>2.1446353714052596E-2</v>
      </c>
      <c r="BI20">
        <f t="shared" si="35"/>
        <v>2.5975491757479017E-2</v>
      </c>
      <c r="BJ20" s="460">
        <f t="shared" si="101"/>
        <v>83.152455477188795</v>
      </c>
      <c r="BK20">
        <f t="shared" si="36"/>
        <v>0.64618199672887477</v>
      </c>
      <c r="BL20" s="460">
        <f t="shared" si="102"/>
        <v>646.18199672887476</v>
      </c>
      <c r="BM20" s="173">
        <f t="shared" si="37"/>
        <v>0.93187499999999979</v>
      </c>
      <c r="BN20" s="173">
        <f t="shared" si="38"/>
        <v>1.6640624999999999E-2</v>
      </c>
      <c r="BO20" s="528"/>
      <c r="BQ20" s="460">
        <f t="shared" si="103"/>
        <v>948.51562499999977</v>
      </c>
      <c r="BR20" s="528">
        <f t="shared" si="39"/>
        <v>8.236824216747228E-2</v>
      </c>
      <c r="BS20" s="528">
        <f t="shared" si="104"/>
        <v>0.91763175783252793</v>
      </c>
      <c r="BT20" s="528">
        <f t="shared" si="40"/>
        <v>9.2759011452268032E-5</v>
      </c>
      <c r="BU20" s="528">
        <f t="shared" si="41"/>
        <v>0.15624083259884158</v>
      </c>
      <c r="BV20" s="528">
        <f t="shared" si="42"/>
        <v>1.5177903444256502</v>
      </c>
      <c r="BW20" s="625">
        <f t="shared" si="43"/>
        <v>3.9621399916652074E-3</v>
      </c>
      <c r="BX20" s="460">
        <f t="shared" si="105"/>
        <v>1521.7524844173154</v>
      </c>
      <c r="BY20" s="173">
        <f t="shared" si="106"/>
        <v>3.1164501061461904</v>
      </c>
      <c r="BZ20" s="5">
        <f t="shared" si="107"/>
        <v>22.8</v>
      </c>
      <c r="CA20" s="173">
        <f t="shared" si="108"/>
        <v>0.87975011649426826</v>
      </c>
      <c r="CB20" s="5">
        <f t="shared" si="109"/>
        <v>87.975011649426833</v>
      </c>
      <c r="CC20">
        <f t="shared" si="110"/>
        <v>15</v>
      </c>
      <c r="CE20" s="562">
        <f t="shared" si="44"/>
        <v>-50</v>
      </c>
      <c r="CF20">
        <f t="shared" si="45"/>
        <v>-50</v>
      </c>
      <c r="CG20" s="173">
        <f t="shared" si="46"/>
        <v>0.30290798397078739</v>
      </c>
      <c r="CH20" s="173">
        <f t="shared" si="47"/>
        <v>3.4902046734282481E-2</v>
      </c>
      <c r="CI20" s="170">
        <v>15</v>
      </c>
      <c r="CJ20" s="217">
        <f t="shared" si="133"/>
        <v>1.5</v>
      </c>
      <c r="CK20" s="217">
        <f t="shared" si="111"/>
        <v>3.7499999999999999E-2</v>
      </c>
      <c r="CL20" s="217">
        <f t="shared" si="48"/>
        <v>22.5</v>
      </c>
      <c r="CM20" s="217">
        <f t="shared" si="134"/>
        <v>0.3</v>
      </c>
      <c r="CN20" s="541">
        <f t="shared" si="112"/>
        <v>58</v>
      </c>
      <c r="CO20" s="443">
        <f t="shared" si="49"/>
        <v>15.7</v>
      </c>
      <c r="CP20" s="443">
        <f t="shared" si="50"/>
        <v>73.7</v>
      </c>
      <c r="CQ20" s="443"/>
      <c r="CR20" s="217">
        <f t="shared" si="113"/>
        <v>0.2098092643051771</v>
      </c>
      <c r="CS20" s="172">
        <f t="shared" si="114"/>
        <v>300.22049333142121</v>
      </c>
      <c r="CT20" s="172">
        <f t="shared" si="51"/>
        <v>4.0563124432334243</v>
      </c>
      <c r="CU20" s="217">
        <f t="shared" si="52"/>
        <v>20.014699555428081</v>
      </c>
      <c r="CV20" s="217">
        <f t="shared" si="53"/>
        <v>37.527561666427651</v>
      </c>
      <c r="CW20" s="443">
        <f t="shared" si="54"/>
        <v>15</v>
      </c>
      <c r="CX20" s="217">
        <f t="shared" si="55"/>
        <v>3.7472458575906855</v>
      </c>
      <c r="CY20" s="217">
        <f t="shared" si="56"/>
        <v>0.77529224639807293</v>
      </c>
      <c r="CZ20" s="217">
        <f t="shared" si="57"/>
        <v>2.8641369612158107</v>
      </c>
      <c r="DA20" s="197">
        <f t="shared" si="58"/>
        <v>102.962460425147</v>
      </c>
      <c r="DB20" s="443">
        <f t="shared" si="115"/>
        <v>274.76836145292935</v>
      </c>
      <c r="DD20" s="217">
        <f t="shared" si="59"/>
        <v>10</v>
      </c>
      <c r="DE20" s="173">
        <f t="shared" si="60"/>
        <v>7.6433121019108281</v>
      </c>
      <c r="DF20" s="173">
        <f t="shared" si="61"/>
        <v>3.9348710990502043</v>
      </c>
      <c r="DG20" s="173"/>
      <c r="DH20" s="173">
        <f t="shared" si="62"/>
        <v>7.6433121019108281</v>
      </c>
      <c r="DI20" s="545">
        <f t="shared" si="63"/>
        <v>39.250000000000007</v>
      </c>
      <c r="DJ20" s="528">
        <f t="shared" si="64"/>
        <v>3.9348710990502034</v>
      </c>
      <c r="DL20" s="173">
        <f t="shared" si="65"/>
        <v>3.295017884191656</v>
      </c>
      <c r="DM20" s="173">
        <f t="shared" si="66"/>
        <v>10</v>
      </c>
      <c r="DN20" s="173">
        <f t="shared" si="67"/>
        <v>1.0224285714285715</v>
      </c>
      <c r="DP20" s="545">
        <f t="shared" si="68"/>
        <v>1500</v>
      </c>
      <c r="DQ20" s="460">
        <f t="shared" si="69"/>
        <v>39.250000000000007</v>
      </c>
      <c r="DS20">
        <f t="shared" si="116"/>
        <v>1500</v>
      </c>
      <c r="DT20" s="460">
        <f t="shared" si="70"/>
        <v>39.250000000000007</v>
      </c>
      <c r="DU20" s="460"/>
      <c r="DV20" s="5">
        <f t="shared" si="117"/>
        <v>25.477707006369421</v>
      </c>
      <c r="DW20" s="5">
        <f t="shared" si="71"/>
        <v>2.068965517241379</v>
      </c>
      <c r="DX20" s="5">
        <f t="shared" si="118"/>
        <v>23.40874148912804</v>
      </c>
      <c r="DY20" s="173">
        <f t="shared" si="119"/>
        <v>8.1206896551724139E-2</v>
      </c>
      <c r="EA20" s="5">
        <f t="shared" si="72"/>
        <v>20.68965517241379</v>
      </c>
      <c r="EB20" s="5">
        <f t="shared" si="73"/>
        <v>0.96982758620689646</v>
      </c>
      <c r="EC20" s="5">
        <f t="shared" si="74"/>
        <v>3.1313714833851418</v>
      </c>
      <c r="ED20" s="5"/>
      <c r="EE20" s="173">
        <f t="shared" si="120"/>
        <v>1.6452648880116958</v>
      </c>
      <c r="EF20" s="173">
        <f t="shared" si="75"/>
        <v>5.534115718125995</v>
      </c>
      <c r="EG20" s="173">
        <f t="shared" si="76"/>
        <v>0.1362911635679657</v>
      </c>
      <c r="EH20" s="173"/>
      <c r="EI20" s="528">
        <f t="shared" si="77"/>
        <v>5.4137931034482757E-2</v>
      </c>
      <c r="EJ20" s="528">
        <f t="shared" si="78"/>
        <v>0.57854500000000009</v>
      </c>
      <c r="EK20" s="528">
        <f t="shared" si="79"/>
        <v>4.9062500000000009E-3</v>
      </c>
      <c r="EL20" s="528">
        <f t="shared" si="80"/>
        <v>2.1319383250000004E-2</v>
      </c>
      <c r="EM20">
        <f t="shared" si="81"/>
        <v>2.6099999999999998E-2</v>
      </c>
      <c r="EN20" s="460">
        <f t="shared" si="121"/>
        <v>31.006249999999998</v>
      </c>
      <c r="EO20">
        <f t="shared" si="82"/>
        <v>0.70874248241203908</v>
      </c>
      <c r="EP20" s="460">
        <f t="shared" si="122"/>
        <v>708.74248241203907</v>
      </c>
      <c r="EQ20" s="173">
        <f t="shared" si="83"/>
        <v>0.93187499999999979</v>
      </c>
      <c r="ER20" s="173">
        <f t="shared" si="84"/>
        <v>1.6640624999999999E-2</v>
      </c>
      <c r="ES20" s="528"/>
      <c r="EU20" s="460">
        <f t="shared" si="123"/>
        <v>948.51562499999977</v>
      </c>
      <c r="EV20" s="528">
        <f t="shared" si="85"/>
        <v>8.1206896551724139E-2</v>
      </c>
      <c r="EW20" s="528">
        <f t="shared" si="124"/>
        <v>0.91879310344827592</v>
      </c>
      <c r="EX20" s="528">
        <f t="shared" si="86"/>
        <v>9.2876406333549906E-5</v>
      </c>
      <c r="EY20" s="528">
        <f t="shared" si="87"/>
        <v>0.15260513838330084</v>
      </c>
      <c r="EZ20" s="528">
        <f t="shared" si="88"/>
        <v>1.5138386446941319</v>
      </c>
      <c r="FA20" s="625">
        <f t="shared" si="89"/>
        <v>3.9250000000000014E-3</v>
      </c>
      <c r="FB20" s="460">
        <f t="shared" si="125"/>
        <v>1517.7636446941319</v>
      </c>
      <c r="FC20" s="173">
        <f t="shared" si="126"/>
        <v>3.1750217521061708</v>
      </c>
      <c r="FD20" s="5">
        <f t="shared" si="127"/>
        <v>22.8</v>
      </c>
      <c r="FE20" s="173">
        <f t="shared" si="128"/>
        <v>0.87776634867115266</v>
      </c>
      <c r="FF20" s="5">
        <f t="shared" si="129"/>
        <v>87.776634867115263</v>
      </c>
      <c r="FG20">
        <f t="shared" si="130"/>
        <v>15</v>
      </c>
      <c r="FI20" s="562">
        <f t="shared" si="90"/>
        <v>-50</v>
      </c>
      <c r="FJ20">
        <f t="shared" si="91"/>
        <v>-50</v>
      </c>
      <c r="FL20">
        <f t="shared" si="92"/>
        <v>0.30290798397078739</v>
      </c>
    </row>
    <row r="21" spans="5:168" s="76" customFormat="1">
      <c r="E21" s="189">
        <v>16</v>
      </c>
      <c r="F21" s="329">
        <f t="shared" si="131"/>
        <v>1.6</v>
      </c>
      <c r="G21" s="217">
        <f t="shared" si="93"/>
        <v>0.04</v>
      </c>
      <c r="H21" s="217">
        <f t="shared" si="0"/>
        <v>24</v>
      </c>
      <c r="I21" s="217">
        <f t="shared" si="132"/>
        <v>0.32</v>
      </c>
      <c r="J21" s="541">
        <f t="shared" si="1"/>
        <v>57.723315016620042</v>
      </c>
      <c r="K21" s="443">
        <f t="shared" si="2"/>
        <v>15.848559966660831</v>
      </c>
      <c r="L21" s="172">
        <f t="shared" si="3"/>
        <v>73.571874983280878</v>
      </c>
      <c r="M21" s="443"/>
      <c r="N21" s="217">
        <f t="shared" si="4"/>
        <v>0.21541601284814879</v>
      </c>
      <c r="O21" s="172">
        <f t="shared" si="94"/>
        <v>306.77285450471948</v>
      </c>
      <c r="P21" s="172">
        <f t="shared" si="5"/>
        <v>4.1448421230859873</v>
      </c>
      <c r="Q21" s="329">
        <f t="shared" si="6"/>
        <v>20.451523633647966</v>
      </c>
      <c r="R21" s="217">
        <f t="shared" si="7"/>
        <v>38.346606813089934</v>
      </c>
      <c r="S21" s="443">
        <f t="shared" si="8"/>
        <v>15</v>
      </c>
      <c r="T21" s="217">
        <f t="shared" si="9"/>
        <v>3.9116889984851606</v>
      </c>
      <c r="U21" s="329">
        <f t="shared" si="10"/>
        <v>0.81319425206793139</v>
      </c>
      <c r="V21" s="217">
        <f t="shared" si="11"/>
        <v>2.9618001938703507</v>
      </c>
      <c r="W21" s="537">
        <f t="shared" si="12"/>
        <v>103.62105307714972</v>
      </c>
      <c r="X21" s="443">
        <f t="shared" si="95"/>
        <v>251.57267855350517</v>
      </c>
      <c r="Z21" s="329">
        <f t="shared" si="13"/>
        <v>10</v>
      </c>
      <c r="AA21" s="173">
        <f t="shared" si="14"/>
        <v>7.5716658328853255</v>
      </c>
      <c r="AB21" s="173">
        <f t="shared" si="15"/>
        <v>3.922919935759257</v>
      </c>
      <c r="AC21" s="538"/>
      <c r="AD21" s="173">
        <f t="shared" si="16"/>
        <v>7.5716658328853255</v>
      </c>
      <c r="AE21" s="545">
        <f t="shared" si="17"/>
        <v>42.262826577762212</v>
      </c>
      <c r="AF21" s="528">
        <f t="shared" si="18"/>
        <v>3.922919935759257</v>
      </c>
      <c r="AG21"/>
      <c r="AH21" s="173">
        <f t="shared" si="19"/>
        <v>3.4030798375813021</v>
      </c>
      <c r="AI21" s="173">
        <f t="shared" si="20"/>
        <v>10</v>
      </c>
      <c r="AJ21" s="173">
        <f t="shared" si="21"/>
        <v>1.0241501866158642</v>
      </c>
      <c r="AL21" s="545">
        <f t="shared" si="22"/>
        <v>1600</v>
      </c>
      <c r="AM21" s="460">
        <f t="shared" si="23"/>
        <v>42.262826577762212</v>
      </c>
      <c r="AO21">
        <f t="shared" si="96"/>
        <v>1600</v>
      </c>
      <c r="AP21" s="460">
        <f t="shared" si="24"/>
        <v>42.262826577762212</v>
      </c>
      <c r="AQ21" s="460"/>
      <c r="AR21" s="5">
        <f t="shared" si="97"/>
        <v>23.661455727766644</v>
      </c>
      <c r="AS21" s="5">
        <f t="shared" si="25"/>
        <v>2.0788826831142475</v>
      </c>
      <c r="AT21" s="5">
        <f t="shared" si="98"/>
        <v>21.582573044652396</v>
      </c>
      <c r="AU21" s="173">
        <f t="shared" si="99"/>
        <v>8.7859458311970437E-2</v>
      </c>
      <c r="AW21" s="5">
        <f t="shared" si="26"/>
        <v>22.174748619885307</v>
      </c>
      <c r="AX21" s="5">
        <f t="shared" si="27"/>
        <v>1.0394413415571235</v>
      </c>
      <c r="AY21" s="5">
        <f t="shared" si="28"/>
        <v>3.0943198179018063</v>
      </c>
      <c r="AZ21" s="5"/>
      <c r="BA21" s="173">
        <f t="shared" si="100"/>
        <v>1.7113294862179564</v>
      </c>
      <c r="BB21" s="173">
        <f t="shared" si="29"/>
        <v>5.5140443163738109</v>
      </c>
      <c r="BC21" s="173">
        <f t="shared" si="30"/>
        <v>0.13579685610520603</v>
      </c>
      <c r="BD21" s="173"/>
      <c r="BE21" s="528">
        <f t="shared" si="31"/>
        <v>5.8572972207980301E-2</v>
      </c>
      <c r="BF21" s="528">
        <f t="shared" si="32"/>
        <v>0.58300413626610026</v>
      </c>
      <c r="BG21" s="528">
        <f t="shared" si="33"/>
        <v>6.0988761301023757E-2</v>
      </c>
      <c r="BH21" s="528">
        <f t="shared" si="34"/>
        <v>2.287611062832277E-2</v>
      </c>
      <c r="BI21">
        <f t="shared" si="35"/>
        <v>2.5975491757479017E-2</v>
      </c>
      <c r="BJ21" s="460">
        <f t="shared" si="101"/>
        <v>86.964253058502777</v>
      </c>
      <c r="BK21">
        <f t="shared" si="36"/>
        <v>0.68986878281273767</v>
      </c>
      <c r="BL21" s="460">
        <f t="shared" si="102"/>
        <v>689.86878281273766</v>
      </c>
      <c r="BM21" s="173">
        <f t="shared" si="37"/>
        <v>0.99399999999999988</v>
      </c>
      <c r="BN21" s="173">
        <f t="shared" si="38"/>
        <v>1.7749999999999998E-2</v>
      </c>
      <c r="BO21" s="528"/>
      <c r="BQ21" s="460">
        <f t="shared" si="103"/>
        <v>1011.7499999999999</v>
      </c>
      <c r="BR21" s="528">
        <f t="shared" si="39"/>
        <v>8.7859458311970437E-2</v>
      </c>
      <c r="BS21" s="528">
        <f t="shared" si="104"/>
        <v>0.91214054168802983</v>
      </c>
      <c r="BT21" s="528">
        <f t="shared" si="40"/>
        <v>9.2203930640290171E-5</v>
      </c>
      <c r="BU21" s="528">
        <f t="shared" si="41"/>
        <v>0.18359732683750035</v>
      </c>
      <c r="BV21" s="528">
        <f t="shared" si="42"/>
        <v>1.5475250812425163</v>
      </c>
      <c r="BW21" s="625">
        <f t="shared" si="43"/>
        <v>4.226282657776222E-3</v>
      </c>
      <c r="BX21" s="460">
        <f t="shared" si="105"/>
        <v>1551.7513639002925</v>
      </c>
      <c r="BY21" s="173">
        <f t="shared" si="106"/>
        <v>3.2533701467130305</v>
      </c>
      <c r="BZ21" s="5">
        <f t="shared" si="107"/>
        <v>24.32</v>
      </c>
      <c r="CA21" s="173">
        <f t="shared" si="108"/>
        <v>0.88201042783662553</v>
      </c>
      <c r="CB21" s="5">
        <f t="shared" si="109"/>
        <v>88.201042783662558</v>
      </c>
      <c r="CC21">
        <f t="shared" si="110"/>
        <v>16</v>
      </c>
      <c r="CE21" s="562">
        <f t="shared" si="44"/>
        <v>-50</v>
      </c>
      <c r="CF21">
        <f t="shared" si="45"/>
        <v>-50</v>
      </c>
      <c r="CG21" s="173">
        <f t="shared" si="46"/>
        <v>0.32310184956883986</v>
      </c>
      <c r="CH21" s="173">
        <f t="shared" si="47"/>
        <v>3.7228849849901317E-2</v>
      </c>
      <c r="CI21" s="189">
        <v>16</v>
      </c>
      <c r="CJ21" s="329">
        <f t="shared" si="133"/>
        <v>1.6</v>
      </c>
      <c r="CK21" s="217">
        <f t="shared" si="111"/>
        <v>0.04</v>
      </c>
      <c r="CL21" s="217">
        <f t="shared" si="48"/>
        <v>24</v>
      </c>
      <c r="CM21" s="217">
        <f t="shared" si="134"/>
        <v>0.32</v>
      </c>
      <c r="CN21" s="541">
        <f t="shared" si="112"/>
        <v>58</v>
      </c>
      <c r="CO21" s="443">
        <f t="shared" si="49"/>
        <v>15.7</v>
      </c>
      <c r="CP21" s="443">
        <f t="shared" si="50"/>
        <v>73.7</v>
      </c>
      <c r="CQ21" s="535"/>
      <c r="CR21" s="329">
        <f t="shared" si="113"/>
        <v>0.2098092643051771</v>
      </c>
      <c r="CS21" s="172">
        <f t="shared" si="114"/>
        <v>300.22049333142121</v>
      </c>
      <c r="CT21" s="172">
        <f t="shared" si="51"/>
        <v>4.0563124432334243</v>
      </c>
      <c r="CU21" s="329">
        <f t="shared" si="52"/>
        <v>20.014699555428081</v>
      </c>
      <c r="CV21" s="217">
        <f t="shared" si="53"/>
        <v>37.527561666427651</v>
      </c>
      <c r="CW21" s="443">
        <f t="shared" si="54"/>
        <v>15</v>
      </c>
      <c r="CX21" s="217">
        <f t="shared" si="55"/>
        <v>3.9970622480967308</v>
      </c>
      <c r="CY21" s="329">
        <f t="shared" si="56"/>
        <v>0.82697839615794444</v>
      </c>
      <c r="CZ21" s="217">
        <f t="shared" si="57"/>
        <v>3.0550794252968645</v>
      </c>
      <c r="DA21" s="537">
        <f t="shared" si="58"/>
        <v>102.962460425147</v>
      </c>
      <c r="DB21" s="535">
        <f t="shared" si="115"/>
        <v>257.59533886212131</v>
      </c>
      <c r="DD21" s="329">
        <f t="shared" si="59"/>
        <v>10</v>
      </c>
      <c r="DE21" s="173">
        <f t="shared" si="60"/>
        <v>7.6433121019108281</v>
      </c>
      <c r="DF21" s="173">
        <f t="shared" si="61"/>
        <v>3.9348710990502043</v>
      </c>
      <c r="DG21" s="538"/>
      <c r="DH21" s="173">
        <f t="shared" si="62"/>
        <v>7.6433121019108281</v>
      </c>
      <c r="DI21" s="545">
        <f t="shared" si="63"/>
        <v>41.866666666666674</v>
      </c>
      <c r="DJ21" s="528">
        <f t="shared" si="64"/>
        <v>3.9348710990502034</v>
      </c>
      <c r="DK21"/>
      <c r="DL21" s="173">
        <f t="shared" si="65"/>
        <v>3.4030798375813021</v>
      </c>
      <c r="DM21" s="173">
        <f t="shared" si="66"/>
        <v>10</v>
      </c>
      <c r="DN21" s="173">
        <f t="shared" si="67"/>
        <v>1.0239238095238095</v>
      </c>
      <c r="DP21" s="545">
        <f t="shared" si="68"/>
        <v>1600</v>
      </c>
      <c r="DQ21" s="460">
        <f t="shared" si="69"/>
        <v>41.866666666666674</v>
      </c>
      <c r="DS21">
        <f t="shared" si="116"/>
        <v>1600</v>
      </c>
      <c r="DT21" s="460">
        <f t="shared" si="70"/>
        <v>41.866666666666674</v>
      </c>
      <c r="DU21" s="460"/>
      <c r="DV21" s="5">
        <f t="shared" si="117"/>
        <v>23.885350318471332</v>
      </c>
      <c r="DW21" s="5">
        <f t="shared" si="71"/>
        <v>2.068965517241379</v>
      </c>
      <c r="DX21" s="5">
        <f t="shared" si="118"/>
        <v>21.816384801229951</v>
      </c>
      <c r="DY21" s="173">
        <f t="shared" si="119"/>
        <v>8.6620689655172417E-2</v>
      </c>
      <c r="EA21" s="5">
        <f t="shared" si="72"/>
        <v>22.068965517241377</v>
      </c>
      <c r="EB21" s="5">
        <f t="shared" si="73"/>
        <v>1.0344827586206895</v>
      </c>
      <c r="EC21" s="5">
        <f t="shared" si="74"/>
        <v>3.1129205423871507</v>
      </c>
      <c r="ED21" s="5"/>
      <c r="EE21" s="173">
        <f t="shared" si="120"/>
        <v>1.6992222696984292</v>
      </c>
      <c r="EF21" s="173">
        <f t="shared" si="75"/>
        <v>5.5177873293100248</v>
      </c>
      <c r="EG21" s="173">
        <f t="shared" si="76"/>
        <v>0.1358890369728116</v>
      </c>
      <c r="EH21" s="173"/>
      <c r="EI21" s="528">
        <f t="shared" si="77"/>
        <v>5.7747126436781628E-2</v>
      </c>
      <c r="EJ21" s="528">
        <f t="shared" si="78"/>
        <v>0.6171146666666667</v>
      </c>
      <c r="EK21" s="528">
        <f t="shared" si="79"/>
        <v>5.2333333333333338E-3</v>
      </c>
      <c r="EL21" s="528">
        <f t="shared" si="80"/>
        <v>2.2740675466666672E-2</v>
      </c>
      <c r="EM21">
        <f t="shared" si="81"/>
        <v>2.6099999999999998E-2</v>
      </c>
      <c r="EN21" s="460">
        <f t="shared" si="121"/>
        <v>31.333333333333332</v>
      </c>
      <c r="EO21">
        <f t="shared" si="82"/>
        <v>0.75488509092367606</v>
      </c>
      <c r="EP21" s="460">
        <f t="shared" si="122"/>
        <v>754.8850909236761</v>
      </c>
      <c r="EQ21" s="173">
        <f t="shared" si="83"/>
        <v>0.99399999999999988</v>
      </c>
      <c r="ER21" s="173">
        <f t="shared" si="84"/>
        <v>1.7749999999999998E-2</v>
      </c>
      <c r="ES21" s="528"/>
      <c r="EU21" s="460">
        <f t="shared" si="123"/>
        <v>1011.7499999999999</v>
      </c>
      <c r="EV21" s="528">
        <f t="shared" si="85"/>
        <v>8.6620689655172431E-2</v>
      </c>
      <c r="EW21" s="528">
        <f t="shared" si="124"/>
        <v>0.91337931034482767</v>
      </c>
      <c r="EX21" s="528">
        <f t="shared" si="86"/>
        <v>9.2329151846990781E-5</v>
      </c>
      <c r="EY21" s="528">
        <f t="shared" si="87"/>
        <v>0.1793250522466083</v>
      </c>
      <c r="EZ21" s="528">
        <f t="shared" si="88"/>
        <v>1.5428814528584502</v>
      </c>
      <c r="FA21" s="625">
        <f t="shared" si="89"/>
        <v>4.1866666666666675E-3</v>
      </c>
      <c r="FB21" s="460">
        <f t="shared" si="125"/>
        <v>1547.0681195251168</v>
      </c>
      <c r="FC21" s="173">
        <f t="shared" si="126"/>
        <v>3.3137032104487929</v>
      </c>
      <c r="FD21" s="5">
        <f t="shared" si="127"/>
        <v>24.32</v>
      </c>
      <c r="FE21" s="173">
        <f t="shared" si="128"/>
        <v>0.88008472171779628</v>
      </c>
      <c r="FF21" s="5">
        <f t="shared" si="129"/>
        <v>88.00847217177963</v>
      </c>
      <c r="FG21">
        <f t="shared" si="130"/>
        <v>16</v>
      </c>
      <c r="FI21" s="562">
        <f t="shared" si="90"/>
        <v>-50</v>
      </c>
      <c r="FJ21">
        <f t="shared" si="91"/>
        <v>-50</v>
      </c>
      <c r="FL21">
        <f t="shared" si="92"/>
        <v>0.32310184956883986</v>
      </c>
    </row>
    <row r="22" spans="5:168">
      <c r="E22" s="170">
        <v>17</v>
      </c>
      <c r="F22" s="217">
        <f t="shared" si="131"/>
        <v>1.7000000000000002</v>
      </c>
      <c r="G22" s="217">
        <f t="shared" si="93"/>
        <v>4.2500000000000003E-2</v>
      </c>
      <c r="H22" s="217">
        <f t="shared" si="0"/>
        <v>25.500000000000004</v>
      </c>
      <c r="I22" s="217">
        <f t="shared" si="132"/>
        <v>0.34</v>
      </c>
      <c r="J22" s="541">
        <f t="shared" si="1"/>
        <v>57.723315016620042</v>
      </c>
      <c r="K22" s="443">
        <f t="shared" si="2"/>
        <v>15.848559966660831</v>
      </c>
      <c r="L22" s="172">
        <f t="shared" si="3"/>
        <v>73.571874983280878</v>
      </c>
      <c r="M22" s="443"/>
      <c r="N22" s="217">
        <f t="shared" si="4"/>
        <v>0.21541601284814879</v>
      </c>
      <c r="O22" s="172">
        <f t="shared" si="94"/>
        <v>306.77285450471948</v>
      </c>
      <c r="P22" s="172">
        <f t="shared" si="5"/>
        <v>4.1448421230859873</v>
      </c>
      <c r="Q22" s="217">
        <f t="shared" si="6"/>
        <v>20.451523633647966</v>
      </c>
      <c r="R22" s="217">
        <f t="shared" si="7"/>
        <v>38.346606813089934</v>
      </c>
      <c r="S22" s="443">
        <f t="shared" si="8"/>
        <v>15</v>
      </c>
      <c r="T22" s="217">
        <f t="shared" si="9"/>
        <v>4.1561695608904836</v>
      </c>
      <c r="U22" s="217">
        <f t="shared" si="10"/>
        <v>0.86401889282217725</v>
      </c>
      <c r="V22" s="217">
        <f t="shared" si="11"/>
        <v>3.1469127059872481</v>
      </c>
      <c r="W22" s="197">
        <f t="shared" si="12"/>
        <v>103.62105307714972</v>
      </c>
      <c r="X22" s="443">
        <f t="shared" si="95"/>
        <v>237.47714170487458</v>
      </c>
      <c r="Z22" s="217">
        <f t="shared" si="13"/>
        <v>10</v>
      </c>
      <c r="AA22" s="173">
        <f t="shared" si="14"/>
        <v>7.5716658328853255</v>
      </c>
      <c r="AB22" s="173">
        <f t="shared" si="15"/>
        <v>3.922919935759257</v>
      </c>
      <c r="AC22" s="173"/>
      <c r="AD22" s="173">
        <f t="shared" si="16"/>
        <v>7.5716658328853255</v>
      </c>
      <c r="AE22" s="545">
        <f t="shared" si="17"/>
        <v>44.904253238872357</v>
      </c>
      <c r="AF22" s="528">
        <f t="shared" si="18"/>
        <v>3.922919935759257</v>
      </c>
      <c r="AH22" s="173">
        <f t="shared" si="19"/>
        <v>3.5078144056893752</v>
      </c>
      <c r="AI22" s="173">
        <f t="shared" si="20"/>
        <v>10</v>
      </c>
      <c r="AJ22" s="173">
        <f t="shared" si="21"/>
        <v>1.0256595732793556</v>
      </c>
      <c r="AL22" s="545">
        <f t="shared" si="22"/>
        <v>1700.0000000000002</v>
      </c>
      <c r="AM22" s="460">
        <f t="shared" si="23"/>
        <v>44.904253238872357</v>
      </c>
      <c r="AO22">
        <f t="shared" si="96"/>
        <v>1700.0000000000002</v>
      </c>
      <c r="AP22" s="460">
        <f t="shared" si="24"/>
        <v>44.904253238872357</v>
      </c>
      <c r="AQ22" s="460"/>
      <c r="AR22" s="5">
        <f t="shared" si="97"/>
        <v>22.269605390839189</v>
      </c>
      <c r="AS22" s="5">
        <f t="shared" si="25"/>
        <v>2.0788826831142475</v>
      </c>
      <c r="AT22" s="5">
        <f t="shared" si="98"/>
        <v>20.190722707724941</v>
      </c>
      <c r="AU22" s="173">
        <f t="shared" si="99"/>
        <v>9.3350674456468608E-2</v>
      </c>
      <c r="AW22" s="5">
        <f t="shared" si="26"/>
        <v>23.560670408628141</v>
      </c>
      <c r="AX22" s="5">
        <f t="shared" si="27"/>
        <v>1.1044064254044441</v>
      </c>
      <c r="AY22" s="5">
        <f t="shared" si="28"/>
        <v>3.0756915713063222</v>
      </c>
      <c r="AZ22" s="5"/>
      <c r="BA22" s="173">
        <f t="shared" si="100"/>
        <v>1.7639980579776593</v>
      </c>
      <c r="BB22" s="173">
        <f t="shared" si="29"/>
        <v>5.4974215942370996</v>
      </c>
      <c r="BC22" s="173">
        <f t="shared" si="30"/>
        <v>0.13538748083062349</v>
      </c>
      <c r="BD22" s="173"/>
      <c r="BE22" s="528">
        <f t="shared" si="31"/>
        <v>6.2233782970979069E-2</v>
      </c>
      <c r="BF22" s="528">
        <f t="shared" si="32"/>
        <v>0.61944189478273171</v>
      </c>
      <c r="BG22" s="528">
        <f t="shared" si="33"/>
        <v>6.4800558882337753E-2</v>
      </c>
      <c r="BH22" s="528">
        <f t="shared" si="34"/>
        <v>2.4305867542592945E-2</v>
      </c>
      <c r="BI22">
        <f t="shared" si="35"/>
        <v>2.5975491757479017E-2</v>
      </c>
      <c r="BJ22" s="460">
        <f t="shared" si="101"/>
        <v>90.776050639816759</v>
      </c>
      <c r="BK22">
        <f t="shared" si="36"/>
        <v>0.73363270781804535</v>
      </c>
      <c r="BL22" s="460">
        <f t="shared" si="102"/>
        <v>733.63270781804533</v>
      </c>
      <c r="BM22" s="173">
        <f t="shared" si="37"/>
        <v>1.056125</v>
      </c>
      <c r="BN22" s="173">
        <f t="shared" si="38"/>
        <v>1.8859375000000001E-2</v>
      </c>
      <c r="BO22" s="528"/>
      <c r="BQ22" s="460">
        <f t="shared" si="103"/>
        <v>1074.9843749999998</v>
      </c>
      <c r="BR22" s="528">
        <f t="shared" si="39"/>
        <v>9.3350674456468594E-2</v>
      </c>
      <c r="BS22" s="528">
        <f t="shared" si="104"/>
        <v>0.90664932554353117</v>
      </c>
      <c r="BT22" s="528">
        <f t="shared" si="40"/>
        <v>9.1648849828312215E-5</v>
      </c>
      <c r="BU22" s="528">
        <f t="shared" si="41"/>
        <v>0.21364301607145122</v>
      </c>
      <c r="BV22" s="528">
        <f t="shared" si="42"/>
        <v>1.5801828765224895</v>
      </c>
      <c r="BW22" s="625">
        <f t="shared" si="43"/>
        <v>4.4904253238872366E-3</v>
      </c>
      <c r="BX22" s="460">
        <f t="shared" si="105"/>
        <v>1584.6733018463767</v>
      </c>
      <c r="BY22" s="173">
        <f t="shared" si="106"/>
        <v>3.393290384664422</v>
      </c>
      <c r="BZ22" s="5">
        <f t="shared" si="107"/>
        <v>25.840000000000003</v>
      </c>
      <c r="CA22" s="173">
        <f t="shared" si="108"/>
        <v>0.88392376157408137</v>
      </c>
      <c r="CB22" s="5">
        <f t="shared" si="109"/>
        <v>88.392376157408137</v>
      </c>
      <c r="CC22">
        <f t="shared" si="110"/>
        <v>17</v>
      </c>
      <c r="CE22" s="562">
        <f t="shared" si="44"/>
        <v>-50</v>
      </c>
      <c r="CF22">
        <f t="shared" si="45"/>
        <v>-50</v>
      </c>
      <c r="CG22" s="173">
        <f t="shared" si="46"/>
        <v>0.34329571516689239</v>
      </c>
      <c r="CH22" s="173">
        <f t="shared" si="47"/>
        <v>3.9555652965520154E-2</v>
      </c>
      <c r="CI22" s="170">
        <v>17</v>
      </c>
      <c r="CJ22" s="217">
        <f t="shared" si="133"/>
        <v>1.7000000000000002</v>
      </c>
      <c r="CK22" s="217">
        <f t="shared" si="111"/>
        <v>4.2500000000000003E-2</v>
      </c>
      <c r="CL22" s="217">
        <f t="shared" si="48"/>
        <v>25.500000000000004</v>
      </c>
      <c r="CM22" s="217">
        <f t="shared" si="134"/>
        <v>0.34</v>
      </c>
      <c r="CN22" s="541">
        <f t="shared" si="112"/>
        <v>58</v>
      </c>
      <c r="CO22" s="443">
        <f t="shared" si="49"/>
        <v>15.7</v>
      </c>
      <c r="CP22" s="443">
        <f t="shared" si="50"/>
        <v>73.7</v>
      </c>
      <c r="CQ22" s="443"/>
      <c r="CR22" s="217">
        <f t="shared" si="113"/>
        <v>0.2098092643051771</v>
      </c>
      <c r="CS22" s="172">
        <f t="shared" si="114"/>
        <v>300.22049333142121</v>
      </c>
      <c r="CT22" s="172">
        <f t="shared" si="51"/>
        <v>4.0563124432334243</v>
      </c>
      <c r="CU22" s="217">
        <f t="shared" si="52"/>
        <v>20.014699555428081</v>
      </c>
      <c r="CV22" s="217">
        <f t="shared" si="53"/>
        <v>37.527561666427651</v>
      </c>
      <c r="CW22" s="443">
        <f t="shared" si="54"/>
        <v>15</v>
      </c>
      <c r="CX22" s="217">
        <f t="shared" si="55"/>
        <v>4.2468786386027775</v>
      </c>
      <c r="CY22" s="217">
        <f t="shared" si="56"/>
        <v>0.87866454591781606</v>
      </c>
      <c r="CZ22" s="217">
        <f t="shared" si="57"/>
        <v>3.2460218893779196</v>
      </c>
      <c r="DA22" s="197">
        <f t="shared" si="58"/>
        <v>102.962460425147</v>
      </c>
      <c r="DB22" s="443">
        <f t="shared" si="115"/>
        <v>242.44267187023175</v>
      </c>
      <c r="DD22" s="217">
        <f t="shared" si="59"/>
        <v>10</v>
      </c>
      <c r="DE22" s="173">
        <f t="shared" si="60"/>
        <v>7.6433121019108281</v>
      </c>
      <c r="DF22" s="173">
        <f t="shared" si="61"/>
        <v>3.9348710990502043</v>
      </c>
      <c r="DG22" s="173"/>
      <c r="DH22" s="173">
        <f t="shared" si="62"/>
        <v>7.6433121019108281</v>
      </c>
      <c r="DI22" s="545">
        <f t="shared" si="63"/>
        <v>44.483333333333341</v>
      </c>
      <c r="DJ22" s="528">
        <f t="shared" si="64"/>
        <v>3.9348710990502034</v>
      </c>
      <c r="DL22" s="173">
        <f t="shared" si="65"/>
        <v>3.5078144056893752</v>
      </c>
      <c r="DM22" s="173">
        <f t="shared" si="66"/>
        <v>10</v>
      </c>
      <c r="DN22" s="173">
        <f t="shared" si="67"/>
        <v>1.0254190476190477</v>
      </c>
      <c r="DP22" s="545">
        <f t="shared" si="68"/>
        <v>1700.0000000000002</v>
      </c>
      <c r="DQ22" s="460">
        <f t="shared" si="69"/>
        <v>44.483333333333341</v>
      </c>
      <c r="DS22">
        <f t="shared" si="116"/>
        <v>1700.0000000000002</v>
      </c>
      <c r="DT22" s="460">
        <f t="shared" si="70"/>
        <v>44.483333333333341</v>
      </c>
      <c r="DU22" s="460"/>
      <c r="DV22" s="5">
        <f t="shared" si="117"/>
        <v>22.480329711502431</v>
      </c>
      <c r="DW22" s="5">
        <f t="shared" si="71"/>
        <v>2.068965517241379</v>
      </c>
      <c r="DX22" s="5">
        <f t="shared" si="118"/>
        <v>20.411364194261054</v>
      </c>
      <c r="DY22" s="173">
        <f t="shared" si="119"/>
        <v>9.2034482758620695E-2</v>
      </c>
      <c r="EA22" s="5">
        <f t="shared" si="72"/>
        <v>23.448275862068964</v>
      </c>
      <c r="EB22" s="5">
        <f t="shared" si="73"/>
        <v>1.0991379310344827</v>
      </c>
      <c r="EC22" s="5">
        <f t="shared" si="74"/>
        <v>3.0944696013891608</v>
      </c>
      <c r="ED22" s="5"/>
      <c r="EE22" s="173">
        <f t="shared" si="120"/>
        <v>1.7515182248421004</v>
      </c>
      <c r="EF22" s="173">
        <f t="shared" si="75"/>
        <v>5.5014104774484256</v>
      </c>
      <c r="EG22" s="173">
        <f t="shared" si="76"/>
        <v>0.13548571685637692</v>
      </c>
      <c r="EH22" s="173"/>
      <c r="EI22" s="528">
        <f t="shared" si="77"/>
        <v>6.1356321839080456E-2</v>
      </c>
      <c r="EJ22" s="528">
        <f t="shared" si="78"/>
        <v>0.65568433333333354</v>
      </c>
      <c r="EK22" s="528">
        <f t="shared" si="79"/>
        <v>5.5604166666666675E-3</v>
      </c>
      <c r="EL22" s="528">
        <f t="shared" si="80"/>
        <v>2.4161967683333341E-2</v>
      </c>
      <c r="EM22">
        <f t="shared" si="81"/>
        <v>2.6099999999999998E-2</v>
      </c>
      <c r="EN22" s="460">
        <f t="shared" si="121"/>
        <v>31.660416666666663</v>
      </c>
      <c r="EO22">
        <f t="shared" si="82"/>
        <v>0.80110800891852718</v>
      </c>
      <c r="EP22" s="460">
        <f t="shared" si="122"/>
        <v>801.10800891852716</v>
      </c>
      <c r="EQ22" s="173">
        <f t="shared" si="83"/>
        <v>1.056125</v>
      </c>
      <c r="ER22" s="173">
        <f t="shared" si="84"/>
        <v>1.8859375000000001E-2</v>
      </c>
      <c r="ES22" s="528"/>
      <c r="EU22" s="460">
        <f t="shared" si="123"/>
        <v>1074.9843749999998</v>
      </c>
      <c r="EV22" s="528">
        <f t="shared" si="85"/>
        <v>9.2034482758620681E-2</v>
      </c>
      <c r="EW22" s="528">
        <f t="shared" si="124"/>
        <v>0.90796551724137942</v>
      </c>
      <c r="EX22" s="528">
        <f t="shared" si="86"/>
        <v>9.1781897360431697E-5</v>
      </c>
      <c r="EY22" s="528">
        <f t="shared" si="87"/>
        <v>0.20867158405331809</v>
      </c>
      <c r="EZ22" s="528">
        <f t="shared" si="88"/>
        <v>1.5747793005484949</v>
      </c>
      <c r="FA22" s="625">
        <f t="shared" si="89"/>
        <v>4.4483333333333345E-3</v>
      </c>
      <c r="FB22" s="460">
        <f t="shared" si="125"/>
        <v>1579.2276338818283</v>
      </c>
      <c r="FC22" s="173">
        <f t="shared" si="126"/>
        <v>3.4553200178003554</v>
      </c>
      <c r="FD22" s="5">
        <f t="shared" si="127"/>
        <v>25.840000000000003</v>
      </c>
      <c r="FE22" s="173">
        <f t="shared" si="128"/>
        <v>0.8820521497733822</v>
      </c>
      <c r="FF22" s="5">
        <f t="shared" si="129"/>
        <v>88.205214977338215</v>
      </c>
      <c r="FG22">
        <f t="shared" si="130"/>
        <v>17</v>
      </c>
      <c r="FI22" s="562">
        <f t="shared" si="90"/>
        <v>-50</v>
      </c>
      <c r="FJ22">
        <f t="shared" si="91"/>
        <v>-50</v>
      </c>
      <c r="FL22">
        <f t="shared" si="92"/>
        <v>0.34329571516689239</v>
      </c>
    </row>
    <row r="23" spans="5:168">
      <c r="E23" s="170">
        <v>18</v>
      </c>
      <c r="F23" s="217">
        <f t="shared" si="131"/>
        <v>1.7999999999999998</v>
      </c>
      <c r="G23" s="217">
        <f t="shared" si="93"/>
        <v>4.4999999999999998E-2</v>
      </c>
      <c r="H23" s="217">
        <f t="shared" si="0"/>
        <v>26.999999999999996</v>
      </c>
      <c r="I23" s="217">
        <f t="shared" si="132"/>
        <v>0.36</v>
      </c>
      <c r="J23" s="541">
        <f t="shared" si="1"/>
        <v>57.723315016620042</v>
      </c>
      <c r="K23" s="443">
        <f t="shared" si="2"/>
        <v>15.848559966660831</v>
      </c>
      <c r="L23" s="172">
        <f t="shared" si="3"/>
        <v>73.571874983280878</v>
      </c>
      <c r="M23" s="443"/>
      <c r="N23" s="217">
        <f t="shared" si="4"/>
        <v>0.21541601284814879</v>
      </c>
      <c r="O23" s="172">
        <f t="shared" si="94"/>
        <v>306.77285450471948</v>
      </c>
      <c r="P23" s="172">
        <f t="shared" si="5"/>
        <v>4.1448421230859873</v>
      </c>
      <c r="Q23" s="217">
        <f t="shared" si="6"/>
        <v>20.451523633647966</v>
      </c>
      <c r="R23" s="217">
        <f t="shared" si="7"/>
        <v>38.346606813089934</v>
      </c>
      <c r="S23" s="443">
        <f t="shared" si="8"/>
        <v>15</v>
      </c>
      <c r="T23" s="217">
        <f t="shared" si="9"/>
        <v>4.4006501232958053</v>
      </c>
      <c r="U23" s="217">
        <f t="shared" si="10"/>
        <v>0.91484353357642267</v>
      </c>
      <c r="V23" s="217">
        <f t="shared" si="11"/>
        <v>3.3320252181041443</v>
      </c>
      <c r="W23" s="197">
        <f t="shared" si="12"/>
        <v>103.62105307714972</v>
      </c>
      <c r="X23" s="443">
        <f t="shared" si="95"/>
        <v>224.87733635540258</v>
      </c>
      <c r="Z23" s="217">
        <f t="shared" si="13"/>
        <v>10</v>
      </c>
      <c r="AA23" s="173">
        <f t="shared" si="14"/>
        <v>7.5716658328853255</v>
      </c>
      <c r="AB23" s="173">
        <f t="shared" si="15"/>
        <v>3.922919935759257</v>
      </c>
      <c r="AC23" s="173"/>
      <c r="AD23" s="173">
        <f t="shared" si="16"/>
        <v>7.5716658328853255</v>
      </c>
      <c r="AE23" s="545">
        <f t="shared" si="17"/>
        <v>47.545679899982481</v>
      </c>
      <c r="AF23" s="528">
        <f t="shared" si="18"/>
        <v>3.922919935759257</v>
      </c>
      <c r="AH23" s="173">
        <f t="shared" si="19"/>
        <v>3.60951124510943</v>
      </c>
      <c r="AI23" s="173">
        <f t="shared" si="20"/>
        <v>10</v>
      </c>
      <c r="AJ23" s="173">
        <f t="shared" si="21"/>
        <v>1.0271689599428471</v>
      </c>
      <c r="AL23" s="545">
        <f t="shared" si="22"/>
        <v>1799.9999999999998</v>
      </c>
      <c r="AM23" s="460">
        <f t="shared" si="23"/>
        <v>47.545679899982481</v>
      </c>
      <c r="AO23">
        <f t="shared" si="96"/>
        <v>1799.9999999999998</v>
      </c>
      <c r="AP23" s="460">
        <f t="shared" si="24"/>
        <v>47.545679899982481</v>
      </c>
      <c r="AQ23" s="460"/>
      <c r="AR23" s="5">
        <f t="shared" si="97"/>
        <v>21.032405091348132</v>
      </c>
      <c r="AS23" s="5">
        <f t="shared" si="25"/>
        <v>2.0788826831142475</v>
      </c>
      <c r="AT23" s="5">
        <f t="shared" si="98"/>
        <v>18.953522408233884</v>
      </c>
      <c r="AU23" s="173">
        <f t="shared" si="99"/>
        <v>9.8841890600966723E-2</v>
      </c>
      <c r="AW23" s="5">
        <f t="shared" si="26"/>
        <v>24.946592197370968</v>
      </c>
      <c r="AX23" s="5">
        <f t="shared" si="27"/>
        <v>1.1693715092517643</v>
      </c>
      <c r="AY23" s="5">
        <f t="shared" si="28"/>
        <v>3.057063324710839</v>
      </c>
      <c r="AZ23" s="5"/>
      <c r="BA23" s="173">
        <f t="shared" si="100"/>
        <v>1.8151390268238108</v>
      </c>
      <c r="BB23" s="173">
        <f t="shared" si="29"/>
        <v>5.4807484567925977</v>
      </c>
      <c r="BC23" s="173">
        <f t="shared" si="30"/>
        <v>0.13497686395551969</v>
      </c>
      <c r="BD23" s="173"/>
      <c r="BE23" s="528">
        <f t="shared" si="31"/>
        <v>6.5894593733977824E-2</v>
      </c>
      <c r="BF23" s="528">
        <f t="shared" si="32"/>
        <v>0.65587965329936282</v>
      </c>
      <c r="BG23" s="528">
        <f t="shared" si="33"/>
        <v>6.8612356463651714E-2</v>
      </c>
      <c r="BH23" s="528">
        <f t="shared" si="34"/>
        <v>2.5735624456863112E-2</v>
      </c>
      <c r="BI23">
        <f t="shared" si="35"/>
        <v>2.5975491757479017E-2</v>
      </c>
      <c r="BJ23" s="460">
        <f t="shared" si="101"/>
        <v>94.587848221130727</v>
      </c>
      <c r="BK23">
        <f t="shared" si="36"/>
        <v>0.77747397623470549</v>
      </c>
      <c r="BL23" s="460">
        <f t="shared" si="102"/>
        <v>777.47397623470545</v>
      </c>
      <c r="BM23" s="173">
        <f t="shared" si="37"/>
        <v>1.1182499999999997</v>
      </c>
      <c r="BN23" s="173">
        <f t="shared" si="38"/>
        <v>1.9968749999999997E-2</v>
      </c>
      <c r="BO23" s="528"/>
      <c r="BQ23" s="460">
        <f t="shared" si="103"/>
        <v>1138.2187499999998</v>
      </c>
      <c r="BR23" s="528">
        <f t="shared" si="39"/>
        <v>9.8841890600966723E-2</v>
      </c>
      <c r="BS23" s="528">
        <f t="shared" si="104"/>
        <v>0.90115810939903318</v>
      </c>
      <c r="BT23" s="528">
        <f t="shared" si="40"/>
        <v>9.1093769016334353E-5</v>
      </c>
      <c r="BU23" s="528">
        <f t="shared" si="41"/>
        <v>0.24646068984318939</v>
      </c>
      <c r="BV23" s="528">
        <f t="shared" si="42"/>
        <v>1.6158537191882676</v>
      </c>
      <c r="BW23" s="625">
        <f t="shared" si="43"/>
        <v>4.7545679899982487E-3</v>
      </c>
      <c r="BX23" s="460">
        <f t="shared" si="105"/>
        <v>1620.608287178266</v>
      </c>
      <c r="BY23" s="173">
        <f t="shared" si="106"/>
        <v>3.5363010134129711</v>
      </c>
      <c r="BZ23" s="5">
        <f t="shared" si="107"/>
        <v>27.359999999999996</v>
      </c>
      <c r="CA23" s="173">
        <f t="shared" si="108"/>
        <v>0.88554290004237846</v>
      </c>
      <c r="CB23" s="5">
        <f t="shared" si="109"/>
        <v>88.554290004237842</v>
      </c>
      <c r="CC23">
        <f t="shared" si="110"/>
        <v>18</v>
      </c>
      <c r="CE23" s="562">
        <f t="shared" si="44"/>
        <v>-50</v>
      </c>
      <c r="CF23">
        <f t="shared" si="45"/>
        <v>-50</v>
      </c>
      <c r="CG23" s="173">
        <f t="shared" si="46"/>
        <v>0.36348958076494475</v>
      </c>
      <c r="CH23" s="173">
        <f t="shared" si="47"/>
        <v>4.1882456081138976E-2</v>
      </c>
      <c r="CI23" s="170">
        <v>18</v>
      </c>
      <c r="CJ23" s="217">
        <f t="shared" si="133"/>
        <v>1.7999999999999998</v>
      </c>
      <c r="CK23" s="217">
        <f t="shared" si="111"/>
        <v>4.4999999999999998E-2</v>
      </c>
      <c r="CL23" s="217">
        <f t="shared" si="48"/>
        <v>26.999999999999996</v>
      </c>
      <c r="CM23" s="217">
        <f t="shared" si="134"/>
        <v>0.36</v>
      </c>
      <c r="CN23" s="541">
        <f t="shared" si="112"/>
        <v>58</v>
      </c>
      <c r="CO23" s="443">
        <f t="shared" si="49"/>
        <v>15.7</v>
      </c>
      <c r="CP23" s="443">
        <f t="shared" si="50"/>
        <v>73.7</v>
      </c>
      <c r="CQ23" s="443"/>
      <c r="CR23" s="217">
        <f t="shared" si="113"/>
        <v>0.2098092643051771</v>
      </c>
      <c r="CS23" s="172">
        <f t="shared" si="114"/>
        <v>300.22049333142121</v>
      </c>
      <c r="CT23" s="172">
        <f t="shared" si="51"/>
        <v>4.0563124432334243</v>
      </c>
      <c r="CU23" s="217">
        <f t="shared" si="52"/>
        <v>20.014699555428081</v>
      </c>
      <c r="CV23" s="217">
        <f t="shared" si="53"/>
        <v>37.527561666427651</v>
      </c>
      <c r="CW23" s="443">
        <f t="shared" si="54"/>
        <v>15</v>
      </c>
      <c r="CX23" s="217">
        <f t="shared" si="55"/>
        <v>4.4966950291088219</v>
      </c>
      <c r="CY23" s="217">
        <f t="shared" si="56"/>
        <v>0.93035069567768736</v>
      </c>
      <c r="CZ23" s="217">
        <f t="shared" si="57"/>
        <v>3.4369643534589724</v>
      </c>
      <c r="DA23" s="197">
        <f t="shared" si="58"/>
        <v>102.962460425147</v>
      </c>
      <c r="DB23" s="443">
        <f t="shared" si="115"/>
        <v>228.97363454410788</v>
      </c>
      <c r="DD23" s="217">
        <f t="shared" si="59"/>
        <v>10</v>
      </c>
      <c r="DE23" s="173">
        <f t="shared" si="60"/>
        <v>7.6433121019108281</v>
      </c>
      <c r="DF23" s="173">
        <f t="shared" si="61"/>
        <v>3.9348710990502043</v>
      </c>
      <c r="DG23" s="173"/>
      <c r="DH23" s="173">
        <f t="shared" si="62"/>
        <v>7.6433121019108281</v>
      </c>
      <c r="DI23" s="545">
        <f t="shared" si="63"/>
        <v>47.1</v>
      </c>
      <c r="DJ23" s="528">
        <f t="shared" si="64"/>
        <v>3.9348710990502034</v>
      </c>
      <c r="DL23" s="173">
        <f t="shared" si="65"/>
        <v>3.60951124510943</v>
      </c>
      <c r="DM23" s="173">
        <f t="shared" si="66"/>
        <v>10</v>
      </c>
      <c r="DN23" s="173">
        <f t="shared" si="67"/>
        <v>1.0269142857142857</v>
      </c>
      <c r="DP23" s="545">
        <f t="shared" si="68"/>
        <v>1799.9999999999998</v>
      </c>
      <c r="DQ23" s="460">
        <f t="shared" si="69"/>
        <v>47.1</v>
      </c>
      <c r="DS23">
        <f t="shared" si="116"/>
        <v>1799.9999999999998</v>
      </c>
      <c r="DT23" s="460">
        <f t="shared" si="70"/>
        <v>47.1</v>
      </c>
      <c r="DU23" s="460"/>
      <c r="DV23" s="5">
        <f t="shared" si="117"/>
        <v>21.231422505307854</v>
      </c>
      <c r="DW23" s="5">
        <f t="shared" si="71"/>
        <v>2.068965517241379</v>
      </c>
      <c r="DX23" s="5">
        <f t="shared" si="118"/>
        <v>19.162456988066474</v>
      </c>
      <c r="DY23" s="173">
        <f t="shared" si="119"/>
        <v>9.7448275862068959E-2</v>
      </c>
      <c r="EA23" s="5">
        <f t="shared" si="72"/>
        <v>24.827586206896544</v>
      </c>
      <c r="EB23" s="5">
        <f t="shared" si="73"/>
        <v>1.1637931034482756</v>
      </c>
      <c r="EC23" s="5">
        <f t="shared" si="74"/>
        <v>3.0760186603911692</v>
      </c>
      <c r="ED23" s="5"/>
      <c r="EE23" s="173">
        <f t="shared" si="120"/>
        <v>1.8022973844704335</v>
      </c>
      <c r="EF23" s="173">
        <f t="shared" si="75"/>
        <v>5.4849847284440436</v>
      </c>
      <c r="EG23" s="173">
        <f t="shared" si="76"/>
        <v>0.13508119252795531</v>
      </c>
      <c r="EH23" s="173"/>
      <c r="EI23" s="528">
        <f t="shared" si="77"/>
        <v>6.4965517241379306E-2</v>
      </c>
      <c r="EJ23" s="528">
        <f t="shared" si="78"/>
        <v>0.69425400000000015</v>
      </c>
      <c r="EK23" s="528">
        <f t="shared" si="79"/>
        <v>5.8875000000000004E-3</v>
      </c>
      <c r="EL23" s="528">
        <f t="shared" si="80"/>
        <v>2.5583259900000002E-2</v>
      </c>
      <c r="EM23">
        <f t="shared" si="81"/>
        <v>2.6099999999999998E-2</v>
      </c>
      <c r="EN23" s="460">
        <f t="shared" si="121"/>
        <v>31.987500000000001</v>
      </c>
      <c r="EO23">
        <f t="shared" si="82"/>
        <v>0.84741144624268161</v>
      </c>
      <c r="EP23" s="460">
        <f t="shared" si="122"/>
        <v>847.41144624268156</v>
      </c>
      <c r="EQ23" s="173">
        <f t="shared" si="83"/>
        <v>1.1182499999999997</v>
      </c>
      <c r="ER23" s="173">
        <f t="shared" si="84"/>
        <v>1.9968749999999997E-2</v>
      </c>
      <c r="ES23" s="528"/>
      <c r="EU23" s="460">
        <f t="shared" si="123"/>
        <v>1138.2187499999998</v>
      </c>
      <c r="EV23" s="528">
        <f t="shared" si="85"/>
        <v>9.7448275862068959E-2</v>
      </c>
      <c r="EW23" s="528">
        <f t="shared" si="124"/>
        <v>0.90255172413793128</v>
      </c>
      <c r="EX23" s="528">
        <f t="shared" si="86"/>
        <v>9.1234642873872654E-5</v>
      </c>
      <c r="EY23" s="528">
        <f t="shared" si="87"/>
        <v>0.24072559684914632</v>
      </c>
      <c r="EZ23" s="528">
        <f t="shared" si="88"/>
        <v>1.6096200826688942</v>
      </c>
      <c r="FA23" s="625">
        <f t="shared" si="89"/>
        <v>4.7100000000000006E-3</v>
      </c>
      <c r="FB23" s="460">
        <f t="shared" si="125"/>
        <v>1614.3300826688942</v>
      </c>
      <c r="FC23" s="173">
        <f t="shared" si="126"/>
        <v>3.5999602789115759</v>
      </c>
      <c r="FD23" s="5">
        <f t="shared" si="127"/>
        <v>27.359999999999996</v>
      </c>
      <c r="FE23" s="173">
        <f t="shared" si="128"/>
        <v>0.88372206403108033</v>
      </c>
      <c r="FF23" s="5">
        <f t="shared" si="129"/>
        <v>88.372206403108038</v>
      </c>
      <c r="FG23">
        <f t="shared" si="130"/>
        <v>18</v>
      </c>
      <c r="FI23" s="562">
        <f t="shared" si="90"/>
        <v>-50</v>
      </c>
      <c r="FJ23">
        <f t="shared" si="91"/>
        <v>-50</v>
      </c>
      <c r="FL23">
        <f t="shared" si="92"/>
        <v>0.36348958076494481</v>
      </c>
    </row>
    <row r="24" spans="5:168">
      <c r="E24" s="170">
        <v>19</v>
      </c>
      <c r="F24" s="217">
        <f t="shared" si="131"/>
        <v>1.9</v>
      </c>
      <c r="G24" s="217">
        <f t="shared" si="93"/>
        <v>4.7500000000000001E-2</v>
      </c>
      <c r="H24" s="217">
        <f t="shared" si="0"/>
        <v>28.5</v>
      </c>
      <c r="I24" s="217">
        <f t="shared" si="132"/>
        <v>0.38</v>
      </c>
      <c r="J24" s="541">
        <f t="shared" si="1"/>
        <v>57.723315016620042</v>
      </c>
      <c r="K24" s="443">
        <f t="shared" si="2"/>
        <v>15.848559966660831</v>
      </c>
      <c r="L24" s="172">
        <f t="shared" si="3"/>
        <v>73.571874983280878</v>
      </c>
      <c r="M24" s="443"/>
      <c r="N24" s="217">
        <f t="shared" si="4"/>
        <v>0.21541601284814879</v>
      </c>
      <c r="O24" s="172">
        <f t="shared" si="94"/>
        <v>306.77285450471948</v>
      </c>
      <c r="P24" s="172">
        <f t="shared" si="5"/>
        <v>4.1448421230859873</v>
      </c>
      <c r="Q24" s="217">
        <f t="shared" si="6"/>
        <v>20.451523633647966</v>
      </c>
      <c r="R24" s="217">
        <f t="shared" si="7"/>
        <v>38.346606813089934</v>
      </c>
      <c r="S24" s="443">
        <f t="shared" si="8"/>
        <v>15</v>
      </c>
      <c r="T24" s="217">
        <f t="shared" si="9"/>
        <v>4.6451306857011279</v>
      </c>
      <c r="U24" s="217">
        <f t="shared" si="10"/>
        <v>0.96566817433066843</v>
      </c>
      <c r="V24" s="217">
        <f t="shared" si="11"/>
        <v>3.5171377302210409</v>
      </c>
      <c r="W24" s="197">
        <f t="shared" si="12"/>
        <v>103.62105307714972</v>
      </c>
      <c r="X24" s="443">
        <f t="shared" si="95"/>
        <v>213.54718098138454</v>
      </c>
      <c r="Z24" s="217">
        <f t="shared" si="13"/>
        <v>10</v>
      </c>
      <c r="AA24" s="173">
        <f t="shared" si="14"/>
        <v>7.5716658328853255</v>
      </c>
      <c r="AB24" s="173">
        <f t="shared" si="15"/>
        <v>3.922919935759257</v>
      </c>
      <c r="AC24" s="173"/>
      <c r="AD24" s="173">
        <f t="shared" si="16"/>
        <v>7.5716658328853255</v>
      </c>
      <c r="AE24" s="545">
        <f t="shared" si="17"/>
        <v>50.187106561092627</v>
      </c>
      <c r="AF24" s="528">
        <f t="shared" si="18"/>
        <v>3.922919935759257</v>
      </c>
      <c r="AH24" s="173">
        <f t="shared" si="19"/>
        <v>3.7084202772044259</v>
      </c>
      <c r="AI24" s="173">
        <f t="shared" si="20"/>
        <v>10</v>
      </c>
      <c r="AJ24" s="173">
        <f t="shared" si="21"/>
        <v>1.0286783466063387</v>
      </c>
      <c r="AL24" s="545">
        <f t="shared" si="22"/>
        <v>1900</v>
      </c>
      <c r="AM24" s="460">
        <f t="shared" si="23"/>
        <v>50.187106561092627</v>
      </c>
      <c r="AO24">
        <f t="shared" si="96"/>
        <v>1900</v>
      </c>
      <c r="AP24" s="460">
        <f t="shared" si="24"/>
        <v>50.187106561092627</v>
      </c>
      <c r="AQ24" s="460"/>
      <c r="AR24" s="5">
        <f t="shared" si="97"/>
        <v>19.925436402329805</v>
      </c>
      <c r="AS24" s="5">
        <f t="shared" si="25"/>
        <v>2.0788826831142475</v>
      </c>
      <c r="AT24" s="5">
        <f t="shared" si="98"/>
        <v>17.846553719215557</v>
      </c>
      <c r="AU24" s="173">
        <f t="shared" si="99"/>
        <v>0.10433310674546489</v>
      </c>
      <c r="AW24" s="5">
        <f t="shared" si="26"/>
        <v>26.332513986113799</v>
      </c>
      <c r="AX24" s="5">
        <f t="shared" si="27"/>
        <v>1.2343365930990846</v>
      </c>
      <c r="AY24" s="5">
        <f t="shared" si="28"/>
        <v>3.0384350781153548</v>
      </c>
      <c r="AZ24" s="5"/>
      <c r="BA24" s="173">
        <f t="shared" si="100"/>
        <v>1.8648780723813636</v>
      </c>
      <c r="BB24" s="173">
        <f t="shared" si="29"/>
        <v>5.4640244425226081</v>
      </c>
      <c r="BC24" s="173">
        <f t="shared" si="30"/>
        <v>0.13456499411389014</v>
      </c>
      <c r="BD24" s="173"/>
      <c r="BE24" s="528">
        <f t="shared" si="31"/>
        <v>6.95554044969766E-2</v>
      </c>
      <c r="BF24" s="528">
        <f t="shared" si="32"/>
        <v>0.69231741181599415</v>
      </c>
      <c r="BG24" s="528">
        <f t="shared" si="33"/>
        <v>7.2424154044965702E-2</v>
      </c>
      <c r="BH24" s="528">
        <f t="shared" si="34"/>
        <v>2.7165381371133286E-2</v>
      </c>
      <c r="BI24">
        <f t="shared" si="35"/>
        <v>2.5975491757479017E-2</v>
      </c>
      <c r="BJ24" s="460">
        <f t="shared" si="101"/>
        <v>98.399645802444709</v>
      </c>
      <c r="BK24">
        <f t="shared" si="36"/>
        <v>0.82139279327605053</v>
      </c>
      <c r="BL24" s="460">
        <f t="shared" si="102"/>
        <v>821.3927932760505</v>
      </c>
      <c r="BM24" s="173">
        <f t="shared" si="37"/>
        <v>1.1803749999999997</v>
      </c>
      <c r="BN24" s="173">
        <f t="shared" si="38"/>
        <v>2.1078125E-2</v>
      </c>
      <c r="BO24" s="528"/>
      <c r="BQ24" s="460">
        <f t="shared" si="103"/>
        <v>1201.4531249999998</v>
      </c>
      <c r="BR24" s="528">
        <f t="shared" si="39"/>
        <v>0.10433310674546491</v>
      </c>
      <c r="BS24" s="528">
        <f t="shared" si="104"/>
        <v>0.89566689325453497</v>
      </c>
      <c r="BT24" s="528">
        <f t="shared" si="40"/>
        <v>9.0538688204356451E-5</v>
      </c>
      <c r="BU24" s="528">
        <f t="shared" si="41"/>
        <v>0.28213073440427994</v>
      </c>
      <c r="BV24" s="528">
        <f t="shared" si="42"/>
        <v>1.6546249858518569</v>
      </c>
      <c r="BW24" s="625">
        <f t="shared" si="43"/>
        <v>5.0187106561092633E-3</v>
      </c>
      <c r="BX24" s="460">
        <f t="shared" si="105"/>
        <v>1659.6436965079661</v>
      </c>
      <c r="BY24" s="173">
        <f t="shared" si="106"/>
        <v>3.6824896147840165</v>
      </c>
      <c r="BZ24" s="5">
        <f t="shared" si="107"/>
        <v>28.88</v>
      </c>
      <c r="CA24" s="173">
        <f t="shared" si="108"/>
        <v>0.88691007173136749</v>
      </c>
      <c r="CB24" s="5">
        <f t="shared" si="109"/>
        <v>88.691007173136754</v>
      </c>
      <c r="CC24">
        <f t="shared" si="110"/>
        <v>19</v>
      </c>
      <c r="CE24" s="562">
        <f t="shared" si="44"/>
        <v>-50</v>
      </c>
      <c r="CF24">
        <f t="shared" si="45"/>
        <v>-50</v>
      </c>
      <c r="CG24" s="173">
        <f t="shared" si="46"/>
        <v>0.38368344636299728</v>
      </c>
      <c r="CH24" s="173">
        <f t="shared" si="47"/>
        <v>4.4209259196757805E-2</v>
      </c>
      <c r="CI24" s="170">
        <v>19</v>
      </c>
      <c r="CJ24" s="217">
        <f t="shared" si="133"/>
        <v>1.9</v>
      </c>
      <c r="CK24" s="217">
        <f t="shared" si="111"/>
        <v>4.7500000000000001E-2</v>
      </c>
      <c r="CL24" s="217">
        <f t="shared" si="48"/>
        <v>28.5</v>
      </c>
      <c r="CM24" s="217">
        <f t="shared" si="134"/>
        <v>0.38</v>
      </c>
      <c r="CN24" s="541">
        <f t="shared" si="112"/>
        <v>58</v>
      </c>
      <c r="CO24" s="443">
        <f t="shared" si="49"/>
        <v>15.7</v>
      </c>
      <c r="CP24" s="443">
        <f t="shared" si="50"/>
        <v>73.7</v>
      </c>
      <c r="CQ24" s="443"/>
      <c r="CR24" s="217">
        <f t="shared" si="113"/>
        <v>0.2098092643051771</v>
      </c>
      <c r="CS24" s="172">
        <f t="shared" si="114"/>
        <v>300.22049333142121</v>
      </c>
      <c r="CT24" s="172">
        <f t="shared" si="51"/>
        <v>4.0563124432334243</v>
      </c>
      <c r="CU24" s="217">
        <f t="shared" si="52"/>
        <v>20.014699555428081</v>
      </c>
      <c r="CV24" s="217">
        <f t="shared" si="53"/>
        <v>37.527561666427651</v>
      </c>
      <c r="CW24" s="443">
        <f t="shared" si="54"/>
        <v>15</v>
      </c>
      <c r="CX24" s="217">
        <f t="shared" si="55"/>
        <v>4.7465114196148681</v>
      </c>
      <c r="CY24" s="217">
        <f t="shared" si="56"/>
        <v>0.98203684543755898</v>
      </c>
      <c r="CZ24" s="217">
        <f t="shared" si="57"/>
        <v>3.6279068175400266</v>
      </c>
      <c r="DA24" s="197">
        <f t="shared" si="58"/>
        <v>102.962460425147</v>
      </c>
      <c r="DB24" s="443">
        <f t="shared" si="115"/>
        <v>216.92239062073375</v>
      </c>
      <c r="DD24" s="217">
        <f t="shared" si="59"/>
        <v>10</v>
      </c>
      <c r="DE24" s="173">
        <f t="shared" si="60"/>
        <v>7.6433121019108281</v>
      </c>
      <c r="DF24" s="173">
        <f t="shared" si="61"/>
        <v>3.9348710990502043</v>
      </c>
      <c r="DG24" s="173"/>
      <c r="DH24" s="173">
        <f t="shared" si="62"/>
        <v>7.6433121019108281</v>
      </c>
      <c r="DI24" s="545">
        <f t="shared" si="63"/>
        <v>49.716666666666669</v>
      </c>
      <c r="DJ24" s="528">
        <f t="shared" si="64"/>
        <v>3.9348710990502034</v>
      </c>
      <c r="DL24" s="173">
        <f t="shared" si="65"/>
        <v>3.7084202772044259</v>
      </c>
      <c r="DM24" s="173">
        <f t="shared" si="66"/>
        <v>10</v>
      </c>
      <c r="DN24" s="173">
        <f t="shared" si="67"/>
        <v>1.0284095238095239</v>
      </c>
      <c r="DP24" s="545">
        <f t="shared" si="68"/>
        <v>1900</v>
      </c>
      <c r="DQ24" s="460">
        <f t="shared" si="69"/>
        <v>49.716666666666669</v>
      </c>
      <c r="DS24">
        <f t="shared" si="116"/>
        <v>1900</v>
      </c>
      <c r="DT24" s="460">
        <f t="shared" si="70"/>
        <v>49.716666666666669</v>
      </c>
      <c r="DU24" s="460"/>
      <c r="DV24" s="5">
        <f t="shared" si="117"/>
        <v>20.11397921555481</v>
      </c>
      <c r="DW24" s="5">
        <f t="shared" si="71"/>
        <v>2.068965517241379</v>
      </c>
      <c r="DX24" s="5">
        <f t="shared" si="118"/>
        <v>18.045013698313433</v>
      </c>
      <c r="DY24" s="173">
        <f t="shared" si="119"/>
        <v>0.10286206896551722</v>
      </c>
      <c r="EA24" s="5">
        <f t="shared" si="72"/>
        <v>26.206896551724135</v>
      </c>
      <c r="EB24" s="5">
        <f t="shared" si="73"/>
        <v>1.228448275862069</v>
      </c>
      <c r="EC24" s="5">
        <f t="shared" si="74"/>
        <v>3.0575677193931794</v>
      </c>
      <c r="ED24" s="5"/>
      <c r="EE24" s="173">
        <f t="shared" si="120"/>
        <v>1.8516845390573167</v>
      </c>
      <c r="EF24" s="173">
        <f t="shared" si="75"/>
        <v>5.4685096416802104</v>
      </c>
      <c r="EG24" s="173">
        <f t="shared" si="76"/>
        <v>0.13467545313628126</v>
      </c>
      <c r="EH24" s="173"/>
      <c r="EI24" s="528">
        <f t="shared" si="77"/>
        <v>6.8574712643678148E-2</v>
      </c>
      <c r="EJ24" s="528">
        <f t="shared" si="78"/>
        <v>0.73282366666666676</v>
      </c>
      <c r="EK24" s="528">
        <f t="shared" si="79"/>
        <v>6.2145833333333332E-3</v>
      </c>
      <c r="EL24" s="528">
        <f t="shared" si="80"/>
        <v>2.700455211666667E-2</v>
      </c>
      <c r="EM24">
        <f t="shared" si="81"/>
        <v>2.6099999999999998E-2</v>
      </c>
      <c r="EN24" s="460">
        <f t="shared" si="121"/>
        <v>32.314583333333331</v>
      </c>
      <c r="EO24">
        <f t="shared" si="82"/>
        <v>0.89379561347396097</v>
      </c>
      <c r="EP24" s="460">
        <f t="shared" si="122"/>
        <v>893.795613473961</v>
      </c>
      <c r="EQ24" s="173">
        <f t="shared" si="83"/>
        <v>1.1803749999999997</v>
      </c>
      <c r="ER24" s="173">
        <f t="shared" si="84"/>
        <v>2.1078125E-2</v>
      </c>
      <c r="ES24" s="528"/>
      <c r="EU24" s="460">
        <f t="shared" si="123"/>
        <v>1201.4531249999998</v>
      </c>
      <c r="EV24" s="528">
        <f t="shared" si="85"/>
        <v>0.10286206896551721</v>
      </c>
      <c r="EW24" s="528">
        <f t="shared" si="124"/>
        <v>0.89713793103448269</v>
      </c>
      <c r="EX24" s="528">
        <f t="shared" si="86"/>
        <v>9.0687388387313461E-5</v>
      </c>
      <c r="EY24" s="528">
        <f t="shared" si="87"/>
        <v>0.27556560631299815</v>
      </c>
      <c r="EZ24" s="528">
        <f t="shared" si="88"/>
        <v>1.6474891426017582</v>
      </c>
      <c r="FA24" s="625">
        <f t="shared" si="89"/>
        <v>4.9716666666666676E-3</v>
      </c>
      <c r="FB24" s="460">
        <f t="shared" si="125"/>
        <v>1652.4608092684248</v>
      </c>
      <c r="FC24" s="173">
        <f t="shared" si="126"/>
        <v>3.7477095477423852</v>
      </c>
      <c r="FD24" s="5">
        <f t="shared" si="127"/>
        <v>28.88</v>
      </c>
      <c r="FE24" s="173">
        <f t="shared" si="128"/>
        <v>0.88513721619782837</v>
      </c>
      <c r="FF24" s="5">
        <f t="shared" si="129"/>
        <v>88.513721619782842</v>
      </c>
      <c r="FG24">
        <f t="shared" si="130"/>
        <v>19</v>
      </c>
      <c r="FI24" s="562">
        <f t="shared" si="90"/>
        <v>-50</v>
      </c>
      <c r="FJ24">
        <f t="shared" si="91"/>
        <v>-50</v>
      </c>
      <c r="FL24">
        <f t="shared" si="92"/>
        <v>0.38368344636299728</v>
      </c>
    </row>
    <row r="25" spans="5:168">
      <c r="E25" s="170">
        <v>20</v>
      </c>
      <c r="F25" s="217">
        <f t="shared" si="131"/>
        <v>2</v>
      </c>
      <c r="G25" s="217">
        <f t="shared" si="93"/>
        <v>0.05</v>
      </c>
      <c r="H25" s="217">
        <f t="shared" si="0"/>
        <v>30</v>
      </c>
      <c r="I25" s="217">
        <f t="shared" si="132"/>
        <v>0.4</v>
      </c>
      <c r="J25" s="541">
        <f t="shared" si="1"/>
        <v>57.723315016620042</v>
      </c>
      <c r="K25" s="443">
        <f t="shared" si="2"/>
        <v>15.848559966660831</v>
      </c>
      <c r="L25" s="172">
        <f t="shared" si="3"/>
        <v>73.571874983280878</v>
      </c>
      <c r="M25" s="443"/>
      <c r="N25" s="217">
        <f t="shared" si="4"/>
        <v>0.21541601284814879</v>
      </c>
      <c r="O25" s="172">
        <f t="shared" si="94"/>
        <v>306.77285450471948</v>
      </c>
      <c r="P25" s="172">
        <f t="shared" si="5"/>
        <v>4.1448421230859873</v>
      </c>
      <c r="Q25" s="217">
        <f t="shared" si="6"/>
        <v>20.451523633647966</v>
      </c>
      <c r="R25" s="217">
        <f t="shared" si="7"/>
        <v>38.346606813089934</v>
      </c>
      <c r="S25" s="443">
        <f t="shared" si="8"/>
        <v>15</v>
      </c>
      <c r="T25" s="217">
        <f t="shared" si="9"/>
        <v>4.8896112481064504</v>
      </c>
      <c r="U25" s="217">
        <f t="shared" si="10"/>
        <v>1.0164928150849142</v>
      </c>
      <c r="V25" s="217">
        <f t="shared" si="11"/>
        <v>3.702250242337938</v>
      </c>
      <c r="W25" s="197">
        <f t="shared" si="12"/>
        <v>103.62105307714972</v>
      </c>
      <c r="X25" s="443">
        <f t="shared" si="95"/>
        <v>203.30397183298783</v>
      </c>
      <c r="Z25" s="217">
        <f t="shared" si="13"/>
        <v>10</v>
      </c>
      <c r="AA25" s="173">
        <f t="shared" si="14"/>
        <v>7.5716658328853255</v>
      </c>
      <c r="AB25" s="173">
        <f t="shared" si="15"/>
        <v>3.922919935759257</v>
      </c>
      <c r="AC25" s="173"/>
      <c r="AD25" s="173">
        <f t="shared" si="16"/>
        <v>7.5716658328853255</v>
      </c>
      <c r="AE25" s="545">
        <f t="shared" si="17"/>
        <v>52.828533222202765</v>
      </c>
      <c r="AF25" s="528">
        <f t="shared" si="18"/>
        <v>3.922919935759257</v>
      </c>
      <c r="AH25" s="173">
        <f t="shared" si="19"/>
        <v>3.804758924845367</v>
      </c>
      <c r="AI25" s="173">
        <f t="shared" si="20"/>
        <v>10</v>
      </c>
      <c r="AJ25" s="173">
        <f t="shared" si="21"/>
        <v>1.0301877332698302</v>
      </c>
      <c r="AL25" s="545">
        <f t="shared" si="22"/>
        <v>2000</v>
      </c>
      <c r="AM25" s="460">
        <f t="shared" si="23"/>
        <v>52.828533222202765</v>
      </c>
      <c r="AO25">
        <f t="shared" si="96"/>
        <v>2000</v>
      </c>
      <c r="AP25" s="460">
        <f t="shared" si="24"/>
        <v>52.828533222202765</v>
      </c>
      <c r="AQ25" s="460"/>
      <c r="AR25" s="5">
        <f t="shared" si="97"/>
        <v>18.929164582213314</v>
      </c>
      <c r="AS25" s="5">
        <f t="shared" si="25"/>
        <v>2.0788826831142475</v>
      </c>
      <c r="AT25" s="5">
        <f t="shared" si="98"/>
        <v>16.850281899099066</v>
      </c>
      <c r="AU25" s="173">
        <f t="shared" si="99"/>
        <v>0.10982432288996305</v>
      </c>
      <c r="AW25" s="5">
        <f t="shared" si="26"/>
        <v>27.718435774856633</v>
      </c>
      <c r="AX25" s="5">
        <f t="shared" si="27"/>
        <v>1.2993016769464047</v>
      </c>
      <c r="AY25" s="5">
        <f t="shared" si="28"/>
        <v>3.0198068315198703</v>
      </c>
      <c r="AZ25" s="5"/>
      <c r="BA25" s="173">
        <f t="shared" si="100"/>
        <v>1.9133245315415701</v>
      </c>
      <c r="BB25" s="173">
        <f t="shared" si="29"/>
        <v>5.447249082824702</v>
      </c>
      <c r="BC25" s="173">
        <f t="shared" si="30"/>
        <v>0.13415185976525151</v>
      </c>
      <c r="BD25" s="173"/>
      <c r="BE25" s="528">
        <f t="shared" si="31"/>
        <v>7.3216215259975376E-2</v>
      </c>
      <c r="BF25" s="528">
        <f t="shared" si="32"/>
        <v>0.72875517033262538</v>
      </c>
      <c r="BG25" s="528">
        <f t="shared" si="33"/>
        <v>7.6235951626279691E-2</v>
      </c>
      <c r="BH25" s="528">
        <f t="shared" si="34"/>
        <v>2.859513828540346E-2</v>
      </c>
      <c r="BI25">
        <f t="shared" si="35"/>
        <v>2.5975491757479017E-2</v>
      </c>
      <c r="BJ25" s="460">
        <f t="shared" si="101"/>
        <v>102.21144338375871</v>
      </c>
      <c r="BK25">
        <f t="shared" si="36"/>
        <v>0.86538936488203777</v>
      </c>
      <c r="BL25" s="460">
        <f t="shared" si="102"/>
        <v>865.38936488203774</v>
      </c>
      <c r="BM25" s="173">
        <f t="shared" si="37"/>
        <v>1.2424999999999999</v>
      </c>
      <c r="BN25" s="173">
        <f t="shared" si="38"/>
        <v>2.2187499999999999E-2</v>
      </c>
      <c r="BO25" s="528"/>
      <c r="BQ25" s="460">
        <f t="shared" si="103"/>
        <v>1264.6875</v>
      </c>
      <c r="BR25" s="528">
        <f t="shared" si="39"/>
        <v>0.10982432288996306</v>
      </c>
      <c r="BS25" s="528">
        <f t="shared" si="104"/>
        <v>0.89017567711003664</v>
      </c>
      <c r="BT25" s="528">
        <f t="shared" si="40"/>
        <v>8.9983607392378536E-5</v>
      </c>
      <c r="BU25" s="528">
        <f t="shared" si="41"/>
        <v>0.3207313306999201</v>
      </c>
      <c r="BV25" s="528">
        <f t="shared" si="42"/>
        <v>1.6965816560174976</v>
      </c>
      <c r="BW25" s="625">
        <f t="shared" si="43"/>
        <v>5.2828533222202762E-3</v>
      </c>
      <c r="BX25" s="460">
        <f t="shared" si="105"/>
        <v>1701.8645093397179</v>
      </c>
      <c r="BY25" s="173">
        <f t="shared" si="106"/>
        <v>3.8319413742217554</v>
      </c>
      <c r="BZ25" s="5">
        <f t="shared" si="107"/>
        <v>30.4</v>
      </c>
      <c r="CA25" s="173">
        <f t="shared" si="108"/>
        <v>0.8880594783587884</v>
      </c>
      <c r="CB25" s="5">
        <f t="shared" si="109"/>
        <v>88.80594783587884</v>
      </c>
      <c r="CC25">
        <f t="shared" si="110"/>
        <v>20</v>
      </c>
      <c r="CE25" s="562">
        <f t="shared" si="44"/>
        <v>-50</v>
      </c>
      <c r="CF25">
        <f t="shared" si="45"/>
        <v>-50</v>
      </c>
      <c r="CG25" s="173">
        <f t="shared" si="46"/>
        <v>0.40387731196104976</v>
      </c>
      <c r="CH25" s="173">
        <f t="shared" si="47"/>
        <v>4.6536062312376641E-2</v>
      </c>
      <c r="CI25" s="170">
        <v>20</v>
      </c>
      <c r="CJ25" s="217">
        <f t="shared" si="133"/>
        <v>2</v>
      </c>
      <c r="CK25" s="217">
        <f t="shared" si="111"/>
        <v>0.05</v>
      </c>
      <c r="CL25" s="217">
        <f t="shared" si="48"/>
        <v>30</v>
      </c>
      <c r="CM25" s="217">
        <f t="shared" si="134"/>
        <v>0.4</v>
      </c>
      <c r="CN25" s="541">
        <f t="shared" si="112"/>
        <v>58</v>
      </c>
      <c r="CO25" s="443">
        <f t="shared" si="49"/>
        <v>15.7</v>
      </c>
      <c r="CP25" s="443">
        <f t="shared" si="50"/>
        <v>73.7</v>
      </c>
      <c r="CQ25" s="443"/>
      <c r="CR25" s="217">
        <f t="shared" si="113"/>
        <v>0.2098092643051771</v>
      </c>
      <c r="CS25" s="172">
        <f t="shared" si="114"/>
        <v>300.22049333142121</v>
      </c>
      <c r="CT25" s="172">
        <f t="shared" si="51"/>
        <v>4.0563124432334243</v>
      </c>
      <c r="CU25" s="217">
        <f t="shared" si="52"/>
        <v>20.014699555428081</v>
      </c>
      <c r="CV25" s="217">
        <f t="shared" si="53"/>
        <v>37.527561666427651</v>
      </c>
      <c r="CW25" s="443">
        <f t="shared" si="54"/>
        <v>15</v>
      </c>
      <c r="CX25" s="217">
        <f t="shared" si="55"/>
        <v>4.9963278101209134</v>
      </c>
      <c r="CY25" s="217">
        <f t="shared" si="56"/>
        <v>1.0337229951974305</v>
      </c>
      <c r="CZ25" s="217">
        <f t="shared" si="57"/>
        <v>3.8188492816210813</v>
      </c>
      <c r="DA25" s="197">
        <f t="shared" si="58"/>
        <v>102.962460425147</v>
      </c>
      <c r="DB25" s="443">
        <f t="shared" si="115"/>
        <v>206.07627108969703</v>
      </c>
      <c r="DD25" s="217">
        <f t="shared" si="59"/>
        <v>10</v>
      </c>
      <c r="DE25" s="173">
        <f t="shared" si="60"/>
        <v>7.6433121019108281</v>
      </c>
      <c r="DF25" s="173">
        <f t="shared" si="61"/>
        <v>3.9348710990502043</v>
      </c>
      <c r="DG25" s="173"/>
      <c r="DH25" s="173">
        <f t="shared" si="62"/>
        <v>7.6433121019108281</v>
      </c>
      <c r="DI25" s="545">
        <f t="shared" si="63"/>
        <v>52.333333333333336</v>
      </c>
      <c r="DJ25" s="528">
        <f t="shared" si="64"/>
        <v>3.9348710990502034</v>
      </c>
      <c r="DL25" s="173">
        <f t="shared" si="65"/>
        <v>3.804758924845367</v>
      </c>
      <c r="DM25" s="173">
        <f t="shared" si="66"/>
        <v>10</v>
      </c>
      <c r="DN25" s="173">
        <f t="shared" si="67"/>
        <v>1.0299047619047619</v>
      </c>
      <c r="DP25" s="545">
        <f t="shared" si="68"/>
        <v>2000</v>
      </c>
      <c r="DQ25" s="460">
        <f t="shared" si="69"/>
        <v>52.333333333333336</v>
      </c>
      <c r="DS25">
        <f t="shared" si="116"/>
        <v>2000</v>
      </c>
      <c r="DT25" s="460">
        <f t="shared" si="70"/>
        <v>52.333333333333336</v>
      </c>
      <c r="DU25" s="460"/>
      <c r="DV25" s="5">
        <f t="shared" si="117"/>
        <v>19.108280254777068</v>
      </c>
      <c r="DW25" s="5">
        <f t="shared" si="71"/>
        <v>2.068965517241379</v>
      </c>
      <c r="DX25" s="5">
        <f t="shared" si="118"/>
        <v>17.03931473753569</v>
      </c>
      <c r="DY25" s="173">
        <f t="shared" si="119"/>
        <v>0.10827586206896551</v>
      </c>
      <c r="EA25" s="5">
        <f t="shared" si="72"/>
        <v>27.586206896551719</v>
      </c>
      <c r="EB25" s="5">
        <f t="shared" si="73"/>
        <v>1.2931034482758619</v>
      </c>
      <c r="EC25" s="5">
        <f t="shared" si="74"/>
        <v>3.0391167783951882</v>
      </c>
      <c r="ED25" s="5"/>
      <c r="EE25" s="173">
        <f t="shared" si="120"/>
        <v>1.8997882519635838</v>
      </c>
      <c r="EF25" s="173">
        <f t="shared" si="75"/>
        <v>5.4519847698828441</v>
      </c>
      <c r="EG25" s="173">
        <f t="shared" si="76"/>
        <v>0.13426848766613436</v>
      </c>
      <c r="EH25" s="173"/>
      <c r="EI25" s="528">
        <f t="shared" si="77"/>
        <v>7.2183908045976991E-2</v>
      </c>
      <c r="EJ25" s="528">
        <f t="shared" si="78"/>
        <v>0.77139333333333349</v>
      </c>
      <c r="EK25" s="528">
        <f t="shared" si="79"/>
        <v>6.541666666666667E-3</v>
      </c>
      <c r="EL25" s="528">
        <f t="shared" si="80"/>
        <v>2.8425844333333335E-2</v>
      </c>
      <c r="EM25">
        <f t="shared" si="81"/>
        <v>2.6099999999999998E-2</v>
      </c>
      <c r="EN25" s="460">
        <f t="shared" si="121"/>
        <v>32.641666666666666</v>
      </c>
      <c r="EO25">
        <f t="shared" si="82"/>
        <v>0.94026072192511123</v>
      </c>
      <c r="EP25" s="460">
        <f t="shared" si="122"/>
        <v>940.26072192511128</v>
      </c>
      <c r="EQ25" s="173">
        <f t="shared" si="83"/>
        <v>1.2424999999999999</v>
      </c>
      <c r="ER25" s="173">
        <f t="shared" si="84"/>
        <v>2.2187499999999999E-2</v>
      </c>
      <c r="ES25" s="528"/>
      <c r="EU25" s="460">
        <f t="shared" si="123"/>
        <v>1264.6875</v>
      </c>
      <c r="EV25" s="528">
        <f t="shared" si="85"/>
        <v>0.10827586206896549</v>
      </c>
      <c r="EW25" s="528">
        <f t="shared" si="124"/>
        <v>0.89172413793103456</v>
      </c>
      <c r="EX25" s="528">
        <f t="shared" si="86"/>
        <v>9.0140133900754363E-5</v>
      </c>
      <c r="EY25" s="528">
        <f t="shared" si="87"/>
        <v>0.31326797413446666</v>
      </c>
      <c r="EZ25" s="528">
        <f t="shared" si="88"/>
        <v>1.6884694824018718</v>
      </c>
      <c r="FA25" s="625">
        <f t="shared" si="89"/>
        <v>5.2333333333333338E-3</v>
      </c>
      <c r="FB25" s="460">
        <f t="shared" si="125"/>
        <v>1693.7028157352051</v>
      </c>
      <c r="FC25" s="173">
        <f t="shared" si="126"/>
        <v>3.8986510376603163</v>
      </c>
      <c r="FD25" s="5">
        <f t="shared" si="127"/>
        <v>30.4</v>
      </c>
      <c r="FE25" s="173">
        <f t="shared" si="128"/>
        <v>0.88633223407592465</v>
      </c>
      <c r="FF25" s="5">
        <f t="shared" si="129"/>
        <v>88.633223407592467</v>
      </c>
      <c r="FG25">
        <f t="shared" si="130"/>
        <v>20</v>
      </c>
      <c r="FI25" s="562">
        <f t="shared" si="90"/>
        <v>-50</v>
      </c>
      <c r="FJ25">
        <f t="shared" si="91"/>
        <v>-50</v>
      </c>
      <c r="FL25">
        <f t="shared" si="92"/>
        <v>0.40387731196104976</v>
      </c>
    </row>
    <row r="26" spans="5:168">
      <c r="E26" s="170">
        <v>21</v>
      </c>
      <c r="F26" s="217">
        <f t="shared" si="131"/>
        <v>2.1</v>
      </c>
      <c r="G26" s="217">
        <f t="shared" si="93"/>
        <v>5.2499999999999998E-2</v>
      </c>
      <c r="H26" s="217">
        <f t="shared" si="0"/>
        <v>31.5</v>
      </c>
      <c r="I26" s="217">
        <f t="shared" si="132"/>
        <v>0.42</v>
      </c>
      <c r="J26" s="541">
        <f t="shared" si="1"/>
        <v>57.723315016620042</v>
      </c>
      <c r="K26" s="443">
        <f t="shared" si="2"/>
        <v>15.848559966660831</v>
      </c>
      <c r="L26" s="172">
        <f t="shared" si="3"/>
        <v>73.571874983280878</v>
      </c>
      <c r="M26" s="443"/>
      <c r="N26" s="217">
        <f t="shared" si="4"/>
        <v>0.21541601284814879</v>
      </c>
      <c r="O26" s="172">
        <f t="shared" si="94"/>
        <v>306.77285450471948</v>
      </c>
      <c r="P26" s="172">
        <f t="shared" si="5"/>
        <v>4.1448421230859873</v>
      </c>
      <c r="Q26" s="217">
        <f t="shared" si="6"/>
        <v>20.451523633647966</v>
      </c>
      <c r="R26" s="217">
        <f t="shared" si="7"/>
        <v>38.346606813089934</v>
      </c>
      <c r="S26" s="443">
        <f t="shared" si="8"/>
        <v>15</v>
      </c>
      <c r="T26" s="217">
        <f t="shared" si="9"/>
        <v>5.1340918105117739</v>
      </c>
      <c r="U26" s="217">
        <f t="shared" si="10"/>
        <v>1.06731745583916</v>
      </c>
      <c r="V26" s="217">
        <f t="shared" si="11"/>
        <v>3.8873627544548359</v>
      </c>
      <c r="W26" s="197">
        <f t="shared" si="12"/>
        <v>103.62105307714972</v>
      </c>
      <c r="X26" s="443">
        <f t="shared" si="95"/>
        <v>193.99845561766969</v>
      </c>
      <c r="Z26" s="217">
        <f t="shared" si="13"/>
        <v>10</v>
      </c>
      <c r="AA26" s="173">
        <f t="shared" si="14"/>
        <v>7.5716658328853255</v>
      </c>
      <c r="AB26" s="173">
        <f t="shared" si="15"/>
        <v>3.922919935759257</v>
      </c>
      <c r="AC26" s="173"/>
      <c r="AD26" s="173">
        <f t="shared" si="16"/>
        <v>7.5716658328853255</v>
      </c>
      <c r="AE26" s="545">
        <f t="shared" si="17"/>
        <v>55.469959883312903</v>
      </c>
      <c r="AF26" s="528">
        <f t="shared" si="18"/>
        <v>3.922919935759257</v>
      </c>
      <c r="AH26" s="173">
        <f t="shared" si="19"/>
        <v>3.8987177379235853</v>
      </c>
      <c r="AI26" s="173">
        <f t="shared" si="20"/>
        <v>10</v>
      </c>
      <c r="AJ26" s="173">
        <f t="shared" si="21"/>
        <v>1.0316971199333216</v>
      </c>
      <c r="AL26" s="545">
        <f t="shared" si="22"/>
        <v>2100</v>
      </c>
      <c r="AM26" s="460">
        <f t="shared" si="23"/>
        <v>55.469959883312903</v>
      </c>
      <c r="AO26">
        <f t="shared" si="96"/>
        <v>2100</v>
      </c>
      <c r="AP26" s="460">
        <f t="shared" si="24"/>
        <v>55.469959883312903</v>
      </c>
      <c r="AQ26" s="460"/>
      <c r="AR26" s="5">
        <f t="shared" si="97"/>
        <v>18.027775792584109</v>
      </c>
      <c r="AS26" s="5">
        <f t="shared" si="25"/>
        <v>2.0788826831142475</v>
      </c>
      <c r="AT26" s="5">
        <f t="shared" si="98"/>
        <v>15.948893109469861</v>
      </c>
      <c r="AU26" s="173">
        <f t="shared" si="99"/>
        <v>0.11531553903446121</v>
      </c>
      <c r="AW26" s="5">
        <f t="shared" si="26"/>
        <v>29.104357563599468</v>
      </c>
      <c r="AX26" s="5">
        <f t="shared" si="27"/>
        <v>1.3642667607937247</v>
      </c>
      <c r="AY26" s="5">
        <f t="shared" si="28"/>
        <v>3.0011785849243862</v>
      </c>
      <c r="AZ26" s="5"/>
      <c r="BA26" s="173">
        <f t="shared" si="100"/>
        <v>1.9605742274009179</v>
      </c>
      <c r="BB26" s="173">
        <f t="shared" si="29"/>
        <v>5.4304219018585131</v>
      </c>
      <c r="BC26" s="173">
        <f t="shared" si="30"/>
        <v>0.1337374491908685</v>
      </c>
      <c r="BD26" s="173"/>
      <c r="BE26" s="528">
        <f t="shared" si="31"/>
        <v>7.6877026022974124E-2</v>
      </c>
      <c r="BF26" s="528">
        <f t="shared" si="32"/>
        <v>0.76519292884925671</v>
      </c>
      <c r="BG26" s="528">
        <f t="shared" si="33"/>
        <v>8.0047749207593666E-2</v>
      </c>
      <c r="BH26" s="528">
        <f t="shared" si="34"/>
        <v>3.0024895199673631E-2</v>
      </c>
      <c r="BI26">
        <f t="shared" si="35"/>
        <v>2.5975491757479017E-2</v>
      </c>
      <c r="BJ26" s="460">
        <f t="shared" si="101"/>
        <v>106.02324096507267</v>
      </c>
      <c r="BK26">
        <f t="shared" si="36"/>
        <v>0.90946389772247016</v>
      </c>
      <c r="BL26" s="460">
        <f t="shared" si="102"/>
        <v>909.46389772247016</v>
      </c>
      <c r="BM26" s="173">
        <f t="shared" si="37"/>
        <v>1.3046249999999999</v>
      </c>
      <c r="BN26" s="173">
        <f t="shared" si="38"/>
        <v>2.3296874999999998E-2</v>
      </c>
      <c r="BO26" s="528"/>
      <c r="BQ26" s="460">
        <f t="shared" si="103"/>
        <v>1327.921875</v>
      </c>
      <c r="BR26" s="528">
        <f t="shared" si="39"/>
        <v>0.11531553903446118</v>
      </c>
      <c r="BS26" s="528">
        <f t="shared" si="104"/>
        <v>0.88468446096553899</v>
      </c>
      <c r="BT26" s="528">
        <f t="shared" si="40"/>
        <v>8.9428526580400661E-5</v>
      </c>
      <c r="BU26" s="528">
        <f t="shared" si="41"/>
        <v>0.36233862656480181</v>
      </c>
      <c r="BV26" s="528">
        <f t="shared" si="42"/>
        <v>1.7418064992531164</v>
      </c>
      <c r="BW26" s="625">
        <f t="shared" si="43"/>
        <v>5.5469959883312908E-3</v>
      </c>
      <c r="BX26" s="460">
        <f t="shared" si="105"/>
        <v>1747.3534952414475</v>
      </c>
      <c r="BY26" s="173">
        <f t="shared" si="106"/>
        <v>3.9847392679639175</v>
      </c>
      <c r="BZ26" s="5">
        <f t="shared" si="107"/>
        <v>31.92</v>
      </c>
      <c r="CA26" s="173">
        <f t="shared" si="108"/>
        <v>0.88901912813723427</v>
      </c>
      <c r="CB26" s="5">
        <f t="shared" si="109"/>
        <v>88.901912813723428</v>
      </c>
      <c r="CC26">
        <f t="shared" si="110"/>
        <v>21.000000000000004</v>
      </c>
      <c r="CE26" s="562">
        <f t="shared" si="44"/>
        <v>-50</v>
      </c>
      <c r="CF26">
        <f t="shared" si="45"/>
        <v>-50</v>
      </c>
      <c r="CG26" s="173">
        <f t="shared" si="46"/>
        <v>0.42407117755910229</v>
      </c>
      <c r="CH26" s="173">
        <f t="shared" si="47"/>
        <v>4.8862865427995478E-2</v>
      </c>
      <c r="CI26" s="170">
        <v>21</v>
      </c>
      <c r="CJ26" s="217">
        <f t="shared" si="133"/>
        <v>2.1</v>
      </c>
      <c r="CK26" s="217">
        <f t="shared" si="111"/>
        <v>5.2499999999999998E-2</v>
      </c>
      <c r="CL26" s="217">
        <f t="shared" si="48"/>
        <v>31.5</v>
      </c>
      <c r="CM26" s="217">
        <f t="shared" si="134"/>
        <v>0.42</v>
      </c>
      <c r="CN26" s="541">
        <f t="shared" si="112"/>
        <v>58</v>
      </c>
      <c r="CO26" s="443">
        <f t="shared" si="49"/>
        <v>15.7</v>
      </c>
      <c r="CP26" s="443">
        <f t="shared" si="50"/>
        <v>73.7</v>
      </c>
      <c r="CQ26" s="443"/>
      <c r="CR26" s="217">
        <f t="shared" si="113"/>
        <v>0.2098092643051771</v>
      </c>
      <c r="CS26" s="172">
        <f t="shared" si="114"/>
        <v>300.22049333142121</v>
      </c>
      <c r="CT26" s="172">
        <f t="shared" si="51"/>
        <v>4.0563124432334243</v>
      </c>
      <c r="CU26" s="217">
        <f t="shared" si="52"/>
        <v>20.014699555428081</v>
      </c>
      <c r="CV26" s="217">
        <f t="shared" si="53"/>
        <v>37.527561666427651</v>
      </c>
      <c r="CW26" s="443">
        <f t="shared" si="54"/>
        <v>15</v>
      </c>
      <c r="CX26" s="217">
        <f t="shared" si="55"/>
        <v>5.2461442006269596</v>
      </c>
      <c r="CY26" s="217">
        <f t="shared" si="56"/>
        <v>1.085409144957302</v>
      </c>
      <c r="CZ26" s="217">
        <f t="shared" si="57"/>
        <v>4.0097917457021355</v>
      </c>
      <c r="DA26" s="197">
        <f t="shared" si="58"/>
        <v>102.962460425147</v>
      </c>
      <c r="DB26" s="443">
        <f t="shared" si="115"/>
        <v>196.26311532352096</v>
      </c>
      <c r="DD26" s="217">
        <f t="shared" si="59"/>
        <v>10</v>
      </c>
      <c r="DE26" s="173">
        <f t="shared" si="60"/>
        <v>7.6433121019108281</v>
      </c>
      <c r="DF26" s="173">
        <f t="shared" si="61"/>
        <v>3.9348710990502043</v>
      </c>
      <c r="DG26" s="173"/>
      <c r="DH26" s="173">
        <f t="shared" si="62"/>
        <v>7.6433121019108281</v>
      </c>
      <c r="DI26" s="545">
        <f t="shared" si="63"/>
        <v>54.95000000000001</v>
      </c>
      <c r="DJ26" s="528">
        <f t="shared" si="64"/>
        <v>3.9348710990502034</v>
      </c>
      <c r="DL26" s="173">
        <f t="shared" si="65"/>
        <v>3.8987177379235853</v>
      </c>
      <c r="DM26" s="173">
        <f t="shared" si="66"/>
        <v>10</v>
      </c>
      <c r="DN26" s="173">
        <f t="shared" si="67"/>
        <v>1.0314000000000001</v>
      </c>
      <c r="DP26" s="545">
        <f t="shared" si="68"/>
        <v>2100</v>
      </c>
      <c r="DQ26" s="460">
        <f t="shared" si="69"/>
        <v>54.95000000000001</v>
      </c>
      <c r="DS26">
        <f t="shared" si="116"/>
        <v>2100</v>
      </c>
      <c r="DT26" s="460">
        <f t="shared" si="70"/>
        <v>54.95000000000001</v>
      </c>
      <c r="DU26" s="460"/>
      <c r="DV26" s="5">
        <f t="shared" si="117"/>
        <v>18.198362147406733</v>
      </c>
      <c r="DW26" s="5">
        <f t="shared" si="71"/>
        <v>2.068965517241379</v>
      </c>
      <c r="DX26" s="5">
        <f t="shared" si="118"/>
        <v>16.129396630165353</v>
      </c>
      <c r="DY26" s="173">
        <f t="shared" si="119"/>
        <v>0.11368965517241378</v>
      </c>
      <c r="EA26" s="5">
        <f t="shared" si="72"/>
        <v>28.965517241379306</v>
      </c>
      <c r="EB26" s="5">
        <f t="shared" si="73"/>
        <v>1.357758620689655</v>
      </c>
      <c r="EC26" s="5">
        <f t="shared" si="74"/>
        <v>3.0206658373971971</v>
      </c>
      <c r="ED26" s="5"/>
      <c r="EE26" s="173">
        <f t="shared" si="120"/>
        <v>1.9467036683619292</v>
      </c>
      <c r="EF26" s="173">
        <f t="shared" si="75"/>
        <v>5.4354096589787551</v>
      </c>
      <c r="EG26" s="173">
        <f t="shared" si="76"/>
        <v>0.13386028493484933</v>
      </c>
      <c r="EH26" s="173"/>
      <c r="EI26" s="528">
        <f t="shared" si="77"/>
        <v>7.5793103448275834E-2</v>
      </c>
      <c r="EJ26" s="528">
        <f t="shared" si="78"/>
        <v>0.80996300000000021</v>
      </c>
      <c r="EK26" s="528">
        <f t="shared" si="79"/>
        <v>6.8687500000000007E-3</v>
      </c>
      <c r="EL26" s="528">
        <f t="shared" si="80"/>
        <v>2.9847136550000007E-2</v>
      </c>
      <c r="EM26">
        <f t="shared" si="81"/>
        <v>2.6099999999999998E-2</v>
      </c>
      <c r="EN26" s="460">
        <f t="shared" si="121"/>
        <v>32.96875</v>
      </c>
      <c r="EO26">
        <f t="shared" si="82"/>
        <v>0.98680698364701191</v>
      </c>
      <c r="EP26" s="460">
        <f t="shared" si="122"/>
        <v>986.80698364701186</v>
      </c>
      <c r="EQ26" s="173">
        <f t="shared" si="83"/>
        <v>1.3046249999999999</v>
      </c>
      <c r="ER26" s="173">
        <f t="shared" si="84"/>
        <v>2.3296874999999998E-2</v>
      </c>
      <c r="ES26" s="528"/>
      <c r="EU26" s="460">
        <f t="shared" si="123"/>
        <v>1327.921875</v>
      </c>
      <c r="EV26" s="528">
        <f t="shared" si="85"/>
        <v>0.11368965517241375</v>
      </c>
      <c r="EW26" s="528">
        <f t="shared" si="124"/>
        <v>0.88631034482758642</v>
      </c>
      <c r="EX26" s="528">
        <f t="shared" si="86"/>
        <v>8.9592879414195252E-5</v>
      </c>
      <c r="EY26" s="528">
        <f t="shared" si="87"/>
        <v>0.35390707620273343</v>
      </c>
      <c r="EZ26" s="528">
        <f t="shared" si="88"/>
        <v>1.7326419456126951</v>
      </c>
      <c r="FA26" s="625">
        <f t="shared" si="89"/>
        <v>5.4950000000000016E-3</v>
      </c>
      <c r="FB26" s="460">
        <f t="shared" si="125"/>
        <v>1738.1369456126952</v>
      </c>
      <c r="FC26" s="173">
        <f t="shared" si="126"/>
        <v>4.0528658042597074</v>
      </c>
      <c r="FD26" s="5">
        <f t="shared" si="127"/>
        <v>31.92</v>
      </c>
      <c r="FE26" s="173">
        <f t="shared" si="128"/>
        <v>0.8873354759581098</v>
      </c>
      <c r="FF26" s="5">
        <f t="shared" si="129"/>
        <v>88.733547595810975</v>
      </c>
      <c r="FG26">
        <f t="shared" si="130"/>
        <v>21.000000000000004</v>
      </c>
      <c r="FI26" s="562">
        <f t="shared" si="90"/>
        <v>-50</v>
      </c>
      <c r="FJ26">
        <f t="shared" si="91"/>
        <v>-50</v>
      </c>
      <c r="FL26">
        <f t="shared" si="92"/>
        <v>0.42407117755910229</v>
      </c>
    </row>
    <row r="27" spans="5:168">
      <c r="E27" s="170">
        <v>22</v>
      </c>
      <c r="F27" s="217">
        <f t="shared" si="131"/>
        <v>2.2000000000000002</v>
      </c>
      <c r="G27" s="217">
        <f t="shared" si="93"/>
        <v>5.5E-2</v>
      </c>
      <c r="H27" s="217">
        <f t="shared" si="0"/>
        <v>33</v>
      </c>
      <c r="I27" s="217">
        <f t="shared" si="132"/>
        <v>0.44</v>
      </c>
      <c r="J27" s="541">
        <f t="shared" si="1"/>
        <v>57.723315016620042</v>
      </c>
      <c r="K27" s="443">
        <f t="shared" si="2"/>
        <v>15.848559966660831</v>
      </c>
      <c r="L27" s="172">
        <f t="shared" si="3"/>
        <v>73.571874983280878</v>
      </c>
      <c r="M27" s="443"/>
      <c r="N27" s="217">
        <f t="shared" si="4"/>
        <v>0.21541601284814879</v>
      </c>
      <c r="O27" s="172">
        <f t="shared" si="94"/>
        <v>306.77285450471948</v>
      </c>
      <c r="P27" s="172">
        <f t="shared" si="5"/>
        <v>4.1448421230859873</v>
      </c>
      <c r="Q27" s="217">
        <f t="shared" si="6"/>
        <v>20.451523633647966</v>
      </c>
      <c r="R27" s="217">
        <f t="shared" si="7"/>
        <v>38.346606813089934</v>
      </c>
      <c r="S27" s="443">
        <f t="shared" si="8"/>
        <v>15</v>
      </c>
      <c r="T27" s="217">
        <f t="shared" si="9"/>
        <v>5.3785723729170956</v>
      </c>
      <c r="U27" s="217">
        <f t="shared" si="10"/>
        <v>1.1181420965934057</v>
      </c>
      <c r="V27" s="217">
        <f t="shared" si="11"/>
        <v>4.0724752665717325</v>
      </c>
      <c r="W27" s="197">
        <f t="shared" si="12"/>
        <v>103.62105307714972</v>
      </c>
      <c r="X27" s="443">
        <f t="shared" si="95"/>
        <v>185.50750918311201</v>
      </c>
      <c r="Z27" s="217">
        <f t="shared" si="13"/>
        <v>10</v>
      </c>
      <c r="AA27" s="173">
        <f t="shared" si="14"/>
        <v>7.5716658328853255</v>
      </c>
      <c r="AB27" s="173">
        <f t="shared" si="15"/>
        <v>3.922919935759257</v>
      </c>
      <c r="AC27" s="173"/>
      <c r="AD27" s="173">
        <f t="shared" si="16"/>
        <v>7.5716658328853255</v>
      </c>
      <c r="AE27" s="545">
        <f t="shared" si="17"/>
        <v>58.111386544423048</v>
      </c>
      <c r="AF27" s="528">
        <f t="shared" si="18"/>
        <v>3.922919935759257</v>
      </c>
      <c r="AH27" s="173">
        <f t="shared" si="19"/>
        <v>3.990464825532174</v>
      </c>
      <c r="AI27" s="173">
        <f t="shared" si="20"/>
        <v>10</v>
      </c>
      <c r="AJ27" s="173">
        <f t="shared" si="21"/>
        <v>1.0332065065968132</v>
      </c>
      <c r="AL27" s="545">
        <f t="shared" si="22"/>
        <v>2200</v>
      </c>
      <c r="AM27" s="460">
        <f t="shared" si="23"/>
        <v>58.111386544423048</v>
      </c>
      <c r="AO27">
        <f t="shared" si="96"/>
        <v>2200</v>
      </c>
      <c r="AP27" s="460">
        <f t="shared" si="24"/>
        <v>58.111386544423048</v>
      </c>
      <c r="AQ27" s="460"/>
      <c r="AR27" s="5">
        <f t="shared" si="97"/>
        <v>17.20833143837574</v>
      </c>
      <c r="AS27" s="5">
        <f t="shared" si="25"/>
        <v>2.0788826831142475</v>
      </c>
      <c r="AT27" s="5">
        <f t="shared" si="98"/>
        <v>15.129448755261492</v>
      </c>
      <c r="AU27" s="173">
        <f t="shared" si="99"/>
        <v>0.12080675517895935</v>
      </c>
      <c r="AW27" s="5">
        <f t="shared" si="26"/>
        <v>30.490279352342302</v>
      </c>
      <c r="AX27" s="5">
        <f t="shared" si="27"/>
        <v>1.4292318446410452</v>
      </c>
      <c r="AY27" s="5">
        <f t="shared" si="28"/>
        <v>2.9825503383289029</v>
      </c>
      <c r="AZ27" s="5"/>
      <c r="BA27" s="173">
        <f t="shared" si="100"/>
        <v>2.0067116981018089</v>
      </c>
      <c r="BB27" s="173">
        <f t="shared" si="29"/>
        <v>5.4135424163882462</v>
      </c>
      <c r="BC27" s="173">
        <f t="shared" si="30"/>
        <v>0.13332175048987527</v>
      </c>
      <c r="BD27" s="173"/>
      <c r="BE27" s="528">
        <f t="shared" si="31"/>
        <v>8.0537836785972913E-2</v>
      </c>
      <c r="BF27" s="528">
        <f t="shared" si="32"/>
        <v>0.80163068736588794</v>
      </c>
      <c r="BG27" s="528">
        <f t="shared" si="33"/>
        <v>8.3859546788907668E-2</v>
      </c>
      <c r="BH27" s="528">
        <f t="shared" si="34"/>
        <v>3.1454652113943812E-2</v>
      </c>
      <c r="BI27">
        <f t="shared" si="35"/>
        <v>2.5975491757479017E-2</v>
      </c>
      <c r="BJ27" s="460">
        <f t="shared" si="101"/>
        <v>109.83503854638668</v>
      </c>
      <c r="BK27">
        <f t="shared" si="36"/>
        <v>0.95361659920023056</v>
      </c>
      <c r="BL27" s="460">
        <f t="shared" si="102"/>
        <v>953.61659920023055</v>
      </c>
      <c r="BM27" s="173">
        <f t="shared" si="37"/>
        <v>1.3667499999999999</v>
      </c>
      <c r="BN27" s="173">
        <f t="shared" si="38"/>
        <v>2.4406249999999997E-2</v>
      </c>
      <c r="BO27" s="528"/>
      <c r="BQ27" s="460">
        <f t="shared" si="103"/>
        <v>1391.1562499999998</v>
      </c>
      <c r="BR27" s="528">
        <f t="shared" si="39"/>
        <v>0.12080675517895936</v>
      </c>
      <c r="BS27" s="528">
        <f t="shared" si="104"/>
        <v>0.87919324482104066</v>
      </c>
      <c r="BT27" s="528">
        <f t="shared" si="40"/>
        <v>8.8873445768422786E-5</v>
      </c>
      <c r="BU27" s="528">
        <f t="shared" si="41"/>
        <v>0.40702688760339051</v>
      </c>
      <c r="BV27" s="528">
        <f t="shared" si="42"/>
        <v>1.7903802391924248</v>
      </c>
      <c r="BW27" s="625">
        <f t="shared" si="43"/>
        <v>5.8111386544423054E-3</v>
      </c>
      <c r="BX27" s="460">
        <f t="shared" si="105"/>
        <v>1796.1913778468672</v>
      </c>
      <c r="BY27" s="173">
        <f t="shared" si="106"/>
        <v>4.1409642270470979</v>
      </c>
      <c r="BZ27" s="5">
        <f t="shared" si="107"/>
        <v>33.44</v>
      </c>
      <c r="CA27" s="173">
        <f t="shared" si="108"/>
        <v>0.88981218783985216</v>
      </c>
      <c r="CB27" s="5">
        <f t="shared" si="109"/>
        <v>88.981218783985213</v>
      </c>
      <c r="CC27">
        <f t="shared" si="110"/>
        <v>22.000000000000004</v>
      </c>
      <c r="CE27" s="562">
        <f t="shared" si="44"/>
        <v>-50</v>
      </c>
      <c r="CF27">
        <f t="shared" si="45"/>
        <v>-50</v>
      </c>
      <c r="CG27" s="173">
        <f t="shared" si="46"/>
        <v>0.44426504315715482</v>
      </c>
      <c r="CH27" s="173">
        <f t="shared" si="47"/>
        <v>5.1189668543614307E-2</v>
      </c>
      <c r="CI27" s="170">
        <v>22</v>
      </c>
      <c r="CJ27" s="217">
        <f t="shared" si="133"/>
        <v>2.2000000000000002</v>
      </c>
      <c r="CK27" s="217">
        <f t="shared" si="111"/>
        <v>5.5E-2</v>
      </c>
      <c r="CL27" s="217">
        <f t="shared" si="48"/>
        <v>33</v>
      </c>
      <c r="CM27" s="217">
        <f t="shared" si="134"/>
        <v>0.44</v>
      </c>
      <c r="CN27" s="541">
        <f t="shared" si="112"/>
        <v>58</v>
      </c>
      <c r="CO27" s="443">
        <f t="shared" si="49"/>
        <v>15.7</v>
      </c>
      <c r="CP27" s="443">
        <f t="shared" si="50"/>
        <v>73.7</v>
      </c>
      <c r="CQ27" s="443"/>
      <c r="CR27" s="217">
        <f t="shared" si="113"/>
        <v>0.2098092643051771</v>
      </c>
      <c r="CS27" s="172">
        <f t="shared" si="114"/>
        <v>300.22049333142121</v>
      </c>
      <c r="CT27" s="172">
        <f t="shared" si="51"/>
        <v>4.0563124432334243</v>
      </c>
      <c r="CU27" s="217">
        <f t="shared" si="52"/>
        <v>20.014699555428081</v>
      </c>
      <c r="CV27" s="217">
        <f t="shared" si="53"/>
        <v>37.527561666427651</v>
      </c>
      <c r="CW27" s="443">
        <f t="shared" si="54"/>
        <v>15</v>
      </c>
      <c r="CX27" s="217">
        <f t="shared" si="55"/>
        <v>5.4959605911330049</v>
      </c>
      <c r="CY27" s="217">
        <f t="shared" si="56"/>
        <v>1.1370952947171735</v>
      </c>
      <c r="CZ27" s="217">
        <f t="shared" si="57"/>
        <v>4.2007342097831888</v>
      </c>
      <c r="DA27" s="197">
        <f t="shared" si="58"/>
        <v>102.962460425147</v>
      </c>
      <c r="DB27" s="443">
        <f t="shared" si="115"/>
        <v>187.34206462699731</v>
      </c>
      <c r="DD27" s="217">
        <f t="shared" si="59"/>
        <v>10</v>
      </c>
      <c r="DE27" s="173">
        <f t="shared" si="60"/>
        <v>7.6433121019108281</v>
      </c>
      <c r="DF27" s="173">
        <f t="shared" si="61"/>
        <v>3.9348710990502043</v>
      </c>
      <c r="DG27" s="173"/>
      <c r="DH27" s="173">
        <f t="shared" si="62"/>
        <v>7.6433121019108281</v>
      </c>
      <c r="DI27" s="545">
        <f t="shared" si="63"/>
        <v>57.566666666666677</v>
      </c>
      <c r="DJ27" s="528">
        <f t="shared" si="64"/>
        <v>3.9348710990502034</v>
      </c>
      <c r="DL27" s="173">
        <f t="shared" si="65"/>
        <v>3.990464825532174</v>
      </c>
      <c r="DM27" s="173">
        <f t="shared" si="66"/>
        <v>10</v>
      </c>
      <c r="DN27" s="173">
        <f t="shared" si="67"/>
        <v>1.0328952380952381</v>
      </c>
      <c r="DP27" s="545">
        <f t="shared" si="68"/>
        <v>2200</v>
      </c>
      <c r="DQ27" s="460">
        <f t="shared" si="69"/>
        <v>57.566666666666677</v>
      </c>
      <c r="DS27">
        <f t="shared" si="116"/>
        <v>2200</v>
      </c>
      <c r="DT27" s="460">
        <f t="shared" si="70"/>
        <v>57.566666666666677</v>
      </c>
      <c r="DU27" s="460"/>
      <c r="DV27" s="5">
        <f t="shared" si="117"/>
        <v>17.371163867979153</v>
      </c>
      <c r="DW27" s="5">
        <f t="shared" si="71"/>
        <v>2.068965517241379</v>
      </c>
      <c r="DX27" s="5">
        <f t="shared" si="118"/>
        <v>15.302198350737774</v>
      </c>
      <c r="DY27" s="173">
        <f t="shared" si="119"/>
        <v>0.11910344827586207</v>
      </c>
      <c r="EA27" s="5">
        <f t="shared" si="72"/>
        <v>30.344827586206893</v>
      </c>
      <c r="EB27" s="5">
        <f t="shared" si="73"/>
        <v>1.422413793103448</v>
      </c>
      <c r="EC27" s="5">
        <f t="shared" si="74"/>
        <v>3.0022148963992064</v>
      </c>
      <c r="ED27" s="5"/>
      <c r="EE27" s="173">
        <f t="shared" si="120"/>
        <v>1.9925147283091125</v>
      </c>
      <c r="EF27" s="173">
        <f t="shared" si="75"/>
        <v>5.4187838479500723</v>
      </c>
      <c r="EG27" s="173">
        <f t="shared" si="76"/>
        <v>0.13345083358873122</v>
      </c>
      <c r="EH27" s="173"/>
      <c r="EI27" s="528">
        <f t="shared" si="77"/>
        <v>7.9402298850574718E-2</v>
      </c>
      <c r="EJ27" s="528">
        <f t="shared" si="78"/>
        <v>0.84853266666666671</v>
      </c>
      <c r="EK27" s="528">
        <f t="shared" si="79"/>
        <v>7.1958333333333345E-3</v>
      </c>
      <c r="EL27" s="528">
        <f t="shared" si="80"/>
        <v>3.1268428766666675E-2</v>
      </c>
      <c r="EM27">
        <f t="shared" si="81"/>
        <v>2.6099999999999998E-2</v>
      </c>
      <c r="EN27" s="460">
        <f t="shared" si="121"/>
        <v>33.295833333333327</v>
      </c>
      <c r="EO27">
        <f t="shared" si="82"/>
        <v>1.0334346114319002</v>
      </c>
      <c r="EP27" s="460">
        <f t="shared" si="122"/>
        <v>1033.4346114319003</v>
      </c>
      <c r="EQ27" s="173">
        <f t="shared" si="83"/>
        <v>1.3667499999999999</v>
      </c>
      <c r="ER27" s="173">
        <f t="shared" si="84"/>
        <v>2.4406249999999997E-2</v>
      </c>
      <c r="ES27" s="528"/>
      <c r="EU27" s="460">
        <f t="shared" si="123"/>
        <v>1391.1562499999998</v>
      </c>
      <c r="EV27" s="528">
        <f t="shared" si="85"/>
        <v>0.11910344827586208</v>
      </c>
      <c r="EW27" s="528">
        <f t="shared" si="124"/>
        <v>0.88089655172413783</v>
      </c>
      <c r="EX27" s="528">
        <f t="shared" si="86"/>
        <v>8.9045624927636154E-5</v>
      </c>
      <c r="EY27" s="528">
        <f t="shared" si="87"/>
        <v>0.39755544997588593</v>
      </c>
      <c r="EZ27" s="528">
        <f t="shared" si="88"/>
        <v>1.7800853774521574</v>
      </c>
      <c r="FA27" s="625">
        <f t="shared" si="89"/>
        <v>5.7566666666666686E-3</v>
      </c>
      <c r="FB27" s="460">
        <f t="shared" si="125"/>
        <v>1785.8420441188241</v>
      </c>
      <c r="FC27" s="173">
        <f t="shared" si="126"/>
        <v>4.2104329055507241</v>
      </c>
      <c r="FD27" s="5">
        <f t="shared" si="127"/>
        <v>33.44</v>
      </c>
      <c r="FE27" s="173">
        <f t="shared" si="128"/>
        <v>0.88817039856851177</v>
      </c>
      <c r="FF27" s="5">
        <f t="shared" si="129"/>
        <v>88.817039856851181</v>
      </c>
      <c r="FG27">
        <f t="shared" si="130"/>
        <v>22.000000000000004</v>
      </c>
      <c r="FI27" s="562">
        <f t="shared" si="90"/>
        <v>-50</v>
      </c>
      <c r="FJ27">
        <f t="shared" si="91"/>
        <v>-50</v>
      </c>
      <c r="FL27">
        <f t="shared" si="92"/>
        <v>0.44426504315715482</v>
      </c>
    </row>
    <row r="28" spans="5:168">
      <c r="E28" s="170">
        <v>23</v>
      </c>
      <c r="F28" s="217">
        <f t="shared" si="131"/>
        <v>2.3000000000000003</v>
      </c>
      <c r="G28" s="217">
        <f t="shared" si="93"/>
        <v>5.7500000000000002E-2</v>
      </c>
      <c r="H28" s="217">
        <f t="shared" si="0"/>
        <v>34.500000000000007</v>
      </c>
      <c r="I28" s="217">
        <f t="shared" si="132"/>
        <v>0.46</v>
      </c>
      <c r="J28" s="541">
        <f t="shared" si="1"/>
        <v>57.723315016620042</v>
      </c>
      <c r="K28" s="443">
        <f t="shared" si="2"/>
        <v>15.848559966660831</v>
      </c>
      <c r="L28" s="172">
        <f t="shared" si="3"/>
        <v>73.571874983280878</v>
      </c>
      <c r="M28" s="443"/>
      <c r="N28" s="217">
        <f t="shared" si="4"/>
        <v>0.21541601284814879</v>
      </c>
      <c r="O28" s="172">
        <f t="shared" si="94"/>
        <v>306.77285450471948</v>
      </c>
      <c r="P28" s="172">
        <f t="shared" si="5"/>
        <v>4.1448421230859873</v>
      </c>
      <c r="Q28" s="217">
        <f t="shared" si="6"/>
        <v>20.451523633647966</v>
      </c>
      <c r="R28" s="217">
        <f t="shared" si="7"/>
        <v>38.346606813089934</v>
      </c>
      <c r="S28" s="443">
        <f t="shared" si="8"/>
        <v>15</v>
      </c>
      <c r="T28" s="217">
        <f t="shared" si="9"/>
        <v>5.6230529353224199</v>
      </c>
      <c r="U28" s="217">
        <f t="shared" si="10"/>
        <v>1.1689667373476518</v>
      </c>
      <c r="V28" s="217">
        <f t="shared" si="11"/>
        <v>4.25758777868863</v>
      </c>
      <c r="W28" s="197">
        <f t="shared" si="12"/>
        <v>103.62105307714972</v>
      </c>
      <c r="X28" s="443">
        <f t="shared" si="95"/>
        <v>177.72866096825209</v>
      </c>
      <c r="Z28" s="217">
        <f t="shared" si="13"/>
        <v>10</v>
      </c>
      <c r="AA28" s="173">
        <f t="shared" si="14"/>
        <v>7.5716658328853255</v>
      </c>
      <c r="AB28" s="173">
        <f t="shared" si="15"/>
        <v>3.922919935759257</v>
      </c>
      <c r="AC28" s="173"/>
      <c r="AD28" s="173">
        <f t="shared" si="16"/>
        <v>7.5716658328853255</v>
      </c>
      <c r="AE28" s="545">
        <f t="shared" si="17"/>
        <v>60.752813205533194</v>
      </c>
      <c r="AF28" s="528">
        <f t="shared" si="18"/>
        <v>3.922919935759257</v>
      </c>
      <c r="AH28" s="173">
        <f t="shared" si="19"/>
        <v>4.0801493903555848</v>
      </c>
      <c r="AI28" s="173">
        <f t="shared" si="20"/>
        <v>10</v>
      </c>
      <c r="AJ28" s="173">
        <f t="shared" si="21"/>
        <v>1.0347158932603047</v>
      </c>
      <c r="AL28" s="545">
        <f t="shared" si="22"/>
        <v>2300.0000000000005</v>
      </c>
      <c r="AM28" s="460">
        <f t="shared" si="23"/>
        <v>60.752813205533194</v>
      </c>
      <c r="AO28">
        <f t="shared" si="96"/>
        <v>2300.0000000000005</v>
      </c>
      <c r="AP28" s="460">
        <f t="shared" si="24"/>
        <v>60.752813205533194</v>
      </c>
      <c r="AQ28" s="460"/>
      <c r="AR28" s="5">
        <f t="shared" si="97"/>
        <v>16.460143114968094</v>
      </c>
      <c r="AS28" s="5">
        <f t="shared" si="25"/>
        <v>2.0788826831142475</v>
      </c>
      <c r="AT28" s="5">
        <f t="shared" si="98"/>
        <v>14.381260431853846</v>
      </c>
      <c r="AU28" s="173">
        <f t="shared" si="99"/>
        <v>0.12629797132345755</v>
      </c>
      <c r="AW28" s="5">
        <f t="shared" si="26"/>
        <v>31.876201141085129</v>
      </c>
      <c r="AX28" s="5">
        <f t="shared" si="27"/>
        <v>1.4941969284883654</v>
      </c>
      <c r="AY28" s="5">
        <f t="shared" si="28"/>
        <v>2.9639220917334179</v>
      </c>
      <c r="AZ28" s="5"/>
      <c r="BA28" s="173">
        <f t="shared" si="100"/>
        <v>2.051811974194659</v>
      </c>
      <c r="BB28" s="173">
        <f t="shared" si="29"/>
        <v>5.3966101356207634</v>
      </c>
      <c r="BC28" s="173">
        <f t="shared" si="30"/>
        <v>0.13290475157528783</v>
      </c>
      <c r="BD28" s="173"/>
      <c r="BE28" s="528">
        <f t="shared" si="31"/>
        <v>8.4198647548971675E-2</v>
      </c>
      <c r="BF28" s="528">
        <f t="shared" si="32"/>
        <v>0.83806844588251928</v>
      </c>
      <c r="BG28" s="528">
        <f t="shared" si="33"/>
        <v>8.7671344370221671E-2</v>
      </c>
      <c r="BH28" s="528">
        <f t="shared" si="34"/>
        <v>3.288440902821399E-2</v>
      </c>
      <c r="BI28">
        <f t="shared" si="35"/>
        <v>2.5975491757479017E-2</v>
      </c>
      <c r="BJ28" s="460">
        <f t="shared" si="101"/>
        <v>113.64683612770068</v>
      </c>
      <c r="BK28">
        <f t="shared" si="36"/>
        <v>0.99784767745453651</v>
      </c>
      <c r="BL28" s="460">
        <f t="shared" si="102"/>
        <v>997.84767745453655</v>
      </c>
      <c r="BM28" s="173">
        <f t="shared" si="37"/>
        <v>1.4288750000000001</v>
      </c>
      <c r="BN28" s="173">
        <f t="shared" si="38"/>
        <v>2.5515625E-2</v>
      </c>
      <c r="BO28" s="528"/>
      <c r="BQ28" s="460">
        <f t="shared" si="103"/>
        <v>1454.390625</v>
      </c>
      <c r="BR28" s="528">
        <f t="shared" si="39"/>
        <v>0.12629797132345752</v>
      </c>
      <c r="BS28" s="528">
        <f t="shared" si="104"/>
        <v>0.87370202867654256</v>
      </c>
      <c r="BT28" s="528">
        <f t="shared" si="40"/>
        <v>8.831836495644487E-5</v>
      </c>
      <c r="BU28" s="528">
        <f t="shared" si="41"/>
        <v>0.45486863027663127</v>
      </c>
      <c r="BV28" s="528">
        <f t="shared" si="42"/>
        <v>1.842381698195994</v>
      </c>
      <c r="BW28" s="625">
        <f t="shared" si="43"/>
        <v>6.0752813205533201E-3</v>
      </c>
      <c r="BX28" s="460">
        <f t="shared" si="105"/>
        <v>1848.4569795165473</v>
      </c>
      <c r="BY28" s="173">
        <f t="shared" si="106"/>
        <v>4.300695281971084</v>
      </c>
      <c r="BZ28" s="5">
        <f t="shared" si="107"/>
        <v>34.960000000000008</v>
      </c>
      <c r="CA28" s="173">
        <f t="shared" si="108"/>
        <v>0.89045799492129707</v>
      </c>
      <c r="CB28" s="5">
        <f t="shared" si="109"/>
        <v>89.045799492129703</v>
      </c>
      <c r="CC28">
        <f t="shared" si="110"/>
        <v>23.000000000000004</v>
      </c>
      <c r="CE28" s="562">
        <f t="shared" si="44"/>
        <v>-50</v>
      </c>
      <c r="CF28">
        <f t="shared" si="45"/>
        <v>-50</v>
      </c>
      <c r="CG28" s="173">
        <f t="shared" si="46"/>
        <v>0.46445890875520734</v>
      </c>
      <c r="CH28" s="173">
        <f t="shared" si="47"/>
        <v>5.3516471659233136E-2</v>
      </c>
      <c r="CI28" s="170">
        <v>23</v>
      </c>
      <c r="CJ28" s="217">
        <f t="shared" si="133"/>
        <v>2.3000000000000003</v>
      </c>
      <c r="CK28" s="217">
        <f t="shared" si="111"/>
        <v>5.7500000000000002E-2</v>
      </c>
      <c r="CL28" s="217">
        <f t="shared" si="48"/>
        <v>34.500000000000007</v>
      </c>
      <c r="CM28" s="217">
        <f t="shared" si="134"/>
        <v>0.46</v>
      </c>
      <c r="CN28" s="541">
        <f t="shared" si="112"/>
        <v>58</v>
      </c>
      <c r="CO28" s="443">
        <f t="shared" si="49"/>
        <v>15.7</v>
      </c>
      <c r="CP28" s="443">
        <f t="shared" si="50"/>
        <v>73.7</v>
      </c>
      <c r="CQ28" s="443"/>
      <c r="CR28" s="217">
        <f t="shared" si="113"/>
        <v>0.2098092643051771</v>
      </c>
      <c r="CS28" s="172">
        <f t="shared" si="114"/>
        <v>300.22049333142121</v>
      </c>
      <c r="CT28" s="172">
        <f t="shared" si="51"/>
        <v>4.0563124432334243</v>
      </c>
      <c r="CU28" s="217">
        <f t="shared" si="52"/>
        <v>20.014699555428081</v>
      </c>
      <c r="CV28" s="217">
        <f t="shared" si="53"/>
        <v>37.527561666427651</v>
      </c>
      <c r="CW28" s="443">
        <f t="shared" si="54"/>
        <v>15</v>
      </c>
      <c r="CX28" s="217">
        <f t="shared" si="55"/>
        <v>5.745776981639052</v>
      </c>
      <c r="CY28" s="217">
        <f t="shared" si="56"/>
        <v>1.1887814444770453</v>
      </c>
      <c r="CZ28" s="217">
        <f t="shared" si="57"/>
        <v>4.3916766738642439</v>
      </c>
      <c r="DA28" s="197">
        <f t="shared" si="58"/>
        <v>102.962460425147</v>
      </c>
      <c r="DB28" s="443">
        <f t="shared" si="115"/>
        <v>179.19675746930176</v>
      </c>
      <c r="DD28" s="217">
        <f t="shared" si="59"/>
        <v>10</v>
      </c>
      <c r="DE28" s="173">
        <f t="shared" si="60"/>
        <v>7.6433121019108281</v>
      </c>
      <c r="DF28" s="173">
        <f t="shared" si="61"/>
        <v>3.9348710990502043</v>
      </c>
      <c r="DG28" s="173"/>
      <c r="DH28" s="173">
        <f t="shared" si="62"/>
        <v>7.6433121019108281</v>
      </c>
      <c r="DI28" s="545">
        <f t="shared" si="63"/>
        <v>60.183333333333344</v>
      </c>
      <c r="DJ28" s="528">
        <f t="shared" si="64"/>
        <v>3.9348710990502034</v>
      </c>
      <c r="DL28" s="173">
        <f t="shared" si="65"/>
        <v>4.0801493903555848</v>
      </c>
      <c r="DM28" s="173">
        <f t="shared" si="66"/>
        <v>10</v>
      </c>
      <c r="DN28" s="173">
        <f t="shared" si="67"/>
        <v>1.0343904761904761</v>
      </c>
      <c r="DP28" s="545">
        <f t="shared" si="68"/>
        <v>2300.0000000000005</v>
      </c>
      <c r="DQ28" s="460">
        <f t="shared" si="69"/>
        <v>60.183333333333344</v>
      </c>
      <c r="DS28">
        <f t="shared" si="116"/>
        <v>2300.0000000000005</v>
      </c>
      <c r="DT28" s="460">
        <f t="shared" si="70"/>
        <v>60.183333333333344</v>
      </c>
      <c r="DU28" s="460"/>
      <c r="DV28" s="5">
        <f t="shared" si="117"/>
        <v>16.61589587371919</v>
      </c>
      <c r="DW28" s="5">
        <f t="shared" si="71"/>
        <v>2.068965517241379</v>
      </c>
      <c r="DX28" s="5">
        <f t="shared" si="118"/>
        <v>14.546930356477811</v>
      </c>
      <c r="DY28" s="173">
        <f t="shared" si="119"/>
        <v>0.12451724137931033</v>
      </c>
      <c r="EA28" s="5">
        <f t="shared" si="72"/>
        <v>31.724137931034484</v>
      </c>
      <c r="EB28" s="5">
        <f t="shared" si="73"/>
        <v>1.4870689655172413</v>
      </c>
      <c r="EC28" s="5">
        <f t="shared" si="74"/>
        <v>2.9837639554012161</v>
      </c>
      <c r="ED28" s="5"/>
      <c r="EE28" s="173">
        <f t="shared" si="120"/>
        <v>2.0372959315336785</v>
      </c>
      <c r="EF28" s="173">
        <f t="shared" si="75"/>
        <v>5.4021068686846299</v>
      </c>
      <c r="EG28" s="173">
        <f t="shared" si="76"/>
        <v>0.13304012209937049</v>
      </c>
      <c r="EH28" s="173"/>
      <c r="EI28" s="528">
        <f t="shared" si="77"/>
        <v>8.3011494252873574E-2</v>
      </c>
      <c r="EJ28" s="528">
        <f t="shared" si="78"/>
        <v>0.88710233333333355</v>
      </c>
      <c r="EK28" s="528">
        <f t="shared" si="79"/>
        <v>7.5229166666666682E-3</v>
      </c>
      <c r="EL28" s="528">
        <f t="shared" si="80"/>
        <v>3.2689720983333344E-2</v>
      </c>
      <c r="EM28">
        <f t="shared" si="81"/>
        <v>2.6099999999999998E-2</v>
      </c>
      <c r="EN28" s="460">
        <f t="shared" si="121"/>
        <v>33.622916666666669</v>
      </c>
      <c r="EO28">
        <f t="shared" si="82"/>
        <v>1.0801438188166175</v>
      </c>
      <c r="EP28" s="460">
        <f t="shared" si="122"/>
        <v>1080.1438188166176</v>
      </c>
      <c r="EQ28" s="173">
        <f t="shared" si="83"/>
        <v>1.4288750000000001</v>
      </c>
      <c r="ER28" s="173">
        <f t="shared" si="84"/>
        <v>2.5515625E-2</v>
      </c>
      <c r="ES28" s="528"/>
      <c r="EU28" s="460">
        <f t="shared" si="123"/>
        <v>1454.390625</v>
      </c>
      <c r="EV28" s="528">
        <f t="shared" si="85"/>
        <v>0.12451724137931036</v>
      </c>
      <c r="EW28" s="528">
        <f t="shared" si="124"/>
        <v>0.87548275862068969</v>
      </c>
      <c r="EX28" s="528">
        <f t="shared" si="86"/>
        <v>8.8498370441077043E-5</v>
      </c>
      <c r="EY28" s="528">
        <f t="shared" si="87"/>
        <v>0.44428392447072984</v>
      </c>
      <c r="EZ28" s="528">
        <f t="shared" si="88"/>
        <v>1.8308767661074987</v>
      </c>
      <c r="FA28" s="625">
        <f t="shared" si="89"/>
        <v>6.0183333333333347E-3</v>
      </c>
      <c r="FB28" s="460">
        <f t="shared" si="125"/>
        <v>1836.8950994408319</v>
      </c>
      <c r="FC28" s="173">
        <f t="shared" si="126"/>
        <v>4.3714295432574497</v>
      </c>
      <c r="FD28" s="5">
        <f t="shared" si="127"/>
        <v>34.960000000000008</v>
      </c>
      <c r="FE28" s="173">
        <f t="shared" si="128"/>
        <v>0.88885658126283795</v>
      </c>
      <c r="FF28" s="5">
        <f t="shared" si="129"/>
        <v>88.885658126283801</v>
      </c>
      <c r="FG28">
        <f t="shared" si="130"/>
        <v>23.000000000000004</v>
      </c>
      <c r="FI28" s="562">
        <f t="shared" si="90"/>
        <v>-50</v>
      </c>
      <c r="FJ28">
        <f t="shared" si="91"/>
        <v>-50</v>
      </c>
      <c r="FL28">
        <f t="shared" si="92"/>
        <v>0.46445890875520734</v>
      </c>
    </row>
    <row r="29" spans="5:168">
      <c r="E29" s="170">
        <v>24</v>
      </c>
      <c r="F29" s="217">
        <f t="shared" si="131"/>
        <v>2.4</v>
      </c>
      <c r="G29" s="217">
        <f t="shared" si="93"/>
        <v>0.06</v>
      </c>
      <c r="H29" s="217">
        <f t="shared" si="0"/>
        <v>36</v>
      </c>
      <c r="I29" s="217">
        <f t="shared" si="132"/>
        <v>0.48</v>
      </c>
      <c r="J29" s="541">
        <f t="shared" si="1"/>
        <v>57.723315016620042</v>
      </c>
      <c r="K29" s="443">
        <f t="shared" si="2"/>
        <v>15.848559966660831</v>
      </c>
      <c r="L29" s="172">
        <f t="shared" si="3"/>
        <v>73.571874983280878</v>
      </c>
      <c r="M29" s="443"/>
      <c r="N29" s="217">
        <f t="shared" si="4"/>
        <v>0.21541601284814879</v>
      </c>
      <c r="O29" s="172">
        <f t="shared" si="94"/>
        <v>306.77285450471948</v>
      </c>
      <c r="P29" s="172">
        <f t="shared" si="5"/>
        <v>4.1448421230859873</v>
      </c>
      <c r="Q29" s="217">
        <f t="shared" si="6"/>
        <v>20.451523633647966</v>
      </c>
      <c r="R29" s="217">
        <f t="shared" si="7"/>
        <v>38.346606813089934</v>
      </c>
      <c r="S29" s="443">
        <f t="shared" si="8"/>
        <v>15</v>
      </c>
      <c r="T29" s="217">
        <f t="shared" si="9"/>
        <v>5.8675334977277407</v>
      </c>
      <c r="U29" s="217">
        <f t="shared" si="10"/>
        <v>1.219791378101897</v>
      </c>
      <c r="V29" s="217">
        <f t="shared" si="11"/>
        <v>4.4427002908055258</v>
      </c>
      <c r="W29" s="197">
        <f t="shared" si="12"/>
        <v>103.62105307714972</v>
      </c>
      <c r="X29" s="443">
        <f t="shared" si="95"/>
        <v>170.57593536612521</v>
      </c>
      <c r="Z29" s="217">
        <f t="shared" si="13"/>
        <v>10</v>
      </c>
      <c r="AA29" s="173">
        <f t="shared" si="14"/>
        <v>7.5716658328853255</v>
      </c>
      <c r="AB29" s="173">
        <f t="shared" si="15"/>
        <v>3.922919935759257</v>
      </c>
      <c r="AC29" s="173"/>
      <c r="AD29" s="173">
        <f t="shared" si="16"/>
        <v>7.5716658328853255</v>
      </c>
      <c r="AE29" s="545">
        <f t="shared" si="17"/>
        <v>63.394239866643318</v>
      </c>
      <c r="AF29" s="528">
        <f t="shared" si="18"/>
        <v>3.922919935759257</v>
      </c>
      <c r="AH29" s="173">
        <f t="shared" si="19"/>
        <v>4.1679045780138217</v>
      </c>
      <c r="AI29" s="173">
        <f t="shared" si="20"/>
        <v>10</v>
      </c>
      <c r="AJ29" s="173">
        <f t="shared" si="21"/>
        <v>1.0362252799237961</v>
      </c>
      <c r="AL29" s="545">
        <f t="shared" si="22"/>
        <v>2400</v>
      </c>
      <c r="AM29" s="460">
        <f t="shared" si="23"/>
        <v>63.394239866643318</v>
      </c>
      <c r="AO29">
        <f t="shared" si="96"/>
        <v>2400</v>
      </c>
      <c r="AP29" s="460">
        <f t="shared" si="24"/>
        <v>63.394239866643318</v>
      </c>
      <c r="AQ29" s="460"/>
      <c r="AR29" s="5">
        <f t="shared" si="97"/>
        <v>15.774303818511095</v>
      </c>
      <c r="AS29" s="5">
        <f t="shared" si="25"/>
        <v>2.0788826831142475</v>
      </c>
      <c r="AT29" s="5">
        <f t="shared" si="98"/>
        <v>13.695421135396847</v>
      </c>
      <c r="AU29" s="173">
        <f t="shared" si="99"/>
        <v>0.13178918746795565</v>
      </c>
      <c r="AW29" s="5">
        <f t="shared" si="26"/>
        <v>33.262122929827953</v>
      </c>
      <c r="AX29" s="5">
        <f t="shared" si="27"/>
        <v>1.5591620123356857</v>
      </c>
      <c r="AY29" s="5">
        <f t="shared" si="28"/>
        <v>2.9452938451379342</v>
      </c>
      <c r="AZ29" s="5"/>
      <c r="BA29" s="173">
        <f t="shared" si="100"/>
        <v>2.0959420115066454</v>
      </c>
      <c r="BB29" s="173">
        <f t="shared" si="29"/>
        <v>5.3796245610390701</v>
      </c>
      <c r="BC29" s="173">
        <f t="shared" si="30"/>
        <v>0.13248644016990338</v>
      </c>
      <c r="BD29" s="173"/>
      <c r="BE29" s="528">
        <f t="shared" si="31"/>
        <v>8.7859458311970451E-2</v>
      </c>
      <c r="BF29" s="528">
        <f t="shared" si="32"/>
        <v>0.87450620439915039</v>
      </c>
      <c r="BG29" s="528">
        <f t="shared" si="33"/>
        <v>9.1483141951535632E-2</v>
      </c>
      <c r="BH29" s="528">
        <f t="shared" si="34"/>
        <v>3.4314165942484147E-2</v>
      </c>
      <c r="BI29">
        <f t="shared" si="35"/>
        <v>2.5975491757479017E-2</v>
      </c>
      <c r="BJ29" s="460">
        <f t="shared" si="101"/>
        <v>117.45863370901465</v>
      </c>
      <c r="BK29">
        <f t="shared" si="36"/>
        <v>1.0421573413642105</v>
      </c>
      <c r="BL29" s="460">
        <f t="shared" si="102"/>
        <v>1042.1573413642104</v>
      </c>
      <c r="BM29" s="173">
        <f t="shared" si="37"/>
        <v>1.4909999999999999</v>
      </c>
      <c r="BN29" s="173">
        <f t="shared" si="38"/>
        <v>2.6624999999999999E-2</v>
      </c>
      <c r="BO29" s="528"/>
      <c r="BQ29" s="460">
        <f t="shared" si="103"/>
        <v>1517.6249999999998</v>
      </c>
      <c r="BR29" s="528">
        <f t="shared" si="39"/>
        <v>0.13178918746795568</v>
      </c>
      <c r="BS29" s="528">
        <f t="shared" si="104"/>
        <v>0.86821081253204424</v>
      </c>
      <c r="BT29" s="528">
        <f t="shared" si="40"/>
        <v>8.7763284144466941E-5</v>
      </c>
      <c r="BU29" s="528">
        <f t="shared" si="41"/>
        <v>0.50593474000222638</v>
      </c>
      <c r="BV29" s="528">
        <f t="shared" si="42"/>
        <v>1.8978879257225534</v>
      </c>
      <c r="BW29" s="625">
        <f t="shared" si="43"/>
        <v>6.3394239866643321E-3</v>
      </c>
      <c r="BX29" s="460">
        <f t="shared" si="105"/>
        <v>1904.2273497092176</v>
      </c>
      <c r="BY29" s="173">
        <f t="shared" si="106"/>
        <v>4.4640096910734277</v>
      </c>
      <c r="BZ29" s="5">
        <f t="shared" si="107"/>
        <v>36.479999999999997</v>
      </c>
      <c r="CA29" s="173">
        <f t="shared" si="108"/>
        <v>0.89097282545713474</v>
      </c>
      <c r="CB29" s="5">
        <f t="shared" si="109"/>
        <v>89.097282545713469</v>
      </c>
      <c r="CC29">
        <f t="shared" si="110"/>
        <v>24</v>
      </c>
      <c r="CE29" s="562">
        <f t="shared" si="44"/>
        <v>-50</v>
      </c>
      <c r="CF29">
        <f t="shared" si="45"/>
        <v>-50</v>
      </c>
      <c r="CG29" s="173">
        <f t="shared" si="46"/>
        <v>0.48465277435325971</v>
      </c>
      <c r="CH29" s="173">
        <f t="shared" si="47"/>
        <v>5.5843274774851966E-2</v>
      </c>
      <c r="CI29" s="170">
        <v>24</v>
      </c>
      <c r="CJ29" s="217">
        <f t="shared" si="133"/>
        <v>2.4</v>
      </c>
      <c r="CK29" s="217">
        <f t="shared" si="111"/>
        <v>0.06</v>
      </c>
      <c r="CL29" s="217">
        <f t="shared" si="48"/>
        <v>36</v>
      </c>
      <c r="CM29" s="217">
        <f t="shared" si="134"/>
        <v>0.48</v>
      </c>
      <c r="CN29" s="541">
        <f t="shared" si="112"/>
        <v>58</v>
      </c>
      <c r="CO29" s="443">
        <f t="shared" si="49"/>
        <v>15.7</v>
      </c>
      <c r="CP29" s="443">
        <f t="shared" si="50"/>
        <v>73.7</v>
      </c>
      <c r="CQ29" s="443"/>
      <c r="CR29" s="217">
        <f t="shared" si="113"/>
        <v>0.2098092643051771</v>
      </c>
      <c r="CS29" s="172">
        <f t="shared" si="114"/>
        <v>300.22049333142121</v>
      </c>
      <c r="CT29" s="172">
        <f t="shared" si="51"/>
        <v>4.0563124432334243</v>
      </c>
      <c r="CU29" s="217">
        <f t="shared" si="52"/>
        <v>20.014699555428081</v>
      </c>
      <c r="CV29" s="217">
        <f t="shared" si="53"/>
        <v>37.527561666427651</v>
      </c>
      <c r="CW29" s="443">
        <f t="shared" si="54"/>
        <v>15</v>
      </c>
      <c r="CX29" s="217">
        <f t="shared" si="55"/>
        <v>5.9955933721450956</v>
      </c>
      <c r="CY29" s="217">
        <f t="shared" si="56"/>
        <v>1.2404675942369163</v>
      </c>
      <c r="CZ29" s="217">
        <f t="shared" si="57"/>
        <v>4.5826191379452963</v>
      </c>
      <c r="DA29" s="197">
        <f t="shared" si="58"/>
        <v>102.962460425147</v>
      </c>
      <c r="DB29" s="443">
        <f t="shared" si="115"/>
        <v>171.73022590808091</v>
      </c>
      <c r="DD29" s="217">
        <f t="shared" si="59"/>
        <v>10</v>
      </c>
      <c r="DE29" s="173">
        <f t="shared" si="60"/>
        <v>7.6433121019108281</v>
      </c>
      <c r="DF29" s="173">
        <f t="shared" si="61"/>
        <v>3.9348710990502043</v>
      </c>
      <c r="DG29" s="173"/>
      <c r="DH29" s="173">
        <f t="shared" si="62"/>
        <v>7.6433121019108281</v>
      </c>
      <c r="DI29" s="545">
        <f t="shared" si="63"/>
        <v>62.8</v>
      </c>
      <c r="DJ29" s="528">
        <f t="shared" si="64"/>
        <v>3.9348710990502034</v>
      </c>
      <c r="DL29" s="173">
        <f t="shared" si="65"/>
        <v>4.1679045780138217</v>
      </c>
      <c r="DM29" s="173">
        <f t="shared" si="66"/>
        <v>10</v>
      </c>
      <c r="DN29" s="173">
        <f t="shared" si="67"/>
        <v>1.0358857142857143</v>
      </c>
      <c r="DP29" s="545">
        <f t="shared" si="68"/>
        <v>2400</v>
      </c>
      <c r="DQ29" s="460">
        <f t="shared" si="69"/>
        <v>62.8</v>
      </c>
      <c r="DS29">
        <f t="shared" si="116"/>
        <v>2400</v>
      </c>
      <c r="DT29" s="460">
        <f t="shared" si="70"/>
        <v>62.8</v>
      </c>
      <c r="DU29" s="460"/>
      <c r="DV29" s="5">
        <f t="shared" si="117"/>
        <v>15.923566878980891</v>
      </c>
      <c r="DW29" s="5">
        <f t="shared" si="71"/>
        <v>2.068965517241379</v>
      </c>
      <c r="DX29" s="5">
        <f t="shared" si="118"/>
        <v>13.854601361739512</v>
      </c>
      <c r="DY29" s="173">
        <f t="shared" si="119"/>
        <v>0.12993103448275861</v>
      </c>
      <c r="EA29" s="5">
        <f t="shared" si="72"/>
        <v>33.103448275862064</v>
      </c>
      <c r="EB29" s="5">
        <f t="shared" si="73"/>
        <v>1.5517241379310343</v>
      </c>
      <c r="EC29" s="5">
        <f t="shared" si="74"/>
        <v>2.9653130144032249</v>
      </c>
      <c r="ED29" s="5"/>
      <c r="EE29" s="173">
        <f t="shared" si="120"/>
        <v>2.0811137601675265</v>
      </c>
      <c r="EF29" s="173">
        <f t="shared" si="75"/>
        <v>5.3853782458221735</v>
      </c>
      <c r="EG29" s="173">
        <f t="shared" si="76"/>
        <v>0.13262813875985588</v>
      </c>
      <c r="EH29" s="173"/>
      <c r="EI29" s="528">
        <f t="shared" si="77"/>
        <v>8.6620689655172417E-2</v>
      </c>
      <c r="EJ29" s="528">
        <f t="shared" si="78"/>
        <v>0.92567200000000005</v>
      </c>
      <c r="EK29" s="528">
        <f t="shared" si="79"/>
        <v>7.8499999999999993E-3</v>
      </c>
      <c r="EL29" s="528">
        <f t="shared" si="80"/>
        <v>3.4111013199999998E-2</v>
      </c>
      <c r="EM29">
        <f t="shared" si="81"/>
        <v>2.6099999999999998E-2</v>
      </c>
      <c r="EN29" s="460">
        <f t="shared" si="121"/>
        <v>33.949999999999996</v>
      </c>
      <c r="EO29">
        <f t="shared" si="82"/>
        <v>1.1269348200858631</v>
      </c>
      <c r="EP29" s="460">
        <f t="shared" si="122"/>
        <v>1126.9348200858631</v>
      </c>
      <c r="EQ29" s="173">
        <f t="shared" si="83"/>
        <v>1.4909999999999999</v>
      </c>
      <c r="ER29" s="173">
        <f t="shared" si="84"/>
        <v>2.6624999999999999E-2</v>
      </c>
      <c r="ES29" s="528"/>
      <c r="EU29" s="460">
        <f t="shared" si="123"/>
        <v>1517.6249999999998</v>
      </c>
      <c r="EV29" s="528">
        <f t="shared" si="85"/>
        <v>0.12993103448275861</v>
      </c>
      <c r="EW29" s="528">
        <f t="shared" si="124"/>
        <v>0.87006896551724133</v>
      </c>
      <c r="EX29" s="528">
        <f t="shared" si="86"/>
        <v>8.7951115954517932E-5</v>
      </c>
      <c r="EY29" s="528">
        <f t="shared" si="87"/>
        <v>0.4941617356148893</v>
      </c>
      <c r="EZ29" s="528">
        <f t="shared" si="88"/>
        <v>1.8850913681193842</v>
      </c>
      <c r="FA29" s="625">
        <f t="shared" si="89"/>
        <v>6.28E-3</v>
      </c>
      <c r="FB29" s="460">
        <f t="shared" si="125"/>
        <v>1891.3713681193842</v>
      </c>
      <c r="FC29" s="173">
        <f t="shared" si="126"/>
        <v>4.5359311882052475</v>
      </c>
      <c r="FD29" s="5">
        <f t="shared" si="127"/>
        <v>36.479999999999997</v>
      </c>
      <c r="FE29" s="173">
        <f t="shared" si="128"/>
        <v>0.88941050326538429</v>
      </c>
      <c r="FF29" s="5">
        <f t="shared" si="129"/>
        <v>88.941050326538431</v>
      </c>
      <c r="FG29">
        <f t="shared" si="130"/>
        <v>24</v>
      </c>
      <c r="FI29" s="562">
        <f t="shared" si="90"/>
        <v>-50</v>
      </c>
      <c r="FJ29">
        <f t="shared" si="91"/>
        <v>-50</v>
      </c>
      <c r="FL29">
        <f t="shared" si="92"/>
        <v>0.48465277435325971</v>
      </c>
    </row>
    <row r="30" spans="5:168">
      <c r="E30" s="170">
        <v>25</v>
      </c>
      <c r="F30" s="217">
        <f t="shared" si="131"/>
        <v>2.5</v>
      </c>
      <c r="G30" s="217">
        <f t="shared" si="93"/>
        <v>6.25E-2</v>
      </c>
      <c r="H30" s="217">
        <f t="shared" si="0"/>
        <v>37.5</v>
      </c>
      <c r="I30" s="217">
        <f t="shared" si="132"/>
        <v>0.5</v>
      </c>
      <c r="J30" s="541">
        <f t="shared" si="1"/>
        <v>57.723315016620042</v>
      </c>
      <c r="K30" s="443">
        <f t="shared" si="2"/>
        <v>15.848559966660831</v>
      </c>
      <c r="L30" s="172">
        <f t="shared" si="3"/>
        <v>73.571874983280878</v>
      </c>
      <c r="M30" s="443"/>
      <c r="N30" s="217">
        <f t="shared" si="4"/>
        <v>0.21541601284814879</v>
      </c>
      <c r="O30" s="172">
        <f t="shared" si="94"/>
        <v>306.77285450471948</v>
      </c>
      <c r="P30" s="172">
        <f t="shared" si="5"/>
        <v>4.1448421230859873</v>
      </c>
      <c r="Q30" s="217">
        <f t="shared" si="6"/>
        <v>20.451523633647966</v>
      </c>
      <c r="R30" s="217">
        <f t="shared" si="7"/>
        <v>38.346606813089934</v>
      </c>
      <c r="S30" s="443">
        <f t="shared" si="8"/>
        <v>15</v>
      </c>
      <c r="T30" s="217">
        <f t="shared" si="9"/>
        <v>6.1120140601330633</v>
      </c>
      <c r="U30" s="217">
        <f t="shared" si="10"/>
        <v>1.2706160188561428</v>
      </c>
      <c r="V30" s="217">
        <f t="shared" si="11"/>
        <v>4.6278128029224224</v>
      </c>
      <c r="W30" s="197">
        <f t="shared" si="12"/>
        <v>103.62105307714972</v>
      </c>
      <c r="X30" s="443">
        <f t="shared" si="95"/>
        <v>163.97666173110417</v>
      </c>
      <c r="Z30" s="217">
        <f t="shared" si="13"/>
        <v>10</v>
      </c>
      <c r="AA30" s="173">
        <f t="shared" si="14"/>
        <v>7.5716658328853255</v>
      </c>
      <c r="AB30" s="173">
        <f t="shared" si="15"/>
        <v>3.922919935759257</v>
      </c>
      <c r="AC30" s="173"/>
      <c r="AD30" s="173">
        <f t="shared" si="16"/>
        <v>7.5716658328853255</v>
      </c>
      <c r="AE30" s="545">
        <f t="shared" si="17"/>
        <v>66.035666527753463</v>
      </c>
      <c r="AF30" s="528">
        <f t="shared" si="18"/>
        <v>3.922919935759257</v>
      </c>
      <c r="AH30" s="173">
        <f t="shared" si="19"/>
        <v>4.2538497969766276</v>
      </c>
      <c r="AI30" s="173">
        <f t="shared" si="20"/>
        <v>10</v>
      </c>
      <c r="AJ30" s="173">
        <f t="shared" si="21"/>
        <v>1.0377346665872877</v>
      </c>
      <c r="AL30" s="545">
        <f t="shared" si="22"/>
        <v>2500</v>
      </c>
      <c r="AM30" s="460">
        <f t="shared" si="23"/>
        <v>66.035666527753463</v>
      </c>
      <c r="AO30">
        <f t="shared" si="96"/>
        <v>2500</v>
      </c>
      <c r="AP30" s="460">
        <f t="shared" si="24"/>
        <v>66.035666527753463</v>
      </c>
      <c r="AQ30" s="460"/>
      <c r="AR30" s="5">
        <f t="shared" si="97"/>
        <v>15.143331665770649</v>
      </c>
      <c r="AS30" s="5">
        <f t="shared" si="25"/>
        <v>2.0788826831142475</v>
      </c>
      <c r="AT30" s="5">
        <f t="shared" si="98"/>
        <v>13.064448982656401</v>
      </c>
      <c r="AU30" s="173">
        <f t="shared" si="99"/>
        <v>0.13728040361245383</v>
      </c>
      <c r="AW30" s="5">
        <f t="shared" si="26"/>
        <v>34.648044718570794</v>
      </c>
      <c r="AX30" s="5">
        <f t="shared" si="27"/>
        <v>1.6241270961830059</v>
      </c>
      <c r="AY30" s="5">
        <f t="shared" si="28"/>
        <v>2.9266655985424501</v>
      </c>
      <c r="AZ30" s="5"/>
      <c r="BA30" s="173">
        <f t="shared" si="100"/>
        <v>2.1391618577724456</v>
      </c>
      <c r="BB30" s="173">
        <f t="shared" si="29"/>
        <v>5.3625851862310654</v>
      </c>
      <c r="BC30" s="173">
        <f t="shared" si="30"/>
        <v>0.13206680380208274</v>
      </c>
      <c r="BD30" s="173"/>
      <c r="BE30" s="528">
        <f t="shared" si="31"/>
        <v>9.1520269074969213E-2</v>
      </c>
      <c r="BF30" s="528">
        <f t="shared" si="32"/>
        <v>0.91094396291578172</v>
      </c>
      <c r="BG30" s="528">
        <f t="shared" si="33"/>
        <v>9.5294939532849621E-2</v>
      </c>
      <c r="BH30" s="528">
        <f t="shared" si="34"/>
        <v>3.5743922856754325E-2</v>
      </c>
      <c r="BI30">
        <f t="shared" si="35"/>
        <v>2.5975491757479017E-2</v>
      </c>
      <c r="BJ30" s="460">
        <f t="shared" si="101"/>
        <v>121.27043129032863</v>
      </c>
      <c r="BK30">
        <f t="shared" si="36"/>
        <v>1.0865458005509665</v>
      </c>
      <c r="BL30" s="460">
        <f t="shared" si="102"/>
        <v>1086.5458005509665</v>
      </c>
      <c r="BM30" s="173">
        <f t="shared" si="37"/>
        <v>1.5531249999999999</v>
      </c>
      <c r="BN30" s="173">
        <f t="shared" si="38"/>
        <v>2.7734374999999999E-2</v>
      </c>
      <c r="BO30" s="528"/>
      <c r="BQ30" s="460">
        <f t="shared" si="103"/>
        <v>1580.859375</v>
      </c>
      <c r="BR30" s="528">
        <f t="shared" si="39"/>
        <v>0.13728040361245381</v>
      </c>
      <c r="BS30" s="528">
        <f t="shared" si="104"/>
        <v>0.86271959638754603</v>
      </c>
      <c r="BT30" s="528">
        <f t="shared" si="40"/>
        <v>8.720820333248908E-5</v>
      </c>
      <c r="BU30" s="528">
        <f t="shared" si="41"/>
        <v>0.56029457653045889</v>
      </c>
      <c r="BV30" s="528">
        <f t="shared" si="42"/>
        <v>1.956974312869233</v>
      </c>
      <c r="BW30" s="625">
        <f t="shared" si="43"/>
        <v>6.6035666527753476E-3</v>
      </c>
      <c r="BX30" s="460">
        <f t="shared" si="105"/>
        <v>1963.5778795220083</v>
      </c>
      <c r="BY30" s="173">
        <f t="shared" si="106"/>
        <v>4.6309830550729751</v>
      </c>
      <c r="BZ30" s="5">
        <f t="shared" si="107"/>
        <v>38</v>
      </c>
      <c r="CA30" s="173">
        <f t="shared" si="108"/>
        <v>0.89137048401885488</v>
      </c>
      <c r="CB30" s="5">
        <f t="shared" si="109"/>
        <v>89.137048401885494</v>
      </c>
      <c r="CC30">
        <f t="shared" si="110"/>
        <v>25</v>
      </c>
      <c r="CE30" s="562">
        <f t="shared" si="44"/>
        <v>-50</v>
      </c>
      <c r="CF30">
        <f t="shared" si="45"/>
        <v>-50</v>
      </c>
      <c r="CG30" s="173">
        <f t="shared" si="46"/>
        <v>0.50484663995131218</v>
      </c>
      <c r="CH30" s="173">
        <f t="shared" si="47"/>
        <v>5.8170077890470802E-2</v>
      </c>
      <c r="CI30" s="170">
        <v>25</v>
      </c>
      <c r="CJ30" s="217">
        <f t="shared" si="133"/>
        <v>2.5</v>
      </c>
      <c r="CK30" s="217">
        <f t="shared" si="111"/>
        <v>6.25E-2</v>
      </c>
      <c r="CL30" s="217">
        <f t="shared" si="48"/>
        <v>37.5</v>
      </c>
      <c r="CM30" s="217">
        <f t="shared" si="134"/>
        <v>0.5</v>
      </c>
      <c r="CN30" s="541">
        <f t="shared" si="112"/>
        <v>58</v>
      </c>
      <c r="CO30" s="443">
        <f t="shared" si="49"/>
        <v>15.7</v>
      </c>
      <c r="CP30" s="443">
        <f t="shared" si="50"/>
        <v>73.7</v>
      </c>
      <c r="CQ30" s="443"/>
      <c r="CR30" s="217">
        <f t="shared" si="113"/>
        <v>0.2098092643051771</v>
      </c>
      <c r="CS30" s="172">
        <f t="shared" si="114"/>
        <v>300.22049333142121</v>
      </c>
      <c r="CT30" s="172">
        <f t="shared" si="51"/>
        <v>4.0563124432334243</v>
      </c>
      <c r="CU30" s="217">
        <f t="shared" si="52"/>
        <v>20.014699555428081</v>
      </c>
      <c r="CV30" s="217">
        <f t="shared" si="53"/>
        <v>37.527561666427651</v>
      </c>
      <c r="CW30" s="443">
        <f t="shared" si="54"/>
        <v>15</v>
      </c>
      <c r="CX30" s="217">
        <f t="shared" si="55"/>
        <v>6.2454097626511418</v>
      </c>
      <c r="CY30" s="217">
        <f t="shared" si="56"/>
        <v>1.2921537439967881</v>
      </c>
      <c r="CZ30" s="217">
        <f t="shared" si="57"/>
        <v>4.7735616020263514</v>
      </c>
      <c r="DA30" s="197">
        <f t="shared" si="58"/>
        <v>102.962460425147</v>
      </c>
      <c r="DB30" s="443">
        <f t="shared" si="115"/>
        <v>164.86101687175764</v>
      </c>
      <c r="DD30" s="217">
        <f t="shared" si="59"/>
        <v>10</v>
      </c>
      <c r="DE30" s="173">
        <f t="shared" si="60"/>
        <v>7.6433121019108281</v>
      </c>
      <c r="DF30" s="173">
        <f t="shared" si="61"/>
        <v>3.9348710990502043</v>
      </c>
      <c r="DG30" s="173"/>
      <c r="DH30" s="173">
        <f t="shared" si="62"/>
        <v>7.6433121019108281</v>
      </c>
      <c r="DI30" s="545">
        <f t="shared" si="63"/>
        <v>65.416666666666671</v>
      </c>
      <c r="DJ30" s="528">
        <f t="shared" si="64"/>
        <v>3.9348710990502034</v>
      </c>
      <c r="DL30" s="173">
        <f t="shared" si="65"/>
        <v>4.2538497969766276</v>
      </c>
      <c r="DM30" s="173">
        <f t="shared" si="66"/>
        <v>10</v>
      </c>
      <c r="DN30" s="173">
        <f t="shared" si="67"/>
        <v>1.0373809523809523</v>
      </c>
      <c r="DP30" s="545">
        <f t="shared" si="68"/>
        <v>2500</v>
      </c>
      <c r="DQ30" s="460">
        <f t="shared" si="69"/>
        <v>65.416666666666671</v>
      </c>
      <c r="DS30">
        <f t="shared" si="116"/>
        <v>2500</v>
      </c>
      <c r="DT30" s="460">
        <f t="shared" si="70"/>
        <v>65.416666666666671</v>
      </c>
      <c r="DU30" s="460"/>
      <c r="DV30" s="5">
        <f t="shared" si="117"/>
        <v>15.286624203821654</v>
      </c>
      <c r="DW30" s="5">
        <f t="shared" si="71"/>
        <v>2.068965517241379</v>
      </c>
      <c r="DX30" s="5">
        <f t="shared" si="118"/>
        <v>13.217658686580275</v>
      </c>
      <c r="DY30" s="173">
        <f t="shared" si="119"/>
        <v>0.13534482758620689</v>
      </c>
      <c r="EA30" s="5">
        <f t="shared" si="72"/>
        <v>34.482758620689651</v>
      </c>
      <c r="EB30" s="5">
        <f t="shared" si="73"/>
        <v>1.6163793103448274</v>
      </c>
      <c r="EC30" s="5">
        <f t="shared" si="74"/>
        <v>2.9468620734052333</v>
      </c>
      <c r="ED30" s="5"/>
      <c r="EE30" s="173">
        <f t="shared" si="120"/>
        <v>2.1240278371230361</v>
      </c>
      <c r="EF30" s="173">
        <f t="shared" si="75"/>
        <v>5.3685974965962737</v>
      </c>
      <c r="EG30" s="173">
        <f t="shared" si="76"/>
        <v>0.13221487168088081</v>
      </c>
      <c r="EH30" s="173"/>
      <c r="EI30" s="528">
        <f t="shared" si="77"/>
        <v>9.022988505747126E-2</v>
      </c>
      <c r="EJ30" s="528">
        <f t="shared" si="78"/>
        <v>0.96424166666666677</v>
      </c>
      <c r="EK30" s="528">
        <f t="shared" si="79"/>
        <v>8.1770833333333331E-3</v>
      </c>
      <c r="EL30" s="528">
        <f t="shared" si="80"/>
        <v>3.5532305416666674E-2</v>
      </c>
      <c r="EM30">
        <f t="shared" si="81"/>
        <v>2.6099999999999998E-2</v>
      </c>
      <c r="EN30" s="460">
        <f t="shared" si="121"/>
        <v>34.27708333333333</v>
      </c>
      <c r="EO30">
        <f t="shared" si="82"/>
        <v>1.1738078302754784</v>
      </c>
      <c r="EP30" s="460">
        <f t="shared" si="122"/>
        <v>1173.8078302754784</v>
      </c>
      <c r="EQ30" s="173">
        <f t="shared" si="83"/>
        <v>1.5531249999999999</v>
      </c>
      <c r="ER30" s="173">
        <f t="shared" si="84"/>
        <v>2.7734374999999999E-2</v>
      </c>
      <c r="ES30" s="528"/>
      <c r="EU30" s="460">
        <f t="shared" si="123"/>
        <v>1580.859375</v>
      </c>
      <c r="EV30" s="528">
        <f t="shared" si="85"/>
        <v>0.13534482758620689</v>
      </c>
      <c r="EW30" s="528">
        <f t="shared" si="124"/>
        <v>0.8646551724137933</v>
      </c>
      <c r="EX30" s="528">
        <f t="shared" si="86"/>
        <v>8.7403861467958888E-5</v>
      </c>
      <c r="EY30" s="528">
        <f t="shared" si="87"/>
        <v>0.54725662917055806</v>
      </c>
      <c r="EZ30" s="528">
        <f t="shared" si="88"/>
        <v>1.9428028202568082</v>
      </c>
      <c r="FA30" s="625">
        <f t="shared" si="89"/>
        <v>6.5416666666666679E-3</v>
      </c>
      <c r="FB30" s="460">
        <f t="shared" si="125"/>
        <v>1949.3444869234747</v>
      </c>
      <c r="FC30" s="173">
        <f t="shared" si="126"/>
        <v>4.7040116921989537</v>
      </c>
      <c r="FD30" s="5">
        <f t="shared" si="127"/>
        <v>38</v>
      </c>
      <c r="FE30" s="173">
        <f t="shared" si="128"/>
        <v>0.88984614077702051</v>
      </c>
      <c r="FF30" s="5">
        <f t="shared" si="129"/>
        <v>88.984614077702048</v>
      </c>
      <c r="FG30">
        <f t="shared" si="130"/>
        <v>25</v>
      </c>
      <c r="FI30" s="562">
        <f t="shared" si="90"/>
        <v>-50</v>
      </c>
      <c r="FJ30">
        <f t="shared" si="91"/>
        <v>-50</v>
      </c>
      <c r="FL30">
        <f t="shared" si="92"/>
        <v>0.50484663995131229</v>
      </c>
    </row>
    <row r="31" spans="5:168">
      <c r="E31" s="170">
        <v>26</v>
      </c>
      <c r="F31" s="217">
        <f t="shared" si="131"/>
        <v>2.6</v>
      </c>
      <c r="G31" s="217">
        <f t="shared" si="93"/>
        <v>6.5000000000000002E-2</v>
      </c>
      <c r="H31" s="217">
        <f t="shared" si="0"/>
        <v>39</v>
      </c>
      <c r="I31" s="217">
        <f t="shared" si="132"/>
        <v>0.52</v>
      </c>
      <c r="J31" s="541">
        <f t="shared" si="1"/>
        <v>57.723315016620042</v>
      </c>
      <c r="K31" s="443">
        <f t="shared" si="2"/>
        <v>15.848559966660831</v>
      </c>
      <c r="L31" s="172">
        <f t="shared" si="3"/>
        <v>73.571874983280878</v>
      </c>
      <c r="M31" s="443"/>
      <c r="N31" s="217">
        <f t="shared" si="4"/>
        <v>0.21541601284814879</v>
      </c>
      <c r="O31" s="172">
        <f t="shared" si="94"/>
        <v>306.77285450471948</v>
      </c>
      <c r="P31" s="172">
        <f t="shared" si="5"/>
        <v>4.1448421230859873</v>
      </c>
      <c r="Q31" s="217">
        <f t="shared" si="6"/>
        <v>20.451523633647966</v>
      </c>
      <c r="R31" s="217">
        <f t="shared" si="7"/>
        <v>38.346606813089934</v>
      </c>
      <c r="S31" s="443">
        <f t="shared" si="8"/>
        <v>15</v>
      </c>
      <c r="T31" s="217">
        <f t="shared" si="9"/>
        <v>6.3564946225383867</v>
      </c>
      <c r="U31" s="217">
        <f t="shared" si="10"/>
        <v>1.3214406596103887</v>
      </c>
      <c r="V31" s="217">
        <f t="shared" si="11"/>
        <v>4.8129253150393208</v>
      </c>
      <c r="W31" s="197">
        <f t="shared" si="12"/>
        <v>103.62105307714972</v>
      </c>
      <c r="X31" s="443">
        <f t="shared" si="95"/>
        <v>157.86899651867682</v>
      </c>
      <c r="Z31" s="217">
        <f t="shared" si="13"/>
        <v>10</v>
      </c>
      <c r="AA31" s="173">
        <f t="shared" si="14"/>
        <v>7.5716658328853255</v>
      </c>
      <c r="AB31" s="173">
        <f t="shared" si="15"/>
        <v>3.922919935759257</v>
      </c>
      <c r="AC31" s="173"/>
      <c r="AD31" s="173">
        <f t="shared" si="16"/>
        <v>7.5716658328853255</v>
      </c>
      <c r="AE31" s="545">
        <f t="shared" si="17"/>
        <v>68.677093188863594</v>
      </c>
      <c r="AF31" s="528">
        <f t="shared" si="18"/>
        <v>3.922919935759257</v>
      </c>
      <c r="AH31" s="173">
        <f t="shared" si="19"/>
        <v>4.3380926245353058</v>
      </c>
      <c r="AI31" s="173">
        <f t="shared" si="20"/>
        <v>10</v>
      </c>
      <c r="AJ31" s="173">
        <f t="shared" si="21"/>
        <v>1.0392440532507792</v>
      </c>
      <c r="AL31" s="545">
        <f t="shared" si="22"/>
        <v>2600</v>
      </c>
      <c r="AM31" s="460">
        <f t="shared" si="23"/>
        <v>68.677093188863594</v>
      </c>
      <c r="AO31">
        <f t="shared" si="96"/>
        <v>2600</v>
      </c>
      <c r="AP31" s="460">
        <f t="shared" si="24"/>
        <v>68.677093188863594</v>
      </c>
      <c r="AQ31" s="460"/>
      <c r="AR31" s="5">
        <f t="shared" si="97"/>
        <v>14.560895832471779</v>
      </c>
      <c r="AS31" s="5">
        <f t="shared" si="25"/>
        <v>2.0788826831142475</v>
      </c>
      <c r="AT31" s="5">
        <f t="shared" si="98"/>
        <v>12.482013149357531</v>
      </c>
      <c r="AU31" s="173">
        <f t="shared" si="99"/>
        <v>0.14277161975695196</v>
      </c>
      <c r="AW31" s="5">
        <f t="shared" si="26"/>
        <v>36.033966507313629</v>
      </c>
      <c r="AX31" s="5">
        <f t="shared" si="27"/>
        <v>1.689092180030326</v>
      </c>
      <c r="AY31" s="5">
        <f t="shared" si="28"/>
        <v>2.9080373519469664</v>
      </c>
      <c r="AZ31" s="5"/>
      <c r="BA31" s="173">
        <f t="shared" si="100"/>
        <v>2.1815256111030186</v>
      </c>
      <c r="BB31" s="173">
        <f t="shared" si="29"/>
        <v>5.3454914967133691</v>
      </c>
      <c r="BC31" s="173">
        <f t="shared" si="30"/>
        <v>0.13164582980141162</v>
      </c>
      <c r="BD31" s="173"/>
      <c r="BE31" s="528">
        <f t="shared" si="31"/>
        <v>9.5181079837967975E-2</v>
      </c>
      <c r="BF31" s="528">
        <f t="shared" si="32"/>
        <v>0.94738172143241295</v>
      </c>
      <c r="BG31" s="528">
        <f t="shared" si="33"/>
        <v>9.9106737114163596E-2</v>
      </c>
      <c r="BH31" s="528">
        <f t="shared" si="34"/>
        <v>3.7173679771024495E-2</v>
      </c>
      <c r="BI31">
        <f t="shared" si="35"/>
        <v>2.5975491757479017E-2</v>
      </c>
      <c r="BJ31" s="460">
        <f t="shared" si="101"/>
        <v>125.08222887164261</v>
      </c>
      <c r="BK31">
        <f t="shared" si="36"/>
        <v>1.1310132653827185</v>
      </c>
      <c r="BL31" s="460">
        <f t="shared" si="102"/>
        <v>1131.0132653827186</v>
      </c>
      <c r="BM31" s="173">
        <f t="shared" si="37"/>
        <v>1.6152499999999999</v>
      </c>
      <c r="BN31" s="173">
        <f t="shared" si="38"/>
        <v>2.8843749999999998E-2</v>
      </c>
      <c r="BO31" s="528"/>
      <c r="BQ31" s="460">
        <f t="shared" si="103"/>
        <v>1644.09375</v>
      </c>
      <c r="BR31" s="528">
        <f t="shared" si="39"/>
        <v>0.14277161975695196</v>
      </c>
      <c r="BS31" s="528">
        <f t="shared" si="104"/>
        <v>0.85722838024304804</v>
      </c>
      <c r="BT31" s="528">
        <f t="shared" si="40"/>
        <v>8.6653122520511191E-5</v>
      </c>
      <c r="BU31" s="528">
        <f t="shared" si="41"/>
        <v>0.61801606843653378</v>
      </c>
      <c r="BV31" s="528">
        <f t="shared" si="42"/>
        <v>2.0197146950817975</v>
      </c>
      <c r="BW31" s="625">
        <f t="shared" si="43"/>
        <v>6.8677093188863605E-3</v>
      </c>
      <c r="BX31" s="460">
        <f t="shared" si="105"/>
        <v>2026.582404400684</v>
      </c>
      <c r="BY31" s="173">
        <f t="shared" si="106"/>
        <v>4.8016894197834024</v>
      </c>
      <c r="BZ31" s="5">
        <f t="shared" si="107"/>
        <v>39.520000000000003</v>
      </c>
      <c r="CA31" s="173">
        <f t="shared" si="108"/>
        <v>0.89166276189733595</v>
      </c>
      <c r="CB31" s="5">
        <f t="shared" si="109"/>
        <v>89.166276189733594</v>
      </c>
      <c r="CC31">
        <f t="shared" si="110"/>
        <v>26</v>
      </c>
      <c r="CE31" s="562">
        <f t="shared" si="44"/>
        <v>-50</v>
      </c>
      <c r="CF31">
        <f t="shared" si="45"/>
        <v>-50</v>
      </c>
      <c r="CG31" s="173">
        <f t="shared" si="46"/>
        <v>0.52504050554936466</v>
      </c>
      <c r="CH31" s="173">
        <f t="shared" si="47"/>
        <v>6.0496881006089638E-2</v>
      </c>
      <c r="CI31" s="170">
        <v>26</v>
      </c>
      <c r="CJ31" s="217">
        <f t="shared" si="133"/>
        <v>2.6</v>
      </c>
      <c r="CK31" s="217">
        <f t="shared" si="111"/>
        <v>6.5000000000000002E-2</v>
      </c>
      <c r="CL31" s="217">
        <f t="shared" si="48"/>
        <v>39</v>
      </c>
      <c r="CM31" s="217">
        <f t="shared" si="134"/>
        <v>0.52</v>
      </c>
      <c r="CN31" s="541">
        <f t="shared" si="112"/>
        <v>58</v>
      </c>
      <c r="CO31" s="443">
        <f t="shared" si="49"/>
        <v>15.7</v>
      </c>
      <c r="CP31" s="443">
        <f t="shared" si="50"/>
        <v>73.7</v>
      </c>
      <c r="CQ31" s="443"/>
      <c r="CR31" s="217">
        <f t="shared" si="113"/>
        <v>0.2098092643051771</v>
      </c>
      <c r="CS31" s="172">
        <f t="shared" si="114"/>
        <v>300.22049333142121</v>
      </c>
      <c r="CT31" s="172">
        <f t="shared" si="51"/>
        <v>4.0563124432334243</v>
      </c>
      <c r="CU31" s="217">
        <f t="shared" si="52"/>
        <v>20.014699555428081</v>
      </c>
      <c r="CV31" s="217">
        <f t="shared" si="53"/>
        <v>37.527561666427651</v>
      </c>
      <c r="CW31" s="443">
        <f t="shared" si="54"/>
        <v>15</v>
      </c>
      <c r="CX31" s="217">
        <f t="shared" si="55"/>
        <v>6.495226153157188</v>
      </c>
      <c r="CY31" s="217">
        <f t="shared" si="56"/>
        <v>1.3438398937566596</v>
      </c>
      <c r="CZ31" s="217">
        <f t="shared" si="57"/>
        <v>4.9645040661074056</v>
      </c>
      <c r="DA31" s="197">
        <f t="shared" si="58"/>
        <v>102.962460425147</v>
      </c>
      <c r="DB31" s="443">
        <f t="shared" si="115"/>
        <v>158.52020853053617</v>
      </c>
      <c r="DD31" s="217">
        <f t="shared" si="59"/>
        <v>10</v>
      </c>
      <c r="DE31" s="173">
        <f t="shared" si="60"/>
        <v>7.6433121019108281</v>
      </c>
      <c r="DF31" s="173">
        <f t="shared" si="61"/>
        <v>3.9348710990502043</v>
      </c>
      <c r="DG31" s="173"/>
      <c r="DH31" s="173">
        <f t="shared" si="62"/>
        <v>7.6433121019108281</v>
      </c>
      <c r="DI31" s="545">
        <f t="shared" si="63"/>
        <v>68.033333333333346</v>
      </c>
      <c r="DJ31" s="528">
        <f t="shared" si="64"/>
        <v>3.9348710990502034</v>
      </c>
      <c r="DL31" s="173">
        <f t="shared" si="65"/>
        <v>4.3380926245353058</v>
      </c>
      <c r="DM31" s="173">
        <f t="shared" si="66"/>
        <v>10</v>
      </c>
      <c r="DN31" s="173">
        <f t="shared" si="67"/>
        <v>1.0388761904761905</v>
      </c>
      <c r="DP31" s="545">
        <f t="shared" si="68"/>
        <v>2600</v>
      </c>
      <c r="DQ31" s="460">
        <f t="shared" si="69"/>
        <v>68.033333333333346</v>
      </c>
      <c r="DS31">
        <f t="shared" si="116"/>
        <v>2600</v>
      </c>
      <c r="DT31" s="460">
        <f t="shared" si="70"/>
        <v>68.033333333333346</v>
      </c>
      <c r="DU31" s="460"/>
      <c r="DV31" s="5">
        <f t="shared" si="117"/>
        <v>14.698677119059282</v>
      </c>
      <c r="DW31" s="5">
        <f t="shared" si="71"/>
        <v>2.068965517241379</v>
      </c>
      <c r="DX31" s="5">
        <f t="shared" si="118"/>
        <v>12.629711601817903</v>
      </c>
      <c r="DY31" s="173">
        <f t="shared" si="119"/>
        <v>0.1407586206896552</v>
      </c>
      <c r="EA31" s="5">
        <f t="shared" si="72"/>
        <v>35.862068965517238</v>
      </c>
      <c r="EB31" s="5">
        <f t="shared" si="73"/>
        <v>1.6810344827586206</v>
      </c>
      <c r="EC31" s="5">
        <f t="shared" si="74"/>
        <v>2.9284111324072422</v>
      </c>
      <c r="ED31" s="5"/>
      <c r="EE31" s="173">
        <f t="shared" si="120"/>
        <v>2.1660918777809277</v>
      </c>
      <c r="EF31" s="173">
        <f t="shared" si="75"/>
        <v>5.3517641306717572</v>
      </c>
      <c r="EG31" s="173">
        <f t="shared" si="76"/>
        <v>0.13180030878673976</v>
      </c>
      <c r="EH31" s="173"/>
      <c r="EI31" s="528">
        <f t="shared" si="77"/>
        <v>9.3839080459770102E-2</v>
      </c>
      <c r="EJ31" s="528">
        <f t="shared" si="78"/>
        <v>1.0028113333333335</v>
      </c>
      <c r="EK31" s="528">
        <f t="shared" si="79"/>
        <v>8.5041666666666668E-3</v>
      </c>
      <c r="EL31" s="528">
        <f t="shared" si="80"/>
        <v>3.6953597633333342E-2</v>
      </c>
      <c r="EM31">
        <f t="shared" si="81"/>
        <v>2.6099999999999998E-2</v>
      </c>
      <c r="EN31" s="460">
        <f t="shared" si="121"/>
        <v>34.604166666666664</v>
      </c>
      <c r="EO31">
        <f t="shared" si="82"/>
        <v>1.2207630651757346</v>
      </c>
      <c r="EP31" s="460">
        <f t="shared" si="122"/>
        <v>1220.7630651757347</v>
      </c>
      <c r="EQ31" s="173">
        <f t="shared" si="83"/>
        <v>1.6152499999999999</v>
      </c>
      <c r="ER31" s="173">
        <f t="shared" si="84"/>
        <v>2.8843749999999998E-2</v>
      </c>
      <c r="ES31" s="528"/>
      <c r="EU31" s="460">
        <f t="shared" si="123"/>
        <v>1644.09375</v>
      </c>
      <c r="EV31" s="528">
        <f t="shared" si="85"/>
        <v>0.14075862068965514</v>
      </c>
      <c r="EW31" s="528">
        <f t="shared" si="124"/>
        <v>0.85924137931034483</v>
      </c>
      <c r="EX31" s="528">
        <f t="shared" si="86"/>
        <v>8.6856606981399763E-5</v>
      </c>
      <c r="EY31" s="528">
        <f t="shared" si="87"/>
        <v>0.60363495302802295</v>
      </c>
      <c r="EZ31" s="528">
        <f t="shared" si="88"/>
        <v>2.0040832398372888</v>
      </c>
      <c r="FA31" s="625">
        <f t="shared" si="89"/>
        <v>6.8033333333333348E-3</v>
      </c>
      <c r="FB31" s="460">
        <f t="shared" si="125"/>
        <v>2010.8865731706223</v>
      </c>
      <c r="FC31" s="173">
        <f t="shared" si="126"/>
        <v>4.8757433883463568</v>
      </c>
      <c r="FD31" s="5">
        <f t="shared" si="127"/>
        <v>39.520000000000003</v>
      </c>
      <c r="FE31" s="173">
        <f t="shared" si="128"/>
        <v>0.89017543088092055</v>
      </c>
      <c r="FF31" s="5">
        <f t="shared" si="129"/>
        <v>89.017543088092054</v>
      </c>
      <c r="FG31">
        <f t="shared" si="130"/>
        <v>26</v>
      </c>
      <c r="FI31" s="562">
        <f t="shared" si="90"/>
        <v>-50</v>
      </c>
      <c r="FJ31">
        <f t="shared" si="91"/>
        <v>-50</v>
      </c>
      <c r="FL31">
        <f t="shared" si="92"/>
        <v>0.52504050554936477</v>
      </c>
    </row>
    <row r="32" spans="5:168">
      <c r="E32" s="170">
        <v>27</v>
      </c>
      <c r="F32" s="217">
        <f t="shared" si="131"/>
        <v>2.7</v>
      </c>
      <c r="G32" s="217">
        <f t="shared" si="93"/>
        <v>6.7500000000000004E-2</v>
      </c>
      <c r="H32" s="217">
        <f t="shared" si="0"/>
        <v>40.5</v>
      </c>
      <c r="I32" s="217">
        <f t="shared" si="132"/>
        <v>0.54</v>
      </c>
      <c r="J32" s="541">
        <f t="shared" si="1"/>
        <v>57.723315016620042</v>
      </c>
      <c r="K32" s="443">
        <f t="shared" si="2"/>
        <v>15.848559966660831</v>
      </c>
      <c r="L32" s="172">
        <f t="shared" si="3"/>
        <v>73.571874983280878</v>
      </c>
      <c r="M32" s="443"/>
      <c r="N32" s="217">
        <f t="shared" si="4"/>
        <v>0.21541601284814879</v>
      </c>
      <c r="O32" s="172">
        <f t="shared" si="94"/>
        <v>306.77285450471948</v>
      </c>
      <c r="P32" s="172">
        <f t="shared" si="5"/>
        <v>4.1448421230859873</v>
      </c>
      <c r="Q32" s="217">
        <f t="shared" si="6"/>
        <v>20.451523633647966</v>
      </c>
      <c r="R32" s="217">
        <f t="shared" si="7"/>
        <v>38.346606813089934</v>
      </c>
      <c r="S32" s="443">
        <f t="shared" si="8"/>
        <v>15</v>
      </c>
      <c r="T32" s="217">
        <f t="shared" si="9"/>
        <v>6.6009751849437084</v>
      </c>
      <c r="U32" s="217">
        <f t="shared" si="10"/>
        <v>1.3722653003646341</v>
      </c>
      <c r="V32" s="217">
        <f t="shared" si="11"/>
        <v>4.9980378271562174</v>
      </c>
      <c r="W32" s="197">
        <f t="shared" si="12"/>
        <v>103.62105307714972</v>
      </c>
      <c r="X32" s="443">
        <f t="shared" si="95"/>
        <v>152.19997929948269</v>
      </c>
      <c r="Z32" s="217">
        <f t="shared" si="13"/>
        <v>10</v>
      </c>
      <c r="AA32" s="173">
        <f t="shared" si="14"/>
        <v>7.5716658328853255</v>
      </c>
      <c r="AB32" s="173">
        <f t="shared" si="15"/>
        <v>3.922919935759257</v>
      </c>
      <c r="AC32" s="173"/>
      <c r="AD32" s="173">
        <f t="shared" si="16"/>
        <v>7.5716658328853255</v>
      </c>
      <c r="AE32" s="545">
        <f t="shared" si="17"/>
        <v>71.31851984997374</v>
      </c>
      <c r="AF32" s="528">
        <f t="shared" si="18"/>
        <v>3.922919935759257</v>
      </c>
      <c r="AH32" s="173">
        <f t="shared" si="19"/>
        <v>4.4207303856780431</v>
      </c>
      <c r="AI32" s="173">
        <f t="shared" si="20"/>
        <v>10</v>
      </c>
      <c r="AJ32" s="173">
        <f t="shared" si="21"/>
        <v>1.0407534399142706</v>
      </c>
      <c r="AL32" s="545">
        <f t="shared" si="22"/>
        <v>2700</v>
      </c>
      <c r="AM32" s="460">
        <f t="shared" si="23"/>
        <v>71.31851984997374</v>
      </c>
      <c r="AO32">
        <f t="shared" si="96"/>
        <v>2700</v>
      </c>
      <c r="AP32" s="460">
        <f t="shared" si="24"/>
        <v>71.31851984997374</v>
      </c>
      <c r="AQ32" s="460"/>
      <c r="AR32" s="5">
        <f t="shared" si="97"/>
        <v>14.021603394232084</v>
      </c>
      <c r="AS32" s="5">
        <f t="shared" si="25"/>
        <v>2.0788826831142475</v>
      </c>
      <c r="AT32" s="5">
        <f t="shared" si="98"/>
        <v>11.942720711117836</v>
      </c>
      <c r="AU32" s="173">
        <f t="shared" si="99"/>
        <v>0.14826283590145012</v>
      </c>
      <c r="AW32" s="5">
        <f t="shared" si="26"/>
        <v>37.419888296056456</v>
      </c>
      <c r="AX32" s="5">
        <f t="shared" si="27"/>
        <v>1.7540572638776464</v>
      </c>
      <c r="AY32" s="5">
        <f t="shared" si="28"/>
        <v>2.8894091053514819</v>
      </c>
      <c r="AZ32" s="5"/>
      <c r="BA32" s="173">
        <f t="shared" si="100"/>
        <v>2.2230822139651827</v>
      </c>
      <c r="BB32" s="173">
        <f t="shared" si="29"/>
        <v>5.3283429697500706</v>
      </c>
      <c r="BC32" s="173">
        <f t="shared" si="30"/>
        <v>0.13122350529423707</v>
      </c>
      <c r="BD32" s="173"/>
      <c r="BE32" s="528">
        <f t="shared" si="31"/>
        <v>9.8841890600966778E-2</v>
      </c>
      <c r="BF32" s="528">
        <f t="shared" si="32"/>
        <v>0.98381947994904428</v>
      </c>
      <c r="BG32" s="528">
        <f t="shared" si="33"/>
        <v>0.1029185346954776</v>
      </c>
      <c r="BH32" s="528">
        <f t="shared" si="34"/>
        <v>3.860343668529468E-2</v>
      </c>
      <c r="BI32">
        <f t="shared" si="35"/>
        <v>2.5975491757479017E-2</v>
      </c>
      <c r="BJ32" s="460">
        <f t="shared" si="101"/>
        <v>128.89402645295661</v>
      </c>
      <c r="BK32">
        <f t="shared" si="36"/>
        <v>1.175559946976902</v>
      </c>
      <c r="BL32" s="460">
        <f t="shared" si="102"/>
        <v>1175.559946976902</v>
      </c>
      <c r="BM32" s="173">
        <f t="shared" si="37"/>
        <v>1.6773749999999998</v>
      </c>
      <c r="BN32" s="173">
        <f t="shared" si="38"/>
        <v>2.9953125000000001E-2</v>
      </c>
      <c r="BO32" s="528"/>
      <c r="BQ32" s="460">
        <f t="shared" si="103"/>
        <v>1707.3281249999998</v>
      </c>
      <c r="BR32" s="528">
        <f t="shared" si="39"/>
        <v>0.14826283590145015</v>
      </c>
      <c r="BS32" s="528">
        <f t="shared" si="104"/>
        <v>0.85173716409855005</v>
      </c>
      <c r="BT32" s="528">
        <f t="shared" si="40"/>
        <v>8.6098041708533316E-5</v>
      </c>
      <c r="BU32" s="528">
        <f t="shared" si="41"/>
        <v>0.67916579824142853</v>
      </c>
      <c r="BV32" s="528">
        <f t="shared" si="42"/>
        <v>2.0861814446783806</v>
      </c>
      <c r="BW32" s="625">
        <f t="shared" si="43"/>
        <v>7.1318519849973743E-3</v>
      </c>
      <c r="BX32" s="460">
        <f t="shared" si="105"/>
        <v>2093.313296663378</v>
      </c>
      <c r="BY32" s="173">
        <f t="shared" si="106"/>
        <v>4.9762013686402797</v>
      </c>
      <c r="BZ32" s="5">
        <f t="shared" si="107"/>
        <v>41.04</v>
      </c>
      <c r="CA32" s="173">
        <f t="shared" si="108"/>
        <v>0.89185979675342064</v>
      </c>
      <c r="CB32" s="5">
        <f t="shared" si="109"/>
        <v>89.185979675342068</v>
      </c>
      <c r="CC32">
        <f t="shared" si="110"/>
        <v>27</v>
      </c>
      <c r="CE32" s="562">
        <f t="shared" si="44"/>
        <v>-50</v>
      </c>
      <c r="CF32">
        <f t="shared" si="45"/>
        <v>-50</v>
      </c>
      <c r="CG32" s="173">
        <f t="shared" si="46"/>
        <v>0.54523437114741724</v>
      </c>
      <c r="CH32" s="173">
        <f t="shared" si="47"/>
        <v>6.2823684121708467E-2</v>
      </c>
      <c r="CI32" s="170">
        <v>27</v>
      </c>
      <c r="CJ32" s="217">
        <f t="shared" si="133"/>
        <v>2.7</v>
      </c>
      <c r="CK32" s="217">
        <f t="shared" si="111"/>
        <v>6.7500000000000004E-2</v>
      </c>
      <c r="CL32" s="217">
        <f t="shared" si="48"/>
        <v>40.5</v>
      </c>
      <c r="CM32" s="217">
        <f t="shared" si="134"/>
        <v>0.54</v>
      </c>
      <c r="CN32" s="541">
        <f t="shared" si="112"/>
        <v>58</v>
      </c>
      <c r="CO32" s="443">
        <f t="shared" si="49"/>
        <v>15.7</v>
      </c>
      <c r="CP32" s="443">
        <f t="shared" si="50"/>
        <v>73.7</v>
      </c>
      <c r="CQ32" s="443"/>
      <c r="CR32" s="217">
        <f t="shared" si="113"/>
        <v>0.2098092643051771</v>
      </c>
      <c r="CS32" s="172">
        <f t="shared" si="114"/>
        <v>300.22049333142121</v>
      </c>
      <c r="CT32" s="172">
        <f t="shared" si="51"/>
        <v>4.0563124432334243</v>
      </c>
      <c r="CU32" s="217">
        <f t="shared" si="52"/>
        <v>20.014699555428081</v>
      </c>
      <c r="CV32" s="217">
        <f t="shared" si="53"/>
        <v>37.527561666427651</v>
      </c>
      <c r="CW32" s="443">
        <f t="shared" si="54"/>
        <v>15</v>
      </c>
      <c r="CX32" s="217">
        <f t="shared" si="55"/>
        <v>6.7450425436632333</v>
      </c>
      <c r="CY32" s="217">
        <f t="shared" si="56"/>
        <v>1.3955260435165311</v>
      </c>
      <c r="CZ32" s="217">
        <f t="shared" si="57"/>
        <v>5.1554465301884589</v>
      </c>
      <c r="DA32" s="197">
        <f t="shared" si="58"/>
        <v>102.962460425147</v>
      </c>
      <c r="DB32" s="443">
        <f t="shared" si="115"/>
        <v>152.64908969607191</v>
      </c>
      <c r="DD32" s="217">
        <f t="shared" si="59"/>
        <v>10</v>
      </c>
      <c r="DE32" s="173">
        <f t="shared" si="60"/>
        <v>7.6433121019108281</v>
      </c>
      <c r="DF32" s="173">
        <f t="shared" si="61"/>
        <v>3.9348710990502043</v>
      </c>
      <c r="DG32" s="173"/>
      <c r="DH32" s="173">
        <f t="shared" si="62"/>
        <v>7.6433121019108281</v>
      </c>
      <c r="DI32" s="545">
        <f t="shared" si="63"/>
        <v>70.65000000000002</v>
      </c>
      <c r="DJ32" s="528">
        <f t="shared" si="64"/>
        <v>3.9348710990502034</v>
      </c>
      <c r="DL32" s="173">
        <f t="shared" si="65"/>
        <v>4.4207303856780431</v>
      </c>
      <c r="DM32" s="173">
        <f t="shared" si="66"/>
        <v>10</v>
      </c>
      <c r="DN32" s="173">
        <f t="shared" si="67"/>
        <v>1.0403714285714285</v>
      </c>
      <c r="DP32" s="545">
        <f t="shared" si="68"/>
        <v>2700</v>
      </c>
      <c r="DQ32" s="460">
        <f t="shared" si="69"/>
        <v>70.65000000000002</v>
      </c>
      <c r="DS32">
        <f t="shared" si="116"/>
        <v>2700</v>
      </c>
      <c r="DT32" s="460">
        <f t="shared" si="70"/>
        <v>70.65000000000002</v>
      </c>
      <c r="DU32" s="460"/>
      <c r="DV32" s="5">
        <f t="shared" si="117"/>
        <v>14.154281670205233</v>
      </c>
      <c r="DW32" s="5">
        <f t="shared" si="71"/>
        <v>2.068965517241379</v>
      </c>
      <c r="DX32" s="5">
        <f t="shared" si="118"/>
        <v>12.085316152963854</v>
      </c>
      <c r="DY32" s="173">
        <f t="shared" si="119"/>
        <v>0.14617241379310347</v>
      </c>
      <c r="EA32" s="5">
        <f t="shared" si="72"/>
        <v>37.241379310344826</v>
      </c>
      <c r="EB32" s="5">
        <f t="shared" si="73"/>
        <v>1.7456896551724139</v>
      </c>
      <c r="EC32" s="5">
        <f t="shared" si="74"/>
        <v>2.9099601914092514</v>
      </c>
      <c r="ED32" s="5"/>
      <c r="EE32" s="173">
        <f t="shared" si="120"/>
        <v>2.2073544783526384</v>
      </c>
      <c r="EF32" s="173">
        <f t="shared" si="75"/>
        <v>5.3348776499775408</v>
      </c>
      <c r="EG32" s="173">
        <f t="shared" si="76"/>
        <v>0.13138443781121162</v>
      </c>
      <c r="EH32" s="173"/>
      <c r="EI32" s="528">
        <f t="shared" si="77"/>
        <v>9.7448275862068973E-2</v>
      </c>
      <c r="EJ32" s="528">
        <f t="shared" si="78"/>
        <v>1.0413810000000003</v>
      </c>
      <c r="EK32" s="528">
        <f t="shared" si="79"/>
        <v>8.8312500000000023E-3</v>
      </c>
      <c r="EL32" s="528">
        <f t="shared" si="80"/>
        <v>3.8374889850000017E-2</v>
      </c>
      <c r="EM32">
        <f t="shared" si="81"/>
        <v>2.6099999999999998E-2</v>
      </c>
      <c r="EN32" s="460">
        <f t="shared" si="121"/>
        <v>34.931249999999999</v>
      </c>
      <c r="EO32">
        <f t="shared" si="82"/>
        <v>1.2678007413346482</v>
      </c>
      <c r="EP32" s="460">
        <f t="shared" si="122"/>
        <v>1267.8007413346481</v>
      </c>
      <c r="EQ32" s="173">
        <f t="shared" si="83"/>
        <v>1.6773749999999998</v>
      </c>
      <c r="ER32" s="173">
        <f t="shared" si="84"/>
        <v>2.9953125000000001E-2</v>
      </c>
      <c r="ES32" s="528"/>
      <c r="EU32" s="460">
        <f t="shared" si="123"/>
        <v>1707.3281249999998</v>
      </c>
      <c r="EV32" s="528">
        <f t="shared" si="85"/>
        <v>0.14617241379310345</v>
      </c>
      <c r="EW32" s="528">
        <f t="shared" si="124"/>
        <v>0.85382758620689658</v>
      </c>
      <c r="EX32" s="528">
        <f t="shared" si="86"/>
        <v>8.6309352494840666E-5</v>
      </c>
      <c r="EY32" s="528">
        <f t="shared" si="87"/>
        <v>0.66336174034575923</v>
      </c>
      <c r="EZ32" s="528">
        <f t="shared" si="88"/>
        <v>2.0690033150975733</v>
      </c>
      <c r="FA32" s="625">
        <f t="shared" si="89"/>
        <v>7.0650000000000027E-3</v>
      </c>
      <c r="FB32" s="460">
        <f t="shared" si="125"/>
        <v>2076.0683150975733</v>
      </c>
      <c r="FC32" s="173">
        <f t="shared" si="126"/>
        <v>5.0511971814322214</v>
      </c>
      <c r="FD32" s="5">
        <f t="shared" si="127"/>
        <v>41.04</v>
      </c>
      <c r="FE32" s="173">
        <f t="shared" si="128"/>
        <v>0.89040863569785744</v>
      </c>
      <c r="FF32" s="5">
        <f t="shared" si="129"/>
        <v>89.040863569785742</v>
      </c>
      <c r="FG32">
        <f t="shared" si="130"/>
        <v>27</v>
      </c>
      <c r="FI32" s="562">
        <f t="shared" si="90"/>
        <v>-50</v>
      </c>
      <c r="FJ32">
        <f t="shared" si="91"/>
        <v>-50</v>
      </c>
      <c r="FL32">
        <f t="shared" si="92"/>
        <v>0.54523437114741724</v>
      </c>
    </row>
    <row r="33" spans="5:168">
      <c r="E33" s="170">
        <v>28</v>
      </c>
      <c r="F33" s="217">
        <f t="shared" si="131"/>
        <v>2.8000000000000003</v>
      </c>
      <c r="G33" s="217">
        <f t="shared" si="93"/>
        <v>7.0000000000000007E-2</v>
      </c>
      <c r="H33" s="217">
        <f t="shared" si="0"/>
        <v>42.000000000000007</v>
      </c>
      <c r="I33" s="217">
        <f t="shared" si="132"/>
        <v>0.56000000000000005</v>
      </c>
      <c r="J33" s="541">
        <f t="shared" si="1"/>
        <v>57.723315016620042</v>
      </c>
      <c r="K33" s="443">
        <f t="shared" si="2"/>
        <v>15.848559966660831</v>
      </c>
      <c r="L33" s="172">
        <f t="shared" si="3"/>
        <v>73.571874983280878</v>
      </c>
      <c r="M33" s="443"/>
      <c r="N33" s="217">
        <f t="shared" si="4"/>
        <v>0.21541601284814879</v>
      </c>
      <c r="O33" s="172">
        <f t="shared" si="94"/>
        <v>306.77285450471948</v>
      </c>
      <c r="P33" s="172">
        <f t="shared" si="5"/>
        <v>4.1448421230859873</v>
      </c>
      <c r="Q33" s="217">
        <f t="shared" si="6"/>
        <v>20.451523633647966</v>
      </c>
      <c r="R33" s="217">
        <f t="shared" si="7"/>
        <v>38.346606813089934</v>
      </c>
      <c r="S33" s="443">
        <f t="shared" si="8"/>
        <v>15</v>
      </c>
      <c r="T33" s="217">
        <f t="shared" si="9"/>
        <v>6.8454557473490327</v>
      </c>
      <c r="U33" s="217">
        <f t="shared" si="10"/>
        <v>1.4230899411188804</v>
      </c>
      <c r="V33" s="217">
        <f t="shared" si="11"/>
        <v>5.1831503392731149</v>
      </c>
      <c r="W33" s="197">
        <f t="shared" si="12"/>
        <v>103.62105307714972</v>
      </c>
      <c r="X33" s="443">
        <f t="shared" si="95"/>
        <v>146.92399310099091</v>
      </c>
      <c r="Z33" s="217">
        <f t="shared" si="13"/>
        <v>10</v>
      </c>
      <c r="AA33" s="173">
        <f t="shared" si="14"/>
        <v>7.5716658328853255</v>
      </c>
      <c r="AB33" s="173">
        <f t="shared" si="15"/>
        <v>3.922919935759257</v>
      </c>
      <c r="AC33" s="173"/>
      <c r="AD33" s="173">
        <f t="shared" si="16"/>
        <v>7.5716658328853255</v>
      </c>
      <c r="AE33" s="545">
        <f t="shared" si="17"/>
        <v>73.959946511083885</v>
      </c>
      <c r="AF33" s="528">
        <f t="shared" si="18"/>
        <v>3.922919935759257</v>
      </c>
      <c r="AH33" s="173">
        <f t="shared" si="19"/>
        <v>4.5018514709691022</v>
      </c>
      <c r="AI33" s="173">
        <f t="shared" si="20"/>
        <v>10</v>
      </c>
      <c r="AJ33" s="173">
        <f t="shared" si="21"/>
        <v>1.0422628265777623</v>
      </c>
      <c r="AL33" s="545">
        <f t="shared" si="22"/>
        <v>2800.0000000000005</v>
      </c>
      <c r="AM33" s="460">
        <f t="shared" si="23"/>
        <v>73.959946511083885</v>
      </c>
      <c r="AO33">
        <f t="shared" si="96"/>
        <v>2800.0000000000005</v>
      </c>
      <c r="AP33" s="460">
        <f t="shared" si="24"/>
        <v>73.959946511083885</v>
      </c>
      <c r="AQ33" s="460"/>
      <c r="AR33" s="5">
        <f t="shared" si="97"/>
        <v>13.52083184443808</v>
      </c>
      <c r="AS33" s="5">
        <f t="shared" si="25"/>
        <v>2.0788826831142475</v>
      </c>
      <c r="AT33" s="5">
        <f t="shared" si="98"/>
        <v>11.441949161323832</v>
      </c>
      <c r="AU33" s="173">
        <f t="shared" si="99"/>
        <v>0.15375405204594828</v>
      </c>
      <c r="AW33" s="5">
        <f t="shared" si="26"/>
        <v>38.80581008479929</v>
      </c>
      <c r="AX33" s="5">
        <f t="shared" si="27"/>
        <v>1.819022347724967</v>
      </c>
      <c r="AY33" s="5">
        <f t="shared" si="28"/>
        <v>2.8707808587559982</v>
      </c>
      <c r="AZ33" s="5"/>
      <c r="BA33" s="173">
        <f t="shared" si="100"/>
        <v>2.2638761159123253</v>
      </c>
      <c r="BB33" s="173">
        <f t="shared" si="29"/>
        <v>5.3111390741662055</v>
      </c>
      <c r="BC33" s="173">
        <f t="shared" si="30"/>
        <v>0.13079981719907363</v>
      </c>
      <c r="BD33" s="173"/>
      <c r="BE33" s="528">
        <f t="shared" si="31"/>
        <v>0.10250270136396551</v>
      </c>
      <c r="BF33" s="528">
        <f t="shared" si="32"/>
        <v>1.0202572384656756</v>
      </c>
      <c r="BG33" s="528">
        <f t="shared" si="33"/>
        <v>0.10673033227679159</v>
      </c>
      <c r="BH33" s="528">
        <f t="shared" si="34"/>
        <v>4.0033193599564851E-2</v>
      </c>
      <c r="BI33">
        <f t="shared" si="35"/>
        <v>2.5975491757479017E-2</v>
      </c>
      <c r="BJ33" s="460">
        <f t="shared" si="101"/>
        <v>132.70582403427062</v>
      </c>
      <c r="BK33">
        <f t="shared" si="36"/>
        <v>1.2201860572038135</v>
      </c>
      <c r="BL33" s="460">
        <f t="shared" si="102"/>
        <v>1220.1860572038136</v>
      </c>
      <c r="BM33" s="173">
        <f t="shared" si="37"/>
        <v>1.7394999999999998</v>
      </c>
      <c r="BN33" s="173">
        <f t="shared" si="38"/>
        <v>3.10625E-2</v>
      </c>
      <c r="BO33" s="528"/>
      <c r="BQ33" s="460">
        <f t="shared" si="103"/>
        <v>1770.5624999999998</v>
      </c>
      <c r="BR33" s="528">
        <f t="shared" si="39"/>
        <v>0.15375405204594828</v>
      </c>
      <c r="BS33" s="528">
        <f t="shared" si="104"/>
        <v>0.84624594795405161</v>
      </c>
      <c r="BT33" s="528">
        <f t="shared" si="40"/>
        <v>8.5542960896555401E-5</v>
      </c>
      <c r="BU33" s="528">
        <f t="shared" si="41"/>
        <v>0.74380907941329144</v>
      </c>
      <c r="BV33" s="528">
        <f t="shared" si="42"/>
        <v>2.1564455545476333</v>
      </c>
      <c r="BW33" s="625">
        <f t="shared" si="43"/>
        <v>7.3959946511083889E-3</v>
      </c>
      <c r="BX33" s="460">
        <f t="shared" si="105"/>
        <v>2163.8415491987416</v>
      </c>
      <c r="BY33" s="173">
        <f t="shared" si="106"/>
        <v>5.1545901064025541</v>
      </c>
      <c r="BZ33" s="5">
        <f t="shared" si="107"/>
        <v>42.560000000000009</v>
      </c>
      <c r="CA33" s="173">
        <f t="shared" si="108"/>
        <v>0.89197035760114629</v>
      </c>
      <c r="CB33" s="5">
        <f t="shared" si="109"/>
        <v>89.19703576011463</v>
      </c>
      <c r="CC33">
        <f t="shared" si="110"/>
        <v>28.000000000000004</v>
      </c>
      <c r="CE33" s="562">
        <f t="shared" si="44"/>
        <v>-50</v>
      </c>
      <c r="CF33">
        <f t="shared" si="45"/>
        <v>-50</v>
      </c>
      <c r="CG33" s="173">
        <f t="shared" si="46"/>
        <v>0.56542823674546983</v>
      </c>
      <c r="CH33" s="173">
        <f t="shared" si="47"/>
        <v>6.5150487237327304E-2</v>
      </c>
      <c r="CI33" s="170">
        <v>28</v>
      </c>
      <c r="CJ33" s="217">
        <f t="shared" si="133"/>
        <v>2.8000000000000003</v>
      </c>
      <c r="CK33" s="217">
        <f t="shared" si="111"/>
        <v>7.0000000000000007E-2</v>
      </c>
      <c r="CL33" s="217">
        <f t="shared" si="48"/>
        <v>42.000000000000007</v>
      </c>
      <c r="CM33" s="217">
        <f t="shared" si="134"/>
        <v>0.56000000000000005</v>
      </c>
      <c r="CN33" s="541">
        <f t="shared" si="112"/>
        <v>58</v>
      </c>
      <c r="CO33" s="443">
        <f t="shared" si="49"/>
        <v>15.7</v>
      </c>
      <c r="CP33" s="443">
        <f t="shared" si="50"/>
        <v>73.7</v>
      </c>
      <c r="CQ33" s="443"/>
      <c r="CR33" s="217">
        <f t="shared" si="113"/>
        <v>0.2098092643051771</v>
      </c>
      <c r="CS33" s="172">
        <f t="shared" si="114"/>
        <v>300.22049333142121</v>
      </c>
      <c r="CT33" s="172">
        <f t="shared" si="51"/>
        <v>4.0563124432334243</v>
      </c>
      <c r="CU33" s="217">
        <f t="shared" si="52"/>
        <v>20.014699555428081</v>
      </c>
      <c r="CV33" s="217">
        <f t="shared" si="53"/>
        <v>37.527561666427651</v>
      </c>
      <c r="CW33" s="443">
        <f t="shared" si="54"/>
        <v>15</v>
      </c>
      <c r="CX33" s="217">
        <f t="shared" si="55"/>
        <v>6.9948589341692804</v>
      </c>
      <c r="CY33" s="217">
        <f t="shared" si="56"/>
        <v>1.4472121932764026</v>
      </c>
      <c r="CZ33" s="217">
        <f t="shared" si="57"/>
        <v>5.346388994269514</v>
      </c>
      <c r="DA33" s="197">
        <f t="shared" si="58"/>
        <v>102.962460425147</v>
      </c>
      <c r="DB33" s="443">
        <f t="shared" si="115"/>
        <v>147.19733649264074</v>
      </c>
      <c r="DD33" s="217">
        <f t="shared" si="59"/>
        <v>10</v>
      </c>
      <c r="DE33" s="173">
        <f t="shared" si="60"/>
        <v>7.6433121019108281</v>
      </c>
      <c r="DF33" s="173">
        <f t="shared" si="61"/>
        <v>3.9348710990502043</v>
      </c>
      <c r="DG33" s="173"/>
      <c r="DH33" s="173">
        <f t="shared" si="62"/>
        <v>7.6433121019108281</v>
      </c>
      <c r="DI33" s="545">
        <f t="shared" si="63"/>
        <v>73.26666666666668</v>
      </c>
      <c r="DJ33" s="528">
        <f t="shared" si="64"/>
        <v>3.9348710990502034</v>
      </c>
      <c r="DL33" s="173">
        <f t="shared" si="65"/>
        <v>4.5018514709691022</v>
      </c>
      <c r="DM33" s="173">
        <f t="shared" si="66"/>
        <v>10</v>
      </c>
      <c r="DN33" s="173">
        <f t="shared" si="67"/>
        <v>1.0418666666666667</v>
      </c>
      <c r="DP33" s="545">
        <f t="shared" si="68"/>
        <v>2800.0000000000005</v>
      </c>
      <c r="DQ33" s="460">
        <f t="shared" si="69"/>
        <v>73.26666666666668</v>
      </c>
      <c r="DS33">
        <f t="shared" si="116"/>
        <v>2800.0000000000005</v>
      </c>
      <c r="DT33" s="460">
        <f t="shared" si="70"/>
        <v>73.26666666666668</v>
      </c>
      <c r="DU33" s="460"/>
      <c r="DV33" s="5">
        <f t="shared" si="117"/>
        <v>13.648771610555048</v>
      </c>
      <c r="DW33" s="5">
        <f t="shared" si="71"/>
        <v>2.068965517241379</v>
      </c>
      <c r="DX33" s="5">
        <f t="shared" si="118"/>
        <v>11.579806093313669</v>
      </c>
      <c r="DY33" s="173">
        <f t="shared" si="119"/>
        <v>0.15158620689655172</v>
      </c>
      <c r="EA33" s="5">
        <f t="shared" si="72"/>
        <v>38.620689655172413</v>
      </c>
      <c r="EB33" s="5">
        <f t="shared" si="73"/>
        <v>1.8103448275862069</v>
      </c>
      <c r="EC33" s="5">
        <f t="shared" si="74"/>
        <v>2.8915092504112612</v>
      </c>
      <c r="ED33" s="5"/>
      <c r="EE33" s="173">
        <f t="shared" si="120"/>
        <v>2.247859773922384</v>
      </c>
      <c r="EF33" s="173">
        <f t="shared" si="75"/>
        <v>5.3179375485346716</v>
      </c>
      <c r="EG33" s="173">
        <f t="shared" si="76"/>
        <v>0.13096724629332449</v>
      </c>
      <c r="EH33" s="173"/>
      <c r="EI33" s="528">
        <f t="shared" si="77"/>
        <v>0.10105747126436782</v>
      </c>
      <c r="EJ33" s="528">
        <f t="shared" si="78"/>
        <v>1.0799506666666669</v>
      </c>
      <c r="EK33" s="528">
        <f t="shared" si="79"/>
        <v>9.1583333333333343E-3</v>
      </c>
      <c r="EL33" s="528">
        <f t="shared" si="80"/>
        <v>3.9796182066666679E-2</v>
      </c>
      <c r="EM33">
        <f t="shared" si="81"/>
        <v>2.6099999999999998E-2</v>
      </c>
      <c r="EN33" s="460">
        <f t="shared" si="121"/>
        <v>35.258333333333333</v>
      </c>
      <c r="EO33">
        <f t="shared" si="82"/>
        <v>1.314921076061307</v>
      </c>
      <c r="EP33" s="460">
        <f t="shared" si="122"/>
        <v>1314.9210760613071</v>
      </c>
      <c r="EQ33" s="173">
        <f t="shared" si="83"/>
        <v>1.7394999999999998</v>
      </c>
      <c r="ER33" s="173">
        <f t="shared" si="84"/>
        <v>3.10625E-2</v>
      </c>
      <c r="ES33" s="528"/>
      <c r="EU33" s="460">
        <f t="shared" si="123"/>
        <v>1770.5624999999998</v>
      </c>
      <c r="EV33" s="528">
        <f t="shared" si="85"/>
        <v>0.15158620689655172</v>
      </c>
      <c r="EW33" s="528">
        <f t="shared" si="124"/>
        <v>0.84841379310344855</v>
      </c>
      <c r="EX33" s="528">
        <f t="shared" si="86"/>
        <v>8.5762098008281581E-5</v>
      </c>
      <c r="EY33" s="528">
        <f t="shared" si="87"/>
        <v>0.72650078476004176</v>
      </c>
      <c r="EZ33" s="528">
        <f t="shared" si="88"/>
        <v>2.1376323869441678</v>
      </c>
      <c r="FA33" s="625">
        <f t="shared" si="89"/>
        <v>7.3266666666666688E-3</v>
      </c>
      <c r="FB33" s="460">
        <f t="shared" si="125"/>
        <v>2144.9590536108344</v>
      </c>
      <c r="FC33" s="173">
        <f t="shared" si="126"/>
        <v>5.2304426296721411</v>
      </c>
      <c r="FD33" s="5">
        <f t="shared" si="127"/>
        <v>42.560000000000009</v>
      </c>
      <c r="FE33" s="173">
        <f t="shared" si="128"/>
        <v>0.89055463097082388</v>
      </c>
      <c r="FF33" s="5">
        <f t="shared" si="129"/>
        <v>89.055463097082395</v>
      </c>
      <c r="FG33">
        <f t="shared" si="130"/>
        <v>28.000000000000004</v>
      </c>
      <c r="FI33" s="562">
        <f t="shared" si="90"/>
        <v>-50</v>
      </c>
      <c r="FJ33">
        <f t="shared" si="91"/>
        <v>-50</v>
      </c>
      <c r="FL33">
        <f t="shared" si="92"/>
        <v>0.56542823674546983</v>
      </c>
    </row>
    <row r="34" spans="5:168">
      <c r="E34" s="170">
        <v>29</v>
      </c>
      <c r="F34" s="217">
        <f t="shared" si="131"/>
        <v>2.9</v>
      </c>
      <c r="G34" s="217">
        <f t="shared" si="93"/>
        <v>7.2499999999999995E-2</v>
      </c>
      <c r="H34" s="217">
        <f t="shared" si="0"/>
        <v>43.5</v>
      </c>
      <c r="I34" s="217">
        <f t="shared" si="132"/>
        <v>0.57999999999999996</v>
      </c>
      <c r="J34" s="541">
        <f t="shared" si="1"/>
        <v>57.723315016620042</v>
      </c>
      <c r="K34" s="443">
        <f t="shared" si="2"/>
        <v>15.848559966660831</v>
      </c>
      <c r="L34" s="172">
        <f t="shared" si="3"/>
        <v>73.571874983280878</v>
      </c>
      <c r="M34" s="443"/>
      <c r="N34" s="217">
        <f t="shared" si="4"/>
        <v>0.21541601284814879</v>
      </c>
      <c r="O34" s="172">
        <f t="shared" si="94"/>
        <v>306.77285450471948</v>
      </c>
      <c r="P34" s="172">
        <f t="shared" si="5"/>
        <v>4.1448421230859873</v>
      </c>
      <c r="Q34" s="217">
        <f t="shared" si="6"/>
        <v>20.451523633647966</v>
      </c>
      <c r="R34" s="217">
        <f t="shared" si="7"/>
        <v>38.346606813089934</v>
      </c>
      <c r="S34" s="443">
        <f t="shared" si="8"/>
        <v>15</v>
      </c>
      <c r="T34" s="217">
        <f t="shared" si="9"/>
        <v>7.0899363097543535</v>
      </c>
      <c r="U34" s="217">
        <f t="shared" si="10"/>
        <v>1.4739145818731256</v>
      </c>
      <c r="V34" s="217">
        <f t="shared" si="11"/>
        <v>5.3682628513900106</v>
      </c>
      <c r="W34" s="197">
        <f t="shared" si="12"/>
        <v>103.62105307714972</v>
      </c>
      <c r="X34" s="443">
        <f t="shared" si="95"/>
        <v>142.00153425225892</v>
      </c>
      <c r="Z34" s="217">
        <f t="shared" si="13"/>
        <v>10</v>
      </c>
      <c r="AA34" s="173">
        <f t="shared" si="14"/>
        <v>7.5716658328853255</v>
      </c>
      <c r="AB34" s="173">
        <f t="shared" si="15"/>
        <v>3.922919935759257</v>
      </c>
      <c r="AC34" s="173"/>
      <c r="AD34" s="173">
        <f t="shared" si="16"/>
        <v>7.5716658328853255</v>
      </c>
      <c r="AE34" s="545">
        <f t="shared" si="17"/>
        <v>76.601373172194016</v>
      </c>
      <c r="AF34" s="528">
        <f t="shared" si="18"/>
        <v>3.922919935759257</v>
      </c>
      <c r="AH34" s="173">
        <f t="shared" si="19"/>
        <v>4.5815364443029578</v>
      </c>
      <c r="AI34" s="173">
        <f t="shared" si="20"/>
        <v>10</v>
      </c>
      <c r="AJ34" s="173">
        <f t="shared" si="21"/>
        <v>1.0437722132412537</v>
      </c>
      <c r="AL34" s="545">
        <f t="shared" si="22"/>
        <v>2900</v>
      </c>
      <c r="AM34" s="460">
        <f t="shared" si="23"/>
        <v>76.601373172194016</v>
      </c>
      <c r="AO34">
        <f t="shared" si="96"/>
        <v>2900</v>
      </c>
      <c r="AP34" s="460">
        <f t="shared" si="24"/>
        <v>76.601373172194016</v>
      </c>
      <c r="AQ34" s="460"/>
      <c r="AR34" s="5">
        <f t="shared" si="97"/>
        <v>13.054596263595389</v>
      </c>
      <c r="AS34" s="5">
        <f t="shared" si="25"/>
        <v>2.0788826831142475</v>
      </c>
      <c r="AT34" s="5">
        <f t="shared" si="98"/>
        <v>10.975713580481141</v>
      </c>
      <c r="AU34" s="173">
        <f t="shared" si="99"/>
        <v>0.15924526819044643</v>
      </c>
      <c r="AW34" s="5">
        <f t="shared" si="26"/>
        <v>40.191731873542125</v>
      </c>
      <c r="AX34" s="5">
        <f t="shared" si="27"/>
        <v>1.8839874315722867</v>
      </c>
      <c r="AY34" s="5">
        <f t="shared" si="28"/>
        <v>2.8521526121605145</v>
      </c>
      <c r="AZ34" s="5"/>
      <c r="BA34" s="173">
        <f t="shared" si="100"/>
        <v>2.303947830648128</v>
      </c>
      <c r="BB34" s="173">
        <f t="shared" si="29"/>
        <v>5.2938792701557826</v>
      </c>
      <c r="BC34" s="173">
        <f t="shared" si="30"/>
        <v>0.13037475222187578</v>
      </c>
      <c r="BD34" s="173"/>
      <c r="BE34" s="528">
        <f t="shared" si="31"/>
        <v>0.10616351212696432</v>
      </c>
      <c r="BF34" s="528">
        <f t="shared" si="32"/>
        <v>1.056694996982307</v>
      </c>
      <c r="BG34" s="528">
        <f t="shared" si="33"/>
        <v>0.11054212985810556</v>
      </c>
      <c r="BH34" s="528">
        <f t="shared" si="34"/>
        <v>4.1462950513835022E-2</v>
      </c>
      <c r="BI34">
        <f t="shared" si="35"/>
        <v>2.5975491757479017E-2</v>
      </c>
      <c r="BJ34" s="460">
        <f t="shared" si="101"/>
        <v>136.5176216155846</v>
      </c>
      <c r="BK34">
        <f t="shared" si="36"/>
        <v>1.2648918086899732</v>
      </c>
      <c r="BL34" s="460">
        <f t="shared" si="102"/>
        <v>1264.8918086899732</v>
      </c>
      <c r="BM34" s="173">
        <f t="shared" si="37"/>
        <v>1.8016249999999998</v>
      </c>
      <c r="BN34" s="173">
        <f t="shared" si="38"/>
        <v>3.2171874999999996E-2</v>
      </c>
      <c r="BO34" s="528"/>
      <c r="BQ34" s="460">
        <f t="shared" si="103"/>
        <v>1833.7968749999998</v>
      </c>
      <c r="BR34" s="528">
        <f t="shared" si="39"/>
        <v>0.15924526819044646</v>
      </c>
      <c r="BS34" s="528">
        <f t="shared" si="104"/>
        <v>0.84075473180955362</v>
      </c>
      <c r="BT34" s="528">
        <f t="shared" si="40"/>
        <v>8.4987880084577526E-5</v>
      </c>
      <c r="BU34" s="528">
        <f t="shared" si="41"/>
        <v>0.81201002629429997</v>
      </c>
      <c r="BV34" s="528">
        <f t="shared" si="42"/>
        <v>2.2305767141570749</v>
      </c>
      <c r="BW34" s="625">
        <f t="shared" si="43"/>
        <v>7.6601373172194027E-3</v>
      </c>
      <c r="BX34" s="460">
        <f t="shared" si="105"/>
        <v>2238.2368514742943</v>
      </c>
      <c r="BY34" s="173">
        <f t="shared" si="106"/>
        <v>5.3369255351642666</v>
      </c>
      <c r="BZ34" s="5">
        <f t="shared" si="107"/>
        <v>44.08</v>
      </c>
      <c r="CA34" s="173">
        <f t="shared" si="108"/>
        <v>0.89200207262253495</v>
      </c>
      <c r="CB34" s="5">
        <f t="shared" si="109"/>
        <v>89.2002072622535</v>
      </c>
      <c r="CC34">
        <f t="shared" si="110"/>
        <v>28.999999999999996</v>
      </c>
      <c r="CE34" s="562">
        <f t="shared" si="44"/>
        <v>-50</v>
      </c>
      <c r="CF34">
        <f t="shared" si="45"/>
        <v>-50</v>
      </c>
      <c r="CG34" s="173">
        <f t="shared" si="46"/>
        <v>0.58562210234352219</v>
      </c>
      <c r="CH34" s="173">
        <f t="shared" si="47"/>
        <v>6.7477290352946126E-2</v>
      </c>
      <c r="CI34" s="170">
        <v>29</v>
      </c>
      <c r="CJ34" s="217">
        <f t="shared" si="133"/>
        <v>2.9</v>
      </c>
      <c r="CK34" s="217">
        <f t="shared" si="111"/>
        <v>7.2499999999999995E-2</v>
      </c>
      <c r="CL34" s="217">
        <f t="shared" si="48"/>
        <v>43.5</v>
      </c>
      <c r="CM34" s="217">
        <f t="shared" si="134"/>
        <v>0.57999999999999996</v>
      </c>
      <c r="CN34" s="541">
        <f t="shared" si="112"/>
        <v>58</v>
      </c>
      <c r="CO34" s="443">
        <f t="shared" si="49"/>
        <v>15.7</v>
      </c>
      <c r="CP34" s="443">
        <f t="shared" si="50"/>
        <v>73.7</v>
      </c>
      <c r="CQ34" s="443"/>
      <c r="CR34" s="217">
        <f t="shared" si="113"/>
        <v>0.2098092643051771</v>
      </c>
      <c r="CS34" s="172">
        <f t="shared" si="114"/>
        <v>300.22049333142121</v>
      </c>
      <c r="CT34" s="172">
        <f t="shared" si="51"/>
        <v>4.0563124432334243</v>
      </c>
      <c r="CU34" s="217">
        <f t="shared" si="52"/>
        <v>20.014699555428081</v>
      </c>
      <c r="CV34" s="217">
        <f t="shared" si="53"/>
        <v>37.527561666427651</v>
      </c>
      <c r="CW34" s="443">
        <f t="shared" si="54"/>
        <v>15</v>
      </c>
      <c r="CX34" s="217">
        <f t="shared" si="55"/>
        <v>7.2446753246753248</v>
      </c>
      <c r="CY34" s="217">
        <f t="shared" si="56"/>
        <v>1.4988983430362741</v>
      </c>
      <c r="CZ34" s="217">
        <f t="shared" si="57"/>
        <v>5.5373314583505673</v>
      </c>
      <c r="DA34" s="197">
        <f t="shared" si="58"/>
        <v>102.962460425147</v>
      </c>
      <c r="DB34" s="443">
        <f t="shared" si="115"/>
        <v>142.12156626875657</v>
      </c>
      <c r="DD34" s="217">
        <f t="shared" si="59"/>
        <v>10</v>
      </c>
      <c r="DE34" s="173">
        <f t="shared" si="60"/>
        <v>7.6433121019108281</v>
      </c>
      <c r="DF34" s="173">
        <f t="shared" si="61"/>
        <v>3.9348710990502043</v>
      </c>
      <c r="DG34" s="173"/>
      <c r="DH34" s="173">
        <f t="shared" si="62"/>
        <v>7.6433121019108281</v>
      </c>
      <c r="DI34" s="545">
        <f t="shared" si="63"/>
        <v>75.88333333333334</v>
      </c>
      <c r="DJ34" s="528">
        <f t="shared" si="64"/>
        <v>3.9348710990502034</v>
      </c>
      <c r="DL34" s="173">
        <f t="shared" si="65"/>
        <v>4.5815364443029578</v>
      </c>
      <c r="DM34" s="173">
        <f t="shared" si="66"/>
        <v>10</v>
      </c>
      <c r="DN34" s="173">
        <f t="shared" si="67"/>
        <v>1.0433619047619047</v>
      </c>
      <c r="DP34" s="545">
        <f t="shared" si="68"/>
        <v>2900</v>
      </c>
      <c r="DQ34" s="460">
        <f t="shared" si="69"/>
        <v>75.88333333333334</v>
      </c>
      <c r="DS34">
        <f t="shared" si="116"/>
        <v>2900</v>
      </c>
      <c r="DT34" s="460">
        <f t="shared" si="70"/>
        <v>75.88333333333334</v>
      </c>
      <c r="DU34" s="460"/>
      <c r="DV34" s="5">
        <f t="shared" si="117"/>
        <v>13.178124313639357</v>
      </c>
      <c r="DW34" s="5">
        <f t="shared" si="71"/>
        <v>2.068965517241379</v>
      </c>
      <c r="DX34" s="5">
        <f t="shared" si="118"/>
        <v>11.109158796397978</v>
      </c>
      <c r="DY34" s="173">
        <f t="shared" si="119"/>
        <v>0.157</v>
      </c>
      <c r="EA34" s="5">
        <f t="shared" si="72"/>
        <v>39.999999999999993</v>
      </c>
      <c r="EB34" s="5">
        <f t="shared" si="73"/>
        <v>1.8749999999999996</v>
      </c>
      <c r="EC34" s="5">
        <f t="shared" si="74"/>
        <v>2.8730583094132696</v>
      </c>
      <c r="ED34" s="5"/>
      <c r="EE34" s="173">
        <f t="shared" si="120"/>
        <v>2.2876479915697985</v>
      </c>
      <c r="EF34" s="173">
        <f t="shared" si="75"/>
        <v>5.3009433122794283</v>
      </c>
      <c r="EG34" s="173">
        <f t="shared" si="76"/>
        <v>0.13054872157299927</v>
      </c>
      <c r="EH34" s="173"/>
      <c r="EI34" s="528">
        <f t="shared" si="77"/>
        <v>0.10466666666666666</v>
      </c>
      <c r="EJ34" s="528">
        <f t="shared" si="78"/>
        <v>1.1185203333333336</v>
      </c>
      <c r="EK34" s="528">
        <f t="shared" si="79"/>
        <v>9.485416666666668E-3</v>
      </c>
      <c r="EL34" s="528">
        <f t="shared" si="80"/>
        <v>4.121747428333334E-2</v>
      </c>
      <c r="EM34">
        <f t="shared" si="81"/>
        <v>2.6099999999999998E-2</v>
      </c>
      <c r="EN34" s="460">
        <f t="shared" si="121"/>
        <v>35.585416666666667</v>
      </c>
      <c r="EO34">
        <f t="shared" si="82"/>
        <v>1.3621242874292201</v>
      </c>
      <c r="EP34" s="460">
        <f t="shared" si="122"/>
        <v>1362.1242874292202</v>
      </c>
      <c r="EQ34" s="173">
        <f t="shared" si="83"/>
        <v>1.8016249999999998</v>
      </c>
      <c r="ER34" s="173">
        <f t="shared" si="84"/>
        <v>3.2171874999999996E-2</v>
      </c>
      <c r="ES34" s="528"/>
      <c r="EU34" s="460">
        <f t="shared" si="123"/>
        <v>1833.7968749999998</v>
      </c>
      <c r="EV34" s="528">
        <f t="shared" si="85"/>
        <v>0.15699999999999997</v>
      </c>
      <c r="EW34" s="528">
        <f t="shared" si="124"/>
        <v>0.84299999999999986</v>
      </c>
      <c r="EX34" s="528">
        <f t="shared" si="86"/>
        <v>8.5214843521722416E-5</v>
      </c>
      <c r="EY34" s="528">
        <f t="shared" si="87"/>
        <v>0.79311470868459866</v>
      </c>
      <c r="EZ34" s="528">
        <f t="shared" si="88"/>
        <v>2.210038523192956</v>
      </c>
      <c r="FA34" s="625">
        <f t="shared" si="89"/>
        <v>7.5883333333333349E-3</v>
      </c>
      <c r="FB34" s="460">
        <f t="shared" si="125"/>
        <v>2217.6268565262894</v>
      </c>
      <c r="FC34" s="173">
        <f t="shared" si="126"/>
        <v>5.4135480189555096</v>
      </c>
      <c r="FD34" s="5">
        <f t="shared" si="127"/>
        <v>44.08</v>
      </c>
      <c r="FE34" s="173">
        <f t="shared" si="128"/>
        <v>0.89062113678166344</v>
      </c>
      <c r="FF34" s="5">
        <f t="shared" si="129"/>
        <v>89.062113678166341</v>
      </c>
      <c r="FG34">
        <f t="shared" si="130"/>
        <v>28.999999999999996</v>
      </c>
      <c r="FI34" s="562">
        <f t="shared" si="90"/>
        <v>-50</v>
      </c>
      <c r="FJ34">
        <f t="shared" si="91"/>
        <v>-50</v>
      </c>
      <c r="FL34">
        <f t="shared" si="92"/>
        <v>0.5856221023435223</v>
      </c>
    </row>
    <row r="35" spans="5:168">
      <c r="E35" s="170">
        <v>30</v>
      </c>
      <c r="F35" s="217">
        <f t="shared" si="131"/>
        <v>3</v>
      </c>
      <c r="G35" s="217">
        <f t="shared" si="93"/>
        <v>7.4999999999999997E-2</v>
      </c>
      <c r="H35" s="217">
        <f t="shared" si="0"/>
        <v>45</v>
      </c>
      <c r="I35" s="217">
        <f t="shared" si="132"/>
        <v>0.6</v>
      </c>
      <c r="J35" s="541">
        <f t="shared" si="1"/>
        <v>57.723315016620042</v>
      </c>
      <c r="K35" s="443">
        <f t="shared" si="2"/>
        <v>15.848559966660831</v>
      </c>
      <c r="L35" s="172">
        <f t="shared" si="3"/>
        <v>73.571874983280878</v>
      </c>
      <c r="M35" s="443"/>
      <c r="N35" s="217">
        <f t="shared" si="4"/>
        <v>0.21541601284814879</v>
      </c>
      <c r="O35" s="172">
        <f t="shared" si="94"/>
        <v>306.77285450471948</v>
      </c>
      <c r="P35" s="172">
        <f t="shared" si="5"/>
        <v>4.1448421230859873</v>
      </c>
      <c r="Q35" s="217">
        <f t="shared" si="6"/>
        <v>20.451523633647966</v>
      </c>
      <c r="R35" s="217">
        <f t="shared" si="7"/>
        <v>38.346606813089934</v>
      </c>
      <c r="S35" s="443">
        <f t="shared" si="8"/>
        <v>15</v>
      </c>
      <c r="T35" s="217">
        <f t="shared" si="9"/>
        <v>7.3344168721596761</v>
      </c>
      <c r="U35" s="217">
        <f t="shared" si="10"/>
        <v>1.5247392226273715</v>
      </c>
      <c r="V35" s="217">
        <f t="shared" si="11"/>
        <v>5.5533753635069072</v>
      </c>
      <c r="W35" s="197">
        <f t="shared" si="12"/>
        <v>103.62105307714972</v>
      </c>
      <c r="X35" s="443">
        <f t="shared" si="95"/>
        <v>137.39822149889278</v>
      </c>
      <c r="Z35" s="217">
        <f t="shared" si="13"/>
        <v>10</v>
      </c>
      <c r="AA35" s="173">
        <f t="shared" si="14"/>
        <v>7.5716658328853255</v>
      </c>
      <c r="AB35" s="173">
        <f t="shared" si="15"/>
        <v>3.922919935759257</v>
      </c>
      <c r="AC35" s="173"/>
      <c r="AD35" s="173">
        <f t="shared" si="16"/>
        <v>7.5716658328853255</v>
      </c>
      <c r="AE35" s="545">
        <f t="shared" si="17"/>
        <v>79.242799833304147</v>
      </c>
      <c r="AF35" s="528">
        <f t="shared" si="18"/>
        <v>3.922919935759257</v>
      </c>
      <c r="AH35" s="173">
        <f t="shared" si="19"/>
        <v>4.6598589800857404</v>
      </c>
      <c r="AI35" s="173">
        <f t="shared" si="20"/>
        <v>10</v>
      </c>
      <c r="AJ35" s="173">
        <f t="shared" si="21"/>
        <v>1.0452815999047451</v>
      </c>
      <c r="AL35" s="545">
        <f t="shared" si="22"/>
        <v>3000</v>
      </c>
      <c r="AM35" s="460">
        <f t="shared" si="23"/>
        <v>79.242799833304147</v>
      </c>
      <c r="AO35">
        <f t="shared" si="96"/>
        <v>3000</v>
      </c>
      <c r="AP35" s="460">
        <f t="shared" si="24"/>
        <v>79.242799833304147</v>
      </c>
      <c r="AQ35" s="460"/>
      <c r="AR35" s="5">
        <f t="shared" si="97"/>
        <v>12.619443054808876</v>
      </c>
      <c r="AS35" s="5">
        <f t="shared" si="25"/>
        <v>2.0788826831142475</v>
      </c>
      <c r="AT35" s="5">
        <f t="shared" si="98"/>
        <v>10.540560371694628</v>
      </c>
      <c r="AU35" s="173">
        <f t="shared" si="99"/>
        <v>0.16473648433494456</v>
      </c>
      <c r="AW35" s="5">
        <f t="shared" si="26"/>
        <v>41.577653662284945</v>
      </c>
      <c r="AX35" s="5">
        <f t="shared" si="27"/>
        <v>1.948952515419607</v>
      </c>
      <c r="AY35" s="5">
        <f t="shared" si="28"/>
        <v>2.83352436556503</v>
      </c>
      <c r="AZ35" s="5"/>
      <c r="BA35" s="173">
        <f t="shared" si="100"/>
        <v>2.343334407313252</v>
      </c>
      <c r="BB35" s="173">
        <f t="shared" si="29"/>
        <v>5.2765630090841498</v>
      </c>
      <c r="BC35" s="173">
        <f t="shared" si="30"/>
        <v>0.12994829685117046</v>
      </c>
      <c r="BD35" s="173"/>
      <c r="BE35" s="528">
        <f t="shared" si="31"/>
        <v>0.10982432288996301</v>
      </c>
      <c r="BF35" s="528">
        <f t="shared" si="32"/>
        <v>1.0931327554989381</v>
      </c>
      <c r="BG35" s="528">
        <f t="shared" si="33"/>
        <v>0.11435392743941954</v>
      </c>
      <c r="BH35" s="528">
        <f t="shared" si="34"/>
        <v>4.2892707428105192E-2</v>
      </c>
      <c r="BI35">
        <f t="shared" si="35"/>
        <v>2.5975491757479017E-2</v>
      </c>
      <c r="BJ35" s="460">
        <f t="shared" si="101"/>
        <v>140.32941919689856</v>
      </c>
      <c r="BK35">
        <f t="shared" si="36"/>
        <v>1.3096774148214989</v>
      </c>
      <c r="BL35" s="460">
        <f t="shared" si="102"/>
        <v>1309.6774148214988</v>
      </c>
      <c r="BM35" s="173">
        <f t="shared" si="37"/>
        <v>1.8637499999999996</v>
      </c>
      <c r="BN35" s="173">
        <f t="shared" si="38"/>
        <v>3.3281249999999998E-2</v>
      </c>
      <c r="BO35" s="528"/>
      <c r="BQ35" s="460">
        <f t="shared" si="103"/>
        <v>1897.0312499999995</v>
      </c>
      <c r="BR35" s="528">
        <f t="shared" si="39"/>
        <v>0.16473648433494451</v>
      </c>
      <c r="BS35" s="528">
        <f t="shared" si="104"/>
        <v>0.8352635156650553</v>
      </c>
      <c r="BT35" s="528">
        <f t="shared" si="40"/>
        <v>8.4432799272599597E-5</v>
      </c>
      <c r="BU35" s="528">
        <f t="shared" si="41"/>
        <v>0.88383161783098407</v>
      </c>
      <c r="BV35" s="528">
        <f t="shared" si="42"/>
        <v>2.3086433788260017</v>
      </c>
      <c r="BW35" s="625">
        <f t="shared" si="43"/>
        <v>7.9242799833304147E-3</v>
      </c>
      <c r="BX35" s="460">
        <f t="shared" si="105"/>
        <v>2316.567658809332</v>
      </c>
      <c r="BY35" s="173">
        <f t="shared" si="106"/>
        <v>5.5232763236308307</v>
      </c>
      <c r="BZ35" s="5">
        <f t="shared" si="107"/>
        <v>45.6</v>
      </c>
      <c r="CA35" s="173">
        <f t="shared" si="108"/>
        <v>0.89196161277563124</v>
      </c>
      <c r="CB35" s="5">
        <f t="shared" si="109"/>
        <v>89.196161277563121</v>
      </c>
      <c r="CC35">
        <f t="shared" si="110"/>
        <v>30</v>
      </c>
      <c r="CE35" s="562">
        <f t="shared" si="44"/>
        <v>-50</v>
      </c>
      <c r="CF35">
        <f t="shared" si="45"/>
        <v>-50</v>
      </c>
      <c r="CG35" s="173">
        <f t="shared" si="46"/>
        <v>0.60581596794157477</v>
      </c>
      <c r="CH35" s="173">
        <f t="shared" si="47"/>
        <v>6.9804093468564962E-2</v>
      </c>
      <c r="CI35" s="170">
        <v>30</v>
      </c>
      <c r="CJ35" s="217">
        <f t="shared" si="133"/>
        <v>3</v>
      </c>
      <c r="CK35" s="217">
        <f t="shared" si="111"/>
        <v>7.4999999999999997E-2</v>
      </c>
      <c r="CL35" s="217">
        <f t="shared" si="48"/>
        <v>45</v>
      </c>
      <c r="CM35" s="217">
        <f t="shared" si="134"/>
        <v>0.6</v>
      </c>
      <c r="CN35" s="541">
        <f t="shared" si="112"/>
        <v>58</v>
      </c>
      <c r="CO35" s="443">
        <f t="shared" si="49"/>
        <v>15.7</v>
      </c>
      <c r="CP35" s="443">
        <f t="shared" si="50"/>
        <v>73.7</v>
      </c>
      <c r="CQ35" s="443"/>
      <c r="CR35" s="217">
        <f t="shared" si="113"/>
        <v>0.2098092643051771</v>
      </c>
      <c r="CS35" s="172">
        <f t="shared" si="114"/>
        <v>300.22049333142121</v>
      </c>
      <c r="CT35" s="172">
        <f t="shared" si="51"/>
        <v>4.0563124432334243</v>
      </c>
      <c r="CU35" s="217">
        <f t="shared" si="52"/>
        <v>20.014699555428081</v>
      </c>
      <c r="CV35" s="217">
        <f t="shared" si="53"/>
        <v>37.527561666427651</v>
      </c>
      <c r="CW35" s="443">
        <f t="shared" si="54"/>
        <v>15</v>
      </c>
      <c r="CX35" s="217">
        <f t="shared" si="55"/>
        <v>7.494491715181371</v>
      </c>
      <c r="CY35" s="217">
        <f t="shared" si="56"/>
        <v>1.5505844927961459</v>
      </c>
      <c r="CZ35" s="217">
        <f t="shared" si="57"/>
        <v>5.7282739224316215</v>
      </c>
      <c r="DA35" s="197">
        <f t="shared" si="58"/>
        <v>102.962460425147</v>
      </c>
      <c r="DB35" s="443">
        <f t="shared" si="115"/>
        <v>137.38418072646468</v>
      </c>
      <c r="DD35" s="217">
        <f t="shared" si="59"/>
        <v>10</v>
      </c>
      <c r="DE35" s="173">
        <f t="shared" si="60"/>
        <v>7.6433121019108281</v>
      </c>
      <c r="DF35" s="173">
        <f t="shared" si="61"/>
        <v>3.9348710990502043</v>
      </c>
      <c r="DG35" s="173"/>
      <c r="DH35" s="173">
        <f t="shared" si="62"/>
        <v>7.6433121019108281</v>
      </c>
      <c r="DI35" s="545">
        <f t="shared" si="63"/>
        <v>78.500000000000014</v>
      </c>
      <c r="DJ35" s="528">
        <f t="shared" si="64"/>
        <v>3.9348710990502034</v>
      </c>
      <c r="DL35" s="173">
        <f t="shared" si="65"/>
        <v>4.6598589800857404</v>
      </c>
      <c r="DM35" s="173">
        <f t="shared" si="66"/>
        <v>10</v>
      </c>
      <c r="DN35" s="173">
        <f t="shared" si="67"/>
        <v>1.0448571428571429</v>
      </c>
      <c r="DP35" s="545">
        <f t="shared" si="68"/>
        <v>3000</v>
      </c>
      <c r="DQ35" s="460">
        <f t="shared" si="69"/>
        <v>78.500000000000014</v>
      </c>
      <c r="DS35">
        <f t="shared" si="116"/>
        <v>3000</v>
      </c>
      <c r="DT35" s="460">
        <f t="shared" si="70"/>
        <v>78.500000000000014</v>
      </c>
      <c r="DU35" s="460"/>
      <c r="DV35" s="5">
        <f t="shared" si="117"/>
        <v>12.738853503184711</v>
      </c>
      <c r="DW35" s="5">
        <f t="shared" si="71"/>
        <v>2.068965517241379</v>
      </c>
      <c r="DX35" s="5">
        <f t="shared" si="118"/>
        <v>10.669887985943332</v>
      </c>
      <c r="DY35" s="173">
        <f t="shared" si="119"/>
        <v>0.16241379310344828</v>
      </c>
      <c r="EA35" s="5">
        <f t="shared" si="72"/>
        <v>41.37931034482758</v>
      </c>
      <c r="EB35" s="5">
        <f t="shared" si="73"/>
        <v>1.9396551724137929</v>
      </c>
      <c r="EC35" s="5">
        <f t="shared" si="74"/>
        <v>2.8546073684152784</v>
      </c>
      <c r="ED35" s="5"/>
      <c r="EE35" s="173">
        <f t="shared" si="120"/>
        <v>2.3267559183223914</v>
      </c>
      <c r="EF35" s="173">
        <f t="shared" si="75"/>
        <v>5.2838944188813102</v>
      </c>
      <c r="EG35" s="173">
        <f t="shared" si="76"/>
        <v>0.13012885078656719</v>
      </c>
      <c r="EH35" s="173"/>
      <c r="EI35" s="528">
        <f t="shared" si="77"/>
        <v>0.1082758620689655</v>
      </c>
      <c r="EJ35" s="528">
        <f t="shared" si="78"/>
        <v>1.1570900000000002</v>
      </c>
      <c r="EK35" s="528">
        <f t="shared" si="79"/>
        <v>9.8125000000000018E-3</v>
      </c>
      <c r="EL35" s="528">
        <f t="shared" si="80"/>
        <v>4.2638766500000008E-2</v>
      </c>
      <c r="EM35">
        <f t="shared" si="81"/>
        <v>2.6099999999999998E-2</v>
      </c>
      <c r="EN35" s="460">
        <f t="shared" si="121"/>
        <v>35.912500000000001</v>
      </c>
      <c r="EO35">
        <f t="shared" si="82"/>
        <v>1.4094105942796786</v>
      </c>
      <c r="EP35" s="460">
        <f t="shared" si="122"/>
        <v>1409.4105942796787</v>
      </c>
      <c r="EQ35" s="173">
        <f t="shared" si="83"/>
        <v>1.8637499999999996</v>
      </c>
      <c r="ER35" s="173">
        <f t="shared" si="84"/>
        <v>3.3281249999999998E-2</v>
      </c>
      <c r="ES35" s="528"/>
      <c r="EU35" s="460">
        <f t="shared" si="123"/>
        <v>1897.0312499999995</v>
      </c>
      <c r="EV35" s="528">
        <f t="shared" si="85"/>
        <v>0.16241379310344825</v>
      </c>
      <c r="EW35" s="528">
        <f t="shared" si="124"/>
        <v>0.83758620689655172</v>
      </c>
      <c r="EX35" s="528">
        <f t="shared" si="86"/>
        <v>8.4667589035163345E-5</v>
      </c>
      <c r="EY35" s="528">
        <f t="shared" si="87"/>
        <v>0.86326502555794893</v>
      </c>
      <c r="EZ35" s="528">
        <f t="shared" si="88"/>
        <v>2.2862885862301603</v>
      </c>
      <c r="FA35" s="625">
        <f t="shared" si="89"/>
        <v>7.8500000000000028E-3</v>
      </c>
      <c r="FB35" s="460">
        <f t="shared" si="125"/>
        <v>2294.1385862301604</v>
      </c>
      <c r="FC35" s="173">
        <f t="shared" si="126"/>
        <v>5.6005804305098392</v>
      </c>
      <c r="FD35" s="5">
        <f t="shared" si="127"/>
        <v>45.6</v>
      </c>
      <c r="FE35" s="173">
        <f t="shared" si="128"/>
        <v>0.89061490351440398</v>
      </c>
      <c r="FF35" s="5">
        <f t="shared" si="129"/>
        <v>89.061490351440398</v>
      </c>
      <c r="FG35">
        <f t="shared" si="130"/>
        <v>30</v>
      </c>
      <c r="FI35" s="562">
        <f t="shared" si="90"/>
        <v>-50</v>
      </c>
      <c r="FJ35">
        <f t="shared" si="91"/>
        <v>-50</v>
      </c>
      <c r="FL35">
        <f t="shared" si="92"/>
        <v>0.60581596794157477</v>
      </c>
    </row>
    <row r="36" spans="5:168">
      <c r="E36" s="170">
        <v>31</v>
      </c>
      <c r="F36" s="217">
        <f t="shared" si="131"/>
        <v>3.1</v>
      </c>
      <c r="G36" s="217">
        <f t="shared" si="93"/>
        <v>7.7499999999999999E-2</v>
      </c>
      <c r="H36" s="217">
        <f t="shared" si="0"/>
        <v>46.5</v>
      </c>
      <c r="I36" s="217">
        <f t="shared" si="132"/>
        <v>0.62</v>
      </c>
      <c r="J36" s="541">
        <f t="shared" si="1"/>
        <v>57.723315016620042</v>
      </c>
      <c r="K36" s="443">
        <f t="shared" si="2"/>
        <v>15.848559966660831</v>
      </c>
      <c r="L36" s="172">
        <f t="shared" si="3"/>
        <v>73.571874983280878</v>
      </c>
      <c r="M36" s="443"/>
      <c r="N36" s="217">
        <f t="shared" si="4"/>
        <v>0.21541601284814879</v>
      </c>
      <c r="O36" s="172">
        <f t="shared" si="94"/>
        <v>306.77285450471948</v>
      </c>
      <c r="P36" s="172">
        <f t="shared" si="5"/>
        <v>4.1448421230859873</v>
      </c>
      <c r="Q36" s="217">
        <f t="shared" si="6"/>
        <v>20.451523633647966</v>
      </c>
      <c r="R36" s="217">
        <f t="shared" si="7"/>
        <v>38.346606813089934</v>
      </c>
      <c r="S36" s="443">
        <f t="shared" si="8"/>
        <v>15</v>
      </c>
      <c r="T36" s="217">
        <f t="shared" si="9"/>
        <v>7.5788974345649978</v>
      </c>
      <c r="U36" s="217">
        <f t="shared" si="10"/>
        <v>1.5755638633816169</v>
      </c>
      <c r="V36" s="217">
        <f t="shared" si="11"/>
        <v>5.7384878756238038</v>
      </c>
      <c r="W36" s="197">
        <f t="shared" si="12"/>
        <v>103.62105307714972</v>
      </c>
      <c r="X36" s="443">
        <f t="shared" si="95"/>
        <v>133.08399179752823</v>
      </c>
      <c r="Z36" s="217">
        <f t="shared" si="13"/>
        <v>10</v>
      </c>
      <c r="AA36" s="173">
        <f t="shared" si="14"/>
        <v>7.5716658328853255</v>
      </c>
      <c r="AB36" s="173">
        <f t="shared" si="15"/>
        <v>3.922919935759257</v>
      </c>
      <c r="AC36" s="173"/>
      <c r="AD36" s="173">
        <f t="shared" si="16"/>
        <v>7.5716658328853255</v>
      </c>
      <c r="AE36" s="545">
        <f t="shared" si="17"/>
        <v>81.884226494414293</v>
      </c>
      <c r="AF36" s="528">
        <f t="shared" si="18"/>
        <v>3.922919935759257</v>
      </c>
      <c r="AH36" s="173">
        <f t="shared" si="19"/>
        <v>4.7368866608876381</v>
      </c>
      <c r="AI36" s="173">
        <f t="shared" si="20"/>
        <v>10</v>
      </c>
      <c r="AJ36" s="173">
        <f t="shared" si="21"/>
        <v>1.0467909865682368</v>
      </c>
      <c r="AL36" s="545">
        <f t="shared" si="22"/>
        <v>3100</v>
      </c>
      <c r="AM36" s="460">
        <f t="shared" si="23"/>
        <v>81.884226494414293</v>
      </c>
      <c r="AO36">
        <f t="shared" si="96"/>
        <v>3100</v>
      </c>
      <c r="AP36" s="460">
        <f t="shared" si="24"/>
        <v>81.884226494414293</v>
      </c>
      <c r="AQ36" s="460"/>
      <c r="AR36" s="5">
        <f t="shared" si="97"/>
        <v>12.212364246589233</v>
      </c>
      <c r="AS36" s="5">
        <f t="shared" si="25"/>
        <v>2.0788826831142475</v>
      </c>
      <c r="AT36" s="5">
        <f t="shared" si="98"/>
        <v>10.133481563474986</v>
      </c>
      <c r="AU36" s="173">
        <f t="shared" si="99"/>
        <v>0.17022770047944275</v>
      </c>
      <c r="AW36" s="5">
        <f t="shared" si="26"/>
        <v>42.963575451027779</v>
      </c>
      <c r="AX36" s="5">
        <f t="shared" si="27"/>
        <v>2.0139175992669274</v>
      </c>
      <c r="AY36" s="5">
        <f t="shared" si="28"/>
        <v>2.8148961189695458</v>
      </c>
      <c r="AZ36" s="5"/>
      <c r="BA36" s="173">
        <f t="shared" si="100"/>
        <v>2.3820698316061373</v>
      </c>
      <c r="BB36" s="173">
        <f t="shared" si="29"/>
        <v>5.2591897332845141</v>
      </c>
      <c r="BC36" s="173">
        <f t="shared" si="30"/>
        <v>0.12952043735304611</v>
      </c>
      <c r="BD36" s="173"/>
      <c r="BE36" s="528">
        <f t="shared" si="31"/>
        <v>0.11348513365296184</v>
      </c>
      <c r="BF36" s="528">
        <f t="shared" si="32"/>
        <v>1.1295705140155694</v>
      </c>
      <c r="BG36" s="528">
        <f t="shared" si="33"/>
        <v>0.11816572502073353</v>
      </c>
      <c r="BH36" s="528">
        <f t="shared" si="34"/>
        <v>4.432246434237537E-2</v>
      </c>
      <c r="BI36">
        <f t="shared" si="35"/>
        <v>2.5975491757479017E-2</v>
      </c>
      <c r="BJ36" s="460">
        <f t="shared" si="101"/>
        <v>144.14121677821254</v>
      </c>
      <c r="BK36">
        <f t="shared" si="36"/>
        <v>1.3545430897475035</v>
      </c>
      <c r="BL36" s="460">
        <f t="shared" si="102"/>
        <v>1354.5430897475035</v>
      </c>
      <c r="BM36" s="173">
        <f t="shared" si="37"/>
        <v>1.9258749999999998</v>
      </c>
      <c r="BN36" s="173">
        <f t="shared" si="38"/>
        <v>3.4390625000000001E-2</v>
      </c>
      <c r="BO36" s="528"/>
      <c r="BQ36" s="460">
        <f t="shared" si="103"/>
        <v>1960.2656249999998</v>
      </c>
      <c r="BR36" s="528">
        <f t="shared" si="39"/>
        <v>0.17022770047944275</v>
      </c>
      <c r="BS36" s="528">
        <f t="shared" si="104"/>
        <v>0.8297722995205572</v>
      </c>
      <c r="BT36" s="528">
        <f t="shared" si="40"/>
        <v>8.3877718460621708E-5</v>
      </c>
      <c r="BU36" s="528">
        <f t="shared" si="41"/>
        <v>0.95933575585068354</v>
      </c>
      <c r="BV36" s="528">
        <f t="shared" si="42"/>
        <v>2.3907128330702276</v>
      </c>
      <c r="BW36" s="625">
        <f t="shared" si="43"/>
        <v>8.1884226494414285E-3</v>
      </c>
      <c r="BX36" s="460">
        <f t="shared" si="105"/>
        <v>2398.9012557196688</v>
      </c>
      <c r="BY36" s="173">
        <f t="shared" si="106"/>
        <v>5.7137099704671721</v>
      </c>
      <c r="BZ36" s="5">
        <f t="shared" si="107"/>
        <v>47.12</v>
      </c>
      <c r="CA36" s="173">
        <f t="shared" si="108"/>
        <v>0.89185484090250322</v>
      </c>
      <c r="CB36" s="5">
        <f t="shared" si="109"/>
        <v>89.185484090250327</v>
      </c>
      <c r="CC36">
        <f t="shared" si="110"/>
        <v>31</v>
      </c>
      <c r="CE36" s="562">
        <f t="shared" si="44"/>
        <v>-50</v>
      </c>
      <c r="CF36">
        <f t="shared" si="45"/>
        <v>-50</v>
      </c>
      <c r="CG36" s="173">
        <f t="shared" si="46"/>
        <v>0.62600983353962725</v>
      </c>
      <c r="CH36" s="173">
        <f t="shared" si="47"/>
        <v>7.2130896584183785E-2</v>
      </c>
      <c r="CI36" s="170">
        <v>31</v>
      </c>
      <c r="CJ36" s="217">
        <f t="shared" si="133"/>
        <v>3.1</v>
      </c>
      <c r="CK36" s="217">
        <f t="shared" si="111"/>
        <v>7.7499999999999999E-2</v>
      </c>
      <c r="CL36" s="217">
        <f t="shared" si="48"/>
        <v>46.5</v>
      </c>
      <c r="CM36" s="217">
        <f t="shared" si="134"/>
        <v>0.62</v>
      </c>
      <c r="CN36" s="541">
        <f t="shared" si="112"/>
        <v>58</v>
      </c>
      <c r="CO36" s="443">
        <f t="shared" si="49"/>
        <v>15.7</v>
      </c>
      <c r="CP36" s="443">
        <f t="shared" si="50"/>
        <v>73.7</v>
      </c>
      <c r="CQ36" s="443"/>
      <c r="CR36" s="217">
        <f t="shared" si="113"/>
        <v>0.2098092643051771</v>
      </c>
      <c r="CS36" s="172">
        <f t="shared" si="114"/>
        <v>300.22049333142121</v>
      </c>
      <c r="CT36" s="172">
        <f t="shared" si="51"/>
        <v>4.0563124432334243</v>
      </c>
      <c r="CU36" s="217">
        <f t="shared" si="52"/>
        <v>20.014699555428081</v>
      </c>
      <c r="CV36" s="217">
        <f t="shared" si="53"/>
        <v>37.527561666427651</v>
      </c>
      <c r="CW36" s="443">
        <f t="shared" si="54"/>
        <v>15</v>
      </c>
      <c r="CX36" s="217">
        <f t="shared" si="55"/>
        <v>7.7443081056874155</v>
      </c>
      <c r="CY36" s="217">
        <f t="shared" si="56"/>
        <v>1.6022706425560171</v>
      </c>
      <c r="CZ36" s="217">
        <f t="shared" si="57"/>
        <v>5.9192163865126748</v>
      </c>
      <c r="DA36" s="197">
        <f t="shared" si="58"/>
        <v>102.962460425147</v>
      </c>
      <c r="DB36" s="443">
        <f t="shared" si="115"/>
        <v>132.95243296109487</v>
      </c>
      <c r="DD36" s="217">
        <f t="shared" si="59"/>
        <v>10</v>
      </c>
      <c r="DE36" s="173">
        <f t="shared" si="60"/>
        <v>7.6433121019108281</v>
      </c>
      <c r="DF36" s="173">
        <f t="shared" si="61"/>
        <v>3.9348710990502043</v>
      </c>
      <c r="DG36" s="173"/>
      <c r="DH36" s="173">
        <f t="shared" si="62"/>
        <v>7.6433121019108281</v>
      </c>
      <c r="DI36" s="545">
        <f t="shared" si="63"/>
        <v>81.116666666666674</v>
      </c>
      <c r="DJ36" s="528">
        <f t="shared" si="64"/>
        <v>3.9348710990502034</v>
      </c>
      <c r="DL36" s="173">
        <f t="shared" si="65"/>
        <v>4.7368866608876381</v>
      </c>
      <c r="DM36" s="173">
        <f t="shared" si="66"/>
        <v>10</v>
      </c>
      <c r="DN36" s="173">
        <f t="shared" si="67"/>
        <v>1.0463523809523809</v>
      </c>
      <c r="DP36" s="545">
        <f t="shared" si="68"/>
        <v>3100</v>
      </c>
      <c r="DQ36" s="460">
        <f t="shared" si="69"/>
        <v>81.116666666666674</v>
      </c>
      <c r="DS36">
        <f t="shared" si="116"/>
        <v>3100</v>
      </c>
      <c r="DT36" s="460">
        <f t="shared" si="70"/>
        <v>81.116666666666674</v>
      </c>
      <c r="DU36" s="460"/>
      <c r="DV36" s="5">
        <f t="shared" si="117"/>
        <v>12.327922745017464</v>
      </c>
      <c r="DW36" s="5">
        <f t="shared" si="71"/>
        <v>2.068965517241379</v>
      </c>
      <c r="DX36" s="5">
        <f t="shared" si="118"/>
        <v>10.258957227776085</v>
      </c>
      <c r="DY36" s="173">
        <f t="shared" si="119"/>
        <v>0.16782758620689653</v>
      </c>
      <c r="EA36" s="5">
        <f t="shared" si="72"/>
        <v>42.75862068965516</v>
      </c>
      <c r="EB36" s="5">
        <f t="shared" si="73"/>
        <v>2.0043103448275863</v>
      </c>
      <c r="EC36" s="5">
        <f t="shared" si="74"/>
        <v>2.8361564274172881</v>
      </c>
      <c r="ED36" s="5"/>
      <c r="EE36" s="173">
        <f t="shared" si="120"/>
        <v>2.3652172994385143</v>
      </c>
      <c r="EF36" s="173">
        <f t="shared" si="75"/>
        <v>5.2667903375557037</v>
      </c>
      <c r="EG36" s="173">
        <f t="shared" si="76"/>
        <v>0.12970762086215618</v>
      </c>
      <c r="EH36" s="173"/>
      <c r="EI36" s="528">
        <f t="shared" si="77"/>
        <v>0.11188505747126438</v>
      </c>
      <c r="EJ36" s="528">
        <f t="shared" si="78"/>
        <v>1.1956596666666668</v>
      </c>
      <c r="EK36" s="528">
        <f t="shared" si="79"/>
        <v>1.0139583333333334E-2</v>
      </c>
      <c r="EL36" s="528">
        <f t="shared" si="80"/>
        <v>4.4060058716666677E-2</v>
      </c>
      <c r="EM36">
        <f t="shared" si="81"/>
        <v>2.6099999999999998E-2</v>
      </c>
      <c r="EN36" s="460">
        <f t="shared" si="121"/>
        <v>36.239583333333329</v>
      </c>
      <c r="EO36">
        <f t="shared" si="82"/>
        <v>1.4567802162251398</v>
      </c>
      <c r="EP36" s="460">
        <f t="shared" si="122"/>
        <v>1456.7802162251398</v>
      </c>
      <c r="EQ36" s="173">
        <f t="shared" si="83"/>
        <v>1.9258749999999998</v>
      </c>
      <c r="ER36" s="173">
        <f t="shared" si="84"/>
        <v>3.4390625000000001E-2</v>
      </c>
      <c r="ES36" s="528"/>
      <c r="EU36" s="460">
        <f t="shared" si="123"/>
        <v>1960.2656249999998</v>
      </c>
      <c r="EV36" s="528">
        <f t="shared" si="85"/>
        <v>0.16782758620689656</v>
      </c>
      <c r="EW36" s="528">
        <f t="shared" si="124"/>
        <v>0.83217241379310358</v>
      </c>
      <c r="EX36" s="528">
        <f t="shared" si="86"/>
        <v>8.4120334548604261E-5</v>
      </c>
      <c r="EY36" s="528">
        <f t="shared" si="87"/>
        <v>0.93701219676377678</v>
      </c>
      <c r="EZ36" s="528">
        <f t="shared" si="88"/>
        <v>2.3664482948830412</v>
      </c>
      <c r="FA36" s="625">
        <f t="shared" si="89"/>
        <v>8.1116666666666681E-3</v>
      </c>
      <c r="FB36" s="460">
        <f t="shared" si="125"/>
        <v>2374.5599615497081</v>
      </c>
      <c r="FC36" s="173">
        <f t="shared" si="126"/>
        <v>5.7916058027748472</v>
      </c>
      <c r="FD36" s="5">
        <f t="shared" si="127"/>
        <v>47.12</v>
      </c>
      <c r="FE36" s="173">
        <f t="shared" si="128"/>
        <v>0.89054186288802606</v>
      </c>
      <c r="FF36" s="5">
        <f t="shared" si="129"/>
        <v>89.054186288802612</v>
      </c>
      <c r="FG36">
        <f t="shared" si="130"/>
        <v>31</v>
      </c>
      <c r="FI36" s="562">
        <f t="shared" si="90"/>
        <v>-50</v>
      </c>
      <c r="FJ36">
        <f t="shared" si="91"/>
        <v>-50</v>
      </c>
      <c r="FL36">
        <f t="shared" si="92"/>
        <v>0.62600983353962725</v>
      </c>
    </row>
    <row r="37" spans="5:168">
      <c r="E37" s="170">
        <v>32</v>
      </c>
      <c r="F37" s="217">
        <f t="shared" si="131"/>
        <v>3.2</v>
      </c>
      <c r="G37" s="217">
        <f t="shared" si="93"/>
        <v>0.08</v>
      </c>
      <c r="H37" s="217">
        <f t="shared" ref="H37:H68" si="135">F37*Vout</f>
        <v>48</v>
      </c>
      <c r="I37" s="217">
        <f t="shared" si="132"/>
        <v>0.64</v>
      </c>
      <c r="J37" s="541">
        <f t="shared" ref="J37:J68" si="136">Vin-(F37/CG37/Nps+G37/CH37/(Nps/Nsec1sec2))*(Rdcr_pri+RON/1000)</f>
        <v>57.723315016620042</v>
      </c>
      <c r="K37" s="443">
        <f t="shared" ref="K37:K68" si="137">MAX((S37+Vfwd2+Rdcr_sec*F37/CG37)*Nps,(Vout2+Vfwd22+Rdcr_sec2*G37/CH37)*Nps/Nsec1sec2)</f>
        <v>15.848559966660831</v>
      </c>
      <c r="L37" s="172">
        <f t="shared" ref="L37:L68" si="138">MAX((Vout+Vfwd2+F37/CG37*Rdcr_sec)*Nps+J37, (Vout2+Vfwd22+G37/CH37*Rdcr_sec2)*Nps/Nsec1sec2+J37)</f>
        <v>73.571874983280878</v>
      </c>
      <c r="M37" s="443"/>
      <c r="N37" s="217">
        <f t="shared" ref="N37:N68" si="139">MAX((Vout+Vfwd2+F37/CG37*Rdcr_sec)*Nps/((Vout+Vfwd2+F37/CG37*Rdcr_sec)*Nps+J37), (Vout2+Vfwd22+G37/CH37*Rdcr_sec2)*Nps/Nsec1sec2/((Vout2+Vfwd22+G37/CH37*Rdcr_sec2)*Nps/Nsec1sec2+J37))</f>
        <v>0.21541601284814879</v>
      </c>
      <c r="O37" s="172">
        <f t="shared" si="94"/>
        <v>306.77285450471948</v>
      </c>
      <c r="P37" s="172">
        <f t="shared" ref="P37:P68" si="140">N37*J37*Isw_max*0.5*Efficiency*(Pout2/Pout_total)</f>
        <v>4.1448421230859873</v>
      </c>
      <c r="Q37" s="217">
        <f t="shared" si="6"/>
        <v>20.451523633647966</v>
      </c>
      <c r="R37" s="217">
        <f t="shared" ref="R37:R68" si="141">O37/Vout2</f>
        <v>38.346606813089934</v>
      </c>
      <c r="S37" s="443">
        <f t="shared" ref="S37:S68" si="142">MIN(Vout,O37/F37)</f>
        <v>15</v>
      </c>
      <c r="T37" s="217">
        <f t="shared" ref="T37:T68" si="143">MIN(2*(Vout*F37+Vout2*G37)/(Efficiency*J37*N37), Isw_max)</f>
        <v>7.8233779969703212</v>
      </c>
      <c r="U37" s="217">
        <f t="shared" si="10"/>
        <v>1.6263885041358628</v>
      </c>
      <c r="V37" s="217">
        <f t="shared" si="11"/>
        <v>5.9236003877407013</v>
      </c>
      <c r="W37" s="197">
        <f t="shared" si="12"/>
        <v>103.62105307714972</v>
      </c>
      <c r="X37" s="443">
        <f t="shared" si="95"/>
        <v>129.03244300752311</v>
      </c>
      <c r="Z37" s="217">
        <f t="shared" si="13"/>
        <v>10</v>
      </c>
      <c r="AA37" s="173">
        <f t="shared" si="14"/>
        <v>7.5716658328853255</v>
      </c>
      <c r="AB37" s="173">
        <f t="shared" ref="AB37:AB68" si="144">0.5*AA37*Z37*Nps*W37/1000*(Pout/Pout_total)</f>
        <v>3.922919935759257</v>
      </c>
      <c r="AC37" s="173"/>
      <c r="AD37" s="173">
        <f t="shared" si="16"/>
        <v>7.5716658328853255</v>
      </c>
      <c r="AE37" s="545">
        <f t="shared" ref="AE37:AE68" si="145">MAX(10, F37/(0.5*AD37/1000000*Isw_min*Nps)/1000*Pout_total/Pout)</f>
        <v>84.525653155524424</v>
      </c>
      <c r="AF37" s="528">
        <f t="shared" ref="AF37:AF68" si="146">0.5*AD37/1000000*Isw_min*Nps*W37*1000*(Pout/Pout_total)</f>
        <v>3.922919935759257</v>
      </c>
      <c r="AH37" s="173">
        <f t="shared" ref="AH37:AH68" si="147">SQRT((H37+I37)/(0.5*L*Fsw_DCM))</f>
        <v>4.8126816601459064</v>
      </c>
      <c r="AI37" s="173">
        <f t="shared" ref="AI37:AI68" si="148">MAX(IF(F37&gt;AB37,T37,AH37),Isw_min)</f>
        <v>10</v>
      </c>
      <c r="AJ37" s="173">
        <f t="shared" ref="AJ37:AJ68" si="149">IF(F37&gt;AF37, (AI37-Isw_min)/1.08*0.8+1.2, AE37*0.2/350+1)</f>
        <v>1.0483003732317282</v>
      </c>
      <c r="AL37" s="545">
        <f t="shared" ref="AL37:AL68" si="150">F37*1000</f>
        <v>3200</v>
      </c>
      <c r="AM37" s="460">
        <f t="shared" ref="AM37:AM68" si="151">IF(F37&gt;AF37, X37, AE37)</f>
        <v>84.525653155524424</v>
      </c>
      <c r="AO37">
        <f t="shared" si="96"/>
        <v>3200</v>
      </c>
      <c r="AP37" s="460">
        <f t="shared" si="24"/>
        <v>84.525653155524424</v>
      </c>
      <c r="AQ37" s="460"/>
      <c r="AR37" s="5">
        <f t="shared" si="97"/>
        <v>11.830727863883322</v>
      </c>
      <c r="AS37" s="5">
        <f t="shared" si="25"/>
        <v>2.0788826831142475</v>
      </c>
      <c r="AT37" s="5">
        <f t="shared" si="98"/>
        <v>9.7518451807690738</v>
      </c>
      <c r="AU37" s="173">
        <f t="shared" si="99"/>
        <v>0.17571891662394087</v>
      </c>
      <c r="AW37" s="5">
        <f t="shared" ref="AW37:AW68" si="152">F37*AS37/Vout_ripple*1000</f>
        <v>44.349497239770614</v>
      </c>
      <c r="AX37" s="5">
        <f t="shared" ref="AX37:AX68" si="153">G37*AS37/Vout_ripple2*1000</f>
        <v>2.0788826831142471</v>
      </c>
      <c r="AY37" s="5">
        <f t="shared" si="28"/>
        <v>2.7962678723740622</v>
      </c>
      <c r="AZ37" s="5"/>
      <c r="BA37" s="173">
        <f t="shared" si="100"/>
        <v>2.4201853690984145</v>
      </c>
      <c r="BB37" s="173">
        <f t="shared" ref="BB37:BB68" si="154">AI37*Npri_sec1*SQRT((1-AU37)/3)*(Pout/Pout_total)</f>
        <v>5.2417588758483822</v>
      </c>
      <c r="BC37" s="173">
        <f t="shared" ref="BC37:BC68" si="155">AI37*Npri_sec2*SQRT((1-AU37)/3)*(Pout2/Pout_total)</f>
        <v>0.12909115976599156</v>
      </c>
      <c r="BD37" s="173"/>
      <c r="BE37" s="528">
        <f t="shared" si="31"/>
        <v>0.11714594441596057</v>
      </c>
      <c r="BF37" s="528">
        <f t="shared" ref="BF37:BF68" si="156">0.5*L37*AI37*AM37*1000*Tfall</f>
        <v>1.1660082725322005</v>
      </c>
      <c r="BG37" s="528">
        <f t="shared" ref="BG37:BG68" si="157">Qg*Vdd*AM37*1000*0+Qg*J37*AM37*1000</f>
        <v>0.12197752260204751</v>
      </c>
      <c r="BH37" s="528">
        <f t="shared" si="34"/>
        <v>4.5752221256645541E-2</v>
      </c>
      <c r="BI37">
        <f t="shared" si="35"/>
        <v>2.5975491757479017E-2</v>
      </c>
      <c r="BJ37" s="460">
        <f t="shared" si="101"/>
        <v>147.95301435952655</v>
      </c>
      <c r="BK37">
        <f t="shared" ref="BK37:BK68" si="158">(BF37+BG37*0+BH37+BI37*0+BE37*(1+RdsonTC*(Ta-25)))/(1-BE37*RdsonTC*ThetaJA)</f>
        <v>1.3994890483835045</v>
      </c>
      <c r="BL37" s="460">
        <f t="shared" si="102"/>
        <v>1399.4890483835045</v>
      </c>
      <c r="BM37" s="173">
        <f t="shared" ref="BM37:BM68" si="159">Vfwd2*F37*(1+Diode_TC/1000*(Ta-25))</f>
        <v>1.9879999999999998</v>
      </c>
      <c r="BN37" s="173">
        <f t="shared" ref="BN37:BN68" si="160">Vfwd22*G37*(1+Diode_TC/1000*(Ta-25))</f>
        <v>3.5499999999999997E-2</v>
      </c>
      <c r="BO37" s="528"/>
      <c r="BQ37" s="460">
        <f t="shared" si="103"/>
        <v>2023.4999999999998</v>
      </c>
      <c r="BR37" s="528">
        <f t="shared" si="39"/>
        <v>0.17571891662394085</v>
      </c>
      <c r="BS37" s="528">
        <f t="shared" si="104"/>
        <v>0.82428108337605877</v>
      </c>
      <c r="BT37" s="528">
        <f t="shared" ref="BT37:BT68" si="161">Rdcr_sec2*BC37^2</f>
        <v>8.3322637648643793E-5</v>
      </c>
      <c r="BU37" s="528">
        <f t="shared" si="41"/>
        <v>1.0385833185161546</v>
      </c>
      <c r="BV37" s="528">
        <f t="shared" ref="BV37:BV68" si="162">(BU37+(BR37+BS37+BT37)*(1+Ltc*(Ta-25)))/(1-(BR37+BS37+BT37)*Ltc*ThetaCa)</f>
        <v>2.4768512487056156</v>
      </c>
      <c r="BW37" s="625">
        <f t="shared" ref="BW37:BW68" si="163">0.5*Lleak*0.000000001*AI37^2*AM37*1000</f>
        <v>8.452565315552444E-3</v>
      </c>
      <c r="BX37" s="460">
        <f t="shared" si="105"/>
        <v>2485.3038140211679</v>
      </c>
      <c r="BY37" s="173">
        <f t="shared" si="106"/>
        <v>5.9082928624046724</v>
      </c>
      <c r="BZ37" s="5">
        <f t="shared" si="107"/>
        <v>48.64</v>
      </c>
      <c r="CA37" s="173">
        <f t="shared" si="108"/>
        <v>0.89168693368080199</v>
      </c>
      <c r="CB37" s="5">
        <f t="shared" si="109"/>
        <v>89.168693368080199</v>
      </c>
      <c r="CC37">
        <f t="shared" si="110"/>
        <v>32</v>
      </c>
      <c r="CE37" s="562">
        <f t="shared" ref="CE37:CE68" si="164">IF(ABS(F37-Ioutmax_Vinnom)&lt;Iout/200, AM37, -50)</f>
        <v>-50</v>
      </c>
      <c r="CF37">
        <f t="shared" ref="CF37:CF68" si="165">IF(ABS(F37-Ioutmax_Vinnom)&lt;Iout/200, (O37+P37)*CA37, -50)</f>
        <v>-50</v>
      </c>
      <c r="CG37" s="173">
        <f t="shared" ref="CG37:CG68" si="166">MIN(SQRT(2*DT37*1000*Ls1_*(CL37+CJ37*Vfwd1))/(CW37+Vfwd1), 1-DY37)</f>
        <v>0.64620369913767972</v>
      </c>
      <c r="CH37" s="173">
        <f t="shared" ref="CH37:CH68" si="167">MIN(SQRT(2*DT37*1000*Ls2_*(CM37+CK37*Vfwd22))/(Vout2+Vfwd22), 1-DY37)</f>
        <v>7.4457699699802635E-2</v>
      </c>
      <c r="CI37" s="170">
        <v>32</v>
      </c>
      <c r="CJ37" s="217">
        <f t="shared" si="133"/>
        <v>3.2</v>
      </c>
      <c r="CK37" s="217">
        <f t="shared" si="111"/>
        <v>0.08</v>
      </c>
      <c r="CL37" s="217">
        <f t="shared" si="48"/>
        <v>48</v>
      </c>
      <c r="CM37" s="217">
        <f t="shared" si="134"/>
        <v>0.64</v>
      </c>
      <c r="CN37" s="541">
        <f t="shared" si="112"/>
        <v>58</v>
      </c>
      <c r="CO37" s="443">
        <f t="shared" ref="CO37:CO68" si="168">(CW37+Vfwd2)*Nps</f>
        <v>15.7</v>
      </c>
      <c r="CP37" s="443">
        <f t="shared" ref="CP37:CP68" si="169">(Vout+Vfwd2)*Nps+CN37</f>
        <v>73.7</v>
      </c>
      <c r="CQ37" s="443"/>
      <c r="CR37" s="217">
        <f t="shared" si="113"/>
        <v>0.2098092643051771</v>
      </c>
      <c r="CS37" s="172">
        <f t="shared" si="114"/>
        <v>300.22049333142121</v>
      </c>
      <c r="CT37" s="172">
        <f t="shared" si="51"/>
        <v>4.0563124432334243</v>
      </c>
      <c r="CU37" s="217">
        <f t="shared" si="52"/>
        <v>20.014699555428081</v>
      </c>
      <c r="CV37" s="217">
        <f t="shared" si="53"/>
        <v>37.527561666427651</v>
      </c>
      <c r="CW37" s="443">
        <f t="shared" si="54"/>
        <v>15</v>
      </c>
      <c r="CX37" s="217">
        <f t="shared" si="55"/>
        <v>7.9941244961934617</v>
      </c>
      <c r="CY37" s="217">
        <f t="shared" si="56"/>
        <v>1.6539567923158889</v>
      </c>
      <c r="CZ37" s="217">
        <f t="shared" si="57"/>
        <v>6.110158850593729</v>
      </c>
      <c r="DA37" s="197">
        <f t="shared" si="58"/>
        <v>102.962460425147</v>
      </c>
      <c r="DB37" s="443">
        <f t="shared" si="115"/>
        <v>128.79766943106065</v>
      </c>
      <c r="DD37" s="217">
        <f t="shared" si="59"/>
        <v>10</v>
      </c>
      <c r="DE37" s="173">
        <f t="shared" si="60"/>
        <v>7.6433121019108281</v>
      </c>
      <c r="DF37" s="173">
        <f t="shared" si="61"/>
        <v>3.9348710990502043</v>
      </c>
      <c r="DG37" s="173"/>
      <c r="DH37" s="173">
        <f t="shared" si="62"/>
        <v>7.6433121019108281</v>
      </c>
      <c r="DI37" s="545">
        <f t="shared" si="63"/>
        <v>83.733333333333348</v>
      </c>
      <c r="DJ37" s="528">
        <f t="shared" si="64"/>
        <v>3.9348710990502034</v>
      </c>
      <c r="DL37" s="173">
        <f t="shared" si="65"/>
        <v>4.8126816601459064</v>
      </c>
      <c r="DM37" s="173">
        <f t="shared" si="66"/>
        <v>10</v>
      </c>
      <c r="DN37" s="173">
        <f t="shared" si="67"/>
        <v>1.0478476190476191</v>
      </c>
      <c r="DP37" s="545">
        <f t="shared" si="68"/>
        <v>3200</v>
      </c>
      <c r="DQ37" s="460">
        <f t="shared" si="69"/>
        <v>83.733333333333348</v>
      </c>
      <c r="DS37">
        <f t="shared" si="116"/>
        <v>3200</v>
      </c>
      <c r="DT37" s="460">
        <f t="shared" si="70"/>
        <v>83.733333333333348</v>
      </c>
      <c r="DU37" s="460"/>
      <c r="DV37" s="5">
        <f t="shared" si="117"/>
        <v>11.942675159235666</v>
      </c>
      <c r="DW37" s="5">
        <f t="shared" si="71"/>
        <v>2.068965517241379</v>
      </c>
      <c r="DX37" s="5">
        <f t="shared" si="118"/>
        <v>9.8737096419942869</v>
      </c>
      <c r="DY37" s="173">
        <f t="shared" si="119"/>
        <v>0.17324137931034483</v>
      </c>
      <c r="EA37" s="5">
        <f t="shared" si="72"/>
        <v>44.137931034482754</v>
      </c>
      <c r="EB37" s="5">
        <f t="shared" si="73"/>
        <v>2.068965517241379</v>
      </c>
      <c r="EC37" s="5">
        <f t="shared" si="74"/>
        <v>2.817705486419297</v>
      </c>
      <c r="ED37" s="5"/>
      <c r="EE37" s="173">
        <f t="shared" si="120"/>
        <v>2.4030631792939112</v>
      </c>
      <c r="EF37" s="173">
        <f t="shared" si="75"/>
        <v>5.2496305288710721</v>
      </c>
      <c r="EG37" s="173">
        <f t="shared" si="76"/>
        <v>0.12928501851494251</v>
      </c>
      <c r="EH37" s="173"/>
      <c r="EI37" s="528">
        <f t="shared" si="77"/>
        <v>0.11549425287356321</v>
      </c>
      <c r="EJ37" s="528">
        <f t="shared" si="78"/>
        <v>1.2342293333333334</v>
      </c>
      <c r="EK37" s="528">
        <f t="shared" si="79"/>
        <v>1.0466666666666668E-2</v>
      </c>
      <c r="EL37" s="528">
        <f t="shared" si="80"/>
        <v>4.5481350933333345E-2</v>
      </c>
      <c r="EM37">
        <f t="shared" si="81"/>
        <v>2.6099999999999998E-2</v>
      </c>
      <c r="EN37" s="460">
        <f t="shared" si="121"/>
        <v>36.566666666666663</v>
      </c>
      <c r="EO37">
        <f t="shared" si="82"/>
        <v>1.5042333736526263</v>
      </c>
      <c r="EP37" s="460">
        <f t="shared" si="122"/>
        <v>1504.2333736526264</v>
      </c>
      <c r="EQ37" s="173">
        <f t="shared" si="83"/>
        <v>1.9879999999999998</v>
      </c>
      <c r="ER37" s="173">
        <f t="shared" ref="ER37:ER68" si="170">Vfwd22*CK37*(1+Diode_TC/1000*(Ta-25))</f>
        <v>3.5499999999999997E-2</v>
      </c>
      <c r="ES37" s="528"/>
      <c r="EU37" s="460">
        <f t="shared" si="123"/>
        <v>2023.4999999999998</v>
      </c>
      <c r="EV37" s="528">
        <f t="shared" si="85"/>
        <v>0.17324137931034481</v>
      </c>
      <c r="EW37" s="528">
        <f t="shared" si="124"/>
        <v>0.82675862068965511</v>
      </c>
      <c r="EX37" s="528">
        <f t="shared" si="86"/>
        <v>8.3573080062045136E-5</v>
      </c>
      <c r="EY37" s="528">
        <f t="shared" si="87"/>
        <v>1.0144156838416705</v>
      </c>
      <c r="EZ37" s="528">
        <f t="shared" si="88"/>
        <v>2.4505822811713931</v>
      </c>
      <c r="FA37" s="625">
        <f t="shared" si="89"/>
        <v>8.3733333333333351E-3</v>
      </c>
      <c r="FB37" s="460">
        <f t="shared" si="125"/>
        <v>2458.9556145047263</v>
      </c>
      <c r="FC37" s="173">
        <f t="shared" si="126"/>
        <v>5.9866889881573524</v>
      </c>
      <c r="FD37" s="5">
        <f t="shared" si="127"/>
        <v>48.64</v>
      </c>
      <c r="FE37" s="173">
        <f t="shared" si="128"/>
        <v>0.89040725149102073</v>
      </c>
      <c r="FF37" s="5">
        <f t="shared" si="129"/>
        <v>89.040725149102073</v>
      </c>
      <c r="FG37">
        <f t="shared" si="130"/>
        <v>32</v>
      </c>
      <c r="FI37" s="562">
        <f t="shared" si="90"/>
        <v>-50</v>
      </c>
      <c r="FJ37">
        <f t="shared" si="91"/>
        <v>-50</v>
      </c>
      <c r="FL37">
        <f t="shared" si="92"/>
        <v>0.64620369913767972</v>
      </c>
    </row>
    <row r="38" spans="5:168">
      <c r="E38" s="170">
        <v>33</v>
      </c>
      <c r="F38" s="217">
        <f t="shared" si="131"/>
        <v>3.3000000000000003</v>
      </c>
      <c r="G38" s="217">
        <f t="shared" ref="G38:G69" si="171">IF(PLOT_TYPE=1, E38/100*Iout2, min_I*EXP(Q38*rr/100))</f>
        <v>8.2500000000000004E-2</v>
      </c>
      <c r="H38" s="217">
        <f t="shared" si="135"/>
        <v>49.500000000000007</v>
      </c>
      <c r="I38" s="217">
        <f t="shared" si="132"/>
        <v>0.66</v>
      </c>
      <c r="J38" s="541">
        <f t="shared" si="136"/>
        <v>57.723315016620042</v>
      </c>
      <c r="K38" s="443">
        <f t="shared" si="137"/>
        <v>15.848559966660831</v>
      </c>
      <c r="L38" s="172">
        <f t="shared" si="138"/>
        <v>73.571874983280878</v>
      </c>
      <c r="M38" s="443"/>
      <c r="N38" s="217">
        <f t="shared" si="139"/>
        <v>0.21541601284814879</v>
      </c>
      <c r="O38" s="172">
        <f t="shared" ref="O38:O69" si="172">N38*J38*Isw_max*0.5*Efficiency*Pout/(Pout+Pout2)</f>
        <v>306.77285450471948</v>
      </c>
      <c r="P38" s="172">
        <f t="shared" si="140"/>
        <v>4.1448421230859873</v>
      </c>
      <c r="Q38" s="217">
        <f t="shared" si="6"/>
        <v>20.451523633647966</v>
      </c>
      <c r="R38" s="217">
        <f t="shared" si="141"/>
        <v>38.346606813089934</v>
      </c>
      <c r="S38" s="443">
        <f t="shared" si="142"/>
        <v>15</v>
      </c>
      <c r="T38" s="217">
        <f t="shared" si="143"/>
        <v>8.0678585593756438</v>
      </c>
      <c r="U38" s="217">
        <f t="shared" si="10"/>
        <v>1.6772131448901086</v>
      </c>
      <c r="V38" s="217">
        <f t="shared" si="11"/>
        <v>6.1087128998575979</v>
      </c>
      <c r="W38" s="197">
        <f t="shared" si="12"/>
        <v>103.62105307714972</v>
      </c>
      <c r="X38" s="443">
        <f t="shared" si="95"/>
        <v>125.22029310022145</v>
      </c>
      <c r="Z38" s="217">
        <f t="shared" si="13"/>
        <v>10</v>
      </c>
      <c r="AA38" s="173">
        <f t="shared" si="14"/>
        <v>7.5716658328853255</v>
      </c>
      <c r="AB38" s="173">
        <f t="shared" si="144"/>
        <v>3.922919935759257</v>
      </c>
      <c r="AC38" s="173"/>
      <c r="AD38" s="173">
        <f t="shared" si="16"/>
        <v>7.5716658328853255</v>
      </c>
      <c r="AE38" s="545">
        <f t="shared" si="145"/>
        <v>87.167079816634583</v>
      </c>
      <c r="AF38" s="528">
        <f t="shared" si="146"/>
        <v>3.922919935759257</v>
      </c>
      <c r="AH38" s="173">
        <f t="shared" si="147"/>
        <v>4.8873013295390626</v>
      </c>
      <c r="AI38" s="173">
        <f t="shared" si="148"/>
        <v>10</v>
      </c>
      <c r="AJ38" s="173">
        <f t="shared" si="149"/>
        <v>1.0498097598952199</v>
      </c>
      <c r="AL38" s="545">
        <f t="shared" si="150"/>
        <v>3300.0000000000005</v>
      </c>
      <c r="AM38" s="460">
        <f t="shared" si="151"/>
        <v>87.167079816634583</v>
      </c>
      <c r="AO38">
        <f t="shared" si="96"/>
        <v>3300.0000000000005</v>
      </c>
      <c r="AP38" s="460">
        <f t="shared" si="24"/>
        <v>87.167079816634583</v>
      </c>
      <c r="AQ38" s="460"/>
      <c r="AR38" s="5">
        <f t="shared" si="97"/>
        <v>11.472220958917157</v>
      </c>
      <c r="AS38" s="5">
        <f t="shared" si="25"/>
        <v>2.0788826831142475</v>
      </c>
      <c r="AT38" s="5">
        <f t="shared" si="98"/>
        <v>9.3933382758029094</v>
      </c>
      <c r="AU38" s="173">
        <f t="shared" si="99"/>
        <v>0.18121013276843909</v>
      </c>
      <c r="AW38" s="5">
        <f t="shared" si="152"/>
        <v>45.735419028513448</v>
      </c>
      <c r="AX38" s="5">
        <f t="shared" si="153"/>
        <v>2.1438477669615681</v>
      </c>
      <c r="AY38" s="5">
        <f t="shared" si="28"/>
        <v>2.7776396257785776</v>
      </c>
      <c r="AZ38" s="5"/>
      <c r="BA38" s="173">
        <f t="shared" si="100"/>
        <v>2.4577098606116978</v>
      </c>
      <c r="BB38" s="173">
        <f t="shared" si="154"/>
        <v>5.2242698604097173</v>
      </c>
      <c r="BC38" s="173">
        <f t="shared" si="155"/>
        <v>0.12866044989558051</v>
      </c>
      <c r="BD38" s="173"/>
      <c r="BE38" s="528">
        <f t="shared" si="31"/>
        <v>0.12080675517895943</v>
      </c>
      <c r="BF38" s="528">
        <f t="shared" si="156"/>
        <v>1.2024460310488321</v>
      </c>
      <c r="BG38" s="528">
        <f t="shared" si="157"/>
        <v>0.12578932018336153</v>
      </c>
      <c r="BH38" s="528">
        <f t="shared" si="34"/>
        <v>4.7181978170915718E-2</v>
      </c>
      <c r="BI38">
        <f t="shared" si="35"/>
        <v>2.5975491757479017E-2</v>
      </c>
      <c r="BJ38" s="460">
        <f t="shared" si="101"/>
        <v>151.76481194084053</v>
      </c>
      <c r="BK38">
        <f t="shared" si="158"/>
        <v>1.4445155064148618</v>
      </c>
      <c r="BL38" s="460">
        <f t="shared" si="102"/>
        <v>1444.5155064148619</v>
      </c>
      <c r="BM38" s="173">
        <f t="shared" si="159"/>
        <v>2.050125</v>
      </c>
      <c r="BN38" s="173">
        <f t="shared" si="160"/>
        <v>3.6609375E-2</v>
      </c>
      <c r="BO38" s="528"/>
      <c r="BQ38" s="460">
        <f t="shared" si="103"/>
        <v>2086.734375</v>
      </c>
      <c r="BR38" s="528">
        <f t="shared" si="39"/>
        <v>0.18121013276843914</v>
      </c>
      <c r="BS38" s="528">
        <f t="shared" si="104"/>
        <v>0.81878986723156089</v>
      </c>
      <c r="BT38" s="528">
        <f t="shared" si="161"/>
        <v>8.2767556836665904E-5</v>
      </c>
      <c r="BU38" s="528">
        <f t="shared" si="41"/>
        <v>1.12163420949915</v>
      </c>
      <c r="BV38" s="528">
        <f t="shared" si="162"/>
        <v>2.5671237382982839</v>
      </c>
      <c r="BW38" s="625">
        <f t="shared" si="163"/>
        <v>8.7167079816634595E-3</v>
      </c>
      <c r="BX38" s="460">
        <f t="shared" si="105"/>
        <v>2575.8404462799472</v>
      </c>
      <c r="BY38" s="173">
        <f t="shared" si="106"/>
        <v>6.1070903276948085</v>
      </c>
      <c r="BZ38" s="5">
        <f t="shared" si="107"/>
        <v>50.160000000000004</v>
      </c>
      <c r="CA38" s="173">
        <f t="shared" si="108"/>
        <v>0.89146248202763601</v>
      </c>
      <c r="CB38" s="5">
        <f t="shared" si="109"/>
        <v>89.146248202763601</v>
      </c>
      <c r="CC38">
        <f t="shared" ref="CC38:CC69" si="173">F38/Iout*100</f>
        <v>33</v>
      </c>
      <c r="CE38" s="562">
        <f t="shared" si="164"/>
        <v>-50</v>
      </c>
      <c r="CF38">
        <f t="shared" si="165"/>
        <v>-50</v>
      </c>
      <c r="CG38" s="173">
        <f t="shared" si="166"/>
        <v>0.66639756473573231</v>
      </c>
      <c r="CH38" s="173">
        <f t="shared" si="167"/>
        <v>7.6784502815421457E-2</v>
      </c>
      <c r="CI38" s="170">
        <v>33</v>
      </c>
      <c r="CJ38" s="217">
        <f t="shared" si="133"/>
        <v>3.3000000000000003</v>
      </c>
      <c r="CK38" s="217">
        <f t="shared" si="111"/>
        <v>8.2500000000000004E-2</v>
      </c>
      <c r="CL38" s="217">
        <f t="shared" si="48"/>
        <v>49.500000000000007</v>
      </c>
      <c r="CM38" s="217">
        <f t="shared" si="134"/>
        <v>0.66</v>
      </c>
      <c r="CN38" s="541">
        <f t="shared" si="112"/>
        <v>58</v>
      </c>
      <c r="CO38" s="443">
        <f t="shared" si="168"/>
        <v>15.7</v>
      </c>
      <c r="CP38" s="443">
        <f t="shared" si="169"/>
        <v>73.7</v>
      </c>
      <c r="CQ38" s="443"/>
      <c r="CR38" s="217">
        <f t="shared" si="113"/>
        <v>0.2098092643051771</v>
      </c>
      <c r="CS38" s="172">
        <f t="shared" si="114"/>
        <v>300.22049333142121</v>
      </c>
      <c r="CT38" s="172">
        <f t="shared" si="51"/>
        <v>4.0563124432334243</v>
      </c>
      <c r="CU38" s="217">
        <f t="shared" si="52"/>
        <v>20.014699555428081</v>
      </c>
      <c r="CV38" s="217">
        <f t="shared" si="53"/>
        <v>37.527561666427651</v>
      </c>
      <c r="CW38" s="443">
        <f t="shared" si="54"/>
        <v>15</v>
      </c>
      <c r="CX38" s="217">
        <f t="shared" si="55"/>
        <v>8.2439408866995088</v>
      </c>
      <c r="CY38" s="217">
        <f t="shared" si="56"/>
        <v>1.7056429420757604</v>
      </c>
      <c r="CZ38" s="217">
        <f t="shared" si="57"/>
        <v>6.301101314674785</v>
      </c>
      <c r="DA38" s="197">
        <f t="shared" si="58"/>
        <v>102.962460425147</v>
      </c>
      <c r="DB38" s="443">
        <f t="shared" si="115"/>
        <v>124.89470975133152</v>
      </c>
      <c r="DD38" s="217">
        <f t="shared" si="59"/>
        <v>10</v>
      </c>
      <c r="DE38" s="173">
        <f t="shared" si="60"/>
        <v>7.6433121019108281</v>
      </c>
      <c r="DF38" s="173">
        <f t="shared" si="61"/>
        <v>3.9348710990502043</v>
      </c>
      <c r="DG38" s="173"/>
      <c r="DH38" s="173">
        <f t="shared" si="62"/>
        <v>7.6433121019108281</v>
      </c>
      <c r="DI38" s="545">
        <f t="shared" si="63"/>
        <v>86.350000000000009</v>
      </c>
      <c r="DJ38" s="528">
        <f t="shared" si="64"/>
        <v>3.9348710990502034</v>
      </c>
      <c r="DL38" s="173">
        <f t="shared" si="65"/>
        <v>4.8873013295390626</v>
      </c>
      <c r="DM38" s="173">
        <f t="shared" si="66"/>
        <v>10</v>
      </c>
      <c r="DN38" s="173">
        <f t="shared" si="67"/>
        <v>1.0493428571428571</v>
      </c>
      <c r="DP38" s="545">
        <f t="shared" si="68"/>
        <v>3300.0000000000005</v>
      </c>
      <c r="DQ38" s="460">
        <f t="shared" si="69"/>
        <v>86.350000000000009</v>
      </c>
      <c r="DS38">
        <f t="shared" si="116"/>
        <v>3300.0000000000005</v>
      </c>
      <c r="DT38" s="460">
        <f t="shared" si="70"/>
        <v>86.350000000000009</v>
      </c>
      <c r="DU38" s="460"/>
      <c r="DV38" s="5">
        <f t="shared" si="117"/>
        <v>11.580775911986104</v>
      </c>
      <c r="DW38" s="5">
        <f t="shared" si="71"/>
        <v>2.068965517241379</v>
      </c>
      <c r="DX38" s="5">
        <f t="shared" si="118"/>
        <v>9.5118103947447246</v>
      </c>
      <c r="DY38" s="173">
        <f t="shared" si="119"/>
        <v>0.17865517241379306</v>
      </c>
      <c r="EA38" s="5">
        <f t="shared" si="72"/>
        <v>45.517241379310349</v>
      </c>
      <c r="EB38" s="5">
        <f t="shared" si="73"/>
        <v>2.1336206896551722</v>
      </c>
      <c r="EC38" s="5">
        <f t="shared" si="74"/>
        <v>2.7992545454213071</v>
      </c>
      <c r="ED38" s="5"/>
      <c r="EE38" s="173">
        <f t="shared" si="120"/>
        <v>2.4403221946687905</v>
      </c>
      <c r="EF38" s="173">
        <f t="shared" si="75"/>
        <v>5.2324144445504537</v>
      </c>
      <c r="EG38" s="173">
        <f t="shared" si="76"/>
        <v>0.1288610302422622</v>
      </c>
      <c r="EH38" s="173"/>
      <c r="EI38" s="528">
        <f t="shared" si="77"/>
        <v>0.11910344827586204</v>
      </c>
      <c r="EJ38" s="528">
        <f t="shared" si="78"/>
        <v>1.2727990000000002</v>
      </c>
      <c r="EK38" s="528">
        <f t="shared" si="79"/>
        <v>1.079375E-2</v>
      </c>
      <c r="EL38" s="528">
        <f t="shared" si="80"/>
        <v>4.6902643150000006E-2</v>
      </c>
      <c r="EM38">
        <f t="shared" si="81"/>
        <v>2.6099999999999998E-2</v>
      </c>
      <c r="EN38" s="460">
        <f t="shared" si="121"/>
        <v>36.893749999999997</v>
      </c>
      <c r="EO38">
        <f t="shared" si="82"/>
        <v>1.5517702877271433</v>
      </c>
      <c r="EP38" s="460">
        <f t="shared" si="122"/>
        <v>1551.7702877271433</v>
      </c>
      <c r="EQ38" s="173">
        <f t="shared" si="83"/>
        <v>2.050125</v>
      </c>
      <c r="ER38" s="173">
        <f t="shared" si="170"/>
        <v>3.6609375E-2</v>
      </c>
      <c r="ES38" s="528"/>
      <c r="EU38" s="460">
        <f t="shared" si="123"/>
        <v>2086.734375</v>
      </c>
      <c r="EV38" s="528">
        <f t="shared" si="85"/>
        <v>0.17865517241379306</v>
      </c>
      <c r="EW38" s="528">
        <f t="shared" si="124"/>
        <v>0.82134482758620697</v>
      </c>
      <c r="EX38" s="528">
        <f t="shared" si="86"/>
        <v>8.3025825575486052E-5</v>
      </c>
      <c r="EY38" s="528">
        <f t="shared" si="87"/>
        <v>1.095533996516419</v>
      </c>
      <c r="EZ38" s="528">
        <f t="shared" si="88"/>
        <v>2.5387541425139371</v>
      </c>
      <c r="FA38" s="625">
        <f t="shared" si="89"/>
        <v>8.6350000000000003E-3</v>
      </c>
      <c r="FB38" s="460">
        <f t="shared" si="125"/>
        <v>2547.3891425139368</v>
      </c>
      <c r="FC38" s="173">
        <f t="shared" si="126"/>
        <v>6.1858938052410801</v>
      </c>
      <c r="FD38" s="5">
        <f t="shared" si="127"/>
        <v>50.160000000000004</v>
      </c>
      <c r="FE38" s="173">
        <f t="shared" si="128"/>
        <v>0.89021571249499476</v>
      </c>
      <c r="FF38" s="5">
        <f t="shared" si="129"/>
        <v>89.021571249499473</v>
      </c>
      <c r="FG38">
        <f t="shared" si="130"/>
        <v>33</v>
      </c>
      <c r="FI38" s="562">
        <f t="shared" si="90"/>
        <v>-50</v>
      </c>
      <c r="FJ38">
        <f t="shared" si="91"/>
        <v>-50</v>
      </c>
      <c r="FL38">
        <f t="shared" si="92"/>
        <v>0.6663975647357322</v>
      </c>
    </row>
    <row r="39" spans="5:168">
      <c r="E39" s="170">
        <v>34</v>
      </c>
      <c r="F39" s="217">
        <f t="shared" si="131"/>
        <v>3.4000000000000004</v>
      </c>
      <c r="G39" s="217">
        <f t="shared" si="171"/>
        <v>8.5000000000000006E-2</v>
      </c>
      <c r="H39" s="217">
        <f t="shared" si="135"/>
        <v>51.000000000000007</v>
      </c>
      <c r="I39" s="217">
        <f t="shared" si="132"/>
        <v>0.68</v>
      </c>
      <c r="J39" s="541">
        <f t="shared" si="136"/>
        <v>57.723315016620042</v>
      </c>
      <c r="K39" s="443">
        <f t="shared" si="137"/>
        <v>15.848559966660831</v>
      </c>
      <c r="L39" s="172">
        <f t="shared" si="138"/>
        <v>73.571874983280878</v>
      </c>
      <c r="M39" s="443"/>
      <c r="N39" s="217">
        <f t="shared" si="139"/>
        <v>0.21541601284814879</v>
      </c>
      <c r="O39" s="172">
        <f t="shared" si="172"/>
        <v>306.77285450471948</v>
      </c>
      <c r="P39" s="172">
        <f t="shared" si="140"/>
        <v>4.1448421230859873</v>
      </c>
      <c r="Q39" s="217">
        <f t="shared" si="6"/>
        <v>20.451523633647966</v>
      </c>
      <c r="R39" s="217">
        <f t="shared" si="141"/>
        <v>38.346606813089934</v>
      </c>
      <c r="S39" s="443">
        <f t="shared" si="142"/>
        <v>15</v>
      </c>
      <c r="T39" s="217">
        <f t="shared" si="143"/>
        <v>8.3123391217809672</v>
      </c>
      <c r="U39" s="217">
        <f t="shared" si="10"/>
        <v>1.7280377856443545</v>
      </c>
      <c r="V39" s="217">
        <f t="shared" si="11"/>
        <v>6.2938254119744963</v>
      </c>
      <c r="W39" s="197">
        <f t="shared" si="12"/>
        <v>103.62105307714972</v>
      </c>
      <c r="X39" s="443">
        <f t="shared" si="95"/>
        <v>121.62693248041538</v>
      </c>
      <c r="Z39" s="217">
        <f t="shared" si="13"/>
        <v>10</v>
      </c>
      <c r="AA39" s="173">
        <f t="shared" si="14"/>
        <v>7.5716658328853255</v>
      </c>
      <c r="AB39" s="173">
        <f t="shared" si="144"/>
        <v>3.922919935759257</v>
      </c>
      <c r="AC39" s="173"/>
      <c r="AD39" s="173">
        <f t="shared" si="16"/>
        <v>7.5716658328853255</v>
      </c>
      <c r="AE39" s="545">
        <f t="shared" si="145"/>
        <v>89.808506477744714</v>
      </c>
      <c r="AF39" s="528">
        <f t="shared" si="146"/>
        <v>3.922919935759257</v>
      </c>
      <c r="AH39" s="173">
        <f t="shared" si="147"/>
        <v>4.960798706813633</v>
      </c>
      <c r="AI39" s="173">
        <f t="shared" si="148"/>
        <v>10</v>
      </c>
      <c r="AJ39" s="173">
        <f t="shared" si="149"/>
        <v>1.0513191465587113</v>
      </c>
      <c r="AL39" s="545">
        <f t="shared" si="150"/>
        <v>3400.0000000000005</v>
      </c>
      <c r="AM39" s="460">
        <f t="shared" si="151"/>
        <v>89.808506477744714</v>
      </c>
      <c r="AO39">
        <f t="shared" si="96"/>
        <v>3400.0000000000005</v>
      </c>
      <c r="AP39" s="460">
        <f t="shared" si="24"/>
        <v>89.808506477744714</v>
      </c>
      <c r="AQ39" s="460"/>
      <c r="AR39" s="5">
        <f t="shared" si="97"/>
        <v>11.134802695419594</v>
      </c>
      <c r="AS39" s="5">
        <f t="shared" si="25"/>
        <v>2.0788826831142475</v>
      </c>
      <c r="AT39" s="5">
        <f t="shared" si="98"/>
        <v>9.0559200123053465</v>
      </c>
      <c r="AU39" s="173">
        <f t="shared" si="99"/>
        <v>0.18670134891293722</v>
      </c>
      <c r="AW39" s="5">
        <f t="shared" si="152"/>
        <v>47.121340817256282</v>
      </c>
      <c r="AX39" s="5">
        <f t="shared" si="153"/>
        <v>2.2088128508088882</v>
      </c>
      <c r="AY39" s="5">
        <f t="shared" si="28"/>
        <v>2.7590113791830939</v>
      </c>
      <c r="AZ39" s="5"/>
      <c r="BA39" s="173">
        <f t="shared" si="100"/>
        <v>2.4946699775918071</v>
      </c>
      <c r="BB39" s="173">
        <f t="shared" si="154"/>
        <v>5.2067221009225593</v>
      </c>
      <c r="BC39" s="173">
        <f t="shared" si="155"/>
        <v>0.12822829330899482</v>
      </c>
      <c r="BD39" s="173"/>
      <c r="BE39" s="528">
        <f t="shared" si="31"/>
        <v>0.12446756594195815</v>
      </c>
      <c r="BF39" s="528">
        <f t="shared" si="156"/>
        <v>1.2388837895654634</v>
      </c>
      <c r="BG39" s="528">
        <f t="shared" si="157"/>
        <v>0.12960111776467551</v>
      </c>
      <c r="BH39" s="528">
        <f t="shared" si="34"/>
        <v>4.8611735085185889E-2</v>
      </c>
      <c r="BI39">
        <f t="shared" si="35"/>
        <v>2.5975491757479017E-2</v>
      </c>
      <c r="BJ39" s="460">
        <f t="shared" si="101"/>
        <v>155.57660952215451</v>
      </c>
      <c r="BK39">
        <f t="shared" si="158"/>
        <v>1.4896226803002197</v>
      </c>
      <c r="BL39" s="460">
        <f t="shared" si="102"/>
        <v>1489.6226803002198</v>
      </c>
      <c r="BM39" s="173">
        <f t="shared" si="159"/>
        <v>2.11225</v>
      </c>
      <c r="BN39" s="173">
        <f t="shared" si="160"/>
        <v>3.7718750000000002E-2</v>
      </c>
      <c r="BO39" s="528"/>
      <c r="BQ39" s="460">
        <f t="shared" si="103"/>
        <v>2149.9687499999995</v>
      </c>
      <c r="BR39" s="528">
        <f t="shared" si="39"/>
        <v>0.18670134891293722</v>
      </c>
      <c r="BS39" s="528">
        <f t="shared" si="104"/>
        <v>0.8132986510870629</v>
      </c>
      <c r="BT39" s="528">
        <f t="shared" si="161"/>
        <v>8.2212476024688029E-5</v>
      </c>
      <c r="BU39" s="528">
        <f t="shared" si="41"/>
        <v>1.2085474033381589</v>
      </c>
      <c r="BV39" s="528">
        <f t="shared" si="162"/>
        <v>2.6615944044670901</v>
      </c>
      <c r="BW39" s="625">
        <f t="shared" si="163"/>
        <v>8.9808506477744732E-3</v>
      </c>
      <c r="BX39" s="460">
        <f t="shared" si="105"/>
        <v>2670.5752551148648</v>
      </c>
      <c r="BY39" s="173">
        <f t="shared" si="106"/>
        <v>6.3101666854150844</v>
      </c>
      <c r="BZ39" s="5">
        <f t="shared" si="107"/>
        <v>51.680000000000007</v>
      </c>
      <c r="CA39" s="173">
        <f t="shared" si="108"/>
        <v>0.89118557427767953</v>
      </c>
      <c r="CB39" s="5">
        <f t="shared" si="109"/>
        <v>89.118557427767954</v>
      </c>
      <c r="CC39">
        <f t="shared" si="173"/>
        <v>34</v>
      </c>
      <c r="CE39" s="562">
        <f t="shared" si="164"/>
        <v>-50</v>
      </c>
      <c r="CF39">
        <f t="shared" si="165"/>
        <v>-50</v>
      </c>
      <c r="CG39" s="173">
        <f t="shared" si="166"/>
        <v>0.68659143033378478</v>
      </c>
      <c r="CH39" s="173">
        <f t="shared" si="167"/>
        <v>7.9111305931040307E-2</v>
      </c>
      <c r="CI39" s="170">
        <v>34</v>
      </c>
      <c r="CJ39" s="217">
        <f t="shared" si="133"/>
        <v>3.4000000000000004</v>
      </c>
      <c r="CK39" s="217">
        <f t="shared" si="111"/>
        <v>8.5000000000000006E-2</v>
      </c>
      <c r="CL39" s="217">
        <f t="shared" si="48"/>
        <v>51.000000000000007</v>
      </c>
      <c r="CM39" s="217">
        <f t="shared" si="134"/>
        <v>0.68</v>
      </c>
      <c r="CN39" s="541">
        <f t="shared" si="112"/>
        <v>58</v>
      </c>
      <c r="CO39" s="443">
        <f t="shared" si="168"/>
        <v>15.7</v>
      </c>
      <c r="CP39" s="443">
        <f t="shared" si="169"/>
        <v>73.7</v>
      </c>
      <c r="CQ39" s="443"/>
      <c r="CR39" s="217">
        <f t="shared" si="113"/>
        <v>0.2098092643051771</v>
      </c>
      <c r="CS39" s="172">
        <f t="shared" si="114"/>
        <v>300.22049333142121</v>
      </c>
      <c r="CT39" s="172">
        <f t="shared" si="51"/>
        <v>4.0563124432334243</v>
      </c>
      <c r="CU39" s="217">
        <f t="shared" si="52"/>
        <v>20.014699555428081</v>
      </c>
      <c r="CV39" s="217">
        <f t="shared" si="53"/>
        <v>37.527561666427651</v>
      </c>
      <c r="CW39" s="443">
        <f t="shared" si="54"/>
        <v>15</v>
      </c>
      <c r="CX39" s="217">
        <f t="shared" si="55"/>
        <v>8.493757277205555</v>
      </c>
      <c r="CY39" s="217">
        <f t="shared" si="56"/>
        <v>1.7573290918356321</v>
      </c>
      <c r="CZ39" s="217">
        <f t="shared" si="57"/>
        <v>6.4920437787558392</v>
      </c>
      <c r="DA39" s="197">
        <f t="shared" si="58"/>
        <v>102.962460425147</v>
      </c>
      <c r="DB39" s="443">
        <f t="shared" si="115"/>
        <v>121.22133593511587</v>
      </c>
      <c r="DD39" s="217">
        <f t="shared" si="59"/>
        <v>10</v>
      </c>
      <c r="DE39" s="173">
        <f t="shared" si="60"/>
        <v>7.6433121019108281</v>
      </c>
      <c r="DF39" s="173">
        <f t="shared" si="61"/>
        <v>3.9348710990502043</v>
      </c>
      <c r="DG39" s="173"/>
      <c r="DH39" s="173">
        <f t="shared" si="62"/>
        <v>7.6433121019108281</v>
      </c>
      <c r="DI39" s="545">
        <f t="shared" si="63"/>
        <v>88.966666666666683</v>
      </c>
      <c r="DJ39" s="528">
        <f t="shared" si="64"/>
        <v>3.9348710990502034</v>
      </c>
      <c r="DL39" s="173">
        <f t="shared" si="65"/>
        <v>4.960798706813633</v>
      </c>
      <c r="DM39" s="173">
        <f t="shared" si="66"/>
        <v>10</v>
      </c>
      <c r="DN39" s="173">
        <f t="shared" si="67"/>
        <v>1.0508380952380953</v>
      </c>
      <c r="DP39" s="545">
        <f t="shared" si="68"/>
        <v>3400.0000000000005</v>
      </c>
      <c r="DQ39" s="460">
        <f t="shared" si="69"/>
        <v>88.966666666666683</v>
      </c>
      <c r="DS39">
        <f t="shared" si="116"/>
        <v>3400.0000000000005</v>
      </c>
      <c r="DT39" s="460">
        <f t="shared" si="70"/>
        <v>88.966666666666683</v>
      </c>
      <c r="DU39" s="460"/>
      <c r="DV39" s="5">
        <f t="shared" si="117"/>
        <v>11.240164855751216</v>
      </c>
      <c r="DW39" s="5">
        <f t="shared" si="71"/>
        <v>2.068965517241379</v>
      </c>
      <c r="DX39" s="5">
        <f t="shared" si="118"/>
        <v>9.1711993385098367</v>
      </c>
      <c r="DY39" s="173">
        <f t="shared" si="119"/>
        <v>0.18406896551724139</v>
      </c>
      <c r="EA39" s="5">
        <f t="shared" si="72"/>
        <v>46.896551724137929</v>
      </c>
      <c r="EB39" s="5">
        <f t="shared" si="73"/>
        <v>2.1982758620689653</v>
      </c>
      <c r="EC39" s="5">
        <f t="shared" si="74"/>
        <v>2.7808036044233155</v>
      </c>
      <c r="ED39" s="5"/>
      <c r="EE39" s="173">
        <f t="shared" si="120"/>
        <v>2.4770208283153465</v>
      </c>
      <c r="EF39" s="173">
        <f t="shared" si="75"/>
        <v>5.2151415272670487</v>
      </c>
      <c r="EG39" s="173">
        <f t="shared" si="76"/>
        <v>0.12843564231857676</v>
      </c>
      <c r="EH39" s="173"/>
      <c r="EI39" s="528">
        <f t="shared" si="77"/>
        <v>0.12271264367816091</v>
      </c>
      <c r="EJ39" s="528">
        <f t="shared" si="78"/>
        <v>1.3113686666666671</v>
      </c>
      <c r="EK39" s="528">
        <f t="shared" si="79"/>
        <v>1.1120833333333335E-2</v>
      </c>
      <c r="EL39" s="528">
        <f t="shared" si="80"/>
        <v>4.8323935366666682E-2</v>
      </c>
      <c r="EM39">
        <f t="shared" si="81"/>
        <v>2.6099999999999998E-2</v>
      </c>
      <c r="EN39" s="460">
        <f t="shared" si="121"/>
        <v>37.220833333333331</v>
      </c>
      <c r="EO39">
        <f t="shared" si="82"/>
        <v>1.5993911803951155</v>
      </c>
      <c r="EP39" s="460">
        <f t="shared" si="122"/>
        <v>1599.3911803951155</v>
      </c>
      <c r="EQ39" s="173">
        <f t="shared" si="83"/>
        <v>2.11225</v>
      </c>
      <c r="ER39" s="173">
        <f t="shared" si="170"/>
        <v>3.7718750000000002E-2</v>
      </c>
      <c r="ES39" s="528"/>
      <c r="EU39" s="460">
        <f t="shared" si="123"/>
        <v>2149.9687499999995</v>
      </c>
      <c r="EV39" s="528">
        <f t="shared" si="85"/>
        <v>0.18406896551724136</v>
      </c>
      <c r="EW39" s="528">
        <f t="shared" si="124"/>
        <v>0.8159310344827585</v>
      </c>
      <c r="EX39" s="528">
        <f t="shared" si="86"/>
        <v>8.2478571088926927E-5</v>
      </c>
      <c r="EY39" s="528">
        <f t="shared" si="87"/>
        <v>1.1804247370003182</v>
      </c>
      <c r="EZ39" s="528">
        <f t="shared" si="88"/>
        <v>2.631026489883586</v>
      </c>
      <c r="FA39" s="625">
        <f t="shared" si="89"/>
        <v>8.896666666666669E-3</v>
      </c>
      <c r="FB39" s="460">
        <f t="shared" si="125"/>
        <v>2639.9231565502528</v>
      </c>
      <c r="FC39" s="173">
        <f t="shared" si="126"/>
        <v>6.3892830869453681</v>
      </c>
      <c r="FD39" s="5">
        <f t="shared" si="127"/>
        <v>51.680000000000007</v>
      </c>
      <c r="FE39" s="173">
        <f t="shared" si="128"/>
        <v>0.88997137992251618</v>
      </c>
      <c r="FF39" s="5">
        <f t="shared" si="129"/>
        <v>88.997137992251623</v>
      </c>
      <c r="FG39">
        <f t="shared" si="130"/>
        <v>34</v>
      </c>
      <c r="FI39" s="562">
        <f t="shared" si="90"/>
        <v>-50</v>
      </c>
      <c r="FJ39">
        <f t="shared" si="91"/>
        <v>-50</v>
      </c>
      <c r="FL39">
        <f t="shared" si="92"/>
        <v>0.68659143033378478</v>
      </c>
    </row>
    <row r="40" spans="5:168">
      <c r="E40" s="170">
        <v>35</v>
      </c>
      <c r="F40" s="217">
        <f t="shared" ref="F40:F71" si="174">IF(PLOT_TYPE=1, E40/100*Iout_max, min_I*EXP(O40*rr/100))</f>
        <v>3.5</v>
      </c>
      <c r="G40" s="217">
        <f t="shared" si="171"/>
        <v>8.7499999999999994E-2</v>
      </c>
      <c r="H40" s="217">
        <f t="shared" si="135"/>
        <v>52.5</v>
      </c>
      <c r="I40" s="217">
        <f t="shared" ref="I40:I71" si="175">Vout2*G40</f>
        <v>0.7</v>
      </c>
      <c r="J40" s="541">
        <f t="shared" si="136"/>
        <v>57.723315016620042</v>
      </c>
      <c r="K40" s="443">
        <f t="shared" si="137"/>
        <v>15.848559966660831</v>
      </c>
      <c r="L40" s="172">
        <f t="shared" si="138"/>
        <v>73.571874983280878</v>
      </c>
      <c r="M40" s="443"/>
      <c r="N40" s="217">
        <f t="shared" si="139"/>
        <v>0.21541601284814879</v>
      </c>
      <c r="O40" s="172">
        <f t="shared" si="172"/>
        <v>306.77285450471948</v>
      </c>
      <c r="P40" s="172">
        <f t="shared" si="140"/>
        <v>4.1448421230859873</v>
      </c>
      <c r="Q40" s="217">
        <f t="shared" si="6"/>
        <v>20.451523633647966</v>
      </c>
      <c r="R40" s="217">
        <f t="shared" si="141"/>
        <v>38.346606813089934</v>
      </c>
      <c r="S40" s="443">
        <f t="shared" si="142"/>
        <v>15</v>
      </c>
      <c r="T40" s="217">
        <f t="shared" si="143"/>
        <v>8.5568196841862889</v>
      </c>
      <c r="U40" s="217">
        <f t="shared" si="10"/>
        <v>1.7788624263986001</v>
      </c>
      <c r="V40" s="217">
        <f t="shared" si="11"/>
        <v>6.478937924091392</v>
      </c>
      <c r="W40" s="197">
        <f t="shared" si="12"/>
        <v>103.62105307714972</v>
      </c>
      <c r="X40" s="443">
        <f t="shared" si="95"/>
        <v>118.23405123792811</v>
      </c>
      <c r="Z40" s="217">
        <f t="shared" si="13"/>
        <v>10</v>
      </c>
      <c r="AA40" s="173">
        <f t="shared" si="14"/>
        <v>7.5716658328853255</v>
      </c>
      <c r="AB40" s="173">
        <f t="shared" si="144"/>
        <v>3.922919935759257</v>
      </c>
      <c r="AC40" s="173"/>
      <c r="AD40" s="173">
        <f t="shared" si="16"/>
        <v>7.5716658328853255</v>
      </c>
      <c r="AE40" s="545">
        <f t="shared" si="145"/>
        <v>92.449933138854846</v>
      </c>
      <c r="AF40" s="528">
        <f t="shared" si="146"/>
        <v>3.922919935759257</v>
      </c>
      <c r="AH40" s="173">
        <f t="shared" si="147"/>
        <v>5.0332229568471663</v>
      </c>
      <c r="AI40" s="173">
        <f t="shared" si="148"/>
        <v>10</v>
      </c>
      <c r="AJ40" s="173">
        <f t="shared" si="149"/>
        <v>1.0528285332222027</v>
      </c>
      <c r="AL40" s="545">
        <f t="shared" si="150"/>
        <v>3500</v>
      </c>
      <c r="AM40" s="460">
        <f t="shared" si="151"/>
        <v>92.449933138854846</v>
      </c>
      <c r="AO40">
        <f t="shared" si="96"/>
        <v>3500</v>
      </c>
      <c r="AP40" s="460">
        <f t="shared" si="24"/>
        <v>92.449933138854846</v>
      </c>
      <c r="AQ40" s="460"/>
      <c r="AR40" s="5">
        <f t="shared" si="97"/>
        <v>10.816665475550465</v>
      </c>
      <c r="AS40" s="5">
        <f t="shared" si="25"/>
        <v>2.0788826831142475</v>
      </c>
      <c r="AT40" s="5">
        <f t="shared" si="98"/>
        <v>8.7377827924362172</v>
      </c>
      <c r="AU40" s="173">
        <f t="shared" si="99"/>
        <v>0.19219256505743534</v>
      </c>
      <c r="AW40" s="5">
        <f t="shared" si="152"/>
        <v>48.507262605999109</v>
      </c>
      <c r="AX40" s="5">
        <f t="shared" si="153"/>
        <v>2.2737779346562084</v>
      </c>
      <c r="AY40" s="5">
        <f t="shared" si="28"/>
        <v>2.7403831325876102</v>
      </c>
      <c r="AZ40" s="5"/>
      <c r="BA40" s="173">
        <f t="shared" si="100"/>
        <v>2.5310904439090764</v>
      </c>
      <c r="BB40" s="173">
        <f t="shared" si="154"/>
        <v>5.1891150014318912</v>
      </c>
      <c r="BC40" s="173">
        <f t="shared" si="155"/>
        <v>0.12779467532938149</v>
      </c>
      <c r="BD40" s="173"/>
      <c r="BE40" s="528">
        <f t="shared" si="31"/>
        <v>0.12812837670495691</v>
      </c>
      <c r="BF40" s="528">
        <f t="shared" si="156"/>
        <v>1.2753215480820943</v>
      </c>
      <c r="BG40" s="528">
        <f t="shared" si="157"/>
        <v>0.13341291534598948</v>
      </c>
      <c r="BH40" s="528">
        <f t="shared" si="34"/>
        <v>5.004149199945606E-2</v>
      </c>
      <c r="BI40">
        <f t="shared" si="35"/>
        <v>2.5975491757479017E-2</v>
      </c>
      <c r="BJ40" s="460">
        <f t="shared" si="101"/>
        <v>159.3884071034685</v>
      </c>
      <c r="BK40">
        <f t="shared" si="158"/>
        <v>1.534810787274983</v>
      </c>
      <c r="BL40" s="460">
        <f t="shared" si="102"/>
        <v>1534.8107872749829</v>
      </c>
      <c r="BM40" s="173">
        <f t="shared" si="159"/>
        <v>2.1743749999999995</v>
      </c>
      <c r="BN40" s="173">
        <f t="shared" si="160"/>
        <v>3.8828124999999998E-2</v>
      </c>
      <c r="BO40" s="528"/>
      <c r="BQ40" s="460">
        <f t="shared" si="103"/>
        <v>2213.2031249999995</v>
      </c>
      <c r="BR40" s="528">
        <f t="shared" si="39"/>
        <v>0.19219256505743537</v>
      </c>
      <c r="BS40" s="528">
        <f t="shared" si="104"/>
        <v>0.80780743494256479</v>
      </c>
      <c r="BT40" s="528">
        <f t="shared" si="161"/>
        <v>8.1657395212710127E-5</v>
      </c>
      <c r="BU40" s="528">
        <f t="shared" si="41"/>
        <v>1.2993809873825453</v>
      </c>
      <c r="BV40" s="528">
        <f t="shared" si="162"/>
        <v>2.7603263854756692</v>
      </c>
      <c r="BW40" s="625">
        <f t="shared" si="163"/>
        <v>9.2449933138854853E-3</v>
      </c>
      <c r="BX40" s="460">
        <f t="shared" si="105"/>
        <v>2769.5713787895547</v>
      </c>
      <c r="BY40" s="173">
        <f t="shared" si="106"/>
        <v>6.5175852910645373</v>
      </c>
      <c r="BZ40" s="5">
        <f t="shared" si="107"/>
        <v>53.2</v>
      </c>
      <c r="CA40" s="173">
        <f t="shared" si="108"/>
        <v>0.89085986549359431</v>
      </c>
      <c r="CB40" s="5">
        <f t="shared" si="109"/>
        <v>89.085986549359433</v>
      </c>
      <c r="CC40">
        <f t="shared" si="173"/>
        <v>35</v>
      </c>
      <c r="CE40" s="562">
        <f t="shared" si="164"/>
        <v>-50</v>
      </c>
      <c r="CF40">
        <f t="shared" si="165"/>
        <v>-50</v>
      </c>
      <c r="CG40" s="173">
        <f t="shared" si="166"/>
        <v>0.70678529593183703</v>
      </c>
      <c r="CH40" s="173">
        <f t="shared" si="167"/>
        <v>8.1438109046659116E-2</v>
      </c>
      <c r="CI40" s="170">
        <v>35</v>
      </c>
      <c r="CJ40" s="217">
        <f t="shared" si="133"/>
        <v>3.5</v>
      </c>
      <c r="CK40" s="217">
        <f t="shared" si="111"/>
        <v>8.7499999999999994E-2</v>
      </c>
      <c r="CL40" s="217">
        <f t="shared" si="48"/>
        <v>52.5</v>
      </c>
      <c r="CM40" s="217">
        <f t="shared" si="134"/>
        <v>0.7</v>
      </c>
      <c r="CN40" s="541">
        <f t="shared" si="112"/>
        <v>58</v>
      </c>
      <c r="CO40" s="443">
        <f t="shared" si="168"/>
        <v>15.7</v>
      </c>
      <c r="CP40" s="443">
        <f t="shared" si="169"/>
        <v>73.7</v>
      </c>
      <c r="CQ40" s="443"/>
      <c r="CR40" s="217">
        <f t="shared" si="113"/>
        <v>0.2098092643051771</v>
      </c>
      <c r="CS40" s="172">
        <f t="shared" si="114"/>
        <v>300.22049333142121</v>
      </c>
      <c r="CT40" s="172">
        <f t="shared" si="51"/>
        <v>4.0563124432334243</v>
      </c>
      <c r="CU40" s="217">
        <f t="shared" si="52"/>
        <v>20.014699555428081</v>
      </c>
      <c r="CV40" s="217">
        <f t="shared" si="53"/>
        <v>37.527561666427651</v>
      </c>
      <c r="CW40" s="443">
        <f t="shared" si="54"/>
        <v>15</v>
      </c>
      <c r="CX40" s="217">
        <f t="shared" si="55"/>
        <v>8.7435736677115994</v>
      </c>
      <c r="CY40" s="217">
        <f t="shared" si="56"/>
        <v>1.8090152415955032</v>
      </c>
      <c r="CZ40" s="217">
        <f t="shared" si="57"/>
        <v>6.6829862428368916</v>
      </c>
      <c r="DA40" s="197">
        <f t="shared" si="58"/>
        <v>102.962460425147</v>
      </c>
      <c r="DB40" s="443">
        <f t="shared" si="115"/>
        <v>117.7578691941126</v>
      </c>
      <c r="DD40" s="217">
        <f t="shared" si="59"/>
        <v>10</v>
      </c>
      <c r="DE40" s="173">
        <f t="shared" si="60"/>
        <v>7.6433121019108281</v>
      </c>
      <c r="DF40" s="173">
        <f t="shared" si="61"/>
        <v>3.9348710990502043</v>
      </c>
      <c r="DG40" s="173"/>
      <c r="DH40" s="173">
        <f t="shared" si="62"/>
        <v>7.6433121019108281</v>
      </c>
      <c r="DI40" s="545">
        <f t="shared" si="63"/>
        <v>91.583333333333343</v>
      </c>
      <c r="DJ40" s="528">
        <f t="shared" si="64"/>
        <v>3.9348710990502034</v>
      </c>
      <c r="DL40" s="173">
        <f t="shared" si="65"/>
        <v>5.0332229568471663</v>
      </c>
      <c r="DM40" s="173">
        <f t="shared" si="66"/>
        <v>10</v>
      </c>
      <c r="DN40" s="173">
        <f t="shared" si="67"/>
        <v>1.0523333333333333</v>
      </c>
      <c r="DP40" s="545">
        <f t="shared" si="68"/>
        <v>3500</v>
      </c>
      <c r="DQ40" s="460">
        <f t="shared" si="69"/>
        <v>91.583333333333343</v>
      </c>
      <c r="DS40">
        <f t="shared" si="116"/>
        <v>3500</v>
      </c>
      <c r="DT40" s="460">
        <f t="shared" si="70"/>
        <v>91.583333333333343</v>
      </c>
      <c r="DU40" s="460"/>
      <c r="DV40" s="5">
        <f t="shared" si="117"/>
        <v>10.919017288444039</v>
      </c>
      <c r="DW40" s="5">
        <f t="shared" si="71"/>
        <v>2.068965517241379</v>
      </c>
      <c r="DX40" s="5">
        <f t="shared" si="118"/>
        <v>8.8500517712026596</v>
      </c>
      <c r="DY40" s="173">
        <f t="shared" si="119"/>
        <v>0.18948275862068964</v>
      </c>
      <c r="EA40" s="5">
        <f t="shared" si="72"/>
        <v>48.275862068965509</v>
      </c>
      <c r="EB40" s="5">
        <f t="shared" si="73"/>
        <v>2.2629310344827585</v>
      </c>
      <c r="EC40" s="5">
        <f t="shared" si="74"/>
        <v>2.7623526634253244</v>
      </c>
      <c r="ED40" s="5"/>
      <c r="EE40" s="173">
        <f t="shared" si="120"/>
        <v>2.5131836291888798</v>
      </c>
      <c r="EF40" s="173">
        <f t="shared" si="75"/>
        <v>5.1978112104337093</v>
      </c>
      <c r="EG40" s="173">
        <f t="shared" si="76"/>
        <v>0.12800884079028901</v>
      </c>
      <c r="EH40" s="173"/>
      <c r="EI40" s="528">
        <f t="shared" si="77"/>
        <v>0.12632183908045977</v>
      </c>
      <c r="EJ40" s="528">
        <f t="shared" si="78"/>
        <v>1.3499383333333335</v>
      </c>
      <c r="EK40" s="528">
        <f t="shared" si="79"/>
        <v>1.1447916666666667E-2</v>
      </c>
      <c r="EL40" s="528">
        <f t="shared" si="80"/>
        <v>4.9745227583333343E-2</v>
      </c>
      <c r="EM40">
        <f t="shared" si="81"/>
        <v>2.6099999999999998E-2</v>
      </c>
      <c r="EN40" s="460">
        <f t="shared" si="121"/>
        <v>37.547916666666666</v>
      </c>
      <c r="EO40">
        <f t="shared" si="82"/>
        <v>1.6470962743878406</v>
      </c>
      <c r="EP40" s="460">
        <f t="shared" si="122"/>
        <v>1647.0962743878406</v>
      </c>
      <c r="EQ40" s="173">
        <f t="shared" si="83"/>
        <v>2.1743749999999995</v>
      </c>
      <c r="ER40" s="173">
        <f t="shared" si="170"/>
        <v>3.8828124999999998E-2</v>
      </c>
      <c r="ES40" s="528"/>
      <c r="EU40" s="460">
        <f t="shared" si="123"/>
        <v>2213.2031249999995</v>
      </c>
      <c r="EV40" s="528">
        <f t="shared" si="85"/>
        <v>0.18948275862068967</v>
      </c>
      <c r="EW40" s="528">
        <f t="shared" si="124"/>
        <v>0.81051724137931025</v>
      </c>
      <c r="EX40" s="528">
        <f t="shared" si="86"/>
        <v>8.1931316602367802E-5</v>
      </c>
      <c r="EY40" s="528">
        <f t="shared" si="87"/>
        <v>1.2691446409612468</v>
      </c>
      <c r="EZ40" s="528">
        <f t="shared" si="88"/>
        <v>2.7274609923385218</v>
      </c>
      <c r="FA40" s="625">
        <f t="shared" si="89"/>
        <v>9.1583333333333343E-3</v>
      </c>
      <c r="FB40" s="460">
        <f t="shared" si="125"/>
        <v>2736.6193256718548</v>
      </c>
      <c r="FC40" s="173">
        <f t="shared" si="126"/>
        <v>6.5969187250596963</v>
      </c>
      <c r="FD40" s="5">
        <f t="shared" si="127"/>
        <v>53.2</v>
      </c>
      <c r="FE40" s="173">
        <f t="shared" si="128"/>
        <v>0.88967794886904339</v>
      </c>
      <c r="FF40" s="5">
        <f t="shared" si="129"/>
        <v>88.967794886904343</v>
      </c>
      <c r="FG40">
        <f t="shared" si="130"/>
        <v>35</v>
      </c>
      <c r="FI40" s="562">
        <f t="shared" si="90"/>
        <v>-50</v>
      </c>
      <c r="FJ40">
        <f t="shared" si="91"/>
        <v>-50</v>
      </c>
      <c r="FL40">
        <f t="shared" si="92"/>
        <v>0.70678529593183714</v>
      </c>
    </row>
    <row r="41" spans="5:168">
      <c r="E41" s="170">
        <v>36</v>
      </c>
      <c r="F41" s="217">
        <f t="shared" si="174"/>
        <v>3.5999999999999996</v>
      </c>
      <c r="G41" s="217">
        <f t="shared" si="171"/>
        <v>0.09</v>
      </c>
      <c r="H41" s="217">
        <f t="shared" si="135"/>
        <v>53.999999999999993</v>
      </c>
      <c r="I41" s="217">
        <f t="shared" si="175"/>
        <v>0.72</v>
      </c>
      <c r="J41" s="541">
        <f t="shared" si="136"/>
        <v>57.723315016620042</v>
      </c>
      <c r="K41" s="443">
        <f t="shared" si="137"/>
        <v>15.848559966660831</v>
      </c>
      <c r="L41" s="172">
        <f t="shared" si="138"/>
        <v>73.571874983280878</v>
      </c>
      <c r="M41" s="443"/>
      <c r="N41" s="217">
        <f t="shared" si="139"/>
        <v>0.21541601284814879</v>
      </c>
      <c r="O41" s="172">
        <f t="shared" si="172"/>
        <v>306.77285450471948</v>
      </c>
      <c r="P41" s="172">
        <f t="shared" si="140"/>
        <v>4.1448421230859873</v>
      </c>
      <c r="Q41" s="217">
        <f t="shared" si="6"/>
        <v>20.451523633647966</v>
      </c>
      <c r="R41" s="217">
        <f t="shared" si="141"/>
        <v>38.346606813089934</v>
      </c>
      <c r="S41" s="443">
        <f t="shared" si="142"/>
        <v>15</v>
      </c>
      <c r="T41" s="217">
        <f t="shared" si="143"/>
        <v>8.8013002465916106</v>
      </c>
      <c r="U41" s="217">
        <f t="shared" si="10"/>
        <v>1.8296870671528453</v>
      </c>
      <c r="V41" s="217">
        <f t="shared" si="11"/>
        <v>6.6640504362082886</v>
      </c>
      <c r="W41" s="197">
        <f t="shared" si="12"/>
        <v>103.62105307714972</v>
      </c>
      <c r="X41" s="443">
        <f t="shared" si="95"/>
        <v>115.0253270947489</v>
      </c>
      <c r="Z41" s="217">
        <f t="shared" si="13"/>
        <v>10</v>
      </c>
      <c r="AA41" s="173">
        <f t="shared" si="14"/>
        <v>7.5716658328853255</v>
      </c>
      <c r="AB41" s="173">
        <f t="shared" si="144"/>
        <v>3.922919935759257</v>
      </c>
      <c r="AC41" s="173"/>
      <c r="AD41" s="173">
        <f t="shared" si="16"/>
        <v>7.5716658328853255</v>
      </c>
      <c r="AE41" s="545">
        <f t="shared" si="145"/>
        <v>95.091359799964962</v>
      </c>
      <c r="AF41" s="528">
        <f t="shared" si="146"/>
        <v>3.922919935759257</v>
      </c>
      <c r="AH41" s="173">
        <f t="shared" si="147"/>
        <v>5.1046197563719531</v>
      </c>
      <c r="AI41" s="173">
        <f t="shared" si="148"/>
        <v>10</v>
      </c>
      <c r="AJ41" s="173">
        <f t="shared" si="149"/>
        <v>1.0543379198856944</v>
      </c>
      <c r="AL41" s="545">
        <f t="shared" si="150"/>
        <v>3599.9999999999995</v>
      </c>
      <c r="AM41" s="460">
        <f t="shared" si="151"/>
        <v>95.091359799964962</v>
      </c>
      <c r="AO41">
        <f t="shared" si="96"/>
        <v>3599.9999999999995</v>
      </c>
      <c r="AP41" s="460">
        <f t="shared" si="24"/>
        <v>95.091359799964962</v>
      </c>
      <c r="AQ41" s="460"/>
      <c r="AR41" s="5">
        <f t="shared" si="97"/>
        <v>10.516202545674066</v>
      </c>
      <c r="AS41" s="5">
        <f t="shared" si="25"/>
        <v>2.0788826831142475</v>
      </c>
      <c r="AT41" s="5">
        <f t="shared" si="98"/>
        <v>8.4373198625598178</v>
      </c>
      <c r="AU41" s="173">
        <f t="shared" si="99"/>
        <v>0.19768378120193345</v>
      </c>
      <c r="AW41" s="5">
        <f t="shared" si="152"/>
        <v>49.893184394741937</v>
      </c>
      <c r="AX41" s="5">
        <f t="shared" si="153"/>
        <v>2.3387430185035285</v>
      </c>
      <c r="AY41" s="5">
        <f t="shared" si="28"/>
        <v>2.7217548859921266</v>
      </c>
      <c r="AZ41" s="5"/>
      <c r="BA41" s="173">
        <f t="shared" si="100"/>
        <v>2.5669942293269346</v>
      </c>
      <c r="BB41" s="173">
        <f t="shared" si="154"/>
        <v>5.1714479558374702</v>
      </c>
      <c r="BC41" s="173">
        <f t="shared" si="155"/>
        <v>0.12735958103003656</v>
      </c>
      <c r="BD41" s="173"/>
      <c r="BE41" s="528">
        <f t="shared" si="31"/>
        <v>0.13178918746795565</v>
      </c>
      <c r="BF41" s="528">
        <f t="shared" si="156"/>
        <v>1.3117593065987256</v>
      </c>
      <c r="BG41" s="528">
        <f t="shared" si="157"/>
        <v>0.13722471292730343</v>
      </c>
      <c r="BH41" s="528">
        <f t="shared" si="34"/>
        <v>5.1471248913726224E-2</v>
      </c>
      <c r="BI41">
        <f t="shared" si="35"/>
        <v>2.5975491757479017E-2</v>
      </c>
      <c r="BJ41" s="460">
        <f t="shared" si="101"/>
        <v>163.20020468478245</v>
      </c>
      <c r="BK41">
        <f t="shared" si="158"/>
        <v>1.5800800453548012</v>
      </c>
      <c r="BL41" s="460">
        <f t="shared" si="102"/>
        <v>1580.0800453548011</v>
      </c>
      <c r="BM41" s="173">
        <f t="shared" si="159"/>
        <v>2.2364999999999995</v>
      </c>
      <c r="BN41" s="173">
        <f t="shared" si="160"/>
        <v>3.9937499999999994E-2</v>
      </c>
      <c r="BO41" s="528"/>
      <c r="BQ41" s="460">
        <f t="shared" si="103"/>
        <v>2276.4374999999995</v>
      </c>
      <c r="BR41" s="528">
        <f t="shared" si="39"/>
        <v>0.19768378120193347</v>
      </c>
      <c r="BS41" s="528">
        <f t="shared" si="104"/>
        <v>0.80231621879806647</v>
      </c>
      <c r="BT41" s="528">
        <f t="shared" si="161"/>
        <v>8.1102314400732239E-5</v>
      </c>
      <c r="BU41" s="528">
        <f t="shared" si="41"/>
        <v>1.3941922006722687</v>
      </c>
      <c r="BV41" s="528">
        <f t="shared" si="162"/>
        <v>2.863381897493519</v>
      </c>
      <c r="BW41" s="625">
        <f t="shared" si="163"/>
        <v>9.5091359799964973E-3</v>
      </c>
      <c r="BX41" s="460">
        <f t="shared" si="105"/>
        <v>2872.8910334735156</v>
      </c>
      <c r="BY41" s="173">
        <f t="shared" si="106"/>
        <v>6.7294085788283162</v>
      </c>
      <c r="BZ41" s="5">
        <f t="shared" si="107"/>
        <v>54.719999999999992</v>
      </c>
      <c r="CA41" s="173">
        <f t="shared" si="108"/>
        <v>0.89048863553835955</v>
      </c>
      <c r="CB41" s="5">
        <f t="shared" si="109"/>
        <v>89.048863553835957</v>
      </c>
      <c r="CC41">
        <f t="shared" si="173"/>
        <v>36</v>
      </c>
      <c r="CE41" s="562">
        <f t="shared" si="164"/>
        <v>-50</v>
      </c>
      <c r="CF41">
        <f t="shared" si="165"/>
        <v>-50</v>
      </c>
      <c r="CG41" s="173">
        <f t="shared" si="166"/>
        <v>0.72697916152988951</v>
      </c>
      <c r="CH41" s="173">
        <f t="shared" si="167"/>
        <v>8.3764912162277952E-2</v>
      </c>
      <c r="CI41" s="170">
        <v>36</v>
      </c>
      <c r="CJ41" s="217">
        <f t="shared" si="133"/>
        <v>3.5999999999999996</v>
      </c>
      <c r="CK41" s="217">
        <f t="shared" si="111"/>
        <v>0.09</v>
      </c>
      <c r="CL41" s="217">
        <f t="shared" si="48"/>
        <v>53.999999999999993</v>
      </c>
      <c r="CM41" s="217">
        <f t="shared" si="134"/>
        <v>0.72</v>
      </c>
      <c r="CN41" s="541">
        <f t="shared" si="112"/>
        <v>58</v>
      </c>
      <c r="CO41" s="443">
        <f t="shared" si="168"/>
        <v>15.7</v>
      </c>
      <c r="CP41" s="443">
        <f t="shared" si="169"/>
        <v>73.7</v>
      </c>
      <c r="CQ41" s="443"/>
      <c r="CR41" s="217">
        <f t="shared" si="113"/>
        <v>0.2098092643051771</v>
      </c>
      <c r="CS41" s="172">
        <f t="shared" si="114"/>
        <v>300.22049333142121</v>
      </c>
      <c r="CT41" s="172">
        <f t="shared" si="51"/>
        <v>4.0563124432334243</v>
      </c>
      <c r="CU41" s="217">
        <f t="shared" si="52"/>
        <v>20.014699555428081</v>
      </c>
      <c r="CV41" s="217">
        <f t="shared" si="53"/>
        <v>37.527561666427651</v>
      </c>
      <c r="CW41" s="443">
        <f t="shared" si="54"/>
        <v>15</v>
      </c>
      <c r="CX41" s="217">
        <f t="shared" si="55"/>
        <v>8.9933900582176438</v>
      </c>
      <c r="CY41" s="217">
        <f t="shared" si="56"/>
        <v>1.8607013913553747</v>
      </c>
      <c r="CZ41" s="217">
        <f t="shared" si="57"/>
        <v>6.8739287069179449</v>
      </c>
      <c r="DA41" s="197">
        <f t="shared" si="58"/>
        <v>102.962460425147</v>
      </c>
      <c r="DB41" s="443">
        <f t="shared" si="115"/>
        <v>114.48681727205394</v>
      </c>
      <c r="DD41" s="217">
        <f t="shared" si="59"/>
        <v>10</v>
      </c>
      <c r="DE41" s="173">
        <f t="shared" si="60"/>
        <v>7.6433121019108281</v>
      </c>
      <c r="DF41" s="173">
        <f t="shared" si="61"/>
        <v>3.9348710990502043</v>
      </c>
      <c r="DG41" s="173"/>
      <c r="DH41" s="173">
        <f t="shared" si="62"/>
        <v>7.6433121019108281</v>
      </c>
      <c r="DI41" s="545">
        <f t="shared" si="63"/>
        <v>94.2</v>
      </c>
      <c r="DJ41" s="528">
        <f t="shared" si="64"/>
        <v>3.9348710990502034</v>
      </c>
      <c r="DL41" s="173">
        <f t="shared" si="65"/>
        <v>5.1046197563719531</v>
      </c>
      <c r="DM41" s="173">
        <f t="shared" si="66"/>
        <v>10</v>
      </c>
      <c r="DN41" s="173">
        <f t="shared" si="67"/>
        <v>1.0538285714285713</v>
      </c>
      <c r="DP41" s="545">
        <f t="shared" si="68"/>
        <v>3599.9999999999995</v>
      </c>
      <c r="DQ41" s="460">
        <f t="shared" si="69"/>
        <v>94.2</v>
      </c>
      <c r="DS41">
        <f t="shared" si="116"/>
        <v>3599.9999999999995</v>
      </c>
      <c r="DT41" s="460">
        <f t="shared" si="70"/>
        <v>94.2</v>
      </c>
      <c r="DU41" s="460"/>
      <c r="DV41" s="5">
        <f t="shared" si="117"/>
        <v>10.615711252653927</v>
      </c>
      <c r="DW41" s="5">
        <f t="shared" si="71"/>
        <v>2.068965517241379</v>
      </c>
      <c r="DX41" s="5">
        <f t="shared" si="118"/>
        <v>8.5467457354125482</v>
      </c>
      <c r="DY41" s="173">
        <f t="shared" si="119"/>
        <v>0.19489655172413792</v>
      </c>
      <c r="EA41" s="5">
        <f t="shared" si="72"/>
        <v>49.655172413793089</v>
      </c>
      <c r="EB41" s="5">
        <f t="shared" si="73"/>
        <v>2.3275862068965512</v>
      </c>
      <c r="EC41" s="5">
        <f t="shared" si="74"/>
        <v>2.7439017224273337</v>
      </c>
      <c r="ED41" s="5"/>
      <c r="EE41" s="173">
        <f t="shared" si="120"/>
        <v>2.5488334045476435</v>
      </c>
      <c r="EF41" s="173">
        <f t="shared" si="75"/>
        <v>5.1804229179860792</v>
      </c>
      <c r="EG41" s="173">
        <f t="shared" si="76"/>
        <v>0.12758061147040228</v>
      </c>
      <c r="EH41" s="173"/>
      <c r="EI41" s="528">
        <f t="shared" si="77"/>
        <v>0.12993103448275861</v>
      </c>
      <c r="EJ41" s="528">
        <f t="shared" si="78"/>
        <v>1.3885080000000003</v>
      </c>
      <c r="EK41" s="528">
        <f t="shared" si="79"/>
        <v>1.1775000000000001E-2</v>
      </c>
      <c r="EL41" s="528">
        <f t="shared" si="80"/>
        <v>5.1166519800000004E-2</v>
      </c>
      <c r="EM41">
        <f t="shared" si="81"/>
        <v>2.6099999999999998E-2</v>
      </c>
      <c r="EN41" s="460">
        <f t="shared" si="121"/>
        <v>37.875</v>
      </c>
      <c r="EO41">
        <f t="shared" si="82"/>
        <v>1.6948857932249628</v>
      </c>
      <c r="EP41" s="460">
        <f t="shared" si="122"/>
        <v>1694.8857932249628</v>
      </c>
      <c r="EQ41" s="173">
        <f t="shared" si="83"/>
        <v>2.2364999999999995</v>
      </c>
      <c r="ER41" s="173">
        <f t="shared" si="170"/>
        <v>3.9937499999999994E-2</v>
      </c>
      <c r="ES41" s="528"/>
      <c r="EU41" s="460">
        <f t="shared" si="123"/>
        <v>2276.4374999999995</v>
      </c>
      <c r="EV41" s="528">
        <f t="shared" si="85"/>
        <v>0.19489655172413792</v>
      </c>
      <c r="EW41" s="528">
        <f t="shared" si="124"/>
        <v>0.80510344827586211</v>
      </c>
      <c r="EX41" s="528">
        <f t="shared" si="86"/>
        <v>8.1384062115808718E-5</v>
      </c>
      <c r="EY41" s="528">
        <f t="shared" si="87"/>
        <v>1.3617496154976798</v>
      </c>
      <c r="EZ41" s="528">
        <f t="shared" si="88"/>
        <v>2.8281184182998973</v>
      </c>
      <c r="FA41" s="625">
        <f t="shared" si="89"/>
        <v>9.4200000000000013E-3</v>
      </c>
      <c r="FB41" s="460">
        <f t="shared" si="125"/>
        <v>2837.5384182998973</v>
      </c>
      <c r="FC41" s="173">
        <f t="shared" si="126"/>
        <v>6.8088617115248606</v>
      </c>
      <c r="FD41" s="5">
        <f t="shared" si="127"/>
        <v>54.719999999999992</v>
      </c>
      <c r="FE41" s="173">
        <f t="shared" si="128"/>
        <v>0.88933873434148858</v>
      </c>
      <c r="FF41" s="5">
        <f t="shared" si="129"/>
        <v>88.933873434148865</v>
      </c>
      <c r="FG41">
        <f t="shared" si="130"/>
        <v>36</v>
      </c>
      <c r="FI41" s="562">
        <f t="shared" si="90"/>
        <v>-50</v>
      </c>
      <c r="FJ41">
        <f t="shared" si="91"/>
        <v>-50</v>
      </c>
      <c r="FL41">
        <f t="shared" si="92"/>
        <v>0.72697916152988962</v>
      </c>
    </row>
    <row r="42" spans="5:168">
      <c r="E42" s="170">
        <v>37</v>
      </c>
      <c r="F42" s="217">
        <f t="shared" si="174"/>
        <v>3.7</v>
      </c>
      <c r="G42" s="217">
        <f t="shared" si="171"/>
        <v>9.2499999999999999E-2</v>
      </c>
      <c r="H42" s="217">
        <f t="shared" si="135"/>
        <v>55.5</v>
      </c>
      <c r="I42" s="217">
        <f t="shared" si="175"/>
        <v>0.74</v>
      </c>
      <c r="J42" s="541">
        <f t="shared" si="136"/>
        <v>57.723315016620042</v>
      </c>
      <c r="K42" s="443">
        <f t="shared" si="137"/>
        <v>15.848559966660831</v>
      </c>
      <c r="L42" s="172">
        <f t="shared" si="138"/>
        <v>73.571874983280878</v>
      </c>
      <c r="M42" s="443"/>
      <c r="N42" s="217">
        <f t="shared" si="139"/>
        <v>0.21541601284814879</v>
      </c>
      <c r="O42" s="172">
        <f t="shared" si="172"/>
        <v>306.77285450471948</v>
      </c>
      <c r="P42" s="172">
        <f t="shared" si="140"/>
        <v>4.1448421230859873</v>
      </c>
      <c r="Q42" s="217">
        <f t="shared" si="6"/>
        <v>20.451523633647966</v>
      </c>
      <c r="R42" s="217">
        <f t="shared" si="141"/>
        <v>38.346606813089934</v>
      </c>
      <c r="S42" s="443">
        <f t="shared" si="142"/>
        <v>15</v>
      </c>
      <c r="T42" s="217">
        <f t="shared" si="143"/>
        <v>9.045780808996934</v>
      </c>
      <c r="U42" s="217">
        <f t="shared" si="10"/>
        <v>1.8805117079070914</v>
      </c>
      <c r="V42" s="217">
        <f t="shared" si="11"/>
        <v>6.8491629483251861</v>
      </c>
      <c r="W42" s="197">
        <f t="shared" si="12"/>
        <v>103.62105307714972</v>
      </c>
      <c r="X42" s="443">
        <f t="shared" si="95"/>
        <v>111.98616282196477</v>
      </c>
      <c r="Z42" s="217">
        <f t="shared" si="13"/>
        <v>10</v>
      </c>
      <c r="AA42" s="173">
        <f t="shared" si="14"/>
        <v>7.5716658328853255</v>
      </c>
      <c r="AB42" s="173">
        <f t="shared" si="144"/>
        <v>3.922919935759257</v>
      </c>
      <c r="AC42" s="173"/>
      <c r="AD42" s="173">
        <f t="shared" si="16"/>
        <v>7.5716658328853255</v>
      </c>
      <c r="AE42" s="545">
        <f t="shared" si="145"/>
        <v>97.732786461075122</v>
      </c>
      <c r="AF42" s="528">
        <f t="shared" si="146"/>
        <v>3.922919935759257</v>
      </c>
      <c r="AH42" s="173">
        <f t="shared" si="147"/>
        <v>5.1750316309132236</v>
      </c>
      <c r="AI42" s="173">
        <f t="shared" si="148"/>
        <v>10</v>
      </c>
      <c r="AJ42" s="173">
        <f t="shared" si="149"/>
        <v>1.0558473065491858</v>
      </c>
      <c r="AL42" s="545">
        <f t="shared" si="150"/>
        <v>3700</v>
      </c>
      <c r="AM42" s="460">
        <f t="shared" si="151"/>
        <v>97.732786461075122</v>
      </c>
      <c r="AO42">
        <f t="shared" si="96"/>
        <v>3700</v>
      </c>
      <c r="AP42" s="460">
        <f t="shared" si="24"/>
        <v>97.732786461075122</v>
      </c>
      <c r="AQ42" s="460"/>
      <c r="AR42" s="5">
        <f t="shared" si="97"/>
        <v>10.231980855250439</v>
      </c>
      <c r="AS42" s="5">
        <f t="shared" si="25"/>
        <v>2.0788826831142475</v>
      </c>
      <c r="AT42" s="5">
        <f t="shared" si="98"/>
        <v>8.1530981721361915</v>
      </c>
      <c r="AU42" s="173">
        <f t="shared" si="99"/>
        <v>0.20317499734643166</v>
      </c>
      <c r="AW42" s="5">
        <f t="shared" si="152"/>
        <v>51.279106183484771</v>
      </c>
      <c r="AX42" s="5">
        <f t="shared" si="153"/>
        <v>2.4037081023508482</v>
      </c>
      <c r="AY42" s="5">
        <f t="shared" si="28"/>
        <v>2.703126639396642</v>
      </c>
      <c r="AZ42" s="5"/>
      <c r="BA42" s="173">
        <f t="shared" si="100"/>
        <v>2.6024027189402723</v>
      </c>
      <c r="BB42" s="173">
        <f t="shared" si="154"/>
        <v>5.1537203476503857</v>
      </c>
      <c r="BC42" s="173">
        <f t="shared" si="155"/>
        <v>0.1269229952284095</v>
      </c>
      <c r="BD42" s="173"/>
      <c r="BE42" s="528">
        <f t="shared" si="31"/>
        <v>0.13544999823095444</v>
      </c>
      <c r="BF42" s="528">
        <f t="shared" si="156"/>
        <v>1.348197065115357</v>
      </c>
      <c r="BG42" s="528">
        <f t="shared" si="157"/>
        <v>0.14103651050861743</v>
      </c>
      <c r="BH42" s="528">
        <f t="shared" si="34"/>
        <v>5.2901005827996402E-2</v>
      </c>
      <c r="BI42">
        <f t="shared" si="35"/>
        <v>2.5975491757479017E-2</v>
      </c>
      <c r="BJ42" s="460">
        <f t="shared" si="101"/>
        <v>167.01200226609643</v>
      </c>
      <c r="BK42">
        <f t="shared" si="158"/>
        <v>1.6254306733390735</v>
      </c>
      <c r="BL42" s="460">
        <f t="shared" si="102"/>
        <v>1625.4306733390736</v>
      </c>
      <c r="BM42" s="173">
        <f t="shared" si="159"/>
        <v>2.2986249999999999</v>
      </c>
      <c r="BN42" s="173">
        <f t="shared" si="160"/>
        <v>4.1046874999999997E-2</v>
      </c>
      <c r="BO42" s="528"/>
      <c r="BQ42" s="460">
        <f t="shared" si="103"/>
        <v>2339.671875</v>
      </c>
      <c r="BR42" s="528">
        <f t="shared" si="39"/>
        <v>0.20317499734643163</v>
      </c>
      <c r="BS42" s="528">
        <f t="shared" si="104"/>
        <v>0.79682500265356837</v>
      </c>
      <c r="BT42" s="528">
        <f t="shared" si="161"/>
        <v>8.0547233588754296E-5</v>
      </c>
      <c r="BU42" s="528">
        <f t="shared" si="41"/>
        <v>1.4930374700578457</v>
      </c>
      <c r="BV42" s="528">
        <f t="shared" si="162"/>
        <v>2.9708222738573342</v>
      </c>
      <c r="BW42" s="625">
        <f t="shared" si="163"/>
        <v>9.7732786461075128E-3</v>
      </c>
      <c r="BX42" s="460">
        <f t="shared" si="105"/>
        <v>2980.5955525034419</v>
      </c>
      <c r="BY42" s="173">
        <f t="shared" si="106"/>
        <v>6.9456981008425149</v>
      </c>
      <c r="BZ42" s="5">
        <f t="shared" si="107"/>
        <v>56.24</v>
      </c>
      <c r="CA42" s="173">
        <f t="shared" si="108"/>
        <v>0.89007483798378895</v>
      </c>
      <c r="CB42" s="5">
        <f t="shared" si="109"/>
        <v>89.0074837983789</v>
      </c>
      <c r="CC42">
        <f t="shared" si="173"/>
        <v>37</v>
      </c>
      <c r="CE42" s="562">
        <f t="shared" si="164"/>
        <v>-50</v>
      </c>
      <c r="CF42">
        <f t="shared" si="165"/>
        <v>-50</v>
      </c>
      <c r="CG42" s="173">
        <f t="shared" si="166"/>
        <v>0.74717302712794209</v>
      </c>
      <c r="CH42" s="173">
        <f t="shared" si="167"/>
        <v>8.6091715277896788E-2</v>
      </c>
      <c r="CI42" s="170">
        <v>37</v>
      </c>
      <c r="CJ42" s="217">
        <f t="shared" si="133"/>
        <v>3.7</v>
      </c>
      <c r="CK42" s="217">
        <f t="shared" si="111"/>
        <v>9.2499999999999999E-2</v>
      </c>
      <c r="CL42" s="217">
        <f t="shared" si="48"/>
        <v>55.5</v>
      </c>
      <c r="CM42" s="217">
        <f t="shared" si="134"/>
        <v>0.74</v>
      </c>
      <c r="CN42" s="541">
        <f t="shared" si="112"/>
        <v>58</v>
      </c>
      <c r="CO42" s="443">
        <f t="shared" si="168"/>
        <v>15.7</v>
      </c>
      <c r="CP42" s="443">
        <f t="shared" si="169"/>
        <v>73.7</v>
      </c>
      <c r="CQ42" s="443"/>
      <c r="CR42" s="217">
        <f t="shared" si="113"/>
        <v>0.2098092643051771</v>
      </c>
      <c r="CS42" s="172">
        <f t="shared" si="114"/>
        <v>300.22049333142121</v>
      </c>
      <c r="CT42" s="172">
        <f t="shared" si="51"/>
        <v>4.0563124432334243</v>
      </c>
      <c r="CU42" s="217">
        <f t="shared" si="52"/>
        <v>20.014699555428081</v>
      </c>
      <c r="CV42" s="217">
        <f t="shared" si="53"/>
        <v>37.527561666427651</v>
      </c>
      <c r="CW42" s="443">
        <f t="shared" si="54"/>
        <v>15</v>
      </c>
      <c r="CX42" s="217">
        <f t="shared" si="55"/>
        <v>9.24320644872369</v>
      </c>
      <c r="CY42" s="217">
        <f t="shared" si="56"/>
        <v>1.9123875411152462</v>
      </c>
      <c r="CZ42" s="217">
        <f t="shared" si="57"/>
        <v>7.0648711709989991</v>
      </c>
      <c r="DA42" s="197">
        <f t="shared" si="58"/>
        <v>102.962460425147</v>
      </c>
      <c r="DB42" s="443">
        <f t="shared" si="115"/>
        <v>111.39257896740382</v>
      </c>
      <c r="DD42" s="217">
        <f t="shared" si="59"/>
        <v>10</v>
      </c>
      <c r="DE42" s="173">
        <f t="shared" si="60"/>
        <v>7.6433121019108281</v>
      </c>
      <c r="DF42" s="173">
        <f t="shared" si="61"/>
        <v>3.9348710990502043</v>
      </c>
      <c r="DG42" s="173"/>
      <c r="DH42" s="173">
        <f t="shared" si="62"/>
        <v>7.6433121019108281</v>
      </c>
      <c r="DI42" s="545">
        <f t="shared" si="63"/>
        <v>96.816666666666691</v>
      </c>
      <c r="DJ42" s="528">
        <f t="shared" si="64"/>
        <v>3.9348710990502034</v>
      </c>
      <c r="DL42" s="173">
        <f t="shared" si="65"/>
        <v>5.1750316309132236</v>
      </c>
      <c r="DM42" s="173">
        <f t="shared" si="66"/>
        <v>10</v>
      </c>
      <c r="DN42" s="173">
        <f t="shared" si="67"/>
        <v>1.0553238095238096</v>
      </c>
      <c r="DP42" s="545">
        <f t="shared" si="68"/>
        <v>3700</v>
      </c>
      <c r="DQ42" s="460">
        <f t="shared" si="69"/>
        <v>96.816666666666691</v>
      </c>
      <c r="DS42">
        <f t="shared" si="116"/>
        <v>3700</v>
      </c>
      <c r="DT42" s="460">
        <f t="shared" si="70"/>
        <v>96.816666666666691</v>
      </c>
      <c r="DU42" s="460"/>
      <c r="DV42" s="5">
        <f t="shared" si="117"/>
        <v>10.328800137717334</v>
      </c>
      <c r="DW42" s="5">
        <f t="shared" si="71"/>
        <v>2.068965517241379</v>
      </c>
      <c r="DX42" s="5">
        <f t="shared" si="118"/>
        <v>8.2598346204759547</v>
      </c>
      <c r="DY42" s="173">
        <f t="shared" si="119"/>
        <v>0.2003103448275862</v>
      </c>
      <c r="EA42" s="5">
        <f t="shared" si="72"/>
        <v>51.034482758620676</v>
      </c>
      <c r="EB42" s="5">
        <f t="shared" si="73"/>
        <v>2.3922413793103443</v>
      </c>
      <c r="EC42" s="5">
        <f t="shared" si="74"/>
        <v>2.7254507814293425</v>
      </c>
      <c r="ED42" s="5"/>
      <c r="EE42" s="173">
        <f t="shared" si="120"/>
        <v>2.5839913881924748</v>
      </c>
      <c r="EF42" s="173">
        <f t="shared" si="75"/>
        <v>5.1629760641591647</v>
      </c>
      <c r="EG42" s="173">
        <f t="shared" si="76"/>
        <v>0.12715093993301788</v>
      </c>
      <c r="EH42" s="173"/>
      <c r="EI42" s="528">
        <f t="shared" si="77"/>
        <v>0.13354022988505745</v>
      </c>
      <c r="EJ42" s="528">
        <f t="shared" si="78"/>
        <v>1.4270776666666669</v>
      </c>
      <c r="EK42" s="528">
        <f t="shared" si="79"/>
        <v>1.2102083333333336E-2</v>
      </c>
      <c r="EL42" s="528">
        <f t="shared" si="80"/>
        <v>5.2587812016666687E-2</v>
      </c>
      <c r="EM42">
        <f t="shared" si="81"/>
        <v>2.6099999999999998E-2</v>
      </c>
      <c r="EN42" s="460">
        <f t="shared" si="121"/>
        <v>38.202083333333334</v>
      </c>
      <c r="EO42">
        <f t="shared" si="82"/>
        <v>1.7427599612179616</v>
      </c>
      <c r="EP42" s="460">
        <f t="shared" si="122"/>
        <v>1742.7599612179615</v>
      </c>
      <c r="EQ42" s="173">
        <f t="shared" si="83"/>
        <v>2.2986249999999999</v>
      </c>
      <c r="ER42" s="173">
        <f t="shared" si="170"/>
        <v>4.1046874999999997E-2</v>
      </c>
      <c r="ES42" s="528"/>
      <c r="EU42" s="460">
        <f t="shared" si="123"/>
        <v>2339.671875</v>
      </c>
      <c r="EV42" s="528">
        <f t="shared" si="85"/>
        <v>0.20031034482758617</v>
      </c>
      <c r="EW42" s="528">
        <f t="shared" si="124"/>
        <v>0.79968965517241375</v>
      </c>
      <c r="EX42" s="528">
        <f t="shared" si="86"/>
        <v>8.0836807629249607E-5</v>
      </c>
      <c r="EY42" s="528">
        <f t="shared" si="87"/>
        <v>1.458294774418148</v>
      </c>
      <c r="EZ42" s="528">
        <f t="shared" si="88"/>
        <v>2.9330586738995557</v>
      </c>
      <c r="FA42" s="625">
        <f t="shared" si="89"/>
        <v>9.68166666666667E-3</v>
      </c>
      <c r="FB42" s="460">
        <f t="shared" si="125"/>
        <v>2942.7403405662226</v>
      </c>
      <c r="FC42" s="173">
        <f t="shared" si="126"/>
        <v>7.0251721767841833</v>
      </c>
      <c r="FD42" s="5">
        <f t="shared" si="127"/>
        <v>56.24</v>
      </c>
      <c r="FE42" s="173">
        <f t="shared" si="128"/>
        <v>0.88895672081388655</v>
      </c>
      <c r="FF42" s="5">
        <f t="shared" si="129"/>
        <v>88.895672081388653</v>
      </c>
      <c r="FG42">
        <f t="shared" si="130"/>
        <v>37</v>
      </c>
      <c r="FI42" s="562">
        <f t="shared" si="90"/>
        <v>-50</v>
      </c>
      <c r="FJ42">
        <f t="shared" si="91"/>
        <v>-50</v>
      </c>
      <c r="FL42">
        <f t="shared" si="92"/>
        <v>0.74717302712794209</v>
      </c>
    </row>
    <row r="43" spans="5:168">
      <c r="E43" s="170">
        <v>38</v>
      </c>
      <c r="F43" s="217">
        <f t="shared" si="174"/>
        <v>3.8</v>
      </c>
      <c r="G43" s="217">
        <f t="shared" si="171"/>
        <v>9.5000000000000001E-2</v>
      </c>
      <c r="H43" s="217">
        <f t="shared" si="135"/>
        <v>57</v>
      </c>
      <c r="I43" s="217">
        <f t="shared" si="175"/>
        <v>0.76</v>
      </c>
      <c r="J43" s="541">
        <f t="shared" si="136"/>
        <v>57.723315016620042</v>
      </c>
      <c r="K43" s="443">
        <f t="shared" si="137"/>
        <v>15.848559966660831</v>
      </c>
      <c r="L43" s="172">
        <f t="shared" si="138"/>
        <v>73.571874983280878</v>
      </c>
      <c r="M43" s="443"/>
      <c r="N43" s="217">
        <f t="shared" si="139"/>
        <v>0.21541601284814879</v>
      </c>
      <c r="O43" s="172">
        <f t="shared" si="172"/>
        <v>306.77285450471948</v>
      </c>
      <c r="P43" s="172">
        <f t="shared" si="140"/>
        <v>4.1448421230859873</v>
      </c>
      <c r="Q43" s="217">
        <f t="shared" si="6"/>
        <v>20.451523633647966</v>
      </c>
      <c r="R43" s="217">
        <f t="shared" si="141"/>
        <v>38.346606813089934</v>
      </c>
      <c r="S43" s="443">
        <f t="shared" si="142"/>
        <v>15</v>
      </c>
      <c r="T43" s="217">
        <f t="shared" si="143"/>
        <v>9.2902613714022557</v>
      </c>
      <c r="U43" s="217">
        <f t="shared" si="10"/>
        <v>1.9313363486613369</v>
      </c>
      <c r="V43" s="217">
        <f t="shared" si="11"/>
        <v>7.0342754604420819</v>
      </c>
      <c r="W43" s="197">
        <f t="shared" si="12"/>
        <v>103.62105307714972</v>
      </c>
      <c r="X43" s="443">
        <f t="shared" si="95"/>
        <v>109.10346421248015</v>
      </c>
      <c r="Z43" s="217">
        <f t="shared" si="13"/>
        <v>10</v>
      </c>
      <c r="AA43" s="173">
        <f t="shared" si="14"/>
        <v>7.5716658328853255</v>
      </c>
      <c r="AB43" s="173">
        <f t="shared" si="144"/>
        <v>3.922919935759257</v>
      </c>
      <c r="AC43" s="173"/>
      <c r="AD43" s="173">
        <f t="shared" si="16"/>
        <v>7.5716658328853255</v>
      </c>
      <c r="AE43" s="545">
        <f t="shared" si="145"/>
        <v>100.37421312218525</v>
      </c>
      <c r="AF43" s="528">
        <f t="shared" si="146"/>
        <v>3.922919935759257</v>
      </c>
      <c r="AH43" s="173">
        <f t="shared" si="147"/>
        <v>5.2444982510018923</v>
      </c>
      <c r="AI43" s="173">
        <f t="shared" si="148"/>
        <v>10</v>
      </c>
      <c r="AJ43" s="173">
        <f t="shared" si="149"/>
        <v>1.0573566932126772</v>
      </c>
      <c r="AL43" s="545">
        <f t="shared" si="150"/>
        <v>3800</v>
      </c>
      <c r="AM43" s="460">
        <f t="shared" si="151"/>
        <v>100.37421312218525</v>
      </c>
      <c r="AO43">
        <f t="shared" si="96"/>
        <v>3800</v>
      </c>
      <c r="AP43" s="460">
        <f t="shared" si="24"/>
        <v>100.37421312218525</v>
      </c>
      <c r="AQ43" s="460"/>
      <c r="AR43" s="5">
        <f t="shared" si="97"/>
        <v>9.9627182011649023</v>
      </c>
      <c r="AS43" s="5">
        <f t="shared" si="25"/>
        <v>2.0788826831142475</v>
      </c>
      <c r="AT43" s="5">
        <f t="shared" si="98"/>
        <v>7.8838355180506543</v>
      </c>
      <c r="AU43" s="173">
        <f t="shared" si="99"/>
        <v>0.20866621349092979</v>
      </c>
      <c r="AW43" s="5">
        <f t="shared" si="152"/>
        <v>52.665027972227598</v>
      </c>
      <c r="AX43" s="5">
        <f t="shared" si="153"/>
        <v>2.4686731861981692</v>
      </c>
      <c r="AY43" s="5">
        <f t="shared" si="28"/>
        <v>2.6844983928011579</v>
      </c>
      <c r="AZ43" s="5"/>
      <c r="BA43" s="173">
        <f t="shared" si="100"/>
        <v>2.6373358621339187</v>
      </c>
      <c r="BB43" s="173">
        <f t="shared" si="154"/>
        <v>5.1359315497420397</v>
      </c>
      <c r="BC43" s="173">
        <f t="shared" si="155"/>
        <v>0.12648490247992164</v>
      </c>
      <c r="BD43" s="173"/>
      <c r="BE43" s="528">
        <f t="shared" si="31"/>
        <v>0.1391108089939532</v>
      </c>
      <c r="BF43" s="528">
        <f t="shared" si="156"/>
        <v>1.3846348236319883</v>
      </c>
      <c r="BG43" s="528">
        <f t="shared" si="157"/>
        <v>0.1448483080899314</v>
      </c>
      <c r="BH43" s="528">
        <f t="shared" si="34"/>
        <v>5.4330762742266572E-2</v>
      </c>
      <c r="BI43">
        <f t="shared" si="35"/>
        <v>2.5975491757479017E-2</v>
      </c>
      <c r="BJ43" s="460">
        <f t="shared" si="101"/>
        <v>170.82379984741041</v>
      </c>
      <c r="BK43">
        <f t="shared" si="158"/>
        <v>1.6708628908144758</v>
      </c>
      <c r="BL43" s="460">
        <f t="shared" si="102"/>
        <v>1670.8628908144758</v>
      </c>
      <c r="BM43" s="173">
        <f t="shared" si="159"/>
        <v>2.3607499999999995</v>
      </c>
      <c r="BN43" s="173">
        <f t="shared" si="160"/>
        <v>4.2156249999999999E-2</v>
      </c>
      <c r="BO43" s="528"/>
      <c r="BQ43" s="460">
        <f t="shared" si="103"/>
        <v>2402.9062499999995</v>
      </c>
      <c r="BR43" s="528">
        <f t="shared" si="39"/>
        <v>0.20866621349092981</v>
      </c>
      <c r="BS43" s="528">
        <f t="shared" si="104"/>
        <v>0.79133378650907005</v>
      </c>
      <c r="BT43" s="528">
        <f t="shared" si="161"/>
        <v>7.9992152776776435E-5</v>
      </c>
      <c r="BU43" s="528">
        <f t="shared" si="41"/>
        <v>1.5959724438272587</v>
      </c>
      <c r="BV43" s="528">
        <f t="shared" si="162"/>
        <v>3.0827080016224526</v>
      </c>
      <c r="BW43" s="625">
        <f t="shared" si="163"/>
        <v>1.0037421312218527E-2</v>
      </c>
      <c r="BX43" s="460">
        <f t="shared" si="105"/>
        <v>3092.7454229346713</v>
      </c>
      <c r="BY43" s="173">
        <f t="shared" si="106"/>
        <v>7.1665145637491463</v>
      </c>
      <c r="BZ43" s="5">
        <f t="shared" si="107"/>
        <v>57.76</v>
      </c>
      <c r="CA43" s="173">
        <f t="shared" si="108"/>
        <v>0.88962114150278937</v>
      </c>
      <c r="CB43" s="5">
        <f t="shared" si="109"/>
        <v>88.962114150278936</v>
      </c>
      <c r="CC43">
        <f t="shared" si="173"/>
        <v>38</v>
      </c>
      <c r="CE43" s="562">
        <f t="shared" si="164"/>
        <v>-50</v>
      </c>
      <c r="CF43">
        <f t="shared" si="165"/>
        <v>-50</v>
      </c>
      <c r="CG43" s="173">
        <f t="shared" si="166"/>
        <v>0.76736689272599456</v>
      </c>
      <c r="CH43" s="173">
        <f t="shared" si="167"/>
        <v>8.841851839351561E-2</v>
      </c>
      <c r="CI43" s="170">
        <v>38</v>
      </c>
      <c r="CJ43" s="217">
        <f t="shared" si="133"/>
        <v>3.8</v>
      </c>
      <c r="CK43" s="217">
        <f t="shared" si="111"/>
        <v>9.5000000000000001E-2</v>
      </c>
      <c r="CL43" s="217">
        <f t="shared" si="48"/>
        <v>57</v>
      </c>
      <c r="CM43" s="217">
        <f t="shared" si="134"/>
        <v>0.76</v>
      </c>
      <c r="CN43" s="541">
        <f t="shared" si="112"/>
        <v>58</v>
      </c>
      <c r="CO43" s="443">
        <f t="shared" si="168"/>
        <v>15.7</v>
      </c>
      <c r="CP43" s="443">
        <f t="shared" si="169"/>
        <v>73.7</v>
      </c>
      <c r="CQ43" s="443"/>
      <c r="CR43" s="217">
        <f t="shared" si="113"/>
        <v>0.2098092643051771</v>
      </c>
      <c r="CS43" s="172">
        <f t="shared" si="114"/>
        <v>300.22049333142121</v>
      </c>
      <c r="CT43" s="172">
        <f t="shared" si="51"/>
        <v>4.0563124432334243</v>
      </c>
      <c r="CU43" s="217">
        <f t="shared" si="52"/>
        <v>20.014699555428081</v>
      </c>
      <c r="CV43" s="217">
        <f t="shared" si="53"/>
        <v>37.527561666427651</v>
      </c>
      <c r="CW43" s="443">
        <f t="shared" si="54"/>
        <v>15</v>
      </c>
      <c r="CX43" s="217">
        <f t="shared" si="55"/>
        <v>9.4930228392297362</v>
      </c>
      <c r="CY43" s="217">
        <f t="shared" si="56"/>
        <v>1.964073690875118</v>
      </c>
      <c r="CZ43" s="217">
        <f t="shared" si="57"/>
        <v>7.2558136350800533</v>
      </c>
      <c r="DA43" s="197">
        <f t="shared" si="58"/>
        <v>102.962460425147</v>
      </c>
      <c r="DB43" s="443">
        <f t="shared" si="115"/>
        <v>108.46119531036688</v>
      </c>
      <c r="DD43" s="217">
        <f t="shared" si="59"/>
        <v>10</v>
      </c>
      <c r="DE43" s="173">
        <f t="shared" si="60"/>
        <v>7.6433121019108281</v>
      </c>
      <c r="DF43" s="173">
        <f t="shared" si="61"/>
        <v>3.9348710990502043</v>
      </c>
      <c r="DG43" s="173"/>
      <c r="DH43" s="173">
        <f t="shared" si="62"/>
        <v>7.6433121019108281</v>
      </c>
      <c r="DI43" s="545">
        <f t="shared" si="63"/>
        <v>99.433333333333337</v>
      </c>
      <c r="DJ43" s="528">
        <f t="shared" si="64"/>
        <v>3.9348710990502034</v>
      </c>
      <c r="DL43" s="173">
        <f t="shared" si="65"/>
        <v>5.2444982510018923</v>
      </c>
      <c r="DM43" s="173">
        <f t="shared" si="66"/>
        <v>10</v>
      </c>
      <c r="DN43" s="173">
        <f t="shared" si="67"/>
        <v>1.0568190476190475</v>
      </c>
      <c r="DP43" s="545">
        <f t="shared" si="68"/>
        <v>3800</v>
      </c>
      <c r="DQ43" s="460">
        <f t="shared" si="69"/>
        <v>99.433333333333337</v>
      </c>
      <c r="DS43">
        <f t="shared" si="116"/>
        <v>3800</v>
      </c>
      <c r="DT43" s="460">
        <f t="shared" si="70"/>
        <v>99.433333333333337</v>
      </c>
      <c r="DU43" s="460"/>
      <c r="DV43" s="5">
        <f t="shared" si="117"/>
        <v>10.056989607777405</v>
      </c>
      <c r="DW43" s="5">
        <f t="shared" si="71"/>
        <v>2.068965517241379</v>
      </c>
      <c r="DX43" s="5">
        <f t="shared" si="118"/>
        <v>7.988024090536026</v>
      </c>
      <c r="DY43" s="173">
        <f t="shared" si="119"/>
        <v>0.20572413793103445</v>
      </c>
      <c r="EA43" s="5">
        <f t="shared" si="72"/>
        <v>52.41379310344827</v>
      </c>
      <c r="EB43" s="5">
        <f t="shared" si="73"/>
        <v>2.4568965517241379</v>
      </c>
      <c r="EC43" s="5">
        <f t="shared" si="74"/>
        <v>2.7069998404313518</v>
      </c>
      <c r="ED43" s="5"/>
      <c r="EE43" s="173">
        <f t="shared" si="120"/>
        <v>2.6186773883714305</v>
      </c>
      <c r="EF43" s="173">
        <f t="shared" si="75"/>
        <v>5.1454700532570898</v>
      </c>
      <c r="EG43" s="173">
        <f t="shared" si="76"/>
        <v>0.12671981150766481</v>
      </c>
      <c r="EH43" s="173"/>
      <c r="EI43" s="528">
        <f t="shared" si="77"/>
        <v>0.13714942528735632</v>
      </c>
      <c r="EJ43" s="528">
        <f t="shared" si="78"/>
        <v>1.4656473333333335</v>
      </c>
      <c r="EK43" s="528">
        <f t="shared" si="79"/>
        <v>1.2429166666666666E-2</v>
      </c>
      <c r="EL43" s="528">
        <f t="shared" si="80"/>
        <v>5.4009104233333341E-2</v>
      </c>
      <c r="EM43">
        <f t="shared" si="81"/>
        <v>2.6099999999999998E-2</v>
      </c>
      <c r="EN43" s="460">
        <f t="shared" si="121"/>
        <v>38.529166666666661</v>
      </c>
      <c r="EO43">
        <f t="shared" si="82"/>
        <v>1.7907190034736644</v>
      </c>
      <c r="EP43" s="460">
        <f t="shared" si="122"/>
        <v>1790.7190034736643</v>
      </c>
      <c r="EQ43" s="173">
        <f t="shared" si="83"/>
        <v>2.3607499999999995</v>
      </c>
      <c r="ER43" s="173">
        <f t="shared" si="170"/>
        <v>4.2156249999999999E-2</v>
      </c>
      <c r="ES43" s="528"/>
      <c r="EU43" s="460">
        <f t="shared" si="123"/>
        <v>2402.9062499999995</v>
      </c>
      <c r="EV43" s="528">
        <f t="shared" si="85"/>
        <v>0.20572413793103447</v>
      </c>
      <c r="EW43" s="528">
        <f t="shared" si="124"/>
        <v>0.7942758620689655</v>
      </c>
      <c r="EX43" s="528">
        <f t="shared" si="86"/>
        <v>8.0289553142690509E-5</v>
      </c>
      <c r="EY43" s="528">
        <f t="shared" si="87"/>
        <v>1.5588344710856268</v>
      </c>
      <c r="EZ43" s="528">
        <f t="shared" si="88"/>
        <v>3.0423408386809125</v>
      </c>
      <c r="FA43" s="625">
        <f t="shared" si="89"/>
        <v>9.9433333333333353E-3</v>
      </c>
      <c r="FB43" s="460">
        <f t="shared" si="125"/>
        <v>3052.2841720142455</v>
      </c>
      <c r="FC43" s="173">
        <f t="shared" si="126"/>
        <v>7.2459094254879091</v>
      </c>
      <c r="FD43" s="5">
        <f t="shared" si="127"/>
        <v>57.76</v>
      </c>
      <c r="FE43" s="173">
        <f t="shared" si="128"/>
        <v>0.88853460416866503</v>
      </c>
      <c r="FF43" s="5">
        <f t="shared" si="129"/>
        <v>88.853460416866497</v>
      </c>
      <c r="FG43">
        <f t="shared" si="130"/>
        <v>38</v>
      </c>
      <c r="FI43" s="562">
        <f t="shared" si="90"/>
        <v>-50</v>
      </c>
      <c r="FJ43">
        <f t="shared" si="91"/>
        <v>-50</v>
      </c>
      <c r="FL43">
        <f t="shared" si="92"/>
        <v>0.76736689272599456</v>
      </c>
    </row>
    <row r="44" spans="5:168">
      <c r="E44" s="170">
        <v>39</v>
      </c>
      <c r="F44" s="217">
        <f t="shared" si="174"/>
        <v>3.9000000000000004</v>
      </c>
      <c r="G44" s="217">
        <f t="shared" si="171"/>
        <v>9.7500000000000003E-2</v>
      </c>
      <c r="H44" s="217">
        <f t="shared" si="135"/>
        <v>58.500000000000007</v>
      </c>
      <c r="I44" s="217">
        <f t="shared" si="175"/>
        <v>0.78</v>
      </c>
      <c r="J44" s="541">
        <f t="shared" si="136"/>
        <v>57.723315016620042</v>
      </c>
      <c r="K44" s="443">
        <f t="shared" si="137"/>
        <v>15.848559966660831</v>
      </c>
      <c r="L44" s="172">
        <f t="shared" si="138"/>
        <v>73.571874983280878</v>
      </c>
      <c r="M44" s="443"/>
      <c r="N44" s="217">
        <f t="shared" si="139"/>
        <v>0.21541601284814879</v>
      </c>
      <c r="O44" s="172">
        <f t="shared" si="172"/>
        <v>306.77285450471948</v>
      </c>
      <c r="P44" s="172">
        <f t="shared" si="140"/>
        <v>4.1448421230859873</v>
      </c>
      <c r="Q44" s="217">
        <f t="shared" si="6"/>
        <v>20.451523633647966</v>
      </c>
      <c r="R44" s="217">
        <f t="shared" si="141"/>
        <v>38.346606813089934</v>
      </c>
      <c r="S44" s="443">
        <f t="shared" si="142"/>
        <v>15</v>
      </c>
      <c r="T44" s="217">
        <f t="shared" si="143"/>
        <v>9.5347419338075809</v>
      </c>
      <c r="U44" s="217">
        <f t="shared" si="10"/>
        <v>1.9821609894155832</v>
      </c>
      <c r="V44" s="217">
        <f t="shared" si="11"/>
        <v>7.2193879725589811</v>
      </c>
      <c r="W44" s="197">
        <f t="shared" si="12"/>
        <v>103.62105307714972</v>
      </c>
      <c r="X44" s="443">
        <f t="shared" si="95"/>
        <v>106.36545148513214</v>
      </c>
      <c r="Z44" s="217">
        <f t="shared" si="13"/>
        <v>10</v>
      </c>
      <c r="AA44" s="173">
        <f t="shared" si="14"/>
        <v>7.5716658328853255</v>
      </c>
      <c r="AB44" s="173">
        <f t="shared" si="144"/>
        <v>3.922919935759257</v>
      </c>
      <c r="AC44" s="173"/>
      <c r="AD44" s="173">
        <f t="shared" si="16"/>
        <v>7.5716658328853255</v>
      </c>
      <c r="AE44" s="545">
        <f t="shared" si="145"/>
        <v>103.01563978329541</v>
      </c>
      <c r="AF44" s="528">
        <f t="shared" si="146"/>
        <v>3.922919935759257</v>
      </c>
      <c r="AH44" s="173">
        <f t="shared" si="147"/>
        <v>5.3130566935212942</v>
      </c>
      <c r="AI44" s="173">
        <f t="shared" si="148"/>
        <v>10</v>
      </c>
      <c r="AJ44" s="173">
        <f t="shared" si="149"/>
        <v>1.0588660798761689</v>
      </c>
      <c r="AL44" s="545">
        <f t="shared" si="150"/>
        <v>3900.0000000000005</v>
      </c>
      <c r="AM44" s="460">
        <f t="shared" si="151"/>
        <v>103.01563978329541</v>
      </c>
      <c r="AO44">
        <f t="shared" si="96"/>
        <v>3900.0000000000005</v>
      </c>
      <c r="AP44" s="460">
        <f t="shared" si="24"/>
        <v>103.01563978329541</v>
      </c>
      <c r="AQ44" s="460"/>
      <c r="AR44" s="5">
        <f t="shared" si="97"/>
        <v>9.7072638883145181</v>
      </c>
      <c r="AS44" s="5">
        <f t="shared" si="25"/>
        <v>2.0788826831142475</v>
      </c>
      <c r="AT44" s="5">
        <f t="shared" si="98"/>
        <v>7.6283812052002702</v>
      </c>
      <c r="AU44" s="173">
        <f t="shared" si="99"/>
        <v>0.214157429635428</v>
      </c>
      <c r="AW44" s="5">
        <f t="shared" si="152"/>
        <v>54.050949760970447</v>
      </c>
      <c r="AX44" s="5">
        <f t="shared" si="153"/>
        <v>2.5336382700454894</v>
      </c>
      <c r="AY44" s="5">
        <f t="shared" si="28"/>
        <v>2.6658701462056742</v>
      </c>
      <c r="AZ44" s="5"/>
      <c r="BA44" s="173">
        <f t="shared" si="100"/>
        <v>2.6718123040078243</v>
      </c>
      <c r="BB44" s="173">
        <f t="shared" si="154"/>
        <v>5.11808092408529</v>
      </c>
      <c r="BC44" s="173">
        <f t="shared" si="155"/>
        <v>0.12604528707159068</v>
      </c>
      <c r="BD44" s="173"/>
      <c r="BE44" s="528">
        <f t="shared" si="31"/>
        <v>0.14277161975695196</v>
      </c>
      <c r="BF44" s="528">
        <f t="shared" si="156"/>
        <v>1.4210725821486196</v>
      </c>
      <c r="BG44" s="528">
        <f t="shared" si="157"/>
        <v>0.14866010567124543</v>
      </c>
      <c r="BH44" s="528">
        <f t="shared" si="34"/>
        <v>5.5760519656536757E-2</v>
      </c>
      <c r="BI44">
        <f t="shared" si="35"/>
        <v>2.5975491757479017E-2</v>
      </c>
      <c r="BJ44" s="460">
        <f t="shared" si="101"/>
        <v>174.63559742872445</v>
      </c>
      <c r="BK44">
        <f t="shared" si="158"/>
        <v>1.7163769181585042</v>
      </c>
      <c r="BL44" s="460">
        <f t="shared" si="102"/>
        <v>1716.3769181585042</v>
      </c>
      <c r="BM44" s="173">
        <f t="shared" si="159"/>
        <v>2.4228749999999999</v>
      </c>
      <c r="BN44" s="173">
        <f t="shared" si="160"/>
        <v>4.3265625000000002E-2</v>
      </c>
      <c r="BO44" s="528"/>
      <c r="BQ44" s="460">
        <f t="shared" si="103"/>
        <v>2466.140625</v>
      </c>
      <c r="BR44" s="528">
        <f t="shared" si="39"/>
        <v>0.21415742963542794</v>
      </c>
      <c r="BS44" s="528">
        <f t="shared" si="104"/>
        <v>0.78584257036457206</v>
      </c>
      <c r="BT44" s="528">
        <f t="shared" si="161"/>
        <v>7.9437071964798533E-5</v>
      </c>
      <c r="BU44" s="528">
        <f t="shared" si="41"/>
        <v>1.7030520230742894</v>
      </c>
      <c r="BV44" s="528">
        <f t="shared" si="162"/>
        <v>3.1990987556593171</v>
      </c>
      <c r="BW44" s="625">
        <f t="shared" si="163"/>
        <v>1.0301563978329542E-2</v>
      </c>
      <c r="BX44" s="460">
        <f t="shared" si="105"/>
        <v>3209.4003196376466</v>
      </c>
      <c r="BY44" s="173">
        <f t="shared" si="106"/>
        <v>7.3919178627961513</v>
      </c>
      <c r="BZ44" s="5">
        <f t="shared" si="107"/>
        <v>59.280000000000008</v>
      </c>
      <c r="CA44" s="173">
        <f t="shared" si="108"/>
        <v>0.88912996506253272</v>
      </c>
      <c r="CB44" s="5">
        <f t="shared" si="109"/>
        <v>88.912996506253279</v>
      </c>
      <c r="CC44">
        <f t="shared" si="173"/>
        <v>39</v>
      </c>
      <c r="CE44" s="562">
        <f t="shared" si="164"/>
        <v>-50</v>
      </c>
      <c r="CF44">
        <f t="shared" si="165"/>
        <v>-50</v>
      </c>
      <c r="CG44" s="173">
        <f t="shared" si="166"/>
        <v>0.78756075832404704</v>
      </c>
      <c r="CH44" s="173">
        <f t="shared" si="167"/>
        <v>9.0745321509134447E-2</v>
      </c>
      <c r="CI44" s="170">
        <v>39</v>
      </c>
      <c r="CJ44" s="217">
        <f t="shared" si="133"/>
        <v>3.9000000000000004</v>
      </c>
      <c r="CK44" s="217">
        <f t="shared" si="111"/>
        <v>9.7500000000000003E-2</v>
      </c>
      <c r="CL44" s="217">
        <f t="shared" si="48"/>
        <v>58.500000000000007</v>
      </c>
      <c r="CM44" s="217">
        <f t="shared" si="134"/>
        <v>0.78</v>
      </c>
      <c r="CN44" s="541">
        <f t="shared" si="112"/>
        <v>58</v>
      </c>
      <c r="CO44" s="443">
        <f t="shared" si="168"/>
        <v>15.7</v>
      </c>
      <c r="CP44" s="443">
        <f t="shared" si="169"/>
        <v>73.7</v>
      </c>
      <c r="CQ44" s="443"/>
      <c r="CR44" s="217">
        <f t="shared" si="113"/>
        <v>0.2098092643051771</v>
      </c>
      <c r="CS44" s="172">
        <f t="shared" si="114"/>
        <v>300.22049333142121</v>
      </c>
      <c r="CT44" s="172">
        <f t="shared" si="51"/>
        <v>4.0563124432334243</v>
      </c>
      <c r="CU44" s="217">
        <f t="shared" si="52"/>
        <v>20.014699555428081</v>
      </c>
      <c r="CV44" s="217">
        <f t="shared" si="53"/>
        <v>37.527561666427651</v>
      </c>
      <c r="CW44" s="443">
        <f t="shared" si="54"/>
        <v>15</v>
      </c>
      <c r="CX44" s="217">
        <f t="shared" si="55"/>
        <v>9.7428392297357824</v>
      </c>
      <c r="CY44" s="217">
        <f t="shared" si="56"/>
        <v>2.0157598406349897</v>
      </c>
      <c r="CZ44" s="217">
        <f t="shared" si="57"/>
        <v>7.4467560991611075</v>
      </c>
      <c r="DA44" s="197">
        <f t="shared" si="58"/>
        <v>102.962460425147</v>
      </c>
      <c r="DB44" s="443">
        <f t="shared" si="115"/>
        <v>105.68013902035747</v>
      </c>
      <c r="DD44" s="217">
        <f t="shared" si="59"/>
        <v>10</v>
      </c>
      <c r="DE44" s="173">
        <f t="shared" si="60"/>
        <v>7.6433121019108281</v>
      </c>
      <c r="DF44" s="173">
        <f t="shared" si="61"/>
        <v>3.9348710990502043</v>
      </c>
      <c r="DG44" s="173"/>
      <c r="DH44" s="173">
        <f t="shared" si="62"/>
        <v>7.6433121019108281</v>
      </c>
      <c r="DI44" s="545">
        <f t="shared" si="63"/>
        <v>102.05000000000001</v>
      </c>
      <c r="DJ44" s="528">
        <f t="shared" si="64"/>
        <v>3.9348710990502034</v>
      </c>
      <c r="DL44" s="173">
        <f t="shared" si="65"/>
        <v>5.3130566935212942</v>
      </c>
      <c r="DM44" s="173">
        <f t="shared" si="66"/>
        <v>10</v>
      </c>
      <c r="DN44" s="173">
        <f t="shared" si="67"/>
        <v>1.0583142857142858</v>
      </c>
      <c r="DP44" s="545">
        <f t="shared" si="68"/>
        <v>3900.0000000000005</v>
      </c>
      <c r="DQ44" s="460">
        <f t="shared" si="69"/>
        <v>102.05000000000001</v>
      </c>
      <c r="DS44">
        <f t="shared" si="116"/>
        <v>3900.0000000000005</v>
      </c>
      <c r="DT44" s="460">
        <f t="shared" si="70"/>
        <v>102.05000000000001</v>
      </c>
      <c r="DU44" s="460"/>
      <c r="DV44" s="5">
        <f t="shared" si="117"/>
        <v>9.799118079372855</v>
      </c>
      <c r="DW44" s="5">
        <f t="shared" si="71"/>
        <v>2.068965517241379</v>
      </c>
      <c r="DX44" s="5">
        <f t="shared" si="118"/>
        <v>7.7301525621314759</v>
      </c>
      <c r="DY44" s="173">
        <f t="shared" si="119"/>
        <v>0.21113793103448275</v>
      </c>
      <c r="EA44" s="5">
        <f t="shared" si="72"/>
        <v>53.793103448275865</v>
      </c>
      <c r="EB44" s="5">
        <f t="shared" si="73"/>
        <v>2.521551724137931</v>
      </c>
      <c r="EC44" s="5">
        <f t="shared" si="74"/>
        <v>2.6885488994333611</v>
      </c>
      <c r="ED44" s="5"/>
      <c r="EE44" s="173">
        <f t="shared" si="120"/>
        <v>2.6529099182751681</v>
      </c>
      <c r="EF44" s="173">
        <f t="shared" si="75"/>
        <v>5.1279042794157705</v>
      </c>
      <c r="EG44" s="173">
        <f t="shared" si="76"/>
        <v>0.12628721127345507</v>
      </c>
      <c r="EH44" s="173"/>
      <c r="EI44" s="528">
        <f t="shared" si="77"/>
        <v>0.1407586206896552</v>
      </c>
      <c r="EJ44" s="528">
        <f t="shared" si="78"/>
        <v>1.5042170000000001</v>
      </c>
      <c r="EK44" s="528">
        <f t="shared" si="79"/>
        <v>1.275625E-2</v>
      </c>
      <c r="EL44" s="528">
        <f t="shared" si="80"/>
        <v>5.5430396450000009E-2</v>
      </c>
      <c r="EM44">
        <f t="shared" si="81"/>
        <v>2.6099999999999998E-2</v>
      </c>
      <c r="EN44" s="460">
        <f t="shared" si="121"/>
        <v>38.856249999999996</v>
      </c>
      <c r="EO44">
        <f t="shared" si="82"/>
        <v>1.8387631458977729</v>
      </c>
      <c r="EP44" s="460">
        <f t="shared" si="122"/>
        <v>1838.7631458977728</v>
      </c>
      <c r="EQ44" s="173">
        <f t="shared" si="83"/>
        <v>2.4228749999999999</v>
      </c>
      <c r="ER44" s="173">
        <f t="shared" si="170"/>
        <v>4.3265625000000002E-2</v>
      </c>
      <c r="ES44" s="528"/>
      <c r="EU44" s="460">
        <f t="shared" si="123"/>
        <v>2466.140625</v>
      </c>
      <c r="EV44" s="528">
        <f t="shared" si="85"/>
        <v>0.21113793103448278</v>
      </c>
      <c r="EW44" s="528">
        <f t="shared" si="124"/>
        <v>0.78886206896551714</v>
      </c>
      <c r="EX44" s="528">
        <f t="shared" si="86"/>
        <v>7.9742298656131398E-5</v>
      </c>
      <c r="EY44" s="528">
        <f t="shared" si="87"/>
        <v>1.6634223290559886</v>
      </c>
      <c r="EZ44" s="528">
        <f t="shared" si="88"/>
        <v>3.1560231989020449</v>
      </c>
      <c r="FA44" s="625">
        <f t="shared" si="89"/>
        <v>1.0205000000000002E-2</v>
      </c>
      <c r="FB44" s="460">
        <f t="shared" si="125"/>
        <v>3166.2281989020448</v>
      </c>
      <c r="FC44" s="173">
        <f t="shared" si="126"/>
        <v>7.471131969799818</v>
      </c>
      <c r="FD44" s="5">
        <f t="shared" si="127"/>
        <v>59.280000000000008</v>
      </c>
      <c r="FE44" s="173">
        <f t="shared" si="128"/>
        <v>0.88807482735753485</v>
      </c>
      <c r="FF44" s="5">
        <f t="shared" si="129"/>
        <v>88.807482735753482</v>
      </c>
      <c r="FG44">
        <f t="shared" si="130"/>
        <v>39</v>
      </c>
      <c r="FI44" s="562">
        <f t="shared" si="90"/>
        <v>-50</v>
      </c>
      <c r="FJ44">
        <f t="shared" si="91"/>
        <v>-50</v>
      </c>
      <c r="FL44">
        <f t="shared" si="92"/>
        <v>0.78756075832404715</v>
      </c>
    </row>
    <row r="45" spans="5:168">
      <c r="E45" s="170">
        <v>40</v>
      </c>
      <c r="F45" s="217">
        <f t="shared" si="174"/>
        <v>4</v>
      </c>
      <c r="G45" s="217">
        <f t="shared" si="171"/>
        <v>0.1</v>
      </c>
      <c r="H45" s="217">
        <f t="shared" si="135"/>
        <v>60</v>
      </c>
      <c r="I45" s="217">
        <f t="shared" si="175"/>
        <v>0.8</v>
      </c>
      <c r="J45" s="541">
        <f t="shared" si="136"/>
        <v>57.716497513665409</v>
      </c>
      <c r="K45" s="443">
        <f t="shared" si="137"/>
        <v>15.852513101236315</v>
      </c>
      <c r="L45" s="172">
        <f t="shared" si="138"/>
        <v>73.569010614901728</v>
      </c>
      <c r="M45" s="443"/>
      <c r="N45" s="217">
        <f t="shared" si="139"/>
        <v>0.21547813364266338</v>
      </c>
      <c r="O45" s="172">
        <f t="shared" si="172"/>
        <v>306.82507807490236</v>
      </c>
      <c r="P45" s="172">
        <f t="shared" si="140"/>
        <v>4.1455477215453485</v>
      </c>
      <c r="Q45" s="217">
        <f t="shared" si="6"/>
        <v>20.455005204993491</v>
      </c>
      <c r="R45" s="217">
        <f t="shared" si="141"/>
        <v>38.353134759362796</v>
      </c>
      <c r="S45" s="443">
        <f t="shared" si="142"/>
        <v>15</v>
      </c>
      <c r="T45" s="217">
        <f t="shared" si="143"/>
        <v>9.77755801065139</v>
      </c>
      <c r="U45" s="217">
        <f t="shared" si="10"/>
        <v>2.0328796996047194</v>
      </c>
      <c r="V45" s="217">
        <f t="shared" si="11"/>
        <v>7.4013940489136836</v>
      </c>
      <c r="W45" s="197">
        <f t="shared" si="12"/>
        <v>103.6386930386337</v>
      </c>
      <c r="X45" s="443">
        <f t="shared" si="95"/>
        <v>103.796095699874</v>
      </c>
      <c r="Z45" s="217">
        <f t="shared" si="13"/>
        <v>10</v>
      </c>
      <c r="AA45" s="173">
        <f t="shared" si="14"/>
        <v>7.5697776897368643</v>
      </c>
      <c r="AB45" s="173">
        <f t="shared" si="144"/>
        <v>3.9226093317866835</v>
      </c>
      <c r="AC45" s="173"/>
      <c r="AD45" s="173">
        <f t="shared" si="16"/>
        <v>7.5697776897368643</v>
      </c>
      <c r="AE45" s="545">
        <f t="shared" si="145"/>
        <v>105.68342067490876</v>
      </c>
      <c r="AF45" s="528">
        <f t="shared" si="146"/>
        <v>3.922609331786683</v>
      </c>
      <c r="AH45" s="173">
        <f t="shared" si="147"/>
        <v>5.3807416730763942</v>
      </c>
      <c r="AI45" s="173">
        <f t="shared" si="148"/>
        <v>10</v>
      </c>
      <c r="AJ45" s="173">
        <f t="shared" si="149"/>
        <v>1.2</v>
      </c>
      <c r="AL45" s="545">
        <f t="shared" si="150"/>
        <v>4000</v>
      </c>
      <c r="AM45" s="460">
        <f t="shared" si="151"/>
        <v>103.796095699874</v>
      </c>
      <c r="AO45">
        <f t="shared" si="96"/>
        <v>4000</v>
      </c>
      <c r="AP45" s="460">
        <f t="shared" si="24"/>
        <v>103.796095699874</v>
      </c>
      <c r="AQ45" s="460"/>
      <c r="AR45" s="5">
        <f t="shared" si="97"/>
        <v>9.6342737485184031</v>
      </c>
      <c r="AS45" s="5">
        <f t="shared" si="25"/>
        <v>2.0791282418270072</v>
      </c>
      <c r="AT45" s="5">
        <f t="shared" si="98"/>
        <v>7.555145506691396</v>
      </c>
      <c r="AU45" s="173">
        <f t="shared" si="99"/>
        <v>0.2158053939609868</v>
      </c>
      <c r="AW45" s="5">
        <f t="shared" si="152"/>
        <v>55.443419782053525</v>
      </c>
      <c r="AX45" s="5">
        <f t="shared" si="153"/>
        <v>2.598910302283759</v>
      </c>
      <c r="AY45" s="5">
        <f t="shared" si="28"/>
        <v>2.7082959300128437</v>
      </c>
      <c r="AZ45" s="5"/>
      <c r="BA45" s="173">
        <f t="shared" si="100"/>
        <v>2.6820725441406119</v>
      </c>
      <c r="BB45" s="173">
        <f t="shared" si="154"/>
        <v>5.1127116289988859</v>
      </c>
      <c r="BC45" s="173">
        <f t="shared" si="155"/>
        <v>0.12591305502005101</v>
      </c>
      <c r="BD45" s="173"/>
      <c r="BE45" s="528">
        <f t="shared" si="31"/>
        <v>0.14387026264065789</v>
      </c>
      <c r="BF45" s="528">
        <f t="shared" si="156"/>
        <v>1.4317830124367599</v>
      </c>
      <c r="BG45" s="528">
        <f t="shared" si="157"/>
        <v>0.14976867748474884</v>
      </c>
      <c r="BH45" s="528">
        <f t="shared" si="34"/>
        <v>5.6178591808104514E-2</v>
      </c>
      <c r="BI45">
        <f t="shared" si="35"/>
        <v>2.5972423881149433E-2</v>
      </c>
      <c r="BJ45" s="460">
        <f t="shared" si="101"/>
        <v>175.74110136589826</v>
      </c>
      <c r="BK45">
        <f t="shared" si="158"/>
        <v>1.7298078532538228</v>
      </c>
      <c r="BL45" s="460">
        <f t="shared" si="102"/>
        <v>1729.8078532538227</v>
      </c>
      <c r="BM45" s="173">
        <f t="shared" si="159"/>
        <v>2.4849999999999999</v>
      </c>
      <c r="BN45" s="173">
        <f t="shared" si="160"/>
        <v>4.4374999999999998E-2</v>
      </c>
      <c r="BO45" s="528"/>
      <c r="BQ45" s="460">
        <f t="shared" si="103"/>
        <v>2529.375</v>
      </c>
      <c r="BR45" s="528">
        <f t="shared" si="39"/>
        <v>0.21580539396098683</v>
      </c>
      <c r="BS45" s="528">
        <f t="shared" si="104"/>
        <v>0.78419460603901325</v>
      </c>
      <c r="BT45" s="528">
        <f t="shared" si="161"/>
        <v>7.9270487122411979E-5</v>
      </c>
      <c r="BU45" s="528">
        <f t="shared" si="41"/>
        <v>1.7354917312380467</v>
      </c>
      <c r="BV45" s="528">
        <f t="shared" si="162"/>
        <v>3.234359280196665</v>
      </c>
      <c r="BW45" s="625">
        <f t="shared" si="163"/>
        <v>1.0379609569987401E-2</v>
      </c>
      <c r="BX45" s="460">
        <f t="shared" si="105"/>
        <v>3244.7388897666524</v>
      </c>
      <c r="BY45" s="173">
        <f t="shared" si="106"/>
        <v>7.5039217430204754</v>
      </c>
      <c r="BZ45" s="5">
        <f t="shared" si="107"/>
        <v>60.8</v>
      </c>
      <c r="CA45" s="173">
        <f t="shared" si="108"/>
        <v>0.89013922551544788</v>
      </c>
      <c r="CB45" s="5">
        <f t="shared" si="109"/>
        <v>89.013922551544795</v>
      </c>
      <c r="CC45">
        <f t="shared" si="173"/>
        <v>40</v>
      </c>
      <c r="CE45" s="562">
        <f t="shared" si="164"/>
        <v>-50</v>
      </c>
      <c r="CF45">
        <f t="shared" si="165"/>
        <v>-50</v>
      </c>
      <c r="CG45" s="173">
        <f t="shared" si="166"/>
        <v>0.78681765059686515</v>
      </c>
      <c r="CH45" s="173">
        <f t="shared" si="167"/>
        <v>9.2345221451934009E-2</v>
      </c>
      <c r="CI45" s="170">
        <v>40</v>
      </c>
      <c r="CJ45" s="217">
        <f t="shared" si="133"/>
        <v>4</v>
      </c>
      <c r="CK45" s="217">
        <f t="shared" si="111"/>
        <v>0.1</v>
      </c>
      <c r="CL45" s="217">
        <f t="shared" si="48"/>
        <v>60</v>
      </c>
      <c r="CM45" s="217">
        <f t="shared" si="134"/>
        <v>0.8</v>
      </c>
      <c r="CN45" s="541">
        <f t="shared" si="112"/>
        <v>58</v>
      </c>
      <c r="CO45" s="443">
        <f t="shared" si="168"/>
        <v>15.7</v>
      </c>
      <c r="CP45" s="443">
        <f t="shared" si="169"/>
        <v>73.7</v>
      </c>
      <c r="CQ45" s="443"/>
      <c r="CR45" s="217">
        <f t="shared" si="113"/>
        <v>0.2098092643051771</v>
      </c>
      <c r="CS45" s="172">
        <f t="shared" si="114"/>
        <v>300.22049333142121</v>
      </c>
      <c r="CT45" s="172">
        <f t="shared" si="51"/>
        <v>4.0563124432334243</v>
      </c>
      <c r="CU45" s="217">
        <f t="shared" si="52"/>
        <v>20.014699555428081</v>
      </c>
      <c r="CV45" s="217">
        <f t="shared" si="53"/>
        <v>37.527561666427651</v>
      </c>
      <c r="CW45" s="443">
        <f t="shared" si="54"/>
        <v>15</v>
      </c>
      <c r="CX45" s="217">
        <f t="shared" si="55"/>
        <v>9.9926556202418269</v>
      </c>
      <c r="CY45" s="217">
        <f t="shared" si="56"/>
        <v>2.067445990394861</v>
      </c>
      <c r="CZ45" s="217">
        <f t="shared" si="57"/>
        <v>7.6376985632421626</v>
      </c>
      <c r="DA45" s="197">
        <f t="shared" si="58"/>
        <v>102.962460425147</v>
      </c>
      <c r="DB45" s="443">
        <f t="shared" si="115"/>
        <v>103.03813554484852</v>
      </c>
      <c r="DD45" s="217">
        <f t="shared" si="59"/>
        <v>10</v>
      </c>
      <c r="DE45" s="173">
        <f t="shared" si="60"/>
        <v>7.6433121019108281</v>
      </c>
      <c r="DF45" s="173">
        <f t="shared" si="61"/>
        <v>3.9348710990502043</v>
      </c>
      <c r="DG45" s="173"/>
      <c r="DH45" s="173">
        <f t="shared" si="62"/>
        <v>7.6433121019108281</v>
      </c>
      <c r="DI45" s="545">
        <f t="shared" si="63"/>
        <v>104.66666666666667</v>
      </c>
      <c r="DJ45" s="528">
        <f t="shared" si="64"/>
        <v>3.9348710990502034</v>
      </c>
      <c r="DL45" s="173">
        <f t="shared" si="65"/>
        <v>5.3807416730763942</v>
      </c>
      <c r="DM45" s="173">
        <f t="shared" si="66"/>
        <v>10</v>
      </c>
      <c r="DN45" s="173">
        <f t="shared" si="67"/>
        <v>1.2</v>
      </c>
      <c r="DP45" s="545">
        <f t="shared" si="68"/>
        <v>4000</v>
      </c>
      <c r="DQ45" s="460">
        <f t="shared" si="69"/>
        <v>103.03813554484852</v>
      </c>
      <c r="DS45">
        <f t="shared" si="116"/>
        <v>4000</v>
      </c>
      <c r="DT45" s="460">
        <f t="shared" si="70"/>
        <v>103.03813554484852</v>
      </c>
      <c r="DU45" s="460"/>
      <c r="DV45" s="5">
        <f t="shared" si="117"/>
        <v>9.7051445536370231</v>
      </c>
      <c r="DW45" s="5">
        <f t="shared" si="71"/>
        <v>2.068965517241379</v>
      </c>
      <c r="DX45" s="5">
        <f t="shared" si="118"/>
        <v>7.6361790363956441</v>
      </c>
      <c r="DY45" s="173">
        <f t="shared" si="119"/>
        <v>0.21318234940313485</v>
      </c>
      <c r="EA45" s="5">
        <f t="shared" si="72"/>
        <v>55.172413793103438</v>
      </c>
      <c r="EB45" s="5">
        <f t="shared" si="73"/>
        <v>2.5862068965517238</v>
      </c>
      <c r="EC45" s="5">
        <f t="shared" si="74"/>
        <v>2.7239639844455326</v>
      </c>
      <c r="ED45" s="5"/>
      <c r="EE45" s="173">
        <f t="shared" si="120"/>
        <v>2.665722850079848</v>
      </c>
      <c r="EF45" s="173">
        <f t="shared" si="75"/>
        <v>5.121255219171907</v>
      </c>
      <c r="EG45" s="173">
        <f t="shared" si="76"/>
        <v>0.12612346186823367</v>
      </c>
      <c r="EH45" s="173"/>
      <c r="EI45" s="528">
        <f t="shared" si="77"/>
        <v>0.14212156626875655</v>
      </c>
      <c r="EJ45" s="528">
        <f t="shared" si="78"/>
        <v>1.518782117931067</v>
      </c>
      <c r="EK45" s="528">
        <f t="shared" si="79"/>
        <v>1.2879766943106065E-2</v>
      </c>
      <c r="EL45" s="528">
        <f t="shared" si="80"/>
        <v>5.5967121045759828E-2</v>
      </c>
      <c r="EM45">
        <f t="shared" si="81"/>
        <v>2.6099999999999998E-2</v>
      </c>
      <c r="EN45" s="460">
        <f t="shared" si="121"/>
        <v>38.979766943106064</v>
      </c>
      <c r="EO45">
        <f t="shared" si="82"/>
        <v>1.8569283063832844</v>
      </c>
      <c r="EP45" s="460">
        <f t="shared" si="122"/>
        <v>1856.9283063832845</v>
      </c>
      <c r="EQ45" s="173">
        <f t="shared" si="83"/>
        <v>2.4849999999999999</v>
      </c>
      <c r="ER45" s="173">
        <f t="shared" si="170"/>
        <v>4.4374999999999998E-2</v>
      </c>
      <c r="ES45" s="528"/>
      <c r="EU45" s="460">
        <f t="shared" si="123"/>
        <v>2529.375</v>
      </c>
      <c r="EV45" s="528">
        <f t="shared" si="85"/>
        <v>0.21318234940313482</v>
      </c>
      <c r="EW45" s="528">
        <f t="shared" si="124"/>
        <v>0.78681765059686493</v>
      </c>
      <c r="EX45" s="528">
        <f t="shared" si="86"/>
        <v>7.9535638168138969E-5</v>
      </c>
      <c r="EY45" s="528">
        <f t="shared" si="87"/>
        <v>1.7039819237950056</v>
      </c>
      <c r="EZ45" s="528">
        <f t="shared" si="88"/>
        <v>3.2001096845734911</v>
      </c>
      <c r="FA45" s="625">
        <f t="shared" si="89"/>
        <v>1.0303813554484852E-2</v>
      </c>
      <c r="FB45" s="460">
        <f t="shared" si="125"/>
        <v>3210.4134981279763</v>
      </c>
      <c r="FC45" s="173">
        <f t="shared" si="126"/>
        <v>7.5967168045112601</v>
      </c>
      <c r="FD45" s="5">
        <f t="shared" si="127"/>
        <v>60.8</v>
      </c>
      <c r="FE45" s="173">
        <f t="shared" si="128"/>
        <v>0.8889315575450224</v>
      </c>
      <c r="FF45" s="5">
        <f t="shared" si="129"/>
        <v>88.893155754502246</v>
      </c>
      <c r="FG45">
        <f t="shared" si="130"/>
        <v>40</v>
      </c>
      <c r="FI45" s="562">
        <f t="shared" si="90"/>
        <v>-50</v>
      </c>
      <c r="FJ45">
        <f t="shared" si="91"/>
        <v>-50</v>
      </c>
      <c r="FL45">
        <f t="shared" si="92"/>
        <v>0.78681765059686515</v>
      </c>
    </row>
    <row r="46" spans="5:168">
      <c r="E46" s="170">
        <v>41</v>
      </c>
      <c r="F46" s="217">
        <f t="shared" si="174"/>
        <v>4.0999999999999996</v>
      </c>
      <c r="G46" s="217">
        <f t="shared" si="171"/>
        <v>0.10249999999999999</v>
      </c>
      <c r="H46" s="217">
        <f t="shared" si="135"/>
        <v>61.499999999999993</v>
      </c>
      <c r="I46" s="217">
        <f t="shared" si="175"/>
        <v>0.82</v>
      </c>
      <c r="J46" s="541">
        <f t="shared" si="136"/>
        <v>57.709461786808745</v>
      </c>
      <c r="K46" s="443">
        <f t="shared" si="137"/>
        <v>15.856294827586206</v>
      </c>
      <c r="L46" s="172">
        <f t="shared" si="138"/>
        <v>73.565756614394957</v>
      </c>
      <c r="M46" s="443"/>
      <c r="N46" s="217">
        <f t="shared" si="139"/>
        <v>0.21553907085737131</v>
      </c>
      <c r="O46" s="172">
        <f t="shared" si="172"/>
        <v>306.87443519426972</v>
      </c>
      <c r="P46" s="172">
        <f t="shared" si="140"/>
        <v>4.1462145910692438</v>
      </c>
      <c r="Q46" s="217">
        <f t="shared" si="6"/>
        <v>20.458295679617983</v>
      </c>
      <c r="R46" s="217">
        <f t="shared" si="141"/>
        <v>38.359304399283715</v>
      </c>
      <c r="S46" s="443">
        <f t="shared" si="142"/>
        <v>15</v>
      </c>
      <c r="T46" s="217">
        <f t="shared" si="143"/>
        <v>10.020385041371538</v>
      </c>
      <c r="U46" s="217">
        <f t="shared" si="10"/>
        <v>2.0836205497924785</v>
      </c>
      <c r="V46" s="217">
        <f t="shared" si="11"/>
        <v>7.5833996405806756</v>
      </c>
      <c r="W46" s="197">
        <f t="shared" si="12"/>
        <v>103.65536477673109</v>
      </c>
      <c r="X46" s="443">
        <f t="shared" si="95"/>
        <v>101.34772005186115</v>
      </c>
      <c r="Z46" s="217">
        <f t="shared" si="13"/>
        <v>10</v>
      </c>
      <c r="AA46" s="173">
        <f t="shared" si="14"/>
        <v>7.5679722977418633</v>
      </c>
      <c r="AB46" s="173">
        <f t="shared" si="144"/>
        <v>3.922304645713143</v>
      </c>
      <c r="AC46" s="173"/>
      <c r="AD46" s="173">
        <f t="shared" si="16"/>
        <v>7.5679722977418633</v>
      </c>
      <c r="AE46" s="545">
        <f t="shared" si="145"/>
        <v>108.35134798850574</v>
      </c>
      <c r="AF46" s="528">
        <f t="shared" si="146"/>
        <v>3.9223046457131434</v>
      </c>
      <c r="AH46" s="173">
        <f t="shared" si="147"/>
        <v>5.4475857474839691</v>
      </c>
      <c r="AI46" s="173">
        <f t="shared" si="148"/>
        <v>10.020385041371538</v>
      </c>
      <c r="AJ46" s="173">
        <f t="shared" si="149"/>
        <v>1.2151000306455839</v>
      </c>
      <c r="AL46" s="545">
        <f t="shared" si="150"/>
        <v>4100</v>
      </c>
      <c r="AM46" s="460">
        <f t="shared" si="151"/>
        <v>101.34772005186115</v>
      </c>
      <c r="AO46">
        <f t="shared" si="96"/>
        <v>4100</v>
      </c>
      <c r="AP46" s="460">
        <f t="shared" si="24"/>
        <v>101.34772005186115</v>
      </c>
      <c r="AQ46" s="460"/>
      <c r="AR46" s="5">
        <f t="shared" si="97"/>
        <v>9.8670201903731538</v>
      </c>
      <c r="AS46" s="5">
        <f t="shared" si="25"/>
        <v>2.0836205497924785</v>
      </c>
      <c r="AT46" s="5">
        <f t="shared" si="98"/>
        <v>7.7833996405806758</v>
      </c>
      <c r="AU46" s="173">
        <f t="shared" si="99"/>
        <v>0.21117019217467309</v>
      </c>
      <c r="AW46" s="5">
        <f t="shared" si="152"/>
        <v>56.952295027661073</v>
      </c>
      <c r="AX46" s="5">
        <f t="shared" si="153"/>
        <v>2.6696388294216127</v>
      </c>
      <c r="AY46" s="5">
        <f t="shared" si="28"/>
        <v>2.8602198996118706</v>
      </c>
      <c r="AZ46" s="5"/>
      <c r="BA46" s="173">
        <f t="shared" si="100"/>
        <v>2.6585209692170539</v>
      </c>
      <c r="BB46" s="173">
        <f t="shared" si="154"/>
        <v>5.1382524638260083</v>
      </c>
      <c r="BC46" s="173">
        <f t="shared" si="155"/>
        <v>0.12654206067775425</v>
      </c>
      <c r="BD46" s="173"/>
      <c r="BE46" s="528">
        <f t="shared" si="31"/>
        <v>0.14135467487533568</v>
      </c>
      <c r="BF46" s="528">
        <f t="shared" si="156"/>
        <v>1.4007975424319528</v>
      </c>
      <c r="BG46" s="528">
        <f t="shared" si="157"/>
        <v>0.14621805943782679</v>
      </c>
      <c r="BH46" s="528">
        <f t="shared" si="34"/>
        <v>5.4848580846409783E-2</v>
      </c>
      <c r="BI46">
        <f t="shared" si="35"/>
        <v>2.5969257804063936E-2</v>
      </c>
      <c r="BJ46" s="460">
        <f t="shared" si="101"/>
        <v>172.18731724189072</v>
      </c>
      <c r="BK46">
        <f t="shared" si="158"/>
        <v>1.6919936400760993</v>
      </c>
      <c r="BL46" s="460">
        <f t="shared" si="102"/>
        <v>1691.9936400760994</v>
      </c>
      <c r="BM46" s="173">
        <f t="shared" si="159"/>
        <v>2.5471249999999994</v>
      </c>
      <c r="BN46" s="173">
        <f t="shared" si="160"/>
        <v>4.5484374999999994E-2</v>
      </c>
      <c r="BO46" s="528"/>
      <c r="BQ46" s="460">
        <f t="shared" si="103"/>
        <v>2592.6093749999995</v>
      </c>
      <c r="BR46" s="528">
        <f t="shared" si="39"/>
        <v>0.2120320123130035</v>
      </c>
      <c r="BS46" s="528">
        <f t="shared" si="104"/>
        <v>0.79204915146042132</v>
      </c>
      <c r="BT46" s="528">
        <f t="shared" si="161"/>
        <v>8.0064465602862185E-5</v>
      </c>
      <c r="BU46" s="528">
        <f t="shared" si="41"/>
        <v>1.6432967149166706</v>
      </c>
      <c r="BV46" s="528">
        <f t="shared" si="162"/>
        <v>3.1407632527741618</v>
      </c>
      <c r="BW46" s="625">
        <f t="shared" si="163"/>
        <v>1.01761336695456E-2</v>
      </c>
      <c r="BX46" s="460">
        <f t="shared" si="105"/>
        <v>3150.9393864437075</v>
      </c>
      <c r="BY46" s="173">
        <f t="shared" si="106"/>
        <v>7.4355424015198048</v>
      </c>
      <c r="BZ46" s="5">
        <f t="shared" si="107"/>
        <v>62.319999999999993</v>
      </c>
      <c r="CA46" s="173">
        <f t="shared" si="108"/>
        <v>0.89340571163908244</v>
      </c>
      <c r="CB46" s="5">
        <f t="shared" si="109"/>
        <v>89.340571163908251</v>
      </c>
      <c r="CC46">
        <f t="shared" si="173"/>
        <v>41</v>
      </c>
      <c r="CE46" s="562">
        <f t="shared" si="164"/>
        <v>-50</v>
      </c>
      <c r="CF46">
        <f t="shared" si="165"/>
        <v>-50</v>
      </c>
      <c r="CG46" s="173">
        <f t="shared" si="166"/>
        <v>0.78697421981004068</v>
      </c>
      <c r="CH46" s="173">
        <f t="shared" si="167"/>
        <v>9.2345221451934009E-2</v>
      </c>
      <c r="CI46" s="170">
        <v>41</v>
      </c>
      <c r="CJ46" s="217">
        <f t="shared" si="133"/>
        <v>4.0999999999999996</v>
      </c>
      <c r="CK46" s="217">
        <f t="shared" si="111"/>
        <v>0.10249999999999999</v>
      </c>
      <c r="CL46" s="217">
        <f t="shared" si="48"/>
        <v>61.499999999999993</v>
      </c>
      <c r="CM46" s="217">
        <f t="shared" si="134"/>
        <v>0.82</v>
      </c>
      <c r="CN46" s="541">
        <f t="shared" si="112"/>
        <v>58</v>
      </c>
      <c r="CO46" s="443">
        <f t="shared" si="168"/>
        <v>15.7</v>
      </c>
      <c r="CP46" s="443">
        <f t="shared" si="169"/>
        <v>73.7</v>
      </c>
      <c r="CQ46" s="443"/>
      <c r="CR46" s="217">
        <f t="shared" si="113"/>
        <v>0.2098092643051771</v>
      </c>
      <c r="CS46" s="172">
        <f t="shared" si="114"/>
        <v>300.22049333142121</v>
      </c>
      <c r="CT46" s="172">
        <f t="shared" si="51"/>
        <v>4.0563124432334243</v>
      </c>
      <c r="CU46" s="217">
        <f t="shared" si="52"/>
        <v>20.014699555428081</v>
      </c>
      <c r="CV46" s="217">
        <f t="shared" si="53"/>
        <v>37.527561666427651</v>
      </c>
      <c r="CW46" s="443">
        <f t="shared" si="54"/>
        <v>15</v>
      </c>
      <c r="CX46" s="217">
        <f t="shared" si="55"/>
        <v>10.242472010747871</v>
      </c>
      <c r="CY46" s="217">
        <f t="shared" si="56"/>
        <v>2.1191321401547318</v>
      </c>
      <c r="CZ46" s="217">
        <f t="shared" si="57"/>
        <v>7.828641027323215</v>
      </c>
      <c r="DA46" s="197">
        <f t="shared" si="58"/>
        <v>102.962460425147</v>
      </c>
      <c r="DB46" s="443">
        <f t="shared" si="115"/>
        <v>100.52501028765711</v>
      </c>
      <c r="DD46" s="217">
        <f t="shared" si="59"/>
        <v>10</v>
      </c>
      <c r="DE46" s="173">
        <f t="shared" si="60"/>
        <v>7.6433121019108281</v>
      </c>
      <c r="DF46" s="173">
        <f t="shared" si="61"/>
        <v>3.9348710990502043</v>
      </c>
      <c r="DG46" s="173"/>
      <c r="DH46" s="173">
        <f t="shared" si="62"/>
        <v>7.6433121019108281</v>
      </c>
      <c r="DI46" s="545">
        <f t="shared" si="63"/>
        <v>107.28333333333333</v>
      </c>
      <c r="DJ46" s="528">
        <f t="shared" si="64"/>
        <v>3.9348710990502034</v>
      </c>
      <c r="DL46" s="173">
        <f t="shared" si="65"/>
        <v>5.4475857474839691</v>
      </c>
      <c r="DM46" s="173">
        <f t="shared" si="66"/>
        <v>10.242472010747871</v>
      </c>
      <c r="DN46" s="173">
        <f t="shared" si="67"/>
        <v>1.3796088968502751</v>
      </c>
      <c r="DP46" s="545">
        <f t="shared" si="68"/>
        <v>4100</v>
      </c>
      <c r="DQ46" s="460">
        <f t="shared" si="69"/>
        <v>100.52501028765711</v>
      </c>
      <c r="DS46">
        <f t="shared" si="116"/>
        <v>4100</v>
      </c>
      <c r="DT46" s="460">
        <f t="shared" si="70"/>
        <v>100.52501028765711</v>
      </c>
      <c r="DU46" s="460"/>
      <c r="DV46" s="5">
        <f t="shared" si="117"/>
        <v>9.9477731674779459</v>
      </c>
      <c r="DW46" s="5">
        <f t="shared" si="71"/>
        <v>2.1191321401547318</v>
      </c>
      <c r="DX46" s="5">
        <f t="shared" si="118"/>
        <v>7.8286410273232141</v>
      </c>
      <c r="DY46" s="173">
        <f t="shared" si="119"/>
        <v>0.21302578018995927</v>
      </c>
      <c r="EA46" s="5">
        <f t="shared" si="72"/>
        <v>57.922945164229333</v>
      </c>
      <c r="EB46" s="5">
        <f t="shared" si="73"/>
        <v>2.71513805457325</v>
      </c>
      <c r="EC46" s="5">
        <f t="shared" si="74"/>
        <v>2.8624341449487374</v>
      </c>
      <c r="ED46" s="5"/>
      <c r="EE46" s="173">
        <f t="shared" si="120"/>
        <v>2.7293563441432687</v>
      </c>
      <c r="EF46" s="173">
        <f t="shared" si="75"/>
        <v>5.245953193685212</v>
      </c>
      <c r="EG46" s="173">
        <f t="shared" si="76"/>
        <v>0.12919445512291425</v>
      </c>
      <c r="EH46" s="173"/>
      <c r="EI46" s="528">
        <f t="shared" si="77"/>
        <v>0.14898772106630218</v>
      </c>
      <c r="EJ46" s="528">
        <f t="shared" si="78"/>
        <v>1.5176666666666665</v>
      </c>
      <c r="EK46" s="528">
        <f t="shared" si="79"/>
        <v>1.2565626285957138E-2</v>
      </c>
      <c r="EL46" s="528">
        <f t="shared" si="80"/>
        <v>5.460206931293643E-2</v>
      </c>
      <c r="EM46">
        <f t="shared" si="81"/>
        <v>2.6099999999999998E-2</v>
      </c>
      <c r="EN46" s="460">
        <f t="shared" si="121"/>
        <v>38.665626285957131</v>
      </c>
      <c r="EO46">
        <f t="shared" si="82"/>
        <v>1.8662116963534374</v>
      </c>
      <c r="EP46" s="460">
        <f t="shared" si="122"/>
        <v>1866.2116963534374</v>
      </c>
      <c r="EQ46" s="173">
        <f t="shared" si="83"/>
        <v>2.5471249999999994</v>
      </c>
      <c r="ER46" s="173">
        <f t="shared" si="170"/>
        <v>4.5484374999999994E-2</v>
      </c>
      <c r="ES46" s="528"/>
      <c r="EU46" s="460">
        <f t="shared" si="123"/>
        <v>2592.6093749999995</v>
      </c>
      <c r="EV46" s="528">
        <f t="shared" si="85"/>
        <v>0.22348158159945325</v>
      </c>
      <c r="EW46" s="528">
        <f t="shared" si="124"/>
        <v>0.82560074731008226</v>
      </c>
      <c r="EX46" s="528">
        <f t="shared" si="86"/>
        <v>8.3456036172533524E-5</v>
      </c>
      <c r="EY46" s="528">
        <f t="shared" si="87"/>
        <v>1.7008549743586492</v>
      </c>
      <c r="EZ46" s="528">
        <f t="shared" si="88"/>
        <v>3.2768579250593644</v>
      </c>
      <c r="FA46" s="625">
        <f t="shared" si="89"/>
        <v>1.0545901190623033E-2</v>
      </c>
      <c r="FB46" s="460">
        <f t="shared" si="125"/>
        <v>3287.4038262499876</v>
      </c>
      <c r="FC46" s="173">
        <f t="shared" si="126"/>
        <v>7.7462248976034243</v>
      </c>
      <c r="FD46" s="5">
        <f t="shared" si="127"/>
        <v>62.319999999999993</v>
      </c>
      <c r="FE46" s="173">
        <f t="shared" si="128"/>
        <v>0.88944423780610471</v>
      </c>
      <c r="FF46" s="5">
        <f t="shared" si="129"/>
        <v>88.944423780610464</v>
      </c>
      <c r="FG46">
        <f t="shared" si="130"/>
        <v>41</v>
      </c>
      <c r="FI46" s="562">
        <f t="shared" si="90"/>
        <v>-50</v>
      </c>
      <c r="FJ46">
        <f t="shared" si="91"/>
        <v>-50</v>
      </c>
      <c r="FL46">
        <f t="shared" si="92"/>
        <v>0.78697421981004068</v>
      </c>
    </row>
    <row r="47" spans="5:168">
      <c r="E47" s="170">
        <v>42</v>
      </c>
      <c r="F47" s="217">
        <f t="shared" si="174"/>
        <v>4.2</v>
      </c>
      <c r="G47" s="217">
        <f t="shared" si="171"/>
        <v>0.105</v>
      </c>
      <c r="H47" s="217">
        <f t="shared" si="135"/>
        <v>63</v>
      </c>
      <c r="I47" s="217">
        <f t="shared" si="175"/>
        <v>0.84</v>
      </c>
      <c r="J47" s="541">
        <f t="shared" si="136"/>
        <v>57.70237548892603</v>
      </c>
      <c r="K47" s="443">
        <f t="shared" si="137"/>
        <v>15.860106896551724</v>
      </c>
      <c r="L47" s="172">
        <f t="shared" si="138"/>
        <v>73.56248238547775</v>
      </c>
      <c r="M47" s="443"/>
      <c r="N47" s="217">
        <f t="shared" si="139"/>
        <v>0.21560048522346667</v>
      </c>
      <c r="O47" s="172">
        <f t="shared" si="172"/>
        <v>306.92418142991255</v>
      </c>
      <c r="P47" s="172">
        <f t="shared" si="140"/>
        <v>4.1468867179863746</v>
      </c>
      <c r="Q47" s="217">
        <f t="shared" si="6"/>
        <v>20.461612095327503</v>
      </c>
      <c r="R47" s="217">
        <f t="shared" si="141"/>
        <v>38.365522678739069</v>
      </c>
      <c r="S47" s="443">
        <f t="shared" si="142"/>
        <v>15</v>
      </c>
      <c r="T47" s="217">
        <f t="shared" si="143"/>
        <v>10.263120961419967</v>
      </c>
      <c r="U47" s="217">
        <f t="shared" si="10"/>
        <v>2.1343566966437177</v>
      </c>
      <c r="V47" s="217">
        <f t="shared" si="11"/>
        <v>7.7652346444030753</v>
      </c>
      <c r="W47" s="197">
        <f t="shared" si="12"/>
        <v>103.67216794965934</v>
      </c>
      <c r="X47" s="443">
        <f t="shared" si="95"/>
        <v>99.013907219770033</v>
      </c>
      <c r="Z47" s="217">
        <f t="shared" si="13"/>
        <v>10</v>
      </c>
      <c r="AA47" s="173">
        <f t="shared" si="14"/>
        <v>7.5661532915701972</v>
      </c>
      <c r="AB47" s="173">
        <f t="shared" si="144"/>
        <v>3.9219975738826665</v>
      </c>
      <c r="AC47" s="173"/>
      <c r="AD47" s="173">
        <f t="shared" si="16"/>
        <v>7.5661532915701972</v>
      </c>
      <c r="AE47" s="545">
        <f t="shared" si="145"/>
        <v>111.02074827586206</v>
      </c>
      <c r="AF47" s="528">
        <f t="shared" si="146"/>
        <v>3.921997573882666</v>
      </c>
      <c r="AH47" s="173">
        <f t="shared" si="147"/>
        <v>5.5136195008360884</v>
      </c>
      <c r="AI47" s="173">
        <f t="shared" si="148"/>
        <v>10.263120961419967</v>
      </c>
      <c r="AJ47" s="173">
        <f t="shared" si="149"/>
        <v>1.3949044158666419</v>
      </c>
      <c r="AL47" s="545">
        <f t="shared" si="150"/>
        <v>4200</v>
      </c>
      <c r="AM47" s="460">
        <f t="shared" si="151"/>
        <v>99.013907219770033</v>
      </c>
      <c r="AO47">
        <f t="shared" si="96"/>
        <v>4200</v>
      </c>
      <c r="AP47" s="460">
        <f t="shared" si="24"/>
        <v>99.013907219770033</v>
      </c>
      <c r="AQ47" s="460"/>
      <c r="AR47" s="5">
        <f t="shared" si="97"/>
        <v>10.099591341046793</v>
      </c>
      <c r="AS47" s="5">
        <f t="shared" si="25"/>
        <v>2.1343566966437177</v>
      </c>
      <c r="AT47" s="5">
        <f t="shared" si="98"/>
        <v>7.9652346444030755</v>
      </c>
      <c r="AU47" s="173">
        <f t="shared" si="99"/>
        <v>0.21133099593537594</v>
      </c>
      <c r="AW47" s="5">
        <f t="shared" si="152"/>
        <v>59.761987506024091</v>
      </c>
      <c r="AX47" s="5">
        <f t="shared" si="153"/>
        <v>2.8013431643448796</v>
      </c>
      <c r="AY47" s="5">
        <f t="shared" si="28"/>
        <v>2.9987995225824875</v>
      </c>
      <c r="AZ47" s="5"/>
      <c r="BA47" s="173">
        <f t="shared" si="100"/>
        <v>2.7239580817221767</v>
      </c>
      <c r="BB47" s="173">
        <f t="shared" si="154"/>
        <v>5.2621861418932223</v>
      </c>
      <c r="BC47" s="173">
        <f t="shared" si="155"/>
        <v>0.12959423125917427</v>
      </c>
      <c r="BD47" s="173"/>
      <c r="BE47" s="528">
        <f t="shared" si="31"/>
        <v>0.14839895261959121</v>
      </c>
      <c r="BF47" s="528">
        <f t="shared" si="156"/>
        <v>1.4016297097761437</v>
      </c>
      <c r="BG47" s="528">
        <f t="shared" si="157"/>
        <v>0.14283344132552137</v>
      </c>
      <c r="BH47" s="528">
        <f t="shared" si="34"/>
        <v>5.3580770072552707E-2</v>
      </c>
      <c r="BI47">
        <f t="shared" si="35"/>
        <v>2.5966068970016715E-2</v>
      </c>
      <c r="BJ47" s="460">
        <f t="shared" si="101"/>
        <v>168.79951029553808</v>
      </c>
      <c r="BK47">
        <f t="shared" si="158"/>
        <v>1.7037507028672796</v>
      </c>
      <c r="BL47" s="460">
        <f t="shared" si="102"/>
        <v>1703.7507028672796</v>
      </c>
      <c r="BM47" s="173">
        <f t="shared" si="159"/>
        <v>2.6092499999999998</v>
      </c>
      <c r="BN47" s="173">
        <f t="shared" si="160"/>
        <v>4.6593749999999996E-2</v>
      </c>
      <c r="BO47" s="528"/>
      <c r="BQ47" s="460">
        <f t="shared" si="103"/>
        <v>2655.84375</v>
      </c>
      <c r="BR47" s="528">
        <f t="shared" si="39"/>
        <v>0.2225984289293868</v>
      </c>
      <c r="BS47" s="528">
        <f t="shared" si="104"/>
        <v>0.83071808975799222</v>
      </c>
      <c r="BT47" s="528">
        <f t="shared" si="161"/>
        <v>8.3973323878281715E-5</v>
      </c>
      <c r="BU47" s="528">
        <f t="shared" si="41"/>
        <v>1.6459215061344132</v>
      </c>
      <c r="BV47" s="528">
        <f t="shared" si="162"/>
        <v>3.2238156342501911</v>
      </c>
      <c r="BW47" s="625">
        <f t="shared" si="163"/>
        <v>1.0429298405436332E-2</v>
      </c>
      <c r="BX47" s="460">
        <f t="shared" si="105"/>
        <v>3234.2449326556275</v>
      </c>
      <c r="BY47" s="173">
        <f t="shared" si="106"/>
        <v>7.5938393855229078</v>
      </c>
      <c r="BZ47" s="5">
        <f t="shared" si="107"/>
        <v>63.84</v>
      </c>
      <c r="CA47" s="173">
        <f t="shared" si="108"/>
        <v>0.89369408881217283</v>
      </c>
      <c r="CB47" s="5">
        <f t="shared" si="109"/>
        <v>89.369408881217282</v>
      </c>
      <c r="CC47">
        <f t="shared" si="173"/>
        <v>42.000000000000007</v>
      </c>
      <c r="CE47" s="562">
        <f t="shared" si="164"/>
        <v>-50</v>
      </c>
      <c r="CF47">
        <f t="shared" si="165"/>
        <v>-50</v>
      </c>
      <c r="CG47" s="173">
        <f t="shared" si="166"/>
        <v>0.78697421981004079</v>
      </c>
      <c r="CH47" s="173">
        <f t="shared" si="167"/>
        <v>9.2345221451934009E-2</v>
      </c>
      <c r="CI47" s="170">
        <v>42</v>
      </c>
      <c r="CJ47" s="217">
        <f t="shared" si="133"/>
        <v>4.2</v>
      </c>
      <c r="CK47" s="217">
        <f t="shared" si="111"/>
        <v>0.105</v>
      </c>
      <c r="CL47" s="217">
        <f t="shared" si="48"/>
        <v>63</v>
      </c>
      <c r="CM47" s="217">
        <f t="shared" si="134"/>
        <v>0.84</v>
      </c>
      <c r="CN47" s="541">
        <f t="shared" si="112"/>
        <v>58</v>
      </c>
      <c r="CO47" s="443">
        <f t="shared" si="168"/>
        <v>15.7</v>
      </c>
      <c r="CP47" s="443">
        <f t="shared" si="169"/>
        <v>73.7</v>
      </c>
      <c r="CQ47" s="443"/>
      <c r="CR47" s="217">
        <f t="shared" si="113"/>
        <v>0.2098092643051771</v>
      </c>
      <c r="CS47" s="172">
        <f t="shared" si="114"/>
        <v>300.22049333142121</v>
      </c>
      <c r="CT47" s="172">
        <f t="shared" si="51"/>
        <v>4.0563124432334243</v>
      </c>
      <c r="CU47" s="217">
        <f t="shared" si="52"/>
        <v>20.014699555428081</v>
      </c>
      <c r="CV47" s="217">
        <f t="shared" si="53"/>
        <v>37.527561666427651</v>
      </c>
      <c r="CW47" s="443">
        <f t="shared" si="54"/>
        <v>15</v>
      </c>
      <c r="CX47" s="217">
        <f t="shared" si="55"/>
        <v>10.492288401253919</v>
      </c>
      <c r="CY47" s="217">
        <f t="shared" si="56"/>
        <v>2.170818289914604</v>
      </c>
      <c r="CZ47" s="217">
        <f t="shared" si="57"/>
        <v>8.019583491404271</v>
      </c>
      <c r="DA47" s="197">
        <f t="shared" si="58"/>
        <v>102.962460425147</v>
      </c>
      <c r="DB47" s="443">
        <f t="shared" si="115"/>
        <v>98.131557661760482</v>
      </c>
      <c r="DD47" s="217">
        <f t="shared" si="59"/>
        <v>10</v>
      </c>
      <c r="DE47" s="173">
        <f t="shared" si="60"/>
        <v>7.6433121019108281</v>
      </c>
      <c r="DF47" s="173">
        <f t="shared" si="61"/>
        <v>3.9348710990502043</v>
      </c>
      <c r="DG47" s="173"/>
      <c r="DH47" s="173">
        <f t="shared" si="62"/>
        <v>7.6433121019108281</v>
      </c>
      <c r="DI47" s="545">
        <f t="shared" si="63"/>
        <v>109.90000000000002</v>
      </c>
      <c r="DJ47" s="528">
        <f t="shared" si="64"/>
        <v>3.9348710990502034</v>
      </c>
      <c r="DL47" s="173">
        <f t="shared" si="65"/>
        <v>5.5136195008360884</v>
      </c>
      <c r="DM47" s="173">
        <f t="shared" si="66"/>
        <v>10.492288401253919</v>
      </c>
      <c r="DN47" s="173">
        <f t="shared" si="67"/>
        <v>1.5646580750029031</v>
      </c>
      <c r="DP47" s="545">
        <f t="shared" si="68"/>
        <v>4200</v>
      </c>
      <c r="DQ47" s="460">
        <f t="shared" si="69"/>
        <v>98.131557661760482</v>
      </c>
      <c r="DS47">
        <f t="shared" si="116"/>
        <v>4200</v>
      </c>
      <c r="DT47" s="460">
        <f t="shared" si="70"/>
        <v>98.131557661760482</v>
      </c>
      <c r="DU47" s="460"/>
      <c r="DV47" s="5">
        <f t="shared" si="117"/>
        <v>10.190401781318876</v>
      </c>
      <c r="DW47" s="5">
        <f t="shared" si="71"/>
        <v>2.170818289914604</v>
      </c>
      <c r="DX47" s="5">
        <f t="shared" si="118"/>
        <v>8.0195834914042727</v>
      </c>
      <c r="DY47" s="173">
        <f t="shared" si="119"/>
        <v>0.21302578018995924</v>
      </c>
      <c r="EA47" s="5">
        <f t="shared" si="72"/>
        <v>60.782912117608916</v>
      </c>
      <c r="EB47" s="5">
        <f t="shared" si="73"/>
        <v>2.8491990055129177</v>
      </c>
      <c r="EC47" s="5">
        <f t="shared" si="74"/>
        <v>3.0037678951157503</v>
      </c>
      <c r="ED47" s="5"/>
      <c r="EE47" s="173">
        <f t="shared" si="120"/>
        <v>2.7959260110735924</v>
      </c>
      <c r="EF47" s="173">
        <f t="shared" si="75"/>
        <v>5.3739032715799739</v>
      </c>
      <c r="EG47" s="173">
        <f t="shared" si="76"/>
        <v>0.13234553939420488</v>
      </c>
      <c r="EH47" s="173"/>
      <c r="EI47" s="528">
        <f t="shared" si="77"/>
        <v>0.1563440451879578</v>
      </c>
      <c r="EJ47" s="528">
        <f t="shared" si="78"/>
        <v>1.5176666666666665</v>
      </c>
      <c r="EK47" s="528">
        <f t="shared" si="79"/>
        <v>1.2266444707720059E-2</v>
      </c>
      <c r="EL47" s="528">
        <f t="shared" si="80"/>
        <v>5.3302020043580783E-2</v>
      </c>
      <c r="EM47">
        <f t="shared" si="81"/>
        <v>2.6099999999999998E-2</v>
      </c>
      <c r="EN47" s="460">
        <f t="shared" si="121"/>
        <v>38.366444707720056</v>
      </c>
      <c r="EO47">
        <f t="shared" si="82"/>
        <v>1.8776414643248502</v>
      </c>
      <c r="EP47" s="460">
        <f t="shared" si="122"/>
        <v>1877.6414643248502</v>
      </c>
      <c r="EQ47" s="173">
        <f t="shared" si="83"/>
        <v>2.6092499999999998</v>
      </c>
      <c r="ER47" s="173">
        <f t="shared" si="170"/>
        <v>4.6593749999999996E-2</v>
      </c>
      <c r="ES47" s="528"/>
      <c r="EU47" s="460">
        <f t="shared" si="123"/>
        <v>2655.84375</v>
      </c>
      <c r="EV47" s="528">
        <f t="shared" si="85"/>
        <v>0.23451606778193668</v>
      </c>
      <c r="EW47" s="528">
        <f t="shared" si="124"/>
        <v>0.86636509116893834</v>
      </c>
      <c r="EX47" s="528">
        <f t="shared" si="86"/>
        <v>8.7576708987715179E-5</v>
      </c>
      <c r="EY47" s="528">
        <f t="shared" si="87"/>
        <v>1.7008549743586521</v>
      </c>
      <c r="EZ47" s="528">
        <f t="shared" si="88"/>
        <v>3.3621894434228139</v>
      </c>
      <c r="FA47" s="625">
        <f t="shared" si="89"/>
        <v>1.0803118292833353E-2</v>
      </c>
      <c r="FB47" s="460">
        <f t="shared" si="125"/>
        <v>3372.9925617156473</v>
      </c>
      <c r="FC47" s="173">
        <f t="shared" si="126"/>
        <v>7.9064777760404983</v>
      </c>
      <c r="FD47" s="5">
        <f t="shared" si="127"/>
        <v>63.84</v>
      </c>
      <c r="FE47" s="173">
        <f t="shared" si="128"/>
        <v>0.88979977803620003</v>
      </c>
      <c r="FF47" s="5">
        <f t="shared" si="129"/>
        <v>88.979977803620002</v>
      </c>
      <c r="FG47">
        <f t="shared" si="130"/>
        <v>42.000000000000007</v>
      </c>
      <c r="FI47" s="562">
        <f t="shared" si="90"/>
        <v>-50</v>
      </c>
      <c r="FJ47">
        <f t="shared" si="91"/>
        <v>-50</v>
      </c>
      <c r="FL47">
        <f t="shared" si="92"/>
        <v>0.78697421981004079</v>
      </c>
    </row>
    <row r="48" spans="5:168">
      <c r="E48" s="170">
        <v>43</v>
      </c>
      <c r="F48" s="217">
        <f t="shared" si="174"/>
        <v>4.3</v>
      </c>
      <c r="G48" s="217">
        <f t="shared" si="171"/>
        <v>0.1075</v>
      </c>
      <c r="H48" s="217">
        <f t="shared" si="135"/>
        <v>64.5</v>
      </c>
      <c r="I48" s="217">
        <f t="shared" si="175"/>
        <v>0.86</v>
      </c>
      <c r="J48" s="541">
        <f t="shared" si="136"/>
        <v>57.695289191043315</v>
      </c>
      <c r="K48" s="443">
        <f t="shared" si="137"/>
        <v>15.863918965517241</v>
      </c>
      <c r="L48" s="172">
        <f t="shared" si="138"/>
        <v>73.559208156560558</v>
      </c>
      <c r="M48" s="443"/>
      <c r="N48" s="217">
        <f t="shared" si="139"/>
        <v>0.21566190505685015</v>
      </c>
      <c r="O48" s="172">
        <f t="shared" si="172"/>
        <v>306.97391397400401</v>
      </c>
      <c r="P48" s="172">
        <f t="shared" si="140"/>
        <v>4.1475586599154317</v>
      </c>
      <c r="Q48" s="217">
        <f t="shared" si="6"/>
        <v>20.464927598266932</v>
      </c>
      <c r="R48" s="217">
        <f t="shared" si="141"/>
        <v>38.371739246750501</v>
      </c>
      <c r="S48" s="443">
        <f t="shared" si="142"/>
        <v>15</v>
      </c>
      <c r="T48" s="217">
        <f t="shared" si="143"/>
        <v>10.505778677575542</v>
      </c>
      <c r="U48" s="217">
        <f t="shared" si="10"/>
        <v>2.1850890410386863</v>
      </c>
      <c r="V48" s="217">
        <f t="shared" si="11"/>
        <v>7.9469231029822023</v>
      </c>
      <c r="W48" s="197">
        <f t="shared" si="12"/>
        <v>103.68896649788581</v>
      </c>
      <c r="X48" s="443">
        <f t="shared" si="95"/>
        <v>96.786568391588432</v>
      </c>
      <c r="Z48" s="217">
        <f t="shared" si="13"/>
        <v>10</v>
      </c>
      <c r="AA48" s="173">
        <f t="shared" si="14"/>
        <v>7.5643351596058421</v>
      </c>
      <c r="AB48" s="173">
        <f t="shared" si="144"/>
        <v>3.9216904747157497</v>
      </c>
      <c r="AC48" s="173"/>
      <c r="AD48" s="173">
        <f t="shared" si="16"/>
        <v>7.5643351596058421</v>
      </c>
      <c r="AE48" s="545">
        <f t="shared" si="145"/>
        <v>113.69141925287356</v>
      </c>
      <c r="AF48" s="528">
        <f t="shared" si="146"/>
        <v>3.9216904747157497</v>
      </c>
      <c r="AH48" s="173">
        <f t="shared" si="147"/>
        <v>5.5788717070577567</v>
      </c>
      <c r="AI48" s="173">
        <f t="shared" si="148"/>
        <v>10.505778677575542</v>
      </c>
      <c r="AJ48" s="173">
        <f t="shared" si="149"/>
        <v>1.5746508722781791</v>
      </c>
      <c r="AL48" s="545">
        <f t="shared" si="150"/>
        <v>4300</v>
      </c>
      <c r="AM48" s="460">
        <f t="shared" si="151"/>
        <v>96.786568391588432</v>
      </c>
      <c r="AO48">
        <f t="shared" si="96"/>
        <v>4300</v>
      </c>
      <c r="AP48" s="460">
        <f t="shared" si="24"/>
        <v>96.786568391588432</v>
      </c>
      <c r="AQ48" s="460"/>
      <c r="AR48" s="5">
        <f t="shared" si="97"/>
        <v>10.332012144020888</v>
      </c>
      <c r="AS48" s="5">
        <f t="shared" si="25"/>
        <v>2.1850890410386863</v>
      </c>
      <c r="AT48" s="5">
        <f t="shared" si="98"/>
        <v>8.1469231029822016</v>
      </c>
      <c r="AU48" s="173">
        <f t="shared" si="99"/>
        <v>0.21148726991220121</v>
      </c>
      <c r="AW48" s="5">
        <f t="shared" si="152"/>
        <v>62.639219176442346</v>
      </c>
      <c r="AX48" s="5">
        <f t="shared" si="153"/>
        <v>2.9362133988957346</v>
      </c>
      <c r="AY48" s="5">
        <f t="shared" si="28"/>
        <v>3.1406170154662836</v>
      </c>
      <c r="AZ48" s="5"/>
      <c r="BA48" s="173">
        <f t="shared" si="100"/>
        <v>2.7893931850055393</v>
      </c>
      <c r="BB48" s="173">
        <f t="shared" si="154"/>
        <v>5.3860697668626258</v>
      </c>
      <c r="BC48" s="173">
        <f t="shared" si="155"/>
        <v>0.13264516916038152</v>
      </c>
      <c r="BD48" s="173"/>
      <c r="BE48" s="528">
        <f t="shared" si="31"/>
        <v>0.15561428681110695</v>
      </c>
      <c r="BF48" s="528">
        <f t="shared" si="156"/>
        <v>1.4024314972817584</v>
      </c>
      <c r="BG48" s="528">
        <f t="shared" si="157"/>
        <v>0.13960322632903466</v>
      </c>
      <c r="BH48" s="528">
        <f t="shared" si="34"/>
        <v>5.2370796987027492E-2</v>
      </c>
      <c r="BI48">
        <f t="shared" si="35"/>
        <v>2.596288013596949E-2</v>
      </c>
      <c r="BJ48" s="460">
        <f t="shared" si="101"/>
        <v>165.56610646500414</v>
      </c>
      <c r="BK48">
        <f t="shared" si="158"/>
        <v>1.7158751274898612</v>
      </c>
      <c r="BL48" s="460">
        <f t="shared" si="102"/>
        <v>1715.8751274898611</v>
      </c>
      <c r="BM48" s="173">
        <f t="shared" si="159"/>
        <v>2.6713749999999998</v>
      </c>
      <c r="BN48" s="173">
        <f t="shared" si="160"/>
        <v>4.7703124999999999E-2</v>
      </c>
      <c r="BO48" s="528"/>
      <c r="BQ48" s="460">
        <f t="shared" si="103"/>
        <v>2719.078125</v>
      </c>
      <c r="BR48" s="528">
        <f t="shared" si="39"/>
        <v>0.2334214302166604</v>
      </c>
      <c r="BS48" s="528">
        <f t="shared" si="104"/>
        <v>0.87029242600534862</v>
      </c>
      <c r="BT48" s="528">
        <f t="shared" si="161"/>
        <v>8.7973704507931152E-5</v>
      </c>
      <c r="BU48" s="528">
        <f t="shared" si="41"/>
        <v>1.6484597703822743</v>
      </c>
      <c r="BV48" s="528">
        <f t="shared" si="162"/>
        <v>3.3094085352673583</v>
      </c>
      <c r="BW48" s="625">
        <f t="shared" si="163"/>
        <v>1.0682467662997529E-2</v>
      </c>
      <c r="BX48" s="460">
        <f t="shared" si="105"/>
        <v>3320.0910029303559</v>
      </c>
      <c r="BY48" s="173">
        <f t="shared" si="106"/>
        <v>7.7550442554202164</v>
      </c>
      <c r="BZ48" s="5">
        <f t="shared" si="107"/>
        <v>65.36</v>
      </c>
      <c r="CA48" s="173">
        <f t="shared" si="108"/>
        <v>0.8939336721410065</v>
      </c>
      <c r="CB48" s="5">
        <f t="shared" si="109"/>
        <v>89.39336721410065</v>
      </c>
      <c r="CC48">
        <f t="shared" si="173"/>
        <v>43</v>
      </c>
      <c r="CE48" s="562">
        <f t="shared" si="164"/>
        <v>-50</v>
      </c>
      <c r="CF48">
        <f t="shared" si="165"/>
        <v>-50</v>
      </c>
      <c r="CG48" s="173">
        <f t="shared" si="166"/>
        <v>0.78697421981004068</v>
      </c>
      <c r="CH48" s="173">
        <f t="shared" si="167"/>
        <v>9.2345221451934023E-2</v>
      </c>
      <c r="CI48" s="170">
        <v>43</v>
      </c>
      <c r="CJ48" s="217">
        <f t="shared" si="133"/>
        <v>4.3</v>
      </c>
      <c r="CK48" s="217">
        <f t="shared" si="111"/>
        <v>0.1075</v>
      </c>
      <c r="CL48" s="217">
        <f t="shared" si="48"/>
        <v>64.5</v>
      </c>
      <c r="CM48" s="217">
        <f t="shared" si="134"/>
        <v>0.86</v>
      </c>
      <c r="CN48" s="541">
        <f t="shared" si="112"/>
        <v>58</v>
      </c>
      <c r="CO48" s="443">
        <f t="shared" si="168"/>
        <v>15.7</v>
      </c>
      <c r="CP48" s="443">
        <f t="shared" si="169"/>
        <v>73.7</v>
      </c>
      <c r="CQ48" s="443"/>
      <c r="CR48" s="217">
        <f t="shared" si="113"/>
        <v>0.2098092643051771</v>
      </c>
      <c r="CS48" s="172">
        <f t="shared" si="114"/>
        <v>300.22049333142121</v>
      </c>
      <c r="CT48" s="172">
        <f t="shared" si="51"/>
        <v>4.0563124432334243</v>
      </c>
      <c r="CU48" s="217">
        <f t="shared" si="52"/>
        <v>20.014699555428081</v>
      </c>
      <c r="CV48" s="217">
        <f t="shared" si="53"/>
        <v>37.527561666427651</v>
      </c>
      <c r="CW48" s="443">
        <f t="shared" si="54"/>
        <v>15</v>
      </c>
      <c r="CX48" s="217">
        <f t="shared" si="55"/>
        <v>10.742104791759964</v>
      </c>
      <c r="CY48" s="217">
        <f t="shared" si="56"/>
        <v>2.2225044396744753</v>
      </c>
      <c r="CZ48" s="217">
        <f t="shared" si="57"/>
        <v>8.2105259554853234</v>
      </c>
      <c r="DA48" s="197">
        <f t="shared" si="58"/>
        <v>102.962460425147</v>
      </c>
      <c r="DB48" s="443">
        <f t="shared" si="115"/>
        <v>95.849428413812589</v>
      </c>
      <c r="DD48" s="217">
        <f t="shared" si="59"/>
        <v>10</v>
      </c>
      <c r="DE48" s="173">
        <f t="shared" si="60"/>
        <v>7.6433121019108281</v>
      </c>
      <c r="DF48" s="173">
        <f t="shared" si="61"/>
        <v>3.9348710990502043</v>
      </c>
      <c r="DG48" s="173"/>
      <c r="DH48" s="173">
        <f t="shared" si="62"/>
        <v>7.6433121019108281</v>
      </c>
      <c r="DI48" s="545">
        <f t="shared" si="63"/>
        <v>112.51666666666667</v>
      </c>
      <c r="DJ48" s="528">
        <f t="shared" si="64"/>
        <v>3.9348710990502034</v>
      </c>
      <c r="DL48" s="173">
        <f t="shared" si="65"/>
        <v>5.5788717070577567</v>
      </c>
      <c r="DM48" s="173">
        <f t="shared" si="66"/>
        <v>10.742104791759964</v>
      </c>
      <c r="DN48" s="173">
        <f t="shared" si="67"/>
        <v>1.7497072531555284</v>
      </c>
      <c r="DP48" s="545">
        <f t="shared" si="68"/>
        <v>4300</v>
      </c>
      <c r="DQ48" s="460">
        <f t="shared" si="69"/>
        <v>95.849428413812589</v>
      </c>
      <c r="DS48">
        <f t="shared" si="116"/>
        <v>4300</v>
      </c>
      <c r="DT48" s="460">
        <f t="shared" si="70"/>
        <v>95.849428413812589</v>
      </c>
      <c r="DU48" s="460"/>
      <c r="DV48" s="5">
        <f t="shared" si="117"/>
        <v>10.433030395159799</v>
      </c>
      <c r="DW48" s="5">
        <f t="shared" si="71"/>
        <v>2.2225044396744753</v>
      </c>
      <c r="DX48" s="5">
        <f t="shared" si="118"/>
        <v>8.2105259554853234</v>
      </c>
      <c r="DY48" s="173">
        <f t="shared" si="119"/>
        <v>0.2130257801899593</v>
      </c>
      <c r="EA48" s="5">
        <f t="shared" si="72"/>
        <v>63.711793937334946</v>
      </c>
      <c r="EB48" s="5">
        <f t="shared" si="73"/>
        <v>2.9864903408125762</v>
      </c>
      <c r="EC48" s="5">
        <f t="shared" si="74"/>
        <v>3.1485072778169041</v>
      </c>
      <c r="ED48" s="5"/>
      <c r="EE48" s="173">
        <f t="shared" si="120"/>
        <v>2.8624956780039161</v>
      </c>
      <c r="EF48" s="173">
        <f t="shared" si="75"/>
        <v>5.501853349474735</v>
      </c>
      <c r="EG48" s="173">
        <f t="shared" si="76"/>
        <v>0.13549662366549545</v>
      </c>
      <c r="EH48" s="173"/>
      <c r="EI48" s="528">
        <f t="shared" si="77"/>
        <v>0.16387763013182199</v>
      </c>
      <c r="EJ48" s="528">
        <f t="shared" si="78"/>
        <v>1.5176666666666665</v>
      </c>
      <c r="EK48" s="528">
        <f t="shared" si="79"/>
        <v>1.1981178551726573E-2</v>
      </c>
      <c r="EL48" s="528">
        <f t="shared" si="80"/>
        <v>5.2062438182102169E-2</v>
      </c>
      <c r="EM48">
        <f t="shared" si="81"/>
        <v>2.6099999999999998E-2</v>
      </c>
      <c r="EN48" s="460">
        <f t="shared" si="121"/>
        <v>38.081178551726573</v>
      </c>
      <c r="EO48">
        <f t="shared" si="82"/>
        <v>1.8895072306449372</v>
      </c>
      <c r="EP48" s="460">
        <f t="shared" si="122"/>
        <v>1889.5072306449372</v>
      </c>
      <c r="EQ48" s="173">
        <f t="shared" si="83"/>
        <v>2.6713749999999998</v>
      </c>
      <c r="ER48" s="173">
        <f t="shared" si="170"/>
        <v>4.7703124999999999E-2</v>
      </c>
      <c r="ES48" s="528"/>
      <c r="EU48" s="460">
        <f t="shared" si="123"/>
        <v>2719.078125</v>
      </c>
      <c r="EV48" s="528">
        <f t="shared" si="85"/>
        <v>0.24581644519773296</v>
      </c>
      <c r="EW48" s="528">
        <f t="shared" si="124"/>
        <v>0.90811170837379074</v>
      </c>
      <c r="EX48" s="528">
        <f t="shared" si="86"/>
        <v>9.1796675123744507E-5</v>
      </c>
      <c r="EY48" s="528">
        <f t="shared" si="87"/>
        <v>1.7008549743586536</v>
      </c>
      <c r="EZ48" s="528">
        <f t="shared" si="88"/>
        <v>3.450384738615615</v>
      </c>
      <c r="FA48" s="625">
        <f t="shared" si="89"/>
        <v>1.1060335395043672E-2</v>
      </c>
      <c r="FB48" s="460">
        <f t="shared" si="125"/>
        <v>3461.445074010659</v>
      </c>
      <c r="FC48" s="173">
        <f t="shared" si="126"/>
        <v>8.0700304296555956</v>
      </c>
      <c r="FD48" s="5">
        <f t="shared" si="127"/>
        <v>65.36</v>
      </c>
      <c r="FE48" s="173">
        <f t="shared" si="128"/>
        <v>0.8900990455480402</v>
      </c>
      <c r="FF48" s="5">
        <f t="shared" si="129"/>
        <v>89.009904554804024</v>
      </c>
      <c r="FG48">
        <f t="shared" si="130"/>
        <v>43</v>
      </c>
      <c r="FI48" s="562">
        <f t="shared" si="90"/>
        <v>-50</v>
      </c>
      <c r="FJ48">
        <f t="shared" si="91"/>
        <v>-50</v>
      </c>
      <c r="FL48">
        <f t="shared" si="92"/>
        <v>0.78697421981004068</v>
      </c>
    </row>
    <row r="49" spans="5:168">
      <c r="E49" s="170">
        <v>44</v>
      </c>
      <c r="F49" s="217">
        <f t="shared" si="174"/>
        <v>4.4000000000000004</v>
      </c>
      <c r="G49" s="217">
        <f t="shared" si="171"/>
        <v>0.11</v>
      </c>
      <c r="H49" s="217">
        <f t="shared" si="135"/>
        <v>66</v>
      </c>
      <c r="I49" s="217">
        <f t="shared" si="175"/>
        <v>0.88</v>
      </c>
      <c r="J49" s="541">
        <f t="shared" si="136"/>
        <v>57.6882028931606</v>
      </c>
      <c r="K49" s="443">
        <f t="shared" si="137"/>
        <v>15.867731034482757</v>
      </c>
      <c r="L49" s="172">
        <f t="shared" si="138"/>
        <v>73.555933927643352</v>
      </c>
      <c r="M49" s="443"/>
      <c r="N49" s="217">
        <f t="shared" si="139"/>
        <v>0.21572333035825192</v>
      </c>
      <c r="O49" s="172">
        <f t="shared" si="172"/>
        <v>307.02363282471578</v>
      </c>
      <c r="P49" s="172">
        <f t="shared" si="140"/>
        <v>4.1482304168317166</v>
      </c>
      <c r="Q49" s="217">
        <f t="shared" si="6"/>
        <v>20.468242188314385</v>
      </c>
      <c r="R49" s="217">
        <f t="shared" si="141"/>
        <v>38.377954103089472</v>
      </c>
      <c r="S49" s="443">
        <f t="shared" si="142"/>
        <v>15</v>
      </c>
      <c r="T49" s="217">
        <f t="shared" si="143"/>
        <v>10.748358260368891</v>
      </c>
      <c r="U49" s="217">
        <f t="shared" si="10"/>
        <v>2.2358175962475397</v>
      </c>
      <c r="V49" s="217">
        <f t="shared" si="11"/>
        <v>8.1284651752752062</v>
      </c>
      <c r="W49" s="197">
        <f t="shared" si="12"/>
        <v>103.7057604207929</v>
      </c>
      <c r="X49" s="443">
        <f t="shared" si="95"/>
        <v>94.658579444277706</v>
      </c>
      <c r="Z49" s="217">
        <f t="shared" si="13"/>
        <v>10</v>
      </c>
      <c r="AA49" s="173">
        <f t="shared" si="14"/>
        <v>7.5625179012187402</v>
      </c>
      <c r="AB49" s="173">
        <f t="shared" si="144"/>
        <v>3.921383348208741</v>
      </c>
      <c r="AC49" s="173"/>
      <c r="AD49" s="173">
        <f t="shared" si="16"/>
        <v>7.5625179012187402</v>
      </c>
      <c r="AE49" s="545">
        <f t="shared" si="145"/>
        <v>116.36336091954021</v>
      </c>
      <c r="AF49" s="528">
        <f t="shared" si="146"/>
        <v>3.921383348208741</v>
      </c>
      <c r="AH49" s="173">
        <f t="shared" si="147"/>
        <v>5.6433694764403866</v>
      </c>
      <c r="AI49" s="173">
        <f t="shared" si="148"/>
        <v>10.748358260368891</v>
      </c>
      <c r="AJ49" s="173">
        <f t="shared" si="149"/>
        <v>1.7543394521251039</v>
      </c>
      <c r="AL49" s="545">
        <f t="shared" si="150"/>
        <v>4400</v>
      </c>
      <c r="AM49" s="460">
        <f t="shared" si="151"/>
        <v>94.658579444277706</v>
      </c>
      <c r="AO49">
        <f t="shared" si="96"/>
        <v>4400</v>
      </c>
      <c r="AP49" s="460">
        <f t="shared" si="24"/>
        <v>94.658579444277706</v>
      </c>
      <c r="AQ49" s="460"/>
      <c r="AR49" s="5">
        <f t="shared" si="97"/>
        <v>10.564282771522745</v>
      </c>
      <c r="AS49" s="5">
        <f t="shared" si="25"/>
        <v>2.2358175962475397</v>
      </c>
      <c r="AT49" s="5">
        <f t="shared" si="98"/>
        <v>8.3284651752752055</v>
      </c>
      <c r="AU49" s="173">
        <f t="shared" si="99"/>
        <v>0.21163931755731175</v>
      </c>
      <c r="AW49" s="5">
        <f t="shared" si="152"/>
        <v>65.583982823261167</v>
      </c>
      <c r="AX49" s="5">
        <f t="shared" si="153"/>
        <v>3.074249194840367</v>
      </c>
      <c r="AY49" s="5">
        <f t="shared" si="28"/>
        <v>3.2856696923308535</v>
      </c>
      <c r="AZ49" s="5"/>
      <c r="BA49" s="173">
        <f t="shared" si="100"/>
        <v>2.8548262578520611</v>
      </c>
      <c r="BB49" s="173">
        <f t="shared" si="154"/>
        <v>5.5099033992038793</v>
      </c>
      <c r="BC49" s="173">
        <f t="shared" si="155"/>
        <v>0.13569487587058968</v>
      </c>
      <c r="BD49" s="173"/>
      <c r="BE49" s="528">
        <f t="shared" si="31"/>
        <v>0.16300065925043206</v>
      </c>
      <c r="BF49" s="528">
        <f t="shared" si="156"/>
        <v>1.4032049320024054</v>
      </c>
      <c r="BG49" s="528">
        <f t="shared" si="157"/>
        <v>0.13651708341399635</v>
      </c>
      <c r="BH49" s="528">
        <f t="shared" si="34"/>
        <v>5.1214791699370266E-2</v>
      </c>
      <c r="BI49">
        <f t="shared" si="35"/>
        <v>2.5959691301922268E-2</v>
      </c>
      <c r="BJ49" s="460">
        <f t="shared" si="101"/>
        <v>162.47677471591862</v>
      </c>
      <c r="BK49">
        <f t="shared" si="158"/>
        <v>1.7283684684174834</v>
      </c>
      <c r="BL49" s="460">
        <f t="shared" si="102"/>
        <v>1728.3684684174834</v>
      </c>
      <c r="BM49" s="173">
        <f t="shared" si="159"/>
        <v>2.7334999999999998</v>
      </c>
      <c r="BN49" s="173">
        <f t="shared" si="160"/>
        <v>4.8812499999999995E-2</v>
      </c>
      <c r="BO49" s="528"/>
      <c r="BQ49" s="460">
        <f t="shared" si="103"/>
        <v>2782.3124999999995</v>
      </c>
      <c r="BR49" s="528">
        <f t="shared" si="39"/>
        <v>0.24450098887564808</v>
      </c>
      <c r="BS49" s="528">
        <f t="shared" si="104"/>
        <v>0.9107710640567539</v>
      </c>
      <c r="BT49" s="528">
        <f t="shared" si="161"/>
        <v>9.2065496687673717E-5</v>
      </c>
      <c r="BU49" s="528">
        <f t="shared" si="41"/>
        <v>1.6509172118592426</v>
      </c>
      <c r="BV49" s="528">
        <f t="shared" si="162"/>
        <v>3.3976065328377989</v>
      </c>
      <c r="BW49" s="625">
        <f t="shared" si="163"/>
        <v>1.0935641140225553E-2</v>
      </c>
      <c r="BX49" s="460">
        <f t="shared" si="105"/>
        <v>3408.5421739780245</v>
      </c>
      <c r="BY49" s="173">
        <f t="shared" si="106"/>
        <v>7.9192231423955075</v>
      </c>
      <c r="BZ49" s="5">
        <f t="shared" si="107"/>
        <v>66.88</v>
      </c>
      <c r="CA49" s="173">
        <f t="shared" si="108"/>
        <v>0.89412693327951198</v>
      </c>
      <c r="CB49" s="5">
        <f t="shared" si="109"/>
        <v>89.412693327951203</v>
      </c>
      <c r="CC49">
        <f t="shared" si="173"/>
        <v>44.000000000000007</v>
      </c>
      <c r="CE49" s="562">
        <f t="shared" si="164"/>
        <v>-50</v>
      </c>
      <c r="CF49">
        <f t="shared" si="165"/>
        <v>-50</v>
      </c>
      <c r="CG49" s="173">
        <f t="shared" si="166"/>
        <v>0.78697421981004079</v>
      </c>
      <c r="CH49" s="173">
        <f t="shared" si="167"/>
        <v>9.2345221451934009E-2</v>
      </c>
      <c r="CI49" s="170">
        <v>44</v>
      </c>
      <c r="CJ49" s="217">
        <f t="shared" si="133"/>
        <v>4.4000000000000004</v>
      </c>
      <c r="CK49" s="217">
        <f t="shared" si="111"/>
        <v>0.11</v>
      </c>
      <c r="CL49" s="217">
        <f t="shared" si="48"/>
        <v>66</v>
      </c>
      <c r="CM49" s="217">
        <f t="shared" si="134"/>
        <v>0.88</v>
      </c>
      <c r="CN49" s="541">
        <f t="shared" si="112"/>
        <v>58</v>
      </c>
      <c r="CO49" s="443">
        <f t="shared" si="168"/>
        <v>15.7</v>
      </c>
      <c r="CP49" s="443">
        <f t="shared" si="169"/>
        <v>73.7</v>
      </c>
      <c r="CQ49" s="443"/>
      <c r="CR49" s="217">
        <f t="shared" si="113"/>
        <v>0.2098092643051771</v>
      </c>
      <c r="CS49" s="172">
        <f t="shared" si="114"/>
        <v>300.22049333142121</v>
      </c>
      <c r="CT49" s="172">
        <f t="shared" si="51"/>
        <v>4.0563124432334243</v>
      </c>
      <c r="CU49" s="217">
        <f t="shared" si="52"/>
        <v>20.014699555428081</v>
      </c>
      <c r="CV49" s="217">
        <f t="shared" si="53"/>
        <v>37.527561666427651</v>
      </c>
      <c r="CW49" s="443">
        <f t="shared" si="54"/>
        <v>15</v>
      </c>
      <c r="CX49" s="217">
        <f t="shared" si="55"/>
        <v>10.99192118226601</v>
      </c>
      <c r="CY49" s="217">
        <f t="shared" si="56"/>
        <v>2.274190589434347</v>
      </c>
      <c r="CZ49" s="217">
        <f t="shared" si="57"/>
        <v>8.4014684195663776</v>
      </c>
      <c r="DA49" s="197">
        <f t="shared" si="58"/>
        <v>102.962460425147</v>
      </c>
      <c r="DB49" s="443">
        <f t="shared" si="115"/>
        <v>93.671032313498657</v>
      </c>
      <c r="DD49" s="217">
        <f t="shared" si="59"/>
        <v>10</v>
      </c>
      <c r="DE49" s="173">
        <f t="shared" si="60"/>
        <v>7.6433121019108281</v>
      </c>
      <c r="DF49" s="173">
        <f t="shared" si="61"/>
        <v>3.9348710990502043</v>
      </c>
      <c r="DG49" s="173"/>
      <c r="DH49" s="173">
        <f t="shared" si="62"/>
        <v>7.6433121019108281</v>
      </c>
      <c r="DI49" s="545">
        <f t="shared" si="63"/>
        <v>115.13333333333335</v>
      </c>
      <c r="DJ49" s="528">
        <f t="shared" si="64"/>
        <v>3.9348710990502034</v>
      </c>
      <c r="DL49" s="173">
        <f t="shared" si="65"/>
        <v>5.6433694764403866</v>
      </c>
      <c r="DM49" s="173">
        <f t="shared" si="66"/>
        <v>10.99192118226601</v>
      </c>
      <c r="DN49" s="173">
        <f t="shared" si="67"/>
        <v>1.9347564313081556</v>
      </c>
      <c r="DP49" s="545">
        <f t="shared" si="68"/>
        <v>4400</v>
      </c>
      <c r="DQ49" s="460">
        <f t="shared" si="69"/>
        <v>93.671032313498657</v>
      </c>
      <c r="DS49">
        <f t="shared" si="116"/>
        <v>4400</v>
      </c>
      <c r="DT49" s="460">
        <f t="shared" si="70"/>
        <v>93.671032313498657</v>
      </c>
      <c r="DU49" s="460"/>
      <c r="DV49" s="5">
        <f t="shared" si="117"/>
        <v>10.675659009000727</v>
      </c>
      <c r="DW49" s="5">
        <f t="shared" si="71"/>
        <v>2.274190589434347</v>
      </c>
      <c r="DX49" s="5">
        <f t="shared" si="118"/>
        <v>8.4014684195663794</v>
      </c>
      <c r="DY49" s="173">
        <f t="shared" si="119"/>
        <v>0.21302578018995924</v>
      </c>
      <c r="EA49" s="5">
        <f t="shared" si="72"/>
        <v>66.709590623407522</v>
      </c>
      <c r="EB49" s="5">
        <f t="shared" si="73"/>
        <v>3.1270120604722274</v>
      </c>
      <c r="EC49" s="5">
        <f t="shared" si="74"/>
        <v>3.2966522930522055</v>
      </c>
      <c r="ED49" s="5"/>
      <c r="EE49" s="173">
        <f t="shared" si="120"/>
        <v>2.9290653449342394</v>
      </c>
      <c r="EF49" s="173">
        <f t="shared" si="75"/>
        <v>5.6298034273694961</v>
      </c>
      <c r="EG49" s="173">
        <f t="shared" si="76"/>
        <v>0.13864770793678602</v>
      </c>
      <c r="EH49" s="173"/>
      <c r="EI49" s="528">
        <f t="shared" si="77"/>
        <v>0.17158847589789469</v>
      </c>
      <c r="EJ49" s="528">
        <f t="shared" si="78"/>
        <v>1.5176666666666665</v>
      </c>
      <c r="EK49" s="528">
        <f t="shared" si="79"/>
        <v>1.1708879039187332E-2</v>
      </c>
      <c r="EL49" s="528">
        <f t="shared" si="80"/>
        <v>5.0879200950690755E-2</v>
      </c>
      <c r="EM49">
        <f t="shared" si="81"/>
        <v>2.6099999999999998E-2</v>
      </c>
      <c r="EN49" s="460">
        <f t="shared" si="121"/>
        <v>37.808879039187332</v>
      </c>
      <c r="EO49">
        <f t="shared" si="82"/>
        <v>1.9018077119784929</v>
      </c>
      <c r="EP49" s="460">
        <f t="shared" si="122"/>
        <v>1901.8077119784928</v>
      </c>
      <c r="EQ49" s="173">
        <f t="shared" si="83"/>
        <v>2.7334999999999998</v>
      </c>
      <c r="ER49" s="173">
        <f t="shared" si="170"/>
        <v>4.8812499999999995E-2</v>
      </c>
      <c r="ES49" s="528"/>
      <c r="EU49" s="460">
        <f t="shared" si="123"/>
        <v>2782.3124999999995</v>
      </c>
      <c r="EV49" s="528">
        <f t="shared" si="85"/>
        <v>0.25738271384684203</v>
      </c>
      <c r="EW49" s="528">
        <f t="shared" si="124"/>
        <v>0.95084059892463979</v>
      </c>
      <c r="EX49" s="528">
        <f t="shared" si="86"/>
        <v>9.6115934580621589E-5</v>
      </c>
      <c r="EY49" s="528">
        <f t="shared" si="87"/>
        <v>1.7008549743586492</v>
      </c>
      <c r="EZ49" s="528">
        <f t="shared" si="88"/>
        <v>3.5415134241478627</v>
      </c>
      <c r="FA49" s="625">
        <f t="shared" si="89"/>
        <v>1.1317552497253988E-2</v>
      </c>
      <c r="FB49" s="460">
        <f t="shared" si="125"/>
        <v>3552.8309766451171</v>
      </c>
      <c r="FC49" s="173">
        <f t="shared" si="126"/>
        <v>8.2369511886236104</v>
      </c>
      <c r="FD49" s="5">
        <f t="shared" si="127"/>
        <v>66.88</v>
      </c>
      <c r="FE49" s="173">
        <f t="shared" si="128"/>
        <v>0.89034497462576612</v>
      </c>
      <c r="FF49" s="5">
        <f t="shared" si="129"/>
        <v>89.03449746257661</v>
      </c>
      <c r="FG49">
        <f t="shared" si="130"/>
        <v>44.000000000000007</v>
      </c>
      <c r="FI49" s="562">
        <f t="shared" si="90"/>
        <v>-50</v>
      </c>
      <c r="FJ49">
        <f t="shared" si="91"/>
        <v>-50</v>
      </c>
      <c r="FL49">
        <f t="shared" si="92"/>
        <v>0.78697421981004079</v>
      </c>
    </row>
    <row r="50" spans="5:168">
      <c r="E50" s="170">
        <v>45</v>
      </c>
      <c r="F50" s="217">
        <f t="shared" si="174"/>
        <v>4.5</v>
      </c>
      <c r="G50" s="217">
        <f t="shared" si="171"/>
        <v>0.1125</v>
      </c>
      <c r="H50" s="217">
        <f t="shared" si="135"/>
        <v>67.5</v>
      </c>
      <c r="I50" s="217">
        <f t="shared" si="175"/>
        <v>0.9</v>
      </c>
      <c r="J50" s="541">
        <f t="shared" si="136"/>
        <v>57.681116595277885</v>
      </c>
      <c r="K50" s="443">
        <f t="shared" si="137"/>
        <v>15.871543103448275</v>
      </c>
      <c r="L50" s="172">
        <f t="shared" si="138"/>
        <v>73.55265969872616</v>
      </c>
      <c r="M50" s="443"/>
      <c r="N50" s="217">
        <f t="shared" si="139"/>
        <v>0.21578476112840214</v>
      </c>
      <c r="O50" s="172">
        <f t="shared" si="172"/>
        <v>307.07333798021915</v>
      </c>
      <c r="P50" s="172">
        <f t="shared" si="140"/>
        <v>4.1489019887105174</v>
      </c>
      <c r="Q50" s="217">
        <f t="shared" si="6"/>
        <v>20.471555865347945</v>
      </c>
      <c r="R50" s="217">
        <f t="shared" si="141"/>
        <v>38.384167247527394</v>
      </c>
      <c r="S50" s="443">
        <f t="shared" si="142"/>
        <v>15</v>
      </c>
      <c r="T50" s="217">
        <f t="shared" si="143"/>
        <v>10.990859780269847</v>
      </c>
      <c r="U50" s="217">
        <f t="shared" si="10"/>
        <v>2.2865423755343093</v>
      </c>
      <c r="V50" s="217">
        <f t="shared" si="11"/>
        <v>8.3098610200405449</v>
      </c>
      <c r="W50" s="197">
        <f t="shared" si="12"/>
        <v>103.72254971776292</v>
      </c>
      <c r="X50" s="443">
        <f t="shared" si="95"/>
        <v>92.623437950630148</v>
      </c>
      <c r="Z50" s="217">
        <f t="shared" si="13"/>
        <v>10</v>
      </c>
      <c r="AA50" s="173">
        <f t="shared" si="14"/>
        <v>7.5607015157794351</v>
      </c>
      <c r="AB50" s="173">
        <f t="shared" si="144"/>
        <v>3.9210761943579895</v>
      </c>
      <c r="AC50" s="173"/>
      <c r="AD50" s="173">
        <f t="shared" si="16"/>
        <v>7.5607015157794351</v>
      </c>
      <c r="AE50" s="545">
        <f t="shared" si="145"/>
        <v>119.03657327586203</v>
      </c>
      <c r="AF50" s="528">
        <f t="shared" si="146"/>
        <v>3.9210761943579895</v>
      </c>
      <c r="AH50" s="173">
        <f t="shared" si="147"/>
        <v>5.707138387268051</v>
      </c>
      <c r="AI50" s="173">
        <f t="shared" si="148"/>
        <v>10.990859780269847</v>
      </c>
      <c r="AJ50" s="173">
        <f t="shared" si="149"/>
        <v>1.9339702076072942</v>
      </c>
      <c r="AL50" s="545">
        <f t="shared" si="150"/>
        <v>4500</v>
      </c>
      <c r="AM50" s="460">
        <f t="shared" si="151"/>
        <v>92.623437950630148</v>
      </c>
      <c r="AO50">
        <f t="shared" si="96"/>
        <v>4500</v>
      </c>
      <c r="AP50" s="460">
        <f t="shared" si="24"/>
        <v>92.623437950630148</v>
      </c>
      <c r="AQ50" s="460"/>
      <c r="AR50" s="5">
        <f t="shared" si="97"/>
        <v>10.796403395574853</v>
      </c>
      <c r="AS50" s="5">
        <f t="shared" si="25"/>
        <v>2.2865423755343093</v>
      </c>
      <c r="AT50" s="5">
        <f t="shared" si="98"/>
        <v>8.5098610200405425</v>
      </c>
      <c r="AU50" s="173">
        <f t="shared" si="99"/>
        <v>0.21178741584178856</v>
      </c>
      <c r="AW50" s="5">
        <f t="shared" si="152"/>
        <v>68.596271266029277</v>
      </c>
      <c r="AX50" s="5">
        <f t="shared" si="153"/>
        <v>3.2154502155951223</v>
      </c>
      <c r="AY50" s="5">
        <f t="shared" si="28"/>
        <v>3.4339548715453505</v>
      </c>
      <c r="AZ50" s="5"/>
      <c r="BA50" s="173">
        <f t="shared" si="100"/>
        <v>2.9202572816432832</v>
      </c>
      <c r="BB50" s="173">
        <f t="shared" si="154"/>
        <v>5.6336870974694566</v>
      </c>
      <c r="BC50" s="173">
        <f t="shared" si="155"/>
        <v>0.13874335283179681</v>
      </c>
      <c r="BD50" s="173"/>
      <c r="BE50" s="528">
        <f t="shared" si="31"/>
        <v>0.17055805181981235</v>
      </c>
      <c r="BF50" s="528">
        <f t="shared" si="156"/>
        <v>1.4039518640982351</v>
      </c>
      <c r="BG50" s="528">
        <f t="shared" si="157"/>
        <v>0.13356558309714459</v>
      </c>
      <c r="BH50" s="528">
        <f t="shared" si="34"/>
        <v>5.0109222030125543E-2</v>
      </c>
      <c r="BI50">
        <f t="shared" si="35"/>
        <v>2.5956502467875047E-2</v>
      </c>
      <c r="BJ50" s="460">
        <f t="shared" si="101"/>
        <v>159.52208556501961</v>
      </c>
      <c r="BK50">
        <f t="shared" si="158"/>
        <v>1.741232552649695</v>
      </c>
      <c r="BL50" s="460">
        <f t="shared" si="102"/>
        <v>1741.232552649695</v>
      </c>
      <c r="BM50" s="173">
        <f t="shared" si="159"/>
        <v>2.7956249999999998</v>
      </c>
      <c r="BN50" s="173">
        <f t="shared" si="160"/>
        <v>4.9921874999999998E-2</v>
      </c>
      <c r="BO50" s="528"/>
      <c r="BQ50" s="460">
        <f t="shared" si="103"/>
        <v>2845.5468749999995</v>
      </c>
      <c r="BR50" s="528">
        <f t="shared" si="39"/>
        <v>0.25583707772971853</v>
      </c>
      <c r="BS50" s="528">
        <f t="shared" si="104"/>
        <v>0.95215290936581487</v>
      </c>
      <c r="BT50" s="528">
        <f t="shared" si="161"/>
        <v>9.6248589775042311E-5</v>
      </c>
      <c r="BU50" s="528">
        <f t="shared" si="41"/>
        <v>1.6532990440830637</v>
      </c>
      <c r="BV50" s="528">
        <f t="shared" si="162"/>
        <v>3.4884764023480175</v>
      </c>
      <c r="BW50" s="625">
        <f t="shared" si="163"/>
        <v>1.1188818561472568E-2</v>
      </c>
      <c r="BX50" s="460">
        <f t="shared" si="105"/>
        <v>3499.66522090949</v>
      </c>
      <c r="BY50" s="173">
        <f t="shared" si="106"/>
        <v>8.0864446485591834</v>
      </c>
      <c r="BZ50" s="5">
        <f t="shared" si="107"/>
        <v>68.400000000000006</v>
      </c>
      <c r="CA50" s="173">
        <f t="shared" si="108"/>
        <v>0.89427610754147524</v>
      </c>
      <c r="CB50" s="5">
        <f t="shared" si="109"/>
        <v>89.427610754147523</v>
      </c>
      <c r="CC50">
        <f t="shared" si="173"/>
        <v>45</v>
      </c>
      <c r="CE50" s="562">
        <f t="shared" si="164"/>
        <v>-50</v>
      </c>
      <c r="CF50">
        <f t="shared" si="165"/>
        <v>-50</v>
      </c>
      <c r="CG50" s="173">
        <f t="shared" si="166"/>
        <v>0.78697421981004068</v>
      </c>
      <c r="CH50" s="173">
        <f t="shared" si="167"/>
        <v>9.2345221451934023E-2</v>
      </c>
      <c r="CI50" s="170">
        <v>45</v>
      </c>
      <c r="CJ50" s="217">
        <f t="shared" si="133"/>
        <v>4.5</v>
      </c>
      <c r="CK50" s="217">
        <f t="shared" si="111"/>
        <v>0.1125</v>
      </c>
      <c r="CL50" s="217">
        <f t="shared" si="48"/>
        <v>67.5</v>
      </c>
      <c r="CM50" s="217">
        <f t="shared" si="134"/>
        <v>0.9</v>
      </c>
      <c r="CN50" s="541">
        <f t="shared" si="112"/>
        <v>58</v>
      </c>
      <c r="CO50" s="443">
        <f t="shared" si="168"/>
        <v>15.7</v>
      </c>
      <c r="CP50" s="443">
        <f t="shared" si="169"/>
        <v>73.7</v>
      </c>
      <c r="CQ50" s="443"/>
      <c r="CR50" s="217">
        <f t="shared" si="113"/>
        <v>0.2098092643051771</v>
      </c>
      <c r="CS50" s="172">
        <f t="shared" si="114"/>
        <v>300.22049333142121</v>
      </c>
      <c r="CT50" s="172">
        <f t="shared" si="51"/>
        <v>4.0563124432334243</v>
      </c>
      <c r="CU50" s="217">
        <f t="shared" si="52"/>
        <v>20.014699555428081</v>
      </c>
      <c r="CV50" s="217">
        <f t="shared" si="53"/>
        <v>37.527561666427651</v>
      </c>
      <c r="CW50" s="443">
        <f t="shared" si="54"/>
        <v>15</v>
      </c>
      <c r="CX50" s="217">
        <f t="shared" si="55"/>
        <v>11.241737572772056</v>
      </c>
      <c r="CY50" s="217">
        <f t="shared" si="56"/>
        <v>2.3258767391942183</v>
      </c>
      <c r="CZ50" s="217">
        <f t="shared" si="57"/>
        <v>8.5924108836474318</v>
      </c>
      <c r="DA50" s="197">
        <f t="shared" si="58"/>
        <v>102.962460425147</v>
      </c>
      <c r="DB50" s="443">
        <f t="shared" si="115"/>
        <v>91.589453817643147</v>
      </c>
      <c r="DD50" s="217">
        <f t="shared" si="59"/>
        <v>10</v>
      </c>
      <c r="DE50" s="173">
        <f t="shared" si="60"/>
        <v>7.6433121019108281</v>
      </c>
      <c r="DF50" s="173">
        <f t="shared" si="61"/>
        <v>3.9348710990502043</v>
      </c>
      <c r="DG50" s="173"/>
      <c r="DH50" s="173">
        <f t="shared" si="62"/>
        <v>7.6433121019108281</v>
      </c>
      <c r="DI50" s="545">
        <f t="shared" si="63"/>
        <v>117.75000000000003</v>
      </c>
      <c r="DJ50" s="528">
        <f t="shared" si="64"/>
        <v>3.9348710990502034</v>
      </c>
      <c r="DL50" s="173">
        <f t="shared" si="65"/>
        <v>5.707138387268051</v>
      </c>
      <c r="DM50" s="173">
        <f t="shared" si="66"/>
        <v>11.241737572772056</v>
      </c>
      <c r="DN50" s="173">
        <f t="shared" si="67"/>
        <v>2.1198056094607822</v>
      </c>
      <c r="DP50" s="545">
        <f t="shared" si="68"/>
        <v>4500</v>
      </c>
      <c r="DQ50" s="460">
        <f t="shared" si="69"/>
        <v>91.589453817643147</v>
      </c>
      <c r="DS50">
        <f t="shared" si="116"/>
        <v>4500</v>
      </c>
      <c r="DT50" s="460">
        <f t="shared" si="70"/>
        <v>91.589453817643147</v>
      </c>
      <c r="DU50" s="460"/>
      <c r="DV50" s="5">
        <f t="shared" si="117"/>
        <v>10.918287622841648</v>
      </c>
      <c r="DW50" s="5">
        <f t="shared" si="71"/>
        <v>2.3258767391942183</v>
      </c>
      <c r="DX50" s="5">
        <f t="shared" si="118"/>
        <v>8.59241088364743</v>
      </c>
      <c r="DY50" s="173">
        <f t="shared" si="119"/>
        <v>0.21302578018995932</v>
      </c>
      <c r="EA50" s="5">
        <f t="shared" si="72"/>
        <v>69.776302175826544</v>
      </c>
      <c r="EB50" s="5">
        <f t="shared" si="73"/>
        <v>3.2707641644918697</v>
      </c>
      <c r="EC50" s="5">
        <f t="shared" si="74"/>
        <v>3.4482029408216497</v>
      </c>
      <c r="ED50" s="5"/>
      <c r="EE50" s="173">
        <f t="shared" si="120"/>
        <v>2.995635011864564</v>
      </c>
      <c r="EF50" s="173">
        <f t="shared" si="75"/>
        <v>5.7577535052642581</v>
      </c>
      <c r="EG50" s="173">
        <f t="shared" si="76"/>
        <v>0.14179879220807665</v>
      </c>
      <c r="EH50" s="173"/>
      <c r="EI50" s="528">
        <f t="shared" si="77"/>
        <v>0.17947658248617615</v>
      </c>
      <c r="EJ50" s="528">
        <f t="shared" si="78"/>
        <v>1.5176666666666669</v>
      </c>
      <c r="EK50" s="528">
        <f t="shared" si="79"/>
        <v>1.1448681727205392E-2</v>
      </c>
      <c r="EL50" s="528">
        <f t="shared" si="80"/>
        <v>4.9748552040675409E-2</v>
      </c>
      <c r="EM50">
        <f t="shared" si="81"/>
        <v>2.6099999999999998E-2</v>
      </c>
      <c r="EN50" s="460">
        <f t="shared" si="121"/>
        <v>37.548681727205391</v>
      </c>
      <c r="EO50">
        <f t="shared" si="82"/>
        <v>1.9145422009118565</v>
      </c>
      <c r="EP50" s="460">
        <f t="shared" si="122"/>
        <v>1914.5422009118565</v>
      </c>
      <c r="EQ50" s="173">
        <f t="shared" si="83"/>
        <v>2.7956249999999998</v>
      </c>
      <c r="ER50" s="173">
        <f t="shared" si="170"/>
        <v>4.9921874999999998E-2</v>
      </c>
      <c r="ES50" s="528"/>
      <c r="EU50" s="460">
        <f t="shared" si="123"/>
        <v>2845.5468749999995</v>
      </c>
      <c r="EV50" s="528">
        <f t="shared" si="85"/>
        <v>0.26921487372926423</v>
      </c>
      <c r="EW50" s="528">
        <f t="shared" si="124"/>
        <v>0.9945517628214855</v>
      </c>
      <c r="EX50" s="528">
        <f t="shared" si="86"/>
        <v>1.0053448735834649E-4</v>
      </c>
      <c r="EY50" s="528">
        <f t="shared" si="87"/>
        <v>1.7008549743586505</v>
      </c>
      <c r="EZ50" s="528">
        <f t="shared" si="88"/>
        <v>3.6356483990006376</v>
      </c>
      <c r="FA50" s="625">
        <f t="shared" si="89"/>
        <v>1.157476959946431E-2</v>
      </c>
      <c r="FB50" s="460">
        <f t="shared" si="125"/>
        <v>3647.2231686001019</v>
      </c>
      <c r="FC50" s="173">
        <f t="shared" si="126"/>
        <v>8.4073122445119584</v>
      </c>
      <c r="FD50" s="5">
        <f t="shared" si="127"/>
        <v>68.400000000000006</v>
      </c>
      <c r="FE50" s="173">
        <f t="shared" si="128"/>
        <v>0.89054021031555264</v>
      </c>
      <c r="FF50" s="5">
        <f t="shared" si="129"/>
        <v>89.054021031555266</v>
      </c>
      <c r="FG50">
        <f t="shared" si="130"/>
        <v>45</v>
      </c>
      <c r="FI50" s="562">
        <f t="shared" si="90"/>
        <v>-50</v>
      </c>
      <c r="FJ50">
        <f t="shared" si="91"/>
        <v>-50</v>
      </c>
      <c r="FL50">
        <f t="shared" si="92"/>
        <v>0.78697421981004068</v>
      </c>
    </row>
    <row r="51" spans="5:168">
      <c r="E51" s="170">
        <v>46</v>
      </c>
      <c r="F51" s="217">
        <f t="shared" si="174"/>
        <v>4.6000000000000005</v>
      </c>
      <c r="G51" s="217">
        <f t="shared" si="171"/>
        <v>0.115</v>
      </c>
      <c r="H51" s="217">
        <f t="shared" si="135"/>
        <v>69.000000000000014</v>
      </c>
      <c r="I51" s="217">
        <f t="shared" si="175"/>
        <v>0.92</v>
      </c>
      <c r="J51" s="541">
        <f t="shared" si="136"/>
        <v>57.674030297395177</v>
      </c>
      <c r="K51" s="443">
        <f t="shared" si="137"/>
        <v>15.875355172413792</v>
      </c>
      <c r="L51" s="172">
        <f t="shared" si="138"/>
        <v>73.549385469808968</v>
      </c>
      <c r="M51" s="443"/>
      <c r="N51" s="217">
        <f t="shared" si="139"/>
        <v>0.21584619736803121</v>
      </c>
      <c r="O51" s="172">
        <f t="shared" si="172"/>
        <v>307.12302943868514</v>
      </c>
      <c r="P51" s="172">
        <f t="shared" si="140"/>
        <v>4.1495733755271234</v>
      </c>
      <c r="Q51" s="217">
        <f t="shared" si="6"/>
        <v>20.474868629245677</v>
      </c>
      <c r="R51" s="217">
        <f t="shared" si="141"/>
        <v>38.390378679835642</v>
      </c>
      <c r="S51" s="443">
        <f t="shared" si="142"/>
        <v>15</v>
      </c>
      <c r="T51" s="217">
        <f t="shared" si="143"/>
        <v>11.233283307687508</v>
      </c>
      <c r="U51" s="217">
        <f t="shared" si="10"/>
        <v>2.337263392156907</v>
      </c>
      <c r="V51" s="217">
        <f t="shared" si="11"/>
        <v>8.4911107958382956</v>
      </c>
      <c r="W51" s="197">
        <f t="shared" si="12"/>
        <v>103.73933438817808</v>
      </c>
      <c r="X51" s="443">
        <f t="shared" si="95"/>
        <v>90.675196810835232</v>
      </c>
      <c r="Z51" s="217">
        <f t="shared" si="13"/>
        <v>10</v>
      </c>
      <c r="AA51" s="173">
        <f t="shared" si="14"/>
        <v>7.5588860026590776</v>
      </c>
      <c r="AB51" s="173">
        <f t="shared" si="144"/>
        <v>3.9207690131598443</v>
      </c>
      <c r="AC51" s="173"/>
      <c r="AD51" s="173">
        <f t="shared" si="16"/>
        <v>7.5588860026590776</v>
      </c>
      <c r="AE51" s="545">
        <f t="shared" si="145"/>
        <v>121.71105632183908</v>
      </c>
      <c r="AF51" s="528">
        <f t="shared" si="146"/>
        <v>3.9207690131598438</v>
      </c>
      <c r="AH51" s="173">
        <f t="shared" si="147"/>
        <v>5.7702026043491843</v>
      </c>
      <c r="AI51" s="173">
        <f t="shared" si="148"/>
        <v>11.233283307687508</v>
      </c>
      <c r="AJ51" s="173">
        <f t="shared" si="149"/>
        <v>2.1135431908796352</v>
      </c>
      <c r="AL51" s="545">
        <f t="shared" si="150"/>
        <v>4600.0000000000009</v>
      </c>
      <c r="AM51" s="460">
        <f t="shared" si="151"/>
        <v>90.675196810835232</v>
      </c>
      <c r="AO51">
        <f t="shared" si="96"/>
        <v>4600.0000000000009</v>
      </c>
      <c r="AP51" s="460">
        <f t="shared" si="24"/>
        <v>90.675196810835232</v>
      </c>
      <c r="AQ51" s="460"/>
      <c r="AR51" s="5">
        <f t="shared" si="97"/>
        <v>11.028374187995199</v>
      </c>
      <c r="AS51" s="5">
        <f t="shared" si="25"/>
        <v>2.337263392156907</v>
      </c>
      <c r="AT51" s="5">
        <f t="shared" si="98"/>
        <v>8.6911107958382914</v>
      </c>
      <c r="AU51" s="173">
        <f t="shared" si="99"/>
        <v>0.21193181808258793</v>
      </c>
      <c r="AW51" s="5">
        <f t="shared" si="152"/>
        <v>71.676077359478498</v>
      </c>
      <c r="AX51" s="5">
        <f t="shared" si="153"/>
        <v>3.3598161262255539</v>
      </c>
      <c r="AY51" s="5">
        <f t="shared" si="28"/>
        <v>3.5854698757743506</v>
      </c>
      <c r="AZ51" s="5"/>
      <c r="BA51" s="173">
        <f t="shared" si="100"/>
        <v>2.9856862400789699</v>
      </c>
      <c r="BB51" s="173">
        <f t="shared" si="154"/>
        <v>5.7574209184952512</v>
      </c>
      <c r="BC51" s="173">
        <f t="shared" si="155"/>
        <v>0.14179060144372618</v>
      </c>
      <c r="BD51" s="173"/>
      <c r="BE51" s="528">
        <f t="shared" si="31"/>
        <v>0.1782864464839379</v>
      </c>
      <c r="BF51" s="528">
        <f t="shared" si="156"/>
        <v>1.4046739857199952</v>
      </c>
      <c r="BG51" s="528">
        <f t="shared" si="157"/>
        <v>0.13074010120225954</v>
      </c>
      <c r="BH51" s="528">
        <f t="shared" si="34"/>
        <v>4.905085745889004E-2</v>
      </c>
      <c r="BI51">
        <f t="shared" si="35"/>
        <v>2.5953313633827829E-2</v>
      </c>
      <c r="BJ51" s="460">
        <f t="shared" si="101"/>
        <v>156.69341483608736</v>
      </c>
      <c r="BK51">
        <f t="shared" si="158"/>
        <v>1.7544694650430621</v>
      </c>
      <c r="BL51" s="460">
        <f t="shared" si="102"/>
        <v>1754.4694650430622</v>
      </c>
      <c r="BM51" s="173">
        <f t="shared" si="159"/>
        <v>2.8577500000000002</v>
      </c>
      <c r="BN51" s="173">
        <f t="shared" si="160"/>
        <v>5.103125E-2</v>
      </c>
      <c r="BO51" s="528"/>
      <c r="BQ51" s="460">
        <f t="shared" si="103"/>
        <v>2908.78125</v>
      </c>
      <c r="BR51" s="528">
        <f t="shared" si="39"/>
        <v>0.26742966972590687</v>
      </c>
      <c r="BS51" s="528">
        <f t="shared" si="104"/>
        <v>0.99443686898180106</v>
      </c>
      <c r="BT51" s="528">
        <f t="shared" si="161"/>
        <v>1.0052287328886803E-4</v>
      </c>
      <c r="BU51" s="528">
        <f t="shared" si="41"/>
        <v>1.6556100415311918</v>
      </c>
      <c r="BV51" s="528">
        <f t="shared" si="162"/>
        <v>3.5820872918093278</v>
      </c>
      <c r="BW51" s="625">
        <f t="shared" si="163"/>
        <v>1.1441999674632886E-2</v>
      </c>
      <c r="BX51" s="460">
        <f t="shared" si="105"/>
        <v>3593.5292914839606</v>
      </c>
      <c r="BY51" s="173">
        <f t="shared" si="106"/>
        <v>8.2567800065270234</v>
      </c>
      <c r="BZ51" s="5">
        <f t="shared" si="107"/>
        <v>69.920000000000016</v>
      </c>
      <c r="CA51" s="173">
        <f t="shared" si="108"/>
        <v>0.89438321703915591</v>
      </c>
      <c r="CB51" s="5">
        <f t="shared" si="109"/>
        <v>89.438321703915591</v>
      </c>
      <c r="CC51">
        <f t="shared" si="173"/>
        <v>46.000000000000007</v>
      </c>
      <c r="CE51" s="562">
        <f t="shared" si="164"/>
        <v>-50</v>
      </c>
      <c r="CF51">
        <f t="shared" si="165"/>
        <v>-50</v>
      </c>
      <c r="CG51" s="173">
        <f t="shared" si="166"/>
        <v>0.78697421981004068</v>
      </c>
      <c r="CH51" s="173">
        <f t="shared" si="167"/>
        <v>9.2345221451934009E-2</v>
      </c>
      <c r="CI51" s="170">
        <v>46</v>
      </c>
      <c r="CJ51" s="217">
        <f t="shared" si="133"/>
        <v>4.6000000000000005</v>
      </c>
      <c r="CK51" s="217">
        <f t="shared" si="111"/>
        <v>0.115</v>
      </c>
      <c r="CL51" s="217">
        <f t="shared" si="48"/>
        <v>69.000000000000014</v>
      </c>
      <c r="CM51" s="217">
        <f t="shared" si="134"/>
        <v>0.92</v>
      </c>
      <c r="CN51" s="541">
        <f t="shared" si="112"/>
        <v>58</v>
      </c>
      <c r="CO51" s="443">
        <f t="shared" si="168"/>
        <v>15.7</v>
      </c>
      <c r="CP51" s="443">
        <f t="shared" si="169"/>
        <v>73.7</v>
      </c>
      <c r="CQ51" s="443"/>
      <c r="CR51" s="217">
        <f t="shared" si="113"/>
        <v>0.2098092643051771</v>
      </c>
      <c r="CS51" s="172">
        <f t="shared" si="114"/>
        <v>300.22049333142121</v>
      </c>
      <c r="CT51" s="172">
        <f t="shared" si="51"/>
        <v>4.0563124432334243</v>
      </c>
      <c r="CU51" s="217">
        <f t="shared" si="52"/>
        <v>20.014699555428081</v>
      </c>
      <c r="CV51" s="217">
        <f t="shared" si="53"/>
        <v>37.527561666427651</v>
      </c>
      <c r="CW51" s="443">
        <f t="shared" si="54"/>
        <v>15</v>
      </c>
      <c r="CX51" s="217">
        <f t="shared" si="55"/>
        <v>11.491553963278104</v>
      </c>
      <c r="CY51" s="217">
        <f t="shared" si="56"/>
        <v>2.3775628889540905</v>
      </c>
      <c r="CZ51" s="217">
        <f t="shared" si="57"/>
        <v>8.7833533477284877</v>
      </c>
      <c r="DA51" s="197">
        <f t="shared" si="58"/>
        <v>102.962460425147</v>
      </c>
      <c r="DB51" s="443">
        <f t="shared" si="115"/>
        <v>89.598378734650879</v>
      </c>
      <c r="DD51" s="217">
        <f t="shared" si="59"/>
        <v>10</v>
      </c>
      <c r="DE51" s="173">
        <f t="shared" si="60"/>
        <v>7.6433121019108281</v>
      </c>
      <c r="DF51" s="173">
        <f t="shared" si="61"/>
        <v>3.9348710990502043</v>
      </c>
      <c r="DG51" s="173"/>
      <c r="DH51" s="173">
        <f t="shared" si="62"/>
        <v>7.6433121019108281</v>
      </c>
      <c r="DI51" s="545">
        <f t="shared" si="63"/>
        <v>120.36666666666669</v>
      </c>
      <c r="DJ51" s="528">
        <f t="shared" si="64"/>
        <v>3.9348710990502034</v>
      </c>
      <c r="DL51" s="173">
        <f t="shared" si="65"/>
        <v>5.7702026043491843</v>
      </c>
      <c r="DM51" s="173">
        <f t="shared" si="66"/>
        <v>11.491553963278104</v>
      </c>
      <c r="DN51" s="173">
        <f t="shared" si="67"/>
        <v>2.3048547876134102</v>
      </c>
      <c r="DP51" s="545">
        <f t="shared" si="68"/>
        <v>4600.0000000000009</v>
      </c>
      <c r="DQ51" s="460">
        <f t="shared" si="69"/>
        <v>89.598378734650879</v>
      </c>
      <c r="DS51">
        <f t="shared" si="116"/>
        <v>4600.0000000000009</v>
      </c>
      <c r="DT51" s="460">
        <f t="shared" si="70"/>
        <v>89.598378734650879</v>
      </c>
      <c r="DU51" s="460"/>
      <c r="DV51" s="5">
        <f t="shared" si="117"/>
        <v>11.160916236682578</v>
      </c>
      <c r="DW51" s="5">
        <f t="shared" si="71"/>
        <v>2.3775628889540905</v>
      </c>
      <c r="DX51" s="5">
        <f t="shared" si="118"/>
        <v>8.7833533477284877</v>
      </c>
      <c r="DY51" s="173">
        <f t="shared" si="119"/>
        <v>0.2130257801899593</v>
      </c>
      <c r="EA51" s="5">
        <f t="shared" si="72"/>
        <v>72.911928594592112</v>
      </c>
      <c r="EB51" s="5">
        <f t="shared" si="73"/>
        <v>3.4177466528715055</v>
      </c>
      <c r="EC51" s="5">
        <f t="shared" si="74"/>
        <v>3.6031592211252423</v>
      </c>
      <c r="ED51" s="5"/>
      <c r="EE51" s="173">
        <f t="shared" si="120"/>
        <v>3.0622046787948882</v>
      </c>
      <c r="EF51" s="173">
        <f t="shared" si="75"/>
        <v>5.8857035831590201</v>
      </c>
      <c r="EG51" s="173">
        <f t="shared" si="76"/>
        <v>0.14494987647936725</v>
      </c>
      <c r="EH51" s="173"/>
      <c r="EI51" s="528">
        <f t="shared" si="77"/>
        <v>0.18754194989666609</v>
      </c>
      <c r="EJ51" s="528">
        <f t="shared" si="78"/>
        <v>1.5176666666666665</v>
      </c>
      <c r="EK51" s="528">
        <f t="shared" si="79"/>
        <v>1.1199797341831359E-2</v>
      </c>
      <c r="EL51" s="528">
        <f t="shared" si="80"/>
        <v>4.8667061778921585E-2</v>
      </c>
      <c r="EM51">
        <f t="shared" si="81"/>
        <v>2.6099999999999998E-2</v>
      </c>
      <c r="EN51" s="460">
        <f t="shared" si="121"/>
        <v>37.299797341831358</v>
      </c>
      <c r="EO51">
        <f t="shared" si="82"/>
        <v>1.927710519876995</v>
      </c>
      <c r="EP51" s="460">
        <f t="shared" si="122"/>
        <v>1927.710519876995</v>
      </c>
      <c r="EQ51" s="173">
        <f t="shared" si="83"/>
        <v>2.8577500000000002</v>
      </c>
      <c r="ER51" s="173">
        <f t="shared" si="170"/>
        <v>5.103125E-2</v>
      </c>
      <c r="ES51" s="528"/>
      <c r="EU51" s="460">
        <f t="shared" si="123"/>
        <v>2908.78125</v>
      </c>
      <c r="EV51" s="528">
        <f t="shared" si="85"/>
        <v>0.28131292484499909</v>
      </c>
      <c r="EW51" s="528">
        <f t="shared" si="124"/>
        <v>1.0392452000643277</v>
      </c>
      <c r="EX51" s="528">
        <f t="shared" si="86"/>
        <v>1.050523334569191E-4</v>
      </c>
      <c r="EY51" s="528">
        <f t="shared" si="87"/>
        <v>1.7008549743586505</v>
      </c>
      <c r="EZ51" s="528">
        <f t="shared" si="88"/>
        <v>3.7328660088133887</v>
      </c>
      <c r="FA51" s="625">
        <f t="shared" si="89"/>
        <v>1.1831986701674629E-2</v>
      </c>
      <c r="FB51" s="460">
        <f t="shared" si="125"/>
        <v>3744.6979955150632</v>
      </c>
      <c r="FC51" s="173">
        <f t="shared" si="126"/>
        <v>8.5811897653920592</v>
      </c>
      <c r="FD51" s="5">
        <f t="shared" si="127"/>
        <v>69.920000000000016</v>
      </c>
      <c r="FE51" s="173">
        <f t="shared" si="128"/>
        <v>0.89068713746839101</v>
      </c>
      <c r="FF51" s="5">
        <f t="shared" si="129"/>
        <v>89.068713746839094</v>
      </c>
      <c r="FG51">
        <f t="shared" si="130"/>
        <v>46.000000000000007</v>
      </c>
      <c r="FI51" s="562">
        <f t="shared" si="90"/>
        <v>-50</v>
      </c>
      <c r="FJ51">
        <f t="shared" si="91"/>
        <v>-50</v>
      </c>
      <c r="FL51">
        <f t="shared" si="92"/>
        <v>0.78697421981004068</v>
      </c>
    </row>
    <row r="52" spans="5:168">
      <c r="E52" s="170">
        <v>47</v>
      </c>
      <c r="F52" s="217">
        <f t="shared" si="174"/>
        <v>4.6999999999999993</v>
      </c>
      <c r="G52" s="217">
        <f t="shared" si="171"/>
        <v>0.11749999999999999</v>
      </c>
      <c r="H52" s="217">
        <f t="shared" si="135"/>
        <v>70.499999999999986</v>
      </c>
      <c r="I52" s="217">
        <f t="shared" si="175"/>
        <v>0.94</v>
      </c>
      <c r="J52" s="541">
        <f t="shared" si="136"/>
        <v>57.666943999512462</v>
      </c>
      <c r="K52" s="443">
        <f t="shared" si="137"/>
        <v>15.87916724137931</v>
      </c>
      <c r="L52" s="172">
        <f t="shared" si="138"/>
        <v>73.546111240891776</v>
      </c>
      <c r="M52" s="443"/>
      <c r="N52" s="217">
        <f t="shared" si="139"/>
        <v>0.21590763907786961</v>
      </c>
      <c r="O52" s="172">
        <f t="shared" si="172"/>
        <v>307.17270719828429</v>
      </c>
      <c r="P52" s="172">
        <f t="shared" si="140"/>
        <v>4.1502445772568191</v>
      </c>
      <c r="Q52" s="217">
        <f t="shared" si="6"/>
        <v>20.478180479885619</v>
      </c>
      <c r="R52" s="217">
        <f t="shared" si="141"/>
        <v>38.396588399785536</v>
      </c>
      <c r="S52" s="443">
        <f t="shared" si="142"/>
        <v>15</v>
      </c>
      <c r="T52" s="217">
        <f t="shared" si="143"/>
        <v>11.475628912970327</v>
      </c>
      <c r="U52" s="217">
        <f t="shared" si="10"/>
        <v>2.3879806593671438</v>
      </c>
      <c r="V52" s="217">
        <f t="shared" si="11"/>
        <v>8.6722146610304396</v>
      </c>
      <c r="W52" s="197">
        <f t="shared" si="12"/>
        <v>103.75611443142046</v>
      </c>
      <c r="X52" s="443">
        <f t="shared" si="95"/>
        <v>88.808406208418361</v>
      </c>
      <c r="Z52" s="217">
        <f t="shared" si="13"/>
        <v>9.9999999999999982</v>
      </c>
      <c r="AA52" s="173">
        <f t="shared" si="14"/>
        <v>7.5570713612294211</v>
      </c>
      <c r="AB52" s="173">
        <f t="shared" si="144"/>
        <v>3.9204618046106501</v>
      </c>
      <c r="AC52" s="173"/>
      <c r="AD52" s="173">
        <f t="shared" si="16"/>
        <v>7.5570713612294229</v>
      </c>
      <c r="AE52" s="545">
        <f t="shared" si="145"/>
        <v>124.38681005747125</v>
      </c>
      <c r="AF52" s="528">
        <f t="shared" si="146"/>
        <v>3.9204618046106514</v>
      </c>
      <c r="AH52" s="173">
        <f t="shared" si="147"/>
        <v>5.8325849860115726</v>
      </c>
      <c r="AI52" s="173">
        <f t="shared" si="148"/>
        <v>11.475628912970327</v>
      </c>
      <c r="AJ52" s="173">
        <f t="shared" si="149"/>
        <v>2.293058454052094</v>
      </c>
      <c r="AL52" s="545">
        <f t="shared" si="150"/>
        <v>4699.9999999999991</v>
      </c>
      <c r="AM52" s="460">
        <f t="shared" si="151"/>
        <v>88.808406208418361</v>
      </c>
      <c r="AO52">
        <f t="shared" si="96"/>
        <v>4699.9999999999991</v>
      </c>
      <c r="AP52" s="460">
        <f t="shared" si="24"/>
        <v>88.808406208418361</v>
      </c>
      <c r="AQ52" s="460"/>
      <c r="AR52" s="5">
        <f t="shared" si="97"/>
        <v>11.260195320397582</v>
      </c>
      <c r="AS52" s="5">
        <f t="shared" si="25"/>
        <v>2.3879806593671438</v>
      </c>
      <c r="AT52" s="5">
        <f t="shared" si="98"/>
        <v>8.8722146610304371</v>
      </c>
      <c r="AU52" s="173">
        <f t="shared" si="99"/>
        <v>0.21207275641492404</v>
      </c>
      <c r="AW52" s="5">
        <f t="shared" si="152"/>
        <v>74.823393993503828</v>
      </c>
      <c r="AX52" s="5">
        <f t="shared" si="153"/>
        <v>3.5073465934454919</v>
      </c>
      <c r="AY52" s="5">
        <f t="shared" si="28"/>
        <v>3.7402120319717169</v>
      </c>
      <c r="AZ52" s="5"/>
      <c r="BA52" s="173">
        <f t="shared" si="100"/>
        <v>3.0511131189337393</v>
      </c>
      <c r="BB52" s="173">
        <f t="shared" si="154"/>
        <v>5.8811049175760557</v>
      </c>
      <c r="BC52" s="173">
        <f t="shared" si="155"/>
        <v>0.1448366230681476</v>
      </c>
      <c r="BD52" s="173"/>
      <c r="BE52" s="528">
        <f t="shared" si="31"/>
        <v>0.18618582529059141</v>
      </c>
      <c r="BF52" s="528">
        <f t="shared" si="156"/>
        <v>1.4053728475245317</v>
      </c>
      <c r="BG52" s="528">
        <f t="shared" si="157"/>
        <v>0.1280327346876704</v>
      </c>
      <c r="BH52" s="528">
        <f t="shared" si="34"/>
        <v>4.803673759423422E-2</v>
      </c>
      <c r="BI52">
        <f t="shared" si="35"/>
        <v>2.5950124799780608E-2</v>
      </c>
      <c r="BJ52" s="460">
        <f t="shared" si="101"/>
        <v>153.98285948745101</v>
      </c>
      <c r="BK52">
        <f t="shared" si="158"/>
        <v>1.7680815358960014</v>
      </c>
      <c r="BL52" s="460">
        <f t="shared" si="102"/>
        <v>1768.0815358960015</v>
      </c>
      <c r="BM52" s="173">
        <f t="shared" si="159"/>
        <v>2.9198749999999989</v>
      </c>
      <c r="BN52" s="173">
        <f t="shared" si="160"/>
        <v>5.2140624999999996E-2</v>
      </c>
      <c r="BO52" s="528"/>
      <c r="BQ52" s="460">
        <f t="shared" si="103"/>
        <v>2972.0156249999986</v>
      </c>
      <c r="BR52" s="528">
        <f t="shared" si="39"/>
        <v>0.27927873793588709</v>
      </c>
      <c r="BS52" s="528">
        <f t="shared" si="104"/>
        <v>1.037621851546118</v>
      </c>
      <c r="BT52" s="528">
        <f t="shared" si="161"/>
        <v>1.0488823690892332E-4</v>
      </c>
      <c r="BU52" s="528">
        <f t="shared" si="41"/>
        <v>1.6578545848952713</v>
      </c>
      <c r="BV52" s="528">
        <f t="shared" si="162"/>
        <v>3.6785108974052378</v>
      </c>
      <c r="BW52" s="625">
        <f t="shared" si="163"/>
        <v>1.1695184248682355E-2</v>
      </c>
      <c r="BX52" s="460">
        <f t="shared" si="105"/>
        <v>3690.2060816539206</v>
      </c>
      <c r="BY52" s="173">
        <f t="shared" si="106"/>
        <v>8.43030324254992</v>
      </c>
      <c r="BZ52" s="5">
        <f t="shared" si="107"/>
        <v>71.439999999999984</v>
      </c>
      <c r="CA52" s="173">
        <f t="shared" si="108"/>
        <v>0.8944500909562243</v>
      </c>
      <c r="CB52" s="5">
        <f t="shared" si="109"/>
        <v>89.445009095622424</v>
      </c>
      <c r="CC52">
        <f t="shared" si="173"/>
        <v>46.999999999999993</v>
      </c>
      <c r="CE52" s="562">
        <f t="shared" si="164"/>
        <v>-50</v>
      </c>
      <c r="CF52">
        <f t="shared" si="165"/>
        <v>-50</v>
      </c>
      <c r="CG52" s="173">
        <f t="shared" si="166"/>
        <v>0.78697421981004068</v>
      </c>
      <c r="CH52" s="173">
        <f t="shared" si="167"/>
        <v>9.2345221451934023E-2</v>
      </c>
      <c r="CI52" s="170">
        <v>47</v>
      </c>
      <c r="CJ52" s="217">
        <f t="shared" si="133"/>
        <v>4.6999999999999993</v>
      </c>
      <c r="CK52" s="217">
        <f t="shared" si="111"/>
        <v>0.11749999999999999</v>
      </c>
      <c r="CL52" s="217">
        <f t="shared" si="48"/>
        <v>70.499999999999986</v>
      </c>
      <c r="CM52" s="217">
        <f t="shared" si="134"/>
        <v>0.94</v>
      </c>
      <c r="CN52" s="541">
        <f t="shared" si="112"/>
        <v>58</v>
      </c>
      <c r="CO52" s="443">
        <f t="shared" si="168"/>
        <v>15.7</v>
      </c>
      <c r="CP52" s="443">
        <f t="shared" si="169"/>
        <v>73.7</v>
      </c>
      <c r="CQ52" s="443"/>
      <c r="CR52" s="217">
        <f t="shared" si="113"/>
        <v>0.2098092643051771</v>
      </c>
      <c r="CS52" s="172">
        <f t="shared" si="114"/>
        <v>300.22049333142121</v>
      </c>
      <c r="CT52" s="172">
        <f t="shared" si="51"/>
        <v>4.0563124432334243</v>
      </c>
      <c r="CU52" s="217">
        <f t="shared" si="52"/>
        <v>20.014699555428081</v>
      </c>
      <c r="CV52" s="217">
        <f t="shared" si="53"/>
        <v>37.527561666427651</v>
      </c>
      <c r="CW52" s="443">
        <f t="shared" si="54"/>
        <v>15</v>
      </c>
      <c r="CX52" s="217">
        <f t="shared" si="55"/>
        <v>11.741370353784145</v>
      </c>
      <c r="CY52" s="217">
        <f t="shared" si="56"/>
        <v>2.4292490387139614</v>
      </c>
      <c r="CZ52" s="217">
        <f t="shared" si="57"/>
        <v>8.9742958118095384</v>
      </c>
      <c r="DA52" s="197">
        <f t="shared" si="58"/>
        <v>102.962460425147</v>
      </c>
      <c r="DB52" s="443">
        <f t="shared" si="115"/>
        <v>87.692030250934948</v>
      </c>
      <c r="DD52" s="217">
        <f t="shared" si="59"/>
        <v>10</v>
      </c>
      <c r="DE52" s="173">
        <f t="shared" si="60"/>
        <v>7.6433121019108281</v>
      </c>
      <c r="DF52" s="173">
        <f t="shared" si="61"/>
        <v>3.9348710990502043</v>
      </c>
      <c r="DG52" s="173"/>
      <c r="DH52" s="173">
        <f t="shared" si="62"/>
        <v>7.6433121019108281</v>
      </c>
      <c r="DI52" s="545">
        <f t="shared" si="63"/>
        <v>122.98333333333333</v>
      </c>
      <c r="DJ52" s="528">
        <f t="shared" si="64"/>
        <v>3.9348710990502034</v>
      </c>
      <c r="DL52" s="173">
        <f t="shared" si="65"/>
        <v>5.8325849860115726</v>
      </c>
      <c r="DM52" s="173">
        <f t="shared" si="66"/>
        <v>11.741370353784145</v>
      </c>
      <c r="DN52" s="173">
        <f t="shared" si="67"/>
        <v>2.4899039657660333</v>
      </c>
      <c r="DP52" s="545">
        <f t="shared" si="68"/>
        <v>4699.9999999999991</v>
      </c>
      <c r="DQ52" s="460">
        <f t="shared" si="69"/>
        <v>87.692030250934948</v>
      </c>
      <c r="DS52">
        <f t="shared" si="116"/>
        <v>4699.9999999999991</v>
      </c>
      <c r="DT52" s="460">
        <f t="shared" si="70"/>
        <v>87.692030250934948</v>
      </c>
      <c r="DU52" s="460"/>
      <c r="DV52" s="5">
        <f t="shared" si="117"/>
        <v>11.403544850523497</v>
      </c>
      <c r="DW52" s="5">
        <f t="shared" si="71"/>
        <v>2.4292490387139614</v>
      </c>
      <c r="DX52" s="5">
        <f t="shared" si="118"/>
        <v>8.9742958118095366</v>
      </c>
      <c r="DY52" s="173">
        <f t="shared" si="119"/>
        <v>0.21302578018995935</v>
      </c>
      <c r="EA52" s="5">
        <f t="shared" si="72"/>
        <v>76.116469879704113</v>
      </c>
      <c r="EB52" s="5">
        <f t="shared" si="73"/>
        <v>3.5679595256111307</v>
      </c>
      <c r="EC52" s="5">
        <f t="shared" si="74"/>
        <v>3.7615211339629737</v>
      </c>
      <c r="ED52" s="5"/>
      <c r="EE52" s="173">
        <f t="shared" si="120"/>
        <v>3.1287743457252111</v>
      </c>
      <c r="EF52" s="173">
        <f t="shared" si="75"/>
        <v>6.0136536610537794</v>
      </c>
      <c r="EG52" s="173">
        <f t="shared" si="76"/>
        <v>0.14810096075065779</v>
      </c>
      <c r="EH52" s="173"/>
      <c r="EI52" s="528">
        <f t="shared" si="77"/>
        <v>0.19578457812936445</v>
      </c>
      <c r="EJ52" s="528">
        <f t="shared" si="78"/>
        <v>1.5176666666666669</v>
      </c>
      <c r="EK52" s="528">
        <f t="shared" si="79"/>
        <v>1.0961503781366868E-2</v>
      </c>
      <c r="EL52" s="528">
        <f t="shared" si="80"/>
        <v>4.7631592379370091E-2</v>
      </c>
      <c r="EM52">
        <f t="shared" si="81"/>
        <v>2.6099999999999998E-2</v>
      </c>
      <c r="EN52" s="460">
        <f t="shared" si="121"/>
        <v>37.061503781366866</v>
      </c>
      <c r="EO52">
        <f t="shared" si="82"/>
        <v>1.9413129814499364</v>
      </c>
      <c r="EP52" s="460">
        <f t="shared" si="122"/>
        <v>1941.3129814499364</v>
      </c>
      <c r="EQ52" s="173">
        <f t="shared" si="83"/>
        <v>2.9198749999999989</v>
      </c>
      <c r="ER52" s="173">
        <f t="shared" si="170"/>
        <v>5.2140624999999996E-2</v>
      </c>
      <c r="ES52" s="528"/>
      <c r="EU52" s="460">
        <f t="shared" si="123"/>
        <v>2972.0156249999986</v>
      </c>
      <c r="EV52" s="528">
        <f t="shared" si="85"/>
        <v>0.29367686719404668</v>
      </c>
      <c r="EW52" s="528">
        <f t="shared" si="124"/>
        <v>1.0849209106531656</v>
      </c>
      <c r="EX52" s="528">
        <f t="shared" si="86"/>
        <v>1.0966947287633939E-4</v>
      </c>
      <c r="EY52" s="528">
        <f t="shared" si="87"/>
        <v>1.7008549743586505</v>
      </c>
      <c r="EZ52" s="528">
        <f t="shared" si="88"/>
        <v>3.8332462176504611</v>
      </c>
      <c r="FA52" s="625">
        <f t="shared" si="89"/>
        <v>1.2089203803884944E-2</v>
      </c>
      <c r="FB52" s="460">
        <f t="shared" si="125"/>
        <v>3845.335421454346</v>
      </c>
      <c r="FC52" s="173">
        <f t="shared" si="126"/>
        <v>8.7586640279042811</v>
      </c>
      <c r="FD52" s="5">
        <f t="shared" si="127"/>
        <v>71.439999999999984</v>
      </c>
      <c r="FE52" s="173">
        <f t="shared" si="128"/>
        <v>0.89078790608211622</v>
      </c>
      <c r="FF52" s="5">
        <f t="shared" si="129"/>
        <v>89.078790608211619</v>
      </c>
      <c r="FG52">
        <f t="shared" si="130"/>
        <v>46.999999999999993</v>
      </c>
      <c r="FI52" s="562">
        <f t="shared" si="90"/>
        <v>-50</v>
      </c>
      <c r="FJ52">
        <f t="shared" si="91"/>
        <v>-50</v>
      </c>
      <c r="FL52">
        <f t="shared" si="92"/>
        <v>0.78697421981004068</v>
      </c>
    </row>
    <row r="53" spans="5:168">
      <c r="E53" s="170">
        <v>48</v>
      </c>
      <c r="F53" s="217">
        <f t="shared" si="174"/>
        <v>4.8</v>
      </c>
      <c r="G53" s="217">
        <f t="shared" si="171"/>
        <v>0.12</v>
      </c>
      <c r="H53" s="217">
        <f t="shared" si="135"/>
        <v>72</v>
      </c>
      <c r="I53" s="217">
        <f t="shared" si="175"/>
        <v>0.96</v>
      </c>
      <c r="J53" s="541">
        <f t="shared" si="136"/>
        <v>57.659857701629747</v>
      </c>
      <c r="K53" s="443">
        <f t="shared" si="137"/>
        <v>15.882979310344826</v>
      </c>
      <c r="L53" s="172">
        <f t="shared" si="138"/>
        <v>73.542837011974569</v>
      </c>
      <c r="M53" s="443"/>
      <c r="N53" s="217">
        <f t="shared" si="139"/>
        <v>0.215969086258648</v>
      </c>
      <c r="O53" s="172">
        <f t="shared" si="172"/>
        <v>307.22237125718692</v>
      </c>
      <c r="P53" s="172">
        <f t="shared" si="140"/>
        <v>4.1509155938748812</v>
      </c>
      <c r="Q53" s="217">
        <f t="shared" si="6"/>
        <v>20.481491417145794</v>
      </c>
      <c r="R53" s="217">
        <f t="shared" si="141"/>
        <v>38.402796407148365</v>
      </c>
      <c r="S53" s="443">
        <f t="shared" si="142"/>
        <v>15</v>
      </c>
      <c r="T53" s="217">
        <f t="shared" si="143"/>
        <v>11.717896666406203</v>
      </c>
      <c r="U53" s="217">
        <f t="shared" si="10"/>
        <v>2.43869419041074</v>
      </c>
      <c r="V53" s="217">
        <f t="shared" si="11"/>
        <v>8.8531727737811714</v>
      </c>
      <c r="W53" s="197">
        <f t="shared" si="12"/>
        <v>103.77288984687202</v>
      </c>
      <c r="X53" s="443">
        <f t="shared" si="95"/>
        <v>87.018062697379861</v>
      </c>
      <c r="Z53" s="217">
        <f t="shared" si="13"/>
        <v>10</v>
      </c>
      <c r="AA53" s="173">
        <f t="shared" si="14"/>
        <v>7.5552575908628281</v>
      </c>
      <c r="AB53" s="173">
        <f t="shared" si="144"/>
        <v>3.9201545687067596</v>
      </c>
      <c r="AC53" s="173"/>
      <c r="AD53" s="173">
        <f t="shared" si="16"/>
        <v>7.5552575908628281</v>
      </c>
      <c r="AE53" s="545">
        <f t="shared" si="145"/>
        <v>127.06383448275861</v>
      </c>
      <c r="AF53" s="528">
        <f t="shared" si="146"/>
        <v>3.9201545687067592</v>
      </c>
      <c r="AH53" s="173">
        <f t="shared" si="147"/>
        <v>5.8943071809040575</v>
      </c>
      <c r="AI53" s="173">
        <f t="shared" si="148"/>
        <v>11.717896666406203</v>
      </c>
      <c r="AJ53" s="173">
        <f t="shared" si="149"/>
        <v>2.47251604918978</v>
      </c>
      <c r="AL53" s="545">
        <f t="shared" si="150"/>
        <v>4800</v>
      </c>
      <c r="AM53" s="460">
        <f t="shared" si="151"/>
        <v>87.018062697379861</v>
      </c>
      <c r="AO53">
        <f t="shared" si="96"/>
        <v>4800</v>
      </c>
      <c r="AP53" s="460">
        <f t="shared" si="24"/>
        <v>87.018062697379861</v>
      </c>
      <c r="AQ53" s="460"/>
      <c r="AR53" s="5">
        <f t="shared" si="97"/>
        <v>11.49186696419191</v>
      </c>
      <c r="AS53" s="5">
        <f t="shared" si="25"/>
        <v>2.43869419041074</v>
      </c>
      <c r="AT53" s="5">
        <f t="shared" si="98"/>
        <v>9.0531727737811707</v>
      </c>
      <c r="AU53" s="173">
        <f t="shared" si="99"/>
        <v>0.2122104439608978</v>
      </c>
      <c r="AW53" s="5">
        <f t="shared" si="152"/>
        <v>78.038214093143679</v>
      </c>
      <c r="AX53" s="5">
        <f t="shared" si="153"/>
        <v>3.6580412856161102</v>
      </c>
      <c r="AY53" s="5">
        <f t="shared" si="28"/>
        <v>3.8981786713744828</v>
      </c>
      <c r="AZ53" s="5"/>
      <c r="BA53" s="173">
        <f t="shared" si="100"/>
        <v>3.1165379058436886</v>
      </c>
      <c r="BB53" s="173">
        <f t="shared" si="154"/>
        <v>6.0047391486195272</v>
      </c>
      <c r="BC53" s="173">
        <f t="shared" si="155"/>
        <v>0.14788141903266916</v>
      </c>
      <c r="BD53" s="173"/>
      <c r="BE53" s="528">
        <f t="shared" si="31"/>
        <v>0.19425617037121129</v>
      </c>
      <c r="BF53" s="528">
        <f t="shared" si="156"/>
        <v>1.406049873161215</v>
      </c>
      <c r="BG53" s="528">
        <f t="shared" si="157"/>
        <v>0.12543622781506045</v>
      </c>
      <c r="BH53" s="528">
        <f t="shared" si="34"/>
        <v>4.7064144517358485E-2</v>
      </c>
      <c r="BI53">
        <f t="shared" si="35"/>
        <v>2.5946935965733386E-2</v>
      </c>
      <c r="BJ53" s="460">
        <f t="shared" si="101"/>
        <v>151.38316378079384</v>
      </c>
      <c r="BK53">
        <f t="shared" si="158"/>
        <v>1.782071330482319</v>
      </c>
      <c r="BL53" s="460">
        <f t="shared" si="102"/>
        <v>1782.0713304823191</v>
      </c>
      <c r="BM53" s="173">
        <f t="shared" si="159"/>
        <v>2.9819999999999998</v>
      </c>
      <c r="BN53" s="173">
        <f t="shared" si="160"/>
        <v>5.3249999999999999E-2</v>
      </c>
      <c r="BO53" s="528"/>
      <c r="BQ53" s="460">
        <f t="shared" si="103"/>
        <v>3035.2499999999995</v>
      </c>
      <c r="BR53" s="528">
        <f t="shared" si="39"/>
        <v>0.29138425555681691</v>
      </c>
      <c r="BS53" s="528">
        <f t="shared" si="104"/>
        <v>1.0817067672889189</v>
      </c>
      <c r="BT53" s="528">
        <f t="shared" si="161"/>
        <v>1.0934457047557942E-4</v>
      </c>
      <c r="BU53" s="528">
        <f t="shared" si="41"/>
        <v>1.6600367008519568</v>
      </c>
      <c r="BV53" s="528">
        <f t="shared" si="162"/>
        <v>3.7778216417688508</v>
      </c>
      <c r="BW53" s="625">
        <f t="shared" si="163"/>
        <v>1.1948372071519971E-2</v>
      </c>
      <c r="BX53" s="460">
        <f t="shared" si="105"/>
        <v>3789.7700138403711</v>
      </c>
      <c r="BY53" s="173">
        <f t="shared" si="106"/>
        <v>8.60709134432269</v>
      </c>
      <c r="BZ53" s="5">
        <f t="shared" si="107"/>
        <v>72.959999999999994</v>
      </c>
      <c r="CA53" s="173">
        <f t="shared" si="108"/>
        <v>0.89447838334716145</v>
      </c>
      <c r="CB53" s="5">
        <f t="shared" si="109"/>
        <v>89.447838334716153</v>
      </c>
      <c r="CC53">
        <f t="shared" si="173"/>
        <v>48</v>
      </c>
      <c r="CE53" s="562">
        <f t="shared" si="164"/>
        <v>-50</v>
      </c>
      <c r="CF53">
        <f t="shared" si="165"/>
        <v>-50</v>
      </c>
      <c r="CG53" s="173">
        <f t="shared" si="166"/>
        <v>0.78697421981004068</v>
      </c>
      <c r="CH53" s="173">
        <f t="shared" si="167"/>
        <v>9.2345221451934023E-2</v>
      </c>
      <c r="CI53" s="170">
        <v>48</v>
      </c>
      <c r="CJ53" s="217">
        <f t="shared" si="133"/>
        <v>4.8</v>
      </c>
      <c r="CK53" s="217">
        <f t="shared" si="111"/>
        <v>0.12</v>
      </c>
      <c r="CL53" s="217">
        <f t="shared" si="48"/>
        <v>72</v>
      </c>
      <c r="CM53" s="217">
        <f t="shared" si="134"/>
        <v>0.96</v>
      </c>
      <c r="CN53" s="541">
        <f t="shared" si="112"/>
        <v>58</v>
      </c>
      <c r="CO53" s="443">
        <f t="shared" si="168"/>
        <v>15.7</v>
      </c>
      <c r="CP53" s="443">
        <f t="shared" si="169"/>
        <v>73.7</v>
      </c>
      <c r="CQ53" s="443"/>
      <c r="CR53" s="217">
        <f t="shared" si="113"/>
        <v>0.2098092643051771</v>
      </c>
      <c r="CS53" s="172">
        <f t="shared" si="114"/>
        <v>300.22049333142121</v>
      </c>
      <c r="CT53" s="172">
        <f t="shared" si="51"/>
        <v>4.0563124432334243</v>
      </c>
      <c r="CU53" s="217">
        <f t="shared" si="52"/>
        <v>20.014699555428081</v>
      </c>
      <c r="CV53" s="217">
        <f t="shared" si="53"/>
        <v>37.527561666427651</v>
      </c>
      <c r="CW53" s="443">
        <f t="shared" si="54"/>
        <v>15</v>
      </c>
      <c r="CX53" s="217">
        <f t="shared" si="55"/>
        <v>11.991186744290191</v>
      </c>
      <c r="CY53" s="217">
        <f t="shared" si="56"/>
        <v>2.4809351884738327</v>
      </c>
      <c r="CZ53" s="217">
        <f t="shared" si="57"/>
        <v>9.1652382758905926</v>
      </c>
      <c r="DA53" s="197">
        <f t="shared" si="58"/>
        <v>102.962460425147</v>
      </c>
      <c r="DB53" s="443">
        <f t="shared" si="115"/>
        <v>85.865112954040455</v>
      </c>
      <c r="DD53" s="217">
        <f t="shared" si="59"/>
        <v>10</v>
      </c>
      <c r="DE53" s="173">
        <f t="shared" si="60"/>
        <v>7.6433121019108281</v>
      </c>
      <c r="DF53" s="173">
        <f t="shared" si="61"/>
        <v>3.9348710990502043</v>
      </c>
      <c r="DG53" s="173"/>
      <c r="DH53" s="173">
        <f t="shared" si="62"/>
        <v>7.6433121019108281</v>
      </c>
      <c r="DI53" s="545">
        <f t="shared" si="63"/>
        <v>125.6</v>
      </c>
      <c r="DJ53" s="528">
        <f t="shared" si="64"/>
        <v>3.9348710990502034</v>
      </c>
      <c r="DL53" s="173">
        <f t="shared" si="65"/>
        <v>5.8943071809040575</v>
      </c>
      <c r="DM53" s="173">
        <f t="shared" si="66"/>
        <v>11.991186744290191</v>
      </c>
      <c r="DN53" s="173">
        <f t="shared" si="67"/>
        <v>2.6749531439186605</v>
      </c>
      <c r="DP53" s="545">
        <f t="shared" si="68"/>
        <v>4800</v>
      </c>
      <c r="DQ53" s="460">
        <f t="shared" si="69"/>
        <v>85.865112954040455</v>
      </c>
      <c r="DS53">
        <f t="shared" si="116"/>
        <v>4800</v>
      </c>
      <c r="DT53" s="460">
        <f t="shared" si="70"/>
        <v>85.865112954040455</v>
      </c>
      <c r="DU53" s="460"/>
      <c r="DV53" s="5">
        <f t="shared" si="117"/>
        <v>11.646173464364425</v>
      </c>
      <c r="DW53" s="5">
        <f t="shared" si="71"/>
        <v>2.4809351884738327</v>
      </c>
      <c r="DX53" s="5">
        <f t="shared" si="118"/>
        <v>9.1652382758905926</v>
      </c>
      <c r="DY53" s="173">
        <f t="shared" si="119"/>
        <v>0.2130257801899593</v>
      </c>
      <c r="EA53" s="5">
        <f t="shared" si="72"/>
        <v>79.389926031162645</v>
      </c>
      <c r="EB53" s="5">
        <f t="shared" si="73"/>
        <v>3.721402782710749</v>
      </c>
      <c r="EC53" s="5">
        <f t="shared" si="74"/>
        <v>3.9232886793348549</v>
      </c>
      <c r="ED53" s="5"/>
      <c r="EE53" s="173">
        <f t="shared" si="120"/>
        <v>3.1953440126555344</v>
      </c>
      <c r="EF53" s="173">
        <f t="shared" si="75"/>
        <v>6.1416037389485405</v>
      </c>
      <c r="EG53" s="173">
        <f t="shared" si="76"/>
        <v>0.15125204502194839</v>
      </c>
      <c r="EH53" s="173"/>
      <c r="EI53" s="528">
        <f t="shared" si="77"/>
        <v>0.20420446718427143</v>
      </c>
      <c r="EJ53" s="528">
        <f t="shared" si="78"/>
        <v>1.5176666666666665</v>
      </c>
      <c r="EK53" s="528">
        <f t="shared" si="79"/>
        <v>1.0733139119255056E-2</v>
      </c>
      <c r="EL53" s="528">
        <f t="shared" si="80"/>
        <v>4.663926753813321E-2</v>
      </c>
      <c r="EM53">
        <f t="shared" si="81"/>
        <v>2.6099999999999998E-2</v>
      </c>
      <c r="EN53" s="460">
        <f t="shared" si="121"/>
        <v>36.833139119255051</v>
      </c>
      <c r="EO53">
        <f t="shared" si="82"/>
        <v>1.9553503541157373</v>
      </c>
      <c r="EP53" s="460">
        <f t="shared" si="122"/>
        <v>1955.3503541157372</v>
      </c>
      <c r="EQ53" s="173">
        <f t="shared" si="83"/>
        <v>2.9819999999999998</v>
      </c>
      <c r="ER53" s="173">
        <f t="shared" si="170"/>
        <v>5.3249999999999999E-2</v>
      </c>
      <c r="ES53" s="528"/>
      <c r="EU53" s="460">
        <f t="shared" si="123"/>
        <v>3035.2499999999995</v>
      </c>
      <c r="EV53" s="528">
        <f t="shared" si="85"/>
        <v>0.30630670077640715</v>
      </c>
      <c r="EW53" s="528">
        <f t="shared" si="124"/>
        <v>1.1315788945880008</v>
      </c>
      <c r="EX53" s="528">
        <f t="shared" si="86"/>
        <v>1.1438590561660751E-4</v>
      </c>
      <c r="EY53" s="528">
        <f t="shared" si="87"/>
        <v>1.7008549743586505</v>
      </c>
      <c r="EZ53" s="528">
        <f t="shared" si="88"/>
        <v>3.936872791125563</v>
      </c>
      <c r="FA53" s="625">
        <f t="shared" si="89"/>
        <v>1.2346420906095263E-2</v>
      </c>
      <c r="FB53" s="460">
        <f t="shared" si="125"/>
        <v>3949.2192120316581</v>
      </c>
      <c r="FC53" s="173">
        <f t="shared" si="126"/>
        <v>8.9398195661473956</v>
      </c>
      <c r="FD53" s="5">
        <f t="shared" si="127"/>
        <v>72.959999999999994</v>
      </c>
      <c r="FE53" s="173">
        <f t="shared" si="128"/>
        <v>0.89084445346149954</v>
      </c>
      <c r="FF53" s="5">
        <f t="shared" si="129"/>
        <v>89.084445346149948</v>
      </c>
      <c r="FG53">
        <f t="shared" si="130"/>
        <v>48</v>
      </c>
      <c r="FI53" s="562">
        <f t="shared" si="90"/>
        <v>-50</v>
      </c>
      <c r="FJ53">
        <f t="shared" si="91"/>
        <v>-50</v>
      </c>
      <c r="FL53">
        <f t="shared" si="92"/>
        <v>0.78697421981004068</v>
      </c>
    </row>
    <row r="54" spans="5:168">
      <c r="E54" s="170">
        <v>49</v>
      </c>
      <c r="F54" s="217">
        <f t="shared" si="174"/>
        <v>4.9000000000000004</v>
      </c>
      <c r="G54" s="217">
        <f t="shared" si="171"/>
        <v>0.1225</v>
      </c>
      <c r="H54" s="217">
        <f t="shared" si="135"/>
        <v>73.5</v>
      </c>
      <c r="I54" s="217">
        <f t="shared" si="175"/>
        <v>0.98</v>
      </c>
      <c r="J54" s="541">
        <f t="shared" si="136"/>
        <v>57.652771403747032</v>
      </c>
      <c r="K54" s="443">
        <f t="shared" si="137"/>
        <v>15.886791379310344</v>
      </c>
      <c r="L54" s="172">
        <f t="shared" si="138"/>
        <v>73.539562783057377</v>
      </c>
      <c r="M54" s="443"/>
      <c r="N54" s="217">
        <f t="shared" si="139"/>
        <v>0.21603053891109708</v>
      </c>
      <c r="O54" s="172">
        <f t="shared" si="172"/>
        <v>307.27202161356314</v>
      </c>
      <c r="P54" s="172">
        <f t="shared" si="140"/>
        <v>4.1515864253565864</v>
      </c>
      <c r="Q54" s="217">
        <f t="shared" si="6"/>
        <v>20.48480144090421</v>
      </c>
      <c r="R54" s="217">
        <f t="shared" si="141"/>
        <v>38.409002701695393</v>
      </c>
      <c r="S54" s="443">
        <f t="shared" si="142"/>
        <v>15</v>
      </c>
      <c r="T54" s="217">
        <f t="shared" si="143"/>
        <v>11.960086638222528</v>
      </c>
      <c r="U54" s="217">
        <f t="shared" si="10"/>
        <v>2.4894039985273362</v>
      </c>
      <c r="V54" s="217">
        <f t="shared" si="11"/>
        <v>9.0339852920571726</v>
      </c>
      <c r="W54" s="197">
        <f t="shared" si="12"/>
        <v>103.78966063391465</v>
      </c>
      <c r="X54" s="443">
        <f t="shared" si="95"/>
        <v>85.299564418895244</v>
      </c>
      <c r="Z54" s="217">
        <f t="shared" si="13"/>
        <v>10</v>
      </c>
      <c r="AA54" s="173">
        <f t="shared" si="14"/>
        <v>7.5534446909322535</v>
      </c>
      <c r="AB54" s="173">
        <f t="shared" si="144"/>
        <v>3.9198473054445149</v>
      </c>
      <c r="AC54" s="173"/>
      <c r="AD54" s="173">
        <f t="shared" si="16"/>
        <v>7.5534446909322535</v>
      </c>
      <c r="AE54" s="545">
        <f t="shared" si="145"/>
        <v>129.74212959770114</v>
      </c>
      <c r="AF54" s="528">
        <f t="shared" si="146"/>
        <v>3.9198473054445149</v>
      </c>
      <c r="AH54" s="173">
        <f t="shared" si="147"/>
        <v>5.9553897157672786</v>
      </c>
      <c r="AI54" s="173">
        <f t="shared" si="148"/>
        <v>11.960086638222528</v>
      </c>
      <c r="AJ54" s="173">
        <f t="shared" si="149"/>
        <v>2.6519160283129835</v>
      </c>
      <c r="AL54" s="545">
        <f t="shared" si="150"/>
        <v>4900</v>
      </c>
      <c r="AM54" s="460">
        <f t="shared" si="151"/>
        <v>85.299564418895244</v>
      </c>
      <c r="AO54">
        <f t="shared" si="96"/>
        <v>4900</v>
      </c>
      <c r="AP54" s="460">
        <f t="shared" si="24"/>
        <v>85.299564418895244</v>
      </c>
      <c r="AQ54" s="460"/>
      <c r="AR54" s="5">
        <f t="shared" si="97"/>
        <v>11.72338929058451</v>
      </c>
      <c r="AS54" s="5">
        <f t="shared" si="25"/>
        <v>2.4894039985273362</v>
      </c>
      <c r="AT54" s="5">
        <f t="shared" si="98"/>
        <v>9.2339852920571737</v>
      </c>
      <c r="AU54" s="173">
        <f t="shared" si="99"/>
        <v>0.2123450767370379</v>
      </c>
      <c r="AW54" s="5">
        <f t="shared" si="152"/>
        <v>81.320530618559644</v>
      </c>
      <c r="AX54" s="5">
        <f t="shared" si="153"/>
        <v>3.8118998727449838</v>
      </c>
      <c r="AY54" s="5">
        <f t="shared" si="28"/>
        <v>4.0593671294967235</v>
      </c>
      <c r="AZ54" s="5"/>
      <c r="BA54" s="173">
        <f t="shared" si="100"/>
        <v>3.1819605901187633</v>
      </c>
      <c r="BB54" s="173">
        <f t="shared" si="154"/>
        <v>6.1283236642816172</v>
      </c>
      <c r="BC54" s="173">
        <f t="shared" si="155"/>
        <v>0.15092499063407278</v>
      </c>
      <c r="BD54" s="173"/>
      <c r="BE54" s="528">
        <f t="shared" si="31"/>
        <v>0.20249746394137899</v>
      </c>
      <c r="BF54" s="528">
        <f t="shared" si="156"/>
        <v>1.406706372014302</v>
      </c>
      <c r="BG54" s="528">
        <f t="shared" si="157"/>
        <v>0.12294390720704403</v>
      </c>
      <c r="BH54" s="528">
        <f t="shared" si="34"/>
        <v>4.6130578455384555E-2</v>
      </c>
      <c r="BI54">
        <f t="shared" si="35"/>
        <v>2.5943747131686165E-2</v>
      </c>
      <c r="BJ54" s="460">
        <f t="shared" si="101"/>
        <v>148.88765433873019</v>
      </c>
      <c r="BK54">
        <f t="shared" si="158"/>
        <v>1.7964416402781833</v>
      </c>
      <c r="BL54" s="460">
        <f t="shared" si="102"/>
        <v>1796.4416402781833</v>
      </c>
      <c r="BM54" s="173">
        <f t="shared" si="159"/>
        <v>3.0441250000000002</v>
      </c>
      <c r="BN54" s="173">
        <f t="shared" si="160"/>
        <v>5.4359374999999995E-2</v>
      </c>
      <c r="BO54" s="528"/>
      <c r="BQ54" s="460">
        <f t="shared" si="103"/>
        <v>3098.4843750000005</v>
      </c>
      <c r="BR54" s="528">
        <f t="shared" si="39"/>
        <v>0.30374619591206847</v>
      </c>
      <c r="BS54" s="528">
        <f t="shared" si="104"/>
        <v>1.1266905280258221</v>
      </c>
      <c r="BT54" s="528">
        <f t="shared" si="161"/>
        <v>1.1389176398947479E-4</v>
      </c>
      <c r="BU54" s="528">
        <f t="shared" si="41"/>
        <v>1.6621600971097725</v>
      </c>
      <c r="BV54" s="528">
        <f t="shared" si="162"/>
        <v>3.8800968563238665</v>
      </c>
      <c r="BW54" s="625">
        <f t="shared" si="163"/>
        <v>1.2201562948069357E-2</v>
      </c>
      <c r="BX54" s="460">
        <f t="shared" si="105"/>
        <v>3892.2984192719355</v>
      </c>
      <c r="BY54" s="173">
        <f t="shared" si="106"/>
        <v>8.7872244345501187</v>
      </c>
      <c r="BZ54" s="5">
        <f t="shared" si="107"/>
        <v>74.48</v>
      </c>
      <c r="CA54" s="173">
        <f t="shared" si="108"/>
        <v>0.89446958879412308</v>
      </c>
      <c r="CB54" s="5">
        <f t="shared" si="109"/>
        <v>89.446958879412307</v>
      </c>
      <c r="CC54">
        <f t="shared" si="173"/>
        <v>49.000000000000007</v>
      </c>
      <c r="CE54" s="562">
        <f t="shared" si="164"/>
        <v>-50</v>
      </c>
      <c r="CF54">
        <f t="shared" si="165"/>
        <v>-50</v>
      </c>
      <c r="CG54" s="173">
        <f t="shared" si="166"/>
        <v>0.78697421981004068</v>
      </c>
      <c r="CH54" s="173">
        <f t="shared" si="167"/>
        <v>9.2345221451934009E-2</v>
      </c>
      <c r="CI54" s="170">
        <v>49</v>
      </c>
      <c r="CJ54" s="217">
        <f t="shared" si="133"/>
        <v>4.9000000000000004</v>
      </c>
      <c r="CK54" s="217">
        <f t="shared" si="111"/>
        <v>0.1225</v>
      </c>
      <c r="CL54" s="217">
        <f t="shared" si="48"/>
        <v>73.5</v>
      </c>
      <c r="CM54" s="217">
        <f t="shared" si="134"/>
        <v>0.98</v>
      </c>
      <c r="CN54" s="541">
        <f t="shared" si="112"/>
        <v>58</v>
      </c>
      <c r="CO54" s="443">
        <f t="shared" si="168"/>
        <v>15.7</v>
      </c>
      <c r="CP54" s="443">
        <f t="shared" si="169"/>
        <v>73.7</v>
      </c>
      <c r="CQ54" s="443"/>
      <c r="CR54" s="217">
        <f t="shared" si="113"/>
        <v>0.2098092643051771</v>
      </c>
      <c r="CS54" s="172">
        <f t="shared" si="114"/>
        <v>300.22049333142121</v>
      </c>
      <c r="CT54" s="172">
        <f t="shared" si="51"/>
        <v>4.0563124432334243</v>
      </c>
      <c r="CU54" s="217">
        <f t="shared" si="52"/>
        <v>20.014699555428081</v>
      </c>
      <c r="CV54" s="217">
        <f t="shared" si="53"/>
        <v>37.527561666427651</v>
      </c>
      <c r="CW54" s="443">
        <f t="shared" si="54"/>
        <v>15</v>
      </c>
      <c r="CX54" s="217">
        <f t="shared" si="55"/>
        <v>12.241003134796239</v>
      </c>
      <c r="CY54" s="217">
        <f t="shared" si="56"/>
        <v>2.5326213382337048</v>
      </c>
      <c r="CZ54" s="217">
        <f t="shared" si="57"/>
        <v>9.3561807399716486</v>
      </c>
      <c r="DA54" s="197">
        <f t="shared" si="58"/>
        <v>102.962460425147</v>
      </c>
      <c r="DB54" s="443">
        <f t="shared" si="115"/>
        <v>84.112763710080429</v>
      </c>
      <c r="DD54" s="217">
        <f t="shared" si="59"/>
        <v>10</v>
      </c>
      <c r="DE54" s="173">
        <f t="shared" si="60"/>
        <v>7.6433121019108281</v>
      </c>
      <c r="DF54" s="173">
        <f t="shared" si="61"/>
        <v>3.9348710990502043</v>
      </c>
      <c r="DG54" s="173"/>
      <c r="DH54" s="173">
        <f t="shared" si="62"/>
        <v>7.6433121019108281</v>
      </c>
      <c r="DI54" s="545">
        <f t="shared" si="63"/>
        <v>128.2166666666667</v>
      </c>
      <c r="DJ54" s="528">
        <f t="shared" si="64"/>
        <v>3.9348710990502034</v>
      </c>
      <c r="DL54" s="173">
        <f t="shared" si="65"/>
        <v>5.9553897157672786</v>
      </c>
      <c r="DM54" s="173">
        <f t="shared" si="66"/>
        <v>12.241003134796239</v>
      </c>
      <c r="DN54" s="173">
        <f t="shared" si="67"/>
        <v>2.8600023220712885</v>
      </c>
      <c r="DP54" s="545">
        <f t="shared" si="68"/>
        <v>4900</v>
      </c>
      <c r="DQ54" s="460">
        <f t="shared" si="69"/>
        <v>84.112763710080429</v>
      </c>
      <c r="DS54">
        <f t="shared" si="116"/>
        <v>4900</v>
      </c>
      <c r="DT54" s="460">
        <f t="shared" si="70"/>
        <v>84.112763710080429</v>
      </c>
      <c r="DU54" s="460"/>
      <c r="DV54" s="5">
        <f t="shared" si="117"/>
        <v>11.888802078205352</v>
      </c>
      <c r="DW54" s="5">
        <f t="shared" si="71"/>
        <v>2.5326213382337048</v>
      </c>
      <c r="DX54" s="5">
        <f t="shared" si="118"/>
        <v>9.3561807399716468</v>
      </c>
      <c r="DY54" s="173">
        <f t="shared" si="119"/>
        <v>0.21302578018995932</v>
      </c>
      <c r="EA54" s="5">
        <f t="shared" si="72"/>
        <v>82.732297048967695</v>
      </c>
      <c r="EB54" s="5">
        <f t="shared" si="73"/>
        <v>3.8780764241703607</v>
      </c>
      <c r="EC54" s="5">
        <f t="shared" si="74"/>
        <v>4.0884618572408797</v>
      </c>
      <c r="ED54" s="5"/>
      <c r="EE54" s="173">
        <f t="shared" si="120"/>
        <v>3.2619136795858585</v>
      </c>
      <c r="EF54" s="173">
        <f t="shared" si="75"/>
        <v>6.2695538168433034</v>
      </c>
      <c r="EG54" s="173">
        <f t="shared" si="76"/>
        <v>0.15440312929323902</v>
      </c>
      <c r="EH54" s="173"/>
      <c r="EI54" s="528">
        <f t="shared" si="77"/>
        <v>0.21280161706138712</v>
      </c>
      <c r="EJ54" s="528">
        <f t="shared" si="78"/>
        <v>1.5176666666666669</v>
      </c>
      <c r="EK54" s="528">
        <f t="shared" si="79"/>
        <v>1.0514095463760054E-2</v>
      </c>
      <c r="EL54" s="528">
        <f t="shared" si="80"/>
        <v>4.568744575164068E-2</v>
      </c>
      <c r="EM54">
        <f t="shared" si="81"/>
        <v>2.6099999999999998E-2</v>
      </c>
      <c r="EN54" s="460">
        <f t="shared" si="121"/>
        <v>36.614095463760052</v>
      </c>
      <c r="EO54">
        <f t="shared" si="82"/>
        <v>1.9698238327414128</v>
      </c>
      <c r="EP54" s="460">
        <f t="shared" si="122"/>
        <v>1969.8238327414128</v>
      </c>
      <c r="EQ54" s="173">
        <f t="shared" si="83"/>
        <v>3.0441250000000002</v>
      </c>
      <c r="ER54" s="173">
        <f t="shared" si="170"/>
        <v>5.4359374999999995E-2</v>
      </c>
      <c r="ES54" s="528"/>
      <c r="EU54" s="460">
        <f t="shared" si="123"/>
        <v>3098.4843750000005</v>
      </c>
      <c r="EV54" s="528">
        <f t="shared" si="85"/>
        <v>0.31920242559208062</v>
      </c>
      <c r="EW54" s="528">
        <f t="shared" si="124"/>
        <v>1.1792191518688329</v>
      </c>
      <c r="EX54" s="528">
        <f t="shared" si="86"/>
        <v>1.1920163167772342E-4</v>
      </c>
      <c r="EY54" s="528">
        <f t="shared" si="87"/>
        <v>1.7008549743586536</v>
      </c>
      <c r="EZ54" s="528">
        <f t="shared" si="88"/>
        <v>4.0438334917310117</v>
      </c>
      <c r="FA54" s="625">
        <f t="shared" si="89"/>
        <v>1.2603638008305579E-2</v>
      </c>
      <c r="FB54" s="460">
        <f t="shared" si="125"/>
        <v>4056.4371297393168</v>
      </c>
      <c r="FC54" s="173">
        <f t="shared" si="126"/>
        <v>9.1247453374807304</v>
      </c>
      <c r="FD54" s="5">
        <f t="shared" si="127"/>
        <v>74.48</v>
      </c>
      <c r="FE54" s="173">
        <f t="shared" si="128"/>
        <v>0.89085852363227003</v>
      </c>
      <c r="FF54" s="5">
        <f t="shared" si="129"/>
        <v>89.085852363227005</v>
      </c>
      <c r="FG54">
        <f t="shared" si="130"/>
        <v>49.000000000000007</v>
      </c>
      <c r="FI54" s="562">
        <f t="shared" si="90"/>
        <v>-50</v>
      </c>
      <c r="FJ54">
        <f t="shared" si="91"/>
        <v>-50</v>
      </c>
      <c r="FL54">
        <f t="shared" si="92"/>
        <v>0.78697421981004068</v>
      </c>
    </row>
    <row r="55" spans="5:168">
      <c r="E55" s="170">
        <v>50</v>
      </c>
      <c r="F55" s="217">
        <f t="shared" si="174"/>
        <v>5</v>
      </c>
      <c r="G55" s="217">
        <f t="shared" si="171"/>
        <v>0.125</v>
      </c>
      <c r="H55" s="217">
        <f t="shared" si="135"/>
        <v>75</v>
      </c>
      <c r="I55" s="217">
        <f t="shared" si="175"/>
        <v>1</v>
      </c>
      <c r="J55" s="541">
        <f t="shared" si="136"/>
        <v>57.645685105864317</v>
      </c>
      <c r="K55" s="443">
        <f t="shared" si="137"/>
        <v>15.890603448275861</v>
      </c>
      <c r="L55" s="172">
        <f t="shared" si="138"/>
        <v>73.536288554140185</v>
      </c>
      <c r="M55" s="443"/>
      <c r="N55" s="217">
        <f t="shared" si="139"/>
        <v>0.21609199703594778</v>
      </c>
      <c r="O55" s="172">
        <f t="shared" si="172"/>
        <v>307.32165826558253</v>
      </c>
      <c r="P55" s="172">
        <f t="shared" si="140"/>
        <v>4.1522570716772043</v>
      </c>
      <c r="Q55" s="217">
        <f t="shared" si="6"/>
        <v>20.488110551038837</v>
      </c>
      <c r="R55" s="217">
        <f t="shared" si="141"/>
        <v>38.415207283197816</v>
      </c>
      <c r="S55" s="443">
        <f t="shared" si="142"/>
        <v>15</v>
      </c>
      <c r="T55" s="217">
        <f t="shared" si="143"/>
        <v>12.202198898586278</v>
      </c>
      <c r="U55" s="217">
        <f t="shared" si="10"/>
        <v>2.5401100969505057</v>
      </c>
      <c r="V55" s="217">
        <f t="shared" si="11"/>
        <v>9.2146523736279313</v>
      </c>
      <c r="W55" s="197">
        <f t="shared" si="12"/>
        <v>103.80642679193009</v>
      </c>
      <c r="X55" s="443">
        <f t="shared" si="95"/>
        <v>83.648671603561738</v>
      </c>
      <c r="Z55" s="217">
        <f t="shared" si="13"/>
        <v>10</v>
      </c>
      <c r="AA55" s="173">
        <f t="shared" si="14"/>
        <v>7.5516326608112587</v>
      </c>
      <c r="AB55" s="173">
        <f t="shared" si="144"/>
        <v>3.919540014820261</v>
      </c>
      <c r="AC55" s="173"/>
      <c r="AD55" s="173">
        <f t="shared" si="16"/>
        <v>7.5516326608112587</v>
      </c>
      <c r="AE55" s="545">
        <f t="shared" si="145"/>
        <v>132.42169540229884</v>
      </c>
      <c r="AF55" s="528">
        <f t="shared" si="146"/>
        <v>3.9195400148202606</v>
      </c>
      <c r="AH55" s="173">
        <f t="shared" si="147"/>
        <v>6.0158520751823836</v>
      </c>
      <c r="AI55" s="173">
        <f t="shared" si="148"/>
        <v>12.202198898586278</v>
      </c>
      <c r="AJ55" s="173">
        <f t="shared" si="149"/>
        <v>2.8312584433972434</v>
      </c>
      <c r="AL55" s="545">
        <f t="shared" si="150"/>
        <v>5000</v>
      </c>
      <c r="AM55" s="460">
        <f t="shared" si="151"/>
        <v>83.648671603561738</v>
      </c>
      <c r="AO55">
        <f t="shared" si="96"/>
        <v>5000</v>
      </c>
      <c r="AP55" s="460">
        <f t="shared" si="24"/>
        <v>83.648671603561738</v>
      </c>
      <c r="AQ55" s="460"/>
      <c r="AR55" s="5">
        <f t="shared" si="97"/>
        <v>11.954762470578435</v>
      </c>
      <c r="AS55" s="5">
        <f t="shared" si="25"/>
        <v>2.5401100969505057</v>
      </c>
      <c r="AT55" s="5">
        <f t="shared" si="98"/>
        <v>9.4146523736279306</v>
      </c>
      <c r="AU55" s="173">
        <f t="shared" si="99"/>
        <v>0.21247683533670422</v>
      </c>
      <c r="AW55" s="5">
        <f t="shared" si="152"/>
        <v>84.670336565016868</v>
      </c>
      <c r="AX55" s="5">
        <f t="shared" si="153"/>
        <v>3.9689220264851652</v>
      </c>
      <c r="AY55" s="5">
        <f t="shared" si="28"/>
        <v>4.22377474612348</v>
      </c>
      <c r="AZ55" s="5"/>
      <c r="BA55" s="173">
        <f t="shared" si="100"/>
        <v>3.2473811625773545</v>
      </c>
      <c r="BB55" s="173">
        <f t="shared" si="154"/>
        <v>6.2518585160860605</v>
      </c>
      <c r="BC55" s="173">
        <f t="shared" si="155"/>
        <v>0.15396733914125671</v>
      </c>
      <c r="BD55" s="173"/>
      <c r="BE55" s="528">
        <f t="shared" si="31"/>
        <v>0.21090968830124504</v>
      </c>
      <c r="BF55" s="528">
        <f t="shared" si="156"/>
        <v>1.4073435504413805</v>
      </c>
      <c r="BG55" s="528">
        <f t="shared" si="157"/>
        <v>0.12054962456956934</v>
      </c>
      <c r="BH55" s="528">
        <f t="shared" si="34"/>
        <v>4.5233736325805234E-2</v>
      </c>
      <c r="BI55">
        <f t="shared" si="35"/>
        <v>2.594055829763894E-2</v>
      </c>
      <c r="BJ55" s="460">
        <f t="shared" si="101"/>
        <v>146.49018286720826</v>
      </c>
      <c r="BK55">
        <f t="shared" si="158"/>
        <v>1.8111954756682194</v>
      </c>
      <c r="BL55" s="460">
        <f t="shared" si="102"/>
        <v>1811.1954756682194</v>
      </c>
      <c r="BM55" s="173">
        <f t="shared" si="159"/>
        <v>3.1062499999999997</v>
      </c>
      <c r="BN55" s="173">
        <f t="shared" si="160"/>
        <v>5.5468749999999997E-2</v>
      </c>
      <c r="BO55" s="528"/>
      <c r="BQ55" s="460">
        <f t="shared" si="103"/>
        <v>3161.71875</v>
      </c>
      <c r="BR55" s="528">
        <f t="shared" si="39"/>
        <v>0.31636453245186752</v>
      </c>
      <c r="BS55" s="528">
        <f t="shared" si="104"/>
        <v>1.1725720471547338</v>
      </c>
      <c r="BT55" s="528">
        <f t="shared" si="161"/>
        <v>1.185297076111938E-4</v>
      </c>
      <c r="BU55" s="528">
        <f t="shared" si="41"/>
        <v>1.6642281933739069</v>
      </c>
      <c r="BV55" s="528">
        <f t="shared" si="162"/>
        <v>3.9854169689528782</v>
      </c>
      <c r="BW55" s="625">
        <f t="shared" si="163"/>
        <v>1.2454756698604311E-2</v>
      </c>
      <c r="BX55" s="460">
        <f t="shared" si="105"/>
        <v>3997.8717256514824</v>
      </c>
      <c r="BY55" s="173">
        <f t="shared" si="106"/>
        <v>8.9707859513197015</v>
      </c>
      <c r="BZ55" s="5">
        <f t="shared" si="107"/>
        <v>76</v>
      </c>
      <c r="CA55" s="173">
        <f t="shared" si="108"/>
        <v>0.89442505620156176</v>
      </c>
      <c r="CB55" s="5">
        <f t="shared" si="109"/>
        <v>89.442505620156183</v>
      </c>
      <c r="CC55">
        <f t="shared" si="173"/>
        <v>50</v>
      </c>
      <c r="CE55" s="562">
        <f t="shared" si="164"/>
        <v>-50</v>
      </c>
      <c r="CF55">
        <f t="shared" si="165"/>
        <v>-50</v>
      </c>
      <c r="CG55" s="173">
        <f t="shared" si="166"/>
        <v>0.78697421981004068</v>
      </c>
      <c r="CH55" s="173">
        <f t="shared" si="167"/>
        <v>9.2345221451934009E-2</v>
      </c>
      <c r="CI55" s="170">
        <v>50</v>
      </c>
      <c r="CJ55" s="217">
        <f t="shared" si="133"/>
        <v>5</v>
      </c>
      <c r="CK55" s="217">
        <f t="shared" si="111"/>
        <v>0.125</v>
      </c>
      <c r="CL55" s="217">
        <f t="shared" si="48"/>
        <v>75</v>
      </c>
      <c r="CM55" s="217">
        <f t="shared" si="134"/>
        <v>1</v>
      </c>
      <c r="CN55" s="541">
        <f t="shared" si="112"/>
        <v>58</v>
      </c>
      <c r="CO55" s="443">
        <f t="shared" si="168"/>
        <v>15.7</v>
      </c>
      <c r="CP55" s="443">
        <f t="shared" si="169"/>
        <v>73.7</v>
      </c>
      <c r="CQ55" s="443"/>
      <c r="CR55" s="217">
        <f t="shared" si="113"/>
        <v>0.2098092643051771</v>
      </c>
      <c r="CS55" s="172">
        <f t="shared" si="114"/>
        <v>300.22049333142121</v>
      </c>
      <c r="CT55" s="172">
        <f t="shared" si="51"/>
        <v>4.0563124432334243</v>
      </c>
      <c r="CU55" s="217">
        <f t="shared" si="52"/>
        <v>20.014699555428081</v>
      </c>
      <c r="CV55" s="217">
        <f t="shared" si="53"/>
        <v>37.527561666427651</v>
      </c>
      <c r="CW55" s="443">
        <f t="shared" si="54"/>
        <v>15</v>
      </c>
      <c r="CX55" s="217">
        <f t="shared" si="55"/>
        <v>12.490819525302284</v>
      </c>
      <c r="CY55" s="217">
        <f t="shared" si="56"/>
        <v>2.5843074879935761</v>
      </c>
      <c r="CZ55" s="217">
        <f t="shared" si="57"/>
        <v>9.5471232040527028</v>
      </c>
      <c r="DA55" s="197">
        <f t="shared" si="58"/>
        <v>102.962460425147</v>
      </c>
      <c r="DB55" s="443">
        <f t="shared" si="115"/>
        <v>82.430508435878821</v>
      </c>
      <c r="DD55" s="217">
        <f t="shared" si="59"/>
        <v>10</v>
      </c>
      <c r="DE55" s="173">
        <f t="shared" si="60"/>
        <v>7.6433121019108281</v>
      </c>
      <c r="DF55" s="173">
        <f t="shared" si="61"/>
        <v>3.9348710990502043</v>
      </c>
      <c r="DG55" s="173"/>
      <c r="DH55" s="173">
        <f t="shared" si="62"/>
        <v>7.6433121019108281</v>
      </c>
      <c r="DI55" s="545">
        <f t="shared" si="63"/>
        <v>130.83333333333334</v>
      </c>
      <c r="DJ55" s="528">
        <f t="shared" si="64"/>
        <v>3.9348710990502034</v>
      </c>
      <c r="DL55" s="173">
        <f t="shared" si="65"/>
        <v>6.0158520751823836</v>
      </c>
      <c r="DM55" s="173">
        <f t="shared" si="66"/>
        <v>12.490819525302284</v>
      </c>
      <c r="DN55" s="173">
        <f t="shared" si="67"/>
        <v>3.0450515002239138</v>
      </c>
      <c r="DP55" s="545">
        <f t="shared" si="68"/>
        <v>5000</v>
      </c>
      <c r="DQ55" s="460">
        <f t="shared" si="69"/>
        <v>82.430508435878821</v>
      </c>
      <c r="DS55">
        <f t="shared" si="116"/>
        <v>5000</v>
      </c>
      <c r="DT55" s="460">
        <f t="shared" si="70"/>
        <v>82.430508435878821</v>
      </c>
      <c r="DU55" s="460"/>
      <c r="DV55" s="5">
        <f t="shared" si="117"/>
        <v>12.131430692046278</v>
      </c>
      <c r="DW55" s="5">
        <f t="shared" si="71"/>
        <v>2.5843074879935761</v>
      </c>
      <c r="DX55" s="5">
        <f t="shared" si="118"/>
        <v>9.5471232040527028</v>
      </c>
      <c r="DY55" s="173">
        <f t="shared" si="119"/>
        <v>0.2130257801899593</v>
      </c>
      <c r="EA55" s="5">
        <f t="shared" si="72"/>
        <v>86.143582933119205</v>
      </c>
      <c r="EB55" s="5">
        <f t="shared" si="73"/>
        <v>4.0379804499899628</v>
      </c>
      <c r="EC55" s="5">
        <f t="shared" si="74"/>
        <v>4.2570406676810499</v>
      </c>
      <c r="ED55" s="5"/>
      <c r="EE55" s="173">
        <f t="shared" si="120"/>
        <v>3.3284833465161818</v>
      </c>
      <c r="EF55" s="173">
        <f t="shared" si="75"/>
        <v>6.3975038947380636</v>
      </c>
      <c r="EG55" s="173">
        <f t="shared" si="76"/>
        <v>0.15755421356452959</v>
      </c>
      <c r="EH55" s="173"/>
      <c r="EI55" s="528">
        <f t="shared" si="77"/>
        <v>0.22157602776071122</v>
      </c>
      <c r="EJ55" s="528">
        <f t="shared" si="78"/>
        <v>1.5176666666666665</v>
      </c>
      <c r="EK55" s="528">
        <f t="shared" si="79"/>
        <v>1.0303813554484852E-2</v>
      </c>
      <c r="EL55" s="528">
        <f t="shared" si="80"/>
        <v>4.4773696836607868E-2</v>
      </c>
      <c r="EM55">
        <f t="shared" si="81"/>
        <v>2.6099999999999998E-2</v>
      </c>
      <c r="EN55" s="460">
        <f t="shared" si="121"/>
        <v>36.403813554484856</v>
      </c>
      <c r="EO55">
        <f t="shared" si="82"/>
        <v>1.9847350131205521</v>
      </c>
      <c r="EP55" s="460">
        <f t="shared" si="122"/>
        <v>1984.7350131205521</v>
      </c>
      <c r="EQ55" s="173">
        <f t="shared" si="83"/>
        <v>3.1062499999999997</v>
      </c>
      <c r="ER55" s="173">
        <f t="shared" si="170"/>
        <v>5.5468749999999997E-2</v>
      </c>
      <c r="ES55" s="528"/>
      <c r="EU55" s="460">
        <f t="shared" si="123"/>
        <v>3161.71875</v>
      </c>
      <c r="EV55" s="528">
        <f t="shared" si="85"/>
        <v>0.33236404164106681</v>
      </c>
      <c r="EW55" s="528">
        <f t="shared" si="124"/>
        <v>1.2278416824956608</v>
      </c>
      <c r="EX55" s="528">
        <f t="shared" si="86"/>
        <v>1.24116651059687E-4</v>
      </c>
      <c r="EY55" s="528">
        <f t="shared" si="87"/>
        <v>1.7008549743586538</v>
      </c>
      <c r="EZ55" s="528">
        <f t="shared" si="88"/>
        <v>4.1542202872930609</v>
      </c>
      <c r="FA55" s="625">
        <f t="shared" si="89"/>
        <v>1.2860855110515896E-2</v>
      </c>
      <c r="FB55" s="460">
        <f t="shared" si="125"/>
        <v>4167.0811424035765</v>
      </c>
      <c r="FC55" s="173">
        <f t="shared" si="126"/>
        <v>9.3135349055241274</v>
      </c>
      <c r="FD55" s="5">
        <f t="shared" si="127"/>
        <v>76</v>
      </c>
      <c r="FE55" s="173">
        <f t="shared" si="128"/>
        <v>0.89083168437648386</v>
      </c>
      <c r="FF55" s="5">
        <f t="shared" si="129"/>
        <v>89.083168437648382</v>
      </c>
      <c r="FG55">
        <f t="shared" si="130"/>
        <v>50</v>
      </c>
      <c r="FI55" s="562">
        <f t="shared" si="90"/>
        <v>-50</v>
      </c>
      <c r="FJ55">
        <f t="shared" si="91"/>
        <v>-50</v>
      </c>
      <c r="FL55">
        <f t="shared" si="92"/>
        <v>0.78697421981004068</v>
      </c>
    </row>
    <row r="56" spans="5:168">
      <c r="E56" s="170">
        <v>51</v>
      </c>
      <c r="F56" s="217">
        <f t="shared" si="174"/>
        <v>5.0999999999999996</v>
      </c>
      <c r="G56" s="217">
        <f t="shared" si="171"/>
        <v>0.1275</v>
      </c>
      <c r="H56" s="217">
        <f t="shared" si="135"/>
        <v>76.5</v>
      </c>
      <c r="I56" s="217">
        <f t="shared" si="175"/>
        <v>1.02</v>
      </c>
      <c r="J56" s="541">
        <f t="shared" si="136"/>
        <v>57.638598807981609</v>
      </c>
      <c r="K56" s="443">
        <f t="shared" si="137"/>
        <v>15.894415517241379</v>
      </c>
      <c r="L56" s="172">
        <f t="shared" si="138"/>
        <v>73.533014325222993</v>
      </c>
      <c r="M56" s="443"/>
      <c r="N56" s="217">
        <f t="shared" si="139"/>
        <v>0.21615346063393109</v>
      </c>
      <c r="O56" s="172">
        <f t="shared" si="172"/>
        <v>307.3712812114145</v>
      </c>
      <c r="P56" s="172">
        <f t="shared" si="140"/>
        <v>4.1529275328120008</v>
      </c>
      <c r="Q56" s="217">
        <f t="shared" si="6"/>
        <v>20.491418747427634</v>
      </c>
      <c r="R56" s="217">
        <f t="shared" si="141"/>
        <v>38.421410151426812</v>
      </c>
      <c r="S56" s="443">
        <f t="shared" si="142"/>
        <v>15</v>
      </c>
      <c r="T56" s="217">
        <f t="shared" si="143"/>
        <v>12.444233517604101</v>
      </c>
      <c r="U56" s="217">
        <f t="shared" si="10"/>
        <v>2.5908124989077694</v>
      </c>
      <c r="V56" s="217">
        <f t="shared" si="11"/>
        <v>9.3951741760660177</v>
      </c>
      <c r="W56" s="197">
        <f t="shared" si="12"/>
        <v>103.82318832029999</v>
      </c>
      <c r="X56" s="443">
        <f t="shared" si="95"/>
        <v>82.061471645434167</v>
      </c>
      <c r="Z56" s="217">
        <f t="shared" si="13"/>
        <v>10</v>
      </c>
      <c r="AA56" s="173">
        <f t="shared" si="14"/>
        <v>7.5498214998740067</v>
      </c>
      <c r="AB56" s="173">
        <f t="shared" si="144"/>
        <v>3.9192326968303437</v>
      </c>
      <c r="AC56" s="173"/>
      <c r="AD56" s="173">
        <f t="shared" si="16"/>
        <v>7.5498214998740067</v>
      </c>
      <c r="AE56" s="545">
        <f t="shared" si="145"/>
        <v>135.10253189655171</v>
      </c>
      <c r="AF56" s="528">
        <f t="shared" si="146"/>
        <v>3.9192326968303441</v>
      </c>
      <c r="AH56" s="173">
        <f t="shared" si="147"/>
        <v>6.0757127741760231</v>
      </c>
      <c r="AI56" s="173">
        <f t="shared" si="148"/>
        <v>12.444233517604101</v>
      </c>
      <c r="AJ56" s="173">
        <f t="shared" si="149"/>
        <v>3.0105433463734075</v>
      </c>
      <c r="AL56" s="545">
        <f t="shared" si="150"/>
        <v>5100</v>
      </c>
      <c r="AM56" s="460">
        <f t="shared" si="151"/>
        <v>82.061471645434167</v>
      </c>
      <c r="AO56">
        <f t="shared" si="96"/>
        <v>5100</v>
      </c>
      <c r="AP56" s="460">
        <f t="shared" si="24"/>
        <v>82.061471645434167</v>
      </c>
      <c r="AQ56" s="460"/>
      <c r="AR56" s="5">
        <f t="shared" si="97"/>
        <v>12.185986674973787</v>
      </c>
      <c r="AS56" s="5">
        <f t="shared" si="25"/>
        <v>2.5908124989077694</v>
      </c>
      <c r="AT56" s="5">
        <f t="shared" si="98"/>
        <v>9.595174176066017</v>
      </c>
      <c r="AU56" s="173">
        <f t="shared" si="99"/>
        <v>0.21260588641775635</v>
      </c>
      <c r="AW56" s="5">
        <f t="shared" si="152"/>
        <v>88.087624962864155</v>
      </c>
      <c r="AX56" s="5">
        <f t="shared" si="153"/>
        <v>4.1291074201342584</v>
      </c>
      <c r="AY56" s="5">
        <f t="shared" si="28"/>
        <v>4.3913988653046561</v>
      </c>
      <c r="AZ56" s="5"/>
      <c r="BA56" s="173">
        <f t="shared" si="100"/>
        <v>3.3127996154000874</v>
      </c>
      <c r="BB56" s="173">
        <f t="shared" si="154"/>
        <v>6.3753437545300624</v>
      </c>
      <c r="BC56" s="173">
        <f t="shared" si="155"/>
        <v>0.15700846579783842</v>
      </c>
      <c r="BD56" s="173"/>
      <c r="BE56" s="528">
        <f t="shared" si="31"/>
        <v>0.21949282583589935</v>
      </c>
      <c r="BF56" s="528">
        <f t="shared" si="156"/>
        <v>1.4079625217109843</v>
      </c>
      <c r="BG56" s="528">
        <f t="shared" si="157"/>
        <v>0.11824770604409346</v>
      </c>
      <c r="BH56" s="528">
        <f t="shared" si="34"/>
        <v>4.4371492764372987E-2</v>
      </c>
      <c r="BI56">
        <f t="shared" si="35"/>
        <v>2.5937369463591722E-2</v>
      </c>
      <c r="BJ56" s="460">
        <f t="shared" si="101"/>
        <v>144.18507550768516</v>
      </c>
      <c r="BK56">
        <f t="shared" si="158"/>
        <v>1.8263360599502887</v>
      </c>
      <c r="BL56" s="460">
        <f t="shared" si="102"/>
        <v>1826.3360599502887</v>
      </c>
      <c r="BM56" s="173">
        <f t="shared" si="159"/>
        <v>3.1683749999999993</v>
      </c>
      <c r="BN56" s="173">
        <f t="shared" si="160"/>
        <v>5.6578125E-2</v>
      </c>
      <c r="BO56" s="528"/>
      <c r="BQ56" s="460">
        <f t="shared" si="103"/>
        <v>3224.9531249999995</v>
      </c>
      <c r="BR56" s="528">
        <f t="shared" si="39"/>
        <v>0.32923923875384897</v>
      </c>
      <c r="BS56" s="528">
        <f t="shared" si="104"/>
        <v>1.2193502396527642</v>
      </c>
      <c r="BT56" s="528">
        <f t="shared" si="161"/>
        <v>1.23258291660955E-4</v>
      </c>
      <c r="BU56" s="528">
        <f t="shared" si="41"/>
        <v>1.6662441487728969</v>
      </c>
      <c r="BV56" s="528">
        <f t="shared" si="162"/>
        <v>4.0938656982108643</v>
      </c>
      <c r="BW56" s="625">
        <f t="shared" si="163"/>
        <v>1.2707953157268199E-2</v>
      </c>
      <c r="BX56" s="460">
        <f t="shared" si="105"/>
        <v>4106.5736513681331</v>
      </c>
      <c r="BY56" s="173">
        <f t="shared" si="106"/>
        <v>9.1578628363184187</v>
      </c>
      <c r="BZ56" s="5">
        <f t="shared" si="107"/>
        <v>77.52</v>
      </c>
      <c r="CA56" s="173">
        <f t="shared" si="108"/>
        <v>0.89434600096668249</v>
      </c>
      <c r="CB56" s="5">
        <f t="shared" si="109"/>
        <v>89.434600096668248</v>
      </c>
      <c r="CC56">
        <f t="shared" si="173"/>
        <v>51</v>
      </c>
      <c r="CE56" s="562">
        <f t="shared" si="164"/>
        <v>-50</v>
      </c>
      <c r="CF56">
        <f t="shared" si="165"/>
        <v>-50</v>
      </c>
      <c r="CG56" s="173">
        <f t="shared" si="166"/>
        <v>0.78697421981004068</v>
      </c>
      <c r="CH56" s="173">
        <f t="shared" si="167"/>
        <v>9.2345221451934009E-2</v>
      </c>
      <c r="CI56" s="170">
        <v>51</v>
      </c>
      <c r="CJ56" s="217">
        <f t="shared" si="133"/>
        <v>5.0999999999999996</v>
      </c>
      <c r="CK56" s="217">
        <f t="shared" si="111"/>
        <v>0.1275</v>
      </c>
      <c r="CL56" s="217">
        <f t="shared" si="48"/>
        <v>76.5</v>
      </c>
      <c r="CM56" s="217">
        <f t="shared" si="134"/>
        <v>1.02</v>
      </c>
      <c r="CN56" s="541">
        <f t="shared" si="112"/>
        <v>58</v>
      </c>
      <c r="CO56" s="443">
        <f t="shared" si="168"/>
        <v>15.7</v>
      </c>
      <c r="CP56" s="443">
        <f t="shared" si="169"/>
        <v>73.7</v>
      </c>
      <c r="CQ56" s="443"/>
      <c r="CR56" s="217">
        <f t="shared" si="113"/>
        <v>0.2098092643051771</v>
      </c>
      <c r="CS56" s="172">
        <f t="shared" si="114"/>
        <v>300.22049333142121</v>
      </c>
      <c r="CT56" s="172">
        <f t="shared" si="51"/>
        <v>4.0563124432334243</v>
      </c>
      <c r="CU56" s="217">
        <f t="shared" si="52"/>
        <v>20.014699555428081</v>
      </c>
      <c r="CV56" s="217">
        <f t="shared" si="53"/>
        <v>37.527561666427651</v>
      </c>
      <c r="CW56" s="443">
        <f t="shared" si="54"/>
        <v>15</v>
      </c>
      <c r="CX56" s="217">
        <f t="shared" si="55"/>
        <v>12.74063591580833</v>
      </c>
      <c r="CY56" s="217">
        <f t="shared" si="56"/>
        <v>2.6359936377534474</v>
      </c>
      <c r="CZ56" s="217">
        <f t="shared" si="57"/>
        <v>9.738065668133757</v>
      </c>
      <c r="DA56" s="197">
        <f t="shared" si="58"/>
        <v>102.962460425147</v>
      </c>
      <c r="DB56" s="443">
        <f t="shared" si="115"/>
        <v>80.814223956743945</v>
      </c>
      <c r="DD56" s="217">
        <f t="shared" si="59"/>
        <v>10</v>
      </c>
      <c r="DE56" s="173">
        <f t="shared" si="60"/>
        <v>7.6433121019108281</v>
      </c>
      <c r="DF56" s="173">
        <f t="shared" si="61"/>
        <v>3.9348710990502043</v>
      </c>
      <c r="DG56" s="173"/>
      <c r="DH56" s="173">
        <f t="shared" si="62"/>
        <v>7.6433121019108281</v>
      </c>
      <c r="DI56" s="545">
        <f t="shared" si="63"/>
        <v>133.44999999999999</v>
      </c>
      <c r="DJ56" s="528">
        <f t="shared" si="64"/>
        <v>3.9348710990502034</v>
      </c>
      <c r="DL56" s="173">
        <f t="shared" si="65"/>
        <v>6.0757127741760231</v>
      </c>
      <c r="DM56" s="173">
        <f t="shared" si="66"/>
        <v>12.74063591580833</v>
      </c>
      <c r="DN56" s="173">
        <f t="shared" si="67"/>
        <v>3.2301006783765409</v>
      </c>
      <c r="DP56" s="545">
        <f t="shared" si="68"/>
        <v>5100</v>
      </c>
      <c r="DQ56" s="460">
        <f t="shared" si="69"/>
        <v>80.814223956743945</v>
      </c>
      <c r="DS56">
        <f t="shared" si="116"/>
        <v>5100</v>
      </c>
      <c r="DT56" s="460">
        <f t="shared" si="70"/>
        <v>80.814223956743945</v>
      </c>
      <c r="DU56" s="460"/>
      <c r="DV56" s="5">
        <f t="shared" si="117"/>
        <v>12.374059305887204</v>
      </c>
      <c r="DW56" s="5">
        <f t="shared" si="71"/>
        <v>2.6359936377534474</v>
      </c>
      <c r="DX56" s="5">
        <f t="shared" si="118"/>
        <v>9.738065668133757</v>
      </c>
      <c r="DY56" s="173">
        <f t="shared" si="119"/>
        <v>0.21302578018995927</v>
      </c>
      <c r="EA56" s="5">
        <f t="shared" si="72"/>
        <v>89.623783683617205</v>
      </c>
      <c r="EB56" s="5">
        <f t="shared" si="73"/>
        <v>4.2011148601695565</v>
      </c>
      <c r="EC56" s="5">
        <f t="shared" si="74"/>
        <v>4.4290251106553642</v>
      </c>
      <c r="ED56" s="5"/>
      <c r="EE56" s="173">
        <f t="shared" si="120"/>
        <v>3.3950530134465056</v>
      </c>
      <c r="EF56" s="173">
        <f t="shared" si="75"/>
        <v>6.5254539726328256</v>
      </c>
      <c r="EG56" s="173">
        <f t="shared" si="76"/>
        <v>0.16070529783582019</v>
      </c>
      <c r="EH56" s="173"/>
      <c r="EI56" s="528">
        <f t="shared" si="77"/>
        <v>0.23052769928224398</v>
      </c>
      <c r="EJ56" s="528">
        <f t="shared" si="78"/>
        <v>1.5176666666666665</v>
      </c>
      <c r="EK56" s="528">
        <f t="shared" si="79"/>
        <v>1.0101777994592992E-2</v>
      </c>
      <c r="EL56" s="528">
        <f t="shared" si="80"/>
        <v>4.3895781212360659E-2</v>
      </c>
      <c r="EM56">
        <f t="shared" si="81"/>
        <v>2.6099999999999998E-2</v>
      </c>
      <c r="EN56" s="460">
        <f t="shared" si="121"/>
        <v>36.201777994592987</v>
      </c>
      <c r="EO56">
        <f t="shared" si="82"/>
        <v>2.0000858700542183</v>
      </c>
      <c r="EP56" s="460">
        <f t="shared" si="122"/>
        <v>2000.0858700542183</v>
      </c>
      <c r="EQ56" s="173">
        <f t="shared" si="83"/>
        <v>3.1683749999999993</v>
      </c>
      <c r="ER56" s="173">
        <f t="shared" si="170"/>
        <v>5.6578125E-2</v>
      </c>
      <c r="ES56" s="528"/>
      <c r="EU56" s="460">
        <f t="shared" si="123"/>
        <v>3224.9531249999995</v>
      </c>
      <c r="EV56" s="528">
        <f t="shared" si="85"/>
        <v>0.34579154892336594</v>
      </c>
      <c r="EW56" s="528">
        <f t="shared" si="124"/>
        <v>1.2774464864684858</v>
      </c>
      <c r="EX56" s="528">
        <f t="shared" si="86"/>
        <v>1.2913096376249836E-4</v>
      </c>
      <c r="EY56" s="528">
        <f t="shared" si="87"/>
        <v>1.7008549743586536</v>
      </c>
      <c r="EZ56" s="528">
        <f t="shared" si="88"/>
        <v>4.2681295735566795</v>
      </c>
      <c r="FA56" s="625">
        <f t="shared" si="89"/>
        <v>1.3118072212726215E-2</v>
      </c>
      <c r="FB56" s="460">
        <f t="shared" si="125"/>
        <v>4281.2476457694056</v>
      </c>
      <c r="FC56" s="173">
        <f t="shared" si="126"/>
        <v>9.5062866408236246</v>
      </c>
      <c r="FD56" s="5">
        <f t="shared" si="127"/>
        <v>77.52</v>
      </c>
      <c r="FE56" s="173">
        <f t="shared" si="128"/>
        <v>0.89076534219990178</v>
      </c>
      <c r="FF56" s="5">
        <f t="shared" si="129"/>
        <v>89.07653421999018</v>
      </c>
      <c r="FG56">
        <f t="shared" si="130"/>
        <v>51</v>
      </c>
      <c r="FI56" s="562">
        <f t="shared" si="90"/>
        <v>-50</v>
      </c>
      <c r="FJ56">
        <f t="shared" si="91"/>
        <v>-50</v>
      </c>
      <c r="FL56">
        <f t="shared" si="92"/>
        <v>0.78697421981004068</v>
      </c>
    </row>
    <row r="57" spans="5:168">
      <c r="E57" s="170">
        <v>52</v>
      </c>
      <c r="F57" s="217">
        <f t="shared" si="174"/>
        <v>5.2</v>
      </c>
      <c r="G57" s="217">
        <f t="shared" si="171"/>
        <v>0.13</v>
      </c>
      <c r="H57" s="217">
        <f t="shared" si="135"/>
        <v>78</v>
      </c>
      <c r="I57" s="217">
        <f t="shared" si="175"/>
        <v>1.04</v>
      </c>
      <c r="J57" s="541">
        <f t="shared" si="136"/>
        <v>57.631512510098894</v>
      </c>
      <c r="K57" s="443">
        <f t="shared" si="137"/>
        <v>15.898227586206897</v>
      </c>
      <c r="L57" s="172">
        <f t="shared" si="138"/>
        <v>73.529740096305787</v>
      </c>
      <c r="M57" s="443"/>
      <c r="N57" s="217">
        <f t="shared" si="139"/>
        <v>0.21621492970577821</v>
      </c>
      <c r="O57" s="172">
        <f t="shared" si="172"/>
        <v>307.42089044922807</v>
      </c>
      <c r="P57" s="172">
        <f t="shared" si="140"/>
        <v>4.1535978087362375</v>
      </c>
      <c r="Q57" s="217">
        <f t="shared" si="6"/>
        <v>20.494726029948538</v>
      </c>
      <c r="R57" s="217">
        <f t="shared" si="141"/>
        <v>38.427611306153509</v>
      </c>
      <c r="S57" s="443">
        <f t="shared" si="142"/>
        <v>15</v>
      </c>
      <c r="T57" s="217">
        <f t="shared" si="143"/>
        <v>12.686190565322375</v>
      </c>
      <c r="U57" s="217">
        <f t="shared" si="10"/>
        <v>2.6415112176206059</v>
      </c>
      <c r="V57" s="217">
        <f t="shared" si="11"/>
        <v>9.5755508567473946</v>
      </c>
      <c r="W57" s="197">
        <f t="shared" si="12"/>
        <v>103.83994521840592</v>
      </c>
      <c r="X57" s="443">
        <f t="shared" si="95"/>
        <v>80.534348142162912</v>
      </c>
      <c r="Z57" s="217">
        <f t="shared" si="13"/>
        <v>10</v>
      </c>
      <c r="AA57" s="173">
        <f t="shared" si="14"/>
        <v>7.5480112074952617</v>
      </c>
      <c r="AB57" s="173">
        <f t="shared" si="144"/>
        <v>3.9189253514711089</v>
      </c>
      <c r="AC57" s="173"/>
      <c r="AD57" s="173">
        <f t="shared" si="16"/>
        <v>7.5480112074952617</v>
      </c>
      <c r="AE57" s="545">
        <f t="shared" si="145"/>
        <v>137.78463908045978</v>
      </c>
      <c r="AF57" s="528">
        <f t="shared" si="146"/>
        <v>3.9189253514711093</v>
      </c>
      <c r="AH57" s="173">
        <f t="shared" si="147"/>
        <v>6.1349894244485244</v>
      </c>
      <c r="AI57" s="173">
        <f t="shared" si="148"/>
        <v>12.686190565322375</v>
      </c>
      <c r="AJ57" s="173">
        <f t="shared" si="149"/>
        <v>3.1897707891276856</v>
      </c>
      <c r="AL57" s="545">
        <f t="shared" si="150"/>
        <v>5200</v>
      </c>
      <c r="AM57" s="460">
        <f t="shared" si="151"/>
        <v>80.534348142162912</v>
      </c>
      <c r="AO57">
        <f t="shared" si="96"/>
        <v>5200</v>
      </c>
      <c r="AP57" s="460">
        <f t="shared" si="24"/>
        <v>80.534348142162912</v>
      </c>
      <c r="AQ57" s="460"/>
      <c r="AR57" s="5">
        <f t="shared" si="97"/>
        <v>12.417062074367999</v>
      </c>
      <c r="AS57" s="5">
        <f t="shared" si="25"/>
        <v>2.6415112176206059</v>
      </c>
      <c r="AT57" s="5">
        <f t="shared" si="98"/>
        <v>9.7755508567473939</v>
      </c>
      <c r="AU57" s="173">
        <f t="shared" si="99"/>
        <v>0.21273238402128652</v>
      </c>
      <c r="AW57" s="5">
        <f t="shared" si="152"/>
        <v>91.572388877514342</v>
      </c>
      <c r="AX57" s="5">
        <f t="shared" si="153"/>
        <v>4.2924557286334846</v>
      </c>
      <c r="AY57" s="5">
        <f t="shared" si="28"/>
        <v>4.5622368353489522</v>
      </c>
      <c r="AZ57" s="5"/>
      <c r="BA57" s="173">
        <f t="shared" si="100"/>
        <v>3.378215942000256</v>
      </c>
      <c r="BB57" s="173">
        <f t="shared" si="154"/>
        <v>6.4987794291779748</v>
      </c>
      <c r="BC57" s="173">
        <f t="shared" si="155"/>
        <v>0.16004837182446152</v>
      </c>
      <c r="BD57" s="173"/>
      <c r="BE57" s="528">
        <f t="shared" si="31"/>
        <v>0.22824685901569353</v>
      </c>
      <c r="BF57" s="528">
        <f t="shared" si="156"/>
        <v>1.4085643148117206</v>
      </c>
      <c r="BG57" s="528">
        <f t="shared" si="157"/>
        <v>0.11603290731119302</v>
      </c>
      <c r="BH57" s="528">
        <f t="shared" si="34"/>
        <v>4.3541883307412425E-2</v>
      </c>
      <c r="BI57">
        <f t="shared" si="35"/>
        <v>2.5934180629544501E-2</v>
      </c>
      <c r="BJ57" s="460">
        <f t="shared" si="101"/>
        <v>141.96708794073754</v>
      </c>
      <c r="BK57">
        <f t="shared" si="158"/>
        <v>1.8418668244867014</v>
      </c>
      <c r="BL57" s="460">
        <f t="shared" si="102"/>
        <v>1841.8668244867013</v>
      </c>
      <c r="BM57" s="173">
        <f t="shared" si="159"/>
        <v>3.2304999999999997</v>
      </c>
      <c r="BN57" s="173">
        <f t="shared" si="160"/>
        <v>5.7687499999999996E-2</v>
      </c>
      <c r="BO57" s="528"/>
      <c r="BQ57" s="460">
        <f t="shared" si="103"/>
        <v>3288.1875</v>
      </c>
      <c r="BR57" s="528">
        <f t="shared" si="39"/>
        <v>0.34237028852354029</v>
      </c>
      <c r="BS57" s="528">
        <f t="shared" si="104"/>
        <v>1.2670240220732041</v>
      </c>
      <c r="BT57" s="528">
        <f t="shared" si="161"/>
        <v>1.2807740661830545E-4</v>
      </c>
      <c r="BU57" s="528">
        <f t="shared" si="41"/>
        <v>1.668210886210137</v>
      </c>
      <c r="BV57" s="528">
        <f t="shared" si="162"/>
        <v>4.2055302552779326</v>
      </c>
      <c r="BW57" s="625">
        <f t="shared" si="163"/>
        <v>1.296115217076145E-2</v>
      </c>
      <c r="BX57" s="460">
        <f t="shared" si="105"/>
        <v>4218.4914074486933</v>
      </c>
      <c r="BY57" s="173">
        <f t="shared" si="106"/>
        <v>9.3485457319353955</v>
      </c>
      <c r="BZ57" s="5">
        <f t="shared" si="107"/>
        <v>79.040000000000006</v>
      </c>
      <c r="CA57" s="173">
        <f t="shared" si="108"/>
        <v>0.89423351572852383</v>
      </c>
      <c r="CB57" s="5">
        <f t="shared" si="109"/>
        <v>89.423351572852383</v>
      </c>
      <c r="CC57">
        <f t="shared" si="173"/>
        <v>52</v>
      </c>
      <c r="CE57" s="562">
        <f t="shared" si="164"/>
        <v>-50</v>
      </c>
      <c r="CF57">
        <f t="shared" si="165"/>
        <v>-50</v>
      </c>
      <c r="CG57" s="173">
        <f t="shared" si="166"/>
        <v>0.78697421981004079</v>
      </c>
      <c r="CH57" s="173">
        <f t="shared" si="167"/>
        <v>9.2345221451933995E-2</v>
      </c>
      <c r="CI57" s="170">
        <v>52</v>
      </c>
      <c r="CJ57" s="217">
        <f t="shared" si="133"/>
        <v>5.2</v>
      </c>
      <c r="CK57" s="217">
        <f t="shared" si="111"/>
        <v>0.13</v>
      </c>
      <c r="CL57" s="217">
        <f t="shared" si="48"/>
        <v>78</v>
      </c>
      <c r="CM57" s="217">
        <f t="shared" si="134"/>
        <v>1.04</v>
      </c>
      <c r="CN57" s="541">
        <f t="shared" si="112"/>
        <v>58</v>
      </c>
      <c r="CO57" s="443">
        <f t="shared" si="168"/>
        <v>15.7</v>
      </c>
      <c r="CP57" s="443">
        <f t="shared" si="169"/>
        <v>73.7</v>
      </c>
      <c r="CQ57" s="443"/>
      <c r="CR57" s="217">
        <f t="shared" si="113"/>
        <v>0.2098092643051771</v>
      </c>
      <c r="CS57" s="172">
        <f t="shared" si="114"/>
        <v>300.22049333142121</v>
      </c>
      <c r="CT57" s="172">
        <f t="shared" si="51"/>
        <v>4.0563124432334243</v>
      </c>
      <c r="CU57" s="217">
        <f t="shared" si="52"/>
        <v>20.014699555428081</v>
      </c>
      <c r="CV57" s="217">
        <f t="shared" si="53"/>
        <v>37.527561666427651</v>
      </c>
      <c r="CW57" s="443">
        <f t="shared" si="54"/>
        <v>15</v>
      </c>
      <c r="CX57" s="217">
        <f t="shared" si="55"/>
        <v>12.990452306314376</v>
      </c>
      <c r="CY57" s="217">
        <f t="shared" si="56"/>
        <v>2.6876797875133192</v>
      </c>
      <c r="CZ57" s="217">
        <f t="shared" si="57"/>
        <v>9.9290081322148112</v>
      </c>
      <c r="DA57" s="197">
        <f t="shared" si="58"/>
        <v>102.962460425147</v>
      </c>
      <c r="DB57" s="443">
        <f t="shared" si="115"/>
        <v>79.260104265268083</v>
      </c>
      <c r="DD57" s="217">
        <f t="shared" si="59"/>
        <v>10</v>
      </c>
      <c r="DE57" s="173">
        <f t="shared" si="60"/>
        <v>7.6433121019108281</v>
      </c>
      <c r="DF57" s="173">
        <f t="shared" si="61"/>
        <v>3.9348710990502043</v>
      </c>
      <c r="DG57" s="173"/>
      <c r="DH57" s="173">
        <f t="shared" si="62"/>
        <v>7.6433121019108281</v>
      </c>
      <c r="DI57" s="545">
        <f t="shared" si="63"/>
        <v>136.06666666666669</v>
      </c>
      <c r="DJ57" s="528">
        <f t="shared" si="64"/>
        <v>3.9348710990502034</v>
      </c>
      <c r="DL57" s="173">
        <f t="shared" si="65"/>
        <v>6.1349894244485244</v>
      </c>
      <c r="DM57" s="173">
        <f t="shared" si="66"/>
        <v>12.990452306314376</v>
      </c>
      <c r="DN57" s="173">
        <f t="shared" si="67"/>
        <v>3.4151498565291671</v>
      </c>
      <c r="DP57" s="545">
        <f t="shared" si="68"/>
        <v>5200</v>
      </c>
      <c r="DQ57" s="460">
        <f t="shared" si="69"/>
        <v>79.260104265268083</v>
      </c>
      <c r="DS57">
        <f t="shared" si="116"/>
        <v>5200</v>
      </c>
      <c r="DT57" s="460">
        <f t="shared" si="70"/>
        <v>79.260104265268083</v>
      </c>
      <c r="DU57" s="460"/>
      <c r="DV57" s="5">
        <f t="shared" si="117"/>
        <v>12.616687919728133</v>
      </c>
      <c r="DW57" s="5">
        <f t="shared" si="71"/>
        <v>2.6876797875133192</v>
      </c>
      <c r="DX57" s="5">
        <f t="shared" si="118"/>
        <v>9.9290081322148129</v>
      </c>
      <c r="DY57" s="173">
        <f t="shared" si="119"/>
        <v>0.21302578018995924</v>
      </c>
      <c r="EA57" s="5">
        <f t="shared" si="72"/>
        <v>93.172899300461722</v>
      </c>
      <c r="EB57" s="5">
        <f t="shared" si="73"/>
        <v>4.3674796547091432</v>
      </c>
      <c r="EC57" s="5">
        <f t="shared" si="74"/>
        <v>4.6044151861638252</v>
      </c>
      <c r="ED57" s="5"/>
      <c r="EE57" s="173">
        <f t="shared" si="120"/>
        <v>3.4616226803768289</v>
      </c>
      <c r="EF57" s="173">
        <f t="shared" si="75"/>
        <v>6.6534040505275867</v>
      </c>
      <c r="EG57" s="173">
        <f t="shared" si="76"/>
        <v>0.16385638210711079</v>
      </c>
      <c r="EH57" s="173"/>
      <c r="EI57" s="528">
        <f t="shared" si="77"/>
        <v>0.23965663162598522</v>
      </c>
      <c r="EJ57" s="528">
        <f t="shared" si="78"/>
        <v>1.5176666666666663</v>
      </c>
      <c r="EK57" s="528">
        <f t="shared" si="79"/>
        <v>9.9075130331585087E-3</v>
      </c>
      <c r="EL57" s="528">
        <f t="shared" si="80"/>
        <v>4.3051631573661403E-2</v>
      </c>
      <c r="EM57">
        <f t="shared" si="81"/>
        <v>2.6099999999999998E-2</v>
      </c>
      <c r="EN57" s="460">
        <f t="shared" si="121"/>
        <v>36.00751303315851</v>
      </c>
      <c r="EO57">
        <f t="shared" si="82"/>
        <v>2.015878738516125</v>
      </c>
      <c r="EP57" s="460">
        <f t="shared" si="122"/>
        <v>2015.8787385161249</v>
      </c>
      <c r="EQ57" s="173">
        <f t="shared" si="83"/>
        <v>3.2304999999999997</v>
      </c>
      <c r="ER57" s="173">
        <f t="shared" si="170"/>
        <v>5.7687499999999996E-2</v>
      </c>
      <c r="ES57" s="528"/>
      <c r="EU57" s="460">
        <f t="shared" si="123"/>
        <v>3288.1875</v>
      </c>
      <c r="EV57" s="528">
        <f t="shared" si="85"/>
        <v>0.3594849474389778</v>
      </c>
      <c r="EW57" s="528">
        <f t="shared" si="124"/>
        <v>1.3280335637873069</v>
      </c>
      <c r="EX57" s="528">
        <f t="shared" si="86"/>
        <v>1.3424456978615749E-4</v>
      </c>
      <c r="EY57" s="528">
        <f t="shared" si="87"/>
        <v>1.700854974358651</v>
      </c>
      <c r="EZ57" s="528">
        <f t="shared" si="88"/>
        <v>4.3856624119930894</v>
      </c>
      <c r="FA57" s="625">
        <f t="shared" si="89"/>
        <v>1.3375289314936532E-2</v>
      </c>
      <c r="FB57" s="460">
        <f t="shared" si="125"/>
        <v>4399.037701308026</v>
      </c>
      <c r="FC57" s="173">
        <f t="shared" si="126"/>
        <v>9.7031039398241496</v>
      </c>
      <c r="FD57" s="5">
        <f t="shared" si="127"/>
        <v>79.040000000000006</v>
      </c>
      <c r="FE57" s="173">
        <f t="shared" si="128"/>
        <v>0.89066075549483004</v>
      </c>
      <c r="FF57" s="5">
        <f t="shared" si="129"/>
        <v>89.066075549483003</v>
      </c>
      <c r="FG57">
        <f t="shared" si="130"/>
        <v>52</v>
      </c>
      <c r="FI57" s="562">
        <f t="shared" si="90"/>
        <v>-50</v>
      </c>
      <c r="FJ57">
        <f t="shared" si="91"/>
        <v>-50</v>
      </c>
      <c r="FL57">
        <f t="shared" si="92"/>
        <v>0.78697421981004079</v>
      </c>
    </row>
    <row r="58" spans="5:168">
      <c r="E58" s="170">
        <v>53</v>
      </c>
      <c r="F58" s="217">
        <f t="shared" si="174"/>
        <v>5.3000000000000007</v>
      </c>
      <c r="G58" s="217">
        <f t="shared" si="171"/>
        <v>0.13250000000000001</v>
      </c>
      <c r="H58" s="217">
        <f t="shared" si="135"/>
        <v>79.500000000000014</v>
      </c>
      <c r="I58" s="217">
        <f t="shared" si="175"/>
        <v>1.06</v>
      </c>
      <c r="J58" s="541">
        <f t="shared" si="136"/>
        <v>57.624426212216179</v>
      </c>
      <c r="K58" s="443">
        <f t="shared" si="137"/>
        <v>15.902039655172413</v>
      </c>
      <c r="L58" s="172">
        <f t="shared" si="138"/>
        <v>73.526465867388595</v>
      </c>
      <c r="M58" s="443"/>
      <c r="N58" s="217">
        <f t="shared" si="139"/>
        <v>0.21627640425222028</v>
      </c>
      <c r="O58" s="172">
        <f t="shared" si="172"/>
        <v>307.47048597719169</v>
      </c>
      <c r="P58" s="172">
        <f t="shared" si="140"/>
        <v>4.1542678994251681</v>
      </c>
      <c r="Q58" s="217">
        <f t="shared" si="6"/>
        <v>20.498032398479445</v>
      </c>
      <c r="R58" s="217">
        <f t="shared" si="141"/>
        <v>38.433810747148961</v>
      </c>
      <c r="S58" s="443">
        <f t="shared" si="142"/>
        <v>15</v>
      </c>
      <c r="T58" s="217">
        <f t="shared" si="143"/>
        <v>12.928070111727303</v>
      </c>
      <c r="U58" s="217">
        <f t="shared" si="10"/>
        <v>2.6922062663044648</v>
      </c>
      <c r="V58" s="217">
        <f t="shared" si="11"/>
        <v>9.7557825728516967</v>
      </c>
      <c r="W58" s="197">
        <f t="shared" si="12"/>
        <v>103.85669748562923</v>
      </c>
      <c r="X58" s="443">
        <f t="shared" si="95"/>
        <v>79.063953385550036</v>
      </c>
      <c r="Z58" s="217">
        <f t="shared" si="13"/>
        <v>10</v>
      </c>
      <c r="AA58" s="173">
        <f t="shared" si="14"/>
        <v>7.5462017830503862</v>
      </c>
      <c r="AB58" s="173">
        <f t="shared" si="144"/>
        <v>3.9186179787388995</v>
      </c>
      <c r="AC58" s="173"/>
      <c r="AD58" s="173">
        <f t="shared" si="16"/>
        <v>7.5462017830503862</v>
      </c>
      <c r="AE58" s="545">
        <f t="shared" si="145"/>
        <v>140.468016954023</v>
      </c>
      <c r="AF58" s="528">
        <f t="shared" si="146"/>
        <v>3.9186179787388991</v>
      </c>
      <c r="AH58" s="173">
        <f t="shared" si="147"/>
        <v>6.1936987948966946</v>
      </c>
      <c r="AI58" s="173">
        <f t="shared" si="148"/>
        <v>12.928070111727303</v>
      </c>
      <c r="AJ58" s="173">
        <f t="shared" si="149"/>
        <v>3.3689408235017062</v>
      </c>
      <c r="AL58" s="545">
        <f t="shared" si="150"/>
        <v>5300.0000000000009</v>
      </c>
      <c r="AM58" s="460">
        <f t="shared" si="151"/>
        <v>79.063953385550036</v>
      </c>
      <c r="AO58">
        <f t="shared" si="96"/>
        <v>5300.0000000000009</v>
      </c>
      <c r="AP58" s="460">
        <f t="shared" si="24"/>
        <v>79.063953385550036</v>
      </c>
      <c r="AQ58" s="460"/>
      <c r="AR58" s="5">
        <f t="shared" si="97"/>
        <v>12.647988839156163</v>
      </c>
      <c r="AS58" s="5">
        <f t="shared" si="25"/>
        <v>2.6922062663044648</v>
      </c>
      <c r="AT58" s="5">
        <f t="shared" si="98"/>
        <v>9.9557825728516978</v>
      </c>
      <c r="AU58" s="173">
        <f t="shared" si="99"/>
        <v>0.2128564707433819</v>
      </c>
      <c r="AW58" s="5">
        <f t="shared" si="152"/>
        <v>95.124621409424449</v>
      </c>
      <c r="AX58" s="5">
        <f t="shared" si="153"/>
        <v>4.4589666285667695</v>
      </c>
      <c r="AY58" s="5">
        <f t="shared" si="28"/>
        <v>4.7362860088177872</v>
      </c>
      <c r="AZ58" s="5"/>
      <c r="BA58" s="173">
        <f t="shared" si="100"/>
        <v>3.4436301369087436</v>
      </c>
      <c r="BB58" s="173">
        <f t="shared" si="154"/>
        <v>6.6221655887445765</v>
      </c>
      <c r="BC58" s="173">
        <f t="shared" si="155"/>
        <v>0.16308705842084684</v>
      </c>
      <c r="BD58" s="173"/>
      <c r="BE58" s="528">
        <f t="shared" si="31"/>
        <v>0.23717177039652268</v>
      </c>
      <c r="BF58" s="528">
        <f t="shared" si="156"/>
        <v>1.4091498822796376</v>
      </c>
      <c r="BG58" s="528">
        <f t="shared" si="157"/>
        <v>0.11390037369779317</v>
      </c>
      <c r="BH58" s="528">
        <f t="shared" si="34"/>
        <v>4.2743089448432359E-2</v>
      </c>
      <c r="BI58">
        <f t="shared" si="35"/>
        <v>2.593099179549728E-2</v>
      </c>
      <c r="BJ58" s="460">
        <f t="shared" si="101"/>
        <v>139.83136549329046</v>
      </c>
      <c r="BK58">
        <f t="shared" si="158"/>
        <v>1.8577914048730895</v>
      </c>
      <c r="BL58" s="460">
        <f t="shared" si="102"/>
        <v>1857.7914048730895</v>
      </c>
      <c r="BM58" s="173">
        <f t="shared" si="159"/>
        <v>3.2926250000000001</v>
      </c>
      <c r="BN58" s="173">
        <f t="shared" si="160"/>
        <v>5.8796874999999998E-2</v>
      </c>
      <c r="BO58" s="528"/>
      <c r="BQ58" s="460">
        <f t="shared" si="103"/>
        <v>3351.421875</v>
      </c>
      <c r="BR58" s="528">
        <f t="shared" si="39"/>
        <v>0.35575765559478401</v>
      </c>
      <c r="BS58" s="528">
        <f t="shared" si="104"/>
        <v>1.3155923125425841</v>
      </c>
      <c r="BT58" s="528">
        <f t="shared" si="161"/>
        <v>1.3298694312182353E-4</v>
      </c>
      <c r="BU58" s="528">
        <f t="shared" si="41"/>
        <v>1.670131114034882</v>
      </c>
      <c r="BV58" s="528">
        <f t="shared" si="162"/>
        <v>4.3205015548397636</v>
      </c>
      <c r="BW58" s="625">
        <f t="shared" si="163"/>
        <v>1.321435359717534E-2</v>
      </c>
      <c r="BX58" s="460">
        <f t="shared" si="105"/>
        <v>4333.7159084369387</v>
      </c>
      <c r="BY58" s="173">
        <f t="shared" si="106"/>
        <v>9.542929188310028</v>
      </c>
      <c r="BZ58" s="5">
        <f t="shared" si="107"/>
        <v>80.560000000000016</v>
      </c>
      <c r="CA58" s="173">
        <f t="shared" si="108"/>
        <v>0.89408857986885371</v>
      </c>
      <c r="CB58" s="5">
        <f t="shared" si="109"/>
        <v>89.408857986885366</v>
      </c>
      <c r="CC58">
        <f t="shared" si="173"/>
        <v>53</v>
      </c>
      <c r="CE58" s="562">
        <f t="shared" si="164"/>
        <v>-50</v>
      </c>
      <c r="CF58">
        <f t="shared" si="165"/>
        <v>-50</v>
      </c>
      <c r="CG58" s="173">
        <f t="shared" si="166"/>
        <v>0.78697421981004068</v>
      </c>
      <c r="CH58" s="173">
        <f t="shared" si="167"/>
        <v>9.2345221451934009E-2</v>
      </c>
      <c r="CI58" s="170">
        <v>53</v>
      </c>
      <c r="CJ58" s="217">
        <f t="shared" si="133"/>
        <v>5.3000000000000007</v>
      </c>
      <c r="CK58" s="217">
        <f t="shared" si="111"/>
        <v>0.13250000000000001</v>
      </c>
      <c r="CL58" s="217">
        <f t="shared" si="48"/>
        <v>79.500000000000014</v>
      </c>
      <c r="CM58" s="217">
        <f t="shared" si="134"/>
        <v>1.06</v>
      </c>
      <c r="CN58" s="541">
        <f t="shared" si="112"/>
        <v>58</v>
      </c>
      <c r="CO58" s="443">
        <f t="shared" si="168"/>
        <v>15.7</v>
      </c>
      <c r="CP58" s="443">
        <f t="shared" si="169"/>
        <v>73.7</v>
      </c>
      <c r="CQ58" s="443"/>
      <c r="CR58" s="217">
        <f t="shared" si="113"/>
        <v>0.2098092643051771</v>
      </c>
      <c r="CS58" s="172">
        <f t="shared" si="114"/>
        <v>300.22049333142121</v>
      </c>
      <c r="CT58" s="172">
        <f t="shared" si="51"/>
        <v>4.0563124432334243</v>
      </c>
      <c r="CU58" s="217">
        <f t="shared" si="52"/>
        <v>20.014699555428081</v>
      </c>
      <c r="CV58" s="217">
        <f t="shared" si="53"/>
        <v>37.527561666427651</v>
      </c>
      <c r="CW58" s="443">
        <f t="shared" si="54"/>
        <v>15</v>
      </c>
      <c r="CX58" s="217">
        <f t="shared" si="55"/>
        <v>13.240268696820424</v>
      </c>
      <c r="CY58" s="217">
        <f t="shared" si="56"/>
        <v>2.7393659372731913</v>
      </c>
      <c r="CZ58" s="217">
        <f t="shared" si="57"/>
        <v>10.119950596295867</v>
      </c>
      <c r="DA58" s="197">
        <f t="shared" si="58"/>
        <v>102.962460425147</v>
      </c>
      <c r="DB58" s="443">
        <f t="shared" si="115"/>
        <v>77.764630599885663</v>
      </c>
      <c r="DD58" s="217">
        <f t="shared" si="59"/>
        <v>10</v>
      </c>
      <c r="DE58" s="173">
        <f t="shared" si="60"/>
        <v>7.6433121019108281</v>
      </c>
      <c r="DF58" s="173">
        <f t="shared" si="61"/>
        <v>3.9348710990502043</v>
      </c>
      <c r="DG58" s="173"/>
      <c r="DH58" s="173">
        <f t="shared" si="62"/>
        <v>7.6433121019108281</v>
      </c>
      <c r="DI58" s="545">
        <f t="shared" si="63"/>
        <v>138.68333333333337</v>
      </c>
      <c r="DJ58" s="528">
        <f t="shared" si="64"/>
        <v>3.9348710990502034</v>
      </c>
      <c r="DL58" s="173">
        <f t="shared" si="65"/>
        <v>6.1936987948966946</v>
      </c>
      <c r="DM58" s="173">
        <f t="shared" si="66"/>
        <v>13.240268696820424</v>
      </c>
      <c r="DN58" s="173">
        <f t="shared" si="67"/>
        <v>3.600199034681796</v>
      </c>
      <c r="DP58" s="545">
        <f t="shared" si="68"/>
        <v>5300.0000000000009</v>
      </c>
      <c r="DQ58" s="460">
        <f t="shared" si="69"/>
        <v>77.764630599885663</v>
      </c>
      <c r="DS58">
        <f t="shared" si="116"/>
        <v>5300.0000000000009</v>
      </c>
      <c r="DT58" s="460">
        <f t="shared" si="70"/>
        <v>77.764630599885663</v>
      </c>
      <c r="DU58" s="460"/>
      <c r="DV58" s="5">
        <f t="shared" si="117"/>
        <v>12.859316533569057</v>
      </c>
      <c r="DW58" s="5">
        <f t="shared" si="71"/>
        <v>2.7393659372731913</v>
      </c>
      <c r="DX58" s="5">
        <f t="shared" si="118"/>
        <v>10.119950596295865</v>
      </c>
      <c r="DY58" s="173">
        <f t="shared" si="119"/>
        <v>0.2130257801899593</v>
      </c>
      <c r="EA58" s="5">
        <f t="shared" si="72"/>
        <v>96.790929783652771</v>
      </c>
      <c r="EB58" s="5">
        <f t="shared" si="73"/>
        <v>4.5370748336087239</v>
      </c>
      <c r="EC58" s="5">
        <f t="shared" si="74"/>
        <v>4.7832108942064293</v>
      </c>
      <c r="ED58" s="5"/>
      <c r="EE58" s="173">
        <f t="shared" si="120"/>
        <v>3.5281923473071535</v>
      </c>
      <c r="EF58" s="173">
        <f t="shared" si="75"/>
        <v>6.7813541284223495</v>
      </c>
      <c r="EG58" s="173">
        <f t="shared" si="76"/>
        <v>0.16700746637840139</v>
      </c>
      <c r="EH58" s="173"/>
      <c r="EI58" s="528">
        <f t="shared" si="77"/>
        <v>0.24896282479193524</v>
      </c>
      <c r="EJ58" s="528">
        <f t="shared" si="78"/>
        <v>1.5176666666666665</v>
      </c>
      <c r="EK58" s="528">
        <f t="shared" si="79"/>
        <v>9.720578824985707E-3</v>
      </c>
      <c r="EL58" s="528">
        <f t="shared" si="80"/>
        <v>4.2239336638309297E-2</v>
      </c>
      <c r="EM58">
        <f t="shared" si="81"/>
        <v>2.6099999999999998E-2</v>
      </c>
      <c r="EN58" s="460">
        <f t="shared" si="121"/>
        <v>35.820578824985702</v>
      </c>
      <c r="EO58">
        <f t="shared" si="82"/>
        <v>2.0321162975194325</v>
      </c>
      <c r="EP58" s="460">
        <f t="shared" si="122"/>
        <v>2032.1162975194325</v>
      </c>
      <c r="EQ58" s="173">
        <f t="shared" si="83"/>
        <v>3.2926250000000001</v>
      </c>
      <c r="ER58" s="173">
        <f t="shared" si="170"/>
        <v>5.8796874999999998E-2</v>
      </c>
      <c r="ES58" s="528"/>
      <c r="EU58" s="460">
        <f t="shared" si="123"/>
        <v>3351.421875</v>
      </c>
      <c r="EV58" s="528">
        <f t="shared" si="85"/>
        <v>0.37344423718790282</v>
      </c>
      <c r="EW58" s="528">
        <f t="shared" si="124"/>
        <v>1.3796029144521254</v>
      </c>
      <c r="EX58" s="528">
        <f t="shared" si="86"/>
        <v>1.3945746913066436E-4</v>
      </c>
      <c r="EY58" s="528">
        <f t="shared" si="87"/>
        <v>1.7008549743586525</v>
      </c>
      <c r="EZ58" s="528">
        <f t="shared" si="88"/>
        <v>4.5069247840229005</v>
      </c>
      <c r="FA58" s="625">
        <f t="shared" si="89"/>
        <v>1.3632506417146853E-2</v>
      </c>
      <c r="FB58" s="460">
        <f t="shared" si="125"/>
        <v>4520.5572904400469</v>
      </c>
      <c r="FC58" s="173">
        <f t="shared" si="126"/>
        <v>9.9040954629594804</v>
      </c>
      <c r="FD58" s="5">
        <f t="shared" si="127"/>
        <v>80.560000000000016</v>
      </c>
      <c r="FE58" s="173">
        <f t="shared" si="128"/>
        <v>0.89051904612239552</v>
      </c>
      <c r="FF58" s="5">
        <f t="shared" si="129"/>
        <v>89.051904612239554</v>
      </c>
      <c r="FG58">
        <f t="shared" si="130"/>
        <v>53</v>
      </c>
      <c r="FI58" s="562">
        <f t="shared" si="90"/>
        <v>-50</v>
      </c>
      <c r="FJ58">
        <f t="shared" si="91"/>
        <v>-50</v>
      </c>
      <c r="FL58">
        <f t="shared" si="92"/>
        <v>0.78697421981004068</v>
      </c>
    </row>
    <row r="59" spans="5:168">
      <c r="E59" s="170">
        <v>54</v>
      </c>
      <c r="F59" s="217">
        <f t="shared" si="174"/>
        <v>5.4</v>
      </c>
      <c r="G59" s="217">
        <f t="shared" si="171"/>
        <v>0.13500000000000001</v>
      </c>
      <c r="H59" s="217">
        <f t="shared" si="135"/>
        <v>81</v>
      </c>
      <c r="I59" s="217">
        <f t="shared" si="175"/>
        <v>1.08</v>
      </c>
      <c r="J59" s="541">
        <f t="shared" si="136"/>
        <v>57.617339914333463</v>
      </c>
      <c r="K59" s="443">
        <f t="shared" si="137"/>
        <v>15.90585172413793</v>
      </c>
      <c r="L59" s="172">
        <f t="shared" si="138"/>
        <v>73.523191638471388</v>
      </c>
      <c r="M59" s="443"/>
      <c r="N59" s="217">
        <f t="shared" si="139"/>
        <v>0.2163378842739889</v>
      </c>
      <c r="O59" s="172">
        <f t="shared" si="172"/>
        <v>307.5200677934742</v>
      </c>
      <c r="P59" s="172">
        <f t="shared" si="140"/>
        <v>4.1549378048540513</v>
      </c>
      <c r="Q59" s="217">
        <f t="shared" si="6"/>
        <v>20.501337852898281</v>
      </c>
      <c r="R59" s="217">
        <f t="shared" si="141"/>
        <v>38.440008474184275</v>
      </c>
      <c r="S59" s="443">
        <f t="shared" si="142"/>
        <v>15</v>
      </c>
      <c r="T59" s="217">
        <f t="shared" si="143"/>
        <v>13.16987222674495</v>
      </c>
      <c r="U59" s="217">
        <f t="shared" si="10"/>
        <v>2.7428976581687725</v>
      </c>
      <c r="V59" s="217">
        <f t="shared" si="11"/>
        <v>9.9358694813625146</v>
      </c>
      <c r="W59" s="197">
        <f t="shared" si="12"/>
        <v>103.87344512135128</v>
      </c>
      <c r="X59" s="443">
        <f t="shared" si="95"/>
        <v>77.647183862072239</v>
      </c>
      <c r="Z59" s="217">
        <f t="shared" si="13"/>
        <v>9.9999999999999982</v>
      </c>
      <c r="AA59" s="173">
        <f t="shared" si="14"/>
        <v>7.5443932259153366</v>
      </c>
      <c r="AB59" s="173">
        <f t="shared" si="144"/>
        <v>3.9183105786300549</v>
      </c>
      <c r="AC59" s="173"/>
      <c r="AD59" s="173">
        <f t="shared" si="16"/>
        <v>7.5443932259153383</v>
      </c>
      <c r="AE59" s="545">
        <f t="shared" si="145"/>
        <v>143.15266551724136</v>
      </c>
      <c r="AF59" s="528">
        <f t="shared" si="146"/>
        <v>3.9183105786300567</v>
      </c>
      <c r="AH59" s="173">
        <f t="shared" si="147"/>
        <v>6.2518568670207317</v>
      </c>
      <c r="AI59" s="173">
        <f t="shared" si="148"/>
        <v>13.16987222674495</v>
      </c>
      <c r="AJ59" s="173">
        <f t="shared" si="149"/>
        <v>3.5480535012925554</v>
      </c>
      <c r="AL59" s="545">
        <f t="shared" si="150"/>
        <v>5400</v>
      </c>
      <c r="AM59" s="460">
        <f t="shared" si="151"/>
        <v>77.647183862072239</v>
      </c>
      <c r="AO59">
        <f t="shared" si="96"/>
        <v>5400</v>
      </c>
      <c r="AP59" s="460">
        <f t="shared" si="24"/>
        <v>77.647183862072239</v>
      </c>
      <c r="AQ59" s="460"/>
      <c r="AR59" s="5">
        <f t="shared" si="97"/>
        <v>12.878767139531288</v>
      </c>
      <c r="AS59" s="5">
        <f t="shared" si="25"/>
        <v>2.7428976581687725</v>
      </c>
      <c r="AT59" s="5">
        <f t="shared" si="98"/>
        <v>10.135869481362516</v>
      </c>
      <c r="AU59" s="173">
        <f t="shared" si="99"/>
        <v>0.21297827877867803</v>
      </c>
      <c r="AW59" s="5">
        <f t="shared" si="152"/>
        <v>98.744315694075809</v>
      </c>
      <c r="AX59" s="5">
        <f t="shared" si="153"/>
        <v>4.6286397981598046</v>
      </c>
      <c r="AY59" s="5">
        <f t="shared" si="28"/>
        <v>4.9135437425192379</v>
      </c>
      <c r="AZ59" s="5"/>
      <c r="BA59" s="173">
        <f t="shared" si="100"/>
        <v>3.509042195671555</v>
      </c>
      <c r="BB59" s="173">
        <f t="shared" si="154"/>
        <v>6.745502281169224</v>
      </c>
      <c r="BC59" s="173">
        <f t="shared" si="155"/>
        <v>0.16612452676761855</v>
      </c>
      <c r="BD59" s="173"/>
      <c r="BE59" s="528">
        <f t="shared" si="31"/>
        <v>0.24626754262006895</v>
      </c>
      <c r="BF59" s="528">
        <f t="shared" si="156"/>
        <v>1.4097201071691503</v>
      </c>
      <c r="BG59" s="528">
        <f t="shared" si="157"/>
        <v>0.11184560464929409</v>
      </c>
      <c r="BH59" s="528">
        <f t="shared" si="34"/>
        <v>4.1973425329779851E-2</v>
      </c>
      <c r="BI59">
        <f t="shared" si="35"/>
        <v>2.5927802961450058E-2</v>
      </c>
      <c r="BJ59" s="460">
        <f t="shared" si="101"/>
        <v>137.77340761074413</v>
      </c>
      <c r="BK59">
        <f t="shared" si="158"/>
        <v>1.8741136380158596</v>
      </c>
      <c r="BL59" s="460">
        <f t="shared" si="102"/>
        <v>1874.1136380158596</v>
      </c>
      <c r="BM59" s="173">
        <f t="shared" si="159"/>
        <v>3.3547499999999997</v>
      </c>
      <c r="BN59" s="173">
        <f t="shared" si="160"/>
        <v>5.9906250000000001E-2</v>
      </c>
      <c r="BO59" s="528"/>
      <c r="BQ59" s="460">
        <f t="shared" si="103"/>
        <v>3414.6562499999995</v>
      </c>
      <c r="BR59" s="528">
        <f t="shared" si="39"/>
        <v>0.36940131393010339</v>
      </c>
      <c r="BS59" s="528">
        <f t="shared" si="104"/>
        <v>1.3650540307577761</v>
      </c>
      <c r="BT59" s="528">
        <f t="shared" si="161"/>
        <v>1.3798679196882607E-4</v>
      </c>
      <c r="BU59" s="528">
        <f t="shared" si="41"/>
        <v>1.6720073453708773</v>
      </c>
      <c r="BV59" s="528">
        <f t="shared" si="162"/>
        <v>4.4388744360961958</v>
      </c>
      <c r="BW59" s="625">
        <f t="shared" si="163"/>
        <v>1.346755730495337E-2</v>
      </c>
      <c r="BX59" s="460">
        <f t="shared" si="105"/>
        <v>4452.341993401149</v>
      </c>
      <c r="BY59" s="173">
        <f t="shared" si="106"/>
        <v>9.7411118814170088</v>
      </c>
      <c r="BZ59" s="5">
        <f t="shared" si="107"/>
        <v>82.08</v>
      </c>
      <c r="CA59" s="173">
        <f t="shared" si="108"/>
        <v>0.89391206791312616</v>
      </c>
      <c r="CB59" s="5">
        <f t="shared" si="109"/>
        <v>89.391206791312612</v>
      </c>
      <c r="CC59">
        <f t="shared" si="173"/>
        <v>54</v>
      </c>
      <c r="CE59" s="562">
        <f t="shared" si="164"/>
        <v>-50</v>
      </c>
      <c r="CF59">
        <f t="shared" si="165"/>
        <v>-50</v>
      </c>
      <c r="CG59" s="173">
        <f t="shared" si="166"/>
        <v>0.78697421981004068</v>
      </c>
      <c r="CH59" s="173">
        <f t="shared" si="167"/>
        <v>9.2345221451934023E-2</v>
      </c>
      <c r="CI59" s="170">
        <v>54</v>
      </c>
      <c r="CJ59" s="217">
        <f t="shared" si="133"/>
        <v>5.4</v>
      </c>
      <c r="CK59" s="217">
        <f t="shared" si="111"/>
        <v>0.13500000000000001</v>
      </c>
      <c r="CL59" s="217">
        <f t="shared" si="48"/>
        <v>81</v>
      </c>
      <c r="CM59" s="217">
        <f t="shared" si="134"/>
        <v>1.08</v>
      </c>
      <c r="CN59" s="541">
        <f t="shared" si="112"/>
        <v>58</v>
      </c>
      <c r="CO59" s="443">
        <f t="shared" si="168"/>
        <v>15.7</v>
      </c>
      <c r="CP59" s="443">
        <f t="shared" si="169"/>
        <v>73.7</v>
      </c>
      <c r="CQ59" s="443"/>
      <c r="CR59" s="217">
        <f t="shared" si="113"/>
        <v>0.2098092643051771</v>
      </c>
      <c r="CS59" s="172">
        <f t="shared" si="114"/>
        <v>300.22049333142121</v>
      </c>
      <c r="CT59" s="172">
        <f t="shared" si="51"/>
        <v>4.0563124432334243</v>
      </c>
      <c r="CU59" s="217">
        <f t="shared" si="52"/>
        <v>20.014699555428081</v>
      </c>
      <c r="CV59" s="217">
        <f t="shared" si="53"/>
        <v>37.527561666427651</v>
      </c>
      <c r="CW59" s="443">
        <f t="shared" si="54"/>
        <v>15</v>
      </c>
      <c r="CX59" s="217">
        <f t="shared" si="55"/>
        <v>13.490085087326467</v>
      </c>
      <c r="CY59" s="217">
        <f t="shared" si="56"/>
        <v>2.7910520870330622</v>
      </c>
      <c r="CZ59" s="217">
        <f t="shared" si="57"/>
        <v>10.310893060376918</v>
      </c>
      <c r="DA59" s="197">
        <f t="shared" si="58"/>
        <v>102.962460425147</v>
      </c>
      <c r="DB59" s="443">
        <f t="shared" si="115"/>
        <v>76.324544848035956</v>
      </c>
      <c r="DD59" s="217">
        <f t="shared" si="59"/>
        <v>10</v>
      </c>
      <c r="DE59" s="173">
        <f t="shared" si="60"/>
        <v>7.6433121019108281</v>
      </c>
      <c r="DF59" s="173">
        <f t="shared" si="61"/>
        <v>3.9348710990502043</v>
      </c>
      <c r="DG59" s="173"/>
      <c r="DH59" s="173">
        <f t="shared" si="62"/>
        <v>7.6433121019108281</v>
      </c>
      <c r="DI59" s="545">
        <f t="shared" si="63"/>
        <v>141.30000000000004</v>
      </c>
      <c r="DJ59" s="528">
        <f t="shared" si="64"/>
        <v>3.9348710990502034</v>
      </c>
      <c r="DL59" s="173">
        <f t="shared" si="65"/>
        <v>6.2518568670207317</v>
      </c>
      <c r="DM59" s="173">
        <f t="shared" si="66"/>
        <v>13.490085087326467</v>
      </c>
      <c r="DN59" s="173">
        <f t="shared" si="67"/>
        <v>3.7852482128344196</v>
      </c>
      <c r="DP59" s="545">
        <f t="shared" si="68"/>
        <v>5400</v>
      </c>
      <c r="DQ59" s="460">
        <f t="shared" si="69"/>
        <v>76.324544848035956</v>
      </c>
      <c r="DS59">
        <f t="shared" si="116"/>
        <v>5400</v>
      </c>
      <c r="DT59" s="460">
        <f t="shared" si="70"/>
        <v>76.324544848035956</v>
      </c>
      <c r="DU59" s="460"/>
      <c r="DV59" s="5">
        <f t="shared" si="117"/>
        <v>13.101945147409978</v>
      </c>
      <c r="DW59" s="5">
        <f t="shared" si="71"/>
        <v>2.7910520870330622</v>
      </c>
      <c r="DX59" s="5">
        <f t="shared" si="118"/>
        <v>10.310893060376916</v>
      </c>
      <c r="DY59" s="173">
        <f t="shared" si="119"/>
        <v>0.21302578018995932</v>
      </c>
      <c r="EA59" s="5">
        <f t="shared" si="72"/>
        <v>100.47787513319024</v>
      </c>
      <c r="EB59" s="5">
        <f t="shared" si="73"/>
        <v>4.7099003968682931</v>
      </c>
      <c r="EC59" s="5">
        <f t="shared" si="74"/>
        <v>4.9654122347831757</v>
      </c>
      <c r="ED59" s="5"/>
      <c r="EE59" s="173">
        <f t="shared" si="120"/>
        <v>3.5947620142374763</v>
      </c>
      <c r="EF59" s="173">
        <f t="shared" si="75"/>
        <v>6.9093042063171088</v>
      </c>
      <c r="EG59" s="173">
        <f t="shared" si="76"/>
        <v>0.17015855064969196</v>
      </c>
      <c r="EH59" s="173"/>
      <c r="EI59" s="528">
        <f t="shared" si="77"/>
        <v>0.25844627878009357</v>
      </c>
      <c r="EJ59" s="528">
        <f t="shared" si="78"/>
        <v>1.5176666666666665</v>
      </c>
      <c r="EK59" s="528">
        <f t="shared" si="79"/>
        <v>9.5405681060044926E-3</v>
      </c>
      <c r="EL59" s="528">
        <f t="shared" si="80"/>
        <v>4.1457126700562841E-2</v>
      </c>
      <c r="EM59">
        <f t="shared" si="81"/>
        <v>2.6099999999999998E-2</v>
      </c>
      <c r="EN59" s="460">
        <f t="shared" si="121"/>
        <v>35.640568106004494</v>
      </c>
      <c r="EO59">
        <f t="shared" si="82"/>
        <v>2.0488015563603175</v>
      </c>
      <c r="EP59" s="460">
        <f t="shared" si="122"/>
        <v>2048.8015563603176</v>
      </c>
      <c r="EQ59" s="173">
        <f t="shared" si="83"/>
        <v>3.3547499999999997</v>
      </c>
      <c r="ER59" s="173">
        <f t="shared" si="170"/>
        <v>5.9906250000000001E-2</v>
      </c>
      <c r="ES59" s="528"/>
      <c r="EU59" s="460">
        <f t="shared" si="123"/>
        <v>3414.6562499999995</v>
      </c>
      <c r="EV59" s="528">
        <f t="shared" si="85"/>
        <v>0.38766941817014033</v>
      </c>
      <c r="EW59" s="528">
        <f t="shared" si="124"/>
        <v>1.4321545384629388</v>
      </c>
      <c r="EX59" s="528">
        <f t="shared" si="86"/>
        <v>1.4476966179601891E-4</v>
      </c>
      <c r="EY59" s="528">
        <f t="shared" si="87"/>
        <v>1.7008549743586538</v>
      </c>
      <c r="EZ59" s="528">
        <f t="shared" si="88"/>
        <v>4.6320278629569493</v>
      </c>
      <c r="FA59" s="625">
        <f t="shared" si="89"/>
        <v>1.388972351935717E-2</v>
      </c>
      <c r="FB59" s="460">
        <f t="shared" si="125"/>
        <v>4645.9175864763065</v>
      </c>
      <c r="FC59" s="173">
        <f t="shared" si="126"/>
        <v>10.109375392836624</v>
      </c>
      <c r="FD59" s="5">
        <f t="shared" si="127"/>
        <v>82.08</v>
      </c>
      <c r="FE59" s="173">
        <f t="shared" si="128"/>
        <v>0.89034120960513463</v>
      </c>
      <c r="FF59" s="5">
        <f t="shared" si="129"/>
        <v>89.034120960513462</v>
      </c>
      <c r="FG59">
        <f t="shared" si="130"/>
        <v>54</v>
      </c>
      <c r="FI59" s="562">
        <f t="shared" si="90"/>
        <v>-50</v>
      </c>
      <c r="FJ59">
        <f t="shared" si="91"/>
        <v>-50</v>
      </c>
      <c r="FL59">
        <f t="shared" si="92"/>
        <v>0.78697421981004068</v>
      </c>
    </row>
    <row r="60" spans="5:168">
      <c r="E60" s="170">
        <v>55</v>
      </c>
      <c r="F60" s="217">
        <f t="shared" si="174"/>
        <v>5.5</v>
      </c>
      <c r="G60" s="217">
        <f t="shared" si="171"/>
        <v>0.13750000000000001</v>
      </c>
      <c r="H60" s="217">
        <f t="shared" si="135"/>
        <v>82.5</v>
      </c>
      <c r="I60" s="217">
        <f t="shared" si="175"/>
        <v>1.1000000000000001</v>
      </c>
      <c r="J60" s="541">
        <f t="shared" si="136"/>
        <v>57.610253616450748</v>
      </c>
      <c r="K60" s="443">
        <f t="shared" si="137"/>
        <v>15.909663793103448</v>
      </c>
      <c r="L60" s="172">
        <f t="shared" si="138"/>
        <v>73.519917409554196</v>
      </c>
      <c r="M60" s="443"/>
      <c r="N60" s="217">
        <f t="shared" si="139"/>
        <v>0.2163993697718154</v>
      </c>
      <c r="O60" s="172">
        <f t="shared" si="172"/>
        <v>307.56963589624314</v>
      </c>
      <c r="P60" s="172">
        <f t="shared" si="140"/>
        <v>4.1556075249981301</v>
      </c>
      <c r="Q60" s="217">
        <f t="shared" si="6"/>
        <v>20.504642393082875</v>
      </c>
      <c r="R60" s="217">
        <f t="shared" si="141"/>
        <v>38.446204487030393</v>
      </c>
      <c r="S60" s="443">
        <f t="shared" si="142"/>
        <v>15</v>
      </c>
      <c r="T60" s="217">
        <f t="shared" si="143"/>
        <v>13.411596980241393</v>
      </c>
      <c r="U60" s="217">
        <f t="shared" si="10"/>
        <v>2.7935854064169598</v>
      </c>
      <c r="V60" s="217">
        <f t="shared" si="11"/>
        <v>10.115811739067732</v>
      </c>
      <c r="W60" s="197">
        <f t="shared" si="12"/>
        <v>103.89018812495328</v>
      </c>
      <c r="X60" s="443">
        <f t="shared" si="95"/>
        <v>76.281158386023336</v>
      </c>
      <c r="Z60" s="217">
        <f t="shared" si="13"/>
        <v>10</v>
      </c>
      <c r="AA60" s="173">
        <f t="shared" si="14"/>
        <v>7.5425855354666789</v>
      </c>
      <c r="AB60" s="173">
        <f t="shared" si="144"/>
        <v>3.9180031511409243</v>
      </c>
      <c r="AC60" s="173"/>
      <c r="AD60" s="173">
        <f t="shared" si="16"/>
        <v>7.5425855354666789</v>
      </c>
      <c r="AE60" s="545">
        <f t="shared" si="145"/>
        <v>145.83858477011492</v>
      </c>
      <c r="AF60" s="528">
        <f t="shared" si="146"/>
        <v>3.9180031511409243</v>
      </c>
      <c r="AH60" s="173">
        <f t="shared" si="147"/>
        <v>6.3094788857340509</v>
      </c>
      <c r="AI60" s="173">
        <f t="shared" si="148"/>
        <v>13.411596980241393</v>
      </c>
      <c r="AJ60" s="173">
        <f t="shared" si="149"/>
        <v>3.7271088742528837</v>
      </c>
      <c r="AL60" s="545">
        <f t="shared" si="150"/>
        <v>5500</v>
      </c>
      <c r="AM60" s="460">
        <f t="shared" si="151"/>
        <v>76.281158386023336</v>
      </c>
      <c r="AO60">
        <f t="shared" si="96"/>
        <v>5500</v>
      </c>
      <c r="AP60">
        <f t="shared" si="24"/>
        <v>76.281158386023336</v>
      </c>
      <c r="AR60" s="5">
        <f t="shared" si="97"/>
        <v>13.109397145484692</v>
      </c>
      <c r="AS60" s="5">
        <f t="shared" si="25"/>
        <v>2.7935854064169598</v>
      </c>
      <c r="AT60" s="5">
        <f t="shared" si="98"/>
        <v>10.315811739067733</v>
      </c>
      <c r="AU60" s="173">
        <f t="shared" si="99"/>
        <v>0.21309793085177547</v>
      </c>
      <c r="AW60" s="5">
        <f t="shared" si="152"/>
        <v>102.4314649019552</v>
      </c>
      <c r="AX60" s="5">
        <f t="shared" si="153"/>
        <v>4.8014749172791502</v>
      </c>
      <c r="AY60" s="5">
        <f t="shared" si="28"/>
        <v>5.0940073975020308</v>
      </c>
      <c r="AZ60" s="5"/>
      <c r="BA60" s="173">
        <f t="shared" si="100"/>
        <v>3.5744521147584138</v>
      </c>
      <c r="BB60" s="173">
        <f t="shared" si="154"/>
        <v>6.8687895536821078</v>
      </c>
      <c r="BC60" s="173">
        <f t="shared" si="155"/>
        <v>0.16916077802793586</v>
      </c>
      <c r="BD60" s="173"/>
      <c r="BE60" s="528">
        <f t="shared" si="31"/>
        <v>0.25553415841401794</v>
      </c>
      <c r="BF60" s="528">
        <f t="shared" si="156"/>
        <v>1.4102758092749013</v>
      </c>
      <c r="BG60" s="528">
        <f t="shared" si="157"/>
        <v>0.10986442201938632</v>
      </c>
      <c r="BH60" s="528">
        <f t="shared" si="34"/>
        <v>4.1231325864358244E-2</v>
      </c>
      <c r="BI60">
        <f t="shared" si="35"/>
        <v>2.5924614127402837E-2</v>
      </c>
      <c r="BJ60" s="460">
        <f t="shared" si="101"/>
        <v>135.78903614678916</v>
      </c>
      <c r="BK60">
        <f t="shared" si="158"/>
        <v>1.8908375600257352</v>
      </c>
      <c r="BL60" s="460">
        <f t="shared" si="102"/>
        <v>1890.8375600257352</v>
      </c>
      <c r="BM60" s="173">
        <f t="shared" si="159"/>
        <v>3.4168749999999997</v>
      </c>
      <c r="BN60" s="173">
        <f t="shared" si="160"/>
        <v>6.1015625000000004E-2</v>
      </c>
      <c r="BO60" s="528"/>
      <c r="BQ60" s="460">
        <f t="shared" si="103"/>
        <v>3477.8906249999995</v>
      </c>
      <c r="BR60" s="528">
        <f t="shared" si="39"/>
        <v>0.38330123762102691</v>
      </c>
      <c r="BS60" s="528">
        <f t="shared" si="104"/>
        <v>1.4154080979831734</v>
      </c>
      <c r="BT60" s="528">
        <f t="shared" si="161"/>
        <v>1.4307684411508294E-4</v>
      </c>
      <c r="BU60" s="528">
        <f t="shared" si="41"/>
        <v>1.673841915392664</v>
      </c>
      <c r="BV60" s="528">
        <f t="shared" si="162"/>
        <v>4.5607478951258296</v>
      </c>
      <c r="BW60" s="625">
        <f t="shared" si="163"/>
        <v>1.3720763171964285E-2</v>
      </c>
      <c r="BX60" s="460">
        <f t="shared" si="105"/>
        <v>4574.4686582977938</v>
      </c>
      <c r="BY60" s="173">
        <f t="shared" si="106"/>
        <v>9.9431968433235269</v>
      </c>
      <c r="BZ60" s="5">
        <f t="shared" si="107"/>
        <v>83.6</v>
      </c>
      <c r="CA60" s="173">
        <f t="shared" si="108"/>
        <v>0.89370475695867546</v>
      </c>
      <c r="CB60" s="5">
        <f t="shared" si="109"/>
        <v>89.37047569586754</v>
      </c>
      <c r="CC60">
        <f t="shared" si="173"/>
        <v>55.000000000000007</v>
      </c>
      <c r="CE60" s="562">
        <f t="shared" si="164"/>
        <v>-50</v>
      </c>
      <c r="CF60">
        <f t="shared" si="165"/>
        <v>-50</v>
      </c>
      <c r="CG60" s="173">
        <f t="shared" si="166"/>
        <v>0.78697421981004068</v>
      </c>
      <c r="CH60" s="173">
        <f t="shared" si="167"/>
        <v>9.2345221451934023E-2</v>
      </c>
      <c r="CI60" s="170">
        <v>55</v>
      </c>
      <c r="CJ60" s="217">
        <f t="shared" si="133"/>
        <v>5.5</v>
      </c>
      <c r="CK60" s="217">
        <f t="shared" si="111"/>
        <v>0.13750000000000001</v>
      </c>
      <c r="CL60" s="217">
        <f t="shared" si="48"/>
        <v>82.5</v>
      </c>
      <c r="CM60" s="217">
        <f t="shared" si="134"/>
        <v>1.1000000000000001</v>
      </c>
      <c r="CN60" s="541">
        <f t="shared" si="112"/>
        <v>58</v>
      </c>
      <c r="CO60" s="443">
        <f t="shared" si="168"/>
        <v>15.7</v>
      </c>
      <c r="CP60" s="443">
        <f t="shared" si="169"/>
        <v>73.7</v>
      </c>
      <c r="CQ60" s="443"/>
      <c r="CR60" s="217">
        <f t="shared" si="113"/>
        <v>0.2098092643051771</v>
      </c>
      <c r="CS60" s="172">
        <f t="shared" si="114"/>
        <v>300.22049333142121</v>
      </c>
      <c r="CT60" s="172">
        <f t="shared" si="51"/>
        <v>4.0563124432334243</v>
      </c>
      <c r="CU60" s="217">
        <f t="shared" si="52"/>
        <v>20.014699555428081</v>
      </c>
      <c r="CV60" s="217">
        <f t="shared" si="53"/>
        <v>37.527561666427651</v>
      </c>
      <c r="CW60" s="443">
        <f t="shared" si="54"/>
        <v>15</v>
      </c>
      <c r="CX60" s="217">
        <f t="shared" si="55"/>
        <v>13.739901477832511</v>
      </c>
      <c r="CY60" s="217">
        <f t="shared" si="56"/>
        <v>2.8427382367929335</v>
      </c>
      <c r="CZ60" s="217">
        <f t="shared" si="57"/>
        <v>10.501835524457972</v>
      </c>
      <c r="DA60" s="197">
        <f t="shared" si="58"/>
        <v>102.962460425147</v>
      </c>
      <c r="DB60" s="443">
        <f t="shared" si="115"/>
        <v>74.936825850798925</v>
      </c>
      <c r="DD60" s="217">
        <f t="shared" si="59"/>
        <v>10</v>
      </c>
      <c r="DE60" s="173">
        <f t="shared" si="60"/>
        <v>7.6433121019108281</v>
      </c>
      <c r="DF60" s="173">
        <f t="shared" si="61"/>
        <v>3.9348710990502043</v>
      </c>
      <c r="DG60" s="173"/>
      <c r="DH60" s="173">
        <f t="shared" si="62"/>
        <v>7.6433121019108281</v>
      </c>
      <c r="DI60" s="545">
        <f t="shared" si="63"/>
        <v>143.91666666666669</v>
      </c>
      <c r="DJ60" s="528">
        <f t="shared" si="64"/>
        <v>3.9348710990502034</v>
      </c>
      <c r="DL60" s="173">
        <f t="shared" si="65"/>
        <v>6.3094788857340509</v>
      </c>
      <c r="DM60" s="173">
        <f t="shared" si="66"/>
        <v>13.739901477832511</v>
      </c>
      <c r="DN60" s="173">
        <f t="shared" si="67"/>
        <v>3.9702973909870449</v>
      </c>
      <c r="DP60" s="545">
        <f t="shared" si="68"/>
        <v>5500</v>
      </c>
      <c r="DQ60" s="460">
        <f t="shared" si="69"/>
        <v>74.936825850798925</v>
      </c>
      <c r="DS60">
        <f t="shared" si="116"/>
        <v>5500</v>
      </c>
      <c r="DT60">
        <f t="shared" si="70"/>
        <v>74.936825850798925</v>
      </c>
      <c r="DV60" s="5">
        <f t="shared" si="117"/>
        <v>13.344573761250906</v>
      </c>
      <c r="DW60" s="5">
        <f t="shared" si="71"/>
        <v>2.8427382367929335</v>
      </c>
      <c r="DX60" s="5">
        <f t="shared" si="118"/>
        <v>10.501835524457974</v>
      </c>
      <c r="DY60" s="173">
        <f t="shared" si="119"/>
        <v>0.21302578018995927</v>
      </c>
      <c r="EA60" s="5">
        <f t="shared" si="72"/>
        <v>104.23373534907424</v>
      </c>
      <c r="EB60" s="5">
        <f t="shared" si="73"/>
        <v>4.8859563444878544</v>
      </c>
      <c r="EC60" s="5">
        <f t="shared" si="74"/>
        <v>5.1510192078940706</v>
      </c>
      <c r="ED60" s="5"/>
      <c r="EE60" s="173">
        <f t="shared" si="120"/>
        <v>3.6613316811677996</v>
      </c>
      <c r="EF60" s="173">
        <f t="shared" si="75"/>
        <v>7.0372542842118699</v>
      </c>
      <c r="EG60" s="173">
        <f t="shared" si="76"/>
        <v>0.17330963492098256</v>
      </c>
      <c r="EH60" s="173"/>
      <c r="EI60" s="528">
        <f t="shared" si="77"/>
        <v>0.26810699359046053</v>
      </c>
      <c r="EJ60" s="528">
        <f t="shared" si="78"/>
        <v>1.5176666666666663</v>
      </c>
      <c r="EK60" s="528">
        <f t="shared" si="79"/>
        <v>9.3671032313498645E-3</v>
      </c>
      <c r="EL60" s="528">
        <f t="shared" si="80"/>
        <v>4.0703360760552601E-2</v>
      </c>
      <c r="EM60">
        <f t="shared" si="81"/>
        <v>2.6099999999999998E-2</v>
      </c>
      <c r="EN60" s="460">
        <f t="shared" si="121"/>
        <v>35.46710323134986</v>
      </c>
      <c r="EO60">
        <f t="shared" si="82"/>
        <v>2.0659378429619095</v>
      </c>
      <c r="EP60" s="460">
        <f t="shared" si="122"/>
        <v>2065.9378429619096</v>
      </c>
      <c r="EQ60" s="173">
        <f t="shared" si="83"/>
        <v>3.4168749999999997</v>
      </c>
      <c r="ER60" s="173">
        <f t="shared" si="170"/>
        <v>6.1015625000000004E-2</v>
      </c>
      <c r="ES60" s="528"/>
      <c r="EU60" s="460">
        <f t="shared" si="123"/>
        <v>3477.8906249999995</v>
      </c>
      <c r="EV60" s="528">
        <f t="shared" si="85"/>
        <v>0.40216049038569074</v>
      </c>
      <c r="EW60" s="528">
        <f t="shared" si="124"/>
        <v>1.4856884358197495</v>
      </c>
      <c r="EX60" s="528">
        <f t="shared" si="86"/>
        <v>1.5018114778222129E-4</v>
      </c>
      <c r="EY60" s="528">
        <f t="shared" si="87"/>
        <v>1.7008549743586492</v>
      </c>
      <c r="EZ60" s="528">
        <f t="shared" si="88"/>
        <v>4.7610883050780179</v>
      </c>
      <c r="FA60" s="625">
        <f t="shared" si="89"/>
        <v>1.4146940621567482E-2</v>
      </c>
      <c r="FB60" s="460">
        <f t="shared" si="125"/>
        <v>4775.2352456995859</v>
      </c>
      <c r="FC60" s="173">
        <f t="shared" si="126"/>
        <v>10.319063713661494</v>
      </c>
      <c r="FD60" s="5">
        <f t="shared" si="127"/>
        <v>83.6</v>
      </c>
      <c r="FE60" s="173">
        <f t="shared" si="128"/>
        <v>0.89012812409286746</v>
      </c>
      <c r="FF60" s="5">
        <f t="shared" si="129"/>
        <v>89.012812409286752</v>
      </c>
      <c r="FG60">
        <f t="shared" si="130"/>
        <v>55.000000000000007</v>
      </c>
      <c r="FI60" s="562">
        <f t="shared" si="90"/>
        <v>-50</v>
      </c>
      <c r="FJ60">
        <f t="shared" si="91"/>
        <v>-50</v>
      </c>
      <c r="FL60">
        <f t="shared" si="92"/>
        <v>0.78697421981004068</v>
      </c>
    </row>
    <row r="61" spans="5:168">
      <c r="E61" s="170">
        <v>56</v>
      </c>
      <c r="F61" s="217">
        <f t="shared" si="174"/>
        <v>5.6000000000000005</v>
      </c>
      <c r="G61" s="217">
        <f t="shared" si="171"/>
        <v>0.14000000000000001</v>
      </c>
      <c r="H61" s="217">
        <f t="shared" si="135"/>
        <v>84.000000000000014</v>
      </c>
      <c r="I61" s="217">
        <f t="shared" si="175"/>
        <v>1.1200000000000001</v>
      </c>
      <c r="J61" s="541">
        <f t="shared" si="136"/>
        <v>57.60316731856804</v>
      </c>
      <c r="K61" s="443">
        <f t="shared" si="137"/>
        <v>15.913475862068966</v>
      </c>
      <c r="L61" s="172">
        <f t="shared" si="138"/>
        <v>73.516643180637004</v>
      </c>
      <c r="M61" s="443"/>
      <c r="N61" s="217">
        <f t="shared" si="139"/>
        <v>0.21646086074643159</v>
      </c>
      <c r="O61" s="172">
        <f t="shared" si="172"/>
        <v>307.61919028366668</v>
      </c>
      <c r="P61" s="172">
        <f t="shared" si="140"/>
        <v>4.1562770598326519</v>
      </c>
      <c r="Q61" s="217">
        <f t="shared" si="6"/>
        <v>20.507946018911113</v>
      </c>
      <c r="R61" s="217">
        <f t="shared" si="141"/>
        <v>38.452398785458335</v>
      </c>
      <c r="S61" s="443">
        <f t="shared" si="142"/>
        <v>15</v>
      </c>
      <c r="T61" s="217">
        <f t="shared" si="143"/>
        <v>13.653244442022718</v>
      </c>
      <c r="U61" s="217">
        <f t="shared" si="10"/>
        <v>2.844269524246458</v>
      </c>
      <c r="V61" s="217">
        <f t="shared" si="11"/>
        <v>10.29560950255976</v>
      </c>
      <c r="W61" s="197">
        <f t="shared" si="12"/>
        <v>103.90692649581629</v>
      </c>
      <c r="X61" s="443">
        <f t="shared" si="95"/>
        <v>74.963198541045244</v>
      </c>
      <c r="Z61" s="217">
        <f t="shared" si="13"/>
        <v>10</v>
      </c>
      <c r="AA61" s="173">
        <f t="shared" si="14"/>
        <v>7.5407787110815647</v>
      </c>
      <c r="AB61" s="173">
        <f t="shared" si="144"/>
        <v>3.9176956962678422</v>
      </c>
      <c r="AC61" s="173"/>
      <c r="AD61" s="173">
        <f t="shared" si="16"/>
        <v>7.5407787110815647</v>
      </c>
      <c r="AE61" s="545">
        <f t="shared" si="145"/>
        <v>148.52577471264371</v>
      </c>
      <c r="AF61" s="528">
        <f t="shared" si="146"/>
        <v>3.9176956962678426</v>
      </c>
      <c r="AH61" s="173">
        <f t="shared" si="147"/>
        <v>6.3665794060337717</v>
      </c>
      <c r="AI61" s="173">
        <f t="shared" si="148"/>
        <v>13.653244442022718</v>
      </c>
      <c r="AJ61" s="173">
        <f t="shared" si="149"/>
        <v>3.9061069940909023</v>
      </c>
      <c r="AL61" s="545">
        <f t="shared" si="150"/>
        <v>5600.0000000000009</v>
      </c>
      <c r="AM61" s="460">
        <f t="shared" si="151"/>
        <v>74.963198541045244</v>
      </c>
      <c r="AO61">
        <f t="shared" si="96"/>
        <v>5600.0000000000009</v>
      </c>
      <c r="AP61">
        <f t="shared" si="24"/>
        <v>74.963198541045244</v>
      </c>
      <c r="AR61" s="5">
        <f t="shared" si="97"/>
        <v>13.339879026806219</v>
      </c>
      <c r="AS61" s="5">
        <f t="shared" si="25"/>
        <v>2.844269524246458</v>
      </c>
      <c r="AT61" s="5">
        <f t="shared" si="98"/>
        <v>10.495609502559761</v>
      </c>
      <c r="AU61" s="173">
        <f t="shared" si="99"/>
        <v>0.21321554105033153</v>
      </c>
      <c r="AW61" s="5">
        <f t="shared" si="152"/>
        <v>106.18606223853445</v>
      </c>
      <c r="AX61" s="5">
        <f t="shared" si="153"/>
        <v>4.9774716674313018</v>
      </c>
      <c r="AY61" s="5">
        <f t="shared" si="28"/>
        <v>5.2776743390494643</v>
      </c>
      <c r="AZ61" s="5"/>
      <c r="BA61" s="173">
        <f t="shared" si="100"/>
        <v>3.6398598914810019</v>
      </c>
      <c r="BB61" s="173">
        <f t="shared" si="154"/>
        <v>6.9920274528634394</v>
      </c>
      <c r="BC61" s="173">
        <f t="shared" si="155"/>
        <v>0.17219581334895059</v>
      </c>
      <c r="BD61" s="173"/>
      <c r="BE61" s="528">
        <f t="shared" si="31"/>
        <v>0.26497160059224184</v>
      </c>
      <c r="BF61" s="528">
        <f t="shared" si="156"/>
        <v>1.4108177506968056</v>
      </c>
      <c r="BG61" s="528">
        <f t="shared" si="157"/>
        <v>0.10795294170737162</v>
      </c>
      <c r="BH61" s="528">
        <f t="shared" si="34"/>
        <v>4.0515336111283107E-2</v>
      </c>
      <c r="BI61">
        <f t="shared" si="35"/>
        <v>2.5921425293355619E-2</v>
      </c>
      <c r="BJ61" s="460">
        <f t="shared" si="101"/>
        <v>133.87436700072723</v>
      </c>
      <c r="BK61">
        <f t="shared" si="158"/>
        <v>1.9079674048488484</v>
      </c>
      <c r="BL61" s="460">
        <f t="shared" si="102"/>
        <v>1907.9674048488484</v>
      </c>
      <c r="BM61" s="173">
        <f t="shared" si="159"/>
        <v>3.4789999999999996</v>
      </c>
      <c r="BN61" s="173">
        <f t="shared" si="160"/>
        <v>6.2125E-2</v>
      </c>
      <c r="BO61" s="528"/>
      <c r="BQ61" s="460">
        <f t="shared" si="103"/>
        <v>3541.1249999999995</v>
      </c>
      <c r="BR61" s="528">
        <f t="shared" si="39"/>
        <v>0.39745740088836273</v>
      </c>
      <c r="BS61" s="528">
        <f t="shared" si="104"/>
        <v>1.4666534370478799</v>
      </c>
      <c r="BT61" s="528">
        <f t="shared" si="161"/>
        <v>1.4825699067453314E-4</v>
      </c>
      <c r="BU61" s="528">
        <f t="shared" si="41"/>
        <v>1.675636996799323</v>
      </c>
      <c r="BV61" s="528">
        <f t="shared" si="162"/>
        <v>4.686225329876657</v>
      </c>
      <c r="BW61" s="625">
        <f t="shared" si="163"/>
        <v>1.3973971084672876E-2</v>
      </c>
      <c r="BX61" s="460">
        <f t="shared" si="105"/>
        <v>4700.1993009613298</v>
      </c>
      <c r="BY61" s="173">
        <f t="shared" si="106"/>
        <v>10.149291705810176</v>
      </c>
      <c r="BZ61" s="5">
        <f t="shared" si="107"/>
        <v>85.120000000000019</v>
      </c>
      <c r="CA61" s="173">
        <f t="shared" si="108"/>
        <v>0.89346733323943461</v>
      </c>
      <c r="CB61" s="5">
        <f t="shared" si="109"/>
        <v>89.346733323943468</v>
      </c>
      <c r="CC61">
        <f t="shared" si="173"/>
        <v>56.000000000000007</v>
      </c>
      <c r="CE61" s="562">
        <f t="shared" si="164"/>
        <v>-50</v>
      </c>
      <c r="CF61">
        <f t="shared" si="165"/>
        <v>-50</v>
      </c>
      <c r="CG61" s="173">
        <f t="shared" si="166"/>
        <v>0.78697421981004068</v>
      </c>
      <c r="CH61" s="173">
        <f t="shared" si="167"/>
        <v>9.2345221451934023E-2</v>
      </c>
      <c r="CI61" s="170">
        <v>56</v>
      </c>
      <c r="CJ61" s="217">
        <f t="shared" si="133"/>
        <v>5.6000000000000005</v>
      </c>
      <c r="CK61" s="217">
        <f t="shared" si="111"/>
        <v>0.14000000000000001</v>
      </c>
      <c r="CL61" s="217">
        <f t="shared" si="48"/>
        <v>84.000000000000014</v>
      </c>
      <c r="CM61" s="217">
        <f t="shared" si="134"/>
        <v>1.1200000000000001</v>
      </c>
      <c r="CN61" s="541">
        <f t="shared" si="112"/>
        <v>58</v>
      </c>
      <c r="CO61" s="443">
        <f t="shared" si="168"/>
        <v>15.7</v>
      </c>
      <c r="CP61" s="443">
        <f t="shared" si="169"/>
        <v>73.7</v>
      </c>
      <c r="CQ61" s="443"/>
      <c r="CR61" s="217">
        <f t="shared" si="113"/>
        <v>0.2098092643051771</v>
      </c>
      <c r="CS61" s="172">
        <f t="shared" si="114"/>
        <v>300.22049333142121</v>
      </c>
      <c r="CT61" s="172">
        <f t="shared" si="51"/>
        <v>4.0563124432334243</v>
      </c>
      <c r="CU61" s="217">
        <f t="shared" si="52"/>
        <v>20.014699555428081</v>
      </c>
      <c r="CV61" s="217">
        <f t="shared" si="53"/>
        <v>37.527561666427651</v>
      </c>
      <c r="CW61" s="443">
        <f t="shared" si="54"/>
        <v>15</v>
      </c>
      <c r="CX61" s="217">
        <f t="shared" si="55"/>
        <v>13.989717868338561</v>
      </c>
      <c r="CY61" s="217">
        <f t="shared" si="56"/>
        <v>2.8944243865528052</v>
      </c>
      <c r="CZ61" s="217">
        <f t="shared" si="57"/>
        <v>10.692777988539028</v>
      </c>
      <c r="DA61" s="197">
        <f t="shared" si="58"/>
        <v>102.962460425147</v>
      </c>
      <c r="DB61" s="443">
        <f t="shared" si="115"/>
        <v>73.598668246320372</v>
      </c>
      <c r="DD61" s="217">
        <f t="shared" si="59"/>
        <v>10</v>
      </c>
      <c r="DE61" s="173">
        <f t="shared" si="60"/>
        <v>7.6433121019108281</v>
      </c>
      <c r="DF61" s="173">
        <f t="shared" si="61"/>
        <v>3.9348710990502043</v>
      </c>
      <c r="DG61" s="173"/>
      <c r="DH61" s="173">
        <f t="shared" si="62"/>
        <v>7.6433121019108281</v>
      </c>
      <c r="DI61" s="545">
        <f t="shared" si="63"/>
        <v>146.53333333333336</v>
      </c>
      <c r="DJ61" s="528">
        <f t="shared" si="64"/>
        <v>3.9348710990502034</v>
      </c>
      <c r="DL61" s="173">
        <f t="shared" si="65"/>
        <v>6.3665794060337717</v>
      </c>
      <c r="DM61" s="173">
        <f t="shared" si="66"/>
        <v>13.989717868338561</v>
      </c>
      <c r="DN61" s="173">
        <f t="shared" si="67"/>
        <v>4.1553465691396747</v>
      </c>
      <c r="DP61" s="545">
        <f t="shared" si="68"/>
        <v>5600.0000000000009</v>
      </c>
      <c r="DQ61" s="460">
        <f t="shared" si="69"/>
        <v>73.598668246320372</v>
      </c>
      <c r="DS61">
        <f t="shared" si="116"/>
        <v>5600.0000000000009</v>
      </c>
      <c r="DT61">
        <f t="shared" si="70"/>
        <v>73.598668246320372</v>
      </c>
      <c r="DV61" s="5">
        <f t="shared" si="117"/>
        <v>13.587202375091833</v>
      </c>
      <c r="DW61" s="5">
        <f t="shared" si="71"/>
        <v>2.8944243865528052</v>
      </c>
      <c r="DX61" s="5">
        <f t="shared" si="118"/>
        <v>10.692777988539028</v>
      </c>
      <c r="DY61" s="173">
        <f t="shared" si="119"/>
        <v>0.21302578018995927</v>
      </c>
      <c r="EA61" s="5">
        <f t="shared" si="72"/>
        <v>108.05851043130474</v>
      </c>
      <c r="EB61" s="5">
        <f t="shared" si="73"/>
        <v>5.0652426764674088</v>
      </c>
      <c r="EC61" s="5">
        <f t="shared" si="74"/>
        <v>5.3400318135391105</v>
      </c>
      <c r="ED61" s="5"/>
      <c r="EE61" s="173">
        <f t="shared" si="120"/>
        <v>3.7279013480981247</v>
      </c>
      <c r="EF61" s="173">
        <f t="shared" si="75"/>
        <v>7.1652043621066328</v>
      </c>
      <c r="EG61" s="173">
        <f t="shared" si="76"/>
        <v>0.17646071919227316</v>
      </c>
      <c r="EH61" s="173"/>
      <c r="EI61" s="528">
        <f t="shared" si="77"/>
        <v>0.2779449692230363</v>
      </c>
      <c r="EJ61" s="528">
        <f t="shared" si="78"/>
        <v>1.5176666666666669</v>
      </c>
      <c r="EK61" s="528">
        <f t="shared" si="79"/>
        <v>9.1998335307900449E-3</v>
      </c>
      <c r="EL61" s="528">
        <f t="shared" si="80"/>
        <v>3.9976515032685594E-2</v>
      </c>
      <c r="EM61">
        <f t="shared" si="81"/>
        <v>2.6099999999999998E-2</v>
      </c>
      <c r="EN61" s="460">
        <f t="shared" si="121"/>
        <v>35.299833530790039</v>
      </c>
      <c r="EO61">
        <f t="shared" si="82"/>
        <v>2.0835287940828895</v>
      </c>
      <c r="EP61" s="460">
        <f t="shared" si="122"/>
        <v>2083.5287940828894</v>
      </c>
      <c r="EQ61" s="173">
        <f t="shared" si="83"/>
        <v>3.4789999999999996</v>
      </c>
      <c r="ER61" s="173">
        <f t="shared" si="170"/>
        <v>6.2125E-2</v>
      </c>
      <c r="ES61" s="528"/>
      <c r="EU61" s="460">
        <f t="shared" si="123"/>
        <v>3541.1249999999995</v>
      </c>
      <c r="EV61" s="528">
        <f t="shared" si="85"/>
        <v>0.41691745383455442</v>
      </c>
      <c r="EW61" s="528">
        <f t="shared" si="124"/>
        <v>1.5402046065225576</v>
      </c>
      <c r="EX61" s="528">
        <f t="shared" si="86"/>
        <v>1.5569192708927141E-4</v>
      </c>
      <c r="EY61" s="528">
        <f t="shared" si="87"/>
        <v>1.7008549743586536</v>
      </c>
      <c r="EZ61" s="528">
        <f t="shared" si="88"/>
        <v>4.8942285614199585</v>
      </c>
      <c r="FA61" s="625">
        <f t="shared" si="89"/>
        <v>1.4404157723777809E-2</v>
      </c>
      <c r="FB61" s="460">
        <f t="shared" si="125"/>
        <v>4908.6327191437367</v>
      </c>
      <c r="FC61" s="173">
        <f t="shared" si="126"/>
        <v>10.533286513226624</v>
      </c>
      <c r="FD61" s="5">
        <f t="shared" si="127"/>
        <v>85.120000000000019</v>
      </c>
      <c r="FE61" s="173">
        <f t="shared" si="128"/>
        <v>0.88988055824124646</v>
      </c>
      <c r="FF61" s="5">
        <f t="shared" si="129"/>
        <v>88.988055824124643</v>
      </c>
      <c r="FG61">
        <f t="shared" si="130"/>
        <v>56.000000000000007</v>
      </c>
      <c r="FI61" s="562">
        <f t="shared" si="90"/>
        <v>-50</v>
      </c>
      <c r="FJ61">
        <f t="shared" si="91"/>
        <v>-50</v>
      </c>
      <c r="FL61">
        <f t="shared" si="92"/>
        <v>0.78697421981004068</v>
      </c>
    </row>
    <row r="62" spans="5:168">
      <c r="E62" s="170">
        <v>57</v>
      </c>
      <c r="F62" s="217">
        <f t="shared" si="174"/>
        <v>5.6999999999999993</v>
      </c>
      <c r="G62" s="217">
        <f t="shared" si="171"/>
        <v>0.14249999999999999</v>
      </c>
      <c r="H62" s="217">
        <f t="shared" si="135"/>
        <v>85.499999999999986</v>
      </c>
      <c r="I62" s="217">
        <f t="shared" si="175"/>
        <v>1.1399999999999999</v>
      </c>
      <c r="J62" s="541">
        <f t="shared" si="136"/>
        <v>57.596081020685325</v>
      </c>
      <c r="K62" s="443">
        <f t="shared" si="137"/>
        <v>15.917287931034481</v>
      </c>
      <c r="L62" s="172">
        <f t="shared" si="138"/>
        <v>73.513368951719812</v>
      </c>
      <c r="M62" s="443"/>
      <c r="N62" s="217">
        <f t="shared" si="139"/>
        <v>0.21652235719856916</v>
      </c>
      <c r="O62" s="172">
        <f t="shared" si="172"/>
        <v>307.66873095391179</v>
      </c>
      <c r="P62" s="172">
        <f t="shared" si="140"/>
        <v>4.1569464093328534</v>
      </c>
      <c r="Q62" s="217">
        <f t="shared" si="6"/>
        <v>20.511248730260785</v>
      </c>
      <c r="R62" s="217">
        <f t="shared" si="141"/>
        <v>38.458591369238974</v>
      </c>
      <c r="S62" s="443">
        <f t="shared" si="142"/>
        <v>15</v>
      </c>
      <c r="T62" s="217">
        <f t="shared" si="143"/>
        <v>13.89481468183514</v>
      </c>
      <c r="U62" s="217">
        <f t="shared" si="10"/>
        <v>2.8949500248487166</v>
      </c>
      <c r="V62" s="217">
        <f t="shared" si="11"/>
        <v>10.475262928235868</v>
      </c>
      <c r="W62" s="197">
        <f t="shared" si="12"/>
        <v>103.92366023332133</v>
      </c>
      <c r="X62" s="443">
        <f t="shared" si="95"/>
        <v>73.690811150660281</v>
      </c>
      <c r="Z62" s="217">
        <f t="shared" si="13"/>
        <v>10</v>
      </c>
      <c r="AA62" s="173">
        <f t="shared" si="14"/>
        <v>7.5389727521377488</v>
      </c>
      <c r="AB62" s="173">
        <f t="shared" si="144"/>
        <v>3.9173882140071545</v>
      </c>
      <c r="AC62" s="173"/>
      <c r="AD62" s="173">
        <f t="shared" si="16"/>
        <v>7.5389727521377488</v>
      </c>
      <c r="AE62" s="545">
        <f t="shared" si="145"/>
        <v>151.21423534482756</v>
      </c>
      <c r="AF62" s="528">
        <f t="shared" si="146"/>
        <v>3.9173882140071541</v>
      </c>
      <c r="AH62" s="173">
        <f t="shared" si="147"/>
        <v>6.4231723359367248</v>
      </c>
      <c r="AI62" s="173">
        <f t="shared" si="148"/>
        <v>13.89481468183514</v>
      </c>
      <c r="AJ62" s="173">
        <f t="shared" si="149"/>
        <v>4.0850479124704737</v>
      </c>
      <c r="AL62" s="545">
        <f t="shared" si="150"/>
        <v>5699.9999999999991</v>
      </c>
      <c r="AM62" s="460">
        <f t="shared" si="151"/>
        <v>73.690811150660281</v>
      </c>
      <c r="AO62">
        <f t="shared" si="96"/>
        <v>5699.9999999999991</v>
      </c>
      <c r="AP62">
        <f t="shared" si="24"/>
        <v>73.690811150660281</v>
      </c>
      <c r="AR62" s="5">
        <f t="shared" si="97"/>
        <v>13.570212953084583</v>
      </c>
      <c r="AS62" s="5">
        <f t="shared" si="25"/>
        <v>2.8949500248487166</v>
      </c>
      <c r="AT62" s="5">
        <f t="shared" si="98"/>
        <v>10.675262928235867</v>
      </c>
      <c r="AU62" s="173">
        <f t="shared" si="99"/>
        <v>0.21333121557172605</v>
      </c>
      <c r="AW62" s="5">
        <f t="shared" si="152"/>
        <v>110.00810094425121</v>
      </c>
      <c r="AX62" s="5">
        <f t="shared" si="153"/>
        <v>5.1566297317617762</v>
      </c>
      <c r="AY62" s="5">
        <f t="shared" si="28"/>
        <v>5.4645419366734131</v>
      </c>
      <c r="AZ62" s="5"/>
      <c r="BA62" s="173">
        <f t="shared" si="100"/>
        <v>3.7052655239197239</v>
      </c>
      <c r="BB62" s="173">
        <f t="shared" si="154"/>
        <v>7.115216024696581</v>
      </c>
      <c r="BC62" s="173">
        <f t="shared" si="155"/>
        <v>0.17522963386311582</v>
      </c>
      <c r="BD62" s="173"/>
      <c r="BE62" s="528">
        <f t="shared" si="31"/>
        <v>0.2745798520549621</v>
      </c>
      <c r="BF62" s="528">
        <f t="shared" si="156"/>
        <v>1.4113466408277759</v>
      </c>
      <c r="BG62" s="528">
        <f t="shared" si="157"/>
        <v>0.10610754823783627</v>
      </c>
      <c r="BH62" s="528">
        <f t="shared" si="34"/>
        <v>3.9824101753711059E-2</v>
      </c>
      <c r="BI62">
        <f t="shared" si="35"/>
        <v>2.5918236459308394E-2</v>
      </c>
      <c r="BJ62" s="460">
        <f t="shared" si="101"/>
        <v>132.02578469714464</v>
      </c>
      <c r="BK62">
        <f t="shared" si="158"/>
        <v>1.9255076035687513</v>
      </c>
      <c r="BL62" s="460">
        <f t="shared" si="102"/>
        <v>1925.5076035687514</v>
      </c>
      <c r="BM62" s="173">
        <f t="shared" si="159"/>
        <v>3.5411249999999992</v>
      </c>
      <c r="BN62" s="173">
        <f t="shared" si="160"/>
        <v>6.3234374999999995E-2</v>
      </c>
      <c r="BO62" s="528"/>
      <c r="BQ62" s="460">
        <f t="shared" si="103"/>
        <v>3604.3593749999991</v>
      </c>
      <c r="BR62" s="528">
        <f t="shared" si="39"/>
        <v>0.41186977808244313</v>
      </c>
      <c r="BS62" s="528">
        <f t="shared" si="104"/>
        <v>1.5187889723429704</v>
      </c>
      <c r="BT62" s="528">
        <f t="shared" si="161"/>
        <v>1.5352712291900815E-4</v>
      </c>
      <c r="BU62" s="528">
        <f t="shared" si="41"/>
        <v>1.6773946137014051</v>
      </c>
      <c r="BV62" s="528">
        <f t="shared" si="162"/>
        <v>4.8154147991101173</v>
      </c>
      <c r="BW62" s="625">
        <f t="shared" si="163"/>
        <v>1.4227180937396892E-2</v>
      </c>
      <c r="BX62" s="460">
        <f t="shared" si="105"/>
        <v>4829.6419800475142</v>
      </c>
      <c r="BY62" s="173">
        <f t="shared" si="106"/>
        <v>10.359508958616264</v>
      </c>
      <c r="BZ62" s="5">
        <f t="shared" si="107"/>
        <v>86.639999999999986</v>
      </c>
      <c r="CA62" s="173">
        <f t="shared" si="108"/>
        <v>0.8932003979212304</v>
      </c>
      <c r="CB62" s="5">
        <f t="shared" si="109"/>
        <v>89.32003979212304</v>
      </c>
      <c r="CC62">
        <f t="shared" si="173"/>
        <v>56.999999999999993</v>
      </c>
      <c r="CE62" s="562">
        <f t="shared" si="164"/>
        <v>-50</v>
      </c>
      <c r="CF62">
        <f t="shared" si="165"/>
        <v>-50</v>
      </c>
      <c r="CG62" s="173">
        <f t="shared" si="166"/>
        <v>0.78697421981004068</v>
      </c>
      <c r="CH62" s="173">
        <f t="shared" si="167"/>
        <v>9.2345221451934023E-2</v>
      </c>
      <c r="CI62" s="170">
        <v>57</v>
      </c>
      <c r="CJ62" s="217">
        <f t="shared" si="133"/>
        <v>5.6999999999999993</v>
      </c>
      <c r="CK62" s="217">
        <f t="shared" si="111"/>
        <v>0.14249999999999999</v>
      </c>
      <c r="CL62" s="217">
        <f t="shared" si="48"/>
        <v>85.499999999999986</v>
      </c>
      <c r="CM62" s="217">
        <f t="shared" si="134"/>
        <v>1.1399999999999999</v>
      </c>
      <c r="CN62" s="541">
        <f t="shared" si="112"/>
        <v>58</v>
      </c>
      <c r="CO62" s="443">
        <f t="shared" si="168"/>
        <v>15.7</v>
      </c>
      <c r="CP62" s="443">
        <f t="shared" si="169"/>
        <v>73.7</v>
      </c>
      <c r="CQ62" s="443"/>
      <c r="CR62" s="217">
        <f t="shared" si="113"/>
        <v>0.2098092643051771</v>
      </c>
      <c r="CS62" s="172">
        <f t="shared" si="114"/>
        <v>300.22049333142121</v>
      </c>
      <c r="CT62" s="172">
        <f t="shared" si="51"/>
        <v>4.0563124432334243</v>
      </c>
      <c r="CU62" s="217">
        <f t="shared" si="52"/>
        <v>20.014699555428081</v>
      </c>
      <c r="CV62" s="217">
        <f t="shared" si="53"/>
        <v>37.527561666427651</v>
      </c>
      <c r="CW62" s="443">
        <f t="shared" si="54"/>
        <v>15</v>
      </c>
      <c r="CX62" s="217">
        <f t="shared" si="55"/>
        <v>14.239534258844602</v>
      </c>
      <c r="CY62" s="217">
        <f t="shared" si="56"/>
        <v>2.9461105363126765</v>
      </c>
      <c r="CZ62" s="217">
        <f t="shared" si="57"/>
        <v>10.883720452620079</v>
      </c>
      <c r="DA62" s="197">
        <f t="shared" si="58"/>
        <v>102.962460425147</v>
      </c>
      <c r="DB62" s="443">
        <f t="shared" si="115"/>
        <v>72.307463540244584</v>
      </c>
      <c r="DD62" s="217">
        <f t="shared" si="59"/>
        <v>10</v>
      </c>
      <c r="DE62" s="173">
        <f t="shared" si="60"/>
        <v>7.6433121019108281</v>
      </c>
      <c r="DF62" s="173">
        <f t="shared" si="61"/>
        <v>3.9348710990502043</v>
      </c>
      <c r="DG62" s="173"/>
      <c r="DH62" s="173">
        <f t="shared" si="62"/>
        <v>7.6433121019108281</v>
      </c>
      <c r="DI62" s="545">
        <f t="shared" si="63"/>
        <v>149.15</v>
      </c>
      <c r="DJ62" s="528">
        <f t="shared" si="64"/>
        <v>3.9348710990502034</v>
      </c>
      <c r="DL62" s="173">
        <f t="shared" si="65"/>
        <v>6.4231723359367248</v>
      </c>
      <c r="DM62" s="173">
        <f t="shared" si="66"/>
        <v>14.239534258844602</v>
      </c>
      <c r="DN62" s="173">
        <f t="shared" si="67"/>
        <v>4.3403957472922974</v>
      </c>
      <c r="DP62" s="545">
        <f t="shared" si="68"/>
        <v>5699.9999999999991</v>
      </c>
      <c r="DQ62" s="460">
        <f t="shared" si="69"/>
        <v>72.307463540244584</v>
      </c>
      <c r="DS62">
        <f t="shared" si="116"/>
        <v>5699.9999999999991</v>
      </c>
      <c r="DT62">
        <f t="shared" si="70"/>
        <v>72.307463540244584</v>
      </c>
      <c r="DV62" s="5">
        <f t="shared" si="117"/>
        <v>13.829830988932756</v>
      </c>
      <c r="DW62" s="5">
        <f t="shared" si="71"/>
        <v>2.9461105363126765</v>
      </c>
      <c r="DX62" s="5">
        <f t="shared" si="118"/>
        <v>10.883720452620079</v>
      </c>
      <c r="DY62" s="173">
        <f t="shared" si="119"/>
        <v>0.2130257801899593</v>
      </c>
      <c r="EA62" s="5">
        <f t="shared" si="72"/>
        <v>111.9522003798817</v>
      </c>
      <c r="EB62" s="5">
        <f t="shared" si="73"/>
        <v>5.2477593928069544</v>
      </c>
      <c r="EC62" s="5">
        <f t="shared" si="74"/>
        <v>5.53245005171829</v>
      </c>
      <c r="ED62" s="5"/>
      <c r="EE62" s="173">
        <f t="shared" si="120"/>
        <v>3.7944710150284471</v>
      </c>
      <c r="EF62" s="173">
        <f t="shared" si="75"/>
        <v>7.2931544400013921</v>
      </c>
      <c r="EG62" s="173">
        <f t="shared" si="76"/>
        <v>0.1796118034635637</v>
      </c>
      <c r="EH62" s="173"/>
      <c r="EI62" s="528">
        <f t="shared" si="77"/>
        <v>0.28796020567782027</v>
      </c>
      <c r="EJ62" s="528">
        <f t="shared" si="78"/>
        <v>1.5176666666666663</v>
      </c>
      <c r="EK62" s="528">
        <f t="shared" si="79"/>
        <v>9.0384329425305734E-3</v>
      </c>
      <c r="EL62" s="528">
        <f t="shared" si="80"/>
        <v>3.9275172663691113E-2</v>
      </c>
      <c r="EM62">
        <f t="shared" si="81"/>
        <v>2.6099999999999998E-2</v>
      </c>
      <c r="EN62" s="460">
        <f t="shared" si="121"/>
        <v>35.138432942530571</v>
      </c>
      <c r="EO62">
        <f t="shared" si="82"/>
        <v>2.1015783471893994</v>
      </c>
      <c r="EP62" s="460">
        <f t="shared" si="122"/>
        <v>2101.5783471893992</v>
      </c>
      <c r="EQ62" s="173">
        <f t="shared" si="83"/>
        <v>3.5411249999999992</v>
      </c>
      <c r="ER62" s="173">
        <f t="shared" si="170"/>
        <v>6.3234374999999995E-2</v>
      </c>
      <c r="ES62" s="528"/>
      <c r="EU62" s="460">
        <f t="shared" si="123"/>
        <v>3604.3593749999991</v>
      </c>
      <c r="EV62" s="528">
        <f t="shared" si="85"/>
        <v>0.43194030851673038</v>
      </c>
      <c r="EW62" s="528">
        <f t="shared" si="124"/>
        <v>1.5957030505713605</v>
      </c>
      <c r="EX62" s="528">
        <f t="shared" si="86"/>
        <v>1.6130199971716916E-4</v>
      </c>
      <c r="EY62" s="528">
        <f t="shared" si="87"/>
        <v>1.7008549743586476</v>
      </c>
      <c r="EZ62" s="528">
        <f t="shared" si="88"/>
        <v>5.031577211948524</v>
      </c>
      <c r="FA62" s="625">
        <f t="shared" si="89"/>
        <v>1.466137482598812E-2</v>
      </c>
      <c r="FB62" s="460">
        <f t="shared" si="125"/>
        <v>5046.2385867745124</v>
      </c>
      <c r="FC62" s="173">
        <f t="shared" si="126"/>
        <v>10.752176308963911</v>
      </c>
      <c r="FD62" s="5">
        <f t="shared" si="127"/>
        <v>86.639999999999986</v>
      </c>
      <c r="FE62" s="173">
        <f t="shared" si="128"/>
        <v>0.88959917812233658</v>
      </c>
      <c r="FF62" s="5">
        <f t="shared" si="129"/>
        <v>88.959917812233655</v>
      </c>
      <c r="FG62">
        <f t="shared" si="130"/>
        <v>56.999999999999993</v>
      </c>
      <c r="FI62" s="562">
        <f t="shared" si="90"/>
        <v>-50</v>
      </c>
      <c r="FJ62">
        <f t="shared" si="91"/>
        <v>-50</v>
      </c>
      <c r="FL62">
        <f t="shared" si="92"/>
        <v>0.78697421981004068</v>
      </c>
    </row>
    <row r="63" spans="5:168">
      <c r="E63" s="170">
        <v>58</v>
      </c>
      <c r="F63" s="217">
        <f t="shared" si="174"/>
        <v>5.8</v>
      </c>
      <c r="G63" s="217">
        <f t="shared" si="171"/>
        <v>0.14499999999999999</v>
      </c>
      <c r="H63" s="217">
        <f t="shared" si="135"/>
        <v>87</v>
      </c>
      <c r="I63" s="217">
        <f t="shared" si="175"/>
        <v>1.1599999999999999</v>
      </c>
      <c r="J63" s="541">
        <f t="shared" si="136"/>
        <v>57.58899472280261</v>
      </c>
      <c r="K63" s="443">
        <f t="shared" si="137"/>
        <v>15.921099999999999</v>
      </c>
      <c r="L63" s="172">
        <f t="shared" si="138"/>
        <v>73.510094722802606</v>
      </c>
      <c r="M63" s="443"/>
      <c r="N63" s="217">
        <f t="shared" si="139"/>
        <v>0.21658385912896019</v>
      </c>
      <c r="O63" s="172">
        <f t="shared" si="172"/>
        <v>307.71825790514583</v>
      </c>
      <c r="P63" s="172">
        <f t="shared" si="140"/>
        <v>4.1576155734739713</v>
      </c>
      <c r="Q63" s="217">
        <f t="shared" si="6"/>
        <v>20.514550527009721</v>
      </c>
      <c r="R63" s="217">
        <f t="shared" si="141"/>
        <v>38.464782238143229</v>
      </c>
      <c r="S63" s="443">
        <f t="shared" si="142"/>
        <v>15</v>
      </c>
      <c r="T63" s="217">
        <f t="shared" si="143"/>
        <v>14.136307769365075</v>
      </c>
      <c r="U63" s="217">
        <f t="shared" si="10"/>
        <v>2.9456269214092208</v>
      </c>
      <c r="V63" s="217">
        <f t="shared" si="11"/>
        <v>10.654772172298454</v>
      </c>
      <c r="W63" s="197">
        <f t="shared" si="12"/>
        <v>103.94038933684926</v>
      </c>
      <c r="X63" s="443">
        <f t="shared" si="95"/>
        <v>72.461672536408926</v>
      </c>
      <c r="Z63" s="217">
        <f t="shared" si="13"/>
        <v>10</v>
      </c>
      <c r="AA63" s="173">
        <f t="shared" si="14"/>
        <v>7.5371676580135807</v>
      </c>
      <c r="AB63" s="173">
        <f t="shared" si="144"/>
        <v>3.9170807043551998</v>
      </c>
      <c r="AC63" s="173"/>
      <c r="AD63" s="173">
        <f t="shared" si="16"/>
        <v>7.5371676580135807</v>
      </c>
      <c r="AE63" s="545">
        <f t="shared" si="145"/>
        <v>153.90396666666663</v>
      </c>
      <c r="AF63" s="528">
        <f t="shared" si="146"/>
        <v>3.917080704355199</v>
      </c>
      <c r="AH63" s="173">
        <f t="shared" si="147"/>
        <v>6.4792709760398495</v>
      </c>
      <c r="AI63" s="173">
        <f t="shared" si="148"/>
        <v>14.136307769365075</v>
      </c>
      <c r="AJ63" s="173">
        <f t="shared" si="149"/>
        <v>4.2639316810111669</v>
      </c>
      <c r="AL63" s="545">
        <f t="shared" si="150"/>
        <v>5800</v>
      </c>
      <c r="AM63" s="460">
        <f t="shared" si="151"/>
        <v>72.461672536408926</v>
      </c>
      <c r="AO63">
        <f t="shared" si="96"/>
        <v>5800</v>
      </c>
      <c r="AP63">
        <f t="shared" si="24"/>
        <v>72.461672536408926</v>
      </c>
      <c r="AR63" s="5">
        <f t="shared" si="97"/>
        <v>13.800399093707673</v>
      </c>
      <c r="AS63" s="5">
        <f t="shared" si="25"/>
        <v>2.9456269214092208</v>
      </c>
      <c r="AT63" s="5">
        <f t="shared" si="98"/>
        <v>10.854772172298453</v>
      </c>
      <c r="AU63" s="173">
        <f t="shared" si="99"/>
        <v>0.21344505339358533</v>
      </c>
      <c r="AW63" s="5">
        <f t="shared" si="152"/>
        <v>113.89757429448987</v>
      </c>
      <c r="AX63" s="5">
        <f t="shared" si="153"/>
        <v>5.338948795054212</v>
      </c>
      <c r="AY63" s="5">
        <f t="shared" si="28"/>
        <v>5.6546075641083169</v>
      </c>
      <c r="AZ63" s="5"/>
      <c r="BA63" s="173">
        <f t="shared" si="100"/>
        <v>3.7706690108579548</v>
      </c>
      <c r="BB63" s="173">
        <f t="shared" si="154"/>
        <v>7.2383553146157418</v>
      </c>
      <c r="BC63" s="173">
        <f t="shared" si="155"/>
        <v>0.17826224068936028</v>
      </c>
      <c r="BD63" s="173"/>
      <c r="BE63" s="528">
        <f t="shared" si="31"/>
        <v>0.28435889578889018</v>
      </c>
      <c r="BF63" s="528">
        <f t="shared" si="156"/>
        <v>1.4118631408328144</v>
      </c>
      <c r="BG63" s="528">
        <f t="shared" si="157"/>
        <v>0.10432487193261761</v>
      </c>
      <c r="BH63" s="528">
        <f t="shared" si="34"/>
        <v>3.9156360547712404E-2</v>
      </c>
      <c r="BI63">
        <f t="shared" si="35"/>
        <v>2.5915047625261173E-2</v>
      </c>
      <c r="BJ63" s="460">
        <f t="shared" si="101"/>
        <v>130.23991955787878</v>
      </c>
      <c r="BK63">
        <f t="shared" si="158"/>
        <v>1.943462784322801</v>
      </c>
      <c r="BL63" s="460">
        <f t="shared" si="102"/>
        <v>1943.4627843228009</v>
      </c>
      <c r="BM63" s="173">
        <f t="shared" si="159"/>
        <v>3.6032499999999996</v>
      </c>
      <c r="BN63" s="173">
        <f t="shared" si="160"/>
        <v>6.4343749999999991E-2</v>
      </c>
      <c r="BO63" s="528"/>
      <c r="BQ63" s="460">
        <f t="shared" si="103"/>
        <v>3667.5937499999995</v>
      </c>
      <c r="BR63" s="528">
        <f t="shared" si="39"/>
        <v>0.42653834368333521</v>
      </c>
      <c r="BS63" s="528">
        <f t="shared" si="104"/>
        <v>1.5718136298187786</v>
      </c>
      <c r="BT63" s="528">
        <f t="shared" si="161"/>
        <v>1.5888713227795709E-4</v>
      </c>
      <c r="BU63" s="528">
        <f t="shared" si="41"/>
        <v>1.6791166541075646</v>
      </c>
      <c r="BV63" s="528">
        <f t="shared" si="162"/>
        <v>4.9484292966965713</v>
      </c>
      <c r="BW63" s="625">
        <f t="shared" si="163"/>
        <v>1.4480392631639671E-2</v>
      </c>
      <c r="BX63" s="460">
        <f t="shared" si="105"/>
        <v>4962.9096893282112</v>
      </c>
      <c r="BY63" s="173">
        <f t="shared" si="106"/>
        <v>10.573966223651013</v>
      </c>
      <c r="BZ63" s="5">
        <f t="shared" si="107"/>
        <v>88.16</v>
      </c>
      <c r="CA63" s="173">
        <f t="shared" si="108"/>
        <v>0.89290447220869273</v>
      </c>
      <c r="CB63" s="5">
        <f t="shared" si="109"/>
        <v>89.290447220869268</v>
      </c>
      <c r="CC63">
        <f t="shared" si="173"/>
        <v>57.999999999999993</v>
      </c>
      <c r="CE63" s="562">
        <f t="shared" si="164"/>
        <v>-50</v>
      </c>
      <c r="CF63">
        <f t="shared" si="165"/>
        <v>-50</v>
      </c>
      <c r="CG63" s="173">
        <f t="shared" si="166"/>
        <v>0.78697421981004079</v>
      </c>
      <c r="CH63" s="173">
        <f t="shared" si="167"/>
        <v>9.2345221451934009E-2</v>
      </c>
      <c r="CI63" s="170">
        <v>58</v>
      </c>
      <c r="CJ63" s="217">
        <f t="shared" si="133"/>
        <v>5.8</v>
      </c>
      <c r="CK63" s="217">
        <f t="shared" si="111"/>
        <v>0.14499999999999999</v>
      </c>
      <c r="CL63" s="217">
        <f t="shared" si="48"/>
        <v>87</v>
      </c>
      <c r="CM63" s="217">
        <f t="shared" si="134"/>
        <v>1.1599999999999999</v>
      </c>
      <c r="CN63" s="541">
        <f t="shared" si="112"/>
        <v>58</v>
      </c>
      <c r="CO63" s="443">
        <f t="shared" si="168"/>
        <v>15.7</v>
      </c>
      <c r="CP63" s="443">
        <f t="shared" si="169"/>
        <v>73.7</v>
      </c>
      <c r="CQ63" s="443"/>
      <c r="CR63" s="217">
        <f t="shared" si="113"/>
        <v>0.2098092643051771</v>
      </c>
      <c r="CS63" s="172">
        <f t="shared" si="114"/>
        <v>300.22049333142121</v>
      </c>
      <c r="CT63" s="172">
        <f t="shared" si="51"/>
        <v>4.0563124432334243</v>
      </c>
      <c r="CU63" s="217">
        <f t="shared" si="52"/>
        <v>20.014699555428081</v>
      </c>
      <c r="CV63" s="217">
        <f t="shared" si="53"/>
        <v>37.527561666427651</v>
      </c>
      <c r="CW63" s="443">
        <f t="shared" si="54"/>
        <v>15</v>
      </c>
      <c r="CX63" s="217">
        <f t="shared" si="55"/>
        <v>14.48935064935065</v>
      </c>
      <c r="CY63" s="217">
        <f t="shared" si="56"/>
        <v>2.9977966860725482</v>
      </c>
      <c r="CZ63" s="217">
        <f t="shared" si="57"/>
        <v>11.074662916701135</v>
      </c>
      <c r="DA63" s="197">
        <f t="shared" si="58"/>
        <v>102.962460425147</v>
      </c>
      <c r="DB63" s="443">
        <f t="shared" si="115"/>
        <v>71.060783134378283</v>
      </c>
      <c r="DD63" s="217">
        <f t="shared" si="59"/>
        <v>10</v>
      </c>
      <c r="DE63" s="173">
        <f t="shared" si="60"/>
        <v>7.6433121019108281</v>
      </c>
      <c r="DF63" s="173">
        <f t="shared" si="61"/>
        <v>3.9348710990502043</v>
      </c>
      <c r="DG63" s="173"/>
      <c r="DH63" s="173">
        <f t="shared" si="62"/>
        <v>7.6433121019108281</v>
      </c>
      <c r="DI63" s="545">
        <f t="shared" si="63"/>
        <v>151.76666666666668</v>
      </c>
      <c r="DJ63" s="528">
        <f t="shared" si="64"/>
        <v>3.9348710990502034</v>
      </c>
      <c r="DL63" s="173">
        <f t="shared" si="65"/>
        <v>6.4792709760398495</v>
      </c>
      <c r="DM63" s="173">
        <f t="shared" si="66"/>
        <v>14.48935064935065</v>
      </c>
      <c r="DN63" s="173">
        <f t="shared" si="67"/>
        <v>4.5254449254449254</v>
      </c>
      <c r="DP63" s="545">
        <f t="shared" si="68"/>
        <v>5800</v>
      </c>
      <c r="DQ63" s="460">
        <f t="shared" si="69"/>
        <v>71.060783134378283</v>
      </c>
      <c r="DS63">
        <f t="shared" si="116"/>
        <v>5800</v>
      </c>
      <c r="DT63">
        <f t="shared" si="70"/>
        <v>71.060783134378283</v>
      </c>
      <c r="DV63" s="5">
        <f t="shared" si="117"/>
        <v>14.072459602773685</v>
      </c>
      <c r="DW63" s="5">
        <f t="shared" si="71"/>
        <v>2.9977966860725482</v>
      </c>
      <c r="DX63" s="5">
        <f t="shared" si="118"/>
        <v>11.074662916701136</v>
      </c>
      <c r="DY63" s="173">
        <f t="shared" si="119"/>
        <v>0.21302578018995924</v>
      </c>
      <c r="EA63" s="5">
        <f t="shared" si="72"/>
        <v>115.9148051948052</v>
      </c>
      <c r="EB63" s="5">
        <f t="shared" si="73"/>
        <v>5.433506493506493</v>
      </c>
      <c r="EC63" s="5">
        <f t="shared" si="74"/>
        <v>5.7282739224316215</v>
      </c>
      <c r="ED63" s="5"/>
      <c r="EE63" s="173">
        <f t="shared" si="120"/>
        <v>3.8610406819587704</v>
      </c>
      <c r="EF63" s="173">
        <f t="shared" si="75"/>
        <v>7.4211045178961541</v>
      </c>
      <c r="EG63" s="173">
        <f t="shared" si="76"/>
        <v>0.18276288773485433</v>
      </c>
      <c r="EH63" s="173"/>
      <c r="EI63" s="528">
        <f t="shared" si="77"/>
        <v>0.29815270295481294</v>
      </c>
      <c r="EJ63" s="528">
        <f t="shared" si="78"/>
        <v>1.5176666666666663</v>
      </c>
      <c r="EK63" s="528">
        <f t="shared" si="79"/>
        <v>8.8825978917972861E-3</v>
      </c>
      <c r="EL63" s="528">
        <f t="shared" si="80"/>
        <v>3.8598014514317124E-2</v>
      </c>
      <c r="EM63">
        <f t="shared" si="81"/>
        <v>2.6099999999999998E-2</v>
      </c>
      <c r="EN63" s="460">
        <f t="shared" si="121"/>
        <v>34.982597891797283</v>
      </c>
      <c r="EO63">
        <f t="shared" si="82"/>
        <v>2.1200907338180315</v>
      </c>
      <c r="EP63" s="460">
        <f t="shared" si="122"/>
        <v>2120.0907338180314</v>
      </c>
      <c r="EQ63" s="173">
        <f t="shared" si="83"/>
        <v>3.6032499999999996</v>
      </c>
      <c r="ER63" s="173">
        <f t="shared" si="170"/>
        <v>6.4343749999999991E-2</v>
      </c>
      <c r="ES63" s="528"/>
      <c r="EU63" s="460">
        <f t="shared" si="123"/>
        <v>3667.5937499999995</v>
      </c>
      <c r="EV63" s="528">
        <f t="shared" si="85"/>
        <v>0.44722905443221939</v>
      </c>
      <c r="EW63" s="528">
        <f t="shared" si="124"/>
        <v>1.6521837679661613</v>
      </c>
      <c r="EX63" s="528">
        <f t="shared" si="86"/>
        <v>1.6701136566591484E-4</v>
      </c>
      <c r="EY63" s="528">
        <f t="shared" si="87"/>
        <v>1.700854974358651</v>
      </c>
      <c r="EZ63" s="528">
        <f t="shared" si="88"/>
        <v>5.1732693240121552</v>
      </c>
      <c r="FA63" s="625">
        <f t="shared" si="89"/>
        <v>1.491859192819844E-2</v>
      </c>
      <c r="FB63" s="460">
        <f t="shared" si="125"/>
        <v>5188.1879159403543</v>
      </c>
      <c r="FC63" s="173">
        <f t="shared" si="126"/>
        <v>10.975872399758385</v>
      </c>
      <c r="FD63" s="5">
        <f t="shared" si="127"/>
        <v>88.16</v>
      </c>
      <c r="FE63" s="173">
        <f t="shared" si="128"/>
        <v>0.88928455326948697</v>
      </c>
      <c r="FF63" s="5">
        <f t="shared" si="129"/>
        <v>88.928455326948693</v>
      </c>
      <c r="FG63">
        <f t="shared" si="130"/>
        <v>57.999999999999993</v>
      </c>
      <c r="FI63" s="562">
        <f t="shared" si="90"/>
        <v>-50</v>
      </c>
      <c r="FJ63">
        <f t="shared" si="91"/>
        <v>-50</v>
      </c>
      <c r="FL63">
        <f t="shared" si="92"/>
        <v>0.78697421981004079</v>
      </c>
    </row>
    <row r="64" spans="5:168">
      <c r="E64" s="170">
        <v>59</v>
      </c>
      <c r="F64" s="217">
        <f t="shared" si="174"/>
        <v>5.8999999999999995</v>
      </c>
      <c r="G64" s="217">
        <f t="shared" si="171"/>
        <v>0.14749999999999999</v>
      </c>
      <c r="H64" s="217">
        <f t="shared" si="135"/>
        <v>88.499999999999986</v>
      </c>
      <c r="I64" s="217">
        <f t="shared" si="175"/>
        <v>1.18</v>
      </c>
      <c r="J64" s="541">
        <f t="shared" si="136"/>
        <v>57.581908424919895</v>
      </c>
      <c r="K64" s="443">
        <f t="shared" si="137"/>
        <v>15.924912068965517</v>
      </c>
      <c r="L64" s="172">
        <f t="shared" si="138"/>
        <v>73.506820493885414</v>
      </c>
      <c r="M64" s="443"/>
      <c r="N64" s="217">
        <f t="shared" si="139"/>
        <v>0.21664536653833658</v>
      </c>
      <c r="O64" s="172">
        <f t="shared" si="172"/>
        <v>307.76777113553538</v>
      </c>
      <c r="P64" s="172">
        <f t="shared" si="140"/>
        <v>4.1582845522312342</v>
      </c>
      <c r="Q64" s="217">
        <f t="shared" si="6"/>
        <v>20.517851409035693</v>
      </c>
      <c r="R64" s="217">
        <f t="shared" si="141"/>
        <v>38.470971391941923</v>
      </c>
      <c r="S64" s="443">
        <f t="shared" si="142"/>
        <v>15</v>
      </c>
      <c r="T64" s="217">
        <f t="shared" si="143"/>
        <v>14.377723774239211</v>
      </c>
      <c r="U64" s="217">
        <f t="shared" si="10"/>
        <v>2.9963002271074961</v>
      </c>
      <c r="V64" s="217">
        <f t="shared" si="11"/>
        <v>10.834137390755355</v>
      </c>
      <c r="W64" s="197">
        <f t="shared" si="12"/>
        <v>103.95711380578085</v>
      </c>
      <c r="X64" s="443">
        <f t="shared" si="95"/>
        <v>71.273614354469601</v>
      </c>
      <c r="Z64" s="217">
        <f t="shared" si="13"/>
        <v>10</v>
      </c>
      <c r="AA64" s="173">
        <f t="shared" si="14"/>
        <v>7.5353634280880026</v>
      </c>
      <c r="AB64" s="173">
        <f t="shared" si="144"/>
        <v>3.916773167308317</v>
      </c>
      <c r="AC64" s="173"/>
      <c r="AD64" s="173">
        <f t="shared" si="16"/>
        <v>7.5353634280880026</v>
      </c>
      <c r="AE64" s="545">
        <f t="shared" si="145"/>
        <v>156.59496867816088</v>
      </c>
      <c r="AF64" s="528">
        <f t="shared" si="146"/>
        <v>3.9167731673083166</v>
      </c>
      <c r="AH64" s="173">
        <f t="shared" si="147"/>
        <v>6.5348880560237523</v>
      </c>
      <c r="AI64" s="173">
        <f t="shared" si="148"/>
        <v>14.377723774239211</v>
      </c>
      <c r="AJ64" s="173">
        <f t="shared" si="149"/>
        <v>4.4427583512883038</v>
      </c>
      <c r="AL64" s="545">
        <f t="shared" si="150"/>
        <v>5899.9999999999991</v>
      </c>
      <c r="AM64" s="460">
        <f t="shared" si="151"/>
        <v>71.273614354469601</v>
      </c>
      <c r="AO64">
        <f t="shared" si="96"/>
        <v>5899.9999999999991</v>
      </c>
      <c r="AP64">
        <f t="shared" si="24"/>
        <v>71.273614354469601</v>
      </c>
      <c r="AR64" s="5">
        <f t="shared" si="97"/>
        <v>14.030437617862852</v>
      </c>
      <c r="AS64" s="5">
        <f t="shared" si="25"/>
        <v>2.9963002271074961</v>
      </c>
      <c r="AT64" s="5">
        <f t="shared" si="98"/>
        <v>11.034137390755355</v>
      </c>
      <c r="AU64" s="173">
        <f t="shared" si="99"/>
        <v>0.21355714687706936</v>
      </c>
      <c r="AW64" s="5">
        <f t="shared" si="152"/>
        <v>117.8544755995615</v>
      </c>
      <c r="AX64" s="5">
        <f t="shared" si="153"/>
        <v>5.5244285437294458</v>
      </c>
      <c r="AY64" s="5">
        <f t="shared" si="28"/>
        <v>5.8478685993051673</v>
      </c>
      <c r="AZ64" s="5"/>
      <c r="BA64" s="173">
        <f t="shared" si="100"/>
        <v>3.8360703517228925</v>
      </c>
      <c r="BB64" s="173">
        <f t="shared" si="154"/>
        <v>7.3614453675488942</v>
      </c>
      <c r="BC64" s="173">
        <f t="shared" si="155"/>
        <v>0.18129363493414535</v>
      </c>
      <c r="BD64" s="173"/>
      <c r="BE64" s="528">
        <f t="shared" si="31"/>
        <v>0.29430871486734794</v>
      </c>
      <c r="BF64" s="528">
        <f t="shared" si="156"/>
        <v>1.4123678676789739</v>
      </c>
      <c r="BG64" s="528">
        <f t="shared" si="157"/>
        <v>0.10260176837180311</v>
      </c>
      <c r="BH64" s="528">
        <f t="shared" si="34"/>
        <v>3.8510934628590218E-2</v>
      </c>
      <c r="BI64">
        <f t="shared" si="35"/>
        <v>2.5911858791213951E-2</v>
      </c>
      <c r="BJ64" s="460">
        <f t="shared" si="101"/>
        <v>128.51362716301708</v>
      </c>
      <c r="BK64">
        <f t="shared" si="158"/>
        <v>1.9618377727850276</v>
      </c>
      <c r="BL64" s="460">
        <f t="shared" si="102"/>
        <v>1961.8377727850275</v>
      </c>
      <c r="BM64" s="173">
        <f t="shared" si="159"/>
        <v>3.6653749999999987</v>
      </c>
      <c r="BN64" s="173">
        <f t="shared" si="160"/>
        <v>6.5453124999999987E-2</v>
      </c>
      <c r="BO64" s="528"/>
      <c r="BQ64" s="460">
        <f t="shared" si="103"/>
        <v>3730.8281249999986</v>
      </c>
      <c r="BR64" s="528">
        <f t="shared" si="39"/>
        <v>0.44146307230102183</v>
      </c>
      <c r="BS64" s="528">
        <f t="shared" si="104"/>
        <v>1.6257263369822124</v>
      </c>
      <c r="BT64" s="528">
        <f t="shared" si="161"/>
        <v>1.6433691033817586E-4</v>
      </c>
      <c r="BU64" s="528">
        <f t="shared" si="41"/>
        <v>1.6808048811729979</v>
      </c>
      <c r="BV64" s="528">
        <f t="shared" si="162"/>
        <v>5.0853870427462926</v>
      </c>
      <c r="BW64" s="625">
        <f t="shared" si="163"/>
        <v>1.4733606075489708E-2</v>
      </c>
      <c r="BX64" s="460">
        <f t="shared" si="105"/>
        <v>5100.1206488217822</v>
      </c>
      <c r="BY64" s="173">
        <f t="shared" si="106"/>
        <v>10.792786546606809</v>
      </c>
      <c r="BZ64" s="5">
        <f t="shared" si="107"/>
        <v>89.679999999999993</v>
      </c>
      <c r="CA64" s="173">
        <f t="shared" si="108"/>
        <v>0.89258000183362785</v>
      </c>
      <c r="CB64" s="5">
        <f t="shared" si="109"/>
        <v>89.258000183362782</v>
      </c>
      <c r="CC64">
        <f t="shared" si="173"/>
        <v>59</v>
      </c>
      <c r="CE64" s="562">
        <f t="shared" si="164"/>
        <v>-50</v>
      </c>
      <c r="CF64">
        <f t="shared" si="165"/>
        <v>-50</v>
      </c>
      <c r="CG64" s="173">
        <f t="shared" si="166"/>
        <v>0.78697421981004068</v>
      </c>
      <c r="CH64" s="173">
        <f t="shared" si="167"/>
        <v>9.2345221451934023E-2</v>
      </c>
      <c r="CI64" s="170">
        <v>59</v>
      </c>
      <c r="CJ64" s="217">
        <f t="shared" si="133"/>
        <v>5.8999999999999995</v>
      </c>
      <c r="CK64" s="217">
        <f t="shared" si="111"/>
        <v>0.14749999999999999</v>
      </c>
      <c r="CL64" s="217">
        <f t="shared" si="48"/>
        <v>88.499999999999986</v>
      </c>
      <c r="CM64" s="217">
        <f t="shared" si="134"/>
        <v>1.18</v>
      </c>
      <c r="CN64" s="541">
        <f t="shared" si="112"/>
        <v>58</v>
      </c>
      <c r="CO64" s="443">
        <f t="shared" si="168"/>
        <v>15.7</v>
      </c>
      <c r="CP64" s="443">
        <f t="shared" si="169"/>
        <v>73.7</v>
      </c>
      <c r="CQ64" s="443"/>
      <c r="CR64" s="217">
        <f t="shared" si="113"/>
        <v>0.2098092643051771</v>
      </c>
      <c r="CS64" s="172">
        <f t="shared" si="114"/>
        <v>300.22049333142121</v>
      </c>
      <c r="CT64" s="172">
        <f t="shared" si="51"/>
        <v>4.0563124432334243</v>
      </c>
      <c r="CU64" s="217">
        <f t="shared" si="52"/>
        <v>20.014699555428081</v>
      </c>
      <c r="CV64" s="217">
        <f t="shared" si="53"/>
        <v>37.527561666427651</v>
      </c>
      <c r="CW64" s="443">
        <f t="shared" si="54"/>
        <v>15</v>
      </c>
      <c r="CX64" s="217">
        <f t="shared" si="55"/>
        <v>14.739167039856694</v>
      </c>
      <c r="CY64" s="217">
        <f t="shared" si="56"/>
        <v>3.0494828358324195</v>
      </c>
      <c r="CZ64" s="217">
        <f t="shared" si="57"/>
        <v>11.265605380782187</v>
      </c>
      <c r="DA64" s="197">
        <f t="shared" si="58"/>
        <v>102.962460425147</v>
      </c>
      <c r="DB64" s="443">
        <f t="shared" si="115"/>
        <v>69.856363081253249</v>
      </c>
      <c r="DD64" s="217">
        <f t="shared" si="59"/>
        <v>10</v>
      </c>
      <c r="DE64" s="173">
        <f t="shared" si="60"/>
        <v>7.6433121019108281</v>
      </c>
      <c r="DF64" s="173">
        <f t="shared" si="61"/>
        <v>3.9348710990502043</v>
      </c>
      <c r="DG64" s="173"/>
      <c r="DH64" s="173">
        <f t="shared" si="62"/>
        <v>7.6433121019108281</v>
      </c>
      <c r="DI64" s="545">
        <f t="shared" si="63"/>
        <v>154.38333333333335</v>
      </c>
      <c r="DJ64" s="528">
        <f t="shared" si="64"/>
        <v>3.9348710990502034</v>
      </c>
      <c r="DL64" s="173">
        <f t="shared" si="65"/>
        <v>6.5348880560237523</v>
      </c>
      <c r="DM64" s="173">
        <f t="shared" si="66"/>
        <v>14.739167039856694</v>
      </c>
      <c r="DN64" s="173">
        <f t="shared" si="67"/>
        <v>4.7104941035975507</v>
      </c>
      <c r="DP64" s="545">
        <f t="shared" si="68"/>
        <v>5899.9999999999991</v>
      </c>
      <c r="DQ64" s="460">
        <f t="shared" si="69"/>
        <v>69.856363081253249</v>
      </c>
      <c r="DS64">
        <f t="shared" si="116"/>
        <v>5899.9999999999991</v>
      </c>
      <c r="DT64">
        <f t="shared" si="70"/>
        <v>69.856363081253249</v>
      </c>
      <c r="DV64" s="5">
        <f t="shared" si="117"/>
        <v>14.315088216614607</v>
      </c>
      <c r="DW64" s="5">
        <f t="shared" si="71"/>
        <v>3.0494828358324195</v>
      </c>
      <c r="DX64" s="5">
        <f t="shared" si="118"/>
        <v>11.265605380782187</v>
      </c>
      <c r="DY64" s="173">
        <f t="shared" si="119"/>
        <v>0.2130257801899593</v>
      </c>
      <c r="EA64" s="5">
        <f t="shared" si="72"/>
        <v>119.94632487607517</v>
      </c>
      <c r="EB64" s="5">
        <f t="shared" si="73"/>
        <v>5.6224839785660228</v>
      </c>
      <c r="EC64" s="5">
        <f t="shared" si="74"/>
        <v>5.9275034256790917</v>
      </c>
      <c r="ED64" s="5"/>
      <c r="EE64" s="173">
        <f t="shared" si="120"/>
        <v>3.9276103488890945</v>
      </c>
      <c r="EF64" s="173">
        <f t="shared" si="75"/>
        <v>7.5490545957909152</v>
      </c>
      <c r="EG64" s="173">
        <f t="shared" si="76"/>
        <v>0.1859139720061449</v>
      </c>
      <c r="EH64" s="173"/>
      <c r="EI64" s="528">
        <f t="shared" si="77"/>
        <v>0.30852246105401432</v>
      </c>
      <c r="EJ64" s="528">
        <f t="shared" si="78"/>
        <v>1.5176666666666665</v>
      </c>
      <c r="EK64" s="528">
        <f t="shared" si="79"/>
        <v>8.7320453851566556E-3</v>
      </c>
      <c r="EL64" s="528">
        <f t="shared" si="80"/>
        <v>3.7943810878481248E-2</v>
      </c>
      <c r="EM64">
        <f t="shared" si="81"/>
        <v>2.6099999999999998E-2</v>
      </c>
      <c r="EN64" s="460">
        <f t="shared" si="121"/>
        <v>34.832045385156654</v>
      </c>
      <c r="EO64">
        <f t="shared" si="82"/>
        <v>2.1390704742823332</v>
      </c>
      <c r="EP64" s="460">
        <f t="shared" si="122"/>
        <v>2139.0704742823332</v>
      </c>
      <c r="EQ64" s="173">
        <f t="shared" si="83"/>
        <v>3.6653749999999987</v>
      </c>
      <c r="ER64" s="173">
        <f t="shared" si="170"/>
        <v>6.5453124999999987E-2</v>
      </c>
      <c r="ES64" s="528"/>
      <c r="EU64" s="460">
        <f t="shared" si="123"/>
        <v>3730.8281249999986</v>
      </c>
      <c r="EV64" s="528">
        <f t="shared" si="85"/>
        <v>0.46278369158102145</v>
      </c>
      <c r="EW64" s="528">
        <f t="shared" si="124"/>
        <v>1.7096467587069581</v>
      </c>
      <c r="EX64" s="528">
        <f t="shared" si="86"/>
        <v>1.7282002493550816E-4</v>
      </c>
      <c r="EY64" s="528">
        <f t="shared" si="87"/>
        <v>1.7008549743586536</v>
      </c>
      <c r="EZ64" s="528">
        <f t="shared" si="88"/>
        <v>5.3194468371118617</v>
      </c>
      <c r="FA64" s="625">
        <f t="shared" si="89"/>
        <v>1.5175809030408759E-2</v>
      </c>
      <c r="FB64" s="460">
        <f t="shared" si="125"/>
        <v>5334.6226461422712</v>
      </c>
      <c r="FC64" s="173">
        <f t="shared" si="126"/>
        <v>11.204521245424603</v>
      </c>
      <c r="FD64" s="5">
        <f t="shared" si="127"/>
        <v>89.679999999999993</v>
      </c>
      <c r="FE64" s="173">
        <f t="shared" si="128"/>
        <v>0.88893716194412964</v>
      </c>
      <c r="FF64" s="5">
        <f t="shared" si="129"/>
        <v>88.89371619441296</v>
      </c>
      <c r="FG64">
        <f t="shared" si="130"/>
        <v>59</v>
      </c>
      <c r="FI64" s="562">
        <f t="shared" si="90"/>
        <v>-50</v>
      </c>
      <c r="FJ64">
        <f t="shared" si="91"/>
        <v>-50</v>
      </c>
      <c r="FL64">
        <f t="shared" si="92"/>
        <v>0.78697421981004068</v>
      </c>
    </row>
    <row r="65" spans="5:168">
      <c r="E65" s="170">
        <v>60</v>
      </c>
      <c r="F65" s="217">
        <f t="shared" si="174"/>
        <v>6</v>
      </c>
      <c r="G65" s="217">
        <f t="shared" si="171"/>
        <v>0.15</v>
      </c>
      <c r="H65" s="217">
        <f t="shared" si="135"/>
        <v>90</v>
      </c>
      <c r="I65" s="217">
        <f t="shared" si="175"/>
        <v>1.2</v>
      </c>
      <c r="J65" s="541">
        <f t="shared" si="136"/>
        <v>57.57482212703718</v>
      </c>
      <c r="K65" s="443">
        <f t="shared" si="137"/>
        <v>15.928724137931034</v>
      </c>
      <c r="L65" s="172">
        <f t="shared" si="138"/>
        <v>73.503546264968207</v>
      </c>
      <c r="M65" s="443"/>
      <c r="N65" s="217">
        <f t="shared" si="139"/>
        <v>0.21670687942743064</v>
      </c>
      <c r="O65" s="172">
        <f t="shared" si="172"/>
        <v>307.81727064324707</v>
      </c>
      <c r="P65" s="172">
        <f t="shared" si="140"/>
        <v>4.1589533455798708</v>
      </c>
      <c r="Q65" s="217">
        <f t="shared" si="6"/>
        <v>20.521151376216473</v>
      </c>
      <c r="R65" s="217">
        <f t="shared" si="141"/>
        <v>38.477158830405884</v>
      </c>
      <c r="S65" s="443">
        <f t="shared" si="142"/>
        <v>15</v>
      </c>
      <c r="T65" s="217">
        <f t="shared" si="143"/>
        <v>14.61906276602457</v>
      </c>
      <c r="U65" s="217">
        <f t="shared" si="10"/>
        <v>3.0469699551171239</v>
      </c>
      <c r="V65" s="217">
        <f t="shared" si="11"/>
        <v>11.013358739420113</v>
      </c>
      <c r="W65" s="197">
        <f t="shared" si="12"/>
        <v>103.97383363949675</v>
      </c>
      <c r="X65" s="443">
        <f t="shared" si="95"/>
        <v>70.124610829137069</v>
      </c>
      <c r="Z65" s="217">
        <f t="shared" si="13"/>
        <v>10</v>
      </c>
      <c r="AA65" s="173">
        <f t="shared" si="14"/>
        <v>7.5335600617405563</v>
      </c>
      <c r="AB65" s="173">
        <f t="shared" si="144"/>
        <v>3.9164656028628468</v>
      </c>
      <c r="AC65" s="173"/>
      <c r="AD65" s="173">
        <f t="shared" si="16"/>
        <v>7.5335600617405563</v>
      </c>
      <c r="AE65" s="545">
        <f t="shared" si="145"/>
        <v>159.28724137931036</v>
      </c>
      <c r="AF65" s="528">
        <f t="shared" si="146"/>
        <v>3.9164656028628464</v>
      </c>
      <c r="AH65" s="173">
        <f t="shared" si="147"/>
        <v>6.590035768383312</v>
      </c>
      <c r="AI65" s="173">
        <f t="shared" si="148"/>
        <v>14.61906276602457</v>
      </c>
      <c r="AJ65" s="173">
        <f t="shared" si="149"/>
        <v>4.6215279748330138</v>
      </c>
      <c r="AL65" s="545">
        <f t="shared" si="150"/>
        <v>6000</v>
      </c>
      <c r="AM65" s="460">
        <f t="shared" si="151"/>
        <v>70.124610829137069</v>
      </c>
      <c r="AO65">
        <f t="shared" si="96"/>
        <v>6000</v>
      </c>
      <c r="AP65">
        <f t="shared" si="24"/>
        <v>70.124610829137069</v>
      </c>
      <c r="AR65" s="5">
        <f t="shared" si="97"/>
        <v>14.260328694537238</v>
      </c>
      <c r="AS65" s="5">
        <f t="shared" si="25"/>
        <v>3.0469699551171239</v>
      </c>
      <c r="AT65" s="5">
        <f t="shared" si="98"/>
        <v>11.213358739420114</v>
      </c>
      <c r="AU65" s="173">
        <f t="shared" si="99"/>
        <v>0.21366758231066155</v>
      </c>
      <c r="AW65" s="5">
        <f t="shared" si="152"/>
        <v>121.87879820468495</v>
      </c>
      <c r="AX65" s="5">
        <f t="shared" si="153"/>
        <v>5.7130686658446068</v>
      </c>
      <c r="AY65" s="5">
        <f t="shared" si="28"/>
        <v>6.0443224244255322</v>
      </c>
      <c r="AZ65" s="5"/>
      <c r="BA65" s="173">
        <f t="shared" si="100"/>
        <v>3.9014695465322577</v>
      </c>
      <c r="BB65" s="173">
        <f t="shared" si="154"/>
        <v>7.4844862279564675</v>
      </c>
      <c r="BC65" s="173">
        <f t="shared" si="155"/>
        <v>0.18432381769241812</v>
      </c>
      <c r="BD65" s="173"/>
      <c r="BE65" s="528">
        <f t="shared" si="31"/>
        <v>0.30442929245037242</v>
      </c>
      <c r="BF65" s="528">
        <f t="shared" si="156"/>
        <v>1.412861397767861</v>
      </c>
      <c r="BG65" s="528">
        <f t="shared" si="157"/>
        <v>0.1009352998803818</v>
      </c>
      <c r="BH65" s="528">
        <f t="shared" si="34"/>
        <v>3.7886723575985902E-2</v>
      </c>
      <c r="BI65">
        <f t="shared" si="35"/>
        <v>2.590866995716673E-2</v>
      </c>
      <c r="BJ65" s="460">
        <f t="shared" si="101"/>
        <v>126.84396983754853</v>
      </c>
      <c r="BK65">
        <f t="shared" si="158"/>
        <v>1.9806375931750122</v>
      </c>
      <c r="BL65" s="460">
        <f t="shared" si="102"/>
        <v>1980.6375931750122</v>
      </c>
      <c r="BM65" s="173">
        <f t="shared" si="159"/>
        <v>3.7274999999999991</v>
      </c>
      <c r="BN65" s="173">
        <f t="shared" si="160"/>
        <v>6.6562499999999997E-2</v>
      </c>
      <c r="BO65" s="528"/>
      <c r="BQ65" s="460">
        <f t="shared" si="103"/>
        <v>3794.0624999999991</v>
      </c>
      <c r="BR65" s="528">
        <f t="shared" si="39"/>
        <v>0.45664393867555858</v>
      </c>
      <c r="BS65" s="528">
        <f t="shared" si="104"/>
        <v>1.6805260228941008</v>
      </c>
      <c r="BT65" s="528">
        <f t="shared" si="161"/>
        <v>1.6987634884353897E-4</v>
      </c>
      <c r="BU65" s="528">
        <f t="shared" si="41"/>
        <v>1.6824609433504947</v>
      </c>
      <c r="BV65" s="528">
        <f t="shared" si="162"/>
        <v>5.2264117931605725</v>
      </c>
      <c r="BW65" s="625">
        <f t="shared" si="163"/>
        <v>1.4986821183079421E-2</v>
      </c>
      <c r="BX65" s="460">
        <f t="shared" si="105"/>
        <v>5241.3986143436514</v>
      </c>
      <c r="BY65" s="173">
        <f t="shared" si="106"/>
        <v>11.016098707518662</v>
      </c>
      <c r="BZ65" s="5">
        <f t="shared" si="107"/>
        <v>91.2</v>
      </c>
      <c r="CA65" s="173">
        <f t="shared" si="108"/>
        <v>0.89222736098508171</v>
      </c>
      <c r="CB65" s="5">
        <f t="shared" si="109"/>
        <v>89.222736098508165</v>
      </c>
      <c r="CC65">
        <f t="shared" si="173"/>
        <v>60</v>
      </c>
      <c r="CE65" s="562">
        <f t="shared" si="164"/>
        <v>-50</v>
      </c>
      <c r="CF65">
        <f t="shared" si="165"/>
        <v>-50</v>
      </c>
      <c r="CG65" s="173">
        <f t="shared" si="166"/>
        <v>0.78697421981004068</v>
      </c>
      <c r="CH65" s="173">
        <f t="shared" si="167"/>
        <v>9.2345221451933995E-2</v>
      </c>
      <c r="CI65" s="170">
        <v>60</v>
      </c>
      <c r="CJ65" s="217">
        <f t="shared" si="133"/>
        <v>6</v>
      </c>
      <c r="CK65" s="217">
        <f t="shared" si="111"/>
        <v>0.15</v>
      </c>
      <c r="CL65" s="217">
        <f t="shared" si="48"/>
        <v>90</v>
      </c>
      <c r="CM65" s="217">
        <f t="shared" si="134"/>
        <v>1.2</v>
      </c>
      <c r="CN65" s="541">
        <f t="shared" si="112"/>
        <v>58</v>
      </c>
      <c r="CO65" s="443">
        <f t="shared" si="168"/>
        <v>15.7</v>
      </c>
      <c r="CP65" s="443">
        <f t="shared" si="169"/>
        <v>73.7</v>
      </c>
      <c r="CQ65" s="443"/>
      <c r="CR65" s="217">
        <f t="shared" si="113"/>
        <v>0.2098092643051771</v>
      </c>
      <c r="CS65" s="172">
        <f t="shared" si="114"/>
        <v>300.22049333142121</v>
      </c>
      <c r="CT65" s="172">
        <f t="shared" si="51"/>
        <v>4.0563124432334243</v>
      </c>
      <c r="CU65" s="217">
        <f t="shared" si="52"/>
        <v>20.014699555428081</v>
      </c>
      <c r="CV65" s="217">
        <f t="shared" si="53"/>
        <v>37.527561666427651</v>
      </c>
      <c r="CW65" s="443">
        <f t="shared" si="54"/>
        <v>15</v>
      </c>
      <c r="CX65" s="217">
        <f t="shared" si="55"/>
        <v>14.988983430362742</v>
      </c>
      <c r="CY65" s="217">
        <f t="shared" si="56"/>
        <v>3.1011689855922917</v>
      </c>
      <c r="CZ65" s="217">
        <f t="shared" si="57"/>
        <v>11.456547844863243</v>
      </c>
      <c r="DA65" s="197">
        <f t="shared" si="58"/>
        <v>102.962460425147</v>
      </c>
      <c r="DB65" s="443">
        <f t="shared" si="115"/>
        <v>68.692090363232339</v>
      </c>
      <c r="DD65" s="217">
        <f t="shared" si="59"/>
        <v>10</v>
      </c>
      <c r="DE65" s="173">
        <f t="shared" si="60"/>
        <v>7.6433121019108281</v>
      </c>
      <c r="DF65" s="173">
        <f t="shared" si="61"/>
        <v>3.9348710990502043</v>
      </c>
      <c r="DG65" s="173"/>
      <c r="DH65" s="173">
        <f t="shared" si="62"/>
        <v>7.6433121019108281</v>
      </c>
      <c r="DI65" s="545">
        <f t="shared" si="63"/>
        <v>157.00000000000003</v>
      </c>
      <c r="DJ65" s="528">
        <f t="shared" si="64"/>
        <v>3.9348710990502034</v>
      </c>
      <c r="DL65" s="173">
        <f t="shared" si="65"/>
        <v>6.590035768383312</v>
      </c>
      <c r="DM65" s="173">
        <f t="shared" si="66"/>
        <v>14.988983430362742</v>
      </c>
      <c r="DN65" s="173">
        <f t="shared" si="67"/>
        <v>4.8955432817501787</v>
      </c>
      <c r="DP65" s="545">
        <f t="shared" si="68"/>
        <v>6000</v>
      </c>
      <c r="DQ65" s="460">
        <f t="shared" si="69"/>
        <v>68.692090363232339</v>
      </c>
      <c r="DS65">
        <f t="shared" si="116"/>
        <v>6000</v>
      </c>
      <c r="DT65">
        <f t="shared" si="70"/>
        <v>68.692090363232339</v>
      </c>
      <c r="DV65" s="5">
        <f t="shared" si="117"/>
        <v>14.557716830455536</v>
      </c>
      <c r="DW65" s="5">
        <f t="shared" si="71"/>
        <v>3.1011689855922917</v>
      </c>
      <c r="DX65" s="5">
        <f t="shared" si="118"/>
        <v>11.456547844863245</v>
      </c>
      <c r="DY65" s="173">
        <f t="shared" si="119"/>
        <v>0.21302578018995927</v>
      </c>
      <c r="EA65" s="5">
        <f t="shared" si="72"/>
        <v>124.04675942369167</v>
      </c>
      <c r="EB65" s="5">
        <f t="shared" si="73"/>
        <v>5.8146918479855465</v>
      </c>
      <c r="EC65" s="5">
        <f t="shared" si="74"/>
        <v>6.1301385614607131</v>
      </c>
      <c r="ED65" s="5"/>
      <c r="EE65" s="173">
        <f t="shared" si="120"/>
        <v>3.9941800158194187</v>
      </c>
      <c r="EF65" s="173">
        <f t="shared" si="75"/>
        <v>7.6770046736856772</v>
      </c>
      <c r="EG65" s="173">
        <f t="shared" si="76"/>
        <v>0.18906505627743556</v>
      </c>
      <c r="EH65" s="173"/>
      <c r="EI65" s="528">
        <f t="shared" si="77"/>
        <v>0.31906947997542423</v>
      </c>
      <c r="EJ65" s="528">
        <f t="shared" si="78"/>
        <v>1.5176666666666663</v>
      </c>
      <c r="EK65" s="528">
        <f t="shared" si="79"/>
        <v>8.5865112954040413E-3</v>
      </c>
      <c r="EL65" s="528">
        <f t="shared" si="80"/>
        <v>3.731141403050655E-2</v>
      </c>
      <c r="EM65">
        <f t="shared" si="81"/>
        <v>2.6099999999999998E-2</v>
      </c>
      <c r="EN65" s="460">
        <f t="shared" si="121"/>
        <v>34.686511295404038</v>
      </c>
      <c r="EO65">
        <f t="shared" si="82"/>
        <v>2.1585223735964409</v>
      </c>
      <c r="EP65" s="460">
        <f t="shared" si="122"/>
        <v>2158.522373596441</v>
      </c>
      <c r="EQ65" s="173">
        <f t="shared" si="83"/>
        <v>3.7274999999999991</v>
      </c>
      <c r="ER65" s="173">
        <f t="shared" si="170"/>
        <v>6.6562499999999997E-2</v>
      </c>
      <c r="ES65" s="528"/>
      <c r="EU65" s="460">
        <f t="shared" si="123"/>
        <v>3794.0624999999991</v>
      </c>
      <c r="EV65" s="528">
        <f t="shared" si="85"/>
        <v>0.47860421996313635</v>
      </c>
      <c r="EW65" s="528">
        <f t="shared" si="124"/>
        <v>1.7680920227937518</v>
      </c>
      <c r="EX65" s="528">
        <f t="shared" si="86"/>
        <v>1.7872797752594937E-4</v>
      </c>
      <c r="EY65" s="528">
        <f t="shared" si="87"/>
        <v>1.7008549743586536</v>
      </c>
      <c r="EZ65" s="528">
        <f t="shared" si="88"/>
        <v>5.4702589762415119</v>
      </c>
      <c r="FA65" s="625">
        <f t="shared" si="89"/>
        <v>1.5433026132619078E-2</v>
      </c>
      <c r="FB65" s="460">
        <f t="shared" si="125"/>
        <v>5485.6920023741313</v>
      </c>
      <c r="FC65" s="173">
        <f t="shared" si="126"/>
        <v>11.438276875970571</v>
      </c>
      <c r="FD65" s="5">
        <f t="shared" si="127"/>
        <v>91.2</v>
      </c>
      <c r="FE65" s="173">
        <f t="shared" si="128"/>
        <v>0.88855739569953285</v>
      </c>
      <c r="FF65" s="5">
        <f t="shared" si="129"/>
        <v>88.855739569953286</v>
      </c>
      <c r="FG65">
        <f t="shared" si="130"/>
        <v>60</v>
      </c>
      <c r="FI65" s="562">
        <f t="shared" si="90"/>
        <v>-50</v>
      </c>
      <c r="FJ65">
        <f t="shared" si="91"/>
        <v>-50</v>
      </c>
      <c r="FL65">
        <f t="shared" si="92"/>
        <v>0.78697421981004068</v>
      </c>
    </row>
    <row r="66" spans="5:168">
      <c r="E66" s="170">
        <v>61</v>
      </c>
      <c r="F66" s="217">
        <f t="shared" si="174"/>
        <v>6.1</v>
      </c>
      <c r="G66" s="217">
        <f t="shared" si="171"/>
        <v>0.1525</v>
      </c>
      <c r="H66" s="217">
        <f t="shared" si="135"/>
        <v>91.5</v>
      </c>
      <c r="I66" s="217">
        <f t="shared" si="175"/>
        <v>1.22</v>
      </c>
      <c r="J66" s="541">
        <f t="shared" si="136"/>
        <v>57.567735829154472</v>
      </c>
      <c r="K66" s="443">
        <f t="shared" si="137"/>
        <v>15.93253620689655</v>
      </c>
      <c r="L66" s="172">
        <f t="shared" si="138"/>
        <v>73.50027203605103</v>
      </c>
      <c r="M66" s="443"/>
      <c r="N66" s="217">
        <f t="shared" si="139"/>
        <v>0.21676839779697449</v>
      </c>
      <c r="O66" s="172">
        <f t="shared" si="172"/>
        <v>307.8667564264465</v>
      </c>
      <c r="P66" s="172">
        <f t="shared" si="140"/>
        <v>4.1596219534950993</v>
      </c>
      <c r="Q66" s="217">
        <f t="shared" si="6"/>
        <v>20.524450428429766</v>
      </c>
      <c r="R66" s="217">
        <f t="shared" si="141"/>
        <v>38.483344553305812</v>
      </c>
      <c r="S66" s="443">
        <f t="shared" si="142"/>
        <v>15</v>
      </c>
      <c r="T66" s="217">
        <f t="shared" si="143"/>
        <v>14.860324814228616</v>
      </c>
      <c r="U66" s="217">
        <f t="shared" si="10"/>
        <v>3.0976361186057528</v>
      </c>
      <c r="V66" s="217">
        <f t="shared" si="11"/>
        <v>11.192436373912283</v>
      </c>
      <c r="W66" s="197">
        <f t="shared" si="12"/>
        <v>103.99054883737749</v>
      </c>
      <c r="X66" s="443">
        <f t="shared" si="95"/>
        <v>69.012767225032945</v>
      </c>
      <c r="Z66" s="217">
        <f t="shared" si="13"/>
        <v>10</v>
      </c>
      <c r="AA66" s="173">
        <f t="shared" si="14"/>
        <v>7.5317575583513729</v>
      </c>
      <c r="AB66" s="173">
        <f t="shared" si="144"/>
        <v>3.9161580110151277</v>
      </c>
      <c r="AC66" s="173"/>
      <c r="AD66" s="173">
        <f t="shared" si="16"/>
        <v>7.5317575583513729</v>
      </c>
      <c r="AE66" s="545">
        <f t="shared" si="145"/>
        <v>161.98078477011492</v>
      </c>
      <c r="AF66" s="528">
        <f t="shared" si="146"/>
        <v>3.9161580110151273</v>
      </c>
      <c r="AH66" s="173">
        <f t="shared" si="147"/>
        <v>6.6447257996384588</v>
      </c>
      <c r="AI66" s="173">
        <f t="shared" si="148"/>
        <v>14.860324814228616</v>
      </c>
      <c r="AJ66" s="173">
        <f t="shared" si="149"/>
        <v>4.8002406031323082</v>
      </c>
      <c r="AL66" s="545">
        <f t="shared" si="150"/>
        <v>6100</v>
      </c>
      <c r="AM66" s="460">
        <f t="shared" si="151"/>
        <v>69.012767225032945</v>
      </c>
      <c r="AO66">
        <f t="shared" si="96"/>
        <v>6100</v>
      </c>
      <c r="AP66">
        <f t="shared" si="24"/>
        <v>69.012767225032945</v>
      </c>
      <c r="AR66" s="5">
        <f t="shared" si="97"/>
        <v>14.490072492518033</v>
      </c>
      <c r="AS66" s="5">
        <f t="shared" si="25"/>
        <v>3.0976361186057528</v>
      </c>
      <c r="AT66" s="5">
        <f t="shared" si="98"/>
        <v>11.392436373912281</v>
      </c>
      <c r="AU66" s="173">
        <f t="shared" si="99"/>
        <v>0.21377644040119337</v>
      </c>
      <c r="AW66" s="5">
        <f t="shared" si="152"/>
        <v>125.97053548996729</v>
      </c>
      <c r="AX66" s="5">
        <f t="shared" si="153"/>
        <v>5.9048688510922167</v>
      </c>
      <c r="AY66" s="5">
        <f t="shared" si="28"/>
        <v>6.2439664258355636</v>
      </c>
      <c r="AZ66" s="5"/>
      <c r="BA66" s="173">
        <f t="shared" si="100"/>
        <v>3.9668665958461875</v>
      </c>
      <c r="BB66" s="173">
        <f t="shared" si="154"/>
        <v>7.6074779398663122</v>
      </c>
      <c r="BC66" s="173">
        <f t="shared" si="155"/>
        <v>0.18735279004847233</v>
      </c>
      <c r="BD66" s="173"/>
      <c r="BE66" s="528">
        <f t="shared" si="31"/>
        <v>0.31472061178480643</v>
      </c>
      <c r="BF66" s="528">
        <f t="shared" si="156"/>
        <v>1.4133442702156869</v>
      </c>
      <c r="BG66" s="528">
        <f t="shared" si="157"/>
        <v>9.9322718811240648E-2</v>
      </c>
      <c r="BH66" s="528">
        <f t="shared" si="34"/>
        <v>3.7282698151875938E-2</v>
      </c>
      <c r="BI66">
        <f t="shared" si="35"/>
        <v>2.5905481123119512E-2</v>
      </c>
      <c r="BJ66" s="460">
        <f t="shared" si="101"/>
        <v>125.22819993436016</v>
      </c>
      <c r="BK66">
        <f t="shared" si="158"/>
        <v>1.9998674697587371</v>
      </c>
      <c r="BL66" s="460">
        <f t="shared" si="102"/>
        <v>1999.8674697587371</v>
      </c>
      <c r="BM66" s="173">
        <f t="shared" si="159"/>
        <v>3.7896249999999996</v>
      </c>
      <c r="BN66" s="173">
        <f t="shared" si="160"/>
        <v>6.7671874999999992E-2</v>
      </c>
      <c r="BO66" s="528"/>
      <c r="BQ66" s="460">
        <f t="shared" si="103"/>
        <v>3857.2968749999995</v>
      </c>
      <c r="BR66" s="528">
        <f t="shared" si="39"/>
        <v>0.47208091767720961</v>
      </c>
      <c r="BS66" s="528">
        <f t="shared" si="104"/>
        <v>1.7362116181665777</v>
      </c>
      <c r="BT66" s="528">
        <f t="shared" si="161"/>
        <v>1.7550533969473478E-4</v>
      </c>
      <c r="BU66" s="528">
        <f t="shared" si="41"/>
        <v>1.6840863835670754</v>
      </c>
      <c r="BV66" s="528">
        <f t="shared" si="162"/>
        <v>5.3716331693041388</v>
      </c>
      <c r="BW66" s="625">
        <f t="shared" si="163"/>
        <v>1.5240037874096501E-2</v>
      </c>
      <c r="BX66" s="460">
        <f t="shared" si="105"/>
        <v>5386.8732071782351</v>
      </c>
      <c r="BY66" s="173">
        <f t="shared" si="106"/>
        <v>11.244037551936973</v>
      </c>
      <c r="BZ66" s="5">
        <f t="shared" si="107"/>
        <v>92.72</v>
      </c>
      <c r="CA66" s="173">
        <f t="shared" si="108"/>
        <v>0.89184685573297573</v>
      </c>
      <c r="CB66" s="5">
        <f t="shared" si="109"/>
        <v>89.184685573297571</v>
      </c>
      <c r="CC66">
        <f t="shared" si="173"/>
        <v>61</v>
      </c>
      <c r="CE66" s="562">
        <f t="shared" si="164"/>
        <v>-50</v>
      </c>
      <c r="CF66">
        <f t="shared" si="165"/>
        <v>-50</v>
      </c>
      <c r="CG66" s="173">
        <f t="shared" si="166"/>
        <v>0.78697421981004068</v>
      </c>
      <c r="CH66" s="173">
        <f t="shared" si="167"/>
        <v>9.2345221451934009E-2</v>
      </c>
      <c r="CI66" s="170">
        <v>61</v>
      </c>
      <c r="CJ66" s="217">
        <f t="shared" si="133"/>
        <v>6.1</v>
      </c>
      <c r="CK66" s="217">
        <f t="shared" si="111"/>
        <v>0.1525</v>
      </c>
      <c r="CL66" s="217">
        <f t="shared" si="48"/>
        <v>91.5</v>
      </c>
      <c r="CM66" s="217">
        <f t="shared" si="134"/>
        <v>1.22</v>
      </c>
      <c r="CN66" s="541">
        <f t="shared" si="112"/>
        <v>58</v>
      </c>
      <c r="CO66" s="443">
        <f t="shared" si="168"/>
        <v>15.7</v>
      </c>
      <c r="CP66" s="443">
        <f t="shared" si="169"/>
        <v>73.7</v>
      </c>
      <c r="CQ66" s="443"/>
      <c r="CR66" s="217">
        <f t="shared" si="113"/>
        <v>0.2098092643051771</v>
      </c>
      <c r="CS66" s="172">
        <f t="shared" si="114"/>
        <v>300.22049333142121</v>
      </c>
      <c r="CT66" s="172">
        <f t="shared" si="51"/>
        <v>4.0563124432334243</v>
      </c>
      <c r="CU66" s="217">
        <f t="shared" si="52"/>
        <v>20.014699555428081</v>
      </c>
      <c r="CV66" s="217">
        <f t="shared" si="53"/>
        <v>37.527561666427651</v>
      </c>
      <c r="CW66" s="443">
        <f t="shared" si="54"/>
        <v>15</v>
      </c>
      <c r="CX66" s="217">
        <f t="shared" si="55"/>
        <v>15.238799820868786</v>
      </c>
      <c r="CY66" s="217">
        <f t="shared" si="56"/>
        <v>3.1528551353521626</v>
      </c>
      <c r="CZ66" s="217">
        <f t="shared" si="57"/>
        <v>11.647490308944295</v>
      </c>
      <c r="DA66" s="197">
        <f t="shared" si="58"/>
        <v>102.962460425147</v>
      </c>
      <c r="DB66" s="443">
        <f t="shared" si="115"/>
        <v>67.565990521212157</v>
      </c>
      <c r="DD66" s="217">
        <f t="shared" si="59"/>
        <v>10</v>
      </c>
      <c r="DE66" s="173">
        <f t="shared" si="60"/>
        <v>7.6433121019108281</v>
      </c>
      <c r="DF66" s="173">
        <f t="shared" si="61"/>
        <v>3.9348710990502043</v>
      </c>
      <c r="DG66" s="173"/>
      <c r="DH66" s="173">
        <f t="shared" si="62"/>
        <v>7.6433121019108281</v>
      </c>
      <c r="DI66" s="545">
        <f t="shared" si="63"/>
        <v>159.61666666666667</v>
      </c>
      <c r="DJ66" s="528">
        <f t="shared" si="64"/>
        <v>3.9348710990502034</v>
      </c>
      <c r="DL66" s="173">
        <f t="shared" si="65"/>
        <v>6.6447257996384588</v>
      </c>
      <c r="DM66" s="173">
        <f t="shared" si="66"/>
        <v>15.238799820868786</v>
      </c>
      <c r="DN66" s="173">
        <f t="shared" si="67"/>
        <v>5.0805924599028049</v>
      </c>
      <c r="DP66" s="545">
        <f t="shared" si="68"/>
        <v>6100</v>
      </c>
      <c r="DQ66" s="460">
        <f t="shared" si="69"/>
        <v>67.565990521212157</v>
      </c>
      <c r="DS66">
        <f t="shared" si="116"/>
        <v>6100</v>
      </c>
      <c r="DT66">
        <f t="shared" si="70"/>
        <v>67.565990521212157</v>
      </c>
      <c r="DV66" s="5">
        <f t="shared" si="117"/>
        <v>14.800345444296459</v>
      </c>
      <c r="DW66" s="5">
        <f t="shared" si="71"/>
        <v>3.1528551353521626</v>
      </c>
      <c r="DX66" s="5">
        <f t="shared" si="118"/>
        <v>11.647490308944297</v>
      </c>
      <c r="DY66" s="173">
        <f t="shared" si="119"/>
        <v>0.21302578018995927</v>
      </c>
      <c r="EA66" s="5">
        <f t="shared" si="72"/>
        <v>128.21610883765462</v>
      </c>
      <c r="EB66" s="5">
        <f t="shared" si="73"/>
        <v>6.0101301017650597</v>
      </c>
      <c r="EC66" s="5">
        <f t="shared" si="74"/>
        <v>6.336179329776475</v>
      </c>
      <c r="ED66" s="5"/>
      <c r="EE66" s="173">
        <f t="shared" si="120"/>
        <v>4.0607496827497416</v>
      </c>
      <c r="EF66" s="173">
        <f t="shared" si="75"/>
        <v>7.8049547515804383</v>
      </c>
      <c r="EG66" s="173">
        <f t="shared" si="76"/>
        <v>0.1922161405487261</v>
      </c>
      <c r="EH66" s="173"/>
      <c r="EI66" s="528">
        <f t="shared" si="77"/>
        <v>0.32979375971904257</v>
      </c>
      <c r="EJ66" s="528">
        <f t="shared" si="78"/>
        <v>1.5176666666666669</v>
      </c>
      <c r="EK66" s="528">
        <f t="shared" si="79"/>
        <v>8.4457488151515187E-3</v>
      </c>
      <c r="EL66" s="528">
        <f t="shared" si="80"/>
        <v>3.6699751505416288E-2</v>
      </c>
      <c r="EM66">
        <f t="shared" si="81"/>
        <v>2.6099999999999998E-2</v>
      </c>
      <c r="EN66" s="460">
        <f t="shared" si="121"/>
        <v>34.545748815151519</v>
      </c>
      <c r="EO66">
        <f t="shared" si="82"/>
        <v>2.1784515185074649</v>
      </c>
      <c r="EP66" s="460">
        <f t="shared" si="122"/>
        <v>2178.4515185074647</v>
      </c>
      <c r="EQ66" s="173">
        <f t="shared" si="83"/>
        <v>3.7896249999999996</v>
      </c>
      <c r="ER66" s="173">
        <f t="shared" si="170"/>
        <v>6.7671874999999992E-2</v>
      </c>
      <c r="ES66" s="528"/>
      <c r="EU66" s="460">
        <f t="shared" si="123"/>
        <v>3857.2968749999995</v>
      </c>
      <c r="EV66" s="528">
        <f t="shared" si="85"/>
        <v>0.4946906395785638</v>
      </c>
      <c r="EW66" s="528">
        <f t="shared" si="124"/>
        <v>1.8275195602265417</v>
      </c>
      <c r="EX66" s="528">
        <f t="shared" si="86"/>
        <v>1.8473522343723814E-4</v>
      </c>
      <c r="EY66" s="528">
        <f t="shared" si="87"/>
        <v>1.700854974358651</v>
      </c>
      <c r="EZ66" s="528">
        <f t="shared" si="88"/>
        <v>5.6258626962733427</v>
      </c>
      <c r="FA66" s="625">
        <f t="shared" si="89"/>
        <v>1.5690243234829399E-2</v>
      </c>
      <c r="FB66" s="460">
        <f t="shared" si="125"/>
        <v>5641.5529395081721</v>
      </c>
      <c r="FC66" s="173">
        <f t="shared" si="126"/>
        <v>11.677301333015636</v>
      </c>
      <c r="FD66" s="5">
        <f t="shared" si="127"/>
        <v>92.72</v>
      </c>
      <c r="FE66" s="173">
        <f t="shared" si="128"/>
        <v>0.88814556330564176</v>
      </c>
      <c r="FF66" s="5">
        <f t="shared" si="129"/>
        <v>88.814556330564173</v>
      </c>
      <c r="FG66">
        <f t="shared" si="130"/>
        <v>61</v>
      </c>
      <c r="FI66" s="562">
        <f t="shared" si="90"/>
        <v>-50</v>
      </c>
      <c r="FJ66">
        <f t="shared" si="91"/>
        <v>-50</v>
      </c>
      <c r="FL66">
        <f t="shared" si="92"/>
        <v>0.78697421981004068</v>
      </c>
    </row>
    <row r="67" spans="5:168">
      <c r="E67" s="170">
        <v>62</v>
      </c>
      <c r="F67" s="217">
        <f t="shared" si="174"/>
        <v>6.2</v>
      </c>
      <c r="G67" s="217">
        <f t="shared" si="171"/>
        <v>0.155</v>
      </c>
      <c r="H67" s="217">
        <f t="shared" si="135"/>
        <v>93</v>
      </c>
      <c r="I67" s="217">
        <f t="shared" si="175"/>
        <v>1.24</v>
      </c>
      <c r="J67" s="541">
        <f t="shared" si="136"/>
        <v>57.560649531271757</v>
      </c>
      <c r="K67" s="443">
        <f t="shared" si="137"/>
        <v>15.936348275862068</v>
      </c>
      <c r="L67" s="172">
        <f t="shared" si="138"/>
        <v>73.496997807133823</v>
      </c>
      <c r="M67" s="443"/>
      <c r="N67" s="217">
        <f t="shared" si="139"/>
        <v>0.21682992164770085</v>
      </c>
      <c r="O67" s="172">
        <f t="shared" si="172"/>
        <v>307.9162284832999</v>
      </c>
      <c r="P67" s="172">
        <f t="shared" si="140"/>
        <v>4.1602903759521412</v>
      </c>
      <c r="Q67" s="217">
        <f t="shared" si="6"/>
        <v>20.527748565553328</v>
      </c>
      <c r="R67" s="217">
        <f t="shared" si="141"/>
        <v>38.489528560412488</v>
      </c>
      <c r="S67" s="443">
        <f t="shared" si="142"/>
        <v>15</v>
      </c>
      <c r="T67" s="217">
        <f t="shared" si="143"/>
        <v>15.10150998829929</v>
      </c>
      <c r="U67" s="217">
        <f t="shared" si="10"/>
        <v>3.1482987307351116</v>
      </c>
      <c r="V67" s="217">
        <f t="shared" si="11"/>
        <v>11.371370449657709</v>
      </c>
      <c r="W67" s="197">
        <f t="shared" si="12"/>
        <v>104.00725939880353</v>
      </c>
      <c r="X67" s="443">
        <f t="shared" si="95"/>
        <v>67.936309420054044</v>
      </c>
      <c r="Z67" s="217">
        <f t="shared" si="13"/>
        <v>10</v>
      </c>
      <c r="AA67" s="173">
        <f t="shared" si="14"/>
        <v>7.5299559173011774</v>
      </c>
      <c r="AB67" s="173">
        <f t="shared" si="144"/>
        <v>3.9158503917614955</v>
      </c>
      <c r="AC67" s="173"/>
      <c r="AD67" s="173">
        <f t="shared" si="16"/>
        <v>7.5299559173011774</v>
      </c>
      <c r="AE67" s="545">
        <f t="shared" si="145"/>
        <v>164.67559885057469</v>
      </c>
      <c r="AF67" s="528">
        <f t="shared" si="146"/>
        <v>3.915850391761496</v>
      </c>
      <c r="AH67" s="173">
        <f t="shared" si="147"/>
        <v>6.6989693592515014</v>
      </c>
      <c r="AI67" s="173">
        <f t="shared" si="148"/>
        <v>15.10150998829929</v>
      </c>
      <c r="AJ67" s="173">
        <f t="shared" si="149"/>
        <v>4.9788962876291034</v>
      </c>
      <c r="AL67" s="545">
        <f t="shared" si="150"/>
        <v>6200</v>
      </c>
      <c r="AM67" s="460">
        <f t="shared" si="151"/>
        <v>67.936309420054044</v>
      </c>
      <c r="AO67">
        <f t="shared" si="96"/>
        <v>6200</v>
      </c>
      <c r="AP67">
        <f t="shared" si="24"/>
        <v>67.936309420054044</v>
      </c>
      <c r="AR67" s="5">
        <f t="shared" si="97"/>
        <v>14.719669180392822</v>
      </c>
      <c r="AS67" s="5">
        <f t="shared" si="25"/>
        <v>3.1482987307351116</v>
      </c>
      <c r="AT67" s="5">
        <f t="shared" si="98"/>
        <v>11.57137044965771</v>
      </c>
      <c r="AU67" s="173">
        <f t="shared" si="99"/>
        <v>0.21388379671798394</v>
      </c>
      <c r="AW67" s="5">
        <f t="shared" si="152"/>
        <v>130.12968087038462</v>
      </c>
      <c r="AX67" s="5">
        <f t="shared" si="153"/>
        <v>6.0998287907992781</v>
      </c>
      <c r="AY67" s="5">
        <f t="shared" si="28"/>
        <v>6.4467979941000531</v>
      </c>
      <c r="AZ67" s="5"/>
      <c r="BA67" s="173">
        <f t="shared" si="100"/>
        <v>4.0322615007237168</v>
      </c>
      <c r="BB67" s="173">
        <f t="shared" si="154"/>
        <v>7.7304205469053056</v>
      </c>
      <c r="BC67" s="173">
        <f t="shared" si="155"/>
        <v>0.19038055307672677</v>
      </c>
      <c r="BD67" s="173"/>
      <c r="BE67" s="528">
        <f t="shared" si="31"/>
        <v>0.32518265620437364</v>
      </c>
      <c r="BF67" s="528">
        <f t="shared" si="156"/>
        <v>1.4138169898201078</v>
      </c>
      <c r="BG67" s="528">
        <f t="shared" si="157"/>
        <v>9.7761452424394157E-2</v>
      </c>
      <c r="BH67" s="528">
        <f t="shared" si="34"/>
        <v>3.6697894636499417E-2</v>
      </c>
      <c r="BI67">
        <f t="shared" si="35"/>
        <v>2.5902292289072291E-2</v>
      </c>
      <c r="BJ67" s="460">
        <f t="shared" si="101"/>
        <v>123.66374471346644</v>
      </c>
      <c r="BK67">
        <f t="shared" si="158"/>
        <v>2.0195328288128778</v>
      </c>
      <c r="BL67" s="460">
        <f t="shared" si="102"/>
        <v>2019.5328288128778</v>
      </c>
      <c r="BM67" s="173">
        <f t="shared" si="159"/>
        <v>3.8517499999999996</v>
      </c>
      <c r="BN67" s="173">
        <f t="shared" si="160"/>
        <v>6.8781250000000002E-2</v>
      </c>
      <c r="BO67" s="528"/>
      <c r="BQ67" s="460">
        <f t="shared" si="103"/>
        <v>3920.5312499999995</v>
      </c>
      <c r="BR67" s="528">
        <f t="shared" si="39"/>
        <v>0.48777398430656038</v>
      </c>
      <c r="BS67" s="528">
        <f t="shared" si="104"/>
        <v>1.7927820549604718</v>
      </c>
      <c r="BT67" s="528">
        <f t="shared" si="161"/>
        <v>1.8122377494900188E-4</v>
      </c>
      <c r="BU67" s="528">
        <f t="shared" si="41"/>
        <v>1.6856826475335593</v>
      </c>
      <c r="BV67" s="528">
        <f t="shared" si="162"/>
        <v>5.5211870096330999</v>
      </c>
      <c r="BW67" s="625">
        <f t="shared" si="163"/>
        <v>1.5493256073341804E-2</v>
      </c>
      <c r="BX67" s="460">
        <f t="shared" si="105"/>
        <v>5536.6802657064418</v>
      </c>
      <c r="BY67" s="173">
        <f t="shared" si="106"/>
        <v>11.476744344519318</v>
      </c>
      <c r="BZ67" s="5">
        <f t="shared" si="107"/>
        <v>94.24</v>
      </c>
      <c r="CA67" s="173">
        <f t="shared" si="108"/>
        <v>0.89143872698994719</v>
      </c>
      <c r="CB67" s="5">
        <f t="shared" si="109"/>
        <v>89.143872698994713</v>
      </c>
      <c r="CC67">
        <f t="shared" si="173"/>
        <v>62</v>
      </c>
      <c r="CE67" s="562">
        <f t="shared" si="164"/>
        <v>-50</v>
      </c>
      <c r="CF67">
        <f t="shared" si="165"/>
        <v>-50</v>
      </c>
      <c r="CG67" s="173">
        <f t="shared" si="166"/>
        <v>0.78697421981004068</v>
      </c>
      <c r="CH67" s="173">
        <f t="shared" si="167"/>
        <v>9.2345221451934009E-2</v>
      </c>
      <c r="CI67" s="170">
        <v>62</v>
      </c>
      <c r="CJ67" s="217">
        <f t="shared" si="133"/>
        <v>6.2</v>
      </c>
      <c r="CK67" s="217">
        <f t="shared" si="111"/>
        <v>0.155</v>
      </c>
      <c r="CL67" s="217">
        <f t="shared" si="48"/>
        <v>93</v>
      </c>
      <c r="CM67" s="217">
        <f t="shared" si="134"/>
        <v>1.24</v>
      </c>
      <c r="CN67" s="541">
        <f t="shared" si="112"/>
        <v>58</v>
      </c>
      <c r="CO67" s="443">
        <f t="shared" si="168"/>
        <v>15.7</v>
      </c>
      <c r="CP67" s="443">
        <f t="shared" si="169"/>
        <v>73.7</v>
      </c>
      <c r="CQ67" s="443"/>
      <c r="CR67" s="217">
        <f t="shared" si="113"/>
        <v>0.2098092643051771</v>
      </c>
      <c r="CS67" s="172">
        <f t="shared" si="114"/>
        <v>300.22049333142121</v>
      </c>
      <c r="CT67" s="172">
        <f t="shared" si="51"/>
        <v>4.0563124432334243</v>
      </c>
      <c r="CU67" s="217">
        <f t="shared" si="52"/>
        <v>20.014699555428081</v>
      </c>
      <c r="CV67" s="217">
        <f t="shared" si="53"/>
        <v>37.527561666427651</v>
      </c>
      <c r="CW67" s="443">
        <f t="shared" si="54"/>
        <v>15</v>
      </c>
      <c r="CX67" s="217">
        <f t="shared" si="55"/>
        <v>15.488616211374831</v>
      </c>
      <c r="CY67" s="217">
        <f t="shared" si="56"/>
        <v>3.2045412851120343</v>
      </c>
      <c r="CZ67" s="217">
        <f t="shared" si="57"/>
        <v>11.83843277302535</v>
      </c>
      <c r="DA67" s="197">
        <f t="shared" si="58"/>
        <v>102.962460425147</v>
      </c>
      <c r="DB67" s="443">
        <f t="shared" si="115"/>
        <v>66.476216480547436</v>
      </c>
      <c r="DD67" s="217">
        <f t="shared" si="59"/>
        <v>10</v>
      </c>
      <c r="DE67" s="173">
        <f t="shared" si="60"/>
        <v>7.6433121019108281</v>
      </c>
      <c r="DF67" s="173">
        <f t="shared" si="61"/>
        <v>3.9348710990502043</v>
      </c>
      <c r="DG67" s="173"/>
      <c r="DH67" s="173">
        <f t="shared" si="62"/>
        <v>7.6433121019108281</v>
      </c>
      <c r="DI67" s="545">
        <f t="shared" si="63"/>
        <v>162.23333333333335</v>
      </c>
      <c r="DJ67" s="528">
        <f t="shared" si="64"/>
        <v>3.9348710990502034</v>
      </c>
      <c r="DL67" s="173">
        <f t="shared" si="65"/>
        <v>6.6989693592515014</v>
      </c>
      <c r="DM67" s="173">
        <f t="shared" si="66"/>
        <v>15.488616211374831</v>
      </c>
      <c r="DN67" s="173">
        <f t="shared" si="67"/>
        <v>5.2656416380554303</v>
      </c>
      <c r="DP67" s="545">
        <f t="shared" si="68"/>
        <v>6200</v>
      </c>
      <c r="DQ67" s="460">
        <f t="shared" si="69"/>
        <v>66.476216480547436</v>
      </c>
      <c r="DS67">
        <f t="shared" si="116"/>
        <v>6200</v>
      </c>
      <c r="DT67">
        <f t="shared" si="70"/>
        <v>66.476216480547436</v>
      </c>
      <c r="DV67" s="5">
        <f t="shared" si="117"/>
        <v>15.042974058137386</v>
      </c>
      <c r="DW67" s="5">
        <f t="shared" si="71"/>
        <v>3.2045412851120343</v>
      </c>
      <c r="DX67" s="5">
        <f t="shared" si="118"/>
        <v>11.838432773025351</v>
      </c>
      <c r="DY67" s="173">
        <f t="shared" si="119"/>
        <v>0.21302578018995927</v>
      </c>
      <c r="EA67" s="5">
        <f t="shared" si="72"/>
        <v>132.45437311796408</v>
      </c>
      <c r="EB67" s="5">
        <f t="shared" si="73"/>
        <v>6.2087987399045659</v>
      </c>
      <c r="EC67" s="5">
        <f t="shared" si="74"/>
        <v>6.5456257306263819</v>
      </c>
      <c r="ED67" s="5"/>
      <c r="EE67" s="173">
        <f t="shared" si="120"/>
        <v>4.1273193496800653</v>
      </c>
      <c r="EF67" s="173">
        <f t="shared" si="75"/>
        <v>7.9329048294751985</v>
      </c>
      <c r="EG67" s="173">
        <f t="shared" si="76"/>
        <v>0.19536722482001667</v>
      </c>
      <c r="EH67" s="173"/>
      <c r="EI67" s="528">
        <f t="shared" si="77"/>
        <v>0.34069530028486955</v>
      </c>
      <c r="EJ67" s="528">
        <f t="shared" si="78"/>
        <v>1.5176666666666663</v>
      </c>
      <c r="EK67" s="528">
        <f t="shared" si="79"/>
        <v>8.3095270600684282E-3</v>
      </c>
      <c r="EL67" s="528">
        <f t="shared" si="80"/>
        <v>3.6107820029522474E-2</v>
      </c>
      <c r="EM67">
        <f t="shared" si="81"/>
        <v>2.6099999999999998E-2</v>
      </c>
      <c r="EN67" s="460">
        <f t="shared" si="121"/>
        <v>34.409527060068427</v>
      </c>
      <c r="EO67">
        <f t="shared" si="82"/>
        <v>2.1988632755437925</v>
      </c>
      <c r="EP67" s="460">
        <f t="shared" si="122"/>
        <v>2198.8632755437925</v>
      </c>
      <c r="EQ67" s="173">
        <f t="shared" si="83"/>
        <v>3.8517499999999996</v>
      </c>
      <c r="ER67" s="173">
        <f t="shared" si="170"/>
        <v>6.8781250000000002E-2</v>
      </c>
      <c r="ES67" s="528"/>
      <c r="EU67" s="460">
        <f t="shared" si="123"/>
        <v>3920.5312499999995</v>
      </c>
      <c r="EV67" s="528">
        <f t="shared" si="85"/>
        <v>0.5110429504273043</v>
      </c>
      <c r="EW67" s="528">
        <f t="shared" si="124"/>
        <v>1.8879293710053278</v>
      </c>
      <c r="EX67" s="528">
        <f t="shared" si="86"/>
        <v>1.908417626693747E-4</v>
      </c>
      <c r="EY67" s="528">
        <f t="shared" si="87"/>
        <v>1.7008549743586492</v>
      </c>
      <c r="EZ67" s="528">
        <f t="shared" si="88"/>
        <v>5.7864231601131042</v>
      </c>
      <c r="FA67" s="625">
        <f t="shared" si="89"/>
        <v>1.5947460337039709E-2</v>
      </c>
      <c r="FB67" s="460">
        <f t="shared" si="125"/>
        <v>5802.3706204501432</v>
      </c>
      <c r="FC67" s="173">
        <f t="shared" si="126"/>
        <v>11.921765145993936</v>
      </c>
      <c r="FD67" s="5">
        <f t="shared" si="127"/>
        <v>94.24</v>
      </c>
      <c r="FE67" s="173">
        <f t="shared" si="128"/>
        <v>0.88770189408965561</v>
      </c>
      <c r="FF67" s="5">
        <f t="shared" si="129"/>
        <v>88.770189408965564</v>
      </c>
      <c r="FG67">
        <f t="shared" si="130"/>
        <v>62</v>
      </c>
      <c r="FI67" s="562">
        <f t="shared" si="90"/>
        <v>-50</v>
      </c>
      <c r="FJ67">
        <f t="shared" si="91"/>
        <v>-50</v>
      </c>
      <c r="FL67">
        <f t="shared" si="92"/>
        <v>0.78697421981004068</v>
      </c>
    </row>
    <row r="68" spans="5:168">
      <c r="E68" s="170">
        <v>63</v>
      </c>
      <c r="F68" s="217">
        <f t="shared" si="174"/>
        <v>6.3</v>
      </c>
      <c r="G68" s="217">
        <f t="shared" si="171"/>
        <v>0.1575</v>
      </c>
      <c r="H68" s="217">
        <f t="shared" si="135"/>
        <v>94.5</v>
      </c>
      <c r="I68" s="217">
        <f t="shared" si="175"/>
        <v>1.26</v>
      </c>
      <c r="J68" s="541">
        <f t="shared" si="136"/>
        <v>57.553563233389042</v>
      </c>
      <c r="K68" s="443">
        <f t="shared" si="137"/>
        <v>15.940160344827586</v>
      </c>
      <c r="L68" s="172">
        <f t="shared" si="138"/>
        <v>73.493723578216631</v>
      </c>
      <c r="M68" s="443"/>
      <c r="N68" s="217">
        <f t="shared" si="139"/>
        <v>0.2168914509803421</v>
      </c>
      <c r="O68" s="172">
        <f t="shared" si="172"/>
        <v>307.96568681197249</v>
      </c>
      <c r="P68" s="172">
        <f t="shared" si="140"/>
        <v>4.1609586129262066</v>
      </c>
      <c r="Q68" s="217">
        <f t="shared" si="6"/>
        <v>20.531045787464834</v>
      </c>
      <c r="R68" s="217">
        <f t="shared" si="141"/>
        <v>38.495710851496561</v>
      </c>
      <c r="S68" s="443">
        <f t="shared" si="142"/>
        <v>15</v>
      </c>
      <c r="T68" s="217">
        <f t="shared" si="143"/>
        <v>15.342618357625129</v>
      </c>
      <c r="U68" s="217">
        <f t="shared" si="10"/>
        <v>3.1989578046610228</v>
      </c>
      <c r="V68" s="217">
        <f t="shared" si="11"/>
        <v>11.550161121888825</v>
      </c>
      <c r="W68" s="197">
        <f t="shared" si="12"/>
        <v>104.02396532315517</v>
      </c>
      <c r="X68" s="443">
        <f t="shared" si="95"/>
        <v>66.893574458357264</v>
      </c>
      <c r="Z68" s="217">
        <f t="shared" si="13"/>
        <v>10</v>
      </c>
      <c r="AA68" s="173">
        <f t="shared" si="14"/>
        <v>7.5281551379712903</v>
      </c>
      <c r="AB68" s="173">
        <f t="shared" si="144"/>
        <v>3.9155427450982896</v>
      </c>
      <c r="AC68" s="173"/>
      <c r="AD68" s="173">
        <f t="shared" si="16"/>
        <v>7.5281551379712903</v>
      </c>
      <c r="AE68" s="545">
        <f t="shared" si="145"/>
        <v>167.37168362068962</v>
      </c>
      <c r="AF68" s="528">
        <f t="shared" si="146"/>
        <v>3.9155427450982896</v>
      </c>
      <c r="AH68" s="173">
        <f t="shared" si="147"/>
        <v>6.7527772064536533</v>
      </c>
      <c r="AI68" s="173">
        <f t="shared" si="148"/>
        <v>15.342618357625129</v>
      </c>
      <c r="AJ68" s="173">
        <f t="shared" si="149"/>
        <v>5.1574950797223185</v>
      </c>
      <c r="AL68" s="545">
        <f t="shared" si="150"/>
        <v>6300</v>
      </c>
      <c r="AM68" s="460">
        <f t="shared" si="151"/>
        <v>66.893574458357264</v>
      </c>
      <c r="AO68">
        <f t="shared" si="96"/>
        <v>6300</v>
      </c>
      <c r="AP68">
        <f t="shared" si="24"/>
        <v>66.893574458357264</v>
      </c>
      <c r="AR68" s="5">
        <f t="shared" si="97"/>
        <v>14.949118926549847</v>
      </c>
      <c r="AS68" s="5">
        <f t="shared" si="25"/>
        <v>3.1989578046610228</v>
      </c>
      <c r="AT68" s="5">
        <f t="shared" si="98"/>
        <v>11.750161121888825</v>
      </c>
      <c r="AU68" s="173">
        <f t="shared" si="99"/>
        <v>0.21398972209523523</v>
      </c>
      <c r="AW68" s="5">
        <f t="shared" si="152"/>
        <v>134.35622779576295</v>
      </c>
      <c r="AX68" s="5">
        <f t="shared" si="153"/>
        <v>6.2979481779263882</v>
      </c>
      <c r="AY68" s="5">
        <f t="shared" si="28"/>
        <v>6.6528145239764473</v>
      </c>
      <c r="AZ68" s="5"/>
      <c r="BA68" s="173">
        <f t="shared" si="100"/>
        <v>4.0976542626833856</v>
      </c>
      <c r="BB68" s="173">
        <f t="shared" si="154"/>
        <v>7.8533140923280218</v>
      </c>
      <c r="BC68" s="173">
        <f t="shared" si="155"/>
        <v>0.19340710784243129</v>
      </c>
      <c r="BD68" s="173"/>
      <c r="BE68" s="528">
        <f t="shared" si="31"/>
        <v>0.33581540912974639</v>
      </c>
      <c r="BF68" s="528">
        <f t="shared" si="156"/>
        <v>1.4142800297482305</v>
      </c>
      <c r="BG68" s="528">
        <f t="shared" si="157"/>
        <v>9.6249089187412068E-2</v>
      </c>
      <c r="BH68" s="528">
        <f t="shared" si="34"/>
        <v>3.6131409696650962E-2</v>
      </c>
      <c r="BI68">
        <f t="shared" si="35"/>
        <v>2.5899103455025069E-2</v>
      </c>
      <c r="BJ68" s="460">
        <f t="shared" si="101"/>
        <v>122.14819264243714</v>
      </c>
      <c r="BK68">
        <f t="shared" si="158"/>
        <v>2.0396393010289278</v>
      </c>
      <c r="BL68" s="460">
        <f t="shared" si="102"/>
        <v>2039.6393010289278</v>
      </c>
      <c r="BM68" s="173">
        <f t="shared" si="159"/>
        <v>3.9138749999999991</v>
      </c>
      <c r="BN68" s="173">
        <f t="shared" si="160"/>
        <v>6.9890624999999998E-2</v>
      </c>
      <c r="BO68" s="528"/>
      <c r="BQ68" s="460">
        <f t="shared" si="103"/>
        <v>3983.7656249999991</v>
      </c>
      <c r="BR68" s="528">
        <f t="shared" si="39"/>
        <v>0.50372311369461953</v>
      </c>
      <c r="BS68" s="528">
        <f t="shared" si="104"/>
        <v>1.850236266982737</v>
      </c>
      <c r="BT68" s="528">
        <f t="shared" si="161"/>
        <v>1.8703154681986922E-4</v>
      </c>
      <c r="BU68" s="528">
        <f t="shared" si="41"/>
        <v>1.68725109128119</v>
      </c>
      <c r="BV68" s="528">
        <f t="shared" si="162"/>
        <v>5.6752157452640981</v>
      </c>
      <c r="BW68" s="625">
        <f t="shared" si="163"/>
        <v>1.5746475710328927E-2</v>
      </c>
      <c r="BX68" s="460">
        <f t="shared" si="105"/>
        <v>5690.9622209744266</v>
      </c>
      <c r="BY68" s="173">
        <f t="shared" si="106"/>
        <v>11.714367147003353</v>
      </c>
      <c r="BZ68" s="5">
        <f t="shared" si="107"/>
        <v>95.76</v>
      </c>
      <c r="CA68" s="173">
        <f t="shared" si="108"/>
        <v>0.89100315304968991</v>
      </c>
      <c r="CB68" s="5">
        <f t="shared" si="109"/>
        <v>89.100315304968987</v>
      </c>
      <c r="CC68">
        <f t="shared" si="173"/>
        <v>63</v>
      </c>
      <c r="CE68" s="562">
        <f t="shared" si="164"/>
        <v>-50</v>
      </c>
      <c r="CF68">
        <f t="shared" si="165"/>
        <v>-50</v>
      </c>
      <c r="CG68" s="173">
        <f t="shared" si="166"/>
        <v>0.78697421981004079</v>
      </c>
      <c r="CH68" s="173">
        <f t="shared" si="167"/>
        <v>9.2345221451934023E-2</v>
      </c>
      <c r="CI68" s="170">
        <v>63</v>
      </c>
      <c r="CJ68" s="217">
        <f t="shared" si="133"/>
        <v>6.3</v>
      </c>
      <c r="CK68" s="217">
        <f t="shared" si="111"/>
        <v>0.1575</v>
      </c>
      <c r="CL68" s="217">
        <f t="shared" si="48"/>
        <v>94.5</v>
      </c>
      <c r="CM68" s="217">
        <f t="shared" si="134"/>
        <v>1.26</v>
      </c>
      <c r="CN68" s="541">
        <f t="shared" si="112"/>
        <v>58</v>
      </c>
      <c r="CO68" s="443">
        <f t="shared" si="168"/>
        <v>15.7</v>
      </c>
      <c r="CP68" s="443">
        <f t="shared" si="169"/>
        <v>73.7</v>
      </c>
      <c r="CQ68" s="443"/>
      <c r="CR68" s="217">
        <f t="shared" si="113"/>
        <v>0.2098092643051771</v>
      </c>
      <c r="CS68" s="172">
        <f t="shared" si="114"/>
        <v>300.22049333142121</v>
      </c>
      <c r="CT68" s="172">
        <f t="shared" si="51"/>
        <v>4.0563124432334243</v>
      </c>
      <c r="CU68" s="217">
        <f t="shared" si="52"/>
        <v>20.014699555428081</v>
      </c>
      <c r="CV68" s="217">
        <f t="shared" si="53"/>
        <v>37.527561666427651</v>
      </c>
      <c r="CW68" s="443">
        <f t="shared" si="54"/>
        <v>15</v>
      </c>
      <c r="CX68" s="217">
        <f t="shared" si="55"/>
        <v>15.738432601880879</v>
      </c>
      <c r="CY68" s="217">
        <f t="shared" si="56"/>
        <v>3.2562274348719056</v>
      </c>
      <c r="CZ68" s="217">
        <f t="shared" si="57"/>
        <v>12.029375237106404</v>
      </c>
      <c r="DA68" s="197">
        <f t="shared" si="58"/>
        <v>102.962460425147</v>
      </c>
      <c r="DB68" s="443">
        <f t="shared" si="115"/>
        <v>65.421038441173664</v>
      </c>
      <c r="DD68" s="217">
        <f t="shared" si="59"/>
        <v>10</v>
      </c>
      <c r="DE68" s="173">
        <f t="shared" si="60"/>
        <v>7.6433121019108281</v>
      </c>
      <c r="DF68" s="173">
        <f t="shared" si="61"/>
        <v>3.9348710990502043</v>
      </c>
      <c r="DG68" s="173"/>
      <c r="DH68" s="173">
        <f t="shared" si="62"/>
        <v>7.6433121019108281</v>
      </c>
      <c r="DI68" s="545">
        <f t="shared" si="63"/>
        <v>164.85</v>
      </c>
      <c r="DJ68" s="528">
        <f t="shared" si="64"/>
        <v>3.9348710990502034</v>
      </c>
      <c r="DL68" s="173">
        <f t="shared" si="65"/>
        <v>6.7527772064536533</v>
      </c>
      <c r="DM68" s="173">
        <f t="shared" si="66"/>
        <v>15.738432601880879</v>
      </c>
      <c r="DN68" s="173">
        <f t="shared" si="67"/>
        <v>5.4506908162080592</v>
      </c>
      <c r="DP68" s="545">
        <f t="shared" si="68"/>
        <v>6300</v>
      </c>
      <c r="DQ68" s="460">
        <f t="shared" si="69"/>
        <v>65.421038441173664</v>
      </c>
      <c r="DS68">
        <f t="shared" si="116"/>
        <v>6300</v>
      </c>
      <c r="DT68">
        <f t="shared" si="70"/>
        <v>65.421038441173664</v>
      </c>
      <c r="DV68" s="5">
        <f t="shared" si="117"/>
        <v>15.285602671978312</v>
      </c>
      <c r="DW68" s="5">
        <f t="shared" si="71"/>
        <v>3.2562274348719056</v>
      </c>
      <c r="DX68" s="5">
        <f t="shared" si="118"/>
        <v>12.029375237106407</v>
      </c>
      <c r="DY68" s="173">
        <f t="shared" si="119"/>
        <v>0.21302578018995924</v>
      </c>
      <c r="EA68" s="5">
        <f t="shared" si="72"/>
        <v>136.76155226462004</v>
      </c>
      <c r="EB68" s="5">
        <f t="shared" si="73"/>
        <v>6.4106977624040651</v>
      </c>
      <c r="EC68" s="5">
        <f t="shared" si="74"/>
        <v>6.7584777640104363</v>
      </c>
      <c r="ED68" s="5"/>
      <c r="EE68" s="173">
        <f t="shared" si="120"/>
        <v>4.193889016610389</v>
      </c>
      <c r="EF68" s="173">
        <f t="shared" si="75"/>
        <v>8.0608549073699614</v>
      </c>
      <c r="EG68" s="173">
        <f t="shared" si="76"/>
        <v>0.1985183090913073</v>
      </c>
      <c r="EH68" s="173"/>
      <c r="EI68" s="528">
        <f t="shared" si="77"/>
        <v>0.35177410167290513</v>
      </c>
      <c r="EJ68" s="528">
        <f t="shared" si="78"/>
        <v>1.5176666666666665</v>
      </c>
      <c r="EK68" s="528">
        <f t="shared" si="79"/>
        <v>8.1776298051467085E-3</v>
      </c>
      <c r="EL68" s="528">
        <f t="shared" si="80"/>
        <v>3.5534680029053863E-2</v>
      </c>
      <c r="EM68">
        <f t="shared" si="81"/>
        <v>2.6099999999999998E-2</v>
      </c>
      <c r="EN68" s="460">
        <f t="shared" si="121"/>
        <v>34.277629805146702</v>
      </c>
      <c r="EO68">
        <f t="shared" si="82"/>
        <v>2.219763289999908</v>
      </c>
      <c r="EP68" s="460">
        <f t="shared" si="122"/>
        <v>2219.763289999908</v>
      </c>
      <c r="EQ68" s="173">
        <f t="shared" si="83"/>
        <v>3.9138749999999991</v>
      </c>
      <c r="ER68" s="173">
        <f t="shared" si="170"/>
        <v>6.9890624999999998E-2</v>
      </c>
      <c r="ES68" s="528"/>
      <c r="EU68" s="460">
        <f t="shared" si="123"/>
        <v>3983.7656249999991</v>
      </c>
      <c r="EV68" s="528">
        <f t="shared" si="85"/>
        <v>0.52766115250935763</v>
      </c>
      <c r="EW68" s="528">
        <f t="shared" si="124"/>
        <v>1.9493214551301117</v>
      </c>
      <c r="EX68" s="528">
        <f t="shared" si="86"/>
        <v>1.9704759522235911E-4</v>
      </c>
      <c r="EY68" s="528">
        <f t="shared" si="87"/>
        <v>1.7008549743586505</v>
      </c>
      <c r="EZ68" s="528">
        <f t="shared" si="88"/>
        <v>5.9521142536270579</v>
      </c>
      <c r="FA68" s="625">
        <f t="shared" si="89"/>
        <v>1.6204677439250033E-2</v>
      </c>
      <c r="FB68" s="460">
        <f t="shared" si="125"/>
        <v>5968.3189310663074</v>
      </c>
      <c r="FC68" s="173">
        <f t="shared" si="126"/>
        <v>12.171847846066216</v>
      </c>
      <c r="FD68" s="5">
        <f t="shared" si="127"/>
        <v>95.76</v>
      </c>
      <c r="FE68" s="173">
        <f t="shared" si="128"/>
        <v>0.88722654073869045</v>
      </c>
      <c r="FF68" s="5">
        <f t="shared" si="129"/>
        <v>88.722654073869052</v>
      </c>
      <c r="FG68">
        <f t="shared" si="130"/>
        <v>63</v>
      </c>
      <c r="FI68" s="562">
        <f t="shared" si="90"/>
        <v>-50</v>
      </c>
      <c r="FJ68">
        <f t="shared" si="91"/>
        <v>-50</v>
      </c>
      <c r="FL68">
        <f t="shared" si="92"/>
        <v>0.78697421981004079</v>
      </c>
    </row>
    <row r="69" spans="5:168">
      <c r="E69" s="170">
        <v>64</v>
      </c>
      <c r="F69" s="217">
        <f t="shared" si="174"/>
        <v>6.4</v>
      </c>
      <c r="G69" s="217">
        <f t="shared" si="171"/>
        <v>0.16</v>
      </c>
      <c r="H69" s="217">
        <f t="shared" ref="H69:H105" si="176">F69*Vout</f>
        <v>96</v>
      </c>
      <c r="I69" s="217">
        <f t="shared" si="175"/>
        <v>1.28</v>
      </c>
      <c r="J69" s="541">
        <f t="shared" ref="J69:J105" si="177">Vin-(F69/CG69/Nps+G69/CH69/(Nps/Nsec1sec2))*(Rdcr_pri+RON/1000)</f>
        <v>57.546476935506327</v>
      </c>
      <c r="K69" s="443">
        <f t="shared" ref="K69:K105" si="178">MAX((S69+Vfwd2+Rdcr_sec*F69/CG69)*Nps,(Vout2+Vfwd22+Rdcr_sec2*G69/CH69)*Nps/Nsec1sec2)</f>
        <v>15.943972413793103</v>
      </c>
      <c r="L69" s="172">
        <f t="shared" ref="L69:L105" si="179">MAX((Vout+Vfwd2+F69/CG69*Rdcr_sec)*Nps+J69, (Vout2+Vfwd22+G69/CH69*Rdcr_sec2)*Nps/Nsec1sec2+J69)</f>
        <v>73.490449349299425</v>
      </c>
      <c r="M69" s="443"/>
      <c r="N69" s="217">
        <f t="shared" ref="N69:N105" si="180">MAX((Vout+Vfwd2+F69/CG69*Rdcr_sec)*Nps/((Vout+Vfwd2+F69/CG69*Rdcr_sec)*Nps+J69), (Vout2+Vfwd22+G69/CH69*Rdcr_sec2)*Nps/Nsec1sec2/((Vout2+Vfwd22+G69/CH69*Rdcr_sec2)*Nps/Nsec1sec2+J69))</f>
        <v>0.21695298579563108</v>
      </c>
      <c r="O69" s="172">
        <f t="shared" si="172"/>
        <v>308.01513141062946</v>
      </c>
      <c r="P69" s="172">
        <f t="shared" ref="P69:P105" si="181">N69*J69*Isw_max*0.5*Efficiency*(Pout2/Pout_total)</f>
        <v>4.1616266643925055</v>
      </c>
      <c r="Q69" s="217">
        <f t="shared" ref="Q69:Q105" si="182">O69/Vout</f>
        <v>20.534342094041964</v>
      </c>
      <c r="R69" s="217">
        <f t="shared" ref="R69:R105" si="183">O69/Vout2</f>
        <v>38.501891426328683</v>
      </c>
      <c r="S69" s="443">
        <f t="shared" ref="S69:S105" si="184">MIN(Vout,O69/F69)</f>
        <v>15</v>
      </c>
      <c r="T69" s="217">
        <f t="shared" ref="T69:T105" si="185">MIN(2*(Vout*F69+Vout2*G69)/(Efficiency*J69*N69), Isw_max)</f>
        <v>15.5836499915353</v>
      </c>
      <c r="U69" s="217">
        <f t="shared" ref="U69:U105" si="186">L*T69/J69*1000000</f>
        <v>3.2496133535334075</v>
      </c>
      <c r="V69" s="217">
        <f t="shared" ref="V69:V105" si="187">L*T69/K69*1000000</f>
        <v>11.728808545644933</v>
      </c>
      <c r="W69" s="197">
        <f t="shared" ref="W69:W105" si="188">IF(1/((350000*L)*(1/J69+1/K69))&gt;Isw_min, 350, 0.001/((Isw_min*L)*(1/J69+1/K69)))</f>
        <v>104.04066660981263</v>
      </c>
      <c r="X69" s="443">
        <f t="shared" si="95"/>
        <v>65.883001977572746</v>
      </c>
      <c r="Z69" s="217">
        <f t="shared" ref="Z69:Z105" si="189">1/((W69*1000*L)*(1/J69+1/K69))</f>
        <v>10</v>
      </c>
      <c r="AA69" s="173">
        <f t="shared" ref="AA69:AA105" si="190">L*Z69/K69*1000000</f>
        <v>7.5263552197436194</v>
      </c>
      <c r="AB69" s="173">
        <f t="shared" ref="AB69:AB100" si="191">0.5*AA69*Z69*Nps*W69/1000*(Pout/Pout_total)</f>
        <v>3.9152350710218453</v>
      </c>
      <c r="AC69" s="173"/>
      <c r="AD69" s="173">
        <f t="shared" ref="AD69:AD105" si="192">L*Isw_min/K69*1000000</f>
        <v>7.5263552197436194</v>
      </c>
      <c r="AE69" s="545">
        <f t="shared" ref="AE69:AE100" si="193">MAX(10, F69/(0.5*AD69/1000000*Isw_min*Nps)/1000*Pout_total/Pout)</f>
        <v>170.06903908045979</v>
      </c>
      <c r="AF69" s="528">
        <f t="shared" ref="AF69:AF105" si="194">0.5*AD69/1000000*Isw_min*Nps*W69*1000*(Pout/Pout_total)</f>
        <v>3.9152350710218449</v>
      </c>
      <c r="AH69" s="173">
        <f t="shared" ref="AH69:AH105" si="195">SQRT((H69+I69)/(0.5*L*Fsw_DCM))</f>
        <v>6.8061596751626041</v>
      </c>
      <c r="AI69" s="173">
        <f t="shared" ref="AI69:AI100" si="196">MAX(IF(F69&gt;AB69,T69,AH69),Isw_min)</f>
        <v>15.5836499915353</v>
      </c>
      <c r="AJ69" s="173">
        <f t="shared" ref="AJ69:AJ100" si="197">IF(F69&gt;AF69, (AI69-Isw_min)/1.08*0.8+1.2, AE69*0.2/350+1)</f>
        <v>5.3360370307668887</v>
      </c>
      <c r="AL69" s="545">
        <f t="shared" ref="AL69:AL105" si="198">F69*1000</f>
        <v>6400</v>
      </c>
      <c r="AM69" s="460">
        <f t="shared" ref="AM69:AM105" si="199">IF(F69&gt;AF69, X69, AE69)</f>
        <v>65.883001977572746</v>
      </c>
      <c r="AO69">
        <f t="shared" si="96"/>
        <v>6400</v>
      </c>
      <c r="AP69">
        <f t="shared" ref="AP69:AP105" si="200">IF(H69&gt;O69, "",AM69)</f>
        <v>65.883001977572746</v>
      </c>
      <c r="AR69" s="5">
        <f t="shared" si="97"/>
        <v>15.178421899178339</v>
      </c>
      <c r="AS69" s="5">
        <f t="shared" ref="AS69:AS105" si="201">L*AI69/J69*1000000</f>
        <v>3.2496133535334075</v>
      </c>
      <c r="AT69" s="5">
        <f t="shared" si="98"/>
        <v>11.928808545644932</v>
      </c>
      <c r="AU69" s="173">
        <f t="shared" si="99"/>
        <v>0.2140942829971883</v>
      </c>
      <c r="AW69" s="5">
        <f t="shared" ref="AW69:AW105" si="202">F69*AS69/Vout_ripple*1000</f>
        <v>138.65016975075872</v>
      </c>
      <c r="AX69" s="5">
        <f t="shared" ref="AX69:AX105" si="203">G69*AS69/Vout_ripple2*1000</f>
        <v>6.4992267070668159</v>
      </c>
      <c r="AY69" s="5">
        <f t="shared" ref="AY69:AY105" si="204">H69/Efficiency/J69*AT69/Vinripple1</f>
        <v>6.8620134144089269</v>
      </c>
      <c r="AZ69" s="5"/>
      <c r="BA69" s="173">
        <f t="shared" si="100"/>
        <v>4.1630448836674594</v>
      </c>
      <c r="BB69" s="173">
        <f t="shared" ref="BB69:BB105" si="205">AI69*Npri_sec1*SQRT((1-AU69)/3)*(Pout/Pout_total)</f>
        <v>7.9761586190427254</v>
      </c>
      <c r="BC69" s="173">
        <f t="shared" ref="BC69:BC105" si="206">AI69*Npri_sec2*SQRT((1-AU69)/3)*(Pout2/Pout_total)</f>
        <v>0.19643245540230714</v>
      </c>
      <c r="BD69" s="173"/>
      <c r="BE69" s="528">
        <f t="shared" ref="BE69:BE105" si="207">Rdson*BA69^2</f>
        <v>0.34661885406859616</v>
      </c>
      <c r="BF69" s="528">
        <f t="shared" ref="BF69:BF105" si="208">0.5*L69*AI69*AM69*1000*Tfall</f>
        <v>1.4147338339758477</v>
      </c>
      <c r="BG69" s="528">
        <f t="shared" ref="BG69:BG105" si="209">Qg*Vdd*AM69*1000*0+Qg*J69*AM69*1000</f>
        <v>9.4783366343607692E-2</v>
      </c>
      <c r="BH69" s="528">
        <f t="shared" ref="BH69:BH105" si="210">0.5*(Coss+Csw)*L69^2*AM69*1000</f>
        <v>3.5582395728862369E-2</v>
      </c>
      <c r="BI69">
        <f t="shared" ref="BI69:BI105" si="211">J69*IQ</f>
        <v>2.5895914620977848E-2</v>
      </c>
      <c r="BJ69" s="460">
        <f t="shared" si="101"/>
        <v>120.67928096458553</v>
      </c>
      <c r="BK69">
        <f t="shared" ref="BK69:BK105" si="212">(BF69+BG69*0+BH69+BI69*0+BE69*(1+RdsonTC*(Ta-25)))/(1-BE69*RdsonTC*ThetaJA)</f>
        <v>2.0601927243376701</v>
      </c>
      <c r="BL69" s="460">
        <f t="shared" si="102"/>
        <v>2060.1927243376699</v>
      </c>
      <c r="BM69" s="173">
        <f t="shared" ref="BM69:BM105" si="213">Vfwd2*F69*(1+Diode_TC/1000*(Ta-25))</f>
        <v>3.9759999999999995</v>
      </c>
      <c r="BN69" s="173">
        <f t="shared" ref="BN69:BN105" si="214">Vfwd22*G69*(1+Diode_TC/1000*(Ta-25))</f>
        <v>7.0999999999999994E-2</v>
      </c>
      <c r="BO69" s="528"/>
      <c r="BQ69" s="460">
        <f t="shared" si="103"/>
        <v>4046.9999999999995</v>
      </c>
      <c r="BR69" s="528">
        <f t="shared" ref="BR69:BR105" si="215">Rdcr_pri*BA69^2</f>
        <v>0.51992828110289424</v>
      </c>
      <c r="BS69" s="528">
        <f t="shared" ref="BS69:BS105" si="216">Rdcr_sec*BB69^2</f>
        <v>1.9085731894838864</v>
      </c>
      <c r="BT69" s="528">
        <f t="shared" ref="BT69:BT105" si="217">Rdcr_sec2*BC69^2</f>
        <v>1.9292854767689692E-4</v>
      </c>
      <c r="BU69" s="528">
        <f t="shared" ref="BU69:BU105" si="218">AI69^2.5*AM69^2.5*k_core</f>
        <v>1.6887929880078665</v>
      </c>
      <c r="BV69" s="528">
        <f t="shared" ref="BV69:BV100" si="219">(BU69+(BR69+BS69+BT69)*(1+Ltc*(Ta-25)))/(1-(BR69+BS69+BT69)*Ltc*ThetaCa)</f>
        <v>5.8338688016410662</v>
      </c>
      <c r="BW69" s="625">
        <f t="shared" ref="BW69:BW105" si="220">0.5*Lleak*0.000000001*AI69^2*AM69*1000</f>
        <v>1.5999696718920722E-2</v>
      </c>
      <c r="BX69" s="460">
        <f t="shared" si="105"/>
        <v>5849.8684983599869</v>
      </c>
      <c r="BY69" s="173">
        <f t="shared" si="106"/>
        <v>11.957061222697657</v>
      </c>
      <c r="BZ69" s="5">
        <f t="shared" si="107"/>
        <v>97.28</v>
      </c>
      <c r="CA69" s="173">
        <f t="shared" si="108"/>
        <v>0.89054025173451679</v>
      </c>
      <c r="CB69" s="5">
        <f t="shared" si="109"/>
        <v>89.054025173451677</v>
      </c>
      <c r="CC69">
        <f t="shared" si="173"/>
        <v>64</v>
      </c>
      <c r="CE69" s="562">
        <f t="shared" ref="CE69:CE105" si="221">IF(ABS(F69-Ioutmax_Vinnom)&lt;Iout/200, AM69, -50)</f>
        <v>-50</v>
      </c>
      <c r="CF69">
        <f t="shared" ref="CF69:CF105" si="222">IF(ABS(F69-Ioutmax_Vinnom)&lt;Iout/200, (O69+P69)*CA69, -50)</f>
        <v>-50</v>
      </c>
      <c r="CG69" s="173">
        <f t="shared" ref="CG69:CG105" si="223">MIN(SQRT(2*DT69*1000*Ls1_*(CL69+CJ69*Vfwd1))/(CW69+Vfwd1), 1-DY69)</f>
        <v>0.78697421981004068</v>
      </c>
      <c r="CH69" s="173">
        <f t="shared" ref="CH69:CH105" si="224">MIN(SQRT(2*DT69*1000*Ls2_*(CM69+CK69*Vfwd22))/(Vout2+Vfwd22), 1-DY69)</f>
        <v>9.2345221451934009E-2</v>
      </c>
      <c r="CI69" s="170">
        <v>64</v>
      </c>
      <c r="CJ69" s="217">
        <f t="shared" si="133"/>
        <v>6.4</v>
      </c>
      <c r="CK69" s="217">
        <f t="shared" si="111"/>
        <v>0.16</v>
      </c>
      <c r="CL69" s="217">
        <f t="shared" ref="CL69:CL105" si="225">CJ69*Vout</f>
        <v>96</v>
      </c>
      <c r="CM69" s="217">
        <f t="shared" si="134"/>
        <v>1.28</v>
      </c>
      <c r="CN69" s="541">
        <f t="shared" si="112"/>
        <v>58</v>
      </c>
      <c r="CO69" s="443">
        <f t="shared" ref="CO69:CO105" si="226">(CW69+Vfwd2)*Nps</f>
        <v>15.7</v>
      </c>
      <c r="CP69" s="443">
        <f t="shared" ref="CP69:CP105" si="227">(Vout+Vfwd2)*Nps+CN69</f>
        <v>73.7</v>
      </c>
      <c r="CQ69" s="443"/>
      <c r="CR69" s="217">
        <f t="shared" ref="CR69:CR105" si="228">(Vout+Vfwd1)*Nps/((Vout+Vfwd1)*Nps+CN69)</f>
        <v>0.2098092643051771</v>
      </c>
      <c r="CS69" s="172">
        <f t="shared" si="114"/>
        <v>300.22049333142121</v>
      </c>
      <c r="CT69" s="172">
        <f t="shared" ref="CT69:CT105" si="229">CR69*CN69*Isw_max*0.5*Efficiency*(Pout2/Pout_total)</f>
        <v>4.0563124432334243</v>
      </c>
      <c r="CU69" s="217">
        <f t="shared" ref="CU69:CU105" si="230">CS69/Vout</f>
        <v>20.014699555428081</v>
      </c>
      <c r="CV69" s="217">
        <f t="shared" ref="CV69:CV105" si="231">CS69/Vout2</f>
        <v>37.527561666427651</v>
      </c>
      <c r="CW69" s="443">
        <f t="shared" ref="CW69:CW105" si="232">MIN(Vout,CS69/CJ69)</f>
        <v>15</v>
      </c>
      <c r="CX69" s="217">
        <f t="shared" ref="CX69:CX105" si="233">MIN(2*(Vout*CJ69+Vout2*CK69)/(Efficiency*CN69*CR69), Isw_max)</f>
        <v>15.988248992386923</v>
      </c>
      <c r="CY69" s="217">
        <f t="shared" ref="CY69:CY105" si="234">L*CX69/CN69*1000000</f>
        <v>3.3079135846317778</v>
      </c>
      <c r="CZ69" s="217">
        <f t="shared" ref="CZ69:CZ105" si="235">L*CX69/CO69*1000000</f>
        <v>12.220317701187458</v>
      </c>
      <c r="DA69" s="197">
        <f t="shared" ref="DA69:DA105" si="236">IF(1/((350000*L)*(1/CN69+1/CO69))&gt;Isw_min, 350, 0.001/((Isw_min*L)*(1/CN69+1/CO69)))</f>
        <v>102.962460425147</v>
      </c>
      <c r="DB69" s="443">
        <f t="shared" si="115"/>
        <v>64.398834715530327</v>
      </c>
      <c r="DD69" s="217">
        <f t="shared" ref="DD69:DD105" si="237">1/((DA69*1000*L)*(1/CN69+1/CO69))</f>
        <v>10</v>
      </c>
      <c r="DE69" s="173">
        <f t="shared" ref="DE69:DE105" si="238">L*DD69/CO69*1000000</f>
        <v>7.6433121019108281</v>
      </c>
      <c r="DF69" s="173">
        <f t="shared" ref="DF69:DF105" si="239">0.5*DE69*DD69*Nps*DA69/1000*(Pout/Pout_total)</f>
        <v>3.9348710990502043</v>
      </c>
      <c r="DG69" s="173"/>
      <c r="DH69" s="173">
        <f t="shared" ref="DH69:DH105" si="240">L*Isw_min/CO69*1000000</f>
        <v>7.6433121019108281</v>
      </c>
      <c r="DI69" s="545">
        <f t="shared" ref="DI69:DI105" si="241">MAX(10, CJ69/(0.5*DH69/1000000*Isw_min*Nps)/1000*Pout_total/Pout)</f>
        <v>167.4666666666667</v>
      </c>
      <c r="DJ69" s="528">
        <f t="shared" ref="DJ69:DJ105" si="242">0.5*DH69/1000000*Isw_min*Nps*DA69*1000*(Pout/Pout_total)</f>
        <v>3.9348710990502034</v>
      </c>
      <c r="DL69" s="173">
        <f t="shared" ref="DL69:DL105" si="243">SQRT((CL69+CM69)/(0.5*L*Fsw_DCM))</f>
        <v>6.8061596751626041</v>
      </c>
      <c r="DM69" s="173">
        <f t="shared" ref="DM69:DM105" si="244">MAX(IF(CJ69&gt;DF69,CX69,DL69),Isw_min)</f>
        <v>15.988248992386923</v>
      </c>
      <c r="DN69" s="173">
        <f t="shared" ref="DN69:DN105" si="245">IF(CJ69&gt;DJ69, (DM69-Isw_min)/1.08*0.8+1.2, DI69*0.2/350+1)</f>
        <v>5.6357399943606836</v>
      </c>
      <c r="DP69" s="545">
        <f t="shared" ref="DP69:DP105" si="246">CJ69*1000</f>
        <v>6400</v>
      </c>
      <c r="DQ69" s="460">
        <f t="shared" ref="DQ69:DQ105" si="247">IF(CJ69&gt;DJ69, DB69, DI69)</f>
        <v>64.398834715530327</v>
      </c>
      <c r="DS69">
        <f t="shared" si="116"/>
        <v>6400</v>
      </c>
      <c r="DT69">
        <f t="shared" ref="DT69:DT90" si="248">IF(CL69&gt;CS69, "",DQ69)</f>
        <v>64.398834715530327</v>
      </c>
      <c r="DV69" s="5">
        <f t="shared" si="117"/>
        <v>15.528231285819237</v>
      </c>
      <c r="DW69" s="5">
        <f t="shared" ref="DW69:DW105" si="249">L*DM69/CN69*1000000</f>
        <v>3.3079135846317778</v>
      </c>
      <c r="DX69" s="5">
        <f t="shared" si="118"/>
        <v>12.220317701187458</v>
      </c>
      <c r="DY69" s="173">
        <f t="shared" si="119"/>
        <v>0.2130257801899593</v>
      </c>
      <c r="EA69" s="5">
        <f t="shared" ref="EA69:EA105" si="250">CJ69*DW69/Vout_ripple*1000</f>
        <v>141.13764627762254</v>
      </c>
      <c r="EB69" s="5">
        <f t="shared" ref="EB69:EB105" si="251">CK69*DW69/Vout_ripple2*1000</f>
        <v>6.6158271692635546</v>
      </c>
      <c r="EC69" s="5">
        <f t="shared" ref="EC69:EC105" si="252">CL69/Efficiency/CN69*DX69/Vinripple1</f>
        <v>6.9747354299286313</v>
      </c>
      <c r="ED69" s="5"/>
      <c r="EE69" s="173">
        <f t="shared" si="120"/>
        <v>4.2604586835407128</v>
      </c>
      <c r="EF69" s="173">
        <f t="shared" ref="EF69:EF105" si="253">DM69*Npri_sec1*SQRT((1-DY69)/3)*(Pout/Pout_total)</f>
        <v>8.1888049852647224</v>
      </c>
      <c r="EG69" s="173">
        <f t="shared" ref="EG69:EG105" si="254">DM69*Npri_sec2*SQRT((1-DY69)/3)*(Pout2/Pout_total)</f>
        <v>0.2016693933625979</v>
      </c>
      <c r="EH69" s="173"/>
      <c r="EI69" s="528">
        <f t="shared" ref="EI69:EI105" si="255">Rdson*EE69^2</f>
        <v>0.36303016388314929</v>
      </c>
      <c r="EJ69" s="528">
        <f t="shared" ref="EJ69:EJ105" si="256">0.5*CP69*DM69*DQ69*1000*Trise</f>
        <v>1.5176666666666663</v>
      </c>
      <c r="EK69" s="528">
        <f t="shared" ref="EK69:EK105" si="257">Qg*Vdd*DQ69*1000</f>
        <v>8.0498543394412914E-3</v>
      </c>
      <c r="EL69" s="528">
        <f t="shared" ref="EL69:EL105" si="258">0.5*(Coss+Csw)*CP69^2*DQ69*1000</f>
        <v>3.4979450653599892E-2</v>
      </c>
      <c r="EM69">
        <f t="shared" ref="EM69:EM105" si="259">CN69*IQ</f>
        <v>2.6099999999999998E-2</v>
      </c>
      <c r="EN69" s="460">
        <f t="shared" si="121"/>
        <v>34.149854339441291</v>
      </c>
      <c r="EO69">
        <f t="shared" ref="EO69:EO105" si="260">(EJ69+EK69+EL69+EM69+EI69*(1+RdsonTC*(Ta-25)))/(1-EI69*RdsonTC*ThetaJA)</f>
        <v>2.2411574857898757</v>
      </c>
      <c r="EP69" s="460">
        <f t="shared" si="122"/>
        <v>2241.1574857898759</v>
      </c>
      <c r="EQ69" s="173">
        <f t="shared" ref="EQ69:EQ105" si="261">Vfwd2*CJ69*(1+Diode_TC/1000*(Ta-25))</f>
        <v>3.9759999999999995</v>
      </c>
      <c r="ER69" s="173">
        <f t="shared" ref="ER69:ER105" si="262">Vfwd22*CK69*(1+Diode_TC/1000*(Ta-25))</f>
        <v>7.0999999999999994E-2</v>
      </c>
      <c r="ES69" s="528"/>
      <c r="EU69" s="460">
        <f t="shared" si="123"/>
        <v>4046.9999999999995</v>
      </c>
      <c r="EV69" s="528">
        <f t="shared" ref="EV69:EV105" si="263">Rdcr_pri*EE69^2</f>
        <v>0.54454524582472397</v>
      </c>
      <c r="EW69" s="528">
        <f t="shared" si="124"/>
        <v>2.011695812600891</v>
      </c>
      <c r="EX69" s="528">
        <f t="shared" ref="EX69:EX105" si="264">Rdcr_sec2*EG69^2</f>
        <v>2.0335272109619124E-4</v>
      </c>
      <c r="EY69" s="528">
        <f t="shared" ref="EY69:EY105" si="265">DM69^2.5*DQ69^2.5*k_core</f>
        <v>1.7008549743586536</v>
      </c>
      <c r="EZ69" s="528">
        <f t="shared" ref="EZ69:EZ105" si="266">(EY69+(EV69+EW69+EX69)*(1+Ltc*(Ta-25)))/(1-(EV69+EW69+EX69)*Ltc*ThetaCa)</f>
        <v>6.1231191406532535</v>
      </c>
      <c r="FA69" s="625">
        <f t="shared" ref="FA69:FA105" si="267">0.5*Lleak*0.000000001*DM69^2*DQ69*1000</f>
        <v>1.6461894541460347E-2</v>
      </c>
      <c r="FB69" s="460">
        <f t="shared" si="125"/>
        <v>6139.5810351947139</v>
      </c>
      <c r="FC69" s="173">
        <f t="shared" si="126"/>
        <v>12.42773852098459</v>
      </c>
      <c r="FD69" s="5">
        <f t="shared" si="127"/>
        <v>97.28</v>
      </c>
      <c r="FE69" s="173">
        <f t="shared" si="128"/>
        <v>0.88671958160355802</v>
      </c>
      <c r="FF69" s="5">
        <f t="shared" si="129"/>
        <v>88.6719581603558</v>
      </c>
      <c r="FG69">
        <f t="shared" si="130"/>
        <v>64</v>
      </c>
      <c r="FI69" s="562">
        <f t="shared" ref="FI69:FI105" si="268">IF(ABS(CJ69-Ioutmax_Vinnom)&lt;Iout/200, DQ69, -50)</f>
        <v>-50</v>
      </c>
      <c r="FJ69">
        <f t="shared" ref="FJ69:FJ105" si="269">IF(ABS(CJ69-Ioutmax_Vinnom)&lt;Iout/200, (CS69+CT69)*FE69, -50)</f>
        <v>-50</v>
      </c>
      <c r="FL69">
        <f t="shared" ref="FL69:FL105" si="270">MIN(SQRT(2*DQ69*1000*L*CJ69*(Vout+Vfwd1))/(Nps*(Vout+Vfwd1)),1-DY69)</f>
        <v>0.78697421981004068</v>
      </c>
    </row>
    <row r="70" spans="5:168">
      <c r="E70" s="170">
        <v>65</v>
      </c>
      <c r="F70" s="217">
        <f t="shared" si="174"/>
        <v>6.5</v>
      </c>
      <c r="G70" s="217">
        <f t="shared" ref="G70:G105" si="271">IF(PLOT_TYPE=1, E70/100*Iout2, min_I*EXP(Q70*rr/100))</f>
        <v>0.16250000000000001</v>
      </c>
      <c r="H70" s="217">
        <f t="shared" si="176"/>
        <v>97.5</v>
      </c>
      <c r="I70" s="217">
        <f t="shared" si="175"/>
        <v>1.3</v>
      </c>
      <c r="J70" s="541">
        <f t="shared" si="177"/>
        <v>57.539390637623612</v>
      </c>
      <c r="K70" s="443">
        <f t="shared" si="178"/>
        <v>15.947784482758619</v>
      </c>
      <c r="L70" s="172">
        <f t="shared" si="179"/>
        <v>73.487175120382233</v>
      </c>
      <c r="M70" s="443"/>
      <c r="N70" s="217">
        <f t="shared" si="180"/>
        <v>0.21701452609430047</v>
      </c>
      <c r="O70" s="172">
        <f t="shared" ref="O70:O101" si="272">N70*J70*Isw_max*0.5*Efficiency*Pout/(Pout+Pout2)</f>
        <v>308.06456227743541</v>
      </c>
      <c r="P70" s="172">
        <f t="shared" si="181"/>
        <v>4.1622945303262391</v>
      </c>
      <c r="Q70" s="217">
        <f t="shared" si="182"/>
        <v>20.53763748516236</v>
      </c>
      <c r="R70" s="217">
        <f t="shared" si="183"/>
        <v>38.508070284679427</v>
      </c>
      <c r="S70" s="443">
        <f t="shared" si="184"/>
        <v>15</v>
      </c>
      <c r="T70" s="217">
        <f t="shared" si="185"/>
        <v>15.824604959299711</v>
      </c>
      <c r="U70" s="217">
        <f t="shared" si="186"/>
        <v>3.3002653904963082</v>
      </c>
      <c r="V70" s="217">
        <f t="shared" si="187"/>
        <v>11.907312875772496</v>
      </c>
      <c r="W70" s="197">
        <f t="shared" si="188"/>
        <v>104.05736325815599</v>
      </c>
      <c r="X70" s="443">
        <f t="shared" ref="X70:X105" si="273">MIN(1/(U70+V70+0.2)*1000, 350)</f>
        <v>64.903126417294288</v>
      </c>
      <c r="Z70" s="217">
        <f t="shared" si="189"/>
        <v>10</v>
      </c>
      <c r="AA70" s="173">
        <f t="shared" si="190"/>
        <v>7.5245561620006685</v>
      </c>
      <c r="AB70" s="173">
        <f t="shared" si="191"/>
        <v>3.9149273695284976</v>
      </c>
      <c r="AC70" s="173"/>
      <c r="AD70" s="173">
        <f t="shared" si="192"/>
        <v>7.5245561620006685</v>
      </c>
      <c r="AE70" s="545">
        <f t="shared" si="193"/>
        <v>172.76766522988501</v>
      </c>
      <c r="AF70" s="528">
        <f t="shared" si="194"/>
        <v>3.9149273695284985</v>
      </c>
      <c r="AH70" s="173">
        <f t="shared" si="195"/>
        <v>6.859126697154605</v>
      </c>
      <c r="AI70" s="173">
        <f t="shared" si="196"/>
        <v>15.824604959299711</v>
      </c>
      <c r="AJ70" s="173">
        <f t="shared" si="197"/>
        <v>5.5145221920738594</v>
      </c>
      <c r="AL70" s="545">
        <f t="shared" si="198"/>
        <v>6500</v>
      </c>
      <c r="AM70" s="460">
        <f t="shared" si="199"/>
        <v>64.903126417294288</v>
      </c>
      <c r="AO70">
        <f t="shared" ref="AO70:AO105" si="274">IF(H70&gt;O70, "",AL70)</f>
        <v>6500</v>
      </c>
      <c r="AP70">
        <f t="shared" si="200"/>
        <v>64.903126417294288</v>
      </c>
      <c r="AR70" s="5">
        <f t="shared" ref="AR70:AR133" si="275">1/AM70*1000</f>
        <v>15.407578266268802</v>
      </c>
      <c r="AS70" s="5">
        <f t="shared" si="201"/>
        <v>3.3002653904963082</v>
      </c>
      <c r="AT70" s="5">
        <f t="shared" ref="AT70:AT105" si="276">AR70-AS70</f>
        <v>12.107312875772493</v>
      </c>
      <c r="AU70" s="173">
        <f t="shared" ref="AU70:AU105" si="277">AS70/AR70</f>
        <v>0.214197541850003</v>
      </c>
      <c r="AW70" s="5">
        <f t="shared" si="202"/>
        <v>143.01150025484003</v>
      </c>
      <c r="AX70" s="5">
        <f t="shared" si="203"/>
        <v>6.7036640744456264</v>
      </c>
      <c r="AY70" s="5">
        <f t="shared" si="204"/>
        <v>7.0743920685224602</v>
      </c>
      <c r="AZ70" s="5"/>
      <c r="BA70" s="173">
        <f t="shared" ref="BA70:BA105" si="278">AI70*SQRT(AU70/3)</f>
        <v>4.2284333660094706</v>
      </c>
      <c r="BB70" s="173">
        <f t="shared" si="205"/>
        <v>8.0989541696350411</v>
      </c>
      <c r="BC70" s="173">
        <f t="shared" si="206"/>
        <v>0.19945659680512967</v>
      </c>
      <c r="BD70" s="173"/>
      <c r="BE70" s="528">
        <f t="shared" si="207"/>
        <v>0.35759297461564366</v>
      </c>
      <c r="BF70" s="528">
        <f t="shared" si="208"/>
        <v>1.4151788195043968</v>
      </c>
      <c r="BG70" s="528">
        <f t="shared" si="209"/>
        <v>9.3362158613194121E-2</v>
      </c>
      <c r="BH70" s="528">
        <f t="shared" si="210"/>
        <v>3.5050056626981609E-2</v>
      </c>
      <c r="BI70">
        <f t="shared" si="211"/>
        <v>2.5892725786930623E-2</v>
      </c>
      <c r="BJ70" s="460">
        <f t="shared" ref="BJ70:BJ105" si="279">(BG70+BI70)*1000</f>
        <v>119.25488440012474</v>
      </c>
      <c r="BK70">
        <f t="shared" si="212"/>
        <v>2.0811991471384066</v>
      </c>
      <c r="BL70" s="460">
        <f t="shared" ref="BL70:BL105" si="280">BK70*1000</f>
        <v>2081.1991471384067</v>
      </c>
      <c r="BM70" s="173">
        <f t="shared" si="213"/>
        <v>4.038125</v>
      </c>
      <c r="BN70" s="173">
        <f t="shared" si="214"/>
        <v>7.2109375000000003E-2</v>
      </c>
      <c r="BO70" s="528"/>
      <c r="BQ70" s="460">
        <f t="shared" ref="BQ70:BQ105" si="281">SUM(BM70:BP70)*1000</f>
        <v>4110.234375</v>
      </c>
      <c r="BR70" s="528">
        <f t="shared" si="215"/>
        <v>0.53638946192346548</v>
      </c>
      <c r="BS70" s="528">
        <f t="shared" si="216"/>
        <v>1.9677917592554643</v>
      </c>
      <c r="BT70" s="528">
        <f t="shared" si="217"/>
        <v>1.9891467004542034E-4</v>
      </c>
      <c r="BU70" s="528">
        <f t="shared" si="218"/>
        <v>1.6903095343067076</v>
      </c>
      <c r="BV70" s="528">
        <f t="shared" si="219"/>
        <v>5.9973030286485924</v>
      </c>
      <c r="BW70" s="625">
        <f t="shared" si="220"/>
        <v>1.6252919036999051E-2</v>
      </c>
      <c r="BX70" s="460">
        <f t="shared" ref="BX70:BX105" si="282">(BV70+BW70)*1000</f>
        <v>6013.5559476855915</v>
      </c>
      <c r="BY70" s="173">
        <f t="shared" ref="BY70:BY104" si="283">SUM(BK70,BM70:BP70,BV70:BW70)</f>
        <v>12.204989469823998</v>
      </c>
      <c r="BZ70" s="5">
        <f t="shared" ref="BZ70:BZ105" si="284">MIN(H70+I70,O70+P70)</f>
        <v>98.8</v>
      </c>
      <c r="CA70" s="173">
        <f t="shared" ref="CA70:CA105" si="285">BZ70/(BZ70+BY70)</f>
        <v>0.89005008217993797</v>
      </c>
      <c r="CB70" s="5">
        <f t="shared" ref="CB70:CB105" si="286">CA70*100</f>
        <v>89.005008217993804</v>
      </c>
      <c r="CC70">
        <f t="shared" ref="CC70:CC105" si="287">F70/Iout*100</f>
        <v>65</v>
      </c>
      <c r="CE70" s="562">
        <f t="shared" si="221"/>
        <v>-50</v>
      </c>
      <c r="CF70">
        <f t="shared" si="222"/>
        <v>-50</v>
      </c>
      <c r="CG70" s="173">
        <f t="shared" si="223"/>
        <v>0.78697421981004079</v>
      </c>
      <c r="CH70" s="173">
        <f t="shared" si="224"/>
        <v>9.2345221451934009E-2</v>
      </c>
      <c r="CI70" s="170">
        <v>65</v>
      </c>
      <c r="CJ70" s="217">
        <f t="shared" si="133"/>
        <v>6.5</v>
      </c>
      <c r="CK70" s="217">
        <f t="shared" ref="CK70:CK105" si="288">IF(PLOT_TYPE=1, CI70/100*Iout2, min_I*EXP(CU70*rr/100))</f>
        <v>0.16250000000000001</v>
      </c>
      <c r="CL70" s="217">
        <f t="shared" si="225"/>
        <v>97.5</v>
      </c>
      <c r="CM70" s="217">
        <f t="shared" si="134"/>
        <v>1.3</v>
      </c>
      <c r="CN70" s="541">
        <f t="shared" ref="CN70:CN105" si="289">Vin</f>
        <v>58</v>
      </c>
      <c r="CO70" s="443">
        <f t="shared" si="226"/>
        <v>15.7</v>
      </c>
      <c r="CP70" s="443">
        <f t="shared" si="227"/>
        <v>73.7</v>
      </c>
      <c r="CQ70" s="443"/>
      <c r="CR70" s="217">
        <f t="shared" si="228"/>
        <v>0.2098092643051771</v>
      </c>
      <c r="CS70" s="172">
        <f t="shared" ref="CS70:CS105" si="290">CR70*CN70*Isw_max*0.5*Efficiency*Pout/(Pout+Pout2)</f>
        <v>300.22049333142121</v>
      </c>
      <c r="CT70" s="172">
        <f t="shared" si="229"/>
        <v>4.0563124432334243</v>
      </c>
      <c r="CU70" s="217">
        <f t="shared" si="230"/>
        <v>20.014699555428081</v>
      </c>
      <c r="CV70" s="217">
        <f t="shared" si="231"/>
        <v>37.527561666427651</v>
      </c>
      <c r="CW70" s="443">
        <f t="shared" si="232"/>
        <v>15</v>
      </c>
      <c r="CX70" s="217">
        <f t="shared" si="233"/>
        <v>16.23806538289297</v>
      </c>
      <c r="CY70" s="217">
        <f t="shared" si="234"/>
        <v>3.3595997343916491</v>
      </c>
      <c r="CZ70" s="217">
        <f t="shared" si="235"/>
        <v>12.411260165268514</v>
      </c>
      <c r="DA70" s="197">
        <f t="shared" si="236"/>
        <v>102.962460425147</v>
      </c>
      <c r="DB70" s="443">
        <f t="shared" ref="DB70:DB105" si="291">MIN(1/(CY70+CZ70)*1000, 350)</f>
        <v>63.408083412214474</v>
      </c>
      <c r="DD70" s="217">
        <f t="shared" si="237"/>
        <v>10</v>
      </c>
      <c r="DE70" s="173">
        <f t="shared" si="238"/>
        <v>7.6433121019108281</v>
      </c>
      <c r="DF70" s="173">
        <f t="shared" si="239"/>
        <v>3.9348710990502043</v>
      </c>
      <c r="DG70" s="173"/>
      <c r="DH70" s="173">
        <f t="shared" si="240"/>
        <v>7.6433121019108281</v>
      </c>
      <c r="DI70" s="545">
        <f t="shared" si="241"/>
        <v>170.08333333333334</v>
      </c>
      <c r="DJ70" s="528">
        <f t="shared" si="242"/>
        <v>3.9348710990502034</v>
      </c>
      <c r="DL70" s="173">
        <f t="shared" si="243"/>
        <v>6.859126697154605</v>
      </c>
      <c r="DM70" s="173">
        <f t="shared" si="244"/>
        <v>16.23806538289297</v>
      </c>
      <c r="DN70" s="173">
        <f t="shared" si="245"/>
        <v>5.8207891725133107</v>
      </c>
      <c r="DP70" s="545">
        <f t="shared" si="246"/>
        <v>6500</v>
      </c>
      <c r="DQ70" s="460">
        <f t="shared" si="247"/>
        <v>63.408083412214474</v>
      </c>
      <c r="DS70">
        <f t="shared" ref="DS70:DS90" si="292">IF(CL70&gt;CS70, "",DP70)</f>
        <v>6500</v>
      </c>
      <c r="DT70">
        <f t="shared" si="248"/>
        <v>63.408083412214474</v>
      </c>
      <c r="DV70" s="5">
        <f t="shared" ref="DV70:DV105" si="293">1/DQ70*1000</f>
        <v>15.770859899660165</v>
      </c>
      <c r="DW70" s="5">
        <f t="shared" si="249"/>
        <v>3.3595997343916491</v>
      </c>
      <c r="DX70" s="5">
        <f t="shared" ref="DX70:DX105" si="294">DV70-DW70</f>
        <v>12.411260165268516</v>
      </c>
      <c r="DY70" s="173">
        <f t="shared" ref="DY70:DY105" si="295">DW70/DV70</f>
        <v>0.21302578018995924</v>
      </c>
      <c r="EA70" s="5">
        <f t="shared" si="250"/>
        <v>145.58265515697147</v>
      </c>
      <c r="EB70" s="5">
        <f t="shared" si="251"/>
        <v>6.8241869604830381</v>
      </c>
      <c r="EC70" s="5">
        <f t="shared" si="252"/>
        <v>7.1943987283809756</v>
      </c>
      <c r="ED70" s="5"/>
      <c r="EE70" s="173">
        <f t="shared" ref="EE70:EE105" si="296">DM70*SQRT(DY70/3)</f>
        <v>4.3270283504710356</v>
      </c>
      <c r="EF70" s="173">
        <f t="shared" si="253"/>
        <v>8.3167550631594835</v>
      </c>
      <c r="EG70" s="173">
        <f t="shared" si="254"/>
        <v>0.20482047763388844</v>
      </c>
      <c r="EH70" s="173"/>
      <c r="EI70" s="528">
        <f t="shared" si="255"/>
        <v>0.37446348691560183</v>
      </c>
      <c r="EJ70" s="528">
        <f t="shared" si="256"/>
        <v>1.5176666666666665</v>
      </c>
      <c r="EK70" s="528">
        <f t="shared" si="257"/>
        <v>7.9260104265268094E-3</v>
      </c>
      <c r="EL70" s="528">
        <f t="shared" si="258"/>
        <v>3.4441305258929127E-2</v>
      </c>
      <c r="EM70">
        <f t="shared" si="259"/>
        <v>2.6099999999999998E-2</v>
      </c>
      <c r="EN70" s="460">
        <f t="shared" ref="EN70:EN105" si="297">(EK70+EM70)*1000</f>
        <v>34.02601042652681</v>
      </c>
      <c r="EO70">
        <f t="shared" si="260"/>
        <v>2.2630520661118108</v>
      </c>
      <c r="EP70" s="460">
        <f t="shared" ref="EP70:EP105" si="298">EO70*1000</f>
        <v>2263.0520661118107</v>
      </c>
      <c r="EQ70" s="173">
        <f t="shared" si="261"/>
        <v>4.038125</v>
      </c>
      <c r="ER70" s="173">
        <f t="shared" si="262"/>
        <v>7.2109375000000003E-2</v>
      </c>
      <c r="ES70" s="528"/>
      <c r="EU70" s="460">
        <f t="shared" ref="EU70:EU105" si="299">SUM(EQ70:ET70)*1000</f>
        <v>4110.234375</v>
      </c>
      <c r="EV70" s="528">
        <f t="shared" si="263"/>
        <v>0.56169523037340274</v>
      </c>
      <c r="EW70" s="528">
        <f t="shared" ref="EW70:EW105" si="300">Rdcr_sec*EF70^2</f>
        <v>2.0750524434176669</v>
      </c>
      <c r="EX70" s="528">
        <f t="shared" si="264"/>
        <v>2.0975714029087097E-4</v>
      </c>
      <c r="EY70" s="528">
        <f t="shared" si="265"/>
        <v>1.7008549743586521</v>
      </c>
      <c r="EZ70" s="528">
        <f t="shared" si="266"/>
        <v>6.2996308617561274</v>
      </c>
      <c r="FA70" s="625">
        <f t="shared" si="267"/>
        <v>1.6719111643670664E-2</v>
      </c>
      <c r="FB70" s="460">
        <f t="shared" ref="FB70:FB105" si="301">(EZ70+FA70)*1000</f>
        <v>6316.3499733997978</v>
      </c>
      <c r="FC70" s="173">
        <f t="shared" ref="FC70:FC105" si="302">SUM(EO70,EQ70:ET70,EZ70:FA70)</f>
        <v>12.689636414511607</v>
      </c>
      <c r="FD70" s="5">
        <f t="shared" ref="FD70:FD105" si="303">MIN(CL70+CM70,CS70+CT70)</f>
        <v>98.8</v>
      </c>
      <c r="FE70" s="173">
        <f t="shared" ref="FE70:FE105" si="304">FD70/(FD70+FC70)</f>
        <v>0.88618102253619047</v>
      </c>
      <c r="FF70" s="5">
        <f t="shared" ref="FF70:FF105" si="305">FE70*100</f>
        <v>88.618102253619043</v>
      </c>
      <c r="FG70">
        <f t="shared" ref="FG70:FG105" si="306">CJ70/Iout*100</f>
        <v>65</v>
      </c>
      <c r="FI70" s="562">
        <f t="shared" si="268"/>
        <v>-50</v>
      </c>
      <c r="FJ70">
        <f t="shared" si="269"/>
        <v>-50</v>
      </c>
      <c r="FL70">
        <f t="shared" si="270"/>
        <v>0.78697421981004079</v>
      </c>
    </row>
    <row r="71" spans="5:168">
      <c r="E71" s="170">
        <v>66</v>
      </c>
      <c r="F71" s="217">
        <f t="shared" si="174"/>
        <v>6.6000000000000005</v>
      </c>
      <c r="G71" s="217">
        <f t="shared" si="271"/>
        <v>0.16500000000000001</v>
      </c>
      <c r="H71" s="217">
        <f t="shared" si="176"/>
        <v>99.000000000000014</v>
      </c>
      <c r="I71" s="217">
        <f t="shared" si="175"/>
        <v>1.32</v>
      </c>
      <c r="J71" s="541">
        <f t="shared" si="177"/>
        <v>57.532304339740904</v>
      </c>
      <c r="K71" s="443">
        <f t="shared" si="178"/>
        <v>15.951596551724137</v>
      </c>
      <c r="L71" s="172">
        <f t="shared" si="179"/>
        <v>73.483900891465041</v>
      </c>
      <c r="M71" s="443"/>
      <c r="N71" s="217">
        <f t="shared" si="180"/>
        <v>0.21707607187708339</v>
      </c>
      <c r="O71" s="172">
        <f t="shared" si="272"/>
        <v>308.11397941055509</v>
      </c>
      <c r="P71" s="172">
        <f t="shared" si="181"/>
        <v>4.1629622107026112</v>
      </c>
      <c r="Q71" s="217">
        <f t="shared" si="182"/>
        <v>20.540931960703674</v>
      </c>
      <c r="R71" s="217">
        <f t="shared" si="183"/>
        <v>38.514247426319386</v>
      </c>
      <c r="S71" s="443">
        <f t="shared" si="184"/>
        <v>15</v>
      </c>
      <c r="T71" s="217">
        <f t="shared" si="185"/>
        <v>16.065483330129055</v>
      </c>
      <c r="U71" s="217">
        <f t="shared" si="186"/>
        <v>3.3509139286878926</v>
      </c>
      <c r="V71" s="217">
        <f t="shared" si="187"/>
        <v>12.085674266925421</v>
      </c>
      <c r="W71" s="197">
        <f t="shared" si="188"/>
        <v>104.07405526756524</v>
      </c>
      <c r="X71" s="443">
        <f t="shared" si="273"/>
        <v>63.952569927021543</v>
      </c>
      <c r="Z71" s="217">
        <f t="shared" si="189"/>
        <v>10</v>
      </c>
      <c r="AA71" s="173">
        <f t="shared" si="190"/>
        <v>7.5227579641255238</v>
      </c>
      <c r="AB71" s="173">
        <f t="shared" si="191"/>
        <v>3.9146196406145815</v>
      </c>
      <c r="AC71" s="173"/>
      <c r="AD71" s="173">
        <f t="shared" si="192"/>
        <v>7.5227579641255238</v>
      </c>
      <c r="AE71" s="545">
        <f t="shared" si="193"/>
        <v>175.46756206896552</v>
      </c>
      <c r="AF71" s="528">
        <f t="shared" si="194"/>
        <v>3.9146196406145823</v>
      </c>
      <c r="AH71" s="173">
        <f t="shared" si="195"/>
        <v>6.9116878236382009</v>
      </c>
      <c r="AI71" s="173">
        <f t="shared" si="196"/>
        <v>16.065483330129055</v>
      </c>
      <c r="AJ71" s="173">
        <f t="shared" si="197"/>
        <v>5.6929506149104112</v>
      </c>
      <c r="AL71" s="545">
        <f t="shared" si="198"/>
        <v>6600.0000000000009</v>
      </c>
      <c r="AM71" s="460">
        <f t="shared" si="199"/>
        <v>63.952569927021543</v>
      </c>
      <c r="AO71">
        <f t="shared" si="274"/>
        <v>6600.0000000000009</v>
      </c>
      <c r="AP71">
        <f t="shared" si="200"/>
        <v>63.952569927021543</v>
      </c>
      <c r="AR71" s="5">
        <f t="shared" si="275"/>
        <v>15.636588195613314</v>
      </c>
      <c r="AS71" s="5">
        <f t="shared" si="201"/>
        <v>3.3509139286878926</v>
      </c>
      <c r="AT71" s="5">
        <f t="shared" si="276"/>
        <v>12.285674266925421</v>
      </c>
      <c r="AU71" s="173">
        <f t="shared" si="277"/>
        <v>0.21429955734384293</v>
      </c>
      <c r="AW71" s="5">
        <f t="shared" si="202"/>
        <v>147.44021286226726</v>
      </c>
      <c r="AX71" s="5">
        <f t="shared" si="203"/>
        <v>6.9112599779187791</v>
      </c>
      <c r="AY71" s="5">
        <f t="shared" si="204"/>
        <v>7.2899478936168807</v>
      </c>
      <c r="AZ71" s="5"/>
      <c r="BA71" s="173">
        <f t="shared" si="278"/>
        <v>4.2938197124046305</v>
      </c>
      <c r="BB71" s="173">
        <f t="shared" si="205"/>
        <v>8.2217007863894533</v>
      </c>
      <c r="BC71" s="173">
        <f t="shared" si="206"/>
        <v>0.20247953309225791</v>
      </c>
      <c r="BD71" s="173"/>
      <c r="BE71" s="528">
        <f t="shared" si="207"/>
        <v>0.36873775445269169</v>
      </c>
      <c r="BF71" s="528">
        <f t="shared" si="208"/>
        <v>1.4156153783788812</v>
      </c>
      <c r="BG71" s="528">
        <f t="shared" si="209"/>
        <v>9.1983467908749131E-2</v>
      </c>
      <c r="BH71" s="528">
        <f t="shared" si="210"/>
        <v>3.453364392970034E-2</v>
      </c>
      <c r="BI71">
        <f t="shared" si="211"/>
        <v>2.5889536952883405E-2</v>
      </c>
      <c r="BJ71" s="460">
        <f t="shared" si="279"/>
        <v>117.87300486163254</v>
      </c>
      <c r="BK71">
        <f t="shared" si="212"/>
        <v>2.1026648319204884</v>
      </c>
      <c r="BL71" s="460">
        <f t="shared" si="280"/>
        <v>2102.6648319204883</v>
      </c>
      <c r="BM71" s="173">
        <f t="shared" si="213"/>
        <v>4.10025</v>
      </c>
      <c r="BN71" s="173">
        <f t="shared" si="214"/>
        <v>7.3218749999999999E-2</v>
      </c>
      <c r="BO71" s="528"/>
      <c r="BQ71" s="460">
        <f t="shared" si="281"/>
        <v>4173.46875</v>
      </c>
      <c r="BR71" s="528">
        <f t="shared" si="215"/>
        <v>0.55310663167903751</v>
      </c>
      <c r="BS71" s="528">
        <f t="shared" si="216"/>
        <v>2.0278909146275086</v>
      </c>
      <c r="BT71" s="528">
        <f t="shared" si="217"/>
        <v>2.0498980660629384E-4</v>
      </c>
      <c r="BU71" s="528">
        <f t="shared" si="218"/>
        <v>1.6918018558409385</v>
      </c>
      <c r="BV71" s="528">
        <f t="shared" si="219"/>
        <v>6.1656831617368786</v>
      </c>
      <c r="BW71" s="625">
        <f t="shared" si="220"/>
        <v>1.6506142606164041E-2</v>
      </c>
      <c r="BX71" s="460">
        <f t="shared" si="282"/>
        <v>6182.1893043430427</v>
      </c>
      <c r="BY71" s="173">
        <f t="shared" si="283"/>
        <v>12.458322886263531</v>
      </c>
      <c r="BZ71" s="5">
        <f t="shared" si="284"/>
        <v>100.32000000000001</v>
      </c>
      <c r="CA71" s="173">
        <f t="shared" si="285"/>
        <v>0.88953264627966055</v>
      </c>
      <c r="CB71" s="5">
        <f t="shared" si="286"/>
        <v>88.95326462796605</v>
      </c>
      <c r="CC71">
        <f t="shared" si="287"/>
        <v>66</v>
      </c>
      <c r="CE71" s="562">
        <f t="shared" si="221"/>
        <v>-50</v>
      </c>
      <c r="CF71">
        <f t="shared" si="222"/>
        <v>-50</v>
      </c>
      <c r="CG71" s="173">
        <f t="shared" si="223"/>
        <v>0.78697421981004079</v>
      </c>
      <c r="CH71" s="173">
        <f t="shared" si="224"/>
        <v>9.2345221451934009E-2</v>
      </c>
      <c r="CI71" s="170">
        <v>66</v>
      </c>
      <c r="CJ71" s="217">
        <f t="shared" si="133"/>
        <v>6.6000000000000005</v>
      </c>
      <c r="CK71" s="217">
        <f t="shared" si="288"/>
        <v>0.16500000000000001</v>
      </c>
      <c r="CL71" s="217">
        <f t="shared" si="225"/>
        <v>99.000000000000014</v>
      </c>
      <c r="CM71" s="217">
        <f t="shared" si="134"/>
        <v>1.32</v>
      </c>
      <c r="CN71" s="541">
        <f t="shared" si="289"/>
        <v>58</v>
      </c>
      <c r="CO71" s="443">
        <f t="shared" si="226"/>
        <v>15.7</v>
      </c>
      <c r="CP71" s="443">
        <f t="shared" si="227"/>
        <v>73.7</v>
      </c>
      <c r="CQ71" s="443"/>
      <c r="CR71" s="217">
        <f t="shared" si="228"/>
        <v>0.2098092643051771</v>
      </c>
      <c r="CS71" s="172">
        <f t="shared" si="290"/>
        <v>300.22049333142121</v>
      </c>
      <c r="CT71" s="172">
        <f t="shared" si="229"/>
        <v>4.0563124432334243</v>
      </c>
      <c r="CU71" s="217">
        <f t="shared" si="230"/>
        <v>20.014699555428081</v>
      </c>
      <c r="CV71" s="217">
        <f t="shared" si="231"/>
        <v>37.527561666427651</v>
      </c>
      <c r="CW71" s="443">
        <f t="shared" si="232"/>
        <v>15</v>
      </c>
      <c r="CX71" s="217">
        <f t="shared" si="233"/>
        <v>16.487881773399018</v>
      </c>
      <c r="CY71" s="217">
        <f t="shared" si="234"/>
        <v>3.4112858841515208</v>
      </c>
      <c r="CZ71" s="217">
        <f t="shared" si="235"/>
        <v>12.60220262934957</v>
      </c>
      <c r="DA71" s="197">
        <f t="shared" si="236"/>
        <v>102.962460425147</v>
      </c>
      <c r="DB71" s="443">
        <f t="shared" si="291"/>
        <v>62.447354875665759</v>
      </c>
      <c r="DD71" s="217">
        <f t="shared" si="237"/>
        <v>10</v>
      </c>
      <c r="DE71" s="173">
        <f t="shared" si="238"/>
        <v>7.6433121019108281</v>
      </c>
      <c r="DF71" s="173">
        <f t="shared" si="239"/>
        <v>3.9348710990502043</v>
      </c>
      <c r="DG71" s="173"/>
      <c r="DH71" s="173">
        <f t="shared" si="240"/>
        <v>7.6433121019108281</v>
      </c>
      <c r="DI71" s="545">
        <f t="shared" si="241"/>
        <v>172.70000000000002</v>
      </c>
      <c r="DJ71" s="528">
        <f t="shared" si="242"/>
        <v>3.9348710990502034</v>
      </c>
      <c r="DL71" s="173">
        <f t="shared" si="243"/>
        <v>6.9116878236382009</v>
      </c>
      <c r="DM71" s="173">
        <f t="shared" si="244"/>
        <v>16.487881773399018</v>
      </c>
      <c r="DN71" s="173">
        <f t="shared" si="245"/>
        <v>6.0058383506659396</v>
      </c>
      <c r="DP71" s="545">
        <f t="shared" si="246"/>
        <v>6600.0000000000009</v>
      </c>
      <c r="DQ71" s="460">
        <f t="shared" si="247"/>
        <v>62.447354875665759</v>
      </c>
      <c r="DS71">
        <f t="shared" si="292"/>
        <v>6600.0000000000009</v>
      </c>
      <c r="DT71">
        <f t="shared" si="248"/>
        <v>62.447354875665759</v>
      </c>
      <c r="DV71" s="5">
        <f t="shared" si="293"/>
        <v>16.013488513501091</v>
      </c>
      <c r="DW71" s="5">
        <f t="shared" si="249"/>
        <v>3.4112858841515208</v>
      </c>
      <c r="DX71" s="5">
        <f t="shared" si="294"/>
        <v>12.60220262934957</v>
      </c>
      <c r="DY71" s="173">
        <f t="shared" si="295"/>
        <v>0.21302578018995924</v>
      </c>
      <c r="EA71" s="5">
        <f t="shared" si="250"/>
        <v>150.09657890266692</v>
      </c>
      <c r="EB71" s="5">
        <f t="shared" si="251"/>
        <v>7.035777136062511</v>
      </c>
      <c r="EC71" s="5">
        <f t="shared" si="252"/>
        <v>7.4174676593674631</v>
      </c>
      <c r="ED71" s="5"/>
      <c r="EE71" s="173">
        <f t="shared" si="296"/>
        <v>4.3935980174013602</v>
      </c>
      <c r="EF71" s="173">
        <f t="shared" si="253"/>
        <v>8.4447051410542464</v>
      </c>
      <c r="EG71" s="173">
        <f t="shared" si="254"/>
        <v>0.2079715619051791</v>
      </c>
      <c r="EH71" s="173"/>
      <c r="EI71" s="528">
        <f t="shared" si="255"/>
        <v>0.38607407077026323</v>
      </c>
      <c r="EJ71" s="528">
        <f t="shared" si="256"/>
        <v>1.5176666666666663</v>
      </c>
      <c r="EK71" s="528">
        <f t="shared" si="257"/>
        <v>7.805919359458219E-3</v>
      </c>
      <c r="EL71" s="528">
        <f t="shared" si="258"/>
        <v>3.3919467300460499E-2</v>
      </c>
      <c r="EM71">
        <f t="shared" si="259"/>
        <v>2.6099999999999998E-2</v>
      </c>
      <c r="EN71" s="460">
        <f t="shared" si="297"/>
        <v>33.905919359458217</v>
      </c>
      <c r="EO71">
        <f t="shared" si="260"/>
        <v>2.2854535148744199</v>
      </c>
      <c r="EP71" s="460">
        <f t="shared" si="298"/>
        <v>2285.4535148744199</v>
      </c>
      <c r="EQ71" s="173">
        <f t="shared" si="261"/>
        <v>4.10025</v>
      </c>
      <c r="ER71" s="173">
        <f t="shared" si="262"/>
        <v>7.3218749999999999E-2</v>
      </c>
      <c r="ES71" s="528"/>
      <c r="EU71" s="460">
        <f t="shared" si="299"/>
        <v>4173.46875</v>
      </c>
      <c r="EV71" s="528">
        <f t="shared" si="263"/>
        <v>0.57911110615539485</v>
      </c>
      <c r="EW71" s="528">
        <f t="shared" si="300"/>
        <v>2.1393913475804403</v>
      </c>
      <c r="EX71" s="528">
        <f t="shared" si="264"/>
        <v>2.1626085280639873E-4</v>
      </c>
      <c r="EY71" s="528">
        <f t="shared" si="265"/>
        <v>1.7008549743586525</v>
      </c>
      <c r="EZ71" s="528">
        <f t="shared" si="266"/>
        <v>6.4818529807713974</v>
      </c>
      <c r="FA71" s="625">
        <f t="shared" si="267"/>
        <v>1.6976328745880988E-2</v>
      </c>
      <c r="FB71" s="460">
        <f t="shared" si="301"/>
        <v>6498.8293095172785</v>
      </c>
      <c r="FC71" s="173">
        <f t="shared" si="302"/>
        <v>12.957751574391699</v>
      </c>
      <c r="FD71" s="5">
        <f t="shared" si="303"/>
        <v>100.32000000000001</v>
      </c>
      <c r="FE71" s="173">
        <f t="shared" si="304"/>
        <v>0.88561079828741052</v>
      </c>
      <c r="FF71" s="5">
        <f t="shared" si="305"/>
        <v>88.561079828741057</v>
      </c>
      <c r="FG71">
        <f t="shared" si="306"/>
        <v>66</v>
      </c>
      <c r="FI71" s="562">
        <f t="shared" si="268"/>
        <v>-50</v>
      </c>
      <c r="FJ71">
        <f t="shared" si="269"/>
        <v>-50</v>
      </c>
      <c r="FL71">
        <f t="shared" si="270"/>
        <v>0.78697421981004079</v>
      </c>
    </row>
    <row r="72" spans="5:168">
      <c r="E72" s="170">
        <v>67</v>
      </c>
      <c r="F72" s="217">
        <f t="shared" ref="F72:F103" si="307">IF(PLOT_TYPE=1, E72/100*Iout_max, min_I*EXP(O72*rr/100))</f>
        <v>6.7</v>
      </c>
      <c r="G72" s="217">
        <f t="shared" si="271"/>
        <v>0.16750000000000001</v>
      </c>
      <c r="H72" s="217">
        <f t="shared" si="176"/>
        <v>100.5</v>
      </c>
      <c r="I72" s="217">
        <f t="shared" ref="I72:I105" si="308">Vout2*G72</f>
        <v>1.34</v>
      </c>
      <c r="J72" s="541">
        <f t="shared" si="177"/>
        <v>57.525218041858189</v>
      </c>
      <c r="K72" s="443">
        <f t="shared" si="178"/>
        <v>15.955408620689655</v>
      </c>
      <c r="L72" s="172">
        <f t="shared" si="179"/>
        <v>73.480626662547849</v>
      </c>
      <c r="M72" s="443"/>
      <c r="N72" s="217">
        <f t="shared" si="180"/>
        <v>0.21713762314471285</v>
      </c>
      <c r="O72" s="172">
        <f t="shared" si="272"/>
        <v>308.16338280815228</v>
      </c>
      <c r="P72" s="172">
        <f t="shared" si="181"/>
        <v>4.1636297054968132</v>
      </c>
      <c r="Q72" s="217">
        <f t="shared" si="182"/>
        <v>20.544225520543485</v>
      </c>
      <c r="R72" s="217">
        <f t="shared" si="183"/>
        <v>38.520422851019035</v>
      </c>
      <c r="S72" s="443">
        <f t="shared" si="184"/>
        <v>15</v>
      </c>
      <c r="T72" s="217">
        <f t="shared" si="185"/>
        <v>16.306285173174917</v>
      </c>
      <c r="U72" s="217">
        <f t="shared" si="186"/>
        <v>3.4015589812404694</v>
      </c>
      <c r="V72" s="217">
        <f t="shared" si="187"/>
        <v>12.26389287356535</v>
      </c>
      <c r="W72" s="197">
        <f t="shared" si="188"/>
        <v>104.09074263742035</v>
      </c>
      <c r="X72" s="443">
        <f t="shared" si="273"/>
        <v>63.030035901378319</v>
      </c>
      <c r="Z72" s="217">
        <f t="shared" si="189"/>
        <v>10</v>
      </c>
      <c r="AA72" s="173">
        <f t="shared" si="190"/>
        <v>7.5209606255018704</v>
      </c>
      <c r="AB72" s="173">
        <f t="shared" si="191"/>
        <v>3.9143118842764357</v>
      </c>
      <c r="AC72" s="173"/>
      <c r="AD72" s="173">
        <f t="shared" si="192"/>
        <v>7.5209606255018704</v>
      </c>
      <c r="AE72" s="545">
        <f t="shared" si="193"/>
        <v>178.16872959770114</v>
      </c>
      <c r="AF72" s="528">
        <f t="shared" si="194"/>
        <v>3.9143118842764362</v>
      </c>
      <c r="AH72" s="173">
        <f t="shared" si="195"/>
        <v>6.9638522453623395</v>
      </c>
      <c r="AI72" s="173">
        <f t="shared" si="196"/>
        <v>16.306285173174917</v>
      </c>
      <c r="AJ72" s="173">
        <f t="shared" si="197"/>
        <v>5.8713223504999386</v>
      </c>
      <c r="AL72" s="545">
        <f t="shared" si="198"/>
        <v>6700</v>
      </c>
      <c r="AM72" s="460">
        <f t="shared" si="199"/>
        <v>63.030035901378319</v>
      </c>
      <c r="AO72">
        <f t="shared" si="274"/>
        <v>6700</v>
      </c>
      <c r="AP72">
        <f t="shared" si="200"/>
        <v>63.030035901378319</v>
      </c>
      <c r="AR72" s="5">
        <f t="shared" si="275"/>
        <v>15.865451854805819</v>
      </c>
      <c r="AS72" s="5">
        <f t="shared" si="201"/>
        <v>3.4015589812404694</v>
      </c>
      <c r="AT72" s="5">
        <f t="shared" si="276"/>
        <v>12.463892873565349</v>
      </c>
      <c r="AU72" s="173">
        <f t="shared" si="277"/>
        <v>0.21440038470824263</v>
      </c>
      <c r="AW72" s="5">
        <f t="shared" si="202"/>
        <v>151.9363011620743</v>
      </c>
      <c r="AX72" s="5">
        <f t="shared" si="203"/>
        <v>7.1220141169722337</v>
      </c>
      <c r="AY72" s="5">
        <f t="shared" si="204"/>
        <v>7.5086783011609723</v>
      </c>
      <c r="AZ72" s="5"/>
      <c r="BA72" s="173">
        <f t="shared" si="278"/>
        <v>4.3592039258829001</v>
      </c>
      <c r="BB72" s="173">
        <f t="shared" si="205"/>
        <v>8.3443985113089578</v>
      </c>
      <c r="BC72" s="173">
        <f t="shared" si="206"/>
        <v>0.20550126529811868</v>
      </c>
      <c r="BD72" s="173"/>
      <c r="BE72" s="528">
        <f t="shared" si="207"/>
        <v>0.38005317734865779</v>
      </c>
      <c r="BF72" s="528">
        <f t="shared" si="208"/>
        <v>1.4160438795273251</v>
      </c>
      <c r="BG72" s="528">
        <f t="shared" si="209"/>
        <v>9.064541396032344E-2</v>
      </c>
      <c r="BH72" s="528">
        <f t="shared" si="210"/>
        <v>3.4032453308823978E-2</v>
      </c>
      <c r="BI72">
        <f t="shared" si="211"/>
        <v>2.5886348118836184E-2</v>
      </c>
      <c r="BJ72" s="460">
        <f t="shared" si="279"/>
        <v>116.53176207915962</v>
      </c>
      <c r="BK72">
        <f t="shared" si="212"/>
        <v>2.1245962592678151</v>
      </c>
      <c r="BL72" s="460">
        <f t="shared" si="280"/>
        <v>2124.5962592678152</v>
      </c>
      <c r="BM72" s="173">
        <f t="shared" si="213"/>
        <v>4.162374999999999</v>
      </c>
      <c r="BN72" s="173">
        <f t="shared" si="214"/>
        <v>7.4328124999999995E-2</v>
      </c>
      <c r="BO72" s="528"/>
      <c r="BQ72" s="460">
        <f t="shared" si="281"/>
        <v>4236.7031249999991</v>
      </c>
      <c r="BR72" s="528">
        <f t="shared" si="215"/>
        <v>0.5700797660229866</v>
      </c>
      <c r="BS72" s="528">
        <f t="shared" si="216"/>
        <v>2.0888695954660541</v>
      </c>
      <c r="BT72" s="528">
        <f t="shared" si="217"/>
        <v>2.111538501956388E-4</v>
      </c>
      <c r="BU72" s="528">
        <f t="shared" si="218"/>
        <v>1.6932710125217374</v>
      </c>
      <c r="BV72" s="528">
        <f t="shared" si="219"/>
        <v>6.3391823168661681</v>
      </c>
      <c r="BW72" s="625">
        <f t="shared" si="220"/>
        <v>1.6759367371460127E-2</v>
      </c>
      <c r="BX72" s="460">
        <f t="shared" si="282"/>
        <v>6355.9416842376277</v>
      </c>
      <c r="BY72" s="173">
        <f t="shared" si="283"/>
        <v>12.717241068505441</v>
      </c>
      <c r="BZ72" s="5">
        <f t="shared" si="284"/>
        <v>101.84</v>
      </c>
      <c r="CA72" s="173">
        <f t="shared" si="285"/>
        <v>0.88898788981047028</v>
      </c>
      <c r="CB72" s="5">
        <f t="shared" si="286"/>
        <v>88.898788981047034</v>
      </c>
      <c r="CC72">
        <f t="shared" si="287"/>
        <v>67</v>
      </c>
      <c r="CE72" s="562">
        <f t="shared" si="221"/>
        <v>-50</v>
      </c>
      <c r="CF72">
        <f t="shared" si="222"/>
        <v>-50</v>
      </c>
      <c r="CG72" s="173">
        <f t="shared" si="223"/>
        <v>0.78697421981004068</v>
      </c>
      <c r="CH72" s="173">
        <f t="shared" si="224"/>
        <v>9.2345221451934009E-2</v>
      </c>
      <c r="CI72" s="170">
        <v>67</v>
      </c>
      <c r="CJ72" s="217">
        <f t="shared" ref="CJ72:CJ105" si="309">IF(PLOT_TYPE=1, CI72/100*Iout_max, min_I*EXP(CS72*rr/100))</f>
        <v>6.7</v>
      </c>
      <c r="CK72" s="217">
        <f t="shared" si="288"/>
        <v>0.16750000000000001</v>
      </c>
      <c r="CL72" s="217">
        <f t="shared" si="225"/>
        <v>100.5</v>
      </c>
      <c r="CM72" s="217">
        <f t="shared" ref="CM72:CM105" si="310">Vout2*CK72</f>
        <v>1.34</v>
      </c>
      <c r="CN72" s="541">
        <f t="shared" si="289"/>
        <v>58</v>
      </c>
      <c r="CO72" s="443">
        <f t="shared" si="226"/>
        <v>15.7</v>
      </c>
      <c r="CP72" s="443">
        <f t="shared" si="227"/>
        <v>73.7</v>
      </c>
      <c r="CQ72" s="443"/>
      <c r="CR72" s="217">
        <f t="shared" si="228"/>
        <v>0.2098092643051771</v>
      </c>
      <c r="CS72" s="172">
        <f t="shared" si="290"/>
        <v>300.22049333142121</v>
      </c>
      <c r="CT72" s="172">
        <f t="shared" si="229"/>
        <v>4.0563124432334243</v>
      </c>
      <c r="CU72" s="217">
        <f t="shared" si="230"/>
        <v>20.014699555428081</v>
      </c>
      <c r="CV72" s="217">
        <f t="shared" si="231"/>
        <v>37.527561666427651</v>
      </c>
      <c r="CW72" s="443">
        <f t="shared" si="232"/>
        <v>15</v>
      </c>
      <c r="CX72" s="217">
        <f t="shared" si="233"/>
        <v>16.737698163905062</v>
      </c>
      <c r="CY72" s="217">
        <f t="shared" si="234"/>
        <v>3.4629720339113925</v>
      </c>
      <c r="CZ72" s="217">
        <f t="shared" si="235"/>
        <v>12.793145093430622</v>
      </c>
      <c r="DA72" s="197">
        <f t="shared" si="236"/>
        <v>102.962460425147</v>
      </c>
      <c r="DB72" s="443">
        <f t="shared" si="291"/>
        <v>61.515304802894633</v>
      </c>
      <c r="DD72" s="217">
        <f t="shared" si="237"/>
        <v>10</v>
      </c>
      <c r="DE72" s="173">
        <f t="shared" si="238"/>
        <v>7.6433121019108281</v>
      </c>
      <c r="DF72" s="173">
        <f t="shared" si="239"/>
        <v>3.9348710990502043</v>
      </c>
      <c r="DG72" s="173"/>
      <c r="DH72" s="173">
        <f t="shared" si="240"/>
        <v>7.6433121019108281</v>
      </c>
      <c r="DI72" s="545">
        <f t="shared" si="241"/>
        <v>175.31666666666669</v>
      </c>
      <c r="DJ72" s="528">
        <f t="shared" si="242"/>
        <v>3.9348710990502034</v>
      </c>
      <c r="DL72" s="173">
        <f t="shared" si="243"/>
        <v>6.9638522453623395</v>
      </c>
      <c r="DM72" s="173">
        <f t="shared" si="244"/>
        <v>16.737698163905062</v>
      </c>
      <c r="DN72" s="173">
        <f t="shared" si="245"/>
        <v>6.190887528818565</v>
      </c>
      <c r="DP72" s="545">
        <f t="shared" si="246"/>
        <v>6700</v>
      </c>
      <c r="DQ72" s="460">
        <f t="shared" si="247"/>
        <v>61.515304802894633</v>
      </c>
      <c r="DS72">
        <f t="shared" si="292"/>
        <v>6700</v>
      </c>
      <c r="DT72">
        <f t="shared" si="248"/>
        <v>61.515304802894633</v>
      </c>
      <c r="DV72" s="5">
        <f t="shared" si="293"/>
        <v>16.256117127342016</v>
      </c>
      <c r="DW72" s="5">
        <f t="shared" si="249"/>
        <v>3.4629720339113925</v>
      </c>
      <c r="DX72" s="5">
        <f t="shared" si="294"/>
        <v>12.793145093430624</v>
      </c>
      <c r="DY72" s="173">
        <f t="shared" si="295"/>
        <v>0.21302578018995927</v>
      </c>
      <c r="EA72" s="5">
        <f t="shared" si="250"/>
        <v>154.67941751470886</v>
      </c>
      <c r="EB72" s="5">
        <f t="shared" si="251"/>
        <v>7.2505976960019787</v>
      </c>
      <c r="EC72" s="5">
        <f t="shared" si="252"/>
        <v>7.6439422228880956</v>
      </c>
      <c r="ED72" s="5"/>
      <c r="EE72" s="173">
        <f t="shared" si="296"/>
        <v>4.460167684331684</v>
      </c>
      <c r="EF72" s="173">
        <f t="shared" si="253"/>
        <v>8.5726552189490057</v>
      </c>
      <c r="EG72" s="173">
        <f t="shared" si="254"/>
        <v>0.21112264617646967</v>
      </c>
      <c r="EH72" s="173"/>
      <c r="EI72" s="528">
        <f t="shared" si="255"/>
        <v>0.39786191544713312</v>
      </c>
      <c r="EJ72" s="528">
        <f t="shared" si="256"/>
        <v>1.5176666666666665</v>
      </c>
      <c r="EK72" s="528">
        <f t="shared" si="257"/>
        <v>7.6894131003618291E-3</v>
      </c>
      <c r="EL72" s="528">
        <f t="shared" si="258"/>
        <v>3.3413206594483477E-2</v>
      </c>
      <c r="EM72">
        <f t="shared" si="259"/>
        <v>2.6099999999999998E-2</v>
      </c>
      <c r="EN72" s="460">
        <f t="shared" si="297"/>
        <v>33.789413100361827</v>
      </c>
      <c r="EO72">
        <f t="shared" si="260"/>
        <v>2.3083685988444929</v>
      </c>
      <c r="EP72" s="460">
        <f t="shared" si="298"/>
        <v>2308.3685988444927</v>
      </c>
      <c r="EQ72" s="173">
        <f t="shared" si="261"/>
        <v>4.162374999999999</v>
      </c>
      <c r="ER72" s="173">
        <f t="shared" si="262"/>
        <v>7.4328124999999995E-2</v>
      </c>
      <c r="ES72" s="528"/>
      <c r="EU72" s="460">
        <f t="shared" si="299"/>
        <v>4236.7031249999991</v>
      </c>
      <c r="EV72" s="528">
        <f t="shared" si="263"/>
        <v>0.59679287317069962</v>
      </c>
      <c r="EW72" s="528">
        <f t="shared" si="300"/>
        <v>2.2047125250892088</v>
      </c>
      <c r="EX72" s="528">
        <f t="shared" si="264"/>
        <v>2.2286385864277403E-4</v>
      </c>
      <c r="EY72" s="528">
        <f t="shared" si="265"/>
        <v>1.7008549743586521</v>
      </c>
      <c r="EZ72" s="528">
        <f t="shared" si="266"/>
        <v>6.6700002836228451</v>
      </c>
      <c r="FA72" s="625">
        <f t="shared" si="267"/>
        <v>1.7233545848091305E-2</v>
      </c>
      <c r="FB72" s="460">
        <f t="shared" si="301"/>
        <v>6687.2338294709361</v>
      </c>
      <c r="FC72" s="173">
        <f t="shared" si="302"/>
        <v>13.232305553315429</v>
      </c>
      <c r="FD72" s="5">
        <f t="shared" si="303"/>
        <v>101.84</v>
      </c>
      <c r="FE72" s="173">
        <f t="shared" si="304"/>
        <v>0.88500877348647</v>
      </c>
      <c r="FF72" s="5">
        <f t="shared" si="305"/>
        <v>88.500877348646995</v>
      </c>
      <c r="FG72">
        <f t="shared" si="306"/>
        <v>67</v>
      </c>
      <c r="FI72" s="562">
        <f t="shared" si="268"/>
        <v>-50</v>
      </c>
      <c r="FJ72">
        <f t="shared" si="269"/>
        <v>-50</v>
      </c>
      <c r="FL72">
        <f t="shared" si="270"/>
        <v>0.78697421981004068</v>
      </c>
    </row>
    <row r="73" spans="5:168">
      <c r="E73" s="170">
        <v>68</v>
      </c>
      <c r="F73" s="217">
        <f t="shared" si="307"/>
        <v>6.8000000000000007</v>
      </c>
      <c r="G73" s="217">
        <f t="shared" si="271"/>
        <v>0.17</v>
      </c>
      <c r="H73" s="217">
        <f t="shared" si="176"/>
        <v>102.00000000000001</v>
      </c>
      <c r="I73" s="217">
        <f t="shared" si="308"/>
        <v>1.36</v>
      </c>
      <c r="J73" s="541">
        <f t="shared" si="177"/>
        <v>57.518131743975474</v>
      </c>
      <c r="K73" s="443">
        <f t="shared" si="178"/>
        <v>15.959220689655172</v>
      </c>
      <c r="L73" s="172">
        <f t="shared" si="179"/>
        <v>73.477352433630642</v>
      </c>
      <c r="M73" s="443"/>
      <c r="N73" s="217">
        <f t="shared" si="180"/>
        <v>0.21719917989792217</v>
      </c>
      <c r="O73" s="172">
        <f t="shared" si="272"/>
        <v>308.21277246839099</v>
      </c>
      <c r="P73" s="172">
        <f t="shared" si="181"/>
        <v>4.1642970146840392</v>
      </c>
      <c r="Q73" s="217">
        <f t="shared" si="182"/>
        <v>20.547518164559399</v>
      </c>
      <c r="R73" s="217">
        <f t="shared" si="183"/>
        <v>38.526596558548874</v>
      </c>
      <c r="S73" s="443">
        <f t="shared" si="184"/>
        <v>15</v>
      </c>
      <c r="T73" s="217">
        <f t="shared" si="185"/>
        <v>16.547010557529813</v>
      </c>
      <c r="U73" s="217">
        <f t="shared" si="186"/>
        <v>3.452200561280498</v>
      </c>
      <c r="V73" s="217">
        <f t="shared" si="187"/>
        <v>12.44196884996194</v>
      </c>
      <c r="W73" s="197">
        <f t="shared" si="188"/>
        <v>104.10742536710099</v>
      </c>
      <c r="X73" s="443">
        <f t="shared" si="273"/>
        <v>62.134303078819279</v>
      </c>
      <c r="Z73" s="217">
        <f t="shared" si="189"/>
        <v>10</v>
      </c>
      <c r="AA73" s="173">
        <f t="shared" si="190"/>
        <v>7.5191641455139759</v>
      </c>
      <c r="AB73" s="173">
        <f t="shared" si="191"/>
        <v>3.9140041005103896</v>
      </c>
      <c r="AC73" s="173"/>
      <c r="AD73" s="173">
        <f t="shared" si="192"/>
        <v>7.5191641455139759</v>
      </c>
      <c r="AE73" s="545">
        <f t="shared" si="193"/>
        <v>180.87116781609197</v>
      </c>
      <c r="AF73" s="528">
        <f t="shared" si="194"/>
        <v>3.9140041005103896</v>
      </c>
      <c r="AH73" s="173">
        <f t="shared" si="195"/>
        <v>7.0156288113787504</v>
      </c>
      <c r="AI73" s="173">
        <f t="shared" si="196"/>
        <v>16.547010557529813</v>
      </c>
      <c r="AJ73" s="173">
        <f t="shared" si="197"/>
        <v>6.0496374500220833</v>
      </c>
      <c r="AL73" s="545">
        <f t="shared" si="198"/>
        <v>6800.0000000000009</v>
      </c>
      <c r="AM73" s="460">
        <f t="shared" si="199"/>
        <v>62.134303078819279</v>
      </c>
      <c r="AO73">
        <f t="shared" si="274"/>
        <v>6800.0000000000009</v>
      </c>
      <c r="AP73">
        <f t="shared" si="200"/>
        <v>62.134303078819279</v>
      </c>
      <c r="AR73" s="5">
        <f t="shared" si="275"/>
        <v>16.094169411242436</v>
      </c>
      <c r="AS73" s="5">
        <f t="shared" si="201"/>
        <v>3.452200561280498</v>
      </c>
      <c r="AT73" s="5">
        <f t="shared" si="276"/>
        <v>12.641968849961938</v>
      </c>
      <c r="AU73" s="173">
        <f t="shared" si="277"/>
        <v>0.21450007596347248</v>
      </c>
      <c r="AW73" s="5">
        <f t="shared" si="202"/>
        <v>156.49975877804928</v>
      </c>
      <c r="AX73" s="5">
        <f t="shared" si="203"/>
        <v>7.3359261927210584</v>
      </c>
      <c r="AY73" s="5">
        <f t="shared" si="204"/>
        <v>7.7305807067865784</v>
      </c>
      <c r="AZ73" s="5"/>
      <c r="BA73" s="173">
        <f t="shared" si="278"/>
        <v>4.424586009784389</v>
      </c>
      <c r="BB73" s="173">
        <f t="shared" si="205"/>
        <v>8.4670473861329771</v>
      </c>
      <c r="BC73" s="173">
        <f t="shared" si="206"/>
        <v>0.20852179445064745</v>
      </c>
      <c r="BD73" s="173"/>
      <c r="BE73" s="528">
        <f t="shared" si="207"/>
        <v>0.39153922715959483</v>
      </c>
      <c r="BF73" s="528">
        <f t="shared" si="208"/>
        <v>1.4164646704398864</v>
      </c>
      <c r="BG73" s="528">
        <f t="shared" si="209"/>
        <v>8.9346225757690689E-2</v>
      </c>
      <c r="BH73" s="528">
        <f t="shared" si="210"/>
        <v>3.354582136363371E-2</v>
      </c>
      <c r="BI73">
        <f t="shared" si="211"/>
        <v>2.5883159284788963E-2</v>
      </c>
      <c r="BJ73" s="460">
        <f t="shared" si="279"/>
        <v>115.22938504247965</v>
      </c>
      <c r="BK73">
        <f t="shared" si="212"/>
        <v>2.1470001322394974</v>
      </c>
      <c r="BL73" s="460">
        <f t="shared" si="280"/>
        <v>2147.0001322394974</v>
      </c>
      <c r="BM73" s="173">
        <f t="shared" si="213"/>
        <v>4.2244999999999999</v>
      </c>
      <c r="BN73" s="173">
        <f t="shared" si="214"/>
        <v>7.5437500000000005E-2</v>
      </c>
      <c r="BO73" s="528"/>
      <c r="BQ73" s="460">
        <f t="shared" si="281"/>
        <v>4299.9374999999991</v>
      </c>
      <c r="BR73" s="528">
        <f t="shared" si="215"/>
        <v>0.58730884073939216</v>
      </c>
      <c r="BS73" s="528">
        <f t="shared" si="216"/>
        <v>2.1507267431706385</v>
      </c>
      <c r="BT73" s="528">
        <f t="shared" si="217"/>
        <v>2.1740669380459034E-4</v>
      </c>
      <c r="BU73" s="528">
        <f t="shared" si="218"/>
        <v>1.694718003239017</v>
      </c>
      <c r="BV73" s="528">
        <f t="shared" si="219"/>
        <v>6.5179825223500583</v>
      </c>
      <c r="BW73" s="625">
        <f t="shared" si="220"/>
        <v>1.7012593281125782E-2</v>
      </c>
      <c r="BX73" s="460">
        <f t="shared" si="282"/>
        <v>6534.9951156311845</v>
      </c>
      <c r="BY73" s="173">
        <f t="shared" si="283"/>
        <v>12.98193274787068</v>
      </c>
      <c r="BZ73" s="5">
        <f t="shared" si="284"/>
        <v>103.36000000000001</v>
      </c>
      <c r="CA73" s="173">
        <f t="shared" si="285"/>
        <v>0.88841570325289043</v>
      </c>
      <c r="CB73" s="5">
        <f t="shared" si="286"/>
        <v>88.841570325289041</v>
      </c>
      <c r="CC73">
        <f t="shared" si="287"/>
        <v>68</v>
      </c>
      <c r="CE73" s="562">
        <f t="shared" si="221"/>
        <v>-50</v>
      </c>
      <c r="CF73">
        <f t="shared" si="222"/>
        <v>-50</v>
      </c>
      <c r="CG73" s="173">
        <f t="shared" si="223"/>
        <v>0.78697421981004068</v>
      </c>
      <c r="CH73" s="173">
        <f t="shared" si="224"/>
        <v>9.2345221451934009E-2</v>
      </c>
      <c r="CI73" s="170">
        <v>68</v>
      </c>
      <c r="CJ73" s="217">
        <f t="shared" si="309"/>
        <v>6.8000000000000007</v>
      </c>
      <c r="CK73" s="217">
        <f t="shared" si="288"/>
        <v>0.17</v>
      </c>
      <c r="CL73" s="217">
        <f t="shared" si="225"/>
        <v>102.00000000000001</v>
      </c>
      <c r="CM73" s="217">
        <f t="shared" si="310"/>
        <v>1.36</v>
      </c>
      <c r="CN73" s="541">
        <f t="shared" si="289"/>
        <v>58</v>
      </c>
      <c r="CO73" s="443">
        <f t="shared" si="226"/>
        <v>15.7</v>
      </c>
      <c r="CP73" s="443">
        <f t="shared" si="227"/>
        <v>73.7</v>
      </c>
      <c r="CQ73" s="443"/>
      <c r="CR73" s="217">
        <f t="shared" si="228"/>
        <v>0.2098092643051771</v>
      </c>
      <c r="CS73" s="172">
        <f t="shared" si="290"/>
        <v>300.22049333142121</v>
      </c>
      <c r="CT73" s="172">
        <f t="shared" si="229"/>
        <v>4.0563124432334243</v>
      </c>
      <c r="CU73" s="217">
        <f t="shared" si="230"/>
        <v>20.014699555428081</v>
      </c>
      <c r="CV73" s="217">
        <f t="shared" si="231"/>
        <v>37.527561666427651</v>
      </c>
      <c r="CW73" s="443">
        <f t="shared" si="232"/>
        <v>15</v>
      </c>
      <c r="CX73" s="217">
        <f t="shared" si="233"/>
        <v>16.98751455441111</v>
      </c>
      <c r="CY73" s="217">
        <f t="shared" si="234"/>
        <v>3.5146581836712643</v>
      </c>
      <c r="CZ73" s="217">
        <f t="shared" si="235"/>
        <v>12.984087557511678</v>
      </c>
      <c r="DA73" s="197">
        <f t="shared" si="236"/>
        <v>102.962460425147</v>
      </c>
      <c r="DB73" s="443">
        <f t="shared" si="291"/>
        <v>60.610667967557937</v>
      </c>
      <c r="DD73" s="217">
        <f t="shared" si="237"/>
        <v>10</v>
      </c>
      <c r="DE73" s="173">
        <f t="shared" si="238"/>
        <v>7.6433121019108281</v>
      </c>
      <c r="DF73" s="173">
        <f t="shared" si="239"/>
        <v>3.9348710990502043</v>
      </c>
      <c r="DG73" s="173"/>
      <c r="DH73" s="173">
        <f t="shared" si="240"/>
        <v>7.6433121019108281</v>
      </c>
      <c r="DI73" s="545">
        <f t="shared" si="241"/>
        <v>177.93333333333337</v>
      </c>
      <c r="DJ73" s="528">
        <f t="shared" si="242"/>
        <v>3.9348710990502034</v>
      </c>
      <c r="DL73" s="173">
        <f t="shared" si="243"/>
        <v>7.0156288113787504</v>
      </c>
      <c r="DM73" s="173">
        <f t="shared" si="244"/>
        <v>16.98751455441111</v>
      </c>
      <c r="DN73" s="173">
        <f t="shared" si="245"/>
        <v>6.375936706971193</v>
      </c>
      <c r="DP73" s="545">
        <f t="shared" si="246"/>
        <v>6800.0000000000009</v>
      </c>
      <c r="DQ73" s="460">
        <f t="shared" si="247"/>
        <v>60.610667967557937</v>
      </c>
      <c r="DS73">
        <f t="shared" si="292"/>
        <v>6800.0000000000009</v>
      </c>
      <c r="DT73">
        <f t="shared" si="248"/>
        <v>60.610667967557937</v>
      </c>
      <c r="DV73" s="5">
        <f t="shared" si="293"/>
        <v>16.498745741182944</v>
      </c>
      <c r="DW73" s="5">
        <f t="shared" si="249"/>
        <v>3.5146581836712643</v>
      </c>
      <c r="DX73" s="5">
        <f t="shared" si="294"/>
        <v>12.98408755751168</v>
      </c>
      <c r="DY73" s="173">
        <f t="shared" si="295"/>
        <v>0.21302578018995927</v>
      </c>
      <c r="EA73" s="5">
        <f t="shared" si="250"/>
        <v>159.33117099309732</v>
      </c>
      <c r="EB73" s="5">
        <f t="shared" si="251"/>
        <v>7.4686486403014367</v>
      </c>
      <c r="EC73" s="5">
        <f t="shared" si="252"/>
        <v>7.8738224189428729</v>
      </c>
      <c r="ED73" s="5"/>
      <c r="EE73" s="173">
        <f t="shared" si="296"/>
        <v>4.5267373512620086</v>
      </c>
      <c r="EF73" s="173">
        <f t="shared" si="253"/>
        <v>8.7006052968437686</v>
      </c>
      <c r="EG73" s="173">
        <f t="shared" si="254"/>
        <v>0.2142737304477603</v>
      </c>
      <c r="EH73" s="173"/>
      <c r="EI73" s="528">
        <f t="shared" si="255"/>
        <v>0.40982702094621171</v>
      </c>
      <c r="EJ73" s="528">
        <f t="shared" si="256"/>
        <v>1.5176666666666663</v>
      </c>
      <c r="EK73" s="528">
        <f t="shared" si="257"/>
        <v>7.5763334959447412E-3</v>
      </c>
      <c r="EL73" s="528">
        <f t="shared" si="258"/>
        <v>3.2921835909270475E-2</v>
      </c>
      <c r="EM73">
        <f t="shared" si="259"/>
        <v>2.6099999999999998E-2</v>
      </c>
      <c r="EN73" s="460">
        <f t="shared" si="297"/>
        <v>33.676333495944739</v>
      </c>
      <c r="EO73">
        <f t="shared" si="260"/>
        <v>2.331804370481033</v>
      </c>
      <c r="EP73" s="460">
        <f t="shared" si="298"/>
        <v>2331.8043704810329</v>
      </c>
      <c r="EQ73" s="173">
        <f t="shared" si="261"/>
        <v>4.2244999999999999</v>
      </c>
      <c r="ER73" s="173">
        <f t="shared" si="262"/>
        <v>7.5437500000000005E-2</v>
      </c>
      <c r="ES73" s="528"/>
      <c r="EU73" s="460">
        <f t="shared" si="299"/>
        <v>4299.9374999999991</v>
      </c>
      <c r="EV73" s="528">
        <f t="shared" si="263"/>
        <v>0.6147405314193175</v>
      </c>
      <c r="EW73" s="528">
        <f t="shared" si="300"/>
        <v>2.2710159759439752</v>
      </c>
      <c r="EX73" s="528">
        <f t="shared" si="264"/>
        <v>2.2956615779999722E-4</v>
      </c>
      <c r="EY73" s="528">
        <f t="shared" si="265"/>
        <v>1.7008549743586505</v>
      </c>
      <c r="EZ73" s="528">
        <f t="shared" si="266"/>
        <v>6.8642995343808382</v>
      </c>
      <c r="FA73" s="625">
        <f t="shared" si="267"/>
        <v>1.7490762950301619E-2</v>
      </c>
      <c r="FB73" s="460">
        <f t="shared" si="301"/>
        <v>6881.7902973311402</v>
      </c>
      <c r="FC73" s="173">
        <f t="shared" si="302"/>
        <v>13.513532167812173</v>
      </c>
      <c r="FD73" s="5">
        <f t="shared" si="303"/>
        <v>103.36000000000001</v>
      </c>
      <c r="FE73" s="173">
        <f t="shared" si="304"/>
        <v>0.88437474321894505</v>
      </c>
      <c r="FF73" s="5">
        <f t="shared" si="305"/>
        <v>88.437474321894499</v>
      </c>
      <c r="FG73">
        <f t="shared" si="306"/>
        <v>68</v>
      </c>
      <c r="FI73" s="562">
        <f t="shared" si="268"/>
        <v>-50</v>
      </c>
      <c r="FJ73">
        <f t="shared" si="269"/>
        <v>-50</v>
      </c>
      <c r="FL73">
        <f t="shared" si="270"/>
        <v>0.78697421981004068</v>
      </c>
    </row>
    <row r="74" spans="5:168">
      <c r="E74" s="170">
        <v>69</v>
      </c>
      <c r="F74" s="217">
        <f t="shared" si="307"/>
        <v>6.8999999999999995</v>
      </c>
      <c r="G74" s="217">
        <f t="shared" si="271"/>
        <v>0.17249999999999999</v>
      </c>
      <c r="H74" s="217">
        <f t="shared" si="176"/>
        <v>103.49999999999999</v>
      </c>
      <c r="I74" s="217">
        <f t="shared" si="308"/>
        <v>1.38</v>
      </c>
      <c r="J74" s="541">
        <f t="shared" si="177"/>
        <v>57.511045446092758</v>
      </c>
      <c r="K74" s="443">
        <f t="shared" si="178"/>
        <v>15.963032758620688</v>
      </c>
      <c r="L74" s="172">
        <f t="shared" si="179"/>
        <v>73.47407820471345</v>
      </c>
      <c r="M74" s="443"/>
      <c r="N74" s="217">
        <f t="shared" si="180"/>
        <v>0.21726074213744462</v>
      </c>
      <c r="O74" s="172">
        <f t="shared" si="272"/>
        <v>308.26214838943469</v>
      </c>
      <c r="P74" s="172">
        <f t="shared" si="181"/>
        <v>4.1649641382394726</v>
      </c>
      <c r="Q74" s="217">
        <f t="shared" si="182"/>
        <v>20.55080989262898</v>
      </c>
      <c r="R74" s="217">
        <f t="shared" si="183"/>
        <v>38.532768548679336</v>
      </c>
      <c r="S74" s="443">
        <f t="shared" si="184"/>
        <v>15</v>
      </c>
      <c r="T74" s="217">
        <f t="shared" si="185"/>
        <v>16.787659552227289</v>
      </c>
      <c r="U74" s="217">
        <f t="shared" si="186"/>
        <v>3.5028386819286017</v>
      </c>
      <c r="V74" s="217">
        <f t="shared" si="187"/>
        <v>12.619902350193151</v>
      </c>
      <c r="W74" s="197">
        <f t="shared" si="188"/>
        <v>104.1241034559868</v>
      </c>
      <c r="X74" s="443">
        <f t="shared" si="273"/>
        <v>61.264220147344489</v>
      </c>
      <c r="Z74" s="217">
        <f t="shared" si="189"/>
        <v>10</v>
      </c>
      <c r="AA74" s="173">
        <f t="shared" si="190"/>
        <v>7.5173685235466996</v>
      </c>
      <c r="AB74" s="173">
        <f t="shared" si="191"/>
        <v>3.9136962893127762</v>
      </c>
      <c r="AC74" s="173"/>
      <c r="AD74" s="173">
        <f t="shared" si="192"/>
        <v>7.5173685235466996</v>
      </c>
      <c r="AE74" s="545">
        <f t="shared" si="193"/>
        <v>183.57487672413791</v>
      </c>
      <c r="AF74" s="528">
        <f t="shared" si="194"/>
        <v>3.9136962893127762</v>
      </c>
      <c r="AH74" s="173">
        <f t="shared" si="195"/>
        <v>7.0670260465670518</v>
      </c>
      <c r="AI74" s="173">
        <f t="shared" si="196"/>
        <v>16.787659552227289</v>
      </c>
      <c r="AJ74" s="173">
        <f t="shared" si="197"/>
        <v>6.2278959646128067</v>
      </c>
      <c r="AL74" s="545">
        <f t="shared" si="198"/>
        <v>6899.9999999999991</v>
      </c>
      <c r="AM74" s="460">
        <f t="shared" si="199"/>
        <v>61.264220147344489</v>
      </c>
      <c r="AO74">
        <f t="shared" si="274"/>
        <v>6899.9999999999991</v>
      </c>
      <c r="AP74">
        <f t="shared" si="200"/>
        <v>61.264220147344489</v>
      </c>
      <c r="AR74" s="5">
        <f t="shared" si="275"/>
        <v>16.322741032121751</v>
      </c>
      <c r="AS74" s="5">
        <f t="shared" si="201"/>
        <v>3.5028386819286017</v>
      </c>
      <c r="AT74" s="5">
        <f t="shared" si="276"/>
        <v>12.81990235019315</v>
      </c>
      <c r="AU74" s="173">
        <f t="shared" si="277"/>
        <v>0.21459868015030786</v>
      </c>
      <c r="AW74" s="5">
        <f t="shared" si="202"/>
        <v>161.13057936871567</v>
      </c>
      <c r="AX74" s="5">
        <f t="shared" si="203"/>
        <v>7.5529959079085467</v>
      </c>
      <c r="AY74" s="5">
        <f t="shared" si="204"/>
        <v>7.9556525302826895</v>
      </c>
      <c r="AZ74" s="5"/>
      <c r="BA74" s="173">
        <f t="shared" si="278"/>
        <v>4.4899659677368922</v>
      </c>
      <c r="BB74" s="173">
        <f t="shared" si="205"/>
        <v>8.5896474523537485</v>
      </c>
      <c r="BC74" s="173">
        <f t="shared" si="206"/>
        <v>0.21154112157169233</v>
      </c>
      <c r="BD74" s="173"/>
      <c r="BE74" s="528">
        <f t="shared" si="207"/>
        <v>0.40319588782870974</v>
      </c>
      <c r="BF74" s="528">
        <f t="shared" si="208"/>
        <v>1.4168780787037163</v>
      </c>
      <c r="BG74" s="528">
        <f t="shared" si="209"/>
        <v>8.8084233727834013E-2</v>
      </c>
      <c r="BH74" s="528">
        <f t="shared" si="210"/>
        <v>3.3073122690660116E-2</v>
      </c>
      <c r="BI74">
        <f t="shared" si="211"/>
        <v>2.5879970450741741E-2</v>
      </c>
      <c r="BJ74" s="460">
        <f t="shared" si="279"/>
        <v>113.96420417857576</v>
      </c>
      <c r="BK74">
        <f t="shared" si="212"/>
        <v>2.1698833811223652</v>
      </c>
      <c r="BL74" s="460">
        <f t="shared" si="280"/>
        <v>2169.8833811223653</v>
      </c>
      <c r="BM74" s="173">
        <f t="shared" si="213"/>
        <v>4.286624999999999</v>
      </c>
      <c r="BN74" s="173">
        <f t="shared" si="214"/>
        <v>7.6546874999999986E-2</v>
      </c>
      <c r="BO74" s="528"/>
      <c r="BQ74" s="460">
        <f t="shared" si="281"/>
        <v>4363.1718749999991</v>
      </c>
      <c r="BR74" s="528">
        <f t="shared" si="215"/>
        <v>0.60479383174306456</v>
      </c>
      <c r="BS74" s="528">
        <f t="shared" si="216"/>
        <v>2.2134613006718169</v>
      </c>
      <c r="BT74" s="528">
        <f t="shared" si="217"/>
        <v>2.2374823057904757E-4</v>
      </c>
      <c r="BU74" s="528">
        <f t="shared" si="218"/>
        <v>1.6961437701896118</v>
      </c>
      <c r="BV74" s="528">
        <f t="shared" si="219"/>
        <v>6.7022752909824597</v>
      </c>
      <c r="BW74" s="625">
        <f t="shared" si="220"/>
        <v>1.7265820286364881E-2</v>
      </c>
      <c r="BX74" s="460">
        <f t="shared" si="282"/>
        <v>6719.5411112688253</v>
      </c>
      <c r="BY74" s="173">
        <f t="shared" si="283"/>
        <v>13.252596367391188</v>
      </c>
      <c r="BZ74" s="5">
        <f t="shared" si="284"/>
        <v>104.87999999999998</v>
      </c>
      <c r="CA74" s="173">
        <f t="shared" si="285"/>
        <v>0.88781592232023965</v>
      </c>
      <c r="CB74" s="5">
        <f t="shared" si="286"/>
        <v>88.781592232023968</v>
      </c>
      <c r="CC74">
        <f t="shared" si="287"/>
        <v>69</v>
      </c>
      <c r="CE74" s="562">
        <f t="shared" si="221"/>
        <v>-50</v>
      </c>
      <c r="CF74">
        <f t="shared" si="222"/>
        <v>-50</v>
      </c>
      <c r="CG74" s="173">
        <f t="shared" si="223"/>
        <v>0.78697421981004068</v>
      </c>
      <c r="CH74" s="173">
        <f t="shared" si="224"/>
        <v>9.2345221451934023E-2</v>
      </c>
      <c r="CI74" s="170">
        <v>69</v>
      </c>
      <c r="CJ74" s="217">
        <f t="shared" si="309"/>
        <v>6.8999999999999995</v>
      </c>
      <c r="CK74" s="217">
        <f t="shared" si="288"/>
        <v>0.17249999999999999</v>
      </c>
      <c r="CL74" s="217">
        <f t="shared" si="225"/>
        <v>103.49999999999999</v>
      </c>
      <c r="CM74" s="217">
        <f t="shared" si="310"/>
        <v>1.38</v>
      </c>
      <c r="CN74" s="541">
        <f t="shared" si="289"/>
        <v>58</v>
      </c>
      <c r="CO74" s="443">
        <f t="shared" si="226"/>
        <v>15.7</v>
      </c>
      <c r="CP74" s="443">
        <f t="shared" si="227"/>
        <v>73.7</v>
      </c>
      <c r="CQ74" s="443"/>
      <c r="CR74" s="217">
        <f t="shared" si="228"/>
        <v>0.2098092643051771</v>
      </c>
      <c r="CS74" s="172">
        <f t="shared" si="290"/>
        <v>300.22049333142121</v>
      </c>
      <c r="CT74" s="172">
        <f t="shared" si="229"/>
        <v>4.0563124432334243</v>
      </c>
      <c r="CU74" s="217">
        <f t="shared" si="230"/>
        <v>20.014699555428081</v>
      </c>
      <c r="CV74" s="217">
        <f t="shared" si="231"/>
        <v>37.527561666427651</v>
      </c>
      <c r="CW74" s="443">
        <f t="shared" si="232"/>
        <v>15</v>
      </c>
      <c r="CX74" s="217">
        <f t="shared" si="233"/>
        <v>17.237330944917151</v>
      </c>
      <c r="CY74" s="217">
        <f t="shared" si="234"/>
        <v>3.5663443334311347</v>
      </c>
      <c r="CZ74" s="217">
        <f t="shared" si="235"/>
        <v>13.175030021592727</v>
      </c>
      <c r="DA74" s="197">
        <f t="shared" si="236"/>
        <v>102.962460425147</v>
      </c>
      <c r="DB74" s="443">
        <f t="shared" si="291"/>
        <v>59.732252489767276</v>
      </c>
      <c r="DD74" s="217">
        <f t="shared" si="237"/>
        <v>10</v>
      </c>
      <c r="DE74" s="173">
        <f t="shared" si="238"/>
        <v>7.6433121019108281</v>
      </c>
      <c r="DF74" s="173">
        <f t="shared" si="239"/>
        <v>3.9348710990502043</v>
      </c>
      <c r="DG74" s="173"/>
      <c r="DH74" s="173">
        <f t="shared" si="240"/>
        <v>7.6433121019108281</v>
      </c>
      <c r="DI74" s="545">
        <f t="shared" si="241"/>
        <v>180.55</v>
      </c>
      <c r="DJ74" s="528">
        <f t="shared" si="242"/>
        <v>3.9348710990502034</v>
      </c>
      <c r="DL74" s="173">
        <f t="shared" si="243"/>
        <v>7.0670260465670518</v>
      </c>
      <c r="DM74" s="173">
        <f t="shared" si="244"/>
        <v>17.237330944917151</v>
      </c>
      <c r="DN74" s="173">
        <f t="shared" si="245"/>
        <v>6.5609858851238156</v>
      </c>
      <c r="DP74" s="545">
        <f t="shared" si="246"/>
        <v>6899.9999999999991</v>
      </c>
      <c r="DQ74" s="460">
        <f t="shared" si="247"/>
        <v>59.732252489767276</v>
      </c>
      <c r="DS74">
        <f t="shared" si="292"/>
        <v>6899.9999999999991</v>
      </c>
      <c r="DT74">
        <f t="shared" si="248"/>
        <v>59.732252489767276</v>
      </c>
      <c r="DV74" s="5">
        <f t="shared" si="293"/>
        <v>16.741374355023861</v>
      </c>
      <c r="DW74" s="5">
        <f t="shared" si="249"/>
        <v>3.5663443334311347</v>
      </c>
      <c r="DX74" s="5">
        <f t="shared" si="294"/>
        <v>13.175030021592727</v>
      </c>
      <c r="DY74" s="173">
        <f t="shared" si="295"/>
        <v>0.2130257801899593</v>
      </c>
      <c r="EA74" s="5">
        <f t="shared" si="250"/>
        <v>164.05183933783218</v>
      </c>
      <c r="EB74" s="5">
        <f t="shared" si="251"/>
        <v>7.6899299689608833</v>
      </c>
      <c r="EC74" s="5">
        <f t="shared" si="252"/>
        <v>8.107108247531789</v>
      </c>
      <c r="ED74" s="5"/>
      <c r="EE74" s="173">
        <f t="shared" si="296"/>
        <v>4.5933070181923306</v>
      </c>
      <c r="EF74" s="173">
        <f t="shared" si="253"/>
        <v>8.8285553747385279</v>
      </c>
      <c r="EG74" s="173">
        <f t="shared" si="254"/>
        <v>0.21742481471905081</v>
      </c>
      <c r="EH74" s="173"/>
      <c r="EI74" s="528">
        <f t="shared" si="255"/>
        <v>0.42196938726749833</v>
      </c>
      <c r="EJ74" s="528">
        <f t="shared" si="256"/>
        <v>1.5176666666666669</v>
      </c>
      <c r="EK74" s="528">
        <f t="shared" si="257"/>
        <v>7.4665315612209094E-3</v>
      </c>
      <c r="EL74" s="528">
        <f t="shared" si="258"/>
        <v>3.2444707852614406E-2</v>
      </c>
      <c r="EM74">
        <f t="shared" si="259"/>
        <v>2.6099999999999998E-2</v>
      </c>
      <c r="EN74" s="460">
        <f t="shared" si="297"/>
        <v>33.566531561220906</v>
      </c>
      <c r="EO74">
        <f t="shared" si="260"/>
        <v>2.3557681714278047</v>
      </c>
      <c r="EP74" s="460">
        <f t="shared" si="298"/>
        <v>2355.7681714278046</v>
      </c>
      <c r="EQ74" s="173">
        <f t="shared" si="261"/>
        <v>4.286624999999999</v>
      </c>
      <c r="ER74" s="173">
        <f t="shared" si="262"/>
        <v>7.6546874999999986E-2</v>
      </c>
      <c r="ES74" s="528"/>
      <c r="EU74" s="460">
        <f t="shared" si="299"/>
        <v>4363.1718749999991</v>
      </c>
      <c r="EV74" s="528">
        <f t="shared" si="263"/>
        <v>0.6329540809012475</v>
      </c>
      <c r="EW74" s="528">
        <f t="shared" si="300"/>
        <v>2.3383017001447364</v>
      </c>
      <c r="EX74" s="528">
        <f t="shared" si="264"/>
        <v>2.3636775027806789E-4</v>
      </c>
      <c r="EY74" s="528">
        <f t="shared" si="265"/>
        <v>1.7008549743586521</v>
      </c>
      <c r="EZ74" s="528">
        <f t="shared" si="266"/>
        <v>7.0649902940806006</v>
      </c>
      <c r="FA74" s="625">
        <f t="shared" si="267"/>
        <v>1.7747980052511943E-2</v>
      </c>
      <c r="FB74" s="460">
        <f t="shared" si="301"/>
        <v>7082.738274133113</v>
      </c>
      <c r="FC74" s="173">
        <f t="shared" si="302"/>
        <v>13.801678320560917</v>
      </c>
      <c r="FD74" s="5">
        <f t="shared" si="303"/>
        <v>104.87999999999998</v>
      </c>
      <c r="FE74" s="173">
        <f t="shared" si="304"/>
        <v>0.88370843321508818</v>
      </c>
      <c r="FF74" s="5">
        <f t="shared" si="305"/>
        <v>88.370843321508815</v>
      </c>
      <c r="FG74">
        <f t="shared" si="306"/>
        <v>69</v>
      </c>
      <c r="FI74" s="562">
        <f t="shared" si="268"/>
        <v>-50</v>
      </c>
      <c r="FJ74">
        <f t="shared" si="269"/>
        <v>-50</v>
      </c>
      <c r="FL74">
        <f t="shared" si="270"/>
        <v>0.78697421981004068</v>
      </c>
    </row>
    <row r="75" spans="5:168">
      <c r="E75" s="170">
        <v>70</v>
      </c>
      <c r="F75" s="217">
        <f t="shared" si="307"/>
        <v>7</v>
      </c>
      <c r="G75" s="217">
        <f t="shared" si="271"/>
        <v>0.17499999999999999</v>
      </c>
      <c r="H75" s="217">
        <f t="shared" si="176"/>
        <v>105</v>
      </c>
      <c r="I75" s="217">
        <f t="shared" si="308"/>
        <v>1.4</v>
      </c>
      <c r="J75" s="541">
        <f t="shared" si="177"/>
        <v>57.503959148210043</v>
      </c>
      <c r="K75" s="443">
        <f t="shared" si="178"/>
        <v>15.966844827586206</v>
      </c>
      <c r="L75" s="172">
        <f t="shared" si="179"/>
        <v>73.470803975796244</v>
      </c>
      <c r="M75" s="443"/>
      <c r="N75" s="217">
        <f t="shared" si="180"/>
        <v>0.21732230986401377</v>
      </c>
      <c r="O75" s="172">
        <f t="shared" si="272"/>
        <v>308.31151056944634</v>
      </c>
      <c r="P75" s="172">
        <f t="shared" si="181"/>
        <v>4.1656310761382978</v>
      </c>
      <c r="Q75" s="217">
        <f t="shared" si="182"/>
        <v>20.554100704629757</v>
      </c>
      <c r="R75" s="217">
        <f t="shared" si="183"/>
        <v>38.538938821180793</v>
      </c>
      <c r="S75" s="443">
        <f t="shared" si="184"/>
        <v>15</v>
      </c>
      <c r="T75" s="217">
        <f t="shared" si="185"/>
        <v>17.028232226242007</v>
      </c>
      <c r="U75" s="217">
        <f t="shared" si="186"/>
        <v>3.5534733562995835</v>
      </c>
      <c r="V75" s="217">
        <f t="shared" si="187"/>
        <v>12.79769352814554</v>
      </c>
      <c r="W75" s="197">
        <f t="shared" si="188"/>
        <v>104.14077690345742</v>
      </c>
      <c r="X75" s="443">
        <f t="shared" si="273"/>
        <v>60.418700807119855</v>
      </c>
      <c r="Z75" s="217">
        <f t="shared" si="189"/>
        <v>10</v>
      </c>
      <c r="AA75" s="173">
        <f t="shared" si="190"/>
        <v>7.5155737589854841</v>
      </c>
      <c r="AB75" s="173">
        <f t="shared" si="191"/>
        <v>3.913388450679931</v>
      </c>
      <c r="AC75" s="173"/>
      <c r="AD75" s="173">
        <f t="shared" si="192"/>
        <v>7.5155737589854841</v>
      </c>
      <c r="AE75" s="545">
        <f t="shared" si="193"/>
        <v>186.27985632183908</v>
      </c>
      <c r="AF75" s="528">
        <f t="shared" si="194"/>
        <v>3.913388450679931</v>
      </c>
      <c r="AH75" s="173">
        <f t="shared" si="195"/>
        <v>7.1180521680208741</v>
      </c>
      <c r="AI75" s="173">
        <f t="shared" si="196"/>
        <v>17.028232226242007</v>
      </c>
      <c r="AJ75" s="173">
        <f t="shared" si="197"/>
        <v>6.4060979453644498</v>
      </c>
      <c r="AL75" s="545">
        <f t="shared" si="198"/>
        <v>7000</v>
      </c>
      <c r="AM75" s="460">
        <f t="shared" si="199"/>
        <v>60.418700807119855</v>
      </c>
      <c r="AO75">
        <f t="shared" si="274"/>
        <v>7000</v>
      </c>
      <c r="AP75">
        <f t="shared" si="200"/>
        <v>60.418700807119855</v>
      </c>
      <c r="AR75" s="5">
        <f t="shared" si="275"/>
        <v>16.551166884445124</v>
      </c>
      <c r="AS75" s="5">
        <f t="shared" si="201"/>
        <v>3.5534733562995835</v>
      </c>
      <c r="AT75" s="5">
        <f t="shared" si="276"/>
        <v>12.99769352814554</v>
      </c>
      <c r="AU75" s="173">
        <f t="shared" si="277"/>
        <v>0.21469624354033653</v>
      </c>
      <c r="AW75" s="5">
        <f t="shared" si="202"/>
        <v>165.82875662731388</v>
      </c>
      <c r="AX75" s="5">
        <f t="shared" si="203"/>
        <v>7.7732229669053385</v>
      </c>
      <c r="AY75" s="5">
        <f t="shared" si="204"/>
        <v>8.1838911955895934</v>
      </c>
      <c r="AZ75" s="5"/>
      <c r="BA75" s="173">
        <f t="shared" si="278"/>
        <v>4.5553438036353242</v>
      </c>
      <c r="BB75" s="173">
        <f t="shared" si="205"/>
        <v>8.7121987512313357</v>
      </c>
      <c r="BC75" s="173">
        <f t="shared" si="206"/>
        <v>0.21455924767738355</v>
      </c>
      <c r="BD75" s="173"/>
      <c r="BE75" s="528">
        <f t="shared" si="207"/>
        <v>0.41502314338637492</v>
      </c>
      <c r="BF75" s="528">
        <f t="shared" si="208"/>
        <v>1.4172844134078086</v>
      </c>
      <c r="BG75" s="528">
        <f t="shared" si="209"/>
        <v>8.6857862575013628E-2</v>
      </c>
      <c r="BH75" s="528">
        <f t="shared" si="210"/>
        <v>3.2613767201652162E-2</v>
      </c>
      <c r="BI75">
        <f t="shared" si="211"/>
        <v>2.587678161669452E-2</v>
      </c>
      <c r="BJ75" s="460">
        <f t="shared" si="279"/>
        <v>112.73464419170814</v>
      </c>
      <c r="BK75">
        <f t="shared" si="212"/>
        <v>2.1932531685531589</v>
      </c>
      <c r="BL75" s="460">
        <f t="shared" si="280"/>
        <v>2193.253168553159</v>
      </c>
      <c r="BM75" s="173">
        <f t="shared" si="213"/>
        <v>4.348749999999999</v>
      </c>
      <c r="BN75" s="173">
        <f t="shared" si="214"/>
        <v>7.7656249999999996E-2</v>
      </c>
      <c r="BO75" s="528"/>
      <c r="BQ75" s="460">
        <f t="shared" si="281"/>
        <v>4426.4062499999991</v>
      </c>
      <c r="BR75" s="528">
        <f t="shared" si="215"/>
        <v>0.62253471507956237</v>
      </c>
      <c r="BS75" s="528">
        <f t="shared" si="216"/>
        <v>2.2770722124287053</v>
      </c>
      <c r="BT75" s="528">
        <f t="shared" si="217"/>
        <v>2.3017835381942408E-4</v>
      </c>
      <c r="BU75" s="528">
        <f t="shared" si="218"/>
        <v>1.6975492028422619</v>
      </c>
      <c r="BV75" s="528">
        <f t="shared" si="219"/>
        <v>6.8922622361745214</v>
      </c>
      <c r="BW75" s="625">
        <f t="shared" si="220"/>
        <v>1.7519048341137416E-2</v>
      </c>
      <c r="BX75" s="460">
        <f t="shared" si="282"/>
        <v>6909.7812845156586</v>
      </c>
      <c r="BY75" s="173">
        <f t="shared" si="283"/>
        <v>13.529440703068817</v>
      </c>
      <c r="BZ75" s="5">
        <f t="shared" si="284"/>
        <v>106.4</v>
      </c>
      <c r="CA75" s="173">
        <f t="shared" si="285"/>
        <v>0.88718832820569793</v>
      </c>
      <c r="CB75" s="5">
        <f t="shared" si="286"/>
        <v>88.718832820569787</v>
      </c>
      <c r="CC75">
        <f t="shared" si="287"/>
        <v>70</v>
      </c>
      <c r="CE75" s="562">
        <f t="shared" si="221"/>
        <v>-50</v>
      </c>
      <c r="CF75">
        <f t="shared" si="222"/>
        <v>-50</v>
      </c>
      <c r="CG75" s="173">
        <f t="shared" si="223"/>
        <v>0.78697421981004068</v>
      </c>
      <c r="CH75" s="173">
        <f t="shared" si="224"/>
        <v>9.2345221451934009E-2</v>
      </c>
      <c r="CI75" s="170">
        <v>70</v>
      </c>
      <c r="CJ75" s="217">
        <f t="shared" si="309"/>
        <v>7</v>
      </c>
      <c r="CK75" s="217">
        <f t="shared" si="288"/>
        <v>0.17499999999999999</v>
      </c>
      <c r="CL75" s="217">
        <f t="shared" si="225"/>
        <v>105</v>
      </c>
      <c r="CM75" s="217">
        <f t="shared" si="310"/>
        <v>1.4</v>
      </c>
      <c r="CN75" s="541">
        <f t="shared" si="289"/>
        <v>58</v>
      </c>
      <c r="CO75" s="443">
        <f t="shared" si="226"/>
        <v>15.7</v>
      </c>
      <c r="CP75" s="443">
        <f t="shared" si="227"/>
        <v>73.7</v>
      </c>
      <c r="CQ75" s="443"/>
      <c r="CR75" s="217">
        <f t="shared" si="228"/>
        <v>0.2098092643051771</v>
      </c>
      <c r="CS75" s="172">
        <f t="shared" si="290"/>
        <v>300.22049333142121</v>
      </c>
      <c r="CT75" s="172">
        <f t="shared" si="229"/>
        <v>4.0563124432334243</v>
      </c>
      <c r="CU75" s="217">
        <f t="shared" si="230"/>
        <v>20.014699555428081</v>
      </c>
      <c r="CV75" s="217">
        <f t="shared" si="231"/>
        <v>37.527561666427651</v>
      </c>
      <c r="CW75" s="443">
        <f t="shared" si="232"/>
        <v>15</v>
      </c>
      <c r="CX75" s="217">
        <f t="shared" si="233"/>
        <v>17.487147335423199</v>
      </c>
      <c r="CY75" s="217">
        <f t="shared" si="234"/>
        <v>3.6180304831910064</v>
      </c>
      <c r="CZ75" s="217">
        <f t="shared" si="235"/>
        <v>13.365972485673783</v>
      </c>
      <c r="DA75" s="197">
        <f t="shared" si="236"/>
        <v>102.962460425147</v>
      </c>
      <c r="DB75" s="443">
        <f t="shared" si="291"/>
        <v>58.878934597056301</v>
      </c>
      <c r="DD75" s="217">
        <f t="shared" si="237"/>
        <v>10</v>
      </c>
      <c r="DE75" s="173">
        <f t="shared" si="238"/>
        <v>7.6433121019108281</v>
      </c>
      <c r="DF75" s="173">
        <f t="shared" si="239"/>
        <v>3.9348710990502043</v>
      </c>
      <c r="DG75" s="173"/>
      <c r="DH75" s="173">
        <f t="shared" si="240"/>
        <v>7.6433121019108281</v>
      </c>
      <c r="DI75" s="545">
        <f t="shared" si="241"/>
        <v>183.16666666666669</v>
      </c>
      <c r="DJ75" s="528">
        <f t="shared" si="242"/>
        <v>3.9348710990502034</v>
      </c>
      <c r="DL75" s="173">
        <f t="shared" si="243"/>
        <v>7.1180521680208741</v>
      </c>
      <c r="DM75" s="173">
        <f t="shared" si="244"/>
        <v>17.487147335423199</v>
      </c>
      <c r="DN75" s="173">
        <f t="shared" si="245"/>
        <v>6.7460350632764436</v>
      </c>
      <c r="DP75" s="545">
        <f t="shared" si="246"/>
        <v>7000</v>
      </c>
      <c r="DQ75" s="460">
        <f t="shared" si="247"/>
        <v>58.878934597056301</v>
      </c>
      <c r="DS75">
        <f t="shared" si="292"/>
        <v>7000</v>
      </c>
      <c r="DT75">
        <f t="shared" si="248"/>
        <v>58.878934597056301</v>
      </c>
      <c r="DV75" s="5">
        <f t="shared" si="293"/>
        <v>16.98400296886479</v>
      </c>
      <c r="DW75" s="5">
        <f t="shared" si="249"/>
        <v>3.6180304831910064</v>
      </c>
      <c r="DX75" s="5">
        <f t="shared" si="294"/>
        <v>13.365972485673783</v>
      </c>
      <c r="DY75" s="173">
        <f t="shared" si="295"/>
        <v>0.21302578018995927</v>
      </c>
      <c r="EA75" s="5">
        <f t="shared" si="250"/>
        <v>168.84142254891364</v>
      </c>
      <c r="EB75" s="5">
        <f t="shared" si="251"/>
        <v>7.9144416819803256</v>
      </c>
      <c r="EC75" s="5">
        <f t="shared" si="252"/>
        <v>8.3437997086548563</v>
      </c>
      <c r="ED75" s="5"/>
      <c r="EE75" s="173">
        <f t="shared" si="296"/>
        <v>4.6598766851226552</v>
      </c>
      <c r="EF75" s="173">
        <f t="shared" si="253"/>
        <v>8.9565054526332908</v>
      </c>
      <c r="EG75" s="173">
        <f t="shared" si="254"/>
        <v>0.22057589899034144</v>
      </c>
      <c r="EH75" s="173"/>
      <c r="EI75" s="528">
        <f t="shared" si="255"/>
        <v>0.43428901441099416</v>
      </c>
      <c r="EJ75" s="528">
        <f t="shared" si="256"/>
        <v>1.5176666666666665</v>
      </c>
      <c r="EK75" s="528">
        <f t="shared" si="257"/>
        <v>7.3598668246320368E-3</v>
      </c>
      <c r="EL75" s="528">
        <f t="shared" si="258"/>
        <v>3.1981212026148474E-2</v>
      </c>
      <c r="EM75">
        <f t="shared" si="259"/>
        <v>2.6099999999999998E-2</v>
      </c>
      <c r="EN75" s="460">
        <f t="shared" si="297"/>
        <v>33.459866824632037</v>
      </c>
      <c r="EO75">
        <f t="shared" si="260"/>
        <v>2.3802676366414643</v>
      </c>
      <c r="EP75" s="460">
        <f t="shared" si="298"/>
        <v>2380.2676366414644</v>
      </c>
      <c r="EQ75" s="173">
        <f t="shared" si="261"/>
        <v>4.348749999999999</v>
      </c>
      <c r="ER75" s="173">
        <f t="shared" si="262"/>
        <v>7.7656249999999996E-2</v>
      </c>
      <c r="ES75" s="528"/>
      <c r="EU75" s="460">
        <f t="shared" si="299"/>
        <v>4426.4062499999991</v>
      </c>
      <c r="EV75" s="528">
        <f t="shared" si="263"/>
        <v>0.65143352161649115</v>
      </c>
      <c r="EW75" s="528">
        <f t="shared" si="300"/>
        <v>2.4065696976914963</v>
      </c>
      <c r="EX75" s="528">
        <f t="shared" si="264"/>
        <v>2.4326863607698656E-4</v>
      </c>
      <c r="EY75" s="528">
        <f t="shared" si="265"/>
        <v>1.7008549743586536</v>
      </c>
      <c r="EZ75" s="528">
        <f t="shared" si="266"/>
        <v>7.272325808436058</v>
      </c>
      <c r="FA75" s="625">
        <f t="shared" si="267"/>
        <v>1.800519715472226E-2</v>
      </c>
      <c r="FB75" s="460">
        <f t="shared" si="301"/>
        <v>7290.3310055907805</v>
      </c>
      <c r="FC75" s="173">
        <f t="shared" si="302"/>
        <v>14.097004892232244</v>
      </c>
      <c r="FD75" s="5">
        <f t="shared" si="303"/>
        <v>106.4</v>
      </c>
      <c r="FE75" s="173">
        <f t="shared" si="304"/>
        <v>0.88300949965652631</v>
      </c>
      <c r="FF75" s="5">
        <f t="shared" si="305"/>
        <v>88.300949965652634</v>
      </c>
      <c r="FG75">
        <f t="shared" si="306"/>
        <v>70</v>
      </c>
      <c r="FI75" s="562">
        <f t="shared" si="268"/>
        <v>-50</v>
      </c>
      <c r="FJ75">
        <f t="shared" si="269"/>
        <v>-50</v>
      </c>
      <c r="FL75">
        <f t="shared" si="270"/>
        <v>0.78697421981004068</v>
      </c>
    </row>
    <row r="76" spans="5:168">
      <c r="E76" s="170">
        <v>71</v>
      </c>
      <c r="F76" s="217">
        <f t="shared" si="307"/>
        <v>7.1</v>
      </c>
      <c r="G76" s="217">
        <f t="shared" si="271"/>
        <v>0.17749999999999999</v>
      </c>
      <c r="H76" s="217">
        <f t="shared" si="176"/>
        <v>106.5</v>
      </c>
      <c r="I76" s="217">
        <f t="shared" si="308"/>
        <v>1.42</v>
      </c>
      <c r="J76" s="541">
        <f t="shared" si="177"/>
        <v>57.496872850327335</v>
      </c>
      <c r="K76" s="443">
        <f t="shared" si="178"/>
        <v>15.970656896551723</v>
      </c>
      <c r="L76" s="172">
        <f t="shared" si="179"/>
        <v>73.467529746879052</v>
      </c>
      <c r="M76" s="443"/>
      <c r="N76" s="217">
        <f t="shared" si="180"/>
        <v>0.21738388307836318</v>
      </c>
      <c r="O76" s="172">
        <f t="shared" si="272"/>
        <v>308.3608590065889</v>
      </c>
      <c r="P76" s="172">
        <f t="shared" si="181"/>
        <v>4.1662978283556908</v>
      </c>
      <c r="Q76" s="217">
        <f t="shared" si="182"/>
        <v>20.557390600439259</v>
      </c>
      <c r="R76" s="217">
        <f t="shared" si="183"/>
        <v>38.545107375823612</v>
      </c>
      <c r="S76" s="443">
        <f t="shared" si="184"/>
        <v>15</v>
      </c>
      <c r="T76" s="217">
        <f t="shared" si="185"/>
        <v>17.26872864848978</v>
      </c>
      <c r="U76" s="217">
        <f t="shared" si="186"/>
        <v>3.6041045975024293</v>
      </c>
      <c r="V76" s="217">
        <f t="shared" si="187"/>
        <v>12.975342537514528</v>
      </c>
      <c r="W76" s="197">
        <f t="shared" si="188"/>
        <v>104.15744570889225</v>
      </c>
      <c r="X76" s="443">
        <f t="shared" si="273"/>
        <v>59.596719245481239</v>
      </c>
      <c r="Z76" s="217">
        <f t="shared" si="189"/>
        <v>10</v>
      </c>
      <c r="AA76" s="173">
        <f t="shared" si="190"/>
        <v>7.5137798512163636</v>
      </c>
      <c r="AB76" s="173">
        <f t="shared" si="191"/>
        <v>3.9130805846081849</v>
      </c>
      <c r="AC76" s="173"/>
      <c r="AD76" s="173">
        <f t="shared" si="192"/>
        <v>7.5137798512163636</v>
      </c>
      <c r="AE76" s="545">
        <f t="shared" si="193"/>
        <v>188.98610660919539</v>
      </c>
      <c r="AF76" s="528">
        <f t="shared" si="194"/>
        <v>3.9130805846081849</v>
      </c>
      <c r="AH76" s="173">
        <f t="shared" si="195"/>
        <v>7.1687151003841816</v>
      </c>
      <c r="AI76" s="173">
        <f t="shared" si="196"/>
        <v>17.26872864848978</v>
      </c>
      <c r="AJ76" s="173">
        <f t="shared" si="197"/>
        <v>6.5842434433257635</v>
      </c>
      <c r="AL76" s="545">
        <f t="shared" si="198"/>
        <v>7100</v>
      </c>
      <c r="AM76" s="460">
        <f t="shared" si="199"/>
        <v>59.596719245481239</v>
      </c>
      <c r="AO76">
        <f t="shared" si="274"/>
        <v>7100</v>
      </c>
      <c r="AP76">
        <f t="shared" si="200"/>
        <v>59.596719245481239</v>
      </c>
      <c r="AR76" s="5">
        <f t="shared" si="275"/>
        <v>16.779447135016955</v>
      </c>
      <c r="AS76" s="5">
        <f t="shared" si="201"/>
        <v>3.6041045975024293</v>
      </c>
      <c r="AT76" s="5">
        <f t="shared" si="276"/>
        <v>13.175342537514526</v>
      </c>
      <c r="AU76" s="173">
        <f t="shared" si="277"/>
        <v>0.21479280982870044</v>
      </c>
      <c r="AW76" s="5">
        <f t="shared" si="202"/>
        <v>170.59428428178165</v>
      </c>
      <c r="AX76" s="5">
        <f t="shared" si="203"/>
        <v>7.996607075708515</v>
      </c>
      <c r="AY76" s="5">
        <f t="shared" si="204"/>
        <v>8.4152941307929687</v>
      </c>
      <c r="AZ76" s="5"/>
      <c r="BA76" s="173">
        <f t="shared" si="278"/>
        <v>4.6207195216228651</v>
      </c>
      <c r="BB76" s="173">
        <f t="shared" si="205"/>
        <v>8.8347013238073835</v>
      </c>
      <c r="BC76" s="173">
        <f t="shared" si="206"/>
        <v>0.21757617377847208</v>
      </c>
      <c r="BD76" s="173"/>
      <c r="BE76" s="528">
        <f t="shared" si="207"/>
        <v>0.42702097795013283</v>
      </c>
      <c r="BF76" s="528">
        <f t="shared" si="208"/>
        <v>1.4176839664305148</v>
      </c>
      <c r="BG76" s="528">
        <f t="shared" si="209"/>
        <v>8.5665624718852265E-2</v>
      </c>
      <c r="BH76" s="528">
        <f t="shared" si="210"/>
        <v>3.2167197665557076E-2</v>
      </c>
      <c r="BI76">
        <f t="shared" si="211"/>
        <v>2.5873592782647302E-2</v>
      </c>
      <c r="BJ76" s="460">
        <f t="shared" si="279"/>
        <v>111.53921750149956</v>
      </c>
      <c r="BK76">
        <f t="shared" si="212"/>
        <v>2.2171168950102622</v>
      </c>
      <c r="BL76" s="460">
        <f t="shared" si="280"/>
        <v>2217.1168950102624</v>
      </c>
      <c r="BM76" s="173">
        <f t="shared" si="213"/>
        <v>4.4108749999999999</v>
      </c>
      <c r="BN76" s="173">
        <f t="shared" si="214"/>
        <v>7.8765624999999992E-2</v>
      </c>
      <c r="BO76" s="528"/>
      <c r="BQ76" s="460">
        <f t="shared" si="281"/>
        <v>4489.640625</v>
      </c>
      <c r="BR76" s="528">
        <f t="shared" si="215"/>
        <v>0.64053146692519913</v>
      </c>
      <c r="BS76" s="528">
        <f t="shared" si="216"/>
        <v>2.341558424426518</v>
      </c>
      <c r="BT76" s="528">
        <f t="shared" si="217"/>
        <v>2.3669695698039941E-4</v>
      </c>
      <c r="BU76" s="528">
        <f t="shared" si="218"/>
        <v>1.6989351415743905</v>
      </c>
      <c r="BV76" s="528">
        <f t="shared" si="219"/>
        <v>7.0881557362112178</v>
      </c>
      <c r="BW76" s="625">
        <f t="shared" si="220"/>
        <v>1.7772277401967594E-2</v>
      </c>
      <c r="BX76" s="460">
        <f t="shared" si="282"/>
        <v>7105.9280136131856</v>
      </c>
      <c r="BY76" s="173">
        <f t="shared" si="283"/>
        <v>13.812685533623448</v>
      </c>
      <c r="BZ76" s="5">
        <f t="shared" si="284"/>
        <v>107.92</v>
      </c>
      <c r="CA76" s="173">
        <f t="shared" si="285"/>
        <v>0.88653264755415018</v>
      </c>
      <c r="CB76" s="5">
        <f t="shared" si="286"/>
        <v>88.653264755415023</v>
      </c>
      <c r="CC76">
        <f t="shared" si="287"/>
        <v>71</v>
      </c>
      <c r="CE76" s="562">
        <f t="shared" si="221"/>
        <v>-50</v>
      </c>
      <c r="CF76">
        <f t="shared" si="222"/>
        <v>-50</v>
      </c>
      <c r="CG76" s="173">
        <f t="shared" si="223"/>
        <v>0.78697421981004068</v>
      </c>
      <c r="CH76" s="173">
        <f t="shared" si="224"/>
        <v>9.2345221451934009E-2</v>
      </c>
      <c r="CI76" s="170">
        <v>71</v>
      </c>
      <c r="CJ76" s="217">
        <f t="shared" si="309"/>
        <v>7.1</v>
      </c>
      <c r="CK76" s="217">
        <f t="shared" si="288"/>
        <v>0.17749999999999999</v>
      </c>
      <c r="CL76" s="217">
        <f t="shared" si="225"/>
        <v>106.5</v>
      </c>
      <c r="CM76" s="217">
        <f t="shared" si="310"/>
        <v>1.42</v>
      </c>
      <c r="CN76" s="541">
        <f t="shared" si="289"/>
        <v>58</v>
      </c>
      <c r="CO76" s="443">
        <f t="shared" si="226"/>
        <v>15.7</v>
      </c>
      <c r="CP76" s="443">
        <f t="shared" si="227"/>
        <v>73.7</v>
      </c>
      <c r="CQ76" s="443"/>
      <c r="CR76" s="217">
        <f t="shared" si="228"/>
        <v>0.2098092643051771</v>
      </c>
      <c r="CS76" s="172">
        <f t="shared" si="290"/>
        <v>300.22049333142121</v>
      </c>
      <c r="CT76" s="172">
        <f t="shared" si="229"/>
        <v>4.0563124432334243</v>
      </c>
      <c r="CU76" s="217">
        <f t="shared" si="230"/>
        <v>20.014699555428081</v>
      </c>
      <c r="CV76" s="217">
        <f t="shared" si="231"/>
        <v>37.527561666427651</v>
      </c>
      <c r="CW76" s="443">
        <f t="shared" si="232"/>
        <v>15</v>
      </c>
      <c r="CX76" s="217">
        <f t="shared" si="233"/>
        <v>17.736963725929243</v>
      </c>
      <c r="CY76" s="217">
        <f t="shared" si="234"/>
        <v>3.6697166329508781</v>
      </c>
      <c r="CZ76" s="217">
        <f t="shared" si="235"/>
        <v>13.556914949754837</v>
      </c>
      <c r="DA76" s="197">
        <f t="shared" si="236"/>
        <v>102.962460425147</v>
      </c>
      <c r="DB76" s="443">
        <f t="shared" si="291"/>
        <v>58.049653828083677</v>
      </c>
      <c r="DD76" s="217">
        <f t="shared" si="237"/>
        <v>10</v>
      </c>
      <c r="DE76" s="173">
        <f t="shared" si="238"/>
        <v>7.6433121019108281</v>
      </c>
      <c r="DF76" s="173">
        <f t="shared" si="239"/>
        <v>3.9348710990502043</v>
      </c>
      <c r="DG76" s="173"/>
      <c r="DH76" s="173">
        <f t="shared" si="240"/>
        <v>7.6433121019108281</v>
      </c>
      <c r="DI76" s="545">
        <f t="shared" si="241"/>
        <v>185.78333333333333</v>
      </c>
      <c r="DJ76" s="528">
        <f t="shared" si="242"/>
        <v>3.9348710990502034</v>
      </c>
      <c r="DL76" s="173">
        <f t="shared" si="243"/>
        <v>7.1687151003841816</v>
      </c>
      <c r="DM76" s="173">
        <f t="shared" si="244"/>
        <v>17.736963725929243</v>
      </c>
      <c r="DN76" s="173">
        <f t="shared" si="245"/>
        <v>6.9310842414290699</v>
      </c>
      <c r="DP76" s="545">
        <f t="shared" si="246"/>
        <v>7100</v>
      </c>
      <c r="DQ76" s="460">
        <f t="shared" si="247"/>
        <v>58.049653828083677</v>
      </c>
      <c r="DS76">
        <f t="shared" si="292"/>
        <v>7100</v>
      </c>
      <c r="DT76">
        <f t="shared" si="248"/>
        <v>58.049653828083677</v>
      </c>
      <c r="DV76" s="5">
        <f t="shared" si="293"/>
        <v>17.226631582705718</v>
      </c>
      <c r="DW76" s="5">
        <f t="shared" si="249"/>
        <v>3.6697166329508781</v>
      </c>
      <c r="DX76" s="5">
        <f t="shared" si="294"/>
        <v>13.556914949754839</v>
      </c>
      <c r="DY76" s="173">
        <f t="shared" si="295"/>
        <v>0.21302578018995927</v>
      </c>
      <c r="EA76" s="5">
        <f t="shared" si="250"/>
        <v>173.69992062634157</v>
      </c>
      <c r="EB76" s="5">
        <f t="shared" si="251"/>
        <v>8.14218377935976</v>
      </c>
      <c r="EC76" s="5">
        <f t="shared" si="252"/>
        <v>8.5838968023120703</v>
      </c>
      <c r="ED76" s="5"/>
      <c r="EE76" s="173">
        <f t="shared" si="296"/>
        <v>4.726446352052978</v>
      </c>
      <c r="EF76" s="173">
        <f t="shared" si="253"/>
        <v>9.0844555305280501</v>
      </c>
      <c r="EG76" s="173">
        <f t="shared" si="254"/>
        <v>0.22372698326163198</v>
      </c>
      <c r="EH76" s="173"/>
      <c r="EI76" s="528">
        <f t="shared" si="255"/>
        <v>0.44678590237669807</v>
      </c>
      <c r="EJ76" s="528">
        <f t="shared" si="256"/>
        <v>1.5176666666666665</v>
      </c>
      <c r="EK76" s="528">
        <f t="shared" si="257"/>
        <v>7.2562067285104588E-3</v>
      </c>
      <c r="EL76" s="528">
        <f t="shared" si="258"/>
        <v>3.1530772420146382E-2</v>
      </c>
      <c r="EM76">
        <f t="shared" si="259"/>
        <v>2.6099999999999998E-2</v>
      </c>
      <c r="EN76" s="460">
        <f t="shared" si="297"/>
        <v>33.356206728510458</v>
      </c>
      <c r="EO76">
        <f t="shared" si="260"/>
        <v>2.4053106991373192</v>
      </c>
      <c r="EP76" s="460">
        <f t="shared" si="298"/>
        <v>2405.3106991373193</v>
      </c>
      <c r="EQ76" s="173">
        <f t="shared" si="261"/>
        <v>4.4108749999999999</v>
      </c>
      <c r="ER76" s="173">
        <f t="shared" si="262"/>
        <v>7.8765624999999992E-2</v>
      </c>
      <c r="ES76" s="528"/>
      <c r="EU76" s="460">
        <f t="shared" si="299"/>
        <v>4489.640625</v>
      </c>
      <c r="EV76" s="528">
        <f t="shared" si="263"/>
        <v>0.67017885356504714</v>
      </c>
      <c r="EW76" s="528">
        <f t="shared" si="300"/>
        <v>2.4758199685842501</v>
      </c>
      <c r="EX76" s="528">
        <f t="shared" si="264"/>
        <v>2.5026881519675282E-4</v>
      </c>
      <c r="EY76" s="528">
        <f t="shared" si="265"/>
        <v>1.7008549743586505</v>
      </c>
      <c r="EZ76" s="528">
        <f t="shared" si="266"/>
        <v>7.4865739712811683</v>
      </c>
      <c r="FA76" s="625">
        <f t="shared" si="267"/>
        <v>1.8262414256932577E-2</v>
      </c>
      <c r="FB76" s="460">
        <f t="shared" si="301"/>
        <v>7504.8363855381012</v>
      </c>
      <c r="FC76" s="173">
        <f t="shared" si="302"/>
        <v>14.399787709675421</v>
      </c>
      <c r="FD76" s="5">
        <f t="shared" si="303"/>
        <v>107.92</v>
      </c>
      <c r="FE76" s="173">
        <f t="shared" si="304"/>
        <v>0.88227752860515796</v>
      </c>
      <c r="FF76" s="5">
        <f t="shared" si="305"/>
        <v>88.227752860515793</v>
      </c>
      <c r="FG76">
        <f t="shared" si="306"/>
        <v>71</v>
      </c>
      <c r="FI76" s="562">
        <f t="shared" si="268"/>
        <v>-50</v>
      </c>
      <c r="FJ76">
        <f t="shared" si="269"/>
        <v>-50</v>
      </c>
      <c r="FL76">
        <f t="shared" si="270"/>
        <v>0.78697421981004068</v>
      </c>
    </row>
    <row r="77" spans="5:168">
      <c r="E77" s="170">
        <v>72</v>
      </c>
      <c r="F77" s="217">
        <f t="shared" si="307"/>
        <v>7.1999999999999993</v>
      </c>
      <c r="G77" s="217">
        <f t="shared" si="271"/>
        <v>0.18</v>
      </c>
      <c r="H77" s="217">
        <f t="shared" si="176"/>
        <v>107.99999999999999</v>
      </c>
      <c r="I77" s="217">
        <f t="shared" si="308"/>
        <v>1.44</v>
      </c>
      <c r="J77" s="541">
        <f t="shared" si="177"/>
        <v>57.48978655244462</v>
      </c>
      <c r="K77" s="443">
        <f t="shared" si="178"/>
        <v>15.974468965517241</v>
      </c>
      <c r="L77" s="172">
        <f t="shared" si="179"/>
        <v>73.46425551796186</v>
      </c>
      <c r="M77" s="443"/>
      <c r="N77" s="217">
        <f t="shared" si="180"/>
        <v>0.21744546178122659</v>
      </c>
      <c r="O77" s="172">
        <f t="shared" si="272"/>
        <v>308.41019369902477</v>
      </c>
      <c r="P77" s="172">
        <f t="shared" si="181"/>
        <v>4.1669643948668247</v>
      </c>
      <c r="Q77" s="217">
        <f t="shared" si="182"/>
        <v>20.560679579934984</v>
      </c>
      <c r="R77" s="217">
        <f t="shared" si="183"/>
        <v>38.551274212378097</v>
      </c>
      <c r="S77" s="443">
        <f t="shared" si="184"/>
        <v>15</v>
      </c>
      <c r="T77" s="217">
        <f t="shared" si="185"/>
        <v>17.509148887827681</v>
      </c>
      <c r="U77" s="217">
        <f t="shared" si="186"/>
        <v>3.6547324186403287</v>
      </c>
      <c r="V77" s="217">
        <f t="shared" si="187"/>
        <v>13.152849531804701</v>
      </c>
      <c r="W77" s="197">
        <f t="shared" si="188"/>
        <v>104.17410987167059</v>
      </c>
      <c r="X77" s="443">
        <f t="shared" si="273"/>
        <v>58.797305984689579</v>
      </c>
      <c r="Z77" s="217">
        <f t="shared" si="189"/>
        <v>10</v>
      </c>
      <c r="AA77" s="173">
        <f t="shared" si="190"/>
        <v>7.5119867996259551</v>
      </c>
      <c r="AB77" s="173">
        <f t="shared" si="191"/>
        <v>3.9127726910938674</v>
      </c>
      <c r="AC77" s="173"/>
      <c r="AD77" s="173">
        <f t="shared" si="192"/>
        <v>7.5119867996259551</v>
      </c>
      <c r="AE77" s="545">
        <f t="shared" si="193"/>
        <v>191.69362758620684</v>
      </c>
      <c r="AF77" s="528">
        <f t="shared" si="194"/>
        <v>3.9127726910938669</v>
      </c>
      <c r="AH77" s="173">
        <f t="shared" si="195"/>
        <v>7.21902249021886</v>
      </c>
      <c r="AI77" s="173">
        <f t="shared" si="196"/>
        <v>17.509148887827681</v>
      </c>
      <c r="AJ77" s="173">
        <f t="shared" si="197"/>
        <v>6.7623325095019862</v>
      </c>
      <c r="AL77" s="545">
        <f t="shared" si="198"/>
        <v>7199.9999999999991</v>
      </c>
      <c r="AM77" s="460">
        <f t="shared" si="199"/>
        <v>58.797305984689579</v>
      </c>
      <c r="AO77">
        <f t="shared" si="274"/>
        <v>7199.9999999999991</v>
      </c>
      <c r="AP77">
        <f t="shared" si="200"/>
        <v>58.797305984689579</v>
      </c>
      <c r="AR77" s="5">
        <f t="shared" si="275"/>
        <v>17.007581950445029</v>
      </c>
      <c r="AS77" s="5">
        <f t="shared" si="201"/>
        <v>3.6547324186403287</v>
      </c>
      <c r="AT77" s="5">
        <f t="shared" si="276"/>
        <v>13.352849531804701</v>
      </c>
      <c r="AU77" s="173">
        <f t="shared" si="277"/>
        <v>0.21488842031096003</v>
      </c>
      <c r="AW77" s="5">
        <f t="shared" si="202"/>
        <v>175.42715609473575</v>
      </c>
      <c r="AX77" s="5">
        <f t="shared" si="203"/>
        <v>8.2231479419407396</v>
      </c>
      <c r="AY77" s="5">
        <f t="shared" si="204"/>
        <v>8.6498587681180652</v>
      </c>
      <c r="AZ77" s="5"/>
      <c r="BA77" s="173">
        <f t="shared" si="278"/>
        <v>4.6860931260736889</v>
      </c>
      <c r="BB77" s="173">
        <f t="shared" si="205"/>
        <v>8.9571552109177333</v>
      </c>
      <c r="BC77" s="173">
        <f t="shared" si="206"/>
        <v>0.22059190088064068</v>
      </c>
      <c r="BD77" s="173"/>
      <c r="BE77" s="528">
        <f t="shared" si="207"/>
        <v>0.43918937572470157</v>
      </c>
      <c r="BF77" s="528">
        <f t="shared" si="208"/>
        <v>1.4180770136209961</v>
      </c>
      <c r="BG77" s="528">
        <f t="shared" si="209"/>
        <v>8.4506114272964464E-2</v>
      </c>
      <c r="BH77" s="528">
        <f t="shared" si="210"/>
        <v>3.1732887452981931E-2</v>
      </c>
      <c r="BI77">
        <f t="shared" si="211"/>
        <v>2.5870403948600077E-2</v>
      </c>
      <c r="BJ77" s="460">
        <f t="shared" si="279"/>
        <v>110.37651822156454</v>
      </c>
      <c r="BK77">
        <f t="shared" si="212"/>
        <v>2.2414822046767422</v>
      </c>
      <c r="BL77" s="460">
        <f t="shared" si="280"/>
        <v>2241.4822046767422</v>
      </c>
      <c r="BM77" s="173">
        <f t="shared" si="213"/>
        <v>4.472999999999999</v>
      </c>
      <c r="BN77" s="173">
        <f t="shared" si="214"/>
        <v>7.9874999999999988E-2</v>
      </c>
      <c r="BO77" s="528"/>
      <c r="BQ77" s="460">
        <f t="shared" si="281"/>
        <v>4552.8749999999991</v>
      </c>
      <c r="BR77" s="528">
        <f t="shared" si="215"/>
        <v>0.65878406358705233</v>
      </c>
      <c r="BS77" s="528">
        <f t="shared" si="216"/>
        <v>2.4069188841741207</v>
      </c>
      <c r="BT77" s="528">
        <f t="shared" si="217"/>
        <v>2.4330393367067202E-4</v>
      </c>
      <c r="BU77" s="528">
        <f t="shared" si="218"/>
        <v>1.700302381012063</v>
      </c>
      <c r="BV77" s="528">
        <f t="shared" si="219"/>
        <v>7.2901796511681498</v>
      </c>
      <c r="BW77" s="625">
        <f t="shared" si="220"/>
        <v>1.8025507427767856E-2</v>
      </c>
      <c r="BX77" s="460">
        <f t="shared" si="282"/>
        <v>7308.205158595918</v>
      </c>
      <c r="BY77" s="173">
        <f t="shared" si="283"/>
        <v>14.102562363272659</v>
      </c>
      <c r="BZ77" s="5">
        <f t="shared" si="284"/>
        <v>109.43999999999998</v>
      </c>
      <c r="CA77" s="173">
        <f t="shared" si="285"/>
        <v>0.88584855216290115</v>
      </c>
      <c r="CB77" s="5">
        <f t="shared" si="286"/>
        <v>88.584855216290109</v>
      </c>
      <c r="CC77">
        <f t="shared" si="287"/>
        <v>72</v>
      </c>
      <c r="CE77" s="562">
        <f t="shared" si="221"/>
        <v>-50</v>
      </c>
      <c r="CF77">
        <f t="shared" si="222"/>
        <v>-50</v>
      </c>
      <c r="CG77" s="173">
        <f t="shared" si="223"/>
        <v>0.78697421981004068</v>
      </c>
      <c r="CH77" s="173">
        <f t="shared" si="224"/>
        <v>9.2345221451934023E-2</v>
      </c>
      <c r="CI77" s="170">
        <v>72</v>
      </c>
      <c r="CJ77" s="217">
        <f t="shared" si="309"/>
        <v>7.1999999999999993</v>
      </c>
      <c r="CK77" s="217">
        <f t="shared" si="288"/>
        <v>0.18</v>
      </c>
      <c r="CL77" s="217">
        <f t="shared" si="225"/>
        <v>107.99999999999999</v>
      </c>
      <c r="CM77" s="217">
        <f t="shared" si="310"/>
        <v>1.44</v>
      </c>
      <c r="CN77" s="541">
        <f t="shared" si="289"/>
        <v>58</v>
      </c>
      <c r="CO77" s="443">
        <f t="shared" si="226"/>
        <v>15.7</v>
      </c>
      <c r="CP77" s="443">
        <f t="shared" si="227"/>
        <v>73.7</v>
      </c>
      <c r="CQ77" s="443"/>
      <c r="CR77" s="217">
        <f t="shared" si="228"/>
        <v>0.2098092643051771</v>
      </c>
      <c r="CS77" s="172">
        <f t="shared" si="290"/>
        <v>300.22049333142121</v>
      </c>
      <c r="CT77" s="172">
        <f t="shared" si="229"/>
        <v>4.0563124432334243</v>
      </c>
      <c r="CU77" s="217">
        <f t="shared" si="230"/>
        <v>20.014699555428081</v>
      </c>
      <c r="CV77" s="217">
        <f t="shared" si="231"/>
        <v>37.527561666427651</v>
      </c>
      <c r="CW77" s="443">
        <f t="shared" si="232"/>
        <v>15</v>
      </c>
      <c r="CX77" s="217">
        <f t="shared" si="233"/>
        <v>17.986780116435288</v>
      </c>
      <c r="CY77" s="217">
        <f t="shared" si="234"/>
        <v>3.7214027827107494</v>
      </c>
      <c r="CZ77" s="217">
        <f t="shared" si="235"/>
        <v>13.74785741383589</v>
      </c>
      <c r="DA77" s="197">
        <f t="shared" si="236"/>
        <v>102.962460425147</v>
      </c>
      <c r="DB77" s="443">
        <f t="shared" si="291"/>
        <v>57.24340863602697</v>
      </c>
      <c r="DD77" s="217">
        <f t="shared" si="237"/>
        <v>10</v>
      </c>
      <c r="DE77" s="173">
        <f t="shared" si="238"/>
        <v>7.6433121019108281</v>
      </c>
      <c r="DF77" s="173">
        <f t="shared" si="239"/>
        <v>3.9348710990502043</v>
      </c>
      <c r="DG77" s="173"/>
      <c r="DH77" s="173">
        <f t="shared" si="240"/>
        <v>7.6433121019108281</v>
      </c>
      <c r="DI77" s="545">
        <f t="shared" si="241"/>
        <v>188.4</v>
      </c>
      <c r="DJ77" s="528">
        <f t="shared" si="242"/>
        <v>3.9348710990502034</v>
      </c>
      <c r="DL77" s="173">
        <f t="shared" si="243"/>
        <v>7.21902249021886</v>
      </c>
      <c r="DM77" s="173">
        <f t="shared" si="244"/>
        <v>17.986780116435288</v>
      </c>
      <c r="DN77" s="173">
        <f t="shared" si="245"/>
        <v>7.1161334195816943</v>
      </c>
      <c r="DP77" s="545">
        <f t="shared" si="246"/>
        <v>7199.9999999999991</v>
      </c>
      <c r="DQ77" s="460">
        <f t="shared" si="247"/>
        <v>57.24340863602697</v>
      </c>
      <c r="DS77">
        <f t="shared" si="292"/>
        <v>7199.9999999999991</v>
      </c>
      <c r="DT77">
        <f t="shared" si="248"/>
        <v>57.24340863602697</v>
      </c>
      <c r="DV77" s="5">
        <f t="shared" si="293"/>
        <v>17.469260196546635</v>
      </c>
      <c r="DW77" s="5">
        <f t="shared" si="249"/>
        <v>3.7214027827107494</v>
      </c>
      <c r="DX77" s="5">
        <f t="shared" si="294"/>
        <v>13.747857413835886</v>
      </c>
      <c r="DY77" s="173">
        <f t="shared" si="295"/>
        <v>0.21302578018995935</v>
      </c>
      <c r="EA77" s="5">
        <f t="shared" si="250"/>
        <v>178.62733357011595</v>
      </c>
      <c r="EB77" s="5">
        <f t="shared" si="251"/>
        <v>8.3731562610991865</v>
      </c>
      <c r="EC77" s="5">
        <f t="shared" si="252"/>
        <v>8.8273995285034204</v>
      </c>
      <c r="ED77" s="5"/>
      <c r="EE77" s="173">
        <f t="shared" si="296"/>
        <v>4.7930160189833027</v>
      </c>
      <c r="EF77" s="173">
        <f t="shared" si="253"/>
        <v>9.2124056084228112</v>
      </c>
      <c r="EG77" s="173">
        <f t="shared" si="254"/>
        <v>0.22687806753292261</v>
      </c>
      <c r="EH77" s="173"/>
      <c r="EI77" s="528">
        <f t="shared" si="255"/>
        <v>0.45946005116461097</v>
      </c>
      <c r="EJ77" s="528">
        <f t="shared" si="256"/>
        <v>1.5176666666666665</v>
      </c>
      <c r="EK77" s="528">
        <f t="shared" si="257"/>
        <v>7.1554260795033712E-3</v>
      </c>
      <c r="EL77" s="528">
        <f t="shared" si="258"/>
        <v>3.1092845025422134E-2</v>
      </c>
      <c r="EM77">
        <f t="shared" si="259"/>
        <v>2.6099999999999998E-2</v>
      </c>
      <c r="EN77" s="460">
        <f t="shared" si="297"/>
        <v>33.255426079503366</v>
      </c>
      <c r="EO77">
        <f t="shared" si="260"/>
        <v>2.4309055953391492</v>
      </c>
      <c r="EP77" s="460">
        <f t="shared" si="298"/>
        <v>2430.9055953391494</v>
      </c>
      <c r="EQ77" s="173">
        <f t="shared" si="261"/>
        <v>4.472999999999999</v>
      </c>
      <c r="ER77" s="173">
        <f t="shared" si="262"/>
        <v>7.9874999999999988E-2</v>
      </c>
      <c r="ES77" s="528"/>
      <c r="EU77" s="460">
        <f t="shared" si="299"/>
        <v>4552.8749999999991</v>
      </c>
      <c r="EV77" s="528">
        <f t="shared" si="263"/>
        <v>0.68919007674691635</v>
      </c>
      <c r="EW77" s="528">
        <f t="shared" si="300"/>
        <v>2.5460525128230018</v>
      </c>
      <c r="EX77" s="528">
        <f t="shared" si="264"/>
        <v>2.5736828763736695E-4</v>
      </c>
      <c r="EY77" s="528">
        <f t="shared" si="265"/>
        <v>1.7008549743586505</v>
      </c>
      <c r="EZ77" s="528">
        <f t="shared" si="266"/>
        <v>7.7080183713573858</v>
      </c>
      <c r="FA77" s="625">
        <f t="shared" si="267"/>
        <v>1.8519631359142894E-2</v>
      </c>
      <c r="FB77" s="460">
        <f t="shared" si="301"/>
        <v>7726.5380027165293</v>
      </c>
      <c r="FC77" s="173">
        <f t="shared" si="302"/>
        <v>14.710318598055677</v>
      </c>
      <c r="FD77" s="5">
        <f t="shared" si="303"/>
        <v>109.43999999999998</v>
      </c>
      <c r="FE77" s="173">
        <f t="shared" si="304"/>
        <v>0.88151203505420517</v>
      </c>
      <c r="FF77" s="5">
        <f t="shared" si="305"/>
        <v>88.151203505420511</v>
      </c>
      <c r="FG77">
        <f t="shared" si="306"/>
        <v>72</v>
      </c>
      <c r="FI77" s="562">
        <f t="shared" si="268"/>
        <v>-50</v>
      </c>
      <c r="FJ77">
        <f t="shared" si="269"/>
        <v>-50</v>
      </c>
      <c r="FL77">
        <f t="shared" si="270"/>
        <v>0.78697421981004068</v>
      </c>
    </row>
    <row r="78" spans="5:168">
      <c r="E78" s="170">
        <v>73</v>
      </c>
      <c r="F78" s="217">
        <f t="shared" si="307"/>
        <v>7.3</v>
      </c>
      <c r="G78" s="217">
        <f t="shared" si="271"/>
        <v>0.1825</v>
      </c>
      <c r="H78" s="217">
        <f t="shared" si="176"/>
        <v>109.5</v>
      </c>
      <c r="I78" s="217">
        <f t="shared" si="308"/>
        <v>1.46</v>
      </c>
      <c r="J78" s="541">
        <f t="shared" si="177"/>
        <v>57.482700254561905</v>
      </c>
      <c r="K78" s="443">
        <f t="shared" si="178"/>
        <v>15.978281034482759</v>
      </c>
      <c r="L78" s="172">
        <f t="shared" si="179"/>
        <v>73.460981289044668</v>
      </c>
      <c r="M78" s="443"/>
      <c r="N78" s="217">
        <f t="shared" si="180"/>
        <v>0.21750704597333798</v>
      </c>
      <c r="O78" s="172">
        <f t="shared" si="272"/>
        <v>308.45951464491617</v>
      </c>
      <c r="P78" s="172">
        <f t="shared" si="181"/>
        <v>4.1676307756468676</v>
      </c>
      <c r="Q78" s="217">
        <f t="shared" si="182"/>
        <v>20.56396764299441</v>
      </c>
      <c r="R78" s="217">
        <f t="shared" si="183"/>
        <v>38.557439330614521</v>
      </c>
      <c r="S78" s="443">
        <f t="shared" si="184"/>
        <v>15</v>
      </c>
      <c r="T78" s="217">
        <f t="shared" si="185"/>
        <v>17.749493013054103</v>
      </c>
      <c r="U78" s="217">
        <f t="shared" si="186"/>
        <v>3.705356832810681</v>
      </c>
      <c r="V78" s="217">
        <f t="shared" si="187"/>
        <v>13.330214664330079</v>
      </c>
      <c r="W78" s="197">
        <f t="shared" si="188"/>
        <v>104.19076939117168</v>
      </c>
      <c r="X78" s="443">
        <f t="shared" si="273"/>
        <v>58.019544067099368</v>
      </c>
      <c r="Z78" s="217">
        <f t="shared" si="189"/>
        <v>10</v>
      </c>
      <c r="AA78" s="173">
        <f t="shared" si="190"/>
        <v>7.5101946036014615</v>
      </c>
      <c r="AB78" s="173">
        <f t="shared" si="191"/>
        <v>3.9124647701333091</v>
      </c>
      <c r="AC78" s="173"/>
      <c r="AD78" s="173">
        <f t="shared" si="192"/>
        <v>7.5101946036014615</v>
      </c>
      <c r="AE78" s="545">
        <f t="shared" si="193"/>
        <v>194.40241925287356</v>
      </c>
      <c r="AF78" s="528">
        <f t="shared" si="194"/>
        <v>3.9124647701333095</v>
      </c>
      <c r="AH78" s="173">
        <f t="shared" si="195"/>
        <v>7.2689817194773045</v>
      </c>
      <c r="AI78" s="173">
        <f t="shared" si="196"/>
        <v>17.749493013054103</v>
      </c>
      <c r="AJ78" s="173">
        <f t="shared" si="197"/>
        <v>6.9403651948548912</v>
      </c>
      <c r="AL78" s="545">
        <f t="shared" si="198"/>
        <v>7300</v>
      </c>
      <c r="AM78" s="460">
        <f t="shared" si="199"/>
        <v>58.019544067099368</v>
      </c>
      <c r="AO78">
        <f t="shared" si="274"/>
        <v>7300</v>
      </c>
      <c r="AP78">
        <f t="shared" si="200"/>
        <v>58.019544067099368</v>
      </c>
      <c r="AR78" s="5">
        <f t="shared" si="275"/>
        <v>17.235571497140757</v>
      </c>
      <c r="AS78" s="5">
        <f t="shared" si="201"/>
        <v>3.705356832810681</v>
      </c>
      <c r="AT78" s="5">
        <f t="shared" si="276"/>
        <v>13.530214664330076</v>
      </c>
      <c r="AU78" s="173">
        <f t="shared" si="277"/>
        <v>0.21498311404558706</v>
      </c>
      <c r="AW78" s="5">
        <f t="shared" si="202"/>
        <v>180.32736586345314</v>
      </c>
      <c r="AX78" s="5">
        <f t="shared" si="203"/>
        <v>8.4528452748493663</v>
      </c>
      <c r="AY78" s="5">
        <f t="shared" si="204"/>
        <v>8.8875825439238145</v>
      </c>
      <c r="AZ78" s="5"/>
      <c r="BA78" s="173">
        <f t="shared" si="278"/>
        <v>4.7514646215770702</v>
      </c>
      <c r="BB78" s="173">
        <f t="shared" si="205"/>
        <v>9.0795604532040493</v>
      </c>
      <c r="BC78" s="173">
        <f t="shared" si="206"/>
        <v>0.22360642998478997</v>
      </c>
      <c r="BD78" s="173"/>
      <c r="BE78" s="528">
        <f t="shared" si="207"/>
        <v>0.4515283210019706</v>
      </c>
      <c r="BF78" s="528">
        <f t="shared" si="208"/>
        <v>1.4184638158846758</v>
      </c>
      <c r="BG78" s="528">
        <f t="shared" si="209"/>
        <v>8.3378001512885463E-2</v>
      </c>
      <c r="BH78" s="528">
        <f t="shared" si="210"/>
        <v>3.131033846394133E-2</v>
      </c>
      <c r="BI78">
        <f t="shared" si="211"/>
        <v>2.5867215114552856E-2</v>
      </c>
      <c r="BJ78" s="460">
        <f t="shared" si="279"/>
        <v>109.24521662743831</v>
      </c>
      <c r="BK78">
        <f t="shared" si="212"/>
        <v>2.2663569916781818</v>
      </c>
      <c r="BL78" s="460">
        <f t="shared" si="280"/>
        <v>2266.3569916781817</v>
      </c>
      <c r="BM78" s="173">
        <f t="shared" si="213"/>
        <v>4.535124999999999</v>
      </c>
      <c r="BN78" s="173">
        <f t="shared" si="214"/>
        <v>8.0984374999999997E-2</v>
      </c>
      <c r="BO78" s="528"/>
      <c r="BQ78" s="460">
        <f t="shared" si="281"/>
        <v>4616.1093749999991</v>
      </c>
      <c r="BR78" s="528">
        <f t="shared" si="215"/>
        <v>0.67729248150295585</v>
      </c>
      <c r="BS78" s="528">
        <f t="shared" si="216"/>
        <v>2.4731525407016073</v>
      </c>
      <c r="BT78" s="528">
        <f t="shared" si="217"/>
        <v>2.4999917765271387E-4</v>
      </c>
      <c r="BU78" s="528">
        <f t="shared" si="218"/>
        <v>1.7016516731008917</v>
      </c>
      <c r="BV78" s="528">
        <f t="shared" si="219"/>
        <v>7.4985700975122258</v>
      </c>
      <c r="BW78" s="625">
        <f t="shared" si="220"/>
        <v>1.8278738379677157E-2</v>
      </c>
      <c r="BX78" s="460">
        <f t="shared" si="282"/>
        <v>7516.848835891903</v>
      </c>
      <c r="BY78" s="173">
        <f t="shared" si="283"/>
        <v>14.399315202570083</v>
      </c>
      <c r="BZ78" s="5">
        <f t="shared" si="284"/>
        <v>110.96</v>
      </c>
      <c r="CA78" s="173">
        <f t="shared" si="285"/>
        <v>0.88513565841276332</v>
      </c>
      <c r="CB78" s="5">
        <f t="shared" si="286"/>
        <v>88.513565841276332</v>
      </c>
      <c r="CC78">
        <f t="shared" si="287"/>
        <v>73</v>
      </c>
      <c r="CE78" s="562">
        <f t="shared" si="221"/>
        <v>-50</v>
      </c>
      <c r="CF78">
        <f t="shared" si="222"/>
        <v>-50</v>
      </c>
      <c r="CG78" s="173">
        <f t="shared" si="223"/>
        <v>0.78697421981004068</v>
      </c>
      <c r="CH78" s="173">
        <f t="shared" si="224"/>
        <v>9.2345221451934009E-2</v>
      </c>
      <c r="CI78" s="170">
        <v>73</v>
      </c>
      <c r="CJ78" s="217">
        <f t="shared" si="309"/>
        <v>7.3</v>
      </c>
      <c r="CK78" s="217">
        <f t="shared" si="288"/>
        <v>0.1825</v>
      </c>
      <c r="CL78" s="217">
        <f t="shared" si="225"/>
        <v>109.5</v>
      </c>
      <c r="CM78" s="217">
        <f t="shared" si="310"/>
        <v>1.46</v>
      </c>
      <c r="CN78" s="541">
        <f t="shared" si="289"/>
        <v>58</v>
      </c>
      <c r="CO78" s="443">
        <f t="shared" si="226"/>
        <v>15.7</v>
      </c>
      <c r="CP78" s="443">
        <f t="shared" si="227"/>
        <v>73.7</v>
      </c>
      <c r="CQ78" s="443"/>
      <c r="CR78" s="217">
        <f t="shared" si="228"/>
        <v>0.2098092643051771</v>
      </c>
      <c r="CS78" s="172">
        <f t="shared" si="290"/>
        <v>300.22049333142121</v>
      </c>
      <c r="CT78" s="172">
        <f t="shared" si="229"/>
        <v>4.0563124432334243</v>
      </c>
      <c r="CU78" s="217">
        <f t="shared" si="230"/>
        <v>20.014699555428081</v>
      </c>
      <c r="CV78" s="217">
        <f t="shared" si="231"/>
        <v>37.527561666427651</v>
      </c>
      <c r="CW78" s="443">
        <f t="shared" si="232"/>
        <v>15</v>
      </c>
      <c r="CX78" s="217">
        <f t="shared" si="233"/>
        <v>18.236596506941336</v>
      </c>
      <c r="CY78" s="217">
        <f t="shared" si="234"/>
        <v>3.7730889324706212</v>
      </c>
      <c r="CZ78" s="217">
        <f t="shared" si="235"/>
        <v>13.938799877916946</v>
      </c>
      <c r="DA78" s="197">
        <f t="shared" si="236"/>
        <v>102.962460425147</v>
      </c>
      <c r="DB78" s="443">
        <f t="shared" si="291"/>
        <v>56.459252353341654</v>
      </c>
      <c r="DD78" s="217">
        <f t="shared" si="237"/>
        <v>10</v>
      </c>
      <c r="DE78" s="173">
        <f t="shared" si="238"/>
        <v>7.6433121019108281</v>
      </c>
      <c r="DF78" s="173">
        <f t="shared" si="239"/>
        <v>3.9348710990502043</v>
      </c>
      <c r="DG78" s="173"/>
      <c r="DH78" s="173">
        <f t="shared" si="240"/>
        <v>7.6433121019108281</v>
      </c>
      <c r="DI78" s="545">
        <f t="shared" si="241"/>
        <v>191.01666666666668</v>
      </c>
      <c r="DJ78" s="528">
        <f t="shared" si="242"/>
        <v>3.9348710990502034</v>
      </c>
      <c r="DL78" s="173">
        <f t="shared" si="243"/>
        <v>7.2689817194773045</v>
      </c>
      <c r="DM78" s="173">
        <f t="shared" si="244"/>
        <v>18.236596506941336</v>
      </c>
      <c r="DN78" s="173">
        <f t="shared" si="245"/>
        <v>7.3011825977343223</v>
      </c>
      <c r="DP78" s="545">
        <f t="shared" si="246"/>
        <v>7300</v>
      </c>
      <c r="DQ78" s="460">
        <f t="shared" si="247"/>
        <v>56.459252353341654</v>
      </c>
      <c r="DS78">
        <f t="shared" si="292"/>
        <v>7300</v>
      </c>
      <c r="DT78">
        <f t="shared" si="248"/>
        <v>56.459252353341654</v>
      </c>
      <c r="DV78" s="5">
        <f t="shared" si="293"/>
        <v>17.711888810387567</v>
      </c>
      <c r="DW78" s="5">
        <f t="shared" si="249"/>
        <v>3.7730889324706212</v>
      </c>
      <c r="DX78" s="5">
        <f t="shared" si="294"/>
        <v>13.938799877916946</v>
      </c>
      <c r="DY78" s="173">
        <f t="shared" si="295"/>
        <v>0.21302578018995927</v>
      </c>
      <c r="EA78" s="5">
        <f t="shared" si="250"/>
        <v>183.62366138023688</v>
      </c>
      <c r="EB78" s="5">
        <f t="shared" si="251"/>
        <v>8.6073591271986043</v>
      </c>
      <c r="EC78" s="5">
        <f t="shared" si="252"/>
        <v>9.074307887228926</v>
      </c>
      <c r="ED78" s="5"/>
      <c r="EE78" s="173">
        <f t="shared" si="296"/>
        <v>4.8595856859136255</v>
      </c>
      <c r="EF78" s="173">
        <f t="shared" si="253"/>
        <v>9.3403556863175741</v>
      </c>
      <c r="EG78" s="173">
        <f t="shared" si="254"/>
        <v>0.23002915180421321</v>
      </c>
      <c r="EH78" s="173"/>
      <c r="EI78" s="528">
        <f t="shared" si="255"/>
        <v>0.47231146077473207</v>
      </c>
      <c r="EJ78" s="528">
        <f t="shared" si="256"/>
        <v>1.5176666666666665</v>
      </c>
      <c r="EK78" s="528">
        <f t="shared" si="257"/>
        <v>7.0574065441677061E-3</v>
      </c>
      <c r="EL78" s="528">
        <f t="shared" si="258"/>
        <v>3.0666915641512239E-2</v>
      </c>
      <c r="EM78">
        <f t="shared" si="259"/>
        <v>2.6099999999999998E-2</v>
      </c>
      <c r="EN78" s="460">
        <f t="shared" si="297"/>
        <v>33.157406544167706</v>
      </c>
      <c r="EO78">
        <f t="shared" si="260"/>
        <v>2.4570608710234931</v>
      </c>
      <c r="EP78" s="460">
        <f t="shared" si="298"/>
        <v>2457.0608710234933</v>
      </c>
      <c r="EQ78" s="173">
        <f t="shared" si="261"/>
        <v>4.535124999999999</v>
      </c>
      <c r="ER78" s="173">
        <f t="shared" si="262"/>
        <v>8.0984374999999997E-2</v>
      </c>
      <c r="ES78" s="528"/>
      <c r="EU78" s="460">
        <f t="shared" si="299"/>
        <v>4616.1093749999991</v>
      </c>
      <c r="EV78" s="528">
        <f t="shared" si="263"/>
        <v>0.70846719116209811</v>
      </c>
      <c r="EW78" s="528">
        <f t="shared" si="300"/>
        <v>2.6172673304077509</v>
      </c>
      <c r="EX78" s="528">
        <f t="shared" si="264"/>
        <v>2.6456705339882882E-4</v>
      </c>
      <c r="EY78" s="528">
        <f t="shared" si="265"/>
        <v>1.7008549743586505</v>
      </c>
      <c r="EZ78" s="528">
        <f t="shared" si="266"/>
        <v>7.9369594309552181</v>
      </c>
      <c r="FA78" s="625">
        <f t="shared" si="267"/>
        <v>1.8776848461353208E-2</v>
      </c>
      <c r="FB78" s="460">
        <f t="shared" si="301"/>
        <v>7955.736279416572</v>
      </c>
      <c r="FC78" s="173">
        <f t="shared" si="302"/>
        <v>15.028906525440064</v>
      </c>
      <c r="FD78" s="5">
        <f t="shared" si="303"/>
        <v>110.96</v>
      </c>
      <c r="FE78" s="173">
        <f t="shared" si="304"/>
        <v>0.8807124615975187</v>
      </c>
      <c r="FF78" s="5">
        <f t="shared" si="305"/>
        <v>88.071246159751865</v>
      </c>
      <c r="FG78">
        <f t="shared" si="306"/>
        <v>73</v>
      </c>
      <c r="FI78" s="562">
        <f t="shared" si="268"/>
        <v>-50</v>
      </c>
      <c r="FJ78">
        <f t="shared" si="269"/>
        <v>-50</v>
      </c>
      <c r="FL78">
        <f t="shared" si="270"/>
        <v>0.78697421981004068</v>
      </c>
    </row>
    <row r="79" spans="5:168">
      <c r="E79" s="170">
        <v>74</v>
      </c>
      <c r="F79" s="217">
        <f t="shared" si="307"/>
        <v>7.4</v>
      </c>
      <c r="G79" s="217">
        <f t="shared" si="271"/>
        <v>0.185</v>
      </c>
      <c r="H79" s="217">
        <f t="shared" si="176"/>
        <v>111</v>
      </c>
      <c r="I79" s="217">
        <f t="shared" si="308"/>
        <v>1.48</v>
      </c>
      <c r="J79" s="541">
        <f t="shared" si="177"/>
        <v>57.47561395667919</v>
      </c>
      <c r="K79" s="443">
        <f t="shared" si="178"/>
        <v>15.982093103448275</v>
      </c>
      <c r="L79" s="172">
        <f t="shared" si="179"/>
        <v>73.457707060127461</v>
      </c>
      <c r="M79" s="443"/>
      <c r="N79" s="217">
        <f t="shared" si="180"/>
        <v>0.2175686356554313</v>
      </c>
      <c r="O79" s="172">
        <f t="shared" si="272"/>
        <v>308.50882184242488</v>
      </c>
      <c r="P79" s="172">
        <f t="shared" si="181"/>
        <v>4.168296970670986</v>
      </c>
      <c r="Q79" s="217">
        <f t="shared" si="182"/>
        <v>20.567254789494992</v>
      </c>
      <c r="R79" s="217">
        <f t="shared" si="183"/>
        <v>38.56360273030311</v>
      </c>
      <c r="S79" s="443">
        <f t="shared" si="184"/>
        <v>15</v>
      </c>
      <c r="T79" s="217">
        <f t="shared" si="185"/>
        <v>17.989761092908836</v>
      </c>
      <c r="U79" s="217">
        <f t="shared" si="186"/>
        <v>3.7559778531051107</v>
      </c>
      <c r="V79" s="217">
        <f t="shared" si="187"/>
        <v>13.507438088214409</v>
      </c>
      <c r="W79" s="197">
        <f t="shared" si="188"/>
        <v>104.20742426677464</v>
      </c>
      <c r="X79" s="443">
        <f t="shared" si="273"/>
        <v>57.262565546179218</v>
      </c>
      <c r="Z79" s="217">
        <f t="shared" si="189"/>
        <v>9.9999999999999982</v>
      </c>
      <c r="AA79" s="173">
        <f t="shared" si="190"/>
        <v>7.5084032625306723</v>
      </c>
      <c r="AB79" s="173">
        <f t="shared" si="191"/>
        <v>3.9121568217228422</v>
      </c>
      <c r="AC79" s="173"/>
      <c r="AD79" s="173">
        <f t="shared" si="192"/>
        <v>7.508403262530674</v>
      </c>
      <c r="AE79" s="545">
        <f t="shared" si="193"/>
        <v>197.11248160919538</v>
      </c>
      <c r="AF79" s="528">
        <f t="shared" si="194"/>
        <v>3.9121568217228444</v>
      </c>
      <c r="AH79" s="173">
        <f t="shared" si="195"/>
        <v>7.3185999181472381</v>
      </c>
      <c r="AI79" s="173">
        <f t="shared" si="196"/>
        <v>17.989761092908836</v>
      </c>
      <c r="AJ79" s="173">
        <f t="shared" si="197"/>
        <v>7.1183415503028415</v>
      </c>
      <c r="AL79" s="545">
        <f t="shared" si="198"/>
        <v>7400</v>
      </c>
      <c r="AM79" s="460">
        <f t="shared" si="199"/>
        <v>57.262565546179218</v>
      </c>
      <c r="AO79">
        <f t="shared" si="274"/>
        <v>7400</v>
      </c>
      <c r="AP79">
        <f t="shared" si="200"/>
        <v>57.262565546179218</v>
      </c>
      <c r="AR79" s="5">
        <f t="shared" si="275"/>
        <v>17.463415941319518</v>
      </c>
      <c r="AS79" s="5">
        <f t="shared" si="201"/>
        <v>3.7559778531051107</v>
      </c>
      <c r="AT79" s="5">
        <f t="shared" si="276"/>
        <v>13.707438088214406</v>
      </c>
      <c r="AU79" s="173">
        <f t="shared" si="277"/>
        <v>0.21507692800342892</v>
      </c>
      <c r="AW79" s="5">
        <f t="shared" si="202"/>
        <v>185.29490741985214</v>
      </c>
      <c r="AX79" s="5">
        <f t="shared" si="203"/>
        <v>8.6856987853055667</v>
      </c>
      <c r="AY79" s="5">
        <f t="shared" si="204"/>
        <v>9.1284628986970269</v>
      </c>
      <c r="AZ79" s="5"/>
      <c r="BA79" s="173">
        <f t="shared" si="278"/>
        <v>4.81683401292279</v>
      </c>
      <c r="BB79" s="173">
        <f t="shared" si="205"/>
        <v>9.2019170911244892</v>
      </c>
      <c r="BC79" s="173">
        <f t="shared" si="206"/>
        <v>0.22661976208730117</v>
      </c>
      <c r="BD79" s="173"/>
      <c r="BE79" s="528">
        <f t="shared" si="207"/>
        <v>0.46403779816099738</v>
      </c>
      <c r="BF79" s="528">
        <f t="shared" si="208"/>
        <v>1.4188446201816576</v>
      </c>
      <c r="BG79" s="528">
        <f t="shared" si="209"/>
        <v>8.2280027787530879E-2</v>
      </c>
      <c r="BH79" s="528">
        <f t="shared" si="210"/>
        <v>3.0899079221746922E-2</v>
      </c>
      <c r="BI79">
        <f t="shared" si="211"/>
        <v>2.5864026280505634E-2</v>
      </c>
      <c r="BJ79" s="460">
        <f t="shared" si="279"/>
        <v>108.14405406803651</v>
      </c>
      <c r="BK79">
        <f t="shared" si="212"/>
        <v>2.2917494067004727</v>
      </c>
      <c r="BL79" s="460">
        <f t="shared" si="280"/>
        <v>2291.7494067004727</v>
      </c>
      <c r="BM79" s="173">
        <f t="shared" si="213"/>
        <v>4.5972499999999998</v>
      </c>
      <c r="BN79" s="173">
        <f t="shared" si="214"/>
        <v>8.2093749999999993E-2</v>
      </c>
      <c r="BO79" s="528"/>
      <c r="BQ79" s="460">
        <f t="shared" si="281"/>
        <v>4679.34375</v>
      </c>
      <c r="BR79" s="528">
        <f t="shared" si="215"/>
        <v>0.69605669724149599</v>
      </c>
      <c r="BS79" s="528">
        <f t="shared" si="216"/>
        <v>2.5402583445578695</v>
      </c>
      <c r="BT79" s="528">
        <f t="shared" si="217"/>
        <v>2.5678258284252494E-4</v>
      </c>
      <c r="BU79" s="528">
        <f t="shared" si="218"/>
        <v>1.7029837299328703</v>
      </c>
      <c r="BV79" s="528">
        <f t="shared" si="219"/>
        <v>7.7135762859541712</v>
      </c>
      <c r="BW79" s="625">
        <f t="shared" si="220"/>
        <v>1.853197022091219E-2</v>
      </c>
      <c r="BX79" s="460">
        <f t="shared" si="282"/>
        <v>7732.1082561750827</v>
      </c>
      <c r="BY79" s="173">
        <f t="shared" si="283"/>
        <v>14.703201412875558</v>
      </c>
      <c r="BZ79" s="5">
        <f t="shared" si="284"/>
        <v>112.48</v>
      </c>
      <c r="CA79" s="173">
        <f t="shared" si="285"/>
        <v>0.88439352642850633</v>
      </c>
      <c r="CB79" s="5">
        <f t="shared" si="286"/>
        <v>88.439352642850636</v>
      </c>
      <c r="CC79">
        <f t="shared" si="287"/>
        <v>74</v>
      </c>
      <c r="CE79" s="562">
        <f t="shared" si="221"/>
        <v>-50</v>
      </c>
      <c r="CF79">
        <f t="shared" si="222"/>
        <v>-50</v>
      </c>
      <c r="CG79" s="173">
        <f t="shared" si="223"/>
        <v>0.78697421981004068</v>
      </c>
      <c r="CH79" s="173">
        <f t="shared" si="224"/>
        <v>9.2345221451934023E-2</v>
      </c>
      <c r="CI79" s="170">
        <v>74</v>
      </c>
      <c r="CJ79" s="217">
        <f t="shared" si="309"/>
        <v>7.4</v>
      </c>
      <c r="CK79" s="217">
        <f t="shared" si="288"/>
        <v>0.185</v>
      </c>
      <c r="CL79" s="217">
        <f t="shared" si="225"/>
        <v>111</v>
      </c>
      <c r="CM79" s="217">
        <f t="shared" si="310"/>
        <v>1.48</v>
      </c>
      <c r="CN79" s="541">
        <f t="shared" si="289"/>
        <v>58</v>
      </c>
      <c r="CO79" s="443">
        <f t="shared" si="226"/>
        <v>15.7</v>
      </c>
      <c r="CP79" s="443">
        <f t="shared" si="227"/>
        <v>73.7</v>
      </c>
      <c r="CQ79" s="443"/>
      <c r="CR79" s="217">
        <f t="shared" si="228"/>
        <v>0.2098092643051771</v>
      </c>
      <c r="CS79" s="172">
        <f t="shared" si="290"/>
        <v>300.22049333142121</v>
      </c>
      <c r="CT79" s="172">
        <f t="shared" si="229"/>
        <v>4.0563124432334243</v>
      </c>
      <c r="CU79" s="217">
        <f t="shared" si="230"/>
        <v>20.014699555428081</v>
      </c>
      <c r="CV79" s="217">
        <f t="shared" si="231"/>
        <v>37.527561666427651</v>
      </c>
      <c r="CW79" s="443">
        <f t="shared" si="232"/>
        <v>15</v>
      </c>
      <c r="CX79" s="217">
        <f t="shared" si="233"/>
        <v>18.48641289744738</v>
      </c>
      <c r="CY79" s="217">
        <f t="shared" si="234"/>
        <v>3.8247750822304925</v>
      </c>
      <c r="CZ79" s="217">
        <f t="shared" si="235"/>
        <v>14.129742341997998</v>
      </c>
      <c r="DA79" s="197">
        <f t="shared" si="236"/>
        <v>102.962460425147</v>
      </c>
      <c r="DB79" s="443">
        <f t="shared" si="291"/>
        <v>55.696289483701911</v>
      </c>
      <c r="DD79" s="217">
        <f t="shared" si="237"/>
        <v>10</v>
      </c>
      <c r="DE79" s="173">
        <f t="shared" si="238"/>
        <v>7.6433121019108281</v>
      </c>
      <c r="DF79" s="173">
        <f t="shared" si="239"/>
        <v>3.9348710990502043</v>
      </c>
      <c r="DG79" s="173"/>
      <c r="DH79" s="173">
        <f t="shared" si="240"/>
        <v>7.6433121019108281</v>
      </c>
      <c r="DI79" s="545">
        <f t="shared" si="241"/>
        <v>193.63333333333338</v>
      </c>
      <c r="DJ79" s="528">
        <f t="shared" si="242"/>
        <v>3.9348710990502034</v>
      </c>
      <c r="DL79" s="173">
        <f t="shared" si="243"/>
        <v>7.3185999181472381</v>
      </c>
      <c r="DM79" s="173">
        <f t="shared" si="244"/>
        <v>18.48641289744738</v>
      </c>
      <c r="DN79" s="173">
        <f t="shared" si="245"/>
        <v>7.4862317758869485</v>
      </c>
      <c r="DP79" s="545">
        <f t="shared" si="246"/>
        <v>7400</v>
      </c>
      <c r="DQ79" s="460">
        <f t="shared" si="247"/>
        <v>55.696289483701911</v>
      </c>
      <c r="DS79">
        <f t="shared" si="292"/>
        <v>7400</v>
      </c>
      <c r="DT79">
        <f t="shared" si="248"/>
        <v>55.696289483701911</v>
      </c>
      <c r="DV79" s="5">
        <f t="shared" si="293"/>
        <v>17.954517424228492</v>
      </c>
      <c r="DW79" s="5">
        <f t="shared" si="249"/>
        <v>3.8247750822304925</v>
      </c>
      <c r="DX79" s="5">
        <f t="shared" si="294"/>
        <v>14.129742341998</v>
      </c>
      <c r="DY79" s="173">
        <f t="shared" si="295"/>
        <v>0.21302578018995927</v>
      </c>
      <c r="EA79" s="5">
        <f t="shared" si="250"/>
        <v>188.6889040567043</v>
      </c>
      <c r="EB79" s="5">
        <f t="shared" si="251"/>
        <v>8.8447923776580133</v>
      </c>
      <c r="EC79" s="5">
        <f t="shared" si="252"/>
        <v>9.3246218784885713</v>
      </c>
      <c r="ED79" s="5"/>
      <c r="EE79" s="173">
        <f t="shared" si="296"/>
        <v>4.9261553528439492</v>
      </c>
      <c r="EF79" s="173">
        <f t="shared" si="253"/>
        <v>9.4683057642123352</v>
      </c>
      <c r="EG79" s="173">
        <f t="shared" si="254"/>
        <v>0.23318023607550378</v>
      </c>
      <c r="EH79" s="173"/>
      <c r="EI79" s="528">
        <f t="shared" si="255"/>
        <v>0.48534013120706188</v>
      </c>
      <c r="EJ79" s="528">
        <f t="shared" si="256"/>
        <v>1.5176666666666669</v>
      </c>
      <c r="EK79" s="528">
        <f t="shared" si="257"/>
        <v>6.9620361854627385E-3</v>
      </c>
      <c r="EL79" s="528">
        <f t="shared" si="258"/>
        <v>3.0252497862572884E-2</v>
      </c>
      <c r="EM79">
        <f t="shared" si="259"/>
        <v>2.6099999999999998E-2</v>
      </c>
      <c r="EN79" s="460">
        <f t="shared" si="297"/>
        <v>33.062036185462738</v>
      </c>
      <c r="EO79">
        <f t="shared" si="260"/>
        <v>2.483785387852524</v>
      </c>
      <c r="EP79" s="460">
        <f t="shared" si="298"/>
        <v>2483.7853878525239</v>
      </c>
      <c r="EQ79" s="173">
        <f t="shared" si="261"/>
        <v>4.5972499999999998</v>
      </c>
      <c r="ER79" s="173">
        <f t="shared" si="262"/>
        <v>8.2093749999999993E-2</v>
      </c>
      <c r="ES79" s="528"/>
      <c r="EU79" s="460">
        <f t="shared" si="299"/>
        <v>4679.34375</v>
      </c>
      <c r="EV79" s="528">
        <f t="shared" si="263"/>
        <v>0.72801019681059276</v>
      </c>
      <c r="EW79" s="528">
        <f t="shared" si="300"/>
        <v>2.6894644213384957</v>
      </c>
      <c r="EX79" s="528">
        <f t="shared" si="264"/>
        <v>2.7186511248113838E-4</v>
      </c>
      <c r="EY79" s="528">
        <f t="shared" si="265"/>
        <v>1.7008549743586505</v>
      </c>
      <c r="EZ79" s="528">
        <f t="shared" si="266"/>
        <v>8.1737156459266735</v>
      </c>
      <c r="FA79" s="625">
        <f t="shared" si="267"/>
        <v>1.9034065563563528E-2</v>
      </c>
      <c r="FB79" s="460">
        <f t="shared" si="301"/>
        <v>8192.7497114902362</v>
      </c>
      <c r="FC79" s="173">
        <f t="shared" si="302"/>
        <v>15.35587884934276</v>
      </c>
      <c r="FD79" s="5">
        <f t="shared" si="303"/>
        <v>112.48</v>
      </c>
      <c r="FE79" s="173">
        <f t="shared" si="304"/>
        <v>0.87987817670937296</v>
      </c>
      <c r="FF79" s="5">
        <f t="shared" si="305"/>
        <v>87.987817670937289</v>
      </c>
      <c r="FG79">
        <f t="shared" si="306"/>
        <v>74</v>
      </c>
      <c r="FI79" s="562">
        <f t="shared" si="268"/>
        <v>-50</v>
      </c>
      <c r="FJ79">
        <f t="shared" si="269"/>
        <v>-50</v>
      </c>
      <c r="FL79">
        <f t="shared" si="270"/>
        <v>0.78697421981004068</v>
      </c>
    </row>
    <row r="80" spans="5:168">
      <c r="E80" s="170">
        <v>75</v>
      </c>
      <c r="F80" s="217">
        <f t="shared" si="307"/>
        <v>7.5</v>
      </c>
      <c r="G80" s="217">
        <f t="shared" si="271"/>
        <v>0.1875</v>
      </c>
      <c r="H80" s="217">
        <f t="shared" si="176"/>
        <v>112.5</v>
      </c>
      <c r="I80" s="217">
        <f t="shared" si="308"/>
        <v>1.5</v>
      </c>
      <c r="J80" s="541">
        <f t="shared" si="177"/>
        <v>57.468527658796482</v>
      </c>
      <c r="K80" s="443">
        <f t="shared" si="178"/>
        <v>15.985905172413792</v>
      </c>
      <c r="L80" s="172">
        <f t="shared" si="179"/>
        <v>73.454432831210269</v>
      </c>
      <c r="M80" s="443"/>
      <c r="N80" s="217">
        <f t="shared" si="180"/>
        <v>0.21763023082824071</v>
      </c>
      <c r="O80" s="172">
        <f t="shared" si="272"/>
        <v>308.55811528971253</v>
      </c>
      <c r="P80" s="172">
        <f t="shared" si="181"/>
        <v>4.1689629799143386</v>
      </c>
      <c r="Q80" s="217">
        <f t="shared" si="182"/>
        <v>20.57054101931417</v>
      </c>
      <c r="R80" s="217">
        <f t="shared" si="183"/>
        <v>38.569764411214067</v>
      </c>
      <c r="S80" s="443">
        <f t="shared" si="184"/>
        <v>15</v>
      </c>
      <c r="T80" s="217">
        <f t="shared" si="185"/>
        <v>18.229953196073144</v>
      </c>
      <c r="U80" s="217">
        <f t="shared" si="186"/>
        <v>3.8065954926094765</v>
      </c>
      <c r="V80" s="217">
        <f t="shared" si="187"/>
        <v>13.684519956391442</v>
      </c>
      <c r="W80" s="197">
        <f t="shared" si="188"/>
        <v>104.22407449785842</v>
      </c>
      <c r="X80" s="443">
        <f t="shared" si="273"/>
        <v>56.5255482551539</v>
      </c>
      <c r="Z80" s="217">
        <f t="shared" si="189"/>
        <v>10</v>
      </c>
      <c r="AA80" s="173">
        <f t="shared" si="190"/>
        <v>7.5066127758019592</v>
      </c>
      <c r="AB80" s="173">
        <f t="shared" si="191"/>
        <v>3.9118488458587959</v>
      </c>
      <c r="AC80" s="173"/>
      <c r="AD80" s="173">
        <f t="shared" si="192"/>
        <v>7.5066127758019592</v>
      </c>
      <c r="AE80" s="545">
        <f t="shared" si="193"/>
        <v>199.82381465517241</v>
      </c>
      <c r="AF80" s="528">
        <f t="shared" si="194"/>
        <v>3.9118488458587959</v>
      </c>
      <c r="AH80" s="173">
        <f t="shared" si="195"/>
        <v>7.3678839761300727</v>
      </c>
      <c r="AI80" s="173">
        <f t="shared" si="196"/>
        <v>18.229953196073144</v>
      </c>
      <c r="AJ80" s="173">
        <f t="shared" si="197"/>
        <v>7.2962616267208471</v>
      </c>
      <c r="AL80" s="545">
        <f t="shared" si="198"/>
        <v>7500</v>
      </c>
      <c r="AM80" s="460">
        <f t="shared" si="199"/>
        <v>56.5255482551539</v>
      </c>
      <c r="AO80">
        <f t="shared" si="274"/>
        <v>7500</v>
      </c>
      <c r="AP80">
        <f t="shared" si="200"/>
        <v>56.5255482551539</v>
      </c>
      <c r="AR80" s="5">
        <f t="shared" si="275"/>
        <v>17.691115449000918</v>
      </c>
      <c r="AS80" s="5">
        <f t="shared" si="201"/>
        <v>3.8065954926094765</v>
      </c>
      <c r="AT80" s="5">
        <f t="shared" si="276"/>
        <v>13.884519956391442</v>
      </c>
      <c r="AU80" s="173">
        <f t="shared" si="277"/>
        <v>0.21516989720534829</v>
      </c>
      <c r="AW80" s="5">
        <f t="shared" si="202"/>
        <v>190.32977463047382</v>
      </c>
      <c r="AX80" s="5">
        <f t="shared" si="203"/>
        <v>8.9217081858034604</v>
      </c>
      <c r="AY80" s="5">
        <f t="shared" si="204"/>
        <v>9.3724972770465396</v>
      </c>
      <c r="AZ80" s="5"/>
      <c r="BA80" s="173">
        <f t="shared" si="278"/>
        <v>4.8822013050876869</v>
      </c>
      <c r="BB80" s="173">
        <f t="shared" si="205"/>
        <v>9.3242251649635328</v>
      </c>
      <c r="BC80" s="173">
        <f t="shared" si="206"/>
        <v>0.2296318981802784</v>
      </c>
      <c r="BD80" s="173"/>
      <c r="BE80" s="528">
        <f t="shared" si="207"/>
        <v>0.47671779166799833</v>
      </c>
      <c r="BF80" s="528">
        <f t="shared" si="208"/>
        <v>1.4192196604461602</v>
      </c>
      <c r="BG80" s="528">
        <f t="shared" si="209"/>
        <v>8.121100083324867E-2</v>
      </c>
      <c r="BH80" s="528">
        <f t="shared" si="210"/>
        <v>3.049866311770346E-2</v>
      </c>
      <c r="BI80">
        <f t="shared" si="211"/>
        <v>2.5860837446458416E-2</v>
      </c>
      <c r="BJ80" s="460">
        <f t="shared" si="279"/>
        <v>107.07183827970709</v>
      </c>
      <c r="BK80">
        <f t="shared" si="212"/>
        <v>2.3176678639943424</v>
      </c>
      <c r="BL80" s="460">
        <f t="shared" si="280"/>
        <v>2317.6678639943425</v>
      </c>
      <c r="BM80" s="173">
        <f t="shared" si="213"/>
        <v>4.6593749999999998</v>
      </c>
      <c r="BN80" s="173">
        <f t="shared" si="214"/>
        <v>8.3203124999999989E-2</v>
      </c>
      <c r="BO80" s="528"/>
      <c r="BQ80" s="460">
        <f t="shared" si="281"/>
        <v>4742.578125</v>
      </c>
      <c r="BR80" s="528">
        <f t="shared" si="215"/>
        <v>0.71507668750199738</v>
      </c>
      <c r="BS80" s="528">
        <f t="shared" si="216"/>
        <v>2.6082352478081767</v>
      </c>
      <c r="BT80" s="528">
        <f t="shared" si="217"/>
        <v>2.6365404330938878E-4</v>
      </c>
      <c r="BU80" s="528">
        <f t="shared" si="218"/>
        <v>1.7042992263515491</v>
      </c>
      <c r="BV80" s="528">
        <f t="shared" si="219"/>
        <v>7.935461428733432</v>
      </c>
      <c r="BW80" s="625">
        <f t="shared" si="220"/>
        <v>1.8785202916630415E-2</v>
      </c>
      <c r="BX80" s="460">
        <f t="shared" si="282"/>
        <v>7954.2466316500622</v>
      </c>
      <c r="BY80" s="173">
        <f t="shared" si="283"/>
        <v>15.014492620644404</v>
      </c>
      <c r="BZ80" s="5">
        <f t="shared" si="284"/>
        <v>114</v>
      </c>
      <c r="CA80" s="173">
        <f t="shared" si="285"/>
        <v>0.88362165896514289</v>
      </c>
      <c r="CB80" s="5">
        <f t="shared" si="286"/>
        <v>88.362165896514284</v>
      </c>
      <c r="CC80">
        <f t="shared" si="287"/>
        <v>75</v>
      </c>
      <c r="CE80" s="562">
        <f t="shared" si="221"/>
        <v>-50</v>
      </c>
      <c r="CF80">
        <f t="shared" si="222"/>
        <v>-50</v>
      </c>
      <c r="CG80" s="173">
        <f t="shared" si="223"/>
        <v>0.78697421981004068</v>
      </c>
      <c r="CH80" s="173">
        <f t="shared" si="224"/>
        <v>9.2345221451934009E-2</v>
      </c>
      <c r="CI80" s="170">
        <v>75</v>
      </c>
      <c r="CJ80" s="217">
        <f t="shared" si="309"/>
        <v>7.5</v>
      </c>
      <c r="CK80" s="217">
        <f t="shared" si="288"/>
        <v>0.1875</v>
      </c>
      <c r="CL80" s="217">
        <f t="shared" si="225"/>
        <v>112.5</v>
      </c>
      <c r="CM80" s="217">
        <f t="shared" si="310"/>
        <v>1.5</v>
      </c>
      <c r="CN80" s="541">
        <f t="shared" si="289"/>
        <v>58</v>
      </c>
      <c r="CO80" s="443">
        <f t="shared" si="226"/>
        <v>15.7</v>
      </c>
      <c r="CP80" s="443">
        <f t="shared" si="227"/>
        <v>73.7</v>
      </c>
      <c r="CQ80" s="443"/>
      <c r="CR80" s="217">
        <f t="shared" si="228"/>
        <v>0.2098092643051771</v>
      </c>
      <c r="CS80" s="172">
        <f t="shared" si="290"/>
        <v>300.22049333142121</v>
      </c>
      <c r="CT80" s="172">
        <f t="shared" si="229"/>
        <v>4.0563124432334243</v>
      </c>
      <c r="CU80" s="217">
        <f t="shared" si="230"/>
        <v>20.014699555428081</v>
      </c>
      <c r="CV80" s="217">
        <f t="shared" si="231"/>
        <v>37.527561666427651</v>
      </c>
      <c r="CW80" s="443">
        <f t="shared" si="232"/>
        <v>15</v>
      </c>
      <c r="CX80" s="217">
        <f t="shared" si="233"/>
        <v>18.736229287953428</v>
      </c>
      <c r="CY80" s="217">
        <f t="shared" si="234"/>
        <v>3.8764612319903651</v>
      </c>
      <c r="CZ80" s="217">
        <f t="shared" si="235"/>
        <v>14.320684806079054</v>
      </c>
      <c r="DA80" s="197">
        <f t="shared" si="236"/>
        <v>102.962460425147</v>
      </c>
      <c r="DB80" s="443">
        <f t="shared" si="291"/>
        <v>54.953672290585878</v>
      </c>
      <c r="DD80" s="217">
        <f t="shared" si="237"/>
        <v>10</v>
      </c>
      <c r="DE80" s="173">
        <f t="shared" si="238"/>
        <v>7.6433121019108281</v>
      </c>
      <c r="DF80" s="173">
        <f t="shared" si="239"/>
        <v>3.9348710990502043</v>
      </c>
      <c r="DG80" s="173"/>
      <c r="DH80" s="173">
        <f t="shared" si="240"/>
        <v>7.6433121019108281</v>
      </c>
      <c r="DI80" s="545">
        <f t="shared" si="241"/>
        <v>196.25000000000003</v>
      </c>
      <c r="DJ80" s="528">
        <f t="shared" si="242"/>
        <v>3.9348710990502034</v>
      </c>
      <c r="DL80" s="173">
        <f t="shared" si="243"/>
        <v>7.3678839761300727</v>
      </c>
      <c r="DM80" s="173">
        <f t="shared" si="244"/>
        <v>18.736229287953428</v>
      </c>
      <c r="DN80" s="173">
        <f t="shared" si="245"/>
        <v>7.6712809540395757</v>
      </c>
      <c r="DP80" s="545">
        <f t="shared" si="246"/>
        <v>7500</v>
      </c>
      <c r="DQ80" s="460">
        <f t="shared" si="247"/>
        <v>54.953672290585878</v>
      </c>
      <c r="DS80">
        <f t="shared" si="292"/>
        <v>7500</v>
      </c>
      <c r="DT80">
        <f t="shared" si="248"/>
        <v>54.953672290585878</v>
      </c>
      <c r="DV80" s="5">
        <f t="shared" si="293"/>
        <v>18.19714603806942</v>
      </c>
      <c r="DW80" s="5">
        <f t="shared" si="249"/>
        <v>3.8764612319903651</v>
      </c>
      <c r="DX80" s="5">
        <f t="shared" si="294"/>
        <v>14.320684806079054</v>
      </c>
      <c r="DY80" s="173">
        <f t="shared" si="295"/>
        <v>0.2130257801899593</v>
      </c>
      <c r="EA80" s="5">
        <f t="shared" si="250"/>
        <v>193.82306159951827</v>
      </c>
      <c r="EB80" s="5">
        <f t="shared" si="251"/>
        <v>9.0854560124774171</v>
      </c>
      <c r="EC80" s="5">
        <f t="shared" si="252"/>
        <v>9.5783415022823633</v>
      </c>
      <c r="ED80" s="5"/>
      <c r="EE80" s="173">
        <f t="shared" si="296"/>
        <v>4.9927250197742739</v>
      </c>
      <c r="EF80" s="173">
        <f t="shared" si="253"/>
        <v>9.5962558421070963</v>
      </c>
      <c r="EG80" s="173">
        <f t="shared" si="254"/>
        <v>0.23633132034679447</v>
      </c>
      <c r="EH80" s="173"/>
      <c r="EI80" s="528">
        <f t="shared" si="255"/>
        <v>0.49854606246160049</v>
      </c>
      <c r="EJ80" s="528">
        <f t="shared" si="256"/>
        <v>1.5176666666666665</v>
      </c>
      <c r="EK80" s="528">
        <f t="shared" si="257"/>
        <v>6.8692090363232337E-3</v>
      </c>
      <c r="EL80" s="528">
        <f t="shared" si="258"/>
        <v>2.9849131224405242E-2</v>
      </c>
      <c r="EM80">
        <f t="shared" si="259"/>
        <v>2.6099999999999998E-2</v>
      </c>
      <c r="EN80" s="460">
        <f t="shared" si="297"/>
        <v>32.969209036323235</v>
      </c>
      <c r="EO80">
        <f t="shared" si="260"/>
        <v>2.511088330492973</v>
      </c>
      <c r="EP80" s="460">
        <f t="shared" si="298"/>
        <v>2511.088330492973</v>
      </c>
      <c r="EQ80" s="173">
        <f t="shared" si="261"/>
        <v>4.6593749999999998</v>
      </c>
      <c r="ER80" s="173">
        <f t="shared" si="262"/>
        <v>8.3203124999999989E-2</v>
      </c>
      <c r="ES80" s="528"/>
      <c r="EU80" s="460">
        <f t="shared" si="299"/>
        <v>4742.578125</v>
      </c>
      <c r="EV80" s="528">
        <f t="shared" si="263"/>
        <v>0.74781909369240063</v>
      </c>
      <c r="EW80" s="528">
        <f t="shared" si="300"/>
        <v>2.7626437856152375</v>
      </c>
      <c r="EX80" s="528">
        <f t="shared" si="264"/>
        <v>2.7926246488429595E-4</v>
      </c>
      <c r="EY80" s="528">
        <f t="shared" si="265"/>
        <v>1.7008549743586505</v>
      </c>
      <c r="EZ80" s="528">
        <f t="shared" si="266"/>
        <v>8.4186249377297795</v>
      </c>
      <c r="FA80" s="625">
        <f t="shared" si="267"/>
        <v>1.9291282665773849E-2</v>
      </c>
      <c r="FB80" s="460">
        <f t="shared" si="301"/>
        <v>8437.916220395553</v>
      </c>
      <c r="FC80" s="173">
        <f t="shared" si="302"/>
        <v>15.691582675888528</v>
      </c>
      <c r="FD80" s="5">
        <f t="shared" si="303"/>
        <v>114</v>
      </c>
      <c r="FE80" s="173">
        <f t="shared" si="304"/>
        <v>0.87900847262305937</v>
      </c>
      <c r="FF80" s="5">
        <f t="shared" si="305"/>
        <v>87.90084726230593</v>
      </c>
      <c r="FG80">
        <f t="shared" si="306"/>
        <v>75</v>
      </c>
      <c r="FI80" s="562">
        <f t="shared" si="268"/>
        <v>-50</v>
      </c>
      <c r="FJ80">
        <f t="shared" si="269"/>
        <v>-50</v>
      </c>
      <c r="FL80">
        <f t="shared" si="270"/>
        <v>0.78697421981004068</v>
      </c>
    </row>
    <row r="81" spans="5:168">
      <c r="E81" s="170">
        <v>76</v>
      </c>
      <c r="F81" s="217">
        <f t="shared" si="307"/>
        <v>7.6</v>
      </c>
      <c r="G81" s="217">
        <f t="shared" si="271"/>
        <v>0.19</v>
      </c>
      <c r="H81" s="217">
        <f t="shared" si="176"/>
        <v>114</v>
      </c>
      <c r="I81" s="217">
        <f t="shared" si="308"/>
        <v>1.52</v>
      </c>
      <c r="J81" s="541">
        <f t="shared" si="177"/>
        <v>57.461441360913767</v>
      </c>
      <c r="K81" s="443">
        <f t="shared" si="178"/>
        <v>15.98971724137931</v>
      </c>
      <c r="L81" s="172">
        <f t="shared" si="179"/>
        <v>73.451158602293077</v>
      </c>
      <c r="M81" s="443"/>
      <c r="N81" s="217">
        <f t="shared" si="180"/>
        <v>0.21769183149250046</v>
      </c>
      <c r="O81" s="172">
        <f t="shared" si="272"/>
        <v>308.60739498494007</v>
      </c>
      <c r="P81" s="172">
        <f t="shared" si="181"/>
        <v>4.1696288033520794</v>
      </c>
      <c r="Q81" s="217">
        <f t="shared" si="182"/>
        <v>20.57382633232934</v>
      </c>
      <c r="R81" s="217">
        <f t="shared" si="183"/>
        <v>38.575924373117509</v>
      </c>
      <c r="S81" s="443">
        <f t="shared" si="184"/>
        <v>15</v>
      </c>
      <c r="T81" s="217">
        <f t="shared" si="185"/>
        <v>18.470069391169833</v>
      </c>
      <c r="U81" s="217">
        <f t="shared" si="186"/>
        <v>3.8572097644038879</v>
      </c>
      <c r="V81" s="217">
        <f t="shared" si="187"/>
        <v>13.861460421605225</v>
      </c>
      <c r="W81" s="197">
        <f t="shared" si="188"/>
        <v>104.24072008380197</v>
      </c>
      <c r="X81" s="443">
        <f t="shared" si="273"/>
        <v>55.807712827975337</v>
      </c>
      <c r="Z81" s="217">
        <f t="shared" si="189"/>
        <v>10</v>
      </c>
      <c r="AA81" s="173">
        <f t="shared" si="190"/>
        <v>7.504823142804276</v>
      </c>
      <c r="AB81" s="173">
        <f t="shared" si="191"/>
        <v>3.9115408425374976</v>
      </c>
      <c r="AC81" s="173"/>
      <c r="AD81" s="173">
        <f t="shared" si="192"/>
        <v>7.504823142804276</v>
      </c>
      <c r="AE81" s="545">
        <f t="shared" si="193"/>
        <v>202.53641839080464</v>
      </c>
      <c r="AF81" s="528">
        <f t="shared" si="194"/>
        <v>3.9115408425374971</v>
      </c>
      <c r="AH81" s="173">
        <f t="shared" si="195"/>
        <v>7.4168405544088518</v>
      </c>
      <c r="AI81" s="173">
        <f t="shared" si="196"/>
        <v>18.470069391169833</v>
      </c>
      <c r="AJ81" s="173">
        <f t="shared" si="197"/>
        <v>7.4741254749406174</v>
      </c>
      <c r="AL81" s="545">
        <f t="shared" si="198"/>
        <v>7600</v>
      </c>
      <c r="AM81" s="460">
        <f t="shared" si="199"/>
        <v>55.807712827975337</v>
      </c>
      <c r="AO81">
        <f t="shared" si="274"/>
        <v>7600</v>
      </c>
      <c r="AP81">
        <f t="shared" si="200"/>
        <v>55.807712827975337</v>
      </c>
      <c r="AR81" s="5">
        <f t="shared" si="275"/>
        <v>17.918670186009113</v>
      </c>
      <c r="AS81" s="5">
        <f t="shared" si="201"/>
        <v>3.8572097644038879</v>
      </c>
      <c r="AT81" s="5">
        <f t="shared" si="276"/>
        <v>14.061460421605226</v>
      </c>
      <c r="AU81" s="173">
        <f t="shared" si="277"/>
        <v>0.21526205484911459</v>
      </c>
      <c r="AW81" s="5">
        <f t="shared" si="202"/>
        <v>195.43196139646366</v>
      </c>
      <c r="AX81" s="5">
        <f t="shared" si="203"/>
        <v>9.1608731904592346</v>
      </c>
      <c r="AY81" s="5">
        <f t="shared" si="204"/>
        <v>9.6196831276974244</v>
      </c>
      <c r="AZ81" s="5"/>
      <c r="BA81" s="173">
        <f t="shared" si="278"/>
        <v>4.9475665032232614</v>
      </c>
      <c r="BB81" s="173">
        <f t="shared" si="205"/>
        <v>9.4464847148410769</v>
      </c>
      <c r="BC81" s="173">
        <f t="shared" si="206"/>
        <v>0.2326428392517724</v>
      </c>
      <c r="BD81" s="173"/>
      <c r="BE81" s="528">
        <f t="shared" si="207"/>
        <v>0.48956828607633707</v>
      </c>
      <c r="BF81" s="528">
        <f t="shared" si="208"/>
        <v>1.4195891584341496</v>
      </c>
      <c r="BG81" s="528">
        <f t="shared" si="209"/>
        <v>8.0169790453785486E-2</v>
      </c>
      <c r="BH81" s="528">
        <f t="shared" si="210"/>
        <v>3.010866679287217E-2</v>
      </c>
      <c r="BI81">
        <f t="shared" si="211"/>
        <v>2.5857648612411195E-2</v>
      </c>
      <c r="BJ81" s="460">
        <f t="shared" si="279"/>
        <v>106.02743906619669</v>
      </c>
      <c r="BK81">
        <f t="shared" si="212"/>
        <v>2.344121048774884</v>
      </c>
      <c r="BL81" s="460">
        <f t="shared" si="280"/>
        <v>2344.121048774884</v>
      </c>
      <c r="BM81" s="173">
        <f t="shared" si="213"/>
        <v>4.7214999999999989</v>
      </c>
      <c r="BN81" s="173">
        <f t="shared" si="214"/>
        <v>8.4312499999999999E-2</v>
      </c>
      <c r="BO81" s="528"/>
      <c r="BQ81" s="460">
        <f t="shared" si="281"/>
        <v>4805.8124999999991</v>
      </c>
      <c r="BR81" s="528">
        <f t="shared" si="215"/>
        <v>0.73435242911450549</v>
      </c>
      <c r="BS81" s="528">
        <f t="shared" si="216"/>
        <v>2.677082204031783</v>
      </c>
      <c r="BT81" s="528">
        <f t="shared" si="217"/>
        <v>2.7061345327563004E-4</v>
      </c>
      <c r="BU81" s="528">
        <f t="shared" si="218"/>
        <v>1.7055988023554327</v>
      </c>
      <c r="BV81" s="528">
        <f t="shared" si="219"/>
        <v>8.1645037232065221</v>
      </c>
      <c r="BW81" s="625">
        <f t="shared" si="220"/>
        <v>1.9038436433803745E-2</v>
      </c>
      <c r="BX81" s="460">
        <f t="shared" si="282"/>
        <v>8183.5421596403248</v>
      </c>
      <c r="BY81" s="173">
        <f t="shared" si="283"/>
        <v>15.333475708415207</v>
      </c>
      <c r="BZ81" s="5">
        <f t="shared" si="284"/>
        <v>115.52</v>
      </c>
      <c r="CA81" s="173">
        <f t="shared" si="285"/>
        <v>0.88281950001402132</v>
      </c>
      <c r="CB81" s="5">
        <f t="shared" si="286"/>
        <v>88.281950001402137</v>
      </c>
      <c r="CC81">
        <f t="shared" si="287"/>
        <v>76</v>
      </c>
      <c r="CE81" s="562">
        <f t="shared" si="221"/>
        <v>-50</v>
      </c>
      <c r="CF81">
        <f t="shared" si="222"/>
        <v>-50</v>
      </c>
      <c r="CG81" s="173">
        <f t="shared" si="223"/>
        <v>0.78697421981004068</v>
      </c>
      <c r="CH81" s="173">
        <f t="shared" si="224"/>
        <v>9.2345221451934023E-2</v>
      </c>
      <c r="CI81" s="170">
        <v>76</v>
      </c>
      <c r="CJ81" s="217">
        <f t="shared" si="309"/>
        <v>7.6</v>
      </c>
      <c r="CK81" s="217">
        <f t="shared" si="288"/>
        <v>0.19</v>
      </c>
      <c r="CL81" s="217">
        <f t="shared" si="225"/>
        <v>114</v>
      </c>
      <c r="CM81" s="217">
        <f t="shared" si="310"/>
        <v>1.52</v>
      </c>
      <c r="CN81" s="541">
        <f t="shared" si="289"/>
        <v>58</v>
      </c>
      <c r="CO81" s="443">
        <f t="shared" si="226"/>
        <v>15.7</v>
      </c>
      <c r="CP81" s="443">
        <f t="shared" si="227"/>
        <v>73.7</v>
      </c>
      <c r="CQ81" s="443"/>
      <c r="CR81" s="217">
        <f t="shared" si="228"/>
        <v>0.2098092643051771</v>
      </c>
      <c r="CS81" s="172">
        <f t="shared" si="290"/>
        <v>300.22049333142121</v>
      </c>
      <c r="CT81" s="172">
        <f t="shared" si="229"/>
        <v>4.0563124432334243</v>
      </c>
      <c r="CU81" s="217">
        <f t="shared" si="230"/>
        <v>20.014699555428081</v>
      </c>
      <c r="CV81" s="217">
        <f t="shared" si="231"/>
        <v>37.527561666427651</v>
      </c>
      <c r="CW81" s="443">
        <f t="shared" si="232"/>
        <v>15</v>
      </c>
      <c r="CX81" s="217">
        <f t="shared" si="233"/>
        <v>18.986045678459472</v>
      </c>
      <c r="CY81" s="217">
        <f t="shared" si="234"/>
        <v>3.9281473817502359</v>
      </c>
      <c r="CZ81" s="217">
        <f t="shared" si="235"/>
        <v>14.511627270160107</v>
      </c>
      <c r="DA81" s="197">
        <f t="shared" si="236"/>
        <v>102.962460425147</v>
      </c>
      <c r="DB81" s="443">
        <f t="shared" si="291"/>
        <v>54.230597655183438</v>
      </c>
      <c r="DD81" s="217">
        <f t="shared" si="237"/>
        <v>10</v>
      </c>
      <c r="DE81" s="173">
        <f t="shared" si="238"/>
        <v>7.6433121019108281</v>
      </c>
      <c r="DF81" s="173">
        <f t="shared" si="239"/>
        <v>3.9348710990502043</v>
      </c>
      <c r="DG81" s="173"/>
      <c r="DH81" s="173">
        <f t="shared" si="240"/>
        <v>7.6433121019108281</v>
      </c>
      <c r="DI81" s="545">
        <f t="shared" si="241"/>
        <v>198.86666666666667</v>
      </c>
      <c r="DJ81" s="528">
        <f t="shared" si="242"/>
        <v>3.9348710990502034</v>
      </c>
      <c r="DL81" s="173">
        <f t="shared" si="243"/>
        <v>7.4168405544088518</v>
      </c>
      <c r="DM81" s="173">
        <f t="shared" si="244"/>
        <v>18.986045678459472</v>
      </c>
      <c r="DN81" s="173">
        <f t="shared" si="245"/>
        <v>7.8563301321922019</v>
      </c>
      <c r="DP81" s="545">
        <f t="shared" si="246"/>
        <v>7600</v>
      </c>
      <c r="DQ81" s="460">
        <f t="shared" si="247"/>
        <v>54.230597655183438</v>
      </c>
      <c r="DS81">
        <f t="shared" si="292"/>
        <v>7600</v>
      </c>
      <c r="DT81">
        <f t="shared" si="248"/>
        <v>54.230597655183438</v>
      </c>
      <c r="DV81" s="5">
        <f t="shared" si="293"/>
        <v>18.439774651910341</v>
      </c>
      <c r="DW81" s="5">
        <f t="shared" si="249"/>
        <v>3.9281473817502359</v>
      </c>
      <c r="DX81" s="5">
        <f t="shared" si="294"/>
        <v>14.511627270160105</v>
      </c>
      <c r="DY81" s="173">
        <f t="shared" si="295"/>
        <v>0.21302578018995932</v>
      </c>
      <c r="EA81" s="5">
        <f t="shared" si="250"/>
        <v>199.02613400867861</v>
      </c>
      <c r="EB81" s="5">
        <f t="shared" si="251"/>
        <v>9.3293500316568103</v>
      </c>
      <c r="EC81" s="5">
        <f t="shared" si="252"/>
        <v>9.8354667586102948</v>
      </c>
      <c r="ED81" s="5"/>
      <c r="EE81" s="173">
        <f t="shared" si="296"/>
        <v>5.0592946867045967</v>
      </c>
      <c r="EF81" s="173">
        <f t="shared" si="253"/>
        <v>9.7242059200018574</v>
      </c>
      <c r="EG81" s="173">
        <f t="shared" si="254"/>
        <v>0.23948240461808498</v>
      </c>
      <c r="EH81" s="173"/>
      <c r="EI81" s="528">
        <f t="shared" si="255"/>
        <v>0.51192925453834726</v>
      </c>
      <c r="EJ81" s="528">
        <f t="shared" si="256"/>
        <v>1.5176666666666669</v>
      </c>
      <c r="EK81" s="528">
        <f t="shared" si="257"/>
        <v>6.7788247068979292E-3</v>
      </c>
      <c r="EL81" s="528">
        <f t="shared" si="258"/>
        <v>2.9456379497768335E-2</v>
      </c>
      <c r="EM81">
        <f t="shared" si="259"/>
        <v>2.6099999999999998E-2</v>
      </c>
      <c r="EN81" s="460">
        <f t="shared" si="297"/>
        <v>32.87882470689793</v>
      </c>
      <c r="EO81">
        <f t="shared" si="260"/>
        <v>2.538979214321754</v>
      </c>
      <c r="EP81" s="460">
        <f t="shared" si="298"/>
        <v>2538.9792143217542</v>
      </c>
      <c r="EQ81" s="173">
        <f t="shared" si="261"/>
        <v>4.7214999999999989</v>
      </c>
      <c r="ER81" s="173">
        <f t="shared" si="262"/>
        <v>8.4312499999999999E-2</v>
      </c>
      <c r="ES81" s="528"/>
      <c r="EU81" s="460">
        <f t="shared" si="299"/>
        <v>4805.8124999999991</v>
      </c>
      <c r="EV81" s="528">
        <f t="shared" si="263"/>
        <v>0.76789388180752083</v>
      </c>
      <c r="EW81" s="528">
        <f t="shared" si="300"/>
        <v>2.8368054232379754</v>
      </c>
      <c r="EX81" s="528">
        <f t="shared" si="264"/>
        <v>2.8675911060830088E-4</v>
      </c>
      <c r="EY81" s="528">
        <f t="shared" si="265"/>
        <v>1.7008549743586505</v>
      </c>
      <c r="EZ81" s="528">
        <f t="shared" si="266"/>
        <v>8.6720461294684235</v>
      </c>
      <c r="FA81" s="625">
        <f t="shared" si="267"/>
        <v>1.9548499767984166E-2</v>
      </c>
      <c r="FB81" s="460">
        <f t="shared" si="301"/>
        <v>8691.5946292364079</v>
      </c>
      <c r="FC81" s="173">
        <f t="shared" si="302"/>
        <v>16.036386343558164</v>
      </c>
      <c r="FD81" s="5">
        <f t="shared" si="303"/>
        <v>115.52</v>
      </c>
      <c r="FE81" s="173">
        <f t="shared" si="304"/>
        <v>0.87810256279251009</v>
      </c>
      <c r="FF81" s="5">
        <f t="shared" si="305"/>
        <v>87.810256279251007</v>
      </c>
      <c r="FG81">
        <f t="shared" si="306"/>
        <v>76</v>
      </c>
      <c r="FI81" s="562">
        <f t="shared" si="268"/>
        <v>-50</v>
      </c>
      <c r="FJ81">
        <f t="shared" si="269"/>
        <v>-50</v>
      </c>
      <c r="FL81">
        <f t="shared" si="270"/>
        <v>0.78697421981004068</v>
      </c>
    </row>
    <row r="82" spans="5:168">
      <c r="E82" s="170">
        <v>77</v>
      </c>
      <c r="F82" s="217">
        <f t="shared" si="307"/>
        <v>7.7</v>
      </c>
      <c r="G82" s="217">
        <f t="shared" si="271"/>
        <v>0.1925</v>
      </c>
      <c r="H82" s="217">
        <f t="shared" si="176"/>
        <v>115.5</v>
      </c>
      <c r="I82" s="217">
        <f t="shared" si="308"/>
        <v>1.54</v>
      </c>
      <c r="J82" s="541">
        <f t="shared" si="177"/>
        <v>57.454355063031052</v>
      </c>
      <c r="K82" s="443">
        <f t="shared" si="178"/>
        <v>15.993529310344828</v>
      </c>
      <c r="L82" s="172">
        <f t="shared" si="179"/>
        <v>73.447884373375885</v>
      </c>
      <c r="M82" s="443"/>
      <c r="N82" s="217">
        <f t="shared" si="180"/>
        <v>0.217753437648945</v>
      </c>
      <c r="O82" s="172">
        <f t="shared" si="272"/>
        <v>308.65666092626844</v>
      </c>
      <c r="P82" s="172">
        <f t="shared" si="181"/>
        <v>4.1702944409593607</v>
      </c>
      <c r="Q82" s="217">
        <f t="shared" si="182"/>
        <v>20.577110728417896</v>
      </c>
      <c r="R82" s="217">
        <f t="shared" si="183"/>
        <v>38.582082615783555</v>
      </c>
      <c r="S82" s="443">
        <f t="shared" si="184"/>
        <v>15</v>
      </c>
      <c r="T82" s="217">
        <f t="shared" si="185"/>
        <v>18.710109746763333</v>
      </c>
      <c r="U82" s="217">
        <f t="shared" si="186"/>
        <v>3.9078206815627112</v>
      </c>
      <c r="V82" s="217">
        <f t="shared" si="187"/>
        <v>14.038259636410372</v>
      </c>
      <c r="W82" s="197">
        <f t="shared" si="188"/>
        <v>104.257361023984</v>
      </c>
      <c r="X82" s="443">
        <f t="shared" si="273"/>
        <v>55.108319949930653</v>
      </c>
      <c r="Z82" s="217">
        <f t="shared" si="189"/>
        <v>10</v>
      </c>
      <c r="AA82" s="173">
        <f t="shared" si="190"/>
        <v>7.5030343629271625</v>
      </c>
      <c r="AB82" s="173">
        <f t="shared" si="191"/>
        <v>3.911232811755275</v>
      </c>
      <c r="AC82" s="173"/>
      <c r="AD82" s="173">
        <f t="shared" si="192"/>
        <v>7.5030343629271625</v>
      </c>
      <c r="AE82" s="545">
        <f t="shared" si="193"/>
        <v>205.25029281609196</v>
      </c>
      <c r="AF82" s="528">
        <f t="shared" si="194"/>
        <v>3.9112328117552746</v>
      </c>
      <c r="AH82" s="173">
        <f t="shared" si="195"/>
        <v>7.4654760955570234</v>
      </c>
      <c r="AI82" s="173">
        <f t="shared" si="196"/>
        <v>18.710109746763333</v>
      </c>
      <c r="AJ82" s="173">
        <f t="shared" si="197"/>
        <v>7.6519331457506174</v>
      </c>
      <c r="AL82" s="545">
        <f t="shared" si="198"/>
        <v>7700</v>
      </c>
      <c r="AM82" s="460">
        <f t="shared" si="199"/>
        <v>55.108319949930653</v>
      </c>
      <c r="AO82">
        <f t="shared" si="274"/>
        <v>7700</v>
      </c>
      <c r="AP82">
        <f t="shared" si="200"/>
        <v>55.108319949930653</v>
      </c>
      <c r="AR82" s="5">
        <f t="shared" si="275"/>
        <v>18.146080317973084</v>
      </c>
      <c r="AS82" s="5">
        <f t="shared" si="201"/>
        <v>3.9078206815627112</v>
      </c>
      <c r="AT82" s="5">
        <f t="shared" si="276"/>
        <v>14.238259636410373</v>
      </c>
      <c r="AU82" s="173">
        <f t="shared" si="277"/>
        <v>0.21535343242651395</v>
      </c>
      <c r="AW82" s="5">
        <f t="shared" si="202"/>
        <v>200.60146165355252</v>
      </c>
      <c r="AX82" s="5">
        <f t="shared" si="203"/>
        <v>9.4031935150102743</v>
      </c>
      <c r="AY82" s="5">
        <f t="shared" si="204"/>
        <v>9.8700179034851576</v>
      </c>
      <c r="AZ82" s="5"/>
      <c r="BA82" s="173">
        <f t="shared" si="278"/>
        <v>5.0129296126442418</v>
      </c>
      <c r="BB82" s="173">
        <f t="shared" si="205"/>
        <v>9.5686957807207911</v>
      </c>
      <c r="BC82" s="173">
        <f t="shared" si="206"/>
        <v>0.23565258628598656</v>
      </c>
      <c r="BD82" s="173"/>
      <c r="BE82" s="528">
        <f t="shared" si="207"/>
        <v>0.50258926602651099</v>
      </c>
      <c r="BF82" s="528">
        <f t="shared" si="208"/>
        <v>1.4199533245056337</v>
      </c>
      <c r="BG82" s="528">
        <f t="shared" si="209"/>
        <v>7.9155324533260824E-2</v>
      </c>
      <c r="BH82" s="528">
        <f t="shared" si="210"/>
        <v>2.9728688644575396E-2</v>
      </c>
      <c r="BI82">
        <f t="shared" si="211"/>
        <v>2.5854459778363974E-2</v>
      </c>
      <c r="BJ82" s="460">
        <f t="shared" si="279"/>
        <v>105.0097843116248</v>
      </c>
      <c r="BK82">
        <f t="shared" si="212"/>
        <v>2.3711179250258914</v>
      </c>
      <c r="BL82" s="460">
        <f t="shared" si="280"/>
        <v>2371.1179250258915</v>
      </c>
      <c r="BM82" s="173">
        <f t="shared" si="213"/>
        <v>4.7836249999999998</v>
      </c>
      <c r="BN82" s="173">
        <f t="shared" si="214"/>
        <v>8.5421874999999994E-2</v>
      </c>
      <c r="BO82" s="528"/>
      <c r="BQ82" s="460">
        <f t="shared" si="281"/>
        <v>4869.046875</v>
      </c>
      <c r="BR82" s="528">
        <f t="shared" si="215"/>
        <v>0.75388389903976638</v>
      </c>
      <c r="BS82" s="528">
        <f t="shared" si="216"/>
        <v>2.7467981683195157</v>
      </c>
      <c r="BT82" s="528">
        <f t="shared" si="217"/>
        <v>2.7766070711637174E-4</v>
      </c>
      <c r="BU82" s="528">
        <f t="shared" si="218"/>
        <v>1.7068830653177145</v>
      </c>
      <c r="BV82" s="528">
        <f t="shared" si="219"/>
        <v>8.4009974193899701</v>
      </c>
      <c r="BW82" s="625">
        <f t="shared" si="220"/>
        <v>1.929167074110201E-2</v>
      </c>
      <c r="BX82" s="460">
        <f t="shared" si="282"/>
        <v>8420.289090131073</v>
      </c>
      <c r="BY82" s="173">
        <f t="shared" si="283"/>
        <v>15.660453890156964</v>
      </c>
      <c r="BZ82" s="5">
        <f t="shared" si="284"/>
        <v>117.04</v>
      </c>
      <c r="CA82" s="173">
        <f t="shared" si="285"/>
        <v>0.88198643312011626</v>
      </c>
      <c r="CB82" s="5">
        <f t="shared" si="286"/>
        <v>88.198643312011626</v>
      </c>
      <c r="CC82">
        <f t="shared" si="287"/>
        <v>77</v>
      </c>
      <c r="CE82" s="562">
        <f t="shared" si="221"/>
        <v>-50</v>
      </c>
      <c r="CF82">
        <f t="shared" si="222"/>
        <v>-50</v>
      </c>
      <c r="CG82" s="173">
        <f t="shared" si="223"/>
        <v>0.78697421981004068</v>
      </c>
      <c r="CH82" s="173">
        <f t="shared" si="224"/>
        <v>9.2345221451934023E-2</v>
      </c>
      <c r="CI82" s="170">
        <v>77</v>
      </c>
      <c r="CJ82" s="217">
        <f t="shared" si="309"/>
        <v>7.7</v>
      </c>
      <c r="CK82" s="217">
        <f t="shared" si="288"/>
        <v>0.1925</v>
      </c>
      <c r="CL82" s="217">
        <f t="shared" si="225"/>
        <v>115.5</v>
      </c>
      <c r="CM82" s="217">
        <f t="shared" si="310"/>
        <v>1.54</v>
      </c>
      <c r="CN82" s="541">
        <f t="shared" si="289"/>
        <v>58</v>
      </c>
      <c r="CO82" s="443">
        <f t="shared" si="226"/>
        <v>15.7</v>
      </c>
      <c r="CP82" s="443">
        <f t="shared" si="227"/>
        <v>73.7</v>
      </c>
      <c r="CQ82" s="443"/>
      <c r="CR82" s="217">
        <f t="shared" si="228"/>
        <v>0.2098092643051771</v>
      </c>
      <c r="CS82" s="172">
        <f t="shared" si="290"/>
        <v>300.22049333142121</v>
      </c>
      <c r="CT82" s="172">
        <f t="shared" si="229"/>
        <v>4.0563124432334243</v>
      </c>
      <c r="CU82" s="217">
        <f t="shared" si="230"/>
        <v>20.014699555428081</v>
      </c>
      <c r="CV82" s="217">
        <f t="shared" si="231"/>
        <v>37.527561666427651</v>
      </c>
      <c r="CW82" s="443">
        <f t="shared" si="232"/>
        <v>15</v>
      </c>
      <c r="CX82" s="217">
        <f t="shared" si="233"/>
        <v>19.23586206896552</v>
      </c>
      <c r="CY82" s="217">
        <f t="shared" si="234"/>
        <v>3.9798335315101081</v>
      </c>
      <c r="CZ82" s="217">
        <f t="shared" si="235"/>
        <v>14.702569734241163</v>
      </c>
      <c r="DA82" s="197">
        <f t="shared" si="236"/>
        <v>102.962460425147</v>
      </c>
      <c r="DB82" s="443">
        <f t="shared" si="291"/>
        <v>53.526304179142095</v>
      </c>
      <c r="DD82" s="217">
        <f t="shared" si="237"/>
        <v>10</v>
      </c>
      <c r="DE82" s="173">
        <f t="shared" si="238"/>
        <v>7.6433121019108281</v>
      </c>
      <c r="DF82" s="173">
        <f t="shared" si="239"/>
        <v>3.9348710990502043</v>
      </c>
      <c r="DG82" s="173"/>
      <c r="DH82" s="173">
        <f t="shared" si="240"/>
        <v>7.6433121019108281</v>
      </c>
      <c r="DI82" s="545">
        <f t="shared" si="241"/>
        <v>201.48333333333335</v>
      </c>
      <c r="DJ82" s="528">
        <f t="shared" si="242"/>
        <v>3.9348710990502034</v>
      </c>
      <c r="DL82" s="173">
        <f t="shared" si="243"/>
        <v>7.4654760955570234</v>
      </c>
      <c r="DM82" s="173">
        <f t="shared" si="244"/>
        <v>19.23586206896552</v>
      </c>
      <c r="DN82" s="173">
        <f t="shared" si="245"/>
        <v>8.0413793103448299</v>
      </c>
      <c r="DP82" s="545">
        <f t="shared" si="246"/>
        <v>7700</v>
      </c>
      <c r="DQ82" s="460">
        <f t="shared" si="247"/>
        <v>53.526304179142095</v>
      </c>
      <c r="DS82">
        <f t="shared" si="292"/>
        <v>7700</v>
      </c>
      <c r="DT82">
        <f t="shared" si="248"/>
        <v>53.526304179142095</v>
      </c>
      <c r="DV82" s="5">
        <f t="shared" si="293"/>
        <v>18.682403265751269</v>
      </c>
      <c r="DW82" s="5">
        <f t="shared" si="249"/>
        <v>3.9798335315101081</v>
      </c>
      <c r="DX82" s="5">
        <f t="shared" si="294"/>
        <v>14.702569734241161</v>
      </c>
      <c r="DY82" s="173">
        <f t="shared" si="295"/>
        <v>0.21302578018995932</v>
      </c>
      <c r="EA82" s="5">
        <f t="shared" si="250"/>
        <v>204.29812128418556</v>
      </c>
      <c r="EB82" s="5">
        <f t="shared" si="251"/>
        <v>9.5764744351961966</v>
      </c>
      <c r="EC82" s="5">
        <f t="shared" si="252"/>
        <v>10.095997647472377</v>
      </c>
      <c r="ED82" s="5"/>
      <c r="EE82" s="173">
        <f t="shared" si="296"/>
        <v>5.1258643536349213</v>
      </c>
      <c r="EF82" s="173">
        <f t="shared" si="253"/>
        <v>9.8521559978966202</v>
      </c>
      <c r="EG82" s="173">
        <f t="shared" si="254"/>
        <v>0.24263348888937558</v>
      </c>
      <c r="EH82" s="173"/>
      <c r="EI82" s="528">
        <f t="shared" si="255"/>
        <v>0.52548970743730306</v>
      </c>
      <c r="EJ82" s="528">
        <f t="shared" si="256"/>
        <v>1.5176666666666669</v>
      </c>
      <c r="EK82" s="528">
        <f t="shared" si="257"/>
        <v>6.6907880223927617E-3</v>
      </c>
      <c r="EL82" s="528">
        <f t="shared" si="258"/>
        <v>2.9073829114680434E-2</v>
      </c>
      <c r="EM82">
        <f t="shared" si="259"/>
        <v>2.6099999999999998E-2</v>
      </c>
      <c r="EN82" s="460">
        <f t="shared" si="297"/>
        <v>32.790788022392761</v>
      </c>
      <c r="EO82">
        <f t="shared" si="260"/>
        <v>2.5674678937219144</v>
      </c>
      <c r="EP82" s="460">
        <f t="shared" si="298"/>
        <v>2567.4678937219146</v>
      </c>
      <c r="EQ82" s="173">
        <f t="shared" si="261"/>
        <v>4.7836249999999998</v>
      </c>
      <c r="ER82" s="173">
        <f t="shared" si="262"/>
        <v>8.5421874999999994E-2</v>
      </c>
      <c r="ES82" s="528"/>
      <c r="EU82" s="460">
        <f t="shared" si="299"/>
        <v>4869.046875</v>
      </c>
      <c r="EV82" s="528">
        <f t="shared" si="263"/>
        <v>0.78823456115595447</v>
      </c>
      <c r="EW82" s="528">
        <f t="shared" si="300"/>
        <v>2.9119493342067106</v>
      </c>
      <c r="EX82" s="528">
        <f t="shared" si="264"/>
        <v>2.9435504965315371E-4</v>
      </c>
      <c r="EY82" s="528">
        <f t="shared" si="265"/>
        <v>1.7008549743586525</v>
      </c>
      <c r="EZ82" s="528">
        <f t="shared" si="266"/>
        <v>8.9343605593744773</v>
      </c>
      <c r="FA82" s="625">
        <f t="shared" si="267"/>
        <v>1.9805716870194487E-2</v>
      </c>
      <c r="FB82" s="460">
        <f t="shared" si="301"/>
        <v>8954.1662762446722</v>
      </c>
      <c r="FC82" s="173">
        <f t="shared" si="302"/>
        <v>16.390681044966584</v>
      </c>
      <c r="FD82" s="5">
        <f t="shared" si="303"/>
        <v>117.04</v>
      </c>
      <c r="FE82" s="173">
        <f t="shared" si="304"/>
        <v>0.87715957891691432</v>
      </c>
      <c r="FF82" s="5">
        <f t="shared" si="305"/>
        <v>87.715957891691431</v>
      </c>
      <c r="FG82">
        <f t="shared" si="306"/>
        <v>77</v>
      </c>
      <c r="FI82" s="562">
        <f t="shared" si="268"/>
        <v>-50</v>
      </c>
      <c r="FJ82">
        <f t="shared" si="269"/>
        <v>-50</v>
      </c>
      <c r="FL82">
        <f t="shared" si="270"/>
        <v>0.78697421981004068</v>
      </c>
    </row>
    <row r="83" spans="5:168">
      <c r="E83" s="170">
        <v>78</v>
      </c>
      <c r="F83" s="217">
        <f t="shared" si="307"/>
        <v>7.8000000000000007</v>
      </c>
      <c r="G83" s="217">
        <f t="shared" si="271"/>
        <v>0.19500000000000001</v>
      </c>
      <c r="H83" s="217">
        <f t="shared" si="176"/>
        <v>117.00000000000001</v>
      </c>
      <c r="I83" s="217">
        <f t="shared" si="308"/>
        <v>1.56</v>
      </c>
      <c r="J83" s="541">
        <f t="shared" si="177"/>
        <v>57.447268765148337</v>
      </c>
      <c r="K83" s="443">
        <f t="shared" si="178"/>
        <v>15.997341379310344</v>
      </c>
      <c r="L83" s="172">
        <f t="shared" si="179"/>
        <v>73.444610144458679</v>
      </c>
      <c r="M83" s="443"/>
      <c r="N83" s="217">
        <f t="shared" si="180"/>
        <v>0.21781504929830889</v>
      </c>
      <c r="O83" s="172">
        <f t="shared" si="272"/>
        <v>308.70591311185819</v>
      </c>
      <c r="P83" s="172">
        <f t="shared" si="181"/>
        <v>4.1709598927113287</v>
      </c>
      <c r="Q83" s="217">
        <f t="shared" si="182"/>
        <v>20.580394207457214</v>
      </c>
      <c r="R83" s="217">
        <f t="shared" si="183"/>
        <v>38.588239138982274</v>
      </c>
      <c r="S83" s="443">
        <f t="shared" si="184"/>
        <v>15</v>
      </c>
      <c r="T83" s="217">
        <f t="shared" si="185"/>
        <v>18.950074331359762</v>
      </c>
      <c r="U83" s="217">
        <f t="shared" si="186"/>
        <v>3.9584282571545848</v>
      </c>
      <c r="V83" s="217">
        <f t="shared" si="187"/>
        <v>14.214917753172342</v>
      </c>
      <c r="W83" s="197">
        <f t="shared" si="188"/>
        <v>104.27399731778318</v>
      </c>
      <c r="X83" s="443">
        <f t="shared" si="273"/>
        <v>54.42666781749714</v>
      </c>
      <c r="Z83" s="217">
        <f t="shared" si="189"/>
        <v>10</v>
      </c>
      <c r="AA83" s="173">
        <f t="shared" si="190"/>
        <v>7.5012464355607369</v>
      </c>
      <c r="AB83" s="173">
        <f t="shared" si="191"/>
        <v>3.9109247535084548</v>
      </c>
      <c r="AC83" s="173"/>
      <c r="AD83" s="173">
        <f t="shared" si="192"/>
        <v>7.5012464355607369</v>
      </c>
      <c r="AE83" s="545">
        <f t="shared" si="193"/>
        <v>207.96543793103447</v>
      </c>
      <c r="AF83" s="528">
        <f t="shared" si="194"/>
        <v>3.9109247535084548</v>
      </c>
      <c r="AH83" s="173">
        <f t="shared" si="195"/>
        <v>7.5137968336349674</v>
      </c>
      <c r="AI83" s="173">
        <f t="shared" si="196"/>
        <v>18.950074331359762</v>
      </c>
      <c r="AJ83" s="173">
        <f t="shared" si="197"/>
        <v>7.8296846898961201</v>
      </c>
      <c r="AL83" s="545">
        <f t="shared" si="198"/>
        <v>7800.0000000000009</v>
      </c>
      <c r="AM83" s="460">
        <f t="shared" si="199"/>
        <v>54.42666781749714</v>
      </c>
      <c r="AO83">
        <f t="shared" si="274"/>
        <v>7800.0000000000009</v>
      </c>
      <c r="AP83">
        <f t="shared" si="200"/>
        <v>54.42666781749714</v>
      </c>
      <c r="AR83" s="5">
        <f t="shared" si="275"/>
        <v>18.373346010326927</v>
      </c>
      <c r="AS83" s="5">
        <f t="shared" si="201"/>
        <v>3.9584282571545848</v>
      </c>
      <c r="AT83" s="5">
        <f t="shared" si="276"/>
        <v>14.414917753172341</v>
      </c>
      <c r="AU83" s="173">
        <f t="shared" si="277"/>
        <v>0.21544405983154674</v>
      </c>
      <c r="AW83" s="5">
        <f t="shared" si="202"/>
        <v>205.83826937203841</v>
      </c>
      <c r="AX83" s="5">
        <f t="shared" si="203"/>
        <v>9.6486688768143001</v>
      </c>
      <c r="AY83" s="5">
        <f t="shared" si="204"/>
        <v>10.123499061349836</v>
      </c>
      <c r="AZ83" s="5"/>
      <c r="BA83" s="173">
        <f t="shared" si="278"/>
        <v>5.0782906388180242</v>
      </c>
      <c r="BB83" s="173">
        <f t="shared" si="205"/>
        <v>9.6908584024178808</v>
      </c>
      <c r="BC83" s="173">
        <f t="shared" si="206"/>
        <v>0.23866114026346785</v>
      </c>
      <c r="BD83" s="173"/>
      <c r="BE83" s="528">
        <f t="shared" si="207"/>
        <v>0.51578071624613553</v>
      </c>
      <c r="BF83" s="528">
        <f t="shared" si="208"/>
        <v>1.4203123583474193</v>
      </c>
      <c r="BG83" s="528">
        <f t="shared" si="209"/>
        <v>7.8166585352580198E-2</v>
      </c>
      <c r="BH83" s="528">
        <f t="shared" si="210"/>
        <v>2.935834744656584E-2</v>
      </c>
      <c r="BI83">
        <f t="shared" si="211"/>
        <v>2.5851270944316752E-2</v>
      </c>
      <c r="BJ83" s="460">
        <f t="shared" si="279"/>
        <v>104.01785629689694</v>
      </c>
      <c r="BK83">
        <f t="shared" si="212"/>
        <v>2.3986677437202419</v>
      </c>
      <c r="BL83" s="460">
        <f t="shared" si="280"/>
        <v>2398.667743720242</v>
      </c>
      <c r="BM83" s="173">
        <f t="shared" si="213"/>
        <v>4.8457499999999998</v>
      </c>
      <c r="BN83" s="173">
        <f t="shared" si="214"/>
        <v>8.6531250000000004E-2</v>
      </c>
      <c r="BO83" s="528"/>
      <c r="BQ83" s="460">
        <f t="shared" si="281"/>
        <v>4932.28125</v>
      </c>
      <c r="BR83" s="528">
        <f t="shared" si="215"/>
        <v>0.77367107436920324</v>
      </c>
      <c r="BS83" s="528">
        <f t="shared" si="216"/>
        <v>2.817382097271397</v>
      </c>
      <c r="BT83" s="528">
        <f t="shared" si="217"/>
        <v>2.8479569935929336E-4</v>
      </c>
      <c r="BU83" s="528">
        <f t="shared" si="218"/>
        <v>1.7081525920384428</v>
      </c>
      <c r="BV83" s="528">
        <f t="shared" si="219"/>
        <v>8.6452539799911108</v>
      </c>
      <c r="BW83" s="625">
        <f t="shared" si="220"/>
        <v>1.9544905808785255E-2</v>
      </c>
      <c r="BX83" s="460">
        <f t="shared" si="282"/>
        <v>8664.7988857998971</v>
      </c>
      <c r="BY83" s="173">
        <f t="shared" si="283"/>
        <v>15.995747879520138</v>
      </c>
      <c r="BZ83" s="5">
        <f t="shared" si="284"/>
        <v>118.56000000000002</v>
      </c>
      <c r="CA83" s="173">
        <f t="shared" si="285"/>
        <v>0.88112177939925274</v>
      </c>
      <c r="CB83" s="5">
        <f t="shared" si="286"/>
        <v>88.112177939925274</v>
      </c>
      <c r="CC83">
        <f t="shared" si="287"/>
        <v>78</v>
      </c>
      <c r="CE83" s="562">
        <f t="shared" si="221"/>
        <v>-50</v>
      </c>
      <c r="CF83">
        <f t="shared" si="222"/>
        <v>-50</v>
      </c>
      <c r="CG83" s="173">
        <f t="shared" si="223"/>
        <v>0.78697421981004068</v>
      </c>
      <c r="CH83" s="173">
        <f t="shared" si="224"/>
        <v>9.2345221451934009E-2</v>
      </c>
      <c r="CI83" s="170">
        <v>78</v>
      </c>
      <c r="CJ83" s="217">
        <f t="shared" si="309"/>
        <v>7.8000000000000007</v>
      </c>
      <c r="CK83" s="217">
        <f t="shared" si="288"/>
        <v>0.19500000000000001</v>
      </c>
      <c r="CL83" s="217">
        <f t="shared" si="225"/>
        <v>117.00000000000001</v>
      </c>
      <c r="CM83" s="217">
        <f t="shared" si="310"/>
        <v>1.56</v>
      </c>
      <c r="CN83" s="541">
        <f t="shared" si="289"/>
        <v>58</v>
      </c>
      <c r="CO83" s="443">
        <f t="shared" si="226"/>
        <v>15.7</v>
      </c>
      <c r="CP83" s="443">
        <f t="shared" si="227"/>
        <v>73.7</v>
      </c>
      <c r="CQ83" s="443"/>
      <c r="CR83" s="217">
        <f t="shared" si="228"/>
        <v>0.2098092643051771</v>
      </c>
      <c r="CS83" s="172">
        <f t="shared" si="290"/>
        <v>300.22049333142121</v>
      </c>
      <c r="CT83" s="172">
        <f t="shared" si="229"/>
        <v>4.0563124432334243</v>
      </c>
      <c r="CU83" s="217">
        <f t="shared" si="230"/>
        <v>20.014699555428081</v>
      </c>
      <c r="CV83" s="217">
        <f t="shared" si="231"/>
        <v>37.527561666427651</v>
      </c>
      <c r="CW83" s="443">
        <f t="shared" si="232"/>
        <v>15</v>
      </c>
      <c r="CX83" s="217">
        <f t="shared" si="233"/>
        <v>19.485678459471565</v>
      </c>
      <c r="CY83" s="217">
        <f t="shared" si="234"/>
        <v>4.0315196812699794</v>
      </c>
      <c r="CZ83" s="217">
        <f t="shared" si="235"/>
        <v>14.893512198322215</v>
      </c>
      <c r="DA83" s="197">
        <f t="shared" si="236"/>
        <v>102.962460425147</v>
      </c>
      <c r="DB83" s="443">
        <f t="shared" si="291"/>
        <v>52.840069510178736</v>
      </c>
      <c r="DD83" s="217">
        <f t="shared" si="237"/>
        <v>10</v>
      </c>
      <c r="DE83" s="173">
        <f t="shared" si="238"/>
        <v>7.6433121019108281</v>
      </c>
      <c r="DF83" s="173">
        <f t="shared" si="239"/>
        <v>3.9348710990502043</v>
      </c>
      <c r="DG83" s="173"/>
      <c r="DH83" s="173">
        <f t="shared" si="240"/>
        <v>7.6433121019108281</v>
      </c>
      <c r="DI83" s="545">
        <f t="shared" si="241"/>
        <v>204.10000000000002</v>
      </c>
      <c r="DJ83" s="528">
        <f t="shared" si="242"/>
        <v>3.9348710990502034</v>
      </c>
      <c r="DL83" s="173">
        <f t="shared" si="243"/>
        <v>7.5137968336349674</v>
      </c>
      <c r="DM83" s="173">
        <f t="shared" si="244"/>
        <v>19.485678459471565</v>
      </c>
      <c r="DN83" s="173">
        <f t="shared" si="245"/>
        <v>8.2264284884974543</v>
      </c>
      <c r="DP83" s="545">
        <f t="shared" si="246"/>
        <v>7800.0000000000009</v>
      </c>
      <c r="DQ83" s="460">
        <f t="shared" si="247"/>
        <v>52.840069510178736</v>
      </c>
      <c r="DS83">
        <f t="shared" si="292"/>
        <v>7800.0000000000009</v>
      </c>
      <c r="DT83">
        <f t="shared" si="248"/>
        <v>52.840069510178736</v>
      </c>
      <c r="DV83" s="5">
        <f t="shared" si="293"/>
        <v>18.925031879592193</v>
      </c>
      <c r="DW83" s="5">
        <f t="shared" si="249"/>
        <v>4.0315196812699794</v>
      </c>
      <c r="DX83" s="5">
        <f t="shared" si="294"/>
        <v>14.893512198322213</v>
      </c>
      <c r="DY83" s="173">
        <f t="shared" si="295"/>
        <v>0.21302578018995932</v>
      </c>
      <c r="EA83" s="5">
        <f t="shared" si="250"/>
        <v>209.63902342603893</v>
      </c>
      <c r="EB83" s="5">
        <f t="shared" si="251"/>
        <v>9.8268292230955758</v>
      </c>
      <c r="EC83" s="5">
        <f t="shared" si="252"/>
        <v>10.359934168868604</v>
      </c>
      <c r="ED83" s="5"/>
      <c r="EE83" s="173">
        <f t="shared" si="296"/>
        <v>5.1924340205652442</v>
      </c>
      <c r="EF83" s="173">
        <f t="shared" si="253"/>
        <v>9.9801060757913813</v>
      </c>
      <c r="EG83" s="173">
        <f t="shared" si="254"/>
        <v>0.24578457316066615</v>
      </c>
      <c r="EH83" s="173"/>
      <c r="EI83" s="528">
        <f t="shared" si="255"/>
        <v>0.539227421158467</v>
      </c>
      <c r="EJ83" s="528">
        <f t="shared" si="256"/>
        <v>1.5176666666666669</v>
      </c>
      <c r="EK83" s="528">
        <f t="shared" si="257"/>
        <v>6.605008688772342E-3</v>
      </c>
      <c r="EL83" s="528">
        <f t="shared" si="258"/>
        <v>2.8701087715774277E-2</v>
      </c>
      <c r="EM83">
        <f t="shared" si="259"/>
        <v>2.6099999999999998E-2</v>
      </c>
      <c r="EN83" s="460">
        <f t="shared" si="297"/>
        <v>32.705008688772338</v>
      </c>
      <c r="EO83">
        <f t="shared" si="260"/>
        <v>2.596564570975354</v>
      </c>
      <c r="EP83" s="460">
        <f t="shared" si="298"/>
        <v>2596.5645709753539</v>
      </c>
      <c r="EQ83" s="173">
        <f t="shared" si="261"/>
        <v>4.8457499999999998</v>
      </c>
      <c r="ER83" s="173">
        <f t="shared" si="262"/>
        <v>8.6531250000000004E-2</v>
      </c>
      <c r="ES83" s="528"/>
      <c r="EU83" s="460">
        <f t="shared" si="299"/>
        <v>4932.28125</v>
      </c>
      <c r="EV83" s="528">
        <f t="shared" si="263"/>
        <v>0.80884113173770045</v>
      </c>
      <c r="EW83" s="528">
        <f t="shared" si="300"/>
        <v>2.9880755185214412</v>
      </c>
      <c r="EX83" s="528">
        <f t="shared" si="264"/>
        <v>3.0205028201885428E-4</v>
      </c>
      <c r="EY83" s="528">
        <f t="shared" si="265"/>
        <v>1.7008549743586536</v>
      </c>
      <c r="EZ83" s="528">
        <f t="shared" si="266"/>
        <v>9.2059738468727303</v>
      </c>
      <c r="FA83" s="625">
        <f t="shared" si="267"/>
        <v>2.0062933972404804E-2</v>
      </c>
      <c r="FB83" s="460">
        <f t="shared" si="301"/>
        <v>9226.0367808451356</v>
      </c>
      <c r="FC83" s="173">
        <f t="shared" si="302"/>
        <v>16.754882601820491</v>
      </c>
      <c r="FD83" s="5">
        <f t="shared" si="303"/>
        <v>118.56000000000002</v>
      </c>
      <c r="FE83" s="173">
        <f t="shared" si="304"/>
        <v>0.87617856750374135</v>
      </c>
      <c r="FF83" s="5">
        <f t="shared" si="305"/>
        <v>87.617856750374131</v>
      </c>
      <c r="FG83">
        <f t="shared" si="306"/>
        <v>78</v>
      </c>
      <c r="FI83" s="562">
        <f t="shared" si="268"/>
        <v>-50</v>
      </c>
      <c r="FJ83">
        <f t="shared" si="269"/>
        <v>-50</v>
      </c>
      <c r="FL83">
        <f t="shared" si="270"/>
        <v>0.78697421981004068</v>
      </c>
    </row>
    <row r="84" spans="5:168">
      <c r="E84" s="170">
        <v>79</v>
      </c>
      <c r="F84" s="217">
        <f t="shared" si="307"/>
        <v>7.9</v>
      </c>
      <c r="G84" s="217">
        <f t="shared" si="271"/>
        <v>0.19750000000000001</v>
      </c>
      <c r="H84" s="217">
        <f t="shared" si="176"/>
        <v>118.5</v>
      </c>
      <c r="I84" s="217">
        <f t="shared" si="308"/>
        <v>1.58</v>
      </c>
      <c r="J84" s="541">
        <f t="shared" si="177"/>
        <v>57.440182467265622</v>
      </c>
      <c r="K84" s="443">
        <f t="shared" si="178"/>
        <v>16.001153448275861</v>
      </c>
      <c r="L84" s="172">
        <f t="shared" si="179"/>
        <v>73.441335915541487</v>
      </c>
      <c r="M84" s="443"/>
      <c r="N84" s="217">
        <f t="shared" si="180"/>
        <v>0.21787666644132672</v>
      </c>
      <c r="O84" s="172">
        <f t="shared" si="272"/>
        <v>308.75515153986947</v>
      </c>
      <c r="P84" s="172">
        <f t="shared" si="181"/>
        <v>4.171625158583125</v>
      </c>
      <c r="Q84" s="217">
        <f t="shared" si="182"/>
        <v>20.583676769324633</v>
      </c>
      <c r="R84" s="217">
        <f t="shared" si="183"/>
        <v>38.594393942483684</v>
      </c>
      <c r="S84" s="443">
        <f t="shared" si="184"/>
        <v>15</v>
      </c>
      <c r="T84" s="217">
        <f t="shared" si="185"/>
        <v>19.189963213407005</v>
      </c>
      <c r="U84" s="217">
        <f t="shared" si="186"/>
        <v>4.0090325042424304</v>
      </c>
      <c r="V84" s="217">
        <f t="shared" si="187"/>
        <v>14.391434924067731</v>
      </c>
      <c r="W84" s="197">
        <f t="shared" si="188"/>
        <v>104.29062896457813</v>
      </c>
      <c r="X84" s="443">
        <f t="shared" si="273"/>
        <v>53.762089789097807</v>
      </c>
      <c r="Z84" s="217">
        <f t="shared" si="189"/>
        <v>10</v>
      </c>
      <c r="AA84" s="173">
        <f t="shared" si="190"/>
        <v>7.4994593600956998</v>
      </c>
      <c r="AB84" s="173">
        <f t="shared" si="191"/>
        <v>3.910616667793366</v>
      </c>
      <c r="AC84" s="173"/>
      <c r="AD84" s="173">
        <f t="shared" si="192"/>
        <v>7.4994593600956998</v>
      </c>
      <c r="AE84" s="545">
        <f t="shared" si="193"/>
        <v>210.68185373563222</v>
      </c>
      <c r="AF84" s="528">
        <f t="shared" si="194"/>
        <v>3.910616667793366</v>
      </c>
      <c r="AH84" s="173">
        <f t="shared" si="195"/>
        <v>7.5618088035173425</v>
      </c>
      <c r="AI84" s="173">
        <f t="shared" si="196"/>
        <v>19.189963213407005</v>
      </c>
      <c r="AJ84" s="173">
        <f t="shared" si="197"/>
        <v>8.0073801580792612</v>
      </c>
      <c r="AL84" s="545">
        <f t="shared" si="198"/>
        <v>7900</v>
      </c>
      <c r="AM84" s="460">
        <f t="shared" si="199"/>
        <v>53.762089789097807</v>
      </c>
      <c r="AO84">
        <f t="shared" si="274"/>
        <v>7900</v>
      </c>
      <c r="AP84">
        <f t="shared" si="200"/>
        <v>53.762089789097807</v>
      </c>
      <c r="AR84" s="5">
        <f t="shared" si="275"/>
        <v>18.600467428310161</v>
      </c>
      <c r="AS84" s="5">
        <f t="shared" si="201"/>
        <v>4.0090325042424304</v>
      </c>
      <c r="AT84" s="5">
        <f t="shared" si="276"/>
        <v>14.59143492406773</v>
      </c>
      <c r="AU84" s="173">
        <f t="shared" si="277"/>
        <v>0.21553396546049317</v>
      </c>
      <c r="AW84" s="5">
        <f t="shared" si="202"/>
        <v>211.14237855676802</v>
      </c>
      <c r="AX84" s="5">
        <f t="shared" si="203"/>
        <v>9.8972989948485015</v>
      </c>
      <c r="AY84" s="5">
        <f t="shared" si="204"/>
        <v>10.380124062330394</v>
      </c>
      <c r="AZ84" s="5"/>
      <c r="BA84" s="173">
        <f t="shared" si="278"/>
        <v>5.143649587354898</v>
      </c>
      <c r="BB84" s="173">
        <f t="shared" si="205"/>
        <v>9.8129726196062439</v>
      </c>
      <c r="BC84" s="173">
        <f t="shared" si="206"/>
        <v>0.24166850216128322</v>
      </c>
      <c r="BD84" s="173"/>
      <c r="BE84" s="528">
        <f t="shared" si="207"/>
        <v>0.5291426215499242</v>
      </c>
      <c r="BF84" s="528">
        <f t="shared" si="208"/>
        <v>1.4206664496415544</v>
      </c>
      <c r="BG84" s="528">
        <f t="shared" si="209"/>
        <v>7.720260618268239E-2</v>
      </c>
      <c r="BH84" s="528">
        <f t="shared" si="210"/>
        <v>2.8997281072895127E-2</v>
      </c>
      <c r="BI84">
        <f t="shared" si="211"/>
        <v>2.5848082110269528E-2</v>
      </c>
      <c r="BJ84" s="460">
        <f t="shared" si="279"/>
        <v>103.05068829295192</v>
      </c>
      <c r="BK84">
        <f t="shared" si="212"/>
        <v>2.4267800514690445</v>
      </c>
      <c r="BL84" s="460">
        <f t="shared" si="280"/>
        <v>2426.7800514690443</v>
      </c>
      <c r="BM84" s="173">
        <f t="shared" si="213"/>
        <v>4.9078749999999998</v>
      </c>
      <c r="BN84" s="173">
        <f t="shared" si="214"/>
        <v>8.7640625E-2</v>
      </c>
      <c r="BO84" s="528"/>
      <c r="BQ84" s="460">
        <f t="shared" si="281"/>
        <v>4995.5156249999991</v>
      </c>
      <c r="BR84" s="528">
        <f t="shared" si="215"/>
        <v>0.7937139323248863</v>
      </c>
      <c r="BS84" s="528">
        <f t="shared" si="216"/>
        <v>2.8888329489942546</v>
      </c>
      <c r="BT84" s="528">
        <f t="shared" si="217"/>
        <v>2.9201832468439076E-4</v>
      </c>
      <c r="BU84" s="528">
        <f t="shared" si="218"/>
        <v>1.7094079306437391</v>
      </c>
      <c r="BV84" s="528">
        <f t="shared" si="219"/>
        <v>8.8976033424587104</v>
      </c>
      <c r="BW84" s="625">
        <f t="shared" si="220"/>
        <v>1.9798141608604176E-2</v>
      </c>
      <c r="BX84" s="460">
        <f t="shared" si="282"/>
        <v>8917.4014840673135</v>
      </c>
      <c r="BY84" s="173">
        <f t="shared" si="283"/>
        <v>16.339697160536357</v>
      </c>
      <c r="BZ84" s="5">
        <f t="shared" si="284"/>
        <v>120.08</v>
      </c>
      <c r="CA84" s="173">
        <f t="shared" si="285"/>
        <v>0.88022479524120278</v>
      </c>
      <c r="CB84" s="5">
        <f t="shared" si="286"/>
        <v>88.022479524120286</v>
      </c>
      <c r="CC84">
        <f t="shared" si="287"/>
        <v>79</v>
      </c>
      <c r="CE84" s="562">
        <f t="shared" si="221"/>
        <v>-50</v>
      </c>
      <c r="CF84">
        <f t="shared" si="222"/>
        <v>-50</v>
      </c>
      <c r="CG84" s="173">
        <f t="shared" si="223"/>
        <v>0.78697421981004068</v>
      </c>
      <c r="CH84" s="173">
        <f t="shared" si="224"/>
        <v>9.2345221451934023E-2</v>
      </c>
      <c r="CI84" s="170">
        <v>79</v>
      </c>
      <c r="CJ84" s="217">
        <f t="shared" si="309"/>
        <v>7.9</v>
      </c>
      <c r="CK84" s="217">
        <f t="shared" si="288"/>
        <v>0.19750000000000001</v>
      </c>
      <c r="CL84" s="217">
        <f t="shared" si="225"/>
        <v>118.5</v>
      </c>
      <c r="CM84" s="217">
        <f t="shared" si="310"/>
        <v>1.58</v>
      </c>
      <c r="CN84" s="541">
        <f t="shared" si="289"/>
        <v>58</v>
      </c>
      <c r="CO84" s="443">
        <f t="shared" si="226"/>
        <v>15.7</v>
      </c>
      <c r="CP84" s="443">
        <f t="shared" si="227"/>
        <v>73.7</v>
      </c>
      <c r="CQ84" s="443"/>
      <c r="CR84" s="217">
        <f t="shared" si="228"/>
        <v>0.2098092643051771</v>
      </c>
      <c r="CS84" s="172">
        <f t="shared" si="290"/>
        <v>300.22049333142121</v>
      </c>
      <c r="CT84" s="172">
        <f t="shared" si="229"/>
        <v>4.0563124432334243</v>
      </c>
      <c r="CU84" s="217">
        <f t="shared" si="230"/>
        <v>20.014699555428081</v>
      </c>
      <c r="CV84" s="217">
        <f t="shared" si="231"/>
        <v>37.527561666427651</v>
      </c>
      <c r="CW84" s="443">
        <f t="shared" si="232"/>
        <v>15</v>
      </c>
      <c r="CX84" s="217">
        <f t="shared" si="233"/>
        <v>19.735494849977609</v>
      </c>
      <c r="CY84" s="217">
        <f t="shared" si="234"/>
        <v>4.0832058310298498</v>
      </c>
      <c r="CZ84" s="217">
        <f t="shared" si="235"/>
        <v>15.084454662403269</v>
      </c>
      <c r="DA84" s="197">
        <f t="shared" si="236"/>
        <v>102.962460425147</v>
      </c>
      <c r="DB84" s="443">
        <f t="shared" si="291"/>
        <v>52.17120787080939</v>
      </c>
      <c r="DD84" s="217">
        <f t="shared" si="237"/>
        <v>10</v>
      </c>
      <c r="DE84" s="173">
        <f t="shared" si="238"/>
        <v>7.6433121019108281</v>
      </c>
      <c r="DF84" s="173">
        <f t="shared" si="239"/>
        <v>3.9348710990502043</v>
      </c>
      <c r="DG84" s="173"/>
      <c r="DH84" s="173">
        <f t="shared" si="240"/>
        <v>7.6433121019108281</v>
      </c>
      <c r="DI84" s="545">
        <f t="shared" si="241"/>
        <v>206.7166666666667</v>
      </c>
      <c r="DJ84" s="528">
        <f t="shared" si="242"/>
        <v>3.9348710990502034</v>
      </c>
      <c r="DL84" s="173">
        <f t="shared" si="243"/>
        <v>7.5618088035173425</v>
      </c>
      <c r="DM84" s="173">
        <f t="shared" si="244"/>
        <v>19.735494849977609</v>
      </c>
      <c r="DN84" s="173">
        <f t="shared" si="245"/>
        <v>8.4114776666500806</v>
      </c>
      <c r="DP84" s="545">
        <f t="shared" si="246"/>
        <v>7900</v>
      </c>
      <c r="DQ84" s="460">
        <f t="shared" si="247"/>
        <v>52.17120787080939</v>
      </c>
      <c r="DS84">
        <f t="shared" si="292"/>
        <v>7900</v>
      </c>
      <c r="DT84">
        <f t="shared" si="248"/>
        <v>52.17120787080939</v>
      </c>
      <c r="DV84" s="5">
        <f t="shared" si="293"/>
        <v>19.167660493433118</v>
      </c>
      <c r="DW84" s="5">
        <f t="shared" si="249"/>
        <v>4.0832058310298498</v>
      </c>
      <c r="DX84" s="5">
        <f t="shared" si="294"/>
        <v>15.084454662403267</v>
      </c>
      <c r="DY84" s="173">
        <f t="shared" si="295"/>
        <v>0.21302578018995927</v>
      </c>
      <c r="EA84" s="5">
        <f t="shared" si="250"/>
        <v>215.04884043423874</v>
      </c>
      <c r="EB84" s="5">
        <f t="shared" si="251"/>
        <v>10.080414395354943</v>
      </c>
      <c r="EC84" s="5">
        <f t="shared" si="252"/>
        <v>10.627276322798972</v>
      </c>
      <c r="ED84" s="5"/>
      <c r="EE84" s="173">
        <f t="shared" si="296"/>
        <v>5.2590036874955679</v>
      </c>
      <c r="EF84" s="173">
        <f t="shared" si="253"/>
        <v>10.108056153686141</v>
      </c>
      <c r="EG84" s="173">
        <f t="shared" si="254"/>
        <v>0.24893565743195678</v>
      </c>
      <c r="EH84" s="173"/>
      <c r="EI84" s="528">
        <f t="shared" si="255"/>
        <v>0.55314239570183965</v>
      </c>
      <c r="EJ84" s="528">
        <f t="shared" si="256"/>
        <v>1.5176666666666669</v>
      </c>
      <c r="EK84" s="528">
        <f t="shared" si="257"/>
        <v>6.5214009838511734E-3</v>
      </c>
      <c r="EL84" s="528">
        <f t="shared" si="258"/>
        <v>2.8337782807979668E-2</v>
      </c>
      <c r="EM84">
        <f t="shared" si="259"/>
        <v>2.6099999999999998E-2</v>
      </c>
      <c r="EN84" s="460">
        <f t="shared" si="297"/>
        <v>32.621400983851167</v>
      </c>
      <c r="EO84">
        <f t="shared" si="260"/>
        <v>2.6262798057614765</v>
      </c>
      <c r="EP84" s="460">
        <f t="shared" si="298"/>
        <v>2626.2798057614764</v>
      </c>
      <c r="EQ84" s="173">
        <f t="shared" si="261"/>
        <v>4.9078749999999998</v>
      </c>
      <c r="ER84" s="173">
        <f t="shared" si="262"/>
        <v>8.7640625E-2</v>
      </c>
      <c r="ES84" s="528"/>
      <c r="EU84" s="460">
        <f t="shared" si="299"/>
        <v>4995.5156249999991</v>
      </c>
      <c r="EV84" s="528">
        <f t="shared" si="263"/>
        <v>0.82971359355275942</v>
      </c>
      <c r="EW84" s="528">
        <f t="shared" si="300"/>
        <v>3.0651839761821678</v>
      </c>
      <c r="EX84" s="528">
        <f t="shared" si="264"/>
        <v>3.0984480770540271E-4</v>
      </c>
      <c r="EY84" s="528">
        <f t="shared" si="265"/>
        <v>1.7008549743586505</v>
      </c>
      <c r="EZ84" s="528">
        <f t="shared" si="266"/>
        <v>9.4873178283070416</v>
      </c>
      <c r="FA84" s="625">
        <f t="shared" si="267"/>
        <v>2.0320151074615121E-2</v>
      </c>
      <c r="FB84" s="460">
        <f t="shared" si="301"/>
        <v>9507.6379793816577</v>
      </c>
      <c r="FC84" s="173">
        <f t="shared" si="302"/>
        <v>17.129433410143132</v>
      </c>
      <c r="FD84" s="5">
        <f t="shared" si="303"/>
        <v>120.08</v>
      </c>
      <c r="FE84" s="173">
        <f t="shared" si="304"/>
        <v>0.87515848594068424</v>
      </c>
      <c r="FF84" s="5">
        <f t="shared" si="305"/>
        <v>87.51584859406843</v>
      </c>
      <c r="FG84">
        <f t="shared" si="306"/>
        <v>79</v>
      </c>
      <c r="FI84" s="562">
        <f t="shared" si="268"/>
        <v>-50</v>
      </c>
      <c r="FJ84">
        <f t="shared" si="269"/>
        <v>-50</v>
      </c>
      <c r="FL84">
        <f t="shared" si="270"/>
        <v>0.78697421981004068</v>
      </c>
    </row>
    <row r="85" spans="5:168">
      <c r="E85" s="170">
        <v>80</v>
      </c>
      <c r="F85" s="217">
        <f t="shared" si="307"/>
        <v>8</v>
      </c>
      <c r="G85" s="217">
        <f t="shared" si="271"/>
        <v>0.2</v>
      </c>
      <c r="H85" s="217">
        <f t="shared" si="176"/>
        <v>120</v>
      </c>
      <c r="I85" s="217">
        <f t="shared" si="308"/>
        <v>1.6</v>
      </c>
      <c r="J85" s="541">
        <f t="shared" si="177"/>
        <v>57.433096169382914</v>
      </c>
      <c r="K85" s="443">
        <f t="shared" si="178"/>
        <v>16.004965517241377</v>
      </c>
      <c r="L85" s="172">
        <f t="shared" si="179"/>
        <v>73.438061686624295</v>
      </c>
      <c r="M85" s="443"/>
      <c r="N85" s="217">
        <f t="shared" si="180"/>
        <v>0.21793828907873333</v>
      </c>
      <c r="O85" s="172">
        <f t="shared" si="272"/>
        <v>308.80437620846214</v>
      </c>
      <c r="P85" s="172">
        <f t="shared" si="181"/>
        <v>4.1722902385498886</v>
      </c>
      <c r="Q85" s="217">
        <f t="shared" si="182"/>
        <v>20.586958413897477</v>
      </c>
      <c r="R85" s="217">
        <f t="shared" si="183"/>
        <v>38.600547026057768</v>
      </c>
      <c r="S85" s="443">
        <f t="shared" si="184"/>
        <v>15</v>
      </c>
      <c r="T85" s="217">
        <f t="shared" si="185"/>
        <v>19.429776461294793</v>
      </c>
      <c r="U85" s="217">
        <f t="shared" si="186"/>
        <v>4.0596334358834669</v>
      </c>
      <c r="V85" s="217">
        <f t="shared" si="187"/>
        <v>14.567811301084554</v>
      </c>
      <c r="W85" s="197">
        <f t="shared" si="188"/>
        <v>104.30725596374722</v>
      </c>
      <c r="X85" s="443">
        <f t="shared" si="273"/>
        <v>53.113952210226508</v>
      </c>
      <c r="Z85" s="217">
        <f t="shared" si="189"/>
        <v>10</v>
      </c>
      <c r="AA85" s="173">
        <f t="shared" si="190"/>
        <v>7.4976731359233355</v>
      </c>
      <c r="AB85" s="173">
        <f t="shared" si="191"/>
        <v>3.9103085546063334</v>
      </c>
      <c r="AC85" s="173"/>
      <c r="AD85" s="173">
        <f t="shared" si="192"/>
        <v>7.4976731359233355</v>
      </c>
      <c r="AE85" s="545">
        <f t="shared" si="193"/>
        <v>213.39954022988502</v>
      </c>
      <c r="AF85" s="528">
        <f t="shared" si="194"/>
        <v>3.9103085546063334</v>
      </c>
      <c r="AH85" s="173">
        <f t="shared" si="195"/>
        <v>7.6095178496907341</v>
      </c>
      <c r="AI85" s="173">
        <f t="shared" si="196"/>
        <v>19.429776461294793</v>
      </c>
      <c r="AJ85" s="173">
        <f t="shared" si="197"/>
        <v>8.1850196009591052</v>
      </c>
      <c r="AL85" s="545">
        <f t="shared" si="198"/>
        <v>8000</v>
      </c>
      <c r="AM85" s="460">
        <f t="shared" si="199"/>
        <v>53.113952210226508</v>
      </c>
      <c r="AO85">
        <f t="shared" si="274"/>
        <v>8000</v>
      </c>
      <c r="AP85">
        <f t="shared" si="200"/>
        <v>53.113952210226508</v>
      </c>
      <c r="AR85" s="5">
        <f t="shared" si="275"/>
        <v>18.827444736968019</v>
      </c>
      <c r="AS85" s="5">
        <f t="shared" si="201"/>
        <v>4.0596334358834669</v>
      </c>
      <c r="AT85" s="5">
        <f t="shared" si="276"/>
        <v>14.767811301084553</v>
      </c>
      <c r="AU85" s="173">
        <f t="shared" si="277"/>
        <v>0.21562317630455211</v>
      </c>
      <c r="AW85" s="5">
        <f t="shared" si="202"/>
        <v>216.51378324711823</v>
      </c>
      <c r="AX85" s="5">
        <f t="shared" si="203"/>
        <v>10.149083589708669</v>
      </c>
      <c r="AY85" s="5">
        <f t="shared" si="204"/>
        <v>10.639890371558831</v>
      </c>
      <c r="AZ85" s="5"/>
      <c r="BA85" s="173">
        <f t="shared" si="278"/>
        <v>5.2090064639990121</v>
      </c>
      <c r="BB85" s="173">
        <f t="shared" si="205"/>
        <v>9.9350384718251039</v>
      </c>
      <c r="BC85" s="173">
        <f t="shared" si="206"/>
        <v>0.24467467295318301</v>
      </c>
      <c r="BD85" s="173"/>
      <c r="BE85" s="528">
        <f t="shared" si="207"/>
        <v>0.54267496683966987</v>
      </c>
      <c r="BF85" s="528">
        <f t="shared" si="208"/>
        <v>1.4210157786841486</v>
      </c>
      <c r="BG85" s="528">
        <f t="shared" si="209"/>
        <v>7.6262468130648672E-2</v>
      </c>
      <c r="BH85" s="528">
        <f t="shared" si="210"/>
        <v>2.8645145316501142E-2</v>
      </c>
      <c r="BI85">
        <f t="shared" si="211"/>
        <v>2.584489327622231E-2</v>
      </c>
      <c r="BJ85" s="460">
        <f t="shared" si="279"/>
        <v>102.10736140687099</v>
      </c>
      <c r="BK85">
        <f t="shared" si="212"/>
        <v>2.4554646996137</v>
      </c>
      <c r="BL85" s="460">
        <f t="shared" si="280"/>
        <v>2455.4646996136998</v>
      </c>
      <c r="BM85" s="173">
        <f t="shared" si="213"/>
        <v>4.97</v>
      </c>
      <c r="BN85" s="173">
        <f t="shared" si="214"/>
        <v>8.8749999999999996E-2</v>
      </c>
      <c r="BO85" s="528"/>
      <c r="BQ85" s="460">
        <f t="shared" si="281"/>
        <v>5058.75</v>
      </c>
      <c r="BR85" s="528">
        <f t="shared" si="215"/>
        <v>0.81401245025950475</v>
      </c>
      <c r="BS85" s="528">
        <f t="shared" si="216"/>
        <v>2.9611496830993467</v>
      </c>
      <c r="BT85" s="528">
        <f t="shared" si="217"/>
        <v>2.9932847792373533E-4</v>
      </c>
      <c r="BU85" s="528">
        <f t="shared" si="218"/>
        <v>1.7106496023451714</v>
      </c>
      <c r="BV85" s="528">
        <f t="shared" si="219"/>
        <v>9.1583952937190602</v>
      </c>
      <c r="BW85" s="625">
        <f t="shared" si="220"/>
        <v>2.0051378113707885E-2</v>
      </c>
      <c r="BX85" s="460">
        <f t="shared" si="282"/>
        <v>9178.4466718327676</v>
      </c>
      <c r="BY85" s="173">
        <f t="shared" si="283"/>
        <v>16.692661371446466</v>
      </c>
      <c r="BZ85" s="5">
        <f t="shared" si="284"/>
        <v>121.6</v>
      </c>
      <c r="CA85" s="173">
        <f t="shared" si="285"/>
        <v>0.87929466968163339</v>
      </c>
      <c r="CB85" s="5">
        <f t="shared" si="286"/>
        <v>87.929466968163339</v>
      </c>
      <c r="CC85">
        <f t="shared" si="287"/>
        <v>80</v>
      </c>
      <c r="CE85" s="562">
        <f t="shared" si="221"/>
        <v>-50</v>
      </c>
      <c r="CF85">
        <f t="shared" si="222"/>
        <v>-50</v>
      </c>
      <c r="CG85" s="173">
        <f t="shared" si="223"/>
        <v>0.78697421981004068</v>
      </c>
      <c r="CH85" s="173">
        <f t="shared" si="224"/>
        <v>9.2345221451934009E-2</v>
      </c>
      <c r="CI85" s="170">
        <v>80</v>
      </c>
      <c r="CJ85" s="217">
        <f t="shared" si="309"/>
        <v>8</v>
      </c>
      <c r="CK85" s="217">
        <f t="shared" si="288"/>
        <v>0.2</v>
      </c>
      <c r="CL85" s="217">
        <f t="shared" si="225"/>
        <v>120</v>
      </c>
      <c r="CM85" s="217">
        <f t="shared" si="310"/>
        <v>1.6</v>
      </c>
      <c r="CN85" s="541">
        <f t="shared" si="289"/>
        <v>58</v>
      </c>
      <c r="CO85" s="443">
        <f t="shared" si="226"/>
        <v>15.7</v>
      </c>
      <c r="CP85" s="443">
        <f t="shared" si="227"/>
        <v>73.7</v>
      </c>
      <c r="CQ85" s="443"/>
      <c r="CR85" s="217">
        <f t="shared" si="228"/>
        <v>0.2098092643051771</v>
      </c>
      <c r="CS85" s="172">
        <f t="shared" si="290"/>
        <v>300.22049333142121</v>
      </c>
      <c r="CT85" s="172">
        <f t="shared" si="229"/>
        <v>4.0563124432334243</v>
      </c>
      <c r="CU85" s="217">
        <f t="shared" si="230"/>
        <v>20.014699555428081</v>
      </c>
      <c r="CV85" s="217">
        <f t="shared" si="231"/>
        <v>37.527561666427651</v>
      </c>
      <c r="CW85" s="443">
        <f t="shared" si="232"/>
        <v>15</v>
      </c>
      <c r="CX85" s="217">
        <f t="shared" si="233"/>
        <v>19.985311240483654</v>
      </c>
      <c r="CY85" s="217">
        <f t="shared" si="234"/>
        <v>4.134891980789722</v>
      </c>
      <c r="CZ85" s="217">
        <f t="shared" si="235"/>
        <v>15.275397126484325</v>
      </c>
      <c r="DA85" s="197">
        <f t="shared" si="236"/>
        <v>102.962460425147</v>
      </c>
      <c r="DB85" s="443">
        <f t="shared" si="291"/>
        <v>51.519067772424258</v>
      </c>
      <c r="DD85" s="217">
        <f t="shared" si="237"/>
        <v>10</v>
      </c>
      <c r="DE85" s="173">
        <f t="shared" si="238"/>
        <v>7.6433121019108281</v>
      </c>
      <c r="DF85" s="173">
        <f t="shared" si="239"/>
        <v>3.9348710990502043</v>
      </c>
      <c r="DG85" s="173"/>
      <c r="DH85" s="173">
        <f t="shared" si="240"/>
        <v>7.6433121019108281</v>
      </c>
      <c r="DI85" s="545">
        <f t="shared" si="241"/>
        <v>209.33333333333334</v>
      </c>
      <c r="DJ85" s="528">
        <f t="shared" si="242"/>
        <v>3.9348710990502034</v>
      </c>
      <c r="DL85" s="173">
        <f t="shared" si="243"/>
        <v>7.6095178496907341</v>
      </c>
      <c r="DM85" s="173">
        <f t="shared" si="244"/>
        <v>19.985311240483654</v>
      </c>
      <c r="DN85" s="173">
        <f t="shared" si="245"/>
        <v>8.5965268448027068</v>
      </c>
      <c r="DP85" s="545">
        <f t="shared" si="246"/>
        <v>8000</v>
      </c>
      <c r="DQ85" s="460">
        <f t="shared" si="247"/>
        <v>51.519067772424258</v>
      </c>
      <c r="DS85">
        <f t="shared" si="292"/>
        <v>8000</v>
      </c>
      <c r="DT85">
        <f t="shared" si="248"/>
        <v>51.519067772424258</v>
      </c>
      <c r="DV85" s="5">
        <f t="shared" si="293"/>
        <v>19.410289107274046</v>
      </c>
      <c r="DW85" s="5">
        <f t="shared" si="249"/>
        <v>4.134891980789722</v>
      </c>
      <c r="DX85" s="5">
        <f t="shared" si="294"/>
        <v>15.275397126484325</v>
      </c>
      <c r="DY85" s="173">
        <f t="shared" si="295"/>
        <v>0.2130257801899593</v>
      </c>
      <c r="EA85" s="5">
        <f t="shared" si="250"/>
        <v>220.52757230878518</v>
      </c>
      <c r="EB85" s="5">
        <f t="shared" si="251"/>
        <v>10.337229951974304</v>
      </c>
      <c r="EC85" s="5">
        <f t="shared" si="252"/>
        <v>10.898024109263488</v>
      </c>
      <c r="ED85" s="5"/>
      <c r="EE85" s="173">
        <f t="shared" si="296"/>
        <v>5.3255733544258907</v>
      </c>
      <c r="EF85" s="173">
        <f t="shared" si="253"/>
        <v>10.236006231580902</v>
      </c>
      <c r="EG85" s="173">
        <f t="shared" si="254"/>
        <v>0.25208674170324735</v>
      </c>
      <c r="EH85" s="173"/>
      <c r="EI85" s="528">
        <f t="shared" si="255"/>
        <v>0.56723463106742067</v>
      </c>
      <c r="EJ85" s="528">
        <f t="shared" si="256"/>
        <v>1.5176666666666663</v>
      </c>
      <c r="EK85" s="528">
        <f t="shared" si="257"/>
        <v>6.4398834715530323E-3</v>
      </c>
      <c r="EL85" s="528">
        <f t="shared" si="258"/>
        <v>2.7983560522879914E-2</v>
      </c>
      <c r="EM85">
        <f t="shared" si="259"/>
        <v>2.6099999999999998E-2</v>
      </c>
      <c r="EN85" s="460">
        <f t="shared" si="297"/>
        <v>32.539883471553033</v>
      </c>
      <c r="EO85">
        <f t="shared" si="260"/>
        <v>2.6566245252735441</v>
      </c>
      <c r="EP85" s="460">
        <f t="shared" si="298"/>
        <v>2656.6245252735439</v>
      </c>
      <c r="EQ85" s="173">
        <f t="shared" si="261"/>
        <v>4.97</v>
      </c>
      <c r="ER85" s="173">
        <f t="shared" si="262"/>
        <v>8.8749999999999996E-2</v>
      </c>
      <c r="ES85" s="528"/>
      <c r="EU85" s="460">
        <f t="shared" si="299"/>
        <v>5058.75</v>
      </c>
      <c r="EV85" s="528">
        <f t="shared" si="263"/>
        <v>0.85085194660113095</v>
      </c>
      <c r="EW85" s="528">
        <f t="shared" si="300"/>
        <v>3.1432747071888913</v>
      </c>
      <c r="EX85" s="528">
        <f t="shared" si="264"/>
        <v>3.1773862671279871E-4</v>
      </c>
      <c r="EY85" s="528">
        <f t="shared" si="265"/>
        <v>1.700854974358651</v>
      </c>
      <c r="EZ85" s="528">
        <f t="shared" si="266"/>
        <v>9.7788526816269243</v>
      </c>
      <c r="FA85" s="625">
        <f t="shared" si="267"/>
        <v>2.0577368176825431E-2</v>
      </c>
      <c r="FB85" s="460">
        <f t="shared" si="301"/>
        <v>9799.4300498037501</v>
      </c>
      <c r="FC85" s="173">
        <f t="shared" si="302"/>
        <v>17.514804575077296</v>
      </c>
      <c r="FD85" s="5">
        <f t="shared" si="303"/>
        <v>121.6</v>
      </c>
      <c r="FE85" s="173">
        <f t="shared" si="304"/>
        <v>0.87409819804171207</v>
      </c>
      <c r="FF85" s="5">
        <f t="shared" si="305"/>
        <v>87.409819804171207</v>
      </c>
      <c r="FG85">
        <f t="shared" si="306"/>
        <v>80</v>
      </c>
      <c r="FI85" s="562">
        <f t="shared" si="268"/>
        <v>-50</v>
      </c>
      <c r="FJ85">
        <f t="shared" si="269"/>
        <v>-50</v>
      </c>
      <c r="FL85">
        <f t="shared" si="270"/>
        <v>0.78697421981004068</v>
      </c>
    </row>
    <row r="86" spans="5:168">
      <c r="E86" s="170">
        <v>81</v>
      </c>
      <c r="F86" s="217">
        <f t="shared" si="307"/>
        <v>8.1000000000000014</v>
      </c>
      <c r="G86" s="217">
        <f t="shared" si="271"/>
        <v>0.20250000000000001</v>
      </c>
      <c r="H86" s="217">
        <f t="shared" si="176"/>
        <v>121.50000000000003</v>
      </c>
      <c r="I86" s="217">
        <f t="shared" si="308"/>
        <v>1.62</v>
      </c>
      <c r="J86" s="541">
        <f t="shared" si="177"/>
        <v>57.426009871500199</v>
      </c>
      <c r="K86" s="443">
        <f t="shared" si="178"/>
        <v>16.008777586206897</v>
      </c>
      <c r="L86" s="172">
        <f t="shared" si="179"/>
        <v>73.434787457707102</v>
      </c>
      <c r="M86" s="443"/>
      <c r="N86" s="217">
        <f t="shared" si="180"/>
        <v>0.21799991721126374</v>
      </c>
      <c r="O86" s="172">
        <f t="shared" si="272"/>
        <v>308.85358711579585</v>
      </c>
      <c r="P86" s="172">
        <f t="shared" si="181"/>
        <v>4.1729551325867531</v>
      </c>
      <c r="Q86" s="217">
        <f t="shared" si="182"/>
        <v>20.590239141053058</v>
      </c>
      <c r="R86" s="217">
        <f t="shared" si="183"/>
        <v>38.606698389474481</v>
      </c>
      <c r="S86" s="443">
        <f t="shared" si="184"/>
        <v>15</v>
      </c>
      <c r="T86" s="217">
        <f t="shared" si="185"/>
        <v>19.669514143354771</v>
      </c>
      <c r="U86" s="217">
        <f t="shared" si="186"/>
        <v>4.1102310651292182</v>
      </c>
      <c r="V86" s="217">
        <f t="shared" si="187"/>
        <v>14.744047036022502</v>
      </c>
      <c r="W86" s="197">
        <f t="shared" si="188"/>
        <v>104.32387831466882</v>
      </c>
      <c r="X86" s="443">
        <f t="shared" si="273"/>
        <v>52.481652398027919</v>
      </c>
      <c r="Z86" s="217">
        <f t="shared" si="189"/>
        <v>10</v>
      </c>
      <c r="AA86" s="173">
        <f t="shared" si="190"/>
        <v>7.4958877624355003</v>
      </c>
      <c r="AB86" s="173">
        <f t="shared" si="191"/>
        <v>3.9100004139436808</v>
      </c>
      <c r="AC86" s="173"/>
      <c r="AD86" s="173">
        <f t="shared" si="192"/>
        <v>7.4958877624355003</v>
      </c>
      <c r="AE86" s="545">
        <f t="shared" si="193"/>
        <v>216.11849741379311</v>
      </c>
      <c r="AF86" s="528">
        <f t="shared" si="194"/>
        <v>3.9100004139436817</v>
      </c>
      <c r="AH86" s="173">
        <f t="shared" si="195"/>
        <v>7.6569296345579305</v>
      </c>
      <c r="AI86" s="173">
        <f t="shared" si="196"/>
        <v>19.669514143354771</v>
      </c>
      <c r="AJ86" s="173">
        <f t="shared" si="197"/>
        <v>8.3626030691516817</v>
      </c>
      <c r="AL86" s="545">
        <f t="shared" si="198"/>
        <v>8100.0000000000018</v>
      </c>
      <c r="AM86" s="460">
        <f t="shared" si="199"/>
        <v>52.481652398027919</v>
      </c>
      <c r="AO86">
        <f t="shared" si="274"/>
        <v>8100.0000000000018</v>
      </c>
      <c r="AP86">
        <f t="shared" si="200"/>
        <v>52.481652398027919</v>
      </c>
      <c r="AR86" s="5">
        <f t="shared" si="275"/>
        <v>19.05427810115172</v>
      </c>
      <c r="AS86" s="5">
        <f t="shared" si="201"/>
        <v>4.1102310651292182</v>
      </c>
      <c r="AT86" s="5">
        <f t="shared" si="276"/>
        <v>14.944047036022502</v>
      </c>
      <c r="AU86" s="173">
        <f t="shared" si="277"/>
        <v>0.21571171803568767</v>
      </c>
      <c r="AW86" s="5">
        <f t="shared" si="202"/>
        <v>221.95247751697784</v>
      </c>
      <c r="AX86" s="5">
        <f t="shared" si="203"/>
        <v>10.404022383608336</v>
      </c>
      <c r="AY86" s="5">
        <f t="shared" si="204"/>
        <v>10.90279545825444</v>
      </c>
      <c r="AZ86" s="5"/>
      <c r="BA86" s="173">
        <f t="shared" si="278"/>
        <v>5.2743612746199924</v>
      </c>
      <c r="BB86" s="173">
        <f t="shared" si="205"/>
        <v>10.057055998485181</v>
      </c>
      <c r="BC86" s="173">
        <f t="shared" si="206"/>
        <v>0.24767965360975269</v>
      </c>
      <c r="BD86" s="173"/>
      <c r="BE86" s="528">
        <f t="shared" si="207"/>
        <v>0.55637773710422056</v>
      </c>
      <c r="BF86" s="528">
        <f t="shared" si="208"/>
        <v>1.4213605169588341</v>
      </c>
      <c r="BG86" s="528">
        <f t="shared" si="209"/>
        <v>7.5345297217044832E-2</v>
      </c>
      <c r="BH86" s="528">
        <f t="shared" si="210"/>
        <v>2.8301612794413143E-2</v>
      </c>
      <c r="BI86">
        <f t="shared" si="211"/>
        <v>2.5841704442175088E-2</v>
      </c>
      <c r="BJ86" s="460">
        <f t="shared" si="279"/>
        <v>101.18700165921993</v>
      </c>
      <c r="BK86">
        <f t="shared" si="212"/>
        <v>2.4847318537765206</v>
      </c>
      <c r="BL86" s="460">
        <f t="shared" si="280"/>
        <v>2484.7318537765204</v>
      </c>
      <c r="BM86" s="173">
        <f t="shared" si="213"/>
        <v>5.0321250000000006</v>
      </c>
      <c r="BN86" s="173">
        <f t="shared" si="214"/>
        <v>8.9859375000000005E-2</v>
      </c>
      <c r="BO86" s="528"/>
      <c r="BQ86" s="460">
        <f t="shared" si="281"/>
        <v>5121.984375</v>
      </c>
      <c r="BR86" s="528">
        <f t="shared" si="215"/>
        <v>0.8345666056563309</v>
      </c>
      <c r="BS86" s="528">
        <f t="shared" si="216"/>
        <v>3.0343312607000028</v>
      </c>
      <c r="BT86" s="528">
        <f t="shared" si="217"/>
        <v>3.0672605406123542E-4</v>
      </c>
      <c r="BU86" s="528">
        <f t="shared" si="218"/>
        <v>1.7118781030711527</v>
      </c>
      <c r="BV86" s="528">
        <f t="shared" si="219"/>
        <v>9.4280009695509328</v>
      </c>
      <c r="BW86" s="625">
        <f t="shared" si="220"/>
        <v>2.0304615298558499E-2</v>
      </c>
      <c r="BX86" s="460">
        <f t="shared" si="282"/>
        <v>9448.3055848494914</v>
      </c>
      <c r="BY86" s="173">
        <f t="shared" si="283"/>
        <v>17.055021813626013</v>
      </c>
      <c r="BZ86" s="5">
        <f t="shared" si="284"/>
        <v>123.12000000000003</v>
      </c>
      <c r="CA86" s="173">
        <f t="shared" si="285"/>
        <v>0.87833052142269663</v>
      </c>
      <c r="CB86" s="5">
        <f t="shared" si="286"/>
        <v>87.833052142269665</v>
      </c>
      <c r="CC86">
        <f t="shared" si="287"/>
        <v>81.000000000000014</v>
      </c>
      <c r="CE86" s="562">
        <f t="shared" si="221"/>
        <v>-50</v>
      </c>
      <c r="CF86">
        <f t="shared" si="222"/>
        <v>-50</v>
      </c>
      <c r="CG86" s="173">
        <f t="shared" si="223"/>
        <v>0.78697421981004079</v>
      </c>
      <c r="CH86" s="173">
        <f t="shared" si="224"/>
        <v>9.2345221451933995E-2</v>
      </c>
      <c r="CI86" s="170">
        <v>81</v>
      </c>
      <c r="CJ86" s="217">
        <f t="shared" si="309"/>
        <v>8.1000000000000014</v>
      </c>
      <c r="CK86" s="217">
        <f t="shared" si="288"/>
        <v>0.20250000000000001</v>
      </c>
      <c r="CL86" s="217">
        <f t="shared" si="225"/>
        <v>121.50000000000003</v>
      </c>
      <c r="CM86" s="217">
        <f t="shared" si="310"/>
        <v>1.62</v>
      </c>
      <c r="CN86" s="541">
        <f t="shared" si="289"/>
        <v>58</v>
      </c>
      <c r="CO86" s="443">
        <f t="shared" si="226"/>
        <v>15.7</v>
      </c>
      <c r="CP86" s="443">
        <f t="shared" si="227"/>
        <v>73.7</v>
      </c>
      <c r="CQ86" s="443"/>
      <c r="CR86" s="217">
        <f t="shared" si="228"/>
        <v>0.2098092643051771</v>
      </c>
      <c r="CS86" s="172">
        <f t="shared" si="290"/>
        <v>300.22049333142121</v>
      </c>
      <c r="CT86" s="172">
        <f t="shared" si="229"/>
        <v>4.0563124432334243</v>
      </c>
      <c r="CU86" s="217">
        <f t="shared" si="230"/>
        <v>20.014699555428081</v>
      </c>
      <c r="CV86" s="217">
        <f t="shared" si="231"/>
        <v>37.527561666427651</v>
      </c>
      <c r="CW86" s="443">
        <f t="shared" si="232"/>
        <v>15</v>
      </c>
      <c r="CX86" s="217">
        <f t="shared" si="233"/>
        <v>20.235127630989705</v>
      </c>
      <c r="CY86" s="217">
        <f t="shared" si="234"/>
        <v>4.1865781305495942</v>
      </c>
      <c r="CZ86" s="217">
        <f t="shared" si="235"/>
        <v>15.466339590565383</v>
      </c>
      <c r="DA86" s="197">
        <f t="shared" si="236"/>
        <v>102.962460425147</v>
      </c>
      <c r="DB86" s="443">
        <f t="shared" si="291"/>
        <v>50.883029898690609</v>
      </c>
      <c r="DD86" s="217">
        <f t="shared" si="237"/>
        <v>10</v>
      </c>
      <c r="DE86" s="173">
        <f t="shared" si="238"/>
        <v>7.6433121019108281</v>
      </c>
      <c r="DF86" s="173">
        <f t="shared" si="239"/>
        <v>3.9348710990502043</v>
      </c>
      <c r="DG86" s="173"/>
      <c r="DH86" s="173">
        <f t="shared" si="240"/>
        <v>7.6433121019108281</v>
      </c>
      <c r="DI86" s="545">
        <f t="shared" si="241"/>
        <v>211.95000000000005</v>
      </c>
      <c r="DJ86" s="528">
        <f t="shared" si="242"/>
        <v>3.9348710990502034</v>
      </c>
      <c r="DL86" s="173">
        <f t="shared" si="243"/>
        <v>7.6569296345579305</v>
      </c>
      <c r="DM86" s="173">
        <f t="shared" si="244"/>
        <v>20.235127630989705</v>
      </c>
      <c r="DN86" s="173">
        <f t="shared" si="245"/>
        <v>8.7815760229553366</v>
      </c>
      <c r="DP86" s="545">
        <f t="shared" si="246"/>
        <v>8100.0000000000018</v>
      </c>
      <c r="DQ86" s="460">
        <f t="shared" si="247"/>
        <v>50.883029898690609</v>
      </c>
      <c r="DS86">
        <f t="shared" si="292"/>
        <v>8100.0000000000018</v>
      </c>
      <c r="DT86">
        <f t="shared" si="248"/>
        <v>50.883029898690609</v>
      </c>
      <c r="DV86" s="5">
        <f t="shared" si="293"/>
        <v>19.652917721114978</v>
      </c>
      <c r="DW86" s="5">
        <f t="shared" si="249"/>
        <v>4.1865781305495942</v>
      </c>
      <c r="DX86" s="5">
        <f t="shared" si="294"/>
        <v>15.466339590565383</v>
      </c>
      <c r="DY86" s="173">
        <f t="shared" si="295"/>
        <v>0.21302578018995924</v>
      </c>
      <c r="EA86" s="5">
        <f t="shared" si="250"/>
        <v>226.07521904967811</v>
      </c>
      <c r="EB86" s="5">
        <f t="shared" si="251"/>
        <v>10.597275892953663</v>
      </c>
      <c r="EC86" s="5">
        <f t="shared" si="252"/>
        <v>11.172177528262155</v>
      </c>
      <c r="ED86" s="5"/>
      <c r="EE86" s="173">
        <f t="shared" si="296"/>
        <v>5.3921430213562154</v>
      </c>
      <c r="EF86" s="173">
        <f t="shared" si="253"/>
        <v>10.363956309475666</v>
      </c>
      <c r="EG86" s="173">
        <f t="shared" si="254"/>
        <v>0.25523782597453798</v>
      </c>
      <c r="EH86" s="173"/>
      <c r="EI86" s="528">
        <f t="shared" si="255"/>
        <v>0.58150412725521072</v>
      </c>
      <c r="EJ86" s="528">
        <f t="shared" si="256"/>
        <v>1.5176666666666663</v>
      </c>
      <c r="EK86" s="528">
        <f t="shared" si="257"/>
        <v>6.3603787373363255E-3</v>
      </c>
      <c r="EL86" s="528">
        <f t="shared" si="258"/>
        <v>2.7638084467041881E-2</v>
      </c>
      <c r="EM86">
        <f t="shared" si="259"/>
        <v>2.6099999999999998E-2</v>
      </c>
      <c r="EN86" s="460">
        <f t="shared" si="297"/>
        <v>32.46037873733632</v>
      </c>
      <c r="EO86">
        <f t="shared" si="260"/>
        <v>2.6876100349670873</v>
      </c>
      <c r="EP86" s="460">
        <f t="shared" si="298"/>
        <v>2687.6100349670874</v>
      </c>
      <c r="EQ86" s="173">
        <f t="shared" si="261"/>
        <v>5.0321250000000006</v>
      </c>
      <c r="ER86" s="173">
        <f t="shared" si="262"/>
        <v>8.9859375000000005E-2</v>
      </c>
      <c r="ES86" s="528"/>
      <c r="EU86" s="460">
        <f t="shared" si="299"/>
        <v>5121.984375</v>
      </c>
      <c r="EV86" s="528">
        <f t="shared" si="263"/>
        <v>0.87225619088281603</v>
      </c>
      <c r="EW86" s="528">
        <f t="shared" si="300"/>
        <v>3.2223477115416141</v>
      </c>
      <c r="EX86" s="528">
        <f t="shared" si="264"/>
        <v>3.2573173904104267E-4</v>
      </c>
      <c r="EY86" s="528">
        <f t="shared" si="265"/>
        <v>1.7008549743586505</v>
      </c>
      <c r="EZ86" s="528">
        <f t="shared" si="266"/>
        <v>10.081069261885215</v>
      </c>
      <c r="FA86" s="625">
        <f t="shared" si="267"/>
        <v>2.0834585279035756E-2</v>
      </c>
      <c r="FB86" s="460">
        <f t="shared" si="301"/>
        <v>10101.903847164253</v>
      </c>
      <c r="FC86" s="173">
        <f t="shared" si="302"/>
        <v>17.911498257131338</v>
      </c>
      <c r="FD86" s="5">
        <f t="shared" si="303"/>
        <v>123.12000000000003</v>
      </c>
      <c r="FE86" s="173">
        <f t="shared" si="304"/>
        <v>0.87299646902655215</v>
      </c>
      <c r="FF86" s="5">
        <f t="shared" si="305"/>
        <v>87.299646902655212</v>
      </c>
      <c r="FG86">
        <f t="shared" si="306"/>
        <v>81.000000000000014</v>
      </c>
      <c r="FI86" s="562">
        <f t="shared" si="268"/>
        <v>-50</v>
      </c>
      <c r="FJ86">
        <f t="shared" si="269"/>
        <v>-50</v>
      </c>
      <c r="FL86">
        <f t="shared" si="270"/>
        <v>0.78697421981004079</v>
      </c>
    </row>
    <row r="87" spans="5:168">
      <c r="E87" s="170">
        <v>82</v>
      </c>
      <c r="F87" s="217">
        <f t="shared" si="307"/>
        <v>8.1999999999999993</v>
      </c>
      <c r="G87" s="217">
        <f t="shared" si="271"/>
        <v>0.20499999999999999</v>
      </c>
      <c r="H87" s="217">
        <f t="shared" si="176"/>
        <v>122.99999999999999</v>
      </c>
      <c r="I87" s="217">
        <f t="shared" si="308"/>
        <v>1.64</v>
      </c>
      <c r="J87" s="541">
        <f t="shared" si="177"/>
        <v>57.418923573617484</v>
      </c>
      <c r="K87" s="443">
        <f t="shared" si="178"/>
        <v>16.012589655172413</v>
      </c>
      <c r="L87" s="172">
        <f t="shared" si="179"/>
        <v>73.431513228789896</v>
      </c>
      <c r="M87" s="443"/>
      <c r="N87" s="217">
        <f t="shared" si="180"/>
        <v>0.2180615508396529</v>
      </c>
      <c r="O87" s="172">
        <f t="shared" si="272"/>
        <v>308.90278426002959</v>
      </c>
      <c r="P87" s="172">
        <f t="shared" si="181"/>
        <v>4.1736198406688443</v>
      </c>
      <c r="Q87" s="217">
        <f t="shared" si="182"/>
        <v>20.593518950668638</v>
      </c>
      <c r="R87" s="217">
        <f t="shared" si="183"/>
        <v>38.612848032503699</v>
      </c>
      <c r="S87" s="443">
        <f t="shared" si="184"/>
        <v>15</v>
      </c>
      <c r="T87" s="217">
        <f t="shared" si="185"/>
        <v>19.90917632786056</v>
      </c>
      <c r="U87" s="217">
        <f t="shared" si="186"/>
        <v>4.1608254050255269</v>
      </c>
      <c r="V87" s="217">
        <f t="shared" si="187"/>
        <v>14.920142280493248</v>
      </c>
      <c r="W87" s="197">
        <f t="shared" si="188"/>
        <v>104.3404960167211</v>
      </c>
      <c r="X87" s="443">
        <f t="shared" si="273"/>
        <v>51.864616771857527</v>
      </c>
      <c r="Z87" s="217">
        <f t="shared" si="189"/>
        <v>10</v>
      </c>
      <c r="AA87" s="173">
        <f t="shared" si="190"/>
        <v>7.4941032390246392</v>
      </c>
      <c r="AB87" s="173">
        <f t="shared" si="191"/>
        <v>3.9096922458017351</v>
      </c>
      <c r="AC87" s="173"/>
      <c r="AD87" s="173">
        <f t="shared" si="192"/>
        <v>7.4941032390246392</v>
      </c>
      <c r="AE87" s="545">
        <f t="shared" si="193"/>
        <v>218.83872528735631</v>
      </c>
      <c r="AF87" s="528">
        <f t="shared" si="194"/>
        <v>3.9096922458017351</v>
      </c>
      <c r="AH87" s="173">
        <f t="shared" si="195"/>
        <v>7.7040496462822032</v>
      </c>
      <c r="AI87" s="173">
        <f t="shared" si="196"/>
        <v>19.90917632786056</v>
      </c>
      <c r="AJ87" s="173">
        <f t="shared" si="197"/>
        <v>8.5401306132300441</v>
      </c>
      <c r="AL87" s="545">
        <f t="shared" si="198"/>
        <v>8200</v>
      </c>
      <c r="AM87" s="460">
        <f t="shared" si="199"/>
        <v>51.864616771857527</v>
      </c>
      <c r="AO87">
        <f t="shared" si="274"/>
        <v>8200</v>
      </c>
      <c r="AP87">
        <f t="shared" si="200"/>
        <v>51.864616771857527</v>
      </c>
      <c r="AR87" s="5">
        <f t="shared" si="275"/>
        <v>19.280967685518775</v>
      </c>
      <c r="AS87" s="5">
        <f t="shared" si="201"/>
        <v>4.1608254050255269</v>
      </c>
      <c r="AT87" s="5">
        <f t="shared" si="276"/>
        <v>15.120142280493248</v>
      </c>
      <c r="AU87" s="173">
        <f t="shared" si="277"/>
        <v>0.21579961508625783</v>
      </c>
      <c r="AW87" s="5">
        <f t="shared" si="202"/>
        <v>227.45845547472879</v>
      </c>
      <c r="AX87" s="5">
        <f t="shared" si="203"/>
        <v>10.662115100377912</v>
      </c>
      <c r="AY87" s="5">
        <f t="shared" si="204"/>
        <v>11.168836795718041</v>
      </c>
      <c r="AZ87" s="5"/>
      <c r="BA87" s="173">
        <f t="shared" si="278"/>
        <v>5.3397140252051756</v>
      </c>
      <c r="BB87" s="173">
        <f t="shared" si="205"/>
        <v>10.179025238874379</v>
      </c>
      <c r="BC87" s="173">
        <f t="shared" si="206"/>
        <v>0.25068344509855339</v>
      </c>
      <c r="BD87" s="173"/>
      <c r="BE87" s="528">
        <f t="shared" si="207"/>
        <v>0.57025091741945722</v>
      </c>
      <c r="BF87" s="528">
        <f t="shared" si="208"/>
        <v>1.4217008276686776</v>
      </c>
      <c r="BG87" s="528">
        <f t="shared" si="209"/>
        <v>7.4450261664956177E-2</v>
      </c>
      <c r="BH87" s="528">
        <f t="shared" si="210"/>
        <v>2.7966371932254312E-2</v>
      </c>
      <c r="BI87">
        <f t="shared" si="211"/>
        <v>2.5838515608127867E-2</v>
      </c>
      <c r="BJ87" s="460">
        <f t="shared" si="279"/>
        <v>100.28877727308405</v>
      </c>
      <c r="BK87">
        <f t="shared" si="212"/>
        <v>2.514592003887004</v>
      </c>
      <c r="BL87" s="460">
        <f t="shared" si="280"/>
        <v>2514.592003887004</v>
      </c>
      <c r="BM87" s="173">
        <f t="shared" si="213"/>
        <v>5.0942499999999988</v>
      </c>
      <c r="BN87" s="173">
        <f t="shared" si="214"/>
        <v>9.0968749999999987E-2</v>
      </c>
      <c r="BO87" s="528"/>
      <c r="BQ87" s="460">
        <f t="shared" si="281"/>
        <v>5185.2187499999991</v>
      </c>
      <c r="BR87" s="528">
        <f t="shared" si="215"/>
        <v>0.85537637612918571</v>
      </c>
      <c r="BS87" s="528">
        <f t="shared" si="216"/>
        <v>3.108376644409248</v>
      </c>
      <c r="BT87" s="528">
        <f t="shared" si="217"/>
        <v>3.1421094823239716E-4</v>
      </c>
      <c r="BU87" s="528">
        <f t="shared" si="218"/>
        <v>1.7130939049811471</v>
      </c>
      <c r="BV87" s="528">
        <f t="shared" si="219"/>
        <v>9.7068144920193031</v>
      </c>
      <c r="BW87" s="625">
        <f t="shared" si="220"/>
        <v>2.0557853138851858E-2</v>
      </c>
      <c r="BX87" s="460">
        <f t="shared" si="282"/>
        <v>9727.3723451581554</v>
      </c>
      <c r="BY87" s="173">
        <f t="shared" si="283"/>
        <v>17.427183099045156</v>
      </c>
      <c r="BZ87" s="5">
        <f t="shared" si="284"/>
        <v>124.63999999999999</v>
      </c>
      <c r="CA87" s="173">
        <f t="shared" si="285"/>
        <v>0.87733139547860661</v>
      </c>
      <c r="CB87" s="5">
        <f t="shared" si="286"/>
        <v>87.733139547860659</v>
      </c>
      <c r="CC87">
        <f t="shared" si="287"/>
        <v>82</v>
      </c>
      <c r="CE87" s="562">
        <f t="shared" si="221"/>
        <v>-50</v>
      </c>
      <c r="CF87">
        <f t="shared" si="222"/>
        <v>-50</v>
      </c>
      <c r="CG87" s="173">
        <f t="shared" si="223"/>
        <v>0.78697421981004068</v>
      </c>
      <c r="CH87" s="173">
        <f t="shared" si="224"/>
        <v>9.2345221451934009E-2</v>
      </c>
      <c r="CI87" s="170">
        <v>82</v>
      </c>
      <c r="CJ87" s="217">
        <f t="shared" si="309"/>
        <v>8.1999999999999993</v>
      </c>
      <c r="CK87" s="217">
        <f t="shared" si="288"/>
        <v>0.20499999999999999</v>
      </c>
      <c r="CL87" s="217">
        <f t="shared" si="225"/>
        <v>122.99999999999999</v>
      </c>
      <c r="CM87" s="217">
        <f t="shared" si="310"/>
        <v>1.64</v>
      </c>
      <c r="CN87" s="541">
        <f t="shared" si="289"/>
        <v>58</v>
      </c>
      <c r="CO87" s="443">
        <f t="shared" si="226"/>
        <v>15.7</v>
      </c>
      <c r="CP87" s="443">
        <f t="shared" si="227"/>
        <v>73.7</v>
      </c>
      <c r="CQ87" s="443"/>
      <c r="CR87" s="217">
        <f t="shared" si="228"/>
        <v>0.2098092643051771</v>
      </c>
      <c r="CS87" s="172">
        <f t="shared" si="290"/>
        <v>300.22049333142121</v>
      </c>
      <c r="CT87" s="172">
        <f t="shared" si="229"/>
        <v>4.0563124432334243</v>
      </c>
      <c r="CU87" s="217">
        <f t="shared" si="230"/>
        <v>20.014699555428081</v>
      </c>
      <c r="CV87" s="217">
        <f t="shared" si="231"/>
        <v>37.527561666427651</v>
      </c>
      <c r="CW87" s="443">
        <f t="shared" si="232"/>
        <v>15</v>
      </c>
      <c r="CX87" s="217">
        <f t="shared" si="233"/>
        <v>20.484944021495743</v>
      </c>
      <c r="CY87" s="217">
        <f t="shared" si="234"/>
        <v>4.2382642803094637</v>
      </c>
      <c r="CZ87" s="217">
        <f t="shared" si="235"/>
        <v>15.65728205464643</v>
      </c>
      <c r="DA87" s="197">
        <f t="shared" si="236"/>
        <v>102.962460425147</v>
      </c>
      <c r="DB87" s="443">
        <f t="shared" si="291"/>
        <v>50.262505143828555</v>
      </c>
      <c r="DD87" s="217">
        <f t="shared" si="237"/>
        <v>10</v>
      </c>
      <c r="DE87" s="173">
        <f t="shared" si="238"/>
        <v>7.6433121019108281</v>
      </c>
      <c r="DF87" s="173">
        <f t="shared" si="239"/>
        <v>3.9348710990502043</v>
      </c>
      <c r="DG87" s="173"/>
      <c r="DH87" s="173">
        <f t="shared" si="240"/>
        <v>7.6433121019108281</v>
      </c>
      <c r="DI87" s="545">
        <f t="shared" si="241"/>
        <v>214.56666666666666</v>
      </c>
      <c r="DJ87" s="528">
        <f t="shared" si="242"/>
        <v>3.9348710990502034</v>
      </c>
      <c r="DL87" s="173">
        <f t="shared" si="243"/>
        <v>7.7040496462822032</v>
      </c>
      <c r="DM87" s="173">
        <f t="shared" si="244"/>
        <v>20.484944021495743</v>
      </c>
      <c r="DN87" s="173">
        <f t="shared" si="245"/>
        <v>8.9666252011079557</v>
      </c>
      <c r="DP87" s="545">
        <f t="shared" si="246"/>
        <v>8200</v>
      </c>
      <c r="DQ87" s="460">
        <f t="shared" si="247"/>
        <v>50.262505143828555</v>
      </c>
      <c r="DS87">
        <f t="shared" si="292"/>
        <v>8200</v>
      </c>
      <c r="DT87">
        <f t="shared" si="248"/>
        <v>50.262505143828555</v>
      </c>
      <c r="DV87" s="5">
        <f t="shared" si="293"/>
        <v>19.895546334955892</v>
      </c>
      <c r="DW87" s="5">
        <f t="shared" si="249"/>
        <v>4.2382642803094637</v>
      </c>
      <c r="DX87" s="5">
        <f t="shared" si="294"/>
        <v>15.657282054646428</v>
      </c>
      <c r="DY87" s="173">
        <f t="shared" si="295"/>
        <v>0.21302578018995927</v>
      </c>
      <c r="EA87" s="5">
        <f t="shared" si="250"/>
        <v>231.69178065691733</v>
      </c>
      <c r="EB87" s="5">
        <f t="shared" si="251"/>
        <v>10.860552218293</v>
      </c>
      <c r="EC87" s="5">
        <f t="shared" si="252"/>
        <v>11.44973657979495</v>
      </c>
      <c r="ED87" s="5"/>
      <c r="EE87" s="173">
        <f t="shared" si="296"/>
        <v>5.4587126882865373</v>
      </c>
      <c r="EF87" s="173">
        <f t="shared" si="253"/>
        <v>10.491906387370424</v>
      </c>
      <c r="EG87" s="173">
        <f t="shared" si="254"/>
        <v>0.2583889102458285</v>
      </c>
      <c r="EH87" s="173"/>
      <c r="EI87" s="528">
        <f t="shared" si="255"/>
        <v>0.5959508842652087</v>
      </c>
      <c r="EJ87" s="528">
        <f t="shared" si="256"/>
        <v>1.5176666666666665</v>
      </c>
      <c r="EK87" s="528">
        <f t="shared" si="257"/>
        <v>6.282813142978569E-3</v>
      </c>
      <c r="EL87" s="528">
        <f t="shared" si="258"/>
        <v>2.7301034656468215E-2</v>
      </c>
      <c r="EM87">
        <f t="shared" si="259"/>
        <v>2.6099999999999998E-2</v>
      </c>
      <c r="EN87" s="460">
        <f t="shared" si="297"/>
        <v>32.38281314297857</v>
      </c>
      <c r="EO87">
        <f t="shared" si="260"/>
        <v>2.719248029957217</v>
      </c>
      <c r="EP87" s="460">
        <f t="shared" si="298"/>
        <v>2719.2480299572171</v>
      </c>
      <c r="EQ87" s="173">
        <f t="shared" si="261"/>
        <v>5.0942499999999988</v>
      </c>
      <c r="ER87" s="173">
        <f t="shared" si="262"/>
        <v>9.0968749999999987E-2</v>
      </c>
      <c r="ES87" s="528"/>
      <c r="EU87" s="460">
        <f t="shared" si="299"/>
        <v>5185.2187499999991</v>
      </c>
      <c r="EV87" s="528">
        <f t="shared" si="263"/>
        <v>0.893926326397813</v>
      </c>
      <c r="EW87" s="528">
        <f t="shared" si="300"/>
        <v>3.302402989240329</v>
      </c>
      <c r="EX87" s="528">
        <f t="shared" si="264"/>
        <v>3.338241446901341E-4</v>
      </c>
      <c r="EY87" s="528">
        <f t="shared" si="265"/>
        <v>1.7008549743586505</v>
      </c>
      <c r="EZ87" s="528">
        <f t="shared" si="266"/>
        <v>10.394491672334688</v>
      </c>
      <c r="FA87" s="625">
        <f t="shared" si="267"/>
        <v>2.1091802381246066E-2</v>
      </c>
      <c r="FB87" s="460">
        <f t="shared" si="301"/>
        <v>10415.583474715933</v>
      </c>
      <c r="FC87" s="173">
        <f t="shared" si="302"/>
        <v>18.320050254673152</v>
      </c>
      <c r="FD87" s="5">
        <f t="shared" si="303"/>
        <v>124.63999999999999</v>
      </c>
      <c r="FE87" s="173">
        <f t="shared" si="304"/>
        <v>0.87185195988643471</v>
      </c>
      <c r="FF87" s="5">
        <f t="shared" si="305"/>
        <v>87.185195988643471</v>
      </c>
      <c r="FG87">
        <f t="shared" si="306"/>
        <v>82</v>
      </c>
      <c r="FI87" s="562">
        <f t="shared" si="268"/>
        <v>-50</v>
      </c>
      <c r="FJ87">
        <f t="shared" si="269"/>
        <v>-50</v>
      </c>
      <c r="FL87">
        <f t="shared" si="270"/>
        <v>0.78697421981004068</v>
      </c>
    </row>
    <row r="88" spans="5:168">
      <c r="E88" s="170">
        <v>83</v>
      </c>
      <c r="F88" s="217">
        <f t="shared" si="307"/>
        <v>8.2999999999999989</v>
      </c>
      <c r="G88" s="217">
        <f t="shared" si="271"/>
        <v>0.20749999999999999</v>
      </c>
      <c r="H88" s="217">
        <f t="shared" si="176"/>
        <v>124.49999999999999</v>
      </c>
      <c r="I88" s="217">
        <f t="shared" si="308"/>
        <v>1.66</v>
      </c>
      <c r="J88" s="541">
        <f t="shared" si="177"/>
        <v>57.411837275734769</v>
      </c>
      <c r="K88" s="443">
        <f t="shared" si="178"/>
        <v>16.016401724137932</v>
      </c>
      <c r="L88" s="172">
        <f t="shared" si="179"/>
        <v>73.428238999872704</v>
      </c>
      <c r="M88" s="443"/>
      <c r="N88" s="217">
        <f t="shared" si="180"/>
        <v>0.21812318996463606</v>
      </c>
      <c r="O88" s="172">
        <f t="shared" si="272"/>
        <v>308.95196763932245</v>
      </c>
      <c r="P88" s="172">
        <f t="shared" si="181"/>
        <v>4.1742843627712896</v>
      </c>
      <c r="Q88" s="217">
        <f t="shared" si="182"/>
        <v>20.596797842621495</v>
      </c>
      <c r="R88" s="217">
        <f t="shared" si="183"/>
        <v>38.618995954915306</v>
      </c>
      <c r="S88" s="443">
        <f t="shared" si="184"/>
        <v>15</v>
      </c>
      <c r="T88" s="217">
        <f t="shared" si="185"/>
        <v>20.148763083027866</v>
      </c>
      <c r="U88" s="217">
        <f t="shared" si="186"/>
        <v>4.211416468612569</v>
      </c>
      <c r="V88" s="217">
        <f t="shared" si="187"/>
        <v>15.096097185920719</v>
      </c>
      <c r="W88" s="197">
        <f t="shared" si="188"/>
        <v>104.35710906928225</v>
      </c>
      <c r="X88" s="443">
        <f t="shared" si="273"/>
        <v>51.262299117633233</v>
      </c>
      <c r="Z88" s="217">
        <f t="shared" si="189"/>
        <v>10</v>
      </c>
      <c r="AA88" s="173">
        <f t="shared" si="190"/>
        <v>7.4923195650837666</v>
      </c>
      <c r="AB88" s="173">
        <f t="shared" si="191"/>
        <v>3.9093840501768198</v>
      </c>
      <c r="AC88" s="173"/>
      <c r="AD88" s="173">
        <f t="shared" si="192"/>
        <v>7.4923195650837666</v>
      </c>
      <c r="AE88" s="545">
        <f t="shared" si="193"/>
        <v>221.56022385057469</v>
      </c>
      <c r="AF88" s="528">
        <f t="shared" si="194"/>
        <v>3.9093840501768193</v>
      </c>
      <c r="AH88" s="173">
        <f t="shared" si="195"/>
        <v>7.7508832062024045</v>
      </c>
      <c r="AI88" s="173">
        <f t="shared" si="196"/>
        <v>20.148763083027866</v>
      </c>
      <c r="AJ88" s="173">
        <f t="shared" si="197"/>
        <v>8.7176022837243448</v>
      </c>
      <c r="AL88" s="545">
        <f t="shared" si="198"/>
        <v>8299.9999999999982</v>
      </c>
      <c r="AM88" s="460">
        <f t="shared" si="199"/>
        <v>51.262299117633233</v>
      </c>
      <c r="AO88">
        <f t="shared" si="274"/>
        <v>8299.9999999999982</v>
      </c>
      <c r="AP88">
        <f t="shared" si="200"/>
        <v>51.262299117633233</v>
      </c>
      <c r="AR88" s="5">
        <f t="shared" si="275"/>
        <v>19.507513654533287</v>
      </c>
      <c r="AS88" s="5">
        <f t="shared" si="201"/>
        <v>4.211416468612569</v>
      </c>
      <c r="AT88" s="5">
        <f t="shared" si="276"/>
        <v>15.296097185920718</v>
      </c>
      <c r="AU88" s="173">
        <f t="shared" si="277"/>
        <v>0.21588689072294417</v>
      </c>
      <c r="AW88" s="5">
        <f t="shared" si="202"/>
        <v>233.0317112632288</v>
      </c>
      <c r="AX88" s="5">
        <f t="shared" si="203"/>
        <v>10.92336146546385</v>
      </c>
      <c r="AY88" s="5">
        <f t="shared" si="204"/>
        <v>11.438011861326295</v>
      </c>
      <c r="AZ88" s="5"/>
      <c r="BA88" s="173">
        <f t="shared" si="278"/>
        <v>5.4050647218524004</v>
      </c>
      <c r="BB88" s="173">
        <f t="shared" si="205"/>
        <v>10.300946232163117</v>
      </c>
      <c r="BC88" s="173">
        <f t="shared" si="206"/>
        <v>0.25368604838425246</v>
      </c>
      <c r="BD88" s="173"/>
      <c r="BE88" s="528">
        <f t="shared" si="207"/>
        <v>0.5842944929482673</v>
      </c>
      <c r="BF88" s="528">
        <f t="shared" si="208"/>
        <v>1.4220368662300364</v>
      </c>
      <c r="BG88" s="528">
        <f t="shared" si="209"/>
        <v>7.3576569383040025E-2</v>
      </c>
      <c r="BH88" s="528">
        <f t="shared" si="210"/>
        <v>2.763912602142132E-2</v>
      </c>
      <c r="BI88">
        <f t="shared" si="211"/>
        <v>2.5835326774080646E-2</v>
      </c>
      <c r="BJ88" s="460">
        <f t="shared" si="279"/>
        <v>99.41189615712068</v>
      </c>
      <c r="BK88">
        <f t="shared" si="212"/>
        <v>2.5450559747024131</v>
      </c>
      <c r="BL88" s="460">
        <f t="shared" si="280"/>
        <v>2545.0559747024131</v>
      </c>
      <c r="BM88" s="173">
        <f t="shared" si="213"/>
        <v>5.1563749999999988</v>
      </c>
      <c r="BN88" s="173">
        <f t="shared" si="214"/>
        <v>9.2078124999999997E-2</v>
      </c>
      <c r="BO88" s="528"/>
      <c r="BQ88" s="460">
        <f t="shared" si="281"/>
        <v>5248.4531249999982</v>
      </c>
      <c r="BR88" s="528">
        <f t="shared" si="215"/>
        <v>0.876441739422401</v>
      </c>
      <c r="BS88" s="528">
        <f t="shared" si="216"/>
        <v>3.1832847983374655</v>
      </c>
      <c r="BT88" s="528">
        <f t="shared" si="217"/>
        <v>3.2178305572408639E-4</v>
      </c>
      <c r="BU88" s="528">
        <f t="shared" si="218"/>
        <v>1.7142974578722934</v>
      </c>
      <c r="BV88" s="528">
        <f t="shared" si="219"/>
        <v>9.9952547600601118</v>
      </c>
      <c r="BW88" s="625">
        <f t="shared" si="220"/>
        <v>2.0811091611443983E-2</v>
      </c>
      <c r="BX88" s="460">
        <f t="shared" si="282"/>
        <v>10016.065851671556</v>
      </c>
      <c r="BY88" s="173">
        <f t="shared" si="283"/>
        <v>17.809574951373968</v>
      </c>
      <c r="BZ88" s="5">
        <f t="shared" si="284"/>
        <v>126.15999999999998</v>
      </c>
      <c r="CA88" s="173">
        <f t="shared" si="285"/>
        <v>0.8762962594187752</v>
      </c>
      <c r="CB88" s="5">
        <f t="shared" si="286"/>
        <v>87.629625941877521</v>
      </c>
      <c r="CC88">
        <f t="shared" si="287"/>
        <v>82.999999999999986</v>
      </c>
      <c r="CE88" s="562">
        <f t="shared" si="221"/>
        <v>-50</v>
      </c>
      <c r="CF88">
        <f t="shared" si="222"/>
        <v>-50</v>
      </c>
      <c r="CG88" s="173">
        <f t="shared" si="223"/>
        <v>0.78697421981004068</v>
      </c>
      <c r="CH88" s="173">
        <f t="shared" si="224"/>
        <v>9.2345221451934009E-2</v>
      </c>
      <c r="CI88" s="170">
        <v>83</v>
      </c>
      <c r="CJ88" s="217">
        <f t="shared" si="309"/>
        <v>8.2999999999999989</v>
      </c>
      <c r="CK88" s="217">
        <f t="shared" si="288"/>
        <v>0.20749999999999999</v>
      </c>
      <c r="CL88" s="217">
        <f t="shared" si="225"/>
        <v>124.49999999999999</v>
      </c>
      <c r="CM88" s="217">
        <f t="shared" si="310"/>
        <v>1.66</v>
      </c>
      <c r="CN88" s="541">
        <f t="shared" si="289"/>
        <v>58</v>
      </c>
      <c r="CO88" s="443">
        <f t="shared" si="226"/>
        <v>15.7</v>
      </c>
      <c r="CP88" s="443">
        <f t="shared" si="227"/>
        <v>73.7</v>
      </c>
      <c r="CQ88" s="443"/>
      <c r="CR88" s="217">
        <f t="shared" si="228"/>
        <v>0.2098092643051771</v>
      </c>
      <c r="CS88" s="172">
        <f t="shared" si="290"/>
        <v>300.22049333142121</v>
      </c>
      <c r="CT88" s="172">
        <f t="shared" si="229"/>
        <v>4.0563124432334243</v>
      </c>
      <c r="CU88" s="217">
        <f t="shared" si="230"/>
        <v>20.014699555428081</v>
      </c>
      <c r="CV88" s="217">
        <f t="shared" si="231"/>
        <v>37.527561666427651</v>
      </c>
      <c r="CW88" s="443">
        <f t="shared" si="232"/>
        <v>15</v>
      </c>
      <c r="CX88" s="217">
        <f t="shared" si="233"/>
        <v>20.734760412001791</v>
      </c>
      <c r="CY88" s="217">
        <f t="shared" si="234"/>
        <v>4.2899504300693367</v>
      </c>
      <c r="CZ88" s="217">
        <f t="shared" si="235"/>
        <v>15.848224518727488</v>
      </c>
      <c r="DA88" s="197">
        <f t="shared" si="236"/>
        <v>102.962460425147</v>
      </c>
      <c r="DB88" s="443">
        <f t="shared" si="291"/>
        <v>49.656932792698079</v>
      </c>
      <c r="DD88" s="217">
        <f t="shared" si="237"/>
        <v>10</v>
      </c>
      <c r="DE88" s="173">
        <f t="shared" si="238"/>
        <v>7.6433121019108281</v>
      </c>
      <c r="DF88" s="173">
        <f t="shared" si="239"/>
        <v>3.9348710990502043</v>
      </c>
      <c r="DG88" s="173"/>
      <c r="DH88" s="173">
        <f t="shared" si="240"/>
        <v>7.6433121019108281</v>
      </c>
      <c r="DI88" s="545">
        <f t="shared" si="241"/>
        <v>217.18333333333331</v>
      </c>
      <c r="DJ88" s="528">
        <f t="shared" si="242"/>
        <v>3.9348710990502034</v>
      </c>
      <c r="DL88" s="173">
        <f t="shared" si="243"/>
        <v>7.7508832062024045</v>
      </c>
      <c r="DM88" s="173">
        <f t="shared" si="244"/>
        <v>20.734760412001791</v>
      </c>
      <c r="DN88" s="173">
        <f t="shared" si="245"/>
        <v>9.1516743792605855</v>
      </c>
      <c r="DP88" s="545">
        <f t="shared" si="246"/>
        <v>8299.9999999999982</v>
      </c>
      <c r="DQ88" s="460">
        <f t="shared" si="247"/>
        <v>49.656932792698079</v>
      </c>
      <c r="DS88">
        <f t="shared" si="292"/>
        <v>8299.9999999999982</v>
      </c>
      <c r="DT88">
        <f t="shared" si="248"/>
        <v>49.656932792698079</v>
      </c>
      <c r="DV88" s="5">
        <f t="shared" si="293"/>
        <v>20.138174948796824</v>
      </c>
      <c r="DW88" s="5">
        <f t="shared" si="249"/>
        <v>4.2899504300693367</v>
      </c>
      <c r="DX88" s="5">
        <f t="shared" si="294"/>
        <v>15.848224518727488</v>
      </c>
      <c r="DY88" s="173">
        <f t="shared" si="295"/>
        <v>0.2130257801899593</v>
      </c>
      <c r="EA88" s="5">
        <f t="shared" si="250"/>
        <v>237.3772571305033</v>
      </c>
      <c r="EB88" s="5">
        <f t="shared" si="251"/>
        <v>11.127058927992341</v>
      </c>
      <c r="EC88" s="5">
        <f t="shared" si="252"/>
        <v>11.730701263861901</v>
      </c>
      <c r="ED88" s="5"/>
      <c r="EE88" s="173">
        <f t="shared" si="296"/>
        <v>5.525282355216862</v>
      </c>
      <c r="EF88" s="173">
        <f t="shared" si="253"/>
        <v>10.619856465265185</v>
      </c>
      <c r="EG88" s="173">
        <f t="shared" si="254"/>
        <v>0.26153999451711912</v>
      </c>
      <c r="EH88" s="173"/>
      <c r="EI88" s="528">
        <f t="shared" si="255"/>
        <v>0.61057490209741594</v>
      </c>
      <c r="EJ88" s="528">
        <f t="shared" si="256"/>
        <v>1.5176666666666663</v>
      </c>
      <c r="EK88" s="528">
        <f t="shared" si="257"/>
        <v>6.2071165990872593E-3</v>
      </c>
      <c r="EL88" s="528">
        <f t="shared" si="258"/>
        <v>2.6972106528077026E-2</v>
      </c>
      <c r="EM88">
        <f t="shared" si="259"/>
        <v>2.6099999999999998E-2</v>
      </c>
      <c r="EN88" s="460">
        <f t="shared" si="297"/>
        <v>32.307116599087259</v>
      </c>
      <c r="EO88">
        <f t="shared" si="260"/>
        <v>2.7515506070842304</v>
      </c>
      <c r="EP88" s="460">
        <f t="shared" si="298"/>
        <v>2751.5506070842303</v>
      </c>
      <c r="EQ88" s="173">
        <f t="shared" si="261"/>
        <v>5.1563749999999988</v>
      </c>
      <c r="ER88" s="173">
        <f t="shared" si="262"/>
        <v>9.2078124999999997E-2</v>
      </c>
      <c r="ES88" s="528"/>
      <c r="EU88" s="460">
        <f t="shared" si="299"/>
        <v>5248.4531249999982</v>
      </c>
      <c r="EV88" s="528">
        <f t="shared" si="263"/>
        <v>0.91586235314612374</v>
      </c>
      <c r="EW88" s="528">
        <f t="shared" si="300"/>
        <v>3.3834405402850423</v>
      </c>
      <c r="EX88" s="528">
        <f t="shared" si="264"/>
        <v>3.4201584366007348E-4</v>
      </c>
      <c r="EY88" s="528">
        <f t="shared" si="265"/>
        <v>1.7008549743586521</v>
      </c>
      <c r="EZ88" s="528">
        <f t="shared" si="266"/>
        <v>10.719680099300353</v>
      </c>
      <c r="FA88" s="625">
        <f t="shared" si="267"/>
        <v>2.1349019483456383E-2</v>
      </c>
      <c r="FB88" s="460">
        <f t="shared" si="301"/>
        <v>10741.029118783808</v>
      </c>
      <c r="FC88" s="173">
        <f t="shared" si="302"/>
        <v>18.741032850868038</v>
      </c>
      <c r="FD88" s="5">
        <f t="shared" si="303"/>
        <v>126.15999999999998</v>
      </c>
      <c r="FE88" s="173">
        <f t="shared" si="304"/>
        <v>0.87066322108168615</v>
      </c>
      <c r="FF88" s="5">
        <f t="shared" si="305"/>
        <v>87.06632210816862</v>
      </c>
      <c r="FG88">
        <f t="shared" si="306"/>
        <v>82.999999999999986</v>
      </c>
      <c r="FI88" s="562">
        <f t="shared" si="268"/>
        <v>-50</v>
      </c>
      <c r="FJ88">
        <f t="shared" si="269"/>
        <v>-50</v>
      </c>
      <c r="FL88">
        <f t="shared" si="270"/>
        <v>0.78697421981004068</v>
      </c>
    </row>
    <row r="89" spans="5:168">
      <c r="E89" s="170">
        <v>84</v>
      </c>
      <c r="F89" s="217">
        <f t="shared" si="307"/>
        <v>8.4</v>
      </c>
      <c r="G89" s="217">
        <f t="shared" si="271"/>
        <v>0.21</v>
      </c>
      <c r="H89" s="217">
        <f t="shared" si="176"/>
        <v>126</v>
      </c>
      <c r="I89" s="217">
        <f t="shared" si="308"/>
        <v>1.68</v>
      </c>
      <c r="J89" s="541">
        <f t="shared" si="177"/>
        <v>57.404750977852053</v>
      </c>
      <c r="K89" s="443">
        <f t="shared" si="178"/>
        <v>16.020213793103448</v>
      </c>
      <c r="L89" s="172">
        <f t="shared" si="179"/>
        <v>73.424964770955498</v>
      </c>
      <c r="M89" s="443"/>
      <c r="N89" s="217">
        <f t="shared" si="180"/>
        <v>0.21818483458694851</v>
      </c>
      <c r="O89" s="172">
        <f t="shared" si="272"/>
        <v>309.00113725183274</v>
      </c>
      <c r="P89" s="172">
        <f t="shared" si="181"/>
        <v>4.1749486988692075</v>
      </c>
      <c r="Q89" s="217">
        <f t="shared" si="182"/>
        <v>20.600075816788848</v>
      </c>
      <c r="R89" s="217">
        <f t="shared" si="183"/>
        <v>38.625142156479093</v>
      </c>
      <c r="S89" s="443">
        <f t="shared" si="184"/>
        <v>15</v>
      </c>
      <c r="T89" s="217">
        <f t="shared" si="185"/>
        <v>20.388274477014512</v>
      </c>
      <c r="U89" s="217">
        <f t="shared" si="186"/>
        <v>4.2620042689248629</v>
      </c>
      <c r="V89" s="217">
        <f t="shared" si="187"/>
        <v>15.271911903541367</v>
      </c>
      <c r="W89" s="197">
        <f t="shared" si="188"/>
        <v>104.37371747173019</v>
      </c>
      <c r="X89" s="443">
        <f t="shared" si="273"/>
        <v>50.67417897493916</v>
      </c>
      <c r="Z89" s="217">
        <f t="shared" si="189"/>
        <v>10</v>
      </c>
      <c r="AA89" s="173">
        <f t="shared" si="190"/>
        <v>7.4905367400064833</v>
      </c>
      <c r="AB89" s="173">
        <f t="shared" si="191"/>
        <v>3.9090758270652577</v>
      </c>
      <c r="AC89" s="173"/>
      <c r="AD89" s="173">
        <f t="shared" si="192"/>
        <v>7.4905367400064833</v>
      </c>
      <c r="AE89" s="545">
        <f t="shared" si="193"/>
        <v>224.28299310344823</v>
      </c>
      <c r="AF89" s="528">
        <f t="shared" si="194"/>
        <v>3.9090758270652581</v>
      </c>
      <c r="AH89" s="173">
        <f t="shared" si="195"/>
        <v>7.7974354758471707</v>
      </c>
      <c r="AI89" s="173">
        <f t="shared" si="196"/>
        <v>20.388274477014512</v>
      </c>
      <c r="AJ89" s="173">
        <f t="shared" si="197"/>
        <v>8.8950181311218603</v>
      </c>
      <c r="AL89" s="545">
        <f t="shared" si="198"/>
        <v>8400</v>
      </c>
      <c r="AM89" s="460">
        <f t="shared" si="199"/>
        <v>50.67417897493916</v>
      </c>
      <c r="AO89">
        <f t="shared" si="274"/>
        <v>8400</v>
      </c>
      <c r="AP89">
        <f t="shared" si="200"/>
        <v>50.67417897493916</v>
      </c>
      <c r="AR89" s="5">
        <f t="shared" si="275"/>
        <v>19.73391617246623</v>
      </c>
      <c r="AS89" s="5">
        <f t="shared" si="201"/>
        <v>4.2620042689248629</v>
      </c>
      <c r="AT89" s="5">
        <f t="shared" si="276"/>
        <v>15.471911903541368</v>
      </c>
      <c r="AU89" s="173">
        <f t="shared" si="277"/>
        <v>0.21597356711545321</v>
      </c>
      <c r="AW89" s="5">
        <f t="shared" si="202"/>
        <v>238.67223905979233</v>
      </c>
      <c r="AX89" s="5">
        <f t="shared" si="203"/>
        <v>11.187761205927766</v>
      </c>
      <c r="AY89" s="5">
        <f t="shared" si="204"/>
        <v>11.710318136525901</v>
      </c>
      <c r="AZ89" s="5"/>
      <c r="BA89" s="173">
        <f t="shared" si="278"/>
        <v>5.4704133707633016</v>
      </c>
      <c r="BB89" s="173">
        <f t="shared" si="205"/>
        <v>10.42281901740925</v>
      </c>
      <c r="BC89" s="173">
        <f t="shared" si="206"/>
        <v>0.25668746442874546</v>
      </c>
      <c r="BD89" s="173"/>
      <c r="BE89" s="528">
        <f t="shared" si="207"/>
        <v>0.59850844894051825</v>
      </c>
      <c r="BF89" s="528">
        <f t="shared" si="208"/>
        <v>1.4223687807314804</v>
      </c>
      <c r="BG89" s="528">
        <f t="shared" si="209"/>
        <v>7.2723465626587214E-2</v>
      </c>
      <c r="BH89" s="528">
        <f t="shared" si="210"/>
        <v>2.7319592342943923E-2</v>
      </c>
      <c r="BI89">
        <f t="shared" si="211"/>
        <v>2.5832137940033424E-2</v>
      </c>
      <c r="BJ89" s="460">
        <f t="shared" si="279"/>
        <v>98.555603566620633</v>
      </c>
      <c r="BK89">
        <f t="shared" si="212"/>
        <v>2.5761349368428452</v>
      </c>
      <c r="BL89" s="460">
        <f t="shared" si="280"/>
        <v>2576.134936842845</v>
      </c>
      <c r="BM89" s="173">
        <f t="shared" si="213"/>
        <v>5.2184999999999997</v>
      </c>
      <c r="BN89" s="173">
        <f t="shared" si="214"/>
        <v>9.3187499999999993E-2</v>
      </c>
      <c r="BO89" s="528"/>
      <c r="BQ89" s="460">
        <f t="shared" si="281"/>
        <v>5311.6875</v>
      </c>
      <c r="BR89" s="528">
        <f t="shared" si="215"/>
        <v>0.8977626734107772</v>
      </c>
      <c r="BS89" s="528">
        <f t="shared" si="216"/>
        <v>3.2590546880900373</v>
      </c>
      <c r="BT89" s="528">
        <f t="shared" si="217"/>
        <v>3.2944227197429231E-4</v>
      </c>
      <c r="BU89" s="528">
        <f t="shared" si="218"/>
        <v>1.7154891904873315</v>
      </c>
      <c r="BV89" s="528">
        <f t="shared" si="219"/>
        <v>10.293767410219575</v>
      </c>
      <c r="BW89" s="625">
        <f t="shared" si="220"/>
        <v>2.1064330694282665E-2</v>
      </c>
      <c r="BX89" s="460">
        <f t="shared" si="282"/>
        <v>10314.831740913858</v>
      </c>
      <c r="BY89" s="173">
        <f t="shared" si="283"/>
        <v>18.202654177756703</v>
      </c>
      <c r="BZ89" s="5">
        <f t="shared" si="284"/>
        <v>127.68</v>
      </c>
      <c r="CA89" s="173">
        <f t="shared" si="285"/>
        <v>0.87522399917692117</v>
      </c>
      <c r="CB89" s="5">
        <f t="shared" si="286"/>
        <v>87.522399917692113</v>
      </c>
      <c r="CC89">
        <f t="shared" si="287"/>
        <v>84.000000000000014</v>
      </c>
      <c r="CE89" s="562">
        <f t="shared" si="221"/>
        <v>-50</v>
      </c>
      <c r="CF89">
        <f t="shared" si="222"/>
        <v>-50</v>
      </c>
      <c r="CG89" s="173">
        <f t="shared" si="223"/>
        <v>0.78697421981004079</v>
      </c>
      <c r="CH89" s="173">
        <f t="shared" si="224"/>
        <v>9.2345221451934009E-2</v>
      </c>
      <c r="CI89" s="170">
        <v>84</v>
      </c>
      <c r="CJ89" s="217">
        <f t="shared" si="309"/>
        <v>8.4</v>
      </c>
      <c r="CK89" s="217">
        <f t="shared" si="288"/>
        <v>0.21</v>
      </c>
      <c r="CL89" s="217">
        <f t="shared" si="225"/>
        <v>126</v>
      </c>
      <c r="CM89" s="217">
        <f t="shared" si="310"/>
        <v>1.68</v>
      </c>
      <c r="CN89" s="541">
        <f t="shared" si="289"/>
        <v>58</v>
      </c>
      <c r="CO89" s="443">
        <f t="shared" si="226"/>
        <v>15.7</v>
      </c>
      <c r="CP89" s="443">
        <f t="shared" si="227"/>
        <v>73.7</v>
      </c>
      <c r="CQ89" s="443"/>
      <c r="CR89" s="217">
        <f t="shared" si="228"/>
        <v>0.2098092643051771</v>
      </c>
      <c r="CS89" s="172">
        <f t="shared" si="290"/>
        <v>300.22049333142121</v>
      </c>
      <c r="CT89" s="172">
        <f t="shared" si="229"/>
        <v>4.0563124432334243</v>
      </c>
      <c r="CU89" s="217">
        <f t="shared" si="230"/>
        <v>20.014699555428081</v>
      </c>
      <c r="CV89" s="217">
        <f t="shared" si="231"/>
        <v>37.527561666427651</v>
      </c>
      <c r="CW89" s="443">
        <f t="shared" si="232"/>
        <v>15</v>
      </c>
      <c r="CX89" s="217">
        <f t="shared" si="233"/>
        <v>20.984576802507839</v>
      </c>
      <c r="CY89" s="217">
        <f t="shared" si="234"/>
        <v>4.341636579829208</v>
      </c>
      <c r="CZ89" s="217">
        <f t="shared" si="235"/>
        <v>16.039166982808542</v>
      </c>
      <c r="DA89" s="197">
        <f t="shared" si="236"/>
        <v>102.962460425147</v>
      </c>
      <c r="DB89" s="443">
        <f t="shared" si="291"/>
        <v>49.065778830880241</v>
      </c>
      <c r="DD89" s="217">
        <f t="shared" si="237"/>
        <v>10</v>
      </c>
      <c r="DE89" s="173">
        <f t="shared" si="238"/>
        <v>7.6433121019108281</v>
      </c>
      <c r="DF89" s="173">
        <f t="shared" si="239"/>
        <v>3.9348710990502043</v>
      </c>
      <c r="DG89" s="173"/>
      <c r="DH89" s="173">
        <f t="shared" si="240"/>
        <v>7.6433121019108281</v>
      </c>
      <c r="DI89" s="545">
        <f t="shared" si="241"/>
        <v>219.80000000000004</v>
      </c>
      <c r="DJ89" s="528">
        <f t="shared" si="242"/>
        <v>3.9348710990502034</v>
      </c>
      <c r="DL89" s="173">
        <f t="shared" si="243"/>
        <v>7.7974354758471707</v>
      </c>
      <c r="DM89" s="173">
        <f t="shared" si="244"/>
        <v>20.984576802507839</v>
      </c>
      <c r="DN89" s="173">
        <f t="shared" si="245"/>
        <v>9.3367235574132135</v>
      </c>
      <c r="DP89" s="545">
        <f t="shared" si="246"/>
        <v>8400</v>
      </c>
      <c r="DQ89" s="460">
        <f t="shared" si="247"/>
        <v>49.065778830880241</v>
      </c>
      <c r="DS89">
        <f t="shared" si="292"/>
        <v>8400</v>
      </c>
      <c r="DT89">
        <f t="shared" si="248"/>
        <v>49.065778830880241</v>
      </c>
      <c r="DV89" s="5">
        <f t="shared" si="293"/>
        <v>20.380803562637752</v>
      </c>
      <c r="DW89" s="5">
        <f t="shared" si="249"/>
        <v>4.341636579829208</v>
      </c>
      <c r="DX89" s="5">
        <f t="shared" si="294"/>
        <v>16.039166982808545</v>
      </c>
      <c r="DY89" s="173">
        <f t="shared" si="295"/>
        <v>0.21302578018995924</v>
      </c>
      <c r="EA89" s="5">
        <f t="shared" si="250"/>
        <v>243.13164847043566</v>
      </c>
      <c r="EB89" s="5">
        <f t="shared" si="251"/>
        <v>11.396796022051671</v>
      </c>
      <c r="EC89" s="5">
        <f t="shared" si="252"/>
        <v>12.015071580463001</v>
      </c>
      <c r="ED89" s="5"/>
      <c r="EE89" s="173">
        <f t="shared" si="296"/>
        <v>5.5918520221471848</v>
      </c>
      <c r="EF89" s="173">
        <f t="shared" si="253"/>
        <v>10.747806543159948</v>
      </c>
      <c r="EG89" s="173">
        <f t="shared" si="254"/>
        <v>0.26469107878840975</v>
      </c>
      <c r="EH89" s="173"/>
      <c r="EI89" s="528">
        <f t="shared" si="255"/>
        <v>0.62537618075183121</v>
      </c>
      <c r="EJ89" s="528">
        <f t="shared" si="256"/>
        <v>1.5176666666666665</v>
      </c>
      <c r="EK89" s="528">
        <f t="shared" si="257"/>
        <v>6.1332223538600296E-3</v>
      </c>
      <c r="EL89" s="528">
        <f t="shared" si="258"/>
        <v>2.6651010021790392E-2</v>
      </c>
      <c r="EM89">
        <f t="shared" si="259"/>
        <v>2.6099999999999998E-2</v>
      </c>
      <c r="EN89" s="460">
        <f t="shared" si="297"/>
        <v>32.233222353860029</v>
      </c>
      <c r="EO89">
        <f t="shared" si="260"/>
        <v>2.7845302776693868</v>
      </c>
      <c r="EP89" s="460">
        <f t="shared" si="298"/>
        <v>2784.5302776693866</v>
      </c>
      <c r="EQ89" s="173">
        <f t="shared" si="261"/>
        <v>5.2184999999999997</v>
      </c>
      <c r="ER89" s="173">
        <f t="shared" si="262"/>
        <v>9.3187499999999993E-2</v>
      </c>
      <c r="ES89" s="528"/>
      <c r="EU89" s="460">
        <f t="shared" si="299"/>
        <v>5311.6875</v>
      </c>
      <c r="EV89" s="528">
        <f t="shared" si="263"/>
        <v>0.93806427112774671</v>
      </c>
      <c r="EW89" s="528">
        <f t="shared" si="300"/>
        <v>3.4654603646757534</v>
      </c>
      <c r="EX89" s="528">
        <f t="shared" si="264"/>
        <v>3.5030683595086072E-4</v>
      </c>
      <c r="EY89" s="528">
        <f t="shared" si="265"/>
        <v>1.7008549743586505</v>
      </c>
      <c r="EZ89" s="528">
        <f t="shared" si="266"/>
        <v>11.057233942922768</v>
      </c>
      <c r="FA89" s="625">
        <f t="shared" si="267"/>
        <v>2.1606236585666707E-2</v>
      </c>
      <c r="FB89" s="460">
        <f t="shared" si="301"/>
        <v>11078.840179508434</v>
      </c>
      <c r="FC89" s="173">
        <f t="shared" si="302"/>
        <v>19.17505795717782</v>
      </c>
      <c r="FD89" s="5">
        <f t="shared" si="303"/>
        <v>127.68</v>
      </c>
      <c r="FE89" s="173">
        <f t="shared" si="304"/>
        <v>0.86942868550861108</v>
      </c>
      <c r="FF89" s="5">
        <f t="shared" si="305"/>
        <v>86.942868550861107</v>
      </c>
      <c r="FG89">
        <f t="shared" si="306"/>
        <v>84.000000000000014</v>
      </c>
      <c r="FI89" s="562">
        <f t="shared" si="268"/>
        <v>-50</v>
      </c>
      <c r="FJ89">
        <f t="shared" si="269"/>
        <v>-50</v>
      </c>
      <c r="FL89">
        <f t="shared" si="270"/>
        <v>0.78697421981004079</v>
      </c>
    </row>
    <row r="90" spans="5:168">
      <c r="E90" s="170">
        <v>85</v>
      </c>
      <c r="F90" s="217">
        <f t="shared" si="307"/>
        <v>8.5</v>
      </c>
      <c r="G90" s="217">
        <f t="shared" si="271"/>
        <v>0.21249999999999999</v>
      </c>
      <c r="H90" s="217">
        <f t="shared" si="176"/>
        <v>127.5</v>
      </c>
      <c r="I90" s="217">
        <f t="shared" si="308"/>
        <v>1.7</v>
      </c>
      <c r="J90" s="541">
        <f t="shared" si="177"/>
        <v>57.397664679969346</v>
      </c>
      <c r="K90" s="443">
        <f t="shared" si="178"/>
        <v>16.024025862068964</v>
      </c>
      <c r="L90" s="172">
        <f t="shared" si="179"/>
        <v>73.421690542038306</v>
      </c>
      <c r="M90" s="443"/>
      <c r="N90" s="217">
        <f t="shared" si="180"/>
        <v>0.21824648470732572</v>
      </c>
      <c r="O90" s="172">
        <f t="shared" si="272"/>
        <v>309.05029309571887</v>
      </c>
      <c r="P90" s="172">
        <f t="shared" si="181"/>
        <v>4.1756128489377131</v>
      </c>
      <c r="Q90" s="217">
        <f t="shared" si="182"/>
        <v>20.603352873047925</v>
      </c>
      <c r="R90" s="217">
        <f t="shared" si="183"/>
        <v>38.631286636964859</v>
      </c>
      <c r="S90" s="443">
        <f t="shared" si="184"/>
        <v>15</v>
      </c>
      <c r="T90" s="217">
        <f t="shared" si="185"/>
        <v>20.627710577920528</v>
      </c>
      <c r="U90" s="217">
        <f t="shared" si="186"/>
        <v>4.3125888189912773</v>
      </c>
      <c r="V90" s="217">
        <f t="shared" si="187"/>
        <v>15.447586584404442</v>
      </c>
      <c r="W90" s="197">
        <f t="shared" si="188"/>
        <v>104.39032122344283</v>
      </c>
      <c r="X90" s="443">
        <f t="shared" si="273"/>
        <v>50.099760136871105</v>
      </c>
      <c r="Z90" s="217">
        <f t="shared" si="189"/>
        <v>10</v>
      </c>
      <c r="AA90" s="173">
        <f t="shared" si="190"/>
        <v>7.4887547631869609</v>
      </c>
      <c r="AB90" s="173">
        <f t="shared" si="191"/>
        <v>3.9087675764633718</v>
      </c>
      <c r="AC90" s="173"/>
      <c r="AD90" s="173">
        <f t="shared" si="192"/>
        <v>7.4887547631869609</v>
      </c>
      <c r="AE90" s="545">
        <f t="shared" si="193"/>
        <v>227.00703304597701</v>
      </c>
      <c r="AF90" s="528">
        <f t="shared" si="194"/>
        <v>3.9087675764633714</v>
      </c>
      <c r="AH90" s="173">
        <f t="shared" si="195"/>
        <v>7.8437114635744676</v>
      </c>
      <c r="AI90" s="173">
        <f t="shared" si="196"/>
        <v>20.627710577920528</v>
      </c>
      <c r="AJ90" s="173">
        <f t="shared" si="197"/>
        <v>9.0723782058670572</v>
      </c>
      <c r="AL90" s="545">
        <f t="shared" si="198"/>
        <v>8500</v>
      </c>
      <c r="AM90" s="460">
        <f t="shared" si="199"/>
        <v>50.099760136871105</v>
      </c>
      <c r="AO90">
        <f t="shared" si="274"/>
        <v>8500</v>
      </c>
      <c r="AP90">
        <f t="shared" si="200"/>
        <v>50.099760136871105</v>
      </c>
      <c r="AR90" s="5">
        <f t="shared" si="275"/>
        <v>19.96017540339572</v>
      </c>
      <c r="AS90" s="5">
        <f t="shared" si="201"/>
        <v>4.3125888189912773</v>
      </c>
      <c r="AT90" s="5">
        <f t="shared" si="276"/>
        <v>15.647586584404443</v>
      </c>
      <c r="AU90" s="173">
        <f t="shared" si="277"/>
        <v>0.21605966540041524</v>
      </c>
      <c r="AW90" s="5">
        <f t="shared" si="202"/>
        <v>244.38003307617237</v>
      </c>
      <c r="AX90" s="5">
        <f t="shared" si="203"/>
        <v>11.45531405044558</v>
      </c>
      <c r="AY90" s="5">
        <f t="shared" si="204"/>
        <v>11.985753106827907</v>
      </c>
      <c r="AZ90" s="5"/>
      <c r="BA90" s="173">
        <f t="shared" si="278"/>
        <v>5.5357599782370865</v>
      </c>
      <c r="BB90" s="173">
        <f t="shared" si="205"/>
        <v>10.544643633562652</v>
      </c>
      <c r="BC90" s="173">
        <f t="shared" si="206"/>
        <v>0.25968769419126853</v>
      </c>
      <c r="BD90" s="173"/>
      <c r="BE90" s="528">
        <f t="shared" si="207"/>
        <v>0.61289277073302939</v>
      </c>
      <c r="BF90" s="528">
        <f t="shared" si="208"/>
        <v>1.4226967123606353</v>
      </c>
      <c r="BG90" s="528">
        <f t="shared" si="209"/>
        <v>7.1890230822075574E-2</v>
      </c>
      <c r="BH90" s="528">
        <f t="shared" si="210"/>
        <v>2.7007501352587001E-2</v>
      </c>
      <c r="BI90">
        <f t="shared" si="211"/>
        <v>2.5828949105986206E-2</v>
      </c>
      <c r="BJ90" s="460">
        <f t="shared" si="279"/>
        <v>97.719179928061777</v>
      </c>
      <c r="BK90">
        <f t="shared" si="212"/>
        <v>2.6078404183625938</v>
      </c>
      <c r="BL90" s="460">
        <f t="shared" si="280"/>
        <v>2607.8404183625939</v>
      </c>
      <c r="BM90" s="173">
        <f t="shared" si="213"/>
        <v>5.2806249999999988</v>
      </c>
      <c r="BN90" s="173">
        <f t="shared" si="214"/>
        <v>9.4296874999999988E-2</v>
      </c>
      <c r="BO90" s="528"/>
      <c r="BQ90" s="460">
        <f t="shared" si="281"/>
        <v>5374.9218749999991</v>
      </c>
      <c r="BR90" s="528">
        <f t="shared" si="215"/>
        <v>0.91933915609954409</v>
      </c>
      <c r="BS90" s="528">
        <f t="shared" si="216"/>
        <v>3.3356852807650008</v>
      </c>
      <c r="BT90" s="528">
        <f t="shared" si="217"/>
        <v>3.3718849257188897E-4</v>
      </c>
      <c r="BU90" s="528">
        <f t="shared" si="218"/>
        <v>1.71666951173182</v>
      </c>
      <c r="BV90" s="528">
        <f t="shared" si="219"/>
        <v>10.602826966740006</v>
      </c>
      <c r="BW90" s="625">
        <f t="shared" si="220"/>
        <v>2.1317570366343873E-2</v>
      </c>
      <c r="BX90" s="460">
        <f t="shared" si="282"/>
        <v>10624.144537106349</v>
      </c>
      <c r="BY90" s="173">
        <f t="shared" si="283"/>
        <v>18.60690683046894</v>
      </c>
      <c r="BZ90" s="5">
        <f t="shared" si="284"/>
        <v>129.19999999999999</v>
      </c>
      <c r="CA90" s="173">
        <f t="shared" si="285"/>
        <v>0.8741134143899606</v>
      </c>
      <c r="CB90" s="5">
        <f t="shared" si="286"/>
        <v>87.411341438996061</v>
      </c>
      <c r="CC90">
        <f t="shared" si="287"/>
        <v>85</v>
      </c>
      <c r="CE90" s="562">
        <f t="shared" si="221"/>
        <v>-50</v>
      </c>
      <c r="CF90">
        <f t="shared" si="222"/>
        <v>-50</v>
      </c>
      <c r="CG90" s="173">
        <f t="shared" si="223"/>
        <v>0.78697421981004079</v>
      </c>
      <c r="CH90" s="173">
        <f t="shared" si="224"/>
        <v>9.2345221451934009E-2</v>
      </c>
      <c r="CI90" s="170">
        <v>85</v>
      </c>
      <c r="CJ90" s="217">
        <f t="shared" si="309"/>
        <v>8.5</v>
      </c>
      <c r="CK90" s="217">
        <f t="shared" si="288"/>
        <v>0.21249999999999999</v>
      </c>
      <c r="CL90" s="217">
        <f t="shared" si="225"/>
        <v>127.5</v>
      </c>
      <c r="CM90" s="217">
        <f t="shared" si="310"/>
        <v>1.7</v>
      </c>
      <c r="CN90" s="541">
        <f t="shared" si="289"/>
        <v>58</v>
      </c>
      <c r="CO90" s="443">
        <f t="shared" si="226"/>
        <v>15.7</v>
      </c>
      <c r="CP90" s="443">
        <f t="shared" si="227"/>
        <v>73.7</v>
      </c>
      <c r="CQ90" s="443"/>
      <c r="CR90" s="217">
        <f t="shared" si="228"/>
        <v>0.2098092643051771</v>
      </c>
      <c r="CS90" s="172">
        <f t="shared" si="290"/>
        <v>300.22049333142121</v>
      </c>
      <c r="CT90" s="172">
        <f t="shared" si="229"/>
        <v>4.0563124432334243</v>
      </c>
      <c r="CU90" s="217">
        <f t="shared" si="230"/>
        <v>20.014699555428081</v>
      </c>
      <c r="CV90" s="217">
        <f t="shared" si="231"/>
        <v>37.527561666427651</v>
      </c>
      <c r="CW90" s="443">
        <f t="shared" si="232"/>
        <v>15</v>
      </c>
      <c r="CX90" s="217">
        <f t="shared" si="233"/>
        <v>21.234393193013883</v>
      </c>
      <c r="CY90" s="217">
        <f t="shared" si="234"/>
        <v>4.3933227295890793</v>
      </c>
      <c r="CZ90" s="217">
        <f t="shared" si="235"/>
        <v>16.230109446889596</v>
      </c>
      <c r="DA90" s="197">
        <f t="shared" si="236"/>
        <v>102.962460425147</v>
      </c>
      <c r="DB90" s="443">
        <f t="shared" si="291"/>
        <v>48.48853437404636</v>
      </c>
      <c r="DD90" s="217">
        <f t="shared" si="237"/>
        <v>10</v>
      </c>
      <c r="DE90" s="173">
        <f t="shared" si="238"/>
        <v>7.6433121019108281</v>
      </c>
      <c r="DF90" s="173">
        <f t="shared" si="239"/>
        <v>3.9348710990502043</v>
      </c>
      <c r="DG90" s="173"/>
      <c r="DH90" s="173">
        <f t="shared" si="240"/>
        <v>7.6433121019108281</v>
      </c>
      <c r="DI90" s="545">
        <f t="shared" si="241"/>
        <v>222.41666666666666</v>
      </c>
      <c r="DJ90" s="528">
        <f t="shared" si="242"/>
        <v>3.9348710990502034</v>
      </c>
      <c r="DL90" s="173">
        <f t="shared" si="243"/>
        <v>7.8437114635744676</v>
      </c>
      <c r="DM90" s="173">
        <f t="shared" si="244"/>
        <v>21.234393193013883</v>
      </c>
      <c r="DN90" s="173">
        <f t="shared" si="245"/>
        <v>9.5217727355658379</v>
      </c>
      <c r="DP90" s="545">
        <f t="shared" si="246"/>
        <v>8500</v>
      </c>
      <c r="DQ90" s="460">
        <f t="shared" si="247"/>
        <v>48.48853437404636</v>
      </c>
      <c r="DS90">
        <f t="shared" si="292"/>
        <v>8500</v>
      </c>
      <c r="DT90">
        <f t="shared" si="248"/>
        <v>48.48853437404636</v>
      </c>
      <c r="DV90" s="5">
        <f t="shared" si="293"/>
        <v>20.623432176478676</v>
      </c>
      <c r="DW90" s="5">
        <f t="shared" si="249"/>
        <v>4.3933227295890793</v>
      </c>
      <c r="DX90" s="5">
        <f t="shared" si="294"/>
        <v>16.230109446889596</v>
      </c>
      <c r="DY90" s="173">
        <f t="shared" si="295"/>
        <v>0.21302578018995924</v>
      </c>
      <c r="EA90" s="5">
        <f t="shared" si="250"/>
        <v>248.95495467671446</v>
      </c>
      <c r="EB90" s="5">
        <f t="shared" si="251"/>
        <v>11.669763500470992</v>
      </c>
      <c r="EC90" s="5">
        <f t="shared" si="252"/>
        <v>12.302847529598234</v>
      </c>
      <c r="ED90" s="5"/>
      <c r="EE90" s="173">
        <f t="shared" si="296"/>
        <v>5.6584216890775085</v>
      </c>
      <c r="EF90" s="173">
        <f t="shared" si="253"/>
        <v>10.875756621054709</v>
      </c>
      <c r="EG90" s="173">
        <f t="shared" si="254"/>
        <v>0.26784216305970032</v>
      </c>
      <c r="EH90" s="173"/>
      <c r="EI90" s="528">
        <f t="shared" si="255"/>
        <v>0.6403547202284553</v>
      </c>
      <c r="EJ90" s="528">
        <f t="shared" si="256"/>
        <v>1.5176666666666663</v>
      </c>
      <c r="EK90" s="528">
        <f t="shared" si="257"/>
        <v>6.0610667967557945E-3</v>
      </c>
      <c r="EL90" s="528">
        <f t="shared" si="258"/>
        <v>2.633746872741639E-2</v>
      </c>
      <c r="EM90">
        <f t="shared" si="259"/>
        <v>2.6099999999999998E-2</v>
      </c>
      <c r="EN90" s="460">
        <f t="shared" si="297"/>
        <v>32.161066796755797</v>
      </c>
      <c r="EO90">
        <f t="shared" si="260"/>
        <v>2.8181999809852853</v>
      </c>
      <c r="EP90" s="460">
        <f t="shared" si="298"/>
        <v>2818.1999809852855</v>
      </c>
      <c r="EQ90" s="173">
        <f t="shared" si="261"/>
        <v>5.2806249999999988</v>
      </c>
      <c r="ER90" s="173">
        <f t="shared" si="262"/>
        <v>9.4296874999999988E-2</v>
      </c>
      <c r="ES90" s="528"/>
      <c r="EU90" s="460">
        <f t="shared" si="299"/>
        <v>5374.9218749999991</v>
      </c>
      <c r="EV90" s="528">
        <f t="shared" si="263"/>
        <v>0.96053208034268289</v>
      </c>
      <c r="EW90" s="528">
        <f t="shared" si="300"/>
        <v>3.5484624624124601</v>
      </c>
      <c r="EX90" s="528">
        <f t="shared" si="264"/>
        <v>3.5869712156249547E-4</v>
      </c>
      <c r="EY90" s="528">
        <f t="shared" si="265"/>
        <v>1.7008549743586521</v>
      </c>
      <c r="EZ90" s="528">
        <f t="shared" si="266"/>
        <v>11.407795280411769</v>
      </c>
      <c r="FA90" s="625">
        <f t="shared" si="267"/>
        <v>2.1863453687877021E-2</v>
      </c>
      <c r="FB90" s="460">
        <f t="shared" si="301"/>
        <v>11429.658734099645</v>
      </c>
      <c r="FC90" s="173">
        <f t="shared" si="302"/>
        <v>19.622780590084929</v>
      </c>
      <c r="FD90" s="5">
        <f t="shared" si="303"/>
        <v>129.19999999999999</v>
      </c>
      <c r="FE90" s="173">
        <f t="shared" si="304"/>
        <v>0.86814666066391011</v>
      </c>
      <c r="FF90" s="5">
        <f t="shared" si="305"/>
        <v>86.814666066391013</v>
      </c>
      <c r="FG90">
        <f t="shared" si="306"/>
        <v>85</v>
      </c>
      <c r="FI90" s="562">
        <f t="shared" si="268"/>
        <v>-50</v>
      </c>
      <c r="FJ90">
        <f t="shared" si="269"/>
        <v>-50</v>
      </c>
      <c r="FL90">
        <f t="shared" si="270"/>
        <v>0.78697421981004079</v>
      </c>
    </row>
    <row r="91" spans="5:168">
      <c r="E91" s="170">
        <v>86</v>
      </c>
      <c r="F91" s="217">
        <f t="shared" si="307"/>
        <v>8.6</v>
      </c>
      <c r="G91" s="217">
        <f t="shared" si="271"/>
        <v>0.215</v>
      </c>
      <c r="H91" s="217">
        <f t="shared" si="176"/>
        <v>129</v>
      </c>
      <c r="I91" s="217">
        <f t="shared" si="308"/>
        <v>1.72</v>
      </c>
      <c r="J91" s="541">
        <f t="shared" si="177"/>
        <v>57.39057838208663</v>
      </c>
      <c r="K91" s="443">
        <f t="shared" si="178"/>
        <v>16.027837931034483</v>
      </c>
      <c r="L91" s="172">
        <f t="shared" si="179"/>
        <v>73.418416313121114</v>
      </c>
      <c r="M91" s="443"/>
      <c r="N91" s="217">
        <f t="shared" si="180"/>
        <v>0.21830814032650331</v>
      </c>
      <c r="O91" s="172">
        <f t="shared" si="272"/>
        <v>309.09943516913864</v>
      </c>
      <c r="P91" s="172">
        <f t="shared" si="181"/>
        <v>4.1762768129519188</v>
      </c>
      <c r="Q91" s="217">
        <f t="shared" si="182"/>
        <v>20.60662901127591</v>
      </c>
      <c r="R91" s="217">
        <f t="shared" si="183"/>
        <v>38.637429396142331</v>
      </c>
      <c r="S91" s="443">
        <f t="shared" si="184"/>
        <v>15</v>
      </c>
      <c r="T91" s="217">
        <f t="shared" si="185"/>
        <v>20.867071453788231</v>
      </c>
      <c r="U91" s="217">
        <f t="shared" si="186"/>
        <v>4.3631701318350515</v>
      </c>
      <c r="V91" s="217">
        <f t="shared" si="187"/>
        <v>15.623121379372279</v>
      </c>
      <c r="W91" s="197">
        <f t="shared" si="188"/>
        <v>104.40692032379796</v>
      </c>
      <c r="X91" s="443">
        <f t="shared" si="273"/>
        <v>49.538569253535499</v>
      </c>
      <c r="Z91" s="217">
        <f t="shared" si="189"/>
        <v>10</v>
      </c>
      <c r="AA91" s="173">
        <f t="shared" si="190"/>
        <v>7.4869736340199475</v>
      </c>
      <c r="AB91" s="173">
        <f t="shared" si="191"/>
        <v>3.9084592983674837</v>
      </c>
      <c r="AC91" s="173"/>
      <c r="AD91" s="173">
        <f t="shared" si="192"/>
        <v>7.4869736340199475</v>
      </c>
      <c r="AE91" s="545">
        <f t="shared" si="193"/>
        <v>229.73234367816093</v>
      </c>
      <c r="AF91" s="528">
        <f t="shared" si="194"/>
        <v>3.9084592983674837</v>
      </c>
      <c r="AH91" s="173">
        <f t="shared" si="195"/>
        <v>7.8897160308606198</v>
      </c>
      <c r="AI91" s="173">
        <f t="shared" si="196"/>
        <v>20.867071453788231</v>
      </c>
      <c r="AJ91" s="173">
        <f t="shared" si="197"/>
        <v>9.249682558361652</v>
      </c>
      <c r="AL91" s="545">
        <f t="shared" si="198"/>
        <v>8600</v>
      </c>
      <c r="AM91" s="460">
        <f t="shared" si="199"/>
        <v>49.538569253535499</v>
      </c>
      <c r="AO91">
        <f t="shared" si="274"/>
        <v>8600</v>
      </c>
      <c r="AP91">
        <f t="shared" si="200"/>
        <v>49.538569253535499</v>
      </c>
      <c r="AR91" s="5">
        <f t="shared" si="275"/>
        <v>20.18629151120733</v>
      </c>
      <c r="AS91" s="5">
        <f t="shared" si="201"/>
        <v>4.3631701318350515</v>
      </c>
      <c r="AT91" s="5">
        <f t="shared" si="276"/>
        <v>15.823121379372278</v>
      </c>
      <c r="AU91" s="173">
        <f t="shared" si="277"/>
        <v>0.21614520574086829</v>
      </c>
      <c r="AW91" s="5">
        <f t="shared" si="202"/>
        <v>250.15508755854293</v>
      </c>
      <c r="AX91" s="5">
        <f t="shared" si="203"/>
        <v>11.726019729306701</v>
      </c>
      <c r="AY91" s="5">
        <f t="shared" si="204"/>
        <v>12.264314261802006</v>
      </c>
      <c r="AZ91" s="5"/>
      <c r="BA91" s="173">
        <f t="shared" si="278"/>
        <v>5.6011045506647301</v>
      </c>
      <c r="BB91" s="173">
        <f t="shared" si="205"/>
        <v>10.666420119469517</v>
      </c>
      <c r="BC91" s="173">
        <f t="shared" si="206"/>
        <v>0.26268673862850428</v>
      </c>
      <c r="BD91" s="173"/>
      <c r="BE91" s="528">
        <f t="shared" si="207"/>
        <v>0.62744744374954298</v>
      </c>
      <c r="BF91" s="528">
        <f t="shared" si="208"/>
        <v>1.4230207958015366</v>
      </c>
      <c r="BG91" s="528">
        <f t="shared" si="209"/>
        <v>7.1076178542036392E-2</v>
      </c>
      <c r="BH91" s="528">
        <f t="shared" si="210"/>
        <v>2.6702595922258036E-2</v>
      </c>
      <c r="BI91">
        <f t="shared" si="211"/>
        <v>2.5825760271938981E-2</v>
      </c>
      <c r="BJ91" s="460">
        <f t="shared" si="279"/>
        <v>96.901938813975377</v>
      </c>
      <c r="BK91">
        <f t="shared" si="212"/>
        <v>2.6401843168812951</v>
      </c>
      <c r="BL91" s="460">
        <f t="shared" si="280"/>
        <v>2640.1843168812952</v>
      </c>
      <c r="BM91" s="173">
        <f t="shared" si="213"/>
        <v>5.3427499999999997</v>
      </c>
      <c r="BN91" s="173">
        <f t="shared" si="214"/>
        <v>9.5406249999999998E-2</v>
      </c>
      <c r="BO91" s="528"/>
      <c r="BQ91" s="460">
        <f t="shared" si="281"/>
        <v>5438.15625</v>
      </c>
      <c r="BR91" s="528">
        <f t="shared" si="215"/>
        <v>0.94117116562431435</v>
      </c>
      <c r="BS91" s="528">
        <f t="shared" si="216"/>
        <v>3.4131755449507231</v>
      </c>
      <c r="BT91" s="528">
        <f t="shared" si="217"/>
        <v>3.4502161325640062E-4</v>
      </c>
      <c r="BU91" s="528">
        <f t="shared" si="218"/>
        <v>1.7178388118078336</v>
      </c>
      <c r="BV91" s="528">
        <f t="shared" si="219"/>
        <v>10.922939202695035</v>
      </c>
      <c r="BW91" s="625">
        <f t="shared" si="220"/>
        <v>2.1570810607572596E-2</v>
      </c>
      <c r="BX91" s="460">
        <f t="shared" si="282"/>
        <v>10944.510013302608</v>
      </c>
      <c r="BY91" s="173">
        <f t="shared" si="283"/>
        <v>19.022850580183899</v>
      </c>
      <c r="BZ91" s="5">
        <f t="shared" si="284"/>
        <v>130.72</v>
      </c>
      <c r="CA91" s="173">
        <f t="shared" si="285"/>
        <v>0.87296321322534465</v>
      </c>
      <c r="CB91" s="5">
        <f t="shared" si="286"/>
        <v>87.296321322534467</v>
      </c>
      <c r="CC91">
        <f t="shared" si="287"/>
        <v>86</v>
      </c>
      <c r="CE91" s="562">
        <f t="shared" si="221"/>
        <v>-50</v>
      </c>
      <c r="CF91">
        <f t="shared" si="222"/>
        <v>-50</v>
      </c>
      <c r="CG91" s="173">
        <f t="shared" si="223"/>
        <v>0.78697421981004068</v>
      </c>
      <c r="CH91" s="173">
        <f t="shared" si="224"/>
        <v>9.2345221451934023E-2</v>
      </c>
      <c r="CI91" s="170">
        <v>86</v>
      </c>
      <c r="CJ91" s="217">
        <f t="shared" si="309"/>
        <v>8.6</v>
      </c>
      <c r="CK91" s="217">
        <f t="shared" si="288"/>
        <v>0.215</v>
      </c>
      <c r="CL91" s="217">
        <f t="shared" si="225"/>
        <v>129</v>
      </c>
      <c r="CM91" s="217">
        <f t="shared" si="310"/>
        <v>1.72</v>
      </c>
      <c r="CN91" s="541">
        <f t="shared" si="289"/>
        <v>58</v>
      </c>
      <c r="CO91" s="443">
        <f t="shared" si="226"/>
        <v>15.7</v>
      </c>
      <c r="CP91" s="443">
        <f t="shared" si="227"/>
        <v>73.7</v>
      </c>
      <c r="CQ91" s="443"/>
      <c r="CR91" s="217">
        <f t="shared" si="228"/>
        <v>0.2098092643051771</v>
      </c>
      <c r="CS91" s="172">
        <f t="shared" si="290"/>
        <v>300.22049333142121</v>
      </c>
      <c r="CT91" s="172">
        <f t="shared" si="229"/>
        <v>4.0563124432334243</v>
      </c>
      <c r="CU91" s="217">
        <f t="shared" si="230"/>
        <v>20.014699555428081</v>
      </c>
      <c r="CV91" s="217">
        <f t="shared" si="231"/>
        <v>37.527561666427651</v>
      </c>
      <c r="CW91" s="443">
        <f t="shared" si="232"/>
        <v>15</v>
      </c>
      <c r="CX91" s="217">
        <f t="shared" si="233"/>
        <v>21.484209583519927</v>
      </c>
      <c r="CY91" s="217">
        <f t="shared" si="234"/>
        <v>4.4450088793489506</v>
      </c>
      <c r="CZ91" s="217">
        <f t="shared" si="235"/>
        <v>16.421051910970647</v>
      </c>
      <c r="DA91" s="197">
        <f t="shared" si="236"/>
        <v>102.962460425147</v>
      </c>
      <c r="DB91" s="443">
        <f t="shared" si="291"/>
        <v>47.924714206906295</v>
      </c>
      <c r="DD91" s="217">
        <f t="shared" si="237"/>
        <v>10</v>
      </c>
      <c r="DE91" s="173">
        <f t="shared" si="238"/>
        <v>7.6433121019108281</v>
      </c>
      <c r="DF91" s="173">
        <f t="shared" si="239"/>
        <v>3.9348710990502043</v>
      </c>
      <c r="DG91" s="173"/>
      <c r="DH91" s="173">
        <f t="shared" si="240"/>
        <v>7.6433121019108281</v>
      </c>
      <c r="DI91" s="545">
        <f t="shared" si="241"/>
        <v>225.03333333333333</v>
      </c>
      <c r="DJ91" s="528">
        <f t="shared" si="242"/>
        <v>3.9348710990502034</v>
      </c>
      <c r="DL91" s="173">
        <f t="shared" si="243"/>
        <v>7.8897160308606198</v>
      </c>
      <c r="DM91" s="173">
        <f t="shared" si="244"/>
        <v>21.484209583519927</v>
      </c>
      <c r="DN91" s="173">
        <f t="shared" si="245"/>
        <v>9.7068219137184641</v>
      </c>
      <c r="DP91" s="545">
        <f t="shared" si="246"/>
        <v>8600</v>
      </c>
      <c r="DQ91" s="460">
        <f t="shared" si="247"/>
        <v>47.924714206906295</v>
      </c>
      <c r="DS91">
        <f>IF(CL91&gt;CS91, "",DP91)</f>
        <v>8600</v>
      </c>
      <c r="DT91">
        <f>IF(CL91&gt;CS91, "",DQ91)</f>
        <v>47.924714206906295</v>
      </c>
      <c r="DV91" s="5">
        <f t="shared" si="293"/>
        <v>20.866060790319597</v>
      </c>
      <c r="DW91" s="5">
        <f t="shared" si="249"/>
        <v>4.4450088793489506</v>
      </c>
      <c r="DX91" s="5">
        <f t="shared" si="294"/>
        <v>16.421051910970647</v>
      </c>
      <c r="DY91" s="173">
        <f t="shared" si="295"/>
        <v>0.2130257801899593</v>
      </c>
      <c r="EA91" s="5">
        <f t="shared" si="250"/>
        <v>254.84717574933978</v>
      </c>
      <c r="EB91" s="5">
        <f t="shared" si="251"/>
        <v>11.945961363250305</v>
      </c>
      <c r="EC91" s="5">
        <f t="shared" si="252"/>
        <v>12.594029111267616</v>
      </c>
      <c r="ED91" s="5"/>
      <c r="EE91" s="173">
        <f t="shared" si="296"/>
        <v>5.7249913560078323</v>
      </c>
      <c r="EF91" s="173">
        <f t="shared" si="253"/>
        <v>11.00370669894947</v>
      </c>
      <c r="EG91" s="173">
        <f t="shared" si="254"/>
        <v>0.27099324733099089</v>
      </c>
      <c r="EH91" s="173"/>
      <c r="EI91" s="528">
        <f t="shared" si="255"/>
        <v>0.65551052052728798</v>
      </c>
      <c r="EJ91" s="528">
        <f t="shared" si="256"/>
        <v>1.5176666666666665</v>
      </c>
      <c r="EK91" s="528">
        <f t="shared" si="257"/>
        <v>5.9905892758632864E-3</v>
      </c>
      <c r="EL91" s="528">
        <f t="shared" si="258"/>
        <v>2.6031219091051085E-2</v>
      </c>
      <c r="EM91">
        <f t="shared" si="259"/>
        <v>2.6099999999999998E-2</v>
      </c>
      <c r="EN91" s="460">
        <f t="shared" si="297"/>
        <v>32.090589275863287</v>
      </c>
      <c r="EO91">
        <f t="shared" si="260"/>
        <v>2.8525730984678659</v>
      </c>
      <c r="EP91" s="460">
        <f t="shared" si="298"/>
        <v>2852.5730984678657</v>
      </c>
      <c r="EQ91" s="173">
        <f t="shared" si="261"/>
        <v>5.3427499999999997</v>
      </c>
      <c r="ER91" s="173">
        <f t="shared" si="262"/>
        <v>9.5406249999999998E-2</v>
      </c>
      <c r="ES91" s="528"/>
      <c r="EU91" s="460">
        <f t="shared" si="299"/>
        <v>5438.15625</v>
      </c>
      <c r="EV91" s="528">
        <f t="shared" si="263"/>
        <v>0.98326578079093185</v>
      </c>
      <c r="EW91" s="528">
        <f t="shared" si="300"/>
        <v>3.632446833495163</v>
      </c>
      <c r="EX91" s="528">
        <f t="shared" si="264"/>
        <v>3.6718670049497803E-4</v>
      </c>
      <c r="EY91" s="528">
        <f t="shared" si="265"/>
        <v>1.7008549743586521</v>
      </c>
      <c r="EZ91" s="528">
        <f t="shared" si="266"/>
        <v>11.77205270372847</v>
      </c>
      <c r="FA91" s="625">
        <f t="shared" si="267"/>
        <v>2.2120670790087345E-2</v>
      </c>
      <c r="FB91" s="460">
        <f t="shared" si="301"/>
        <v>11794.173374518557</v>
      </c>
      <c r="FC91" s="173">
        <f t="shared" si="302"/>
        <v>20.084902722986421</v>
      </c>
      <c r="FD91" s="5">
        <f t="shared" si="303"/>
        <v>130.72</v>
      </c>
      <c r="FE91" s="173">
        <f t="shared" si="304"/>
        <v>0.86681531992444316</v>
      </c>
      <c r="FF91" s="5">
        <f t="shared" si="305"/>
        <v>86.68153199244432</v>
      </c>
      <c r="FG91">
        <f t="shared" si="306"/>
        <v>86</v>
      </c>
      <c r="FI91" s="562">
        <f t="shared" si="268"/>
        <v>-50</v>
      </c>
      <c r="FJ91">
        <f t="shared" si="269"/>
        <v>-50</v>
      </c>
      <c r="FL91">
        <f t="shared" si="270"/>
        <v>0.78697421981004068</v>
      </c>
    </row>
    <row r="92" spans="5:168">
      <c r="E92" s="170">
        <v>87</v>
      </c>
      <c r="F92" s="217">
        <f t="shared" si="307"/>
        <v>8.6999999999999993</v>
      </c>
      <c r="G92" s="217">
        <f t="shared" si="271"/>
        <v>0.2175</v>
      </c>
      <c r="H92" s="217">
        <f t="shared" si="176"/>
        <v>130.5</v>
      </c>
      <c r="I92" s="217">
        <f t="shared" si="308"/>
        <v>1.74</v>
      </c>
      <c r="J92" s="541">
        <f t="shared" si="177"/>
        <v>57.383492084203915</v>
      </c>
      <c r="K92" s="443">
        <f t="shared" si="178"/>
        <v>16.031649999999999</v>
      </c>
      <c r="L92" s="172">
        <f t="shared" si="179"/>
        <v>73.415142084203922</v>
      </c>
      <c r="M92" s="443"/>
      <c r="N92" s="217">
        <f t="shared" si="180"/>
        <v>0.21836980144521692</v>
      </c>
      <c r="O92" s="172">
        <f t="shared" si="272"/>
        <v>309.14856347024966</v>
      </c>
      <c r="P92" s="172">
        <f t="shared" si="181"/>
        <v>4.1769405908869288</v>
      </c>
      <c r="Q92" s="217">
        <f t="shared" si="182"/>
        <v>20.609904231349976</v>
      </c>
      <c r="R92" s="217">
        <f t="shared" si="183"/>
        <v>38.643570433781207</v>
      </c>
      <c r="S92" s="443">
        <f t="shared" si="184"/>
        <v>15</v>
      </c>
      <c r="T92" s="217">
        <f t="shared" si="185"/>
        <v>21.106357172602298</v>
      </c>
      <c r="U92" s="217">
        <f t="shared" si="186"/>
        <v>4.4137482204738019</v>
      </c>
      <c r="V92" s="217">
        <f t="shared" si="187"/>
        <v>15.798516439120588</v>
      </c>
      <c r="W92" s="197">
        <f t="shared" si="188"/>
        <v>104.42351477217322</v>
      </c>
      <c r="X92" s="443">
        <f t="shared" si="273"/>
        <v>48.990154530941247</v>
      </c>
      <c r="Z92" s="217">
        <f t="shared" si="189"/>
        <v>10</v>
      </c>
      <c r="AA92" s="173">
        <f t="shared" si="190"/>
        <v>7.4851933519007723</v>
      </c>
      <c r="AB92" s="173">
        <f t="shared" si="191"/>
        <v>3.9081509927739155</v>
      </c>
      <c r="AC92" s="173"/>
      <c r="AD92" s="173">
        <f t="shared" si="192"/>
        <v>7.4851933519007723</v>
      </c>
      <c r="AE92" s="545">
        <f t="shared" si="193"/>
        <v>232.45892499999997</v>
      </c>
      <c r="AF92" s="528">
        <f t="shared" si="194"/>
        <v>3.9081509927739151</v>
      </c>
      <c r="AH92" s="173">
        <f t="shared" si="195"/>
        <v>7.9354538982611809</v>
      </c>
      <c r="AI92" s="173">
        <f t="shared" si="196"/>
        <v>21.106357172602298</v>
      </c>
      <c r="AJ92" s="173">
        <f t="shared" si="197"/>
        <v>9.4269312389646647</v>
      </c>
      <c r="AL92" s="545">
        <f t="shared" si="198"/>
        <v>8700</v>
      </c>
      <c r="AM92" s="460">
        <f t="shared" si="199"/>
        <v>48.990154530941247</v>
      </c>
      <c r="AO92">
        <f t="shared" si="274"/>
        <v>8700</v>
      </c>
      <c r="AP92">
        <f t="shared" si="200"/>
        <v>48.990154530941247</v>
      </c>
      <c r="AR92" s="5">
        <f t="shared" si="275"/>
        <v>20.412264659594388</v>
      </c>
      <c r="AS92" s="5">
        <f t="shared" si="201"/>
        <v>4.4137482204738019</v>
      </c>
      <c r="AT92" s="5">
        <f t="shared" si="276"/>
        <v>15.998516439120586</v>
      </c>
      <c r="AU92" s="173">
        <f t="shared" si="277"/>
        <v>0.2162302073816785</v>
      </c>
      <c r="AW92" s="5">
        <f t="shared" si="202"/>
        <v>255.99739678748051</v>
      </c>
      <c r="AX92" s="5">
        <f t="shared" si="203"/>
        <v>11.999877974413151</v>
      </c>
      <c r="AY92" s="5">
        <f t="shared" si="204"/>
        <v>12.545999095070826</v>
      </c>
      <c r="AZ92" s="5"/>
      <c r="BA92" s="173">
        <f t="shared" si="278"/>
        <v>5.6664470945235808</v>
      </c>
      <c r="BB92" s="173">
        <f t="shared" si="205"/>
        <v>10.78814851387633</v>
      </c>
      <c r="BC92" s="173">
        <f t="shared" si="206"/>
        <v>0.26568459869467986</v>
      </c>
      <c r="BD92" s="173"/>
      <c r="BE92" s="528">
        <f t="shared" si="207"/>
        <v>0.64217245350069463</v>
      </c>
      <c r="BF92" s="528">
        <f t="shared" si="208"/>
        <v>1.4233411596048355</v>
      </c>
      <c r="BG92" s="528">
        <f t="shared" si="209"/>
        <v>7.0280653618254835E-2</v>
      </c>
      <c r="BH92" s="528">
        <f t="shared" si="210"/>
        <v>2.6404630633232982E-2</v>
      </c>
      <c r="BI92">
        <f t="shared" si="211"/>
        <v>2.582257143789176E-2</v>
      </c>
      <c r="BJ92" s="460">
        <f t="shared" si="279"/>
        <v>96.103225056146599</v>
      </c>
      <c r="BK92">
        <f t="shared" si="212"/>
        <v>2.6731789123000631</v>
      </c>
      <c r="BL92" s="460">
        <f t="shared" si="280"/>
        <v>2673.1789123000631</v>
      </c>
      <c r="BM92" s="173">
        <f t="shared" si="213"/>
        <v>5.4048749999999988</v>
      </c>
      <c r="BN92" s="173">
        <f t="shared" si="214"/>
        <v>9.6515624999999994E-2</v>
      </c>
      <c r="BO92" s="528"/>
      <c r="BQ92" s="460">
        <f t="shared" si="281"/>
        <v>5501.3906249999991</v>
      </c>
      <c r="BR92" s="528">
        <f t="shared" si="215"/>
        <v>0.96325868025104189</v>
      </c>
      <c r="BS92" s="528">
        <f t="shared" si="216"/>
        <v>3.4915244507235617</v>
      </c>
      <c r="BT92" s="528">
        <f t="shared" si="217"/>
        <v>3.5294152991776544E-4</v>
      </c>
      <c r="BU92" s="528">
        <f t="shared" si="218"/>
        <v>1.718997463270824</v>
      </c>
      <c r="BV92" s="528">
        <f t="shared" si="219"/>
        <v>11.254643736763969</v>
      </c>
      <c r="BW92" s="625">
        <f t="shared" si="220"/>
        <v>2.1824051398827617E-2</v>
      </c>
      <c r="BX92" s="460">
        <f t="shared" si="282"/>
        <v>11276.467788162796</v>
      </c>
      <c r="BY92" s="173">
        <f t="shared" si="283"/>
        <v>19.45103732546286</v>
      </c>
      <c r="BZ92" s="5">
        <f t="shared" si="284"/>
        <v>132.24</v>
      </c>
      <c r="CA92" s="173">
        <f t="shared" si="285"/>
        <v>0.87177200664974419</v>
      </c>
      <c r="CB92" s="5">
        <f t="shared" si="286"/>
        <v>87.177200664974421</v>
      </c>
      <c r="CC92">
        <f t="shared" si="287"/>
        <v>86.999999999999986</v>
      </c>
      <c r="CE92" s="562">
        <f t="shared" si="221"/>
        <v>-50</v>
      </c>
      <c r="CF92">
        <f t="shared" si="222"/>
        <v>-50</v>
      </c>
      <c r="CG92" s="173">
        <f t="shared" si="223"/>
        <v>0.78697421981004079</v>
      </c>
      <c r="CH92" s="173">
        <f t="shared" si="224"/>
        <v>9.2345221451934009E-2</v>
      </c>
      <c r="CI92" s="170">
        <v>87</v>
      </c>
      <c r="CJ92" s="217">
        <f t="shared" si="309"/>
        <v>8.6999999999999993</v>
      </c>
      <c r="CK92" s="217">
        <f t="shared" si="288"/>
        <v>0.2175</v>
      </c>
      <c r="CL92" s="217">
        <f t="shared" si="225"/>
        <v>130.5</v>
      </c>
      <c r="CM92" s="217">
        <f t="shared" si="310"/>
        <v>1.74</v>
      </c>
      <c r="CN92" s="541">
        <f t="shared" si="289"/>
        <v>58</v>
      </c>
      <c r="CO92" s="443">
        <f t="shared" si="226"/>
        <v>15.7</v>
      </c>
      <c r="CP92" s="443">
        <f t="shared" si="227"/>
        <v>73.7</v>
      </c>
      <c r="CQ92" s="443"/>
      <c r="CR92" s="217">
        <f t="shared" si="228"/>
        <v>0.2098092643051771</v>
      </c>
      <c r="CS92" s="172">
        <f t="shared" si="290"/>
        <v>300.22049333142121</v>
      </c>
      <c r="CT92" s="172">
        <f t="shared" si="229"/>
        <v>4.0563124432334243</v>
      </c>
      <c r="CU92" s="217">
        <f t="shared" si="230"/>
        <v>20.014699555428081</v>
      </c>
      <c r="CV92" s="217">
        <f t="shared" si="231"/>
        <v>37.527561666427651</v>
      </c>
      <c r="CW92" s="443">
        <f t="shared" si="232"/>
        <v>15</v>
      </c>
      <c r="CX92" s="217">
        <f t="shared" si="233"/>
        <v>21.734025974025975</v>
      </c>
      <c r="CY92" s="217">
        <f t="shared" si="234"/>
        <v>4.4966950291088228</v>
      </c>
      <c r="CZ92" s="217">
        <f t="shared" si="235"/>
        <v>16.611994375051705</v>
      </c>
      <c r="DA92" s="197">
        <f t="shared" si="236"/>
        <v>102.962460425147</v>
      </c>
      <c r="DB92" s="443">
        <f t="shared" si="291"/>
        <v>47.373855422918851</v>
      </c>
      <c r="DD92" s="217">
        <f t="shared" si="237"/>
        <v>10</v>
      </c>
      <c r="DE92" s="173">
        <f t="shared" si="238"/>
        <v>7.6433121019108281</v>
      </c>
      <c r="DF92" s="173">
        <f t="shared" si="239"/>
        <v>3.9348710990502043</v>
      </c>
      <c r="DG92" s="173"/>
      <c r="DH92" s="173">
        <f t="shared" si="240"/>
        <v>7.6433121019108281</v>
      </c>
      <c r="DI92" s="545">
        <f t="shared" si="241"/>
        <v>227.65</v>
      </c>
      <c r="DJ92" s="528">
        <f t="shared" si="242"/>
        <v>3.9348710990502034</v>
      </c>
      <c r="DL92" s="173">
        <f t="shared" si="243"/>
        <v>7.9354538982611809</v>
      </c>
      <c r="DM92" s="173">
        <f t="shared" si="244"/>
        <v>21.734025974025975</v>
      </c>
      <c r="DN92" s="173">
        <f t="shared" si="245"/>
        <v>9.8918710918710921</v>
      </c>
      <c r="DP92" s="545">
        <f t="shared" si="246"/>
        <v>8700</v>
      </c>
      <c r="DQ92" s="460">
        <f t="shared" si="247"/>
        <v>47.373855422918851</v>
      </c>
      <c r="DS92">
        <f>IF(CL92&gt;CS92, "",DP92)</f>
        <v>8700</v>
      </c>
      <c r="DT92">
        <f>IF(CL92&gt;CS92, "",DQ92)</f>
        <v>47.373855422918851</v>
      </c>
      <c r="DV92" s="5">
        <f t="shared" si="293"/>
        <v>21.108689404160533</v>
      </c>
      <c r="DW92" s="5">
        <f t="shared" si="249"/>
        <v>4.4966950291088228</v>
      </c>
      <c r="DX92" s="5">
        <f t="shared" si="294"/>
        <v>16.611994375051708</v>
      </c>
      <c r="DY92" s="173">
        <f t="shared" si="295"/>
        <v>0.21302578018995921</v>
      </c>
      <c r="EA92" s="5">
        <f t="shared" si="250"/>
        <v>260.80831168831168</v>
      </c>
      <c r="EB92" s="5">
        <f t="shared" si="251"/>
        <v>12.225389610389612</v>
      </c>
      <c r="EC92" s="5">
        <f t="shared" si="252"/>
        <v>12.888616325471153</v>
      </c>
      <c r="ED92" s="5"/>
      <c r="EE92" s="173">
        <f t="shared" si="296"/>
        <v>5.791561022938156</v>
      </c>
      <c r="EF92" s="173">
        <f t="shared" si="253"/>
        <v>11.131656776844231</v>
      </c>
      <c r="EG92" s="173">
        <f t="shared" si="254"/>
        <v>0.27414433160228147</v>
      </c>
      <c r="EH92" s="173"/>
      <c r="EI92" s="528">
        <f t="shared" si="255"/>
        <v>0.67084358164832925</v>
      </c>
      <c r="EJ92" s="528">
        <f t="shared" si="256"/>
        <v>1.5176666666666663</v>
      </c>
      <c r="EK92" s="528">
        <f t="shared" si="257"/>
        <v>5.9217319278648557E-3</v>
      </c>
      <c r="EL92" s="528">
        <f t="shared" si="258"/>
        <v>2.573200967621141E-2</v>
      </c>
      <c r="EM92">
        <f t="shared" si="259"/>
        <v>2.6099999999999998E-2</v>
      </c>
      <c r="EN92" s="460">
        <f t="shared" si="297"/>
        <v>32.021731927864849</v>
      </c>
      <c r="EO92">
        <f t="shared" si="260"/>
        <v>2.8876634686996776</v>
      </c>
      <c r="EP92" s="460">
        <f t="shared" si="298"/>
        <v>2887.6634686996777</v>
      </c>
      <c r="EQ92" s="173">
        <f t="shared" si="261"/>
        <v>5.4048749999999988</v>
      </c>
      <c r="ER92" s="173">
        <f t="shared" si="262"/>
        <v>9.6515624999999994E-2</v>
      </c>
      <c r="ES92" s="528"/>
      <c r="EU92" s="460">
        <f t="shared" si="299"/>
        <v>5501.3906249999991</v>
      </c>
      <c r="EV92" s="528">
        <f t="shared" si="263"/>
        <v>1.0062653724724937</v>
      </c>
      <c r="EW92" s="528">
        <f t="shared" si="300"/>
        <v>3.7174134779238628</v>
      </c>
      <c r="EX92" s="528">
        <f t="shared" si="264"/>
        <v>3.7577557274830832E-4</v>
      </c>
      <c r="EY92" s="528">
        <f t="shared" si="265"/>
        <v>1.700854974358651</v>
      </c>
      <c r="EZ92" s="528">
        <f t="shared" si="266"/>
        <v>12.150745579765548</v>
      </c>
      <c r="FA92" s="625">
        <f t="shared" si="267"/>
        <v>2.2377887892297655E-2</v>
      </c>
      <c r="FB92" s="460">
        <f t="shared" si="301"/>
        <v>12173.123467657846</v>
      </c>
      <c r="FC92" s="173">
        <f t="shared" si="302"/>
        <v>20.562177561357522</v>
      </c>
      <c r="FD92" s="5">
        <f t="shared" si="303"/>
        <v>132.24</v>
      </c>
      <c r="FE92" s="173">
        <f t="shared" si="304"/>
        <v>0.86543269284823643</v>
      </c>
      <c r="FF92" s="5">
        <f t="shared" si="305"/>
        <v>86.543269284823637</v>
      </c>
      <c r="FG92">
        <f t="shared" si="306"/>
        <v>86.999999999999986</v>
      </c>
      <c r="FI92" s="562">
        <f t="shared" si="268"/>
        <v>-50</v>
      </c>
      <c r="FJ92">
        <f t="shared" si="269"/>
        <v>-50</v>
      </c>
      <c r="FL92">
        <f t="shared" si="270"/>
        <v>0.78697421981004079</v>
      </c>
    </row>
    <row r="93" spans="5:168">
      <c r="E93" s="170">
        <v>88</v>
      </c>
      <c r="F93" s="217">
        <f t="shared" si="307"/>
        <v>8.8000000000000007</v>
      </c>
      <c r="G93" s="217">
        <f t="shared" si="271"/>
        <v>0.22</v>
      </c>
      <c r="H93" s="217">
        <f t="shared" si="176"/>
        <v>132</v>
      </c>
      <c r="I93" s="217">
        <f t="shared" si="308"/>
        <v>1.76</v>
      </c>
      <c r="J93" s="541">
        <f t="shared" si="177"/>
        <v>57.3764057863212</v>
      </c>
      <c r="K93" s="443">
        <f t="shared" si="178"/>
        <v>16.035462068965515</v>
      </c>
      <c r="L93" s="172">
        <f t="shared" si="179"/>
        <v>73.411867855286715</v>
      </c>
      <c r="M93" s="443"/>
      <c r="N93" s="217">
        <f t="shared" si="180"/>
        <v>0.21843146806420252</v>
      </c>
      <c r="O93" s="172">
        <f t="shared" si="272"/>
        <v>309.1976779972091</v>
      </c>
      <c r="P93" s="172">
        <f t="shared" si="181"/>
        <v>4.1776041827178476</v>
      </c>
      <c r="Q93" s="217">
        <f t="shared" si="182"/>
        <v>20.613178533147273</v>
      </c>
      <c r="R93" s="217">
        <f t="shared" si="183"/>
        <v>38.649709749651137</v>
      </c>
      <c r="S93" s="443">
        <f t="shared" si="184"/>
        <v>15</v>
      </c>
      <c r="T93" s="217">
        <f t="shared" si="185"/>
        <v>21.345567802289811</v>
      </c>
      <c r="U93" s="217">
        <f t="shared" si="186"/>
        <v>4.4643230979195341</v>
      </c>
      <c r="V93" s="217">
        <f t="shared" si="187"/>
        <v>15.973771914138695</v>
      </c>
      <c r="W93" s="197">
        <f t="shared" si="188"/>
        <v>104.44010456794621</v>
      </c>
      <c r="X93" s="443">
        <f t="shared" si="273"/>
        <v>48.454084517768216</v>
      </c>
      <c r="Z93" s="217">
        <f t="shared" si="189"/>
        <v>10</v>
      </c>
      <c r="AA93" s="173">
        <f t="shared" si="190"/>
        <v>7.4834139162253335</v>
      </c>
      <c r="AB93" s="173">
        <f t="shared" si="191"/>
        <v>3.9078426596789888</v>
      </c>
      <c r="AC93" s="173"/>
      <c r="AD93" s="173">
        <f t="shared" si="192"/>
        <v>7.4834139162253335</v>
      </c>
      <c r="AE93" s="545">
        <f t="shared" si="193"/>
        <v>235.18677701149423</v>
      </c>
      <c r="AF93" s="528">
        <f t="shared" si="194"/>
        <v>3.9078426596789884</v>
      </c>
      <c r="AH93" s="173">
        <f t="shared" si="195"/>
        <v>7.9809296510643479</v>
      </c>
      <c r="AI93" s="173">
        <f t="shared" si="196"/>
        <v>21.345567802289811</v>
      </c>
      <c r="AJ93" s="173">
        <f t="shared" si="197"/>
        <v>9.6041242979924508</v>
      </c>
      <c r="AL93" s="545">
        <f t="shared" si="198"/>
        <v>8800</v>
      </c>
      <c r="AM93" s="460">
        <f t="shared" si="199"/>
        <v>48.454084517768216</v>
      </c>
      <c r="AO93">
        <f t="shared" si="274"/>
        <v>8800</v>
      </c>
      <c r="AP93">
        <f t="shared" si="200"/>
        <v>48.454084517768216</v>
      </c>
      <c r="AR93" s="5">
        <f t="shared" si="275"/>
        <v>20.63809501205823</v>
      </c>
      <c r="AS93" s="5">
        <f t="shared" si="201"/>
        <v>4.4643230979195341</v>
      </c>
      <c r="AT93" s="5">
        <f t="shared" si="276"/>
        <v>16.173771914138698</v>
      </c>
      <c r="AU93" s="173">
        <f t="shared" si="277"/>
        <v>0.21631468870121792</v>
      </c>
      <c r="AW93" s="5">
        <f t="shared" si="202"/>
        <v>261.90695507794601</v>
      </c>
      <c r="AX93" s="5">
        <f t="shared" si="203"/>
        <v>12.276888519278719</v>
      </c>
      <c r="AY93" s="5">
        <f t="shared" si="204"/>
        <v>12.830805104304238</v>
      </c>
      <c r="AZ93" s="5"/>
      <c r="BA93" s="173">
        <f t="shared" si="278"/>
        <v>5.7317876163723129</v>
      </c>
      <c r="BB93" s="173">
        <f t="shared" si="205"/>
        <v>10.909828855433595</v>
      </c>
      <c r="BC93" s="173">
        <f t="shared" si="206"/>
        <v>0.2686812753416587</v>
      </c>
      <c r="BD93" s="173"/>
      <c r="BE93" s="528">
        <f t="shared" si="207"/>
        <v>0.65706778558398005</v>
      </c>
      <c r="BF93" s="528">
        <f t="shared" si="208"/>
        <v>1.4236579265330085</v>
      </c>
      <c r="BG93" s="528">
        <f t="shared" si="209"/>
        <v>6.9503030382404324E-2</v>
      </c>
      <c r="BH93" s="528">
        <f t="shared" si="210"/>
        <v>2.6113371117117493E-2</v>
      </c>
      <c r="BI93">
        <f t="shared" si="211"/>
        <v>2.5819382603844539E-2</v>
      </c>
      <c r="BJ93" s="460">
        <f t="shared" si="279"/>
        <v>95.32241298624885</v>
      </c>
      <c r="BK93">
        <f t="shared" si="212"/>
        <v>2.7068368801296723</v>
      </c>
      <c r="BL93" s="460">
        <f t="shared" si="280"/>
        <v>2706.8368801296724</v>
      </c>
      <c r="BM93" s="173">
        <f t="shared" si="213"/>
        <v>5.4669999999999996</v>
      </c>
      <c r="BN93" s="173">
        <f t="shared" si="214"/>
        <v>9.762499999999999E-2</v>
      </c>
      <c r="BO93" s="528"/>
      <c r="BQ93" s="460">
        <f t="shared" si="281"/>
        <v>5564.6249999999991</v>
      </c>
      <c r="BR93" s="528">
        <f t="shared" si="215"/>
        <v>0.98560167837597001</v>
      </c>
      <c r="BS93" s="528">
        <f t="shared" si="216"/>
        <v>3.5707309696455449</v>
      </c>
      <c r="BT93" s="528">
        <f t="shared" si="217"/>
        <v>3.6094813859610111E-4</v>
      </c>
      <c r="BU93" s="528">
        <f t="shared" si="218"/>
        <v>1.7201458220156212</v>
      </c>
      <c r="BV93" s="528">
        <f t="shared" si="219"/>
        <v>11.598516893562103</v>
      </c>
      <c r="BW93" s="625">
        <f t="shared" si="220"/>
        <v>2.2077292721830115E-2</v>
      </c>
      <c r="BX93" s="460">
        <f t="shared" si="282"/>
        <v>11620.594186283934</v>
      </c>
      <c r="BY93" s="173">
        <f t="shared" si="283"/>
        <v>19.892056066413605</v>
      </c>
      <c r="BZ93" s="5">
        <f t="shared" si="284"/>
        <v>133.76</v>
      </c>
      <c r="CA93" s="173">
        <f t="shared" si="285"/>
        <v>0.87053830208548866</v>
      </c>
      <c r="CB93" s="5">
        <f t="shared" si="286"/>
        <v>87.05383020854886</v>
      </c>
      <c r="CC93">
        <f t="shared" si="287"/>
        <v>88.000000000000014</v>
      </c>
      <c r="CE93" s="562">
        <f t="shared" si="221"/>
        <v>-50</v>
      </c>
      <c r="CF93">
        <f t="shared" si="222"/>
        <v>-50</v>
      </c>
      <c r="CG93" s="173">
        <f t="shared" si="223"/>
        <v>0.78697421981004079</v>
      </c>
      <c r="CH93" s="173">
        <f t="shared" si="224"/>
        <v>9.2345221451934009E-2</v>
      </c>
      <c r="CI93" s="170">
        <v>88</v>
      </c>
      <c r="CJ93" s="217">
        <f t="shared" si="309"/>
        <v>8.8000000000000007</v>
      </c>
      <c r="CK93" s="217">
        <f t="shared" si="288"/>
        <v>0.22</v>
      </c>
      <c r="CL93" s="217">
        <f t="shared" si="225"/>
        <v>132</v>
      </c>
      <c r="CM93" s="217">
        <f t="shared" si="310"/>
        <v>1.76</v>
      </c>
      <c r="CN93" s="541">
        <f t="shared" si="289"/>
        <v>58</v>
      </c>
      <c r="CO93" s="443">
        <f t="shared" si="226"/>
        <v>15.7</v>
      </c>
      <c r="CP93" s="443">
        <f t="shared" si="227"/>
        <v>73.7</v>
      </c>
      <c r="CQ93" s="443"/>
      <c r="CR93" s="217">
        <f t="shared" si="228"/>
        <v>0.2098092643051771</v>
      </c>
      <c r="CS93" s="172">
        <f t="shared" si="290"/>
        <v>300.22049333142121</v>
      </c>
      <c r="CT93" s="172">
        <f t="shared" si="229"/>
        <v>4.0563124432334243</v>
      </c>
      <c r="CU93" s="217">
        <f t="shared" si="230"/>
        <v>20.014699555428081</v>
      </c>
      <c r="CV93" s="217">
        <f t="shared" si="231"/>
        <v>37.527561666427651</v>
      </c>
      <c r="CW93" s="443">
        <f t="shared" si="232"/>
        <v>15</v>
      </c>
      <c r="CX93" s="217">
        <f t="shared" si="233"/>
        <v>21.98384236453202</v>
      </c>
      <c r="CY93" s="217">
        <f t="shared" si="234"/>
        <v>4.5483811788686941</v>
      </c>
      <c r="CZ93" s="217">
        <f t="shared" si="235"/>
        <v>16.802936839132755</v>
      </c>
      <c r="DA93" s="197">
        <f t="shared" si="236"/>
        <v>102.962460425147</v>
      </c>
      <c r="DB93" s="443">
        <f t="shared" si="291"/>
        <v>46.835516156749328</v>
      </c>
      <c r="DD93" s="217">
        <f t="shared" si="237"/>
        <v>10</v>
      </c>
      <c r="DE93" s="173">
        <f t="shared" si="238"/>
        <v>7.6433121019108281</v>
      </c>
      <c r="DF93" s="173">
        <f t="shared" si="239"/>
        <v>3.9348710990502043</v>
      </c>
      <c r="DG93" s="173"/>
      <c r="DH93" s="173">
        <f t="shared" si="240"/>
        <v>7.6433121019108281</v>
      </c>
      <c r="DI93" s="545">
        <f t="shared" si="241"/>
        <v>230.26666666666671</v>
      </c>
      <c r="DJ93" s="528">
        <f t="shared" si="242"/>
        <v>3.9348710990502034</v>
      </c>
      <c r="DL93" s="173">
        <f t="shared" si="243"/>
        <v>7.9809296510643479</v>
      </c>
      <c r="DM93" s="173">
        <f t="shared" si="244"/>
        <v>21.98384236453202</v>
      </c>
      <c r="DN93" s="173">
        <f t="shared" si="245"/>
        <v>10.076920270023717</v>
      </c>
      <c r="DP93" s="545">
        <f t="shared" si="246"/>
        <v>8800</v>
      </c>
      <c r="DQ93" s="460">
        <f t="shared" si="247"/>
        <v>46.835516156749328</v>
      </c>
      <c r="DS93">
        <f>IF(CL93&gt;CS93, "",DP93)</f>
        <v>8800</v>
      </c>
      <c r="DT93">
        <f>IF(CL93&gt;CS93, "",DQ93)</f>
        <v>46.835516156749328</v>
      </c>
      <c r="DV93" s="5">
        <f t="shared" si="293"/>
        <v>21.351318018001454</v>
      </c>
      <c r="DW93" s="5">
        <f t="shared" si="249"/>
        <v>4.5483811788686941</v>
      </c>
      <c r="DX93" s="5">
        <f t="shared" si="294"/>
        <v>16.802936839132759</v>
      </c>
      <c r="DY93" s="173">
        <f t="shared" si="295"/>
        <v>0.21302578018995924</v>
      </c>
      <c r="EA93" s="5">
        <f t="shared" si="250"/>
        <v>266.83836249363009</v>
      </c>
      <c r="EB93" s="5">
        <f t="shared" si="251"/>
        <v>12.508048241888909</v>
      </c>
      <c r="EC93" s="5">
        <f t="shared" si="252"/>
        <v>13.186609172208822</v>
      </c>
      <c r="ED93" s="5"/>
      <c r="EE93" s="173">
        <f t="shared" si="296"/>
        <v>5.8581306898684788</v>
      </c>
      <c r="EF93" s="173">
        <f t="shared" si="253"/>
        <v>11.259606854738992</v>
      </c>
      <c r="EG93" s="173">
        <f t="shared" si="254"/>
        <v>0.27729541587357204</v>
      </c>
      <c r="EH93" s="173"/>
      <c r="EI93" s="528">
        <f t="shared" si="255"/>
        <v>0.68635390359157877</v>
      </c>
      <c r="EJ93" s="528">
        <f t="shared" si="256"/>
        <v>1.5176666666666665</v>
      </c>
      <c r="EK93" s="528">
        <f t="shared" si="257"/>
        <v>5.8544395195936662E-3</v>
      </c>
      <c r="EL93" s="528">
        <f t="shared" si="258"/>
        <v>2.5439600475345377E-2</v>
      </c>
      <c r="EM93">
        <f t="shared" si="259"/>
        <v>2.6099999999999998E-2</v>
      </c>
      <c r="EN93" s="460">
        <f t="shared" si="297"/>
        <v>31.954439519593659</v>
      </c>
      <c r="EO93">
        <f t="shared" si="260"/>
        <v>2.9234854031968416</v>
      </c>
      <c r="EP93" s="460">
        <f t="shared" si="298"/>
        <v>2923.4854031968416</v>
      </c>
      <c r="EQ93" s="173">
        <f t="shared" si="261"/>
        <v>5.4669999999999996</v>
      </c>
      <c r="ER93" s="173">
        <f t="shared" si="262"/>
        <v>9.762499999999999E-2</v>
      </c>
      <c r="ES93" s="528"/>
      <c r="EU93" s="460">
        <f t="shared" si="299"/>
        <v>5564.6249999999991</v>
      </c>
      <c r="EV93" s="528">
        <f t="shared" si="263"/>
        <v>1.0295308553873681</v>
      </c>
      <c r="EW93" s="528">
        <f t="shared" si="300"/>
        <v>3.8033623956985592</v>
      </c>
      <c r="EX93" s="528">
        <f t="shared" si="264"/>
        <v>3.8446373832248636E-4</v>
      </c>
      <c r="EY93" s="528">
        <f t="shared" si="265"/>
        <v>1.700854974358651</v>
      </c>
      <c r="EZ93" s="528">
        <f t="shared" si="266"/>
        <v>12.544668788280532</v>
      </c>
      <c r="FA93" s="625">
        <f t="shared" si="267"/>
        <v>2.2635104994507976E-2</v>
      </c>
      <c r="FB93" s="460">
        <f t="shared" si="301"/>
        <v>12567.303893275041</v>
      </c>
      <c r="FC93" s="173">
        <f t="shared" si="302"/>
        <v>21.055414296471881</v>
      </c>
      <c r="FD93" s="5">
        <f t="shared" si="303"/>
        <v>133.76</v>
      </c>
      <c r="FE93" s="173">
        <f t="shared" si="304"/>
        <v>0.86399665438900852</v>
      </c>
      <c r="FF93" s="5">
        <f t="shared" si="305"/>
        <v>86.399665438900854</v>
      </c>
      <c r="FG93">
        <f t="shared" si="306"/>
        <v>88.000000000000014</v>
      </c>
      <c r="FI93" s="562">
        <f t="shared" si="268"/>
        <v>-50</v>
      </c>
      <c r="FJ93">
        <f t="shared" si="269"/>
        <v>-50</v>
      </c>
      <c r="FL93">
        <f t="shared" si="270"/>
        <v>0.78697421981004079</v>
      </c>
    </row>
    <row r="94" spans="5:168">
      <c r="E94" s="170">
        <v>89</v>
      </c>
      <c r="F94" s="217">
        <f t="shared" si="307"/>
        <v>8.9</v>
      </c>
      <c r="G94" s="217">
        <f t="shared" si="271"/>
        <v>0.2225</v>
      </c>
      <c r="H94" s="217">
        <f t="shared" si="176"/>
        <v>133.5</v>
      </c>
      <c r="I94" s="217">
        <f t="shared" si="308"/>
        <v>1.78</v>
      </c>
      <c r="J94" s="541">
        <f t="shared" si="177"/>
        <v>57.369319488438485</v>
      </c>
      <c r="K94" s="443">
        <f t="shared" si="178"/>
        <v>16.039274137931034</v>
      </c>
      <c r="L94" s="172">
        <f t="shared" si="179"/>
        <v>73.408593626369523</v>
      </c>
      <c r="M94" s="443"/>
      <c r="N94" s="217">
        <f t="shared" si="180"/>
        <v>0.21849314018419602</v>
      </c>
      <c r="O94" s="172">
        <f t="shared" si="272"/>
        <v>309.24677874817399</v>
      </c>
      <c r="P94" s="172">
        <f t="shared" si="181"/>
        <v>4.1782675884197733</v>
      </c>
      <c r="Q94" s="217">
        <f t="shared" si="182"/>
        <v>20.616451916544932</v>
      </c>
      <c r="R94" s="217">
        <f t="shared" si="183"/>
        <v>38.655847343521749</v>
      </c>
      <c r="S94" s="443">
        <f t="shared" si="184"/>
        <v>15</v>
      </c>
      <c r="T94" s="217">
        <f t="shared" si="185"/>
        <v>21.584703410720376</v>
      </c>
      <c r="U94" s="217">
        <f t="shared" si="186"/>
        <v>4.5148947771786538</v>
      </c>
      <c r="V94" s="217">
        <f t="shared" si="187"/>
        <v>16.148887954729851</v>
      </c>
      <c r="W94" s="197">
        <f t="shared" si="188"/>
        <v>104.45668971049432</v>
      </c>
      <c r="X94" s="443">
        <f t="shared" si="273"/>
        <v>47.929946973164512</v>
      </c>
      <c r="Z94" s="217">
        <f t="shared" si="189"/>
        <v>10</v>
      </c>
      <c r="AA94" s="173">
        <f t="shared" si="190"/>
        <v>7.4816353263901041</v>
      </c>
      <c r="AB94" s="173">
        <f t="shared" si="191"/>
        <v>3.9075342990790194</v>
      </c>
      <c r="AC94" s="173"/>
      <c r="AD94" s="173">
        <f t="shared" si="192"/>
        <v>7.4816353263901041</v>
      </c>
      <c r="AE94" s="545">
        <f t="shared" si="193"/>
        <v>237.91589971264369</v>
      </c>
      <c r="AF94" s="528">
        <f t="shared" si="194"/>
        <v>3.9075342990790203</v>
      </c>
      <c r="AH94" s="173">
        <f t="shared" si="195"/>
        <v>8.026147744656063</v>
      </c>
      <c r="AI94" s="173">
        <f t="shared" si="196"/>
        <v>21.584703410720376</v>
      </c>
      <c r="AJ94" s="173">
        <f t="shared" si="197"/>
        <v>9.7812617857187956</v>
      </c>
      <c r="AL94" s="545">
        <f t="shared" si="198"/>
        <v>8900</v>
      </c>
      <c r="AM94" s="460">
        <f t="shared" si="199"/>
        <v>47.929946973164512</v>
      </c>
      <c r="AO94">
        <f t="shared" si="274"/>
        <v>8900</v>
      </c>
      <c r="AP94">
        <f t="shared" si="200"/>
        <v>47.929946973164512</v>
      </c>
      <c r="AR94" s="5">
        <f t="shared" si="275"/>
        <v>20.863782731908504</v>
      </c>
      <c r="AS94" s="5">
        <f t="shared" si="201"/>
        <v>4.5148947771786538</v>
      </c>
      <c r="AT94" s="5">
        <f t="shared" si="276"/>
        <v>16.34888795472985</v>
      </c>
      <c r="AU94" s="173">
        <f t="shared" si="277"/>
        <v>0.21639866725959028</v>
      </c>
      <c r="AW94" s="5">
        <f t="shared" si="202"/>
        <v>267.88375677926678</v>
      </c>
      <c r="AX94" s="5">
        <f t="shared" si="203"/>
        <v>12.557051099028133</v>
      </c>
      <c r="AY94" s="5">
        <f t="shared" si="204"/>
        <v>13.118729791213665</v>
      </c>
      <c r="AZ94" s="5"/>
      <c r="BA94" s="173">
        <f t="shared" si="278"/>
        <v>5.7971261228462403</v>
      </c>
      <c r="BB94" s="173">
        <f t="shared" si="205"/>
        <v>11.03146118269931</v>
      </c>
      <c r="BC94" s="173">
        <f t="shared" si="206"/>
        <v>0.27167676951902625</v>
      </c>
      <c r="BD94" s="173"/>
      <c r="BE94" s="528">
        <f t="shared" si="207"/>
        <v>0.67213342568372569</v>
      </c>
      <c r="BF94" s="528">
        <f t="shared" si="208"/>
        <v>1.423971213882504</v>
      </c>
      <c r="BG94" s="528">
        <f t="shared" si="209"/>
        <v>6.8742711024184749E-2</v>
      </c>
      <c r="BH94" s="528">
        <f t="shared" si="210"/>
        <v>2.5828593440823857E-2</v>
      </c>
      <c r="BI94">
        <f t="shared" si="211"/>
        <v>2.5816193769797317E-2</v>
      </c>
      <c r="BJ94" s="460">
        <f t="shared" si="279"/>
        <v>94.55890479398208</v>
      </c>
      <c r="BK94">
        <f t="shared" si="212"/>
        <v>2.7411713054597411</v>
      </c>
      <c r="BL94" s="460">
        <f t="shared" si="280"/>
        <v>2741.1713054597412</v>
      </c>
      <c r="BM94" s="173">
        <f t="shared" si="213"/>
        <v>5.5291249999999996</v>
      </c>
      <c r="BN94" s="173">
        <f t="shared" si="214"/>
        <v>9.8734374999999999E-2</v>
      </c>
      <c r="BO94" s="528"/>
      <c r="BQ94" s="460">
        <f t="shared" si="281"/>
        <v>5627.859375</v>
      </c>
      <c r="BR94" s="528">
        <f t="shared" si="215"/>
        <v>1.0082001385255885</v>
      </c>
      <c r="BS94" s="528">
        <f t="shared" si="216"/>
        <v>3.6507940747620493</v>
      </c>
      <c r="BT94" s="528">
        <f t="shared" si="217"/>
        <v>3.6904133548147053E-4</v>
      </c>
      <c r="BU94" s="528">
        <f t="shared" si="218"/>
        <v>1.7212842281970306</v>
      </c>
      <c r="BV94" s="528">
        <f t="shared" si="219"/>
        <v>11.955174859285689</v>
      </c>
      <c r="BW94" s="625">
        <f t="shared" si="220"/>
        <v>2.2330534559115683E-2</v>
      </c>
      <c r="BX94" s="460">
        <f t="shared" si="282"/>
        <v>11977.505393844805</v>
      </c>
      <c r="BY94" s="173">
        <f t="shared" si="283"/>
        <v>20.346536074304545</v>
      </c>
      <c r="BZ94" s="5">
        <f t="shared" si="284"/>
        <v>135.28</v>
      </c>
      <c r="CA94" s="173">
        <f t="shared" si="285"/>
        <v>0.86926049639381553</v>
      </c>
      <c r="CB94" s="5">
        <f t="shared" si="286"/>
        <v>86.926049639381546</v>
      </c>
      <c r="CC94">
        <f t="shared" si="287"/>
        <v>89</v>
      </c>
      <c r="CE94" s="562">
        <f t="shared" si="221"/>
        <v>-50</v>
      </c>
      <c r="CF94">
        <f t="shared" si="222"/>
        <v>-50</v>
      </c>
      <c r="CG94" s="173">
        <f t="shared" si="223"/>
        <v>0.78697421981004068</v>
      </c>
      <c r="CH94" s="173">
        <f t="shared" si="224"/>
        <v>9.2345221451934009E-2</v>
      </c>
      <c r="CI94" s="170">
        <v>89</v>
      </c>
      <c r="CJ94" s="217">
        <f t="shared" si="309"/>
        <v>8.9</v>
      </c>
      <c r="CK94" s="217">
        <f t="shared" si="288"/>
        <v>0.2225</v>
      </c>
      <c r="CL94" s="217">
        <f t="shared" si="225"/>
        <v>133.5</v>
      </c>
      <c r="CM94" s="217">
        <f t="shared" si="310"/>
        <v>1.78</v>
      </c>
      <c r="CN94" s="541">
        <f t="shared" si="289"/>
        <v>58</v>
      </c>
      <c r="CO94" s="443">
        <f t="shared" si="226"/>
        <v>15.7</v>
      </c>
      <c r="CP94" s="443">
        <f t="shared" si="227"/>
        <v>73.7</v>
      </c>
      <c r="CQ94" s="443"/>
      <c r="CR94" s="217">
        <f t="shared" si="228"/>
        <v>0.2098092643051771</v>
      </c>
      <c r="CS94" s="172">
        <f t="shared" si="290"/>
        <v>300.22049333142121</v>
      </c>
      <c r="CT94" s="172">
        <f t="shared" si="229"/>
        <v>4.0563124432334243</v>
      </c>
      <c r="CU94" s="217">
        <f t="shared" si="230"/>
        <v>20.014699555428081</v>
      </c>
      <c r="CV94" s="217">
        <f t="shared" si="231"/>
        <v>37.527561666427651</v>
      </c>
      <c r="CW94" s="443">
        <f t="shared" si="232"/>
        <v>15</v>
      </c>
      <c r="CX94" s="217">
        <f t="shared" si="233"/>
        <v>22.233658755038068</v>
      </c>
      <c r="CY94" s="217">
        <f t="shared" si="234"/>
        <v>4.6000673286285663</v>
      </c>
      <c r="CZ94" s="217">
        <f t="shared" si="235"/>
        <v>16.993879303213813</v>
      </c>
      <c r="DA94" s="197">
        <f t="shared" si="236"/>
        <v>102.962460425147</v>
      </c>
      <c r="DB94" s="443">
        <f t="shared" si="291"/>
        <v>46.309274402179106</v>
      </c>
      <c r="DD94" s="217">
        <f t="shared" si="237"/>
        <v>10</v>
      </c>
      <c r="DE94" s="173">
        <f t="shared" si="238"/>
        <v>7.6433121019108281</v>
      </c>
      <c r="DF94" s="173">
        <f t="shared" si="239"/>
        <v>3.9348710990502043</v>
      </c>
      <c r="DG94" s="173"/>
      <c r="DH94" s="173">
        <f t="shared" si="240"/>
        <v>7.6433121019108281</v>
      </c>
      <c r="DI94" s="545">
        <f t="shared" si="241"/>
        <v>232.88333333333338</v>
      </c>
      <c r="DJ94" s="528">
        <f t="shared" si="242"/>
        <v>3.9348710990502034</v>
      </c>
      <c r="DL94" s="173">
        <f t="shared" si="243"/>
        <v>8.026147744656063</v>
      </c>
      <c r="DM94" s="173">
        <f t="shared" si="244"/>
        <v>22.233658755038068</v>
      </c>
      <c r="DN94" s="173">
        <f t="shared" si="245"/>
        <v>10.261969448176346</v>
      </c>
      <c r="DP94" s="545">
        <f t="shared" si="246"/>
        <v>8900</v>
      </c>
      <c r="DQ94" s="460">
        <f t="shared" si="247"/>
        <v>46.309274402179106</v>
      </c>
      <c r="DS94">
        <f>IF(CL94&gt;CS94, "",DP94)</f>
        <v>8900</v>
      </c>
      <c r="DT94">
        <f>IF(CL94&gt;CS94, "",DQ94)</f>
        <v>46.309274402179106</v>
      </c>
      <c r="DV94" s="5">
        <f t="shared" si="293"/>
        <v>21.593946631842378</v>
      </c>
      <c r="DW94" s="5">
        <f t="shared" si="249"/>
        <v>4.6000673286285663</v>
      </c>
      <c r="DX94" s="5">
        <f t="shared" si="294"/>
        <v>16.993879303213813</v>
      </c>
      <c r="DY94" s="173">
        <f t="shared" si="295"/>
        <v>0.2130257801899593</v>
      </c>
      <c r="EA94" s="5">
        <f t="shared" si="250"/>
        <v>272.9373281652949</v>
      </c>
      <c r="EB94" s="5">
        <f t="shared" si="251"/>
        <v>12.793937257748199</v>
      </c>
      <c r="EC94" s="5">
        <f t="shared" si="252"/>
        <v>13.488007651480642</v>
      </c>
      <c r="ED94" s="5"/>
      <c r="EE94" s="173">
        <f t="shared" si="296"/>
        <v>5.9247003567988044</v>
      </c>
      <c r="EF94" s="173">
        <f t="shared" si="253"/>
        <v>11.387556932633755</v>
      </c>
      <c r="EG94" s="173">
        <f t="shared" si="254"/>
        <v>0.28044650014486272</v>
      </c>
      <c r="EH94" s="173"/>
      <c r="EI94" s="528">
        <f t="shared" si="255"/>
        <v>0.70204148635703756</v>
      </c>
      <c r="EJ94" s="528">
        <f t="shared" si="256"/>
        <v>1.5176666666666663</v>
      </c>
      <c r="EK94" s="528">
        <f t="shared" si="257"/>
        <v>5.7886593002723884E-3</v>
      </c>
      <c r="EL94" s="528">
        <f t="shared" si="258"/>
        <v>2.5153762267757222E-2</v>
      </c>
      <c r="EM94">
        <f t="shared" si="259"/>
        <v>2.6099999999999998E-2</v>
      </c>
      <c r="EN94" s="460">
        <f t="shared" si="297"/>
        <v>31.888659300272391</v>
      </c>
      <c r="EO94">
        <f t="shared" si="260"/>
        <v>2.9600537030348981</v>
      </c>
      <c r="EP94" s="460">
        <f t="shared" si="298"/>
        <v>2960.0537030348983</v>
      </c>
      <c r="EQ94" s="173">
        <f t="shared" si="261"/>
        <v>5.5291249999999996</v>
      </c>
      <c r="ER94" s="173">
        <f t="shared" si="262"/>
        <v>9.8734374999999999E-2</v>
      </c>
      <c r="ES94" s="528"/>
      <c r="EU94" s="460">
        <f t="shared" si="299"/>
        <v>5627.859375</v>
      </c>
      <c r="EV94" s="528">
        <f t="shared" si="263"/>
        <v>1.0530622295355563</v>
      </c>
      <c r="EW94" s="528">
        <f t="shared" si="300"/>
        <v>3.8902935868192525</v>
      </c>
      <c r="EX94" s="528">
        <f t="shared" si="264"/>
        <v>3.932511972175124E-4</v>
      </c>
      <c r="EY94" s="528">
        <f t="shared" si="265"/>
        <v>1.7008549743586521</v>
      </c>
      <c r="EZ94" s="528">
        <f t="shared" si="266"/>
        <v>12.954678001254104</v>
      </c>
      <c r="FA94" s="625">
        <f t="shared" si="267"/>
        <v>2.2892322096718296E-2</v>
      </c>
      <c r="FB94" s="460">
        <f t="shared" si="301"/>
        <v>12977.570323350821</v>
      </c>
      <c r="FC94" s="173">
        <f t="shared" si="302"/>
        <v>21.565483401385723</v>
      </c>
      <c r="FD94" s="5">
        <f t="shared" si="303"/>
        <v>135.28</v>
      </c>
      <c r="FE94" s="173">
        <f t="shared" si="304"/>
        <v>0.86250491290082498</v>
      </c>
      <c r="FF94" s="5">
        <f t="shared" si="305"/>
        <v>86.250491290082493</v>
      </c>
      <c r="FG94">
        <f t="shared" si="306"/>
        <v>89</v>
      </c>
      <c r="FI94" s="562">
        <f t="shared" si="268"/>
        <v>-50</v>
      </c>
      <c r="FJ94">
        <f t="shared" si="269"/>
        <v>-50</v>
      </c>
      <c r="FL94">
        <f t="shared" si="270"/>
        <v>0.78697421981004068</v>
      </c>
    </row>
    <row r="95" spans="5:168">
      <c r="E95" s="170">
        <v>90</v>
      </c>
      <c r="F95" s="217">
        <f t="shared" si="307"/>
        <v>9</v>
      </c>
      <c r="G95" s="217">
        <f t="shared" si="271"/>
        <v>0.22500000000000001</v>
      </c>
      <c r="H95" s="217">
        <f t="shared" si="176"/>
        <v>135</v>
      </c>
      <c r="I95" s="217">
        <f t="shared" si="308"/>
        <v>1.8</v>
      </c>
      <c r="J95" s="541">
        <f t="shared" si="177"/>
        <v>57.362233190555777</v>
      </c>
      <c r="K95" s="443">
        <f t="shared" si="178"/>
        <v>16.04308620689655</v>
      </c>
      <c r="L95" s="172">
        <f t="shared" si="179"/>
        <v>73.405319397452331</v>
      </c>
      <c r="M95" s="443"/>
      <c r="N95" s="217">
        <f t="shared" si="180"/>
        <v>0.2185548178059335</v>
      </c>
      <c r="O95" s="172">
        <f t="shared" si="272"/>
        <v>309.29586572130074</v>
      </c>
      <c r="P95" s="172">
        <f t="shared" si="181"/>
        <v>4.1789308079677969</v>
      </c>
      <c r="Q95" s="217">
        <f t="shared" si="182"/>
        <v>20.619724381420049</v>
      </c>
      <c r="R95" s="217">
        <f t="shared" si="183"/>
        <v>38.661983215162593</v>
      </c>
      <c r="S95" s="443">
        <f t="shared" si="184"/>
        <v>15</v>
      </c>
      <c r="T95" s="217">
        <f t="shared" si="185"/>
        <v>21.823764065706161</v>
      </c>
      <c r="U95" s="217">
        <f t="shared" si="186"/>
        <v>4.5654632712519838</v>
      </c>
      <c r="V95" s="217">
        <f t="shared" si="187"/>
        <v>16.323864711011499</v>
      </c>
      <c r="W95" s="197">
        <f t="shared" si="188"/>
        <v>104.47327019919493</v>
      </c>
      <c r="X95" s="443">
        <f t="shared" si="273"/>
        <v>47.417347809328902</v>
      </c>
      <c r="Z95" s="217">
        <f t="shared" si="189"/>
        <v>10</v>
      </c>
      <c r="AA95" s="173">
        <f t="shared" si="190"/>
        <v>7.4798575817921362</v>
      </c>
      <c r="AB95" s="173">
        <f t="shared" si="191"/>
        <v>3.9072259109703333</v>
      </c>
      <c r="AC95" s="173"/>
      <c r="AD95" s="173">
        <f t="shared" si="192"/>
        <v>7.4798575817921362</v>
      </c>
      <c r="AE95" s="545">
        <f t="shared" si="193"/>
        <v>240.64629310344827</v>
      </c>
      <c r="AF95" s="528">
        <f t="shared" si="194"/>
        <v>3.9072259109703333</v>
      </c>
      <c r="AH95" s="173">
        <f t="shared" si="195"/>
        <v>8.0711125096145917</v>
      </c>
      <c r="AI95" s="173">
        <f t="shared" si="196"/>
        <v>21.823764065706161</v>
      </c>
      <c r="AJ95" s="173">
        <f t="shared" si="197"/>
        <v>9.9583437523749332</v>
      </c>
      <c r="AL95" s="545">
        <f t="shared" si="198"/>
        <v>9000</v>
      </c>
      <c r="AM95" s="460">
        <f t="shared" si="199"/>
        <v>47.417347809328902</v>
      </c>
      <c r="AO95">
        <f t="shared" si="274"/>
        <v>9000</v>
      </c>
      <c r="AP95">
        <f t="shared" si="200"/>
        <v>47.417347809328902</v>
      </c>
      <c r="AR95" s="5">
        <f t="shared" si="275"/>
        <v>21.08932798226348</v>
      </c>
      <c r="AS95" s="5">
        <f t="shared" si="201"/>
        <v>4.5654632712519838</v>
      </c>
      <c r="AT95" s="5">
        <f t="shared" si="276"/>
        <v>16.523864711011498</v>
      </c>
      <c r="AU95" s="173">
        <f t="shared" si="277"/>
        <v>0.21648215984367183</v>
      </c>
      <c r="AW95" s="5">
        <f t="shared" si="202"/>
        <v>273.92779627511902</v>
      </c>
      <c r="AX95" s="5">
        <f t="shared" si="203"/>
        <v>12.840365450396204</v>
      </c>
      <c r="AY95" s="5">
        <f t="shared" si="204"/>
        <v>13.409770661546444</v>
      </c>
      <c r="AZ95" s="5"/>
      <c r="BA95" s="173">
        <f t="shared" si="278"/>
        <v>5.8624626206529209</v>
      </c>
      <c r="BB95" s="173">
        <f t="shared" si="205"/>
        <v>11.153045534142224</v>
      </c>
      <c r="BC95" s="173">
        <f t="shared" si="206"/>
        <v>0.2746710821741693</v>
      </c>
      <c r="BD95" s="173"/>
      <c r="BE95" s="528">
        <f t="shared" si="207"/>
        <v>0.68736935957105427</v>
      </c>
      <c r="BF95" s="528">
        <f t="shared" si="208"/>
        <v>1.424281133784614</v>
      </c>
      <c r="BG95" s="528">
        <f t="shared" si="209"/>
        <v>6.7999124057910351E-2</v>
      </c>
      <c r="BH95" s="528">
        <f t="shared" si="210"/>
        <v>2.5550083532171756E-2</v>
      </c>
      <c r="BI95">
        <f t="shared" si="211"/>
        <v>2.5813004935750099E-2</v>
      </c>
      <c r="BJ95" s="460">
        <f t="shared" si="279"/>
        <v>93.812128993660451</v>
      </c>
      <c r="BK95">
        <f t="shared" si="212"/>
        <v>2.7761956975998947</v>
      </c>
      <c r="BL95" s="460">
        <f t="shared" si="280"/>
        <v>2776.1956975998946</v>
      </c>
      <c r="BM95" s="173">
        <f t="shared" si="213"/>
        <v>5.5912499999999996</v>
      </c>
      <c r="BN95" s="173">
        <f t="shared" si="214"/>
        <v>9.9843749999999995E-2</v>
      </c>
      <c r="BO95" s="528"/>
      <c r="BQ95" s="460">
        <f t="shared" si="281"/>
        <v>5691.0937499999991</v>
      </c>
      <c r="BR95" s="528">
        <f t="shared" si="215"/>
        <v>1.0310540393565815</v>
      </c>
      <c r="BS95" s="528">
        <f t="shared" si="216"/>
        <v>3.7317127405994941</v>
      </c>
      <c r="BT95" s="528">
        <f t="shared" si="217"/>
        <v>3.7722101691364633E-4</v>
      </c>
      <c r="BU95" s="528">
        <f t="shared" si="218"/>
        <v>1.7224130070901025</v>
      </c>
      <c r="BV95" s="528">
        <f t="shared" si="219"/>
        <v>12.325277168878415</v>
      </c>
      <c r="BW95" s="625">
        <f t="shared" si="220"/>
        <v>2.2583776893989466E-2</v>
      </c>
      <c r="BX95" s="460">
        <f t="shared" si="282"/>
        <v>12347.860945772405</v>
      </c>
      <c r="BY95" s="173">
        <f t="shared" si="283"/>
        <v>20.815150393372299</v>
      </c>
      <c r="BZ95" s="5">
        <f t="shared" si="284"/>
        <v>136.80000000000001</v>
      </c>
      <c r="CA95" s="173">
        <f t="shared" si="285"/>
        <v>0.86793686811564541</v>
      </c>
      <c r="CB95" s="5">
        <f t="shared" si="286"/>
        <v>86.793686811564541</v>
      </c>
      <c r="CC95">
        <f t="shared" si="287"/>
        <v>90</v>
      </c>
      <c r="CE95" s="562">
        <f t="shared" si="221"/>
        <v>-50</v>
      </c>
      <c r="CF95">
        <f t="shared" si="222"/>
        <v>-50</v>
      </c>
      <c r="CG95" s="173">
        <f t="shared" si="223"/>
        <v>0.78697421981004068</v>
      </c>
      <c r="CH95" s="173">
        <f t="shared" si="224"/>
        <v>9.2345221451934023E-2</v>
      </c>
      <c r="CI95" s="170">
        <v>90</v>
      </c>
      <c r="CJ95" s="217">
        <f t="shared" si="309"/>
        <v>9</v>
      </c>
      <c r="CK95" s="217">
        <f t="shared" si="288"/>
        <v>0.22500000000000001</v>
      </c>
      <c r="CL95" s="217">
        <f t="shared" si="225"/>
        <v>135</v>
      </c>
      <c r="CM95" s="217">
        <f t="shared" si="310"/>
        <v>1.8</v>
      </c>
      <c r="CN95" s="541">
        <f t="shared" si="289"/>
        <v>58</v>
      </c>
      <c r="CO95" s="443">
        <f t="shared" si="226"/>
        <v>15.7</v>
      </c>
      <c r="CP95" s="443">
        <f t="shared" si="227"/>
        <v>73.7</v>
      </c>
      <c r="CQ95" s="443"/>
      <c r="CR95" s="217">
        <f t="shared" si="228"/>
        <v>0.2098092643051771</v>
      </c>
      <c r="CS95" s="172">
        <f t="shared" si="290"/>
        <v>300.22049333142121</v>
      </c>
      <c r="CT95" s="172">
        <f t="shared" si="229"/>
        <v>4.0563124432334243</v>
      </c>
      <c r="CU95" s="217">
        <f t="shared" si="230"/>
        <v>20.014699555428081</v>
      </c>
      <c r="CV95" s="217">
        <f t="shared" si="231"/>
        <v>37.527561666427651</v>
      </c>
      <c r="CW95" s="443">
        <f t="shared" si="232"/>
        <v>15</v>
      </c>
      <c r="CX95" s="217">
        <f t="shared" si="233"/>
        <v>22.483475145544112</v>
      </c>
      <c r="CY95" s="217">
        <f t="shared" si="234"/>
        <v>4.6517534783884367</v>
      </c>
      <c r="CZ95" s="217">
        <f t="shared" si="235"/>
        <v>17.184821767294864</v>
      </c>
      <c r="DA95" s="197">
        <f t="shared" si="236"/>
        <v>102.962460425147</v>
      </c>
      <c r="DB95" s="443">
        <f t="shared" si="291"/>
        <v>45.794726908821573</v>
      </c>
      <c r="DD95" s="217">
        <f t="shared" si="237"/>
        <v>10</v>
      </c>
      <c r="DE95" s="173">
        <f t="shared" si="238"/>
        <v>7.6433121019108281</v>
      </c>
      <c r="DF95" s="173">
        <f t="shared" si="239"/>
        <v>3.9348710990502043</v>
      </c>
      <c r="DG95" s="173"/>
      <c r="DH95" s="173">
        <f t="shared" si="240"/>
        <v>7.6433121019108281</v>
      </c>
      <c r="DI95" s="545">
        <f t="shared" si="241"/>
        <v>235.50000000000006</v>
      </c>
      <c r="DJ95" s="528">
        <f t="shared" si="242"/>
        <v>3.9348710990502034</v>
      </c>
      <c r="DL95" s="173">
        <f t="shared" si="243"/>
        <v>8.0711125096145917</v>
      </c>
      <c r="DM95" s="173">
        <f t="shared" si="244"/>
        <v>22.483475145544112</v>
      </c>
      <c r="DN95" s="173">
        <f t="shared" si="245"/>
        <v>10.447018626328971</v>
      </c>
      <c r="DP95" s="545">
        <f t="shared" si="246"/>
        <v>9000</v>
      </c>
      <c r="DQ95" s="460">
        <f t="shared" si="247"/>
        <v>45.794726908821573</v>
      </c>
      <c r="DS95">
        <f>IF(CL95&gt;CS95, "",DP95)</f>
        <v>9000</v>
      </c>
      <c r="DT95">
        <f>IF(CL95&gt;CS95, "",DQ95)</f>
        <v>45.794726908821573</v>
      </c>
      <c r="DV95" s="5">
        <f t="shared" si="293"/>
        <v>21.836575245683296</v>
      </c>
      <c r="DW95" s="5">
        <f t="shared" si="249"/>
        <v>4.6517534783884367</v>
      </c>
      <c r="DX95" s="5">
        <f t="shared" si="294"/>
        <v>17.18482176729486</v>
      </c>
      <c r="DY95" s="173">
        <f t="shared" si="295"/>
        <v>0.21302578018995932</v>
      </c>
      <c r="EA95" s="5">
        <f t="shared" si="250"/>
        <v>279.10520870330618</v>
      </c>
      <c r="EB95" s="5">
        <f t="shared" si="251"/>
        <v>13.083056657967479</v>
      </c>
      <c r="EC95" s="5">
        <f t="shared" si="252"/>
        <v>13.792811763286599</v>
      </c>
      <c r="ED95" s="5"/>
      <c r="EE95" s="173">
        <f t="shared" si="296"/>
        <v>5.9912700237291281</v>
      </c>
      <c r="EF95" s="173">
        <f t="shared" si="253"/>
        <v>11.515507010528516</v>
      </c>
      <c r="EG95" s="173">
        <f t="shared" si="254"/>
        <v>0.28359758441615329</v>
      </c>
      <c r="EH95" s="173"/>
      <c r="EI95" s="528">
        <f t="shared" si="255"/>
        <v>0.7179063299447046</v>
      </c>
      <c r="EJ95" s="528">
        <f t="shared" si="256"/>
        <v>1.5176666666666669</v>
      </c>
      <c r="EK95" s="528">
        <f t="shared" si="257"/>
        <v>5.7243408636026959E-3</v>
      </c>
      <c r="EL95" s="528">
        <f t="shared" si="258"/>
        <v>2.4874276020337704E-2</v>
      </c>
      <c r="EM95">
        <f t="shared" si="259"/>
        <v>2.6099999999999998E-2</v>
      </c>
      <c r="EN95" s="460">
        <f t="shared" si="297"/>
        <v>31.824340863602696</v>
      </c>
      <c r="EO95">
        <f t="shared" si="260"/>
        <v>2.9973836763517192</v>
      </c>
      <c r="EP95" s="460">
        <f t="shared" si="298"/>
        <v>2997.3836763517193</v>
      </c>
      <c r="EQ95" s="173">
        <f t="shared" si="261"/>
        <v>5.5912499999999996</v>
      </c>
      <c r="ER95" s="173">
        <f t="shared" si="262"/>
        <v>9.9843749999999995E-2</v>
      </c>
      <c r="ES95" s="528"/>
      <c r="EU95" s="460">
        <f t="shared" si="299"/>
        <v>5691.0937499999991</v>
      </c>
      <c r="EV95" s="528">
        <f t="shared" si="263"/>
        <v>1.0768594949170569</v>
      </c>
      <c r="EW95" s="528">
        <f t="shared" si="300"/>
        <v>3.978207051285942</v>
      </c>
      <c r="EX95" s="528">
        <f t="shared" si="264"/>
        <v>4.0213794943338597E-4</v>
      </c>
      <c r="EY95" s="528">
        <f t="shared" si="265"/>
        <v>1.7008549743586521</v>
      </c>
      <c r="EZ95" s="528">
        <f t="shared" si="266"/>
        <v>13.381695577232451</v>
      </c>
      <c r="FA95" s="625">
        <f t="shared" si="267"/>
        <v>2.314953919892862E-2</v>
      </c>
      <c r="FB95" s="460">
        <f t="shared" si="301"/>
        <v>13404.845116431379</v>
      </c>
      <c r="FC95" s="173">
        <f t="shared" si="302"/>
        <v>22.093322542783099</v>
      </c>
      <c r="FD95" s="5">
        <f t="shared" si="303"/>
        <v>136.80000000000001</v>
      </c>
      <c r="FE95" s="173">
        <f t="shared" si="304"/>
        <v>0.86095499679142085</v>
      </c>
      <c r="FF95" s="5">
        <f t="shared" si="305"/>
        <v>86.09549967914208</v>
      </c>
      <c r="FG95">
        <f t="shared" si="306"/>
        <v>90</v>
      </c>
      <c r="FI95" s="562">
        <f t="shared" si="268"/>
        <v>-50</v>
      </c>
      <c r="FJ95">
        <f t="shared" si="269"/>
        <v>-50</v>
      </c>
      <c r="FL95">
        <f t="shared" si="270"/>
        <v>0.78697421981004068</v>
      </c>
    </row>
    <row r="96" spans="5:168">
      <c r="E96" s="170">
        <v>91</v>
      </c>
      <c r="F96" s="217">
        <f t="shared" si="307"/>
        <v>9.1</v>
      </c>
      <c r="G96" s="217">
        <f t="shared" si="271"/>
        <v>0.22750000000000001</v>
      </c>
      <c r="H96" s="217">
        <f t="shared" si="176"/>
        <v>136.5</v>
      </c>
      <c r="I96" s="217">
        <f t="shared" si="308"/>
        <v>1.82</v>
      </c>
      <c r="J96" s="541">
        <f t="shared" si="177"/>
        <v>57.355146892673062</v>
      </c>
      <c r="K96" s="443">
        <f t="shared" si="178"/>
        <v>16.04689827586207</v>
      </c>
      <c r="L96" s="172">
        <f t="shared" si="179"/>
        <v>73.402045168535125</v>
      </c>
      <c r="M96" s="443"/>
      <c r="N96" s="217">
        <f t="shared" si="180"/>
        <v>0.21861650093015134</v>
      </c>
      <c r="O96" s="172">
        <f t="shared" si="272"/>
        <v>309.34493891474574</v>
      </c>
      <c r="P96" s="172">
        <f t="shared" si="181"/>
        <v>4.1795938413370086</v>
      </c>
      <c r="Q96" s="217">
        <f t="shared" si="182"/>
        <v>20.622995927649715</v>
      </c>
      <c r="R96" s="217">
        <f t="shared" si="183"/>
        <v>38.668117364343217</v>
      </c>
      <c r="S96" s="443">
        <f t="shared" si="184"/>
        <v>15</v>
      </c>
      <c r="T96" s="217">
        <f t="shared" si="185"/>
        <v>22.062749835001966</v>
      </c>
      <c r="U96" s="217">
        <f t="shared" si="186"/>
        <v>4.616028593134768</v>
      </c>
      <c r="V96" s="217">
        <f t="shared" si="187"/>
        <v>16.498702332915524</v>
      </c>
      <c r="W96" s="197">
        <f t="shared" si="188"/>
        <v>104.48984603342521</v>
      </c>
      <c r="X96" s="443">
        <f t="shared" si="273"/>
        <v>46.915910103177836</v>
      </c>
      <c r="Z96" s="217">
        <f t="shared" si="189"/>
        <v>10</v>
      </c>
      <c r="AA96" s="173">
        <f t="shared" si="190"/>
        <v>7.4780806818290477</v>
      </c>
      <c r="AB96" s="173">
        <f t="shared" si="191"/>
        <v>3.9069174953492429</v>
      </c>
      <c r="AC96" s="173"/>
      <c r="AD96" s="173">
        <f t="shared" si="192"/>
        <v>7.4780806818290477</v>
      </c>
      <c r="AE96" s="545">
        <f t="shared" si="193"/>
        <v>243.37795718390799</v>
      </c>
      <c r="AF96" s="528">
        <f t="shared" si="194"/>
        <v>3.9069174953492434</v>
      </c>
      <c r="AH96" s="173">
        <f t="shared" si="195"/>
        <v>8.1158281565510411</v>
      </c>
      <c r="AI96" s="173">
        <f t="shared" si="196"/>
        <v>22.062749835001966</v>
      </c>
      <c r="AJ96" s="173">
        <f t="shared" si="197"/>
        <v>10.135370248149604</v>
      </c>
      <c r="AL96" s="545">
        <f t="shared" si="198"/>
        <v>9100</v>
      </c>
      <c r="AM96" s="460">
        <f t="shared" si="199"/>
        <v>46.915910103177836</v>
      </c>
      <c r="AO96">
        <f t="shared" si="274"/>
        <v>9100</v>
      </c>
      <c r="AP96">
        <f t="shared" si="200"/>
        <v>46.915910103177836</v>
      </c>
      <c r="AR96" s="5">
        <f t="shared" si="275"/>
        <v>21.314730926050292</v>
      </c>
      <c r="AS96" s="5">
        <f t="shared" si="201"/>
        <v>4.616028593134768</v>
      </c>
      <c r="AT96" s="5">
        <f t="shared" si="276"/>
        <v>16.698702332915524</v>
      </c>
      <c r="AU96" s="173">
        <f t="shared" si="277"/>
        <v>0.21656518250920925</v>
      </c>
      <c r="AW96" s="5">
        <f t="shared" si="202"/>
        <v>280.03906798350926</v>
      </c>
      <c r="AX96" s="5">
        <f t="shared" si="203"/>
        <v>13.126831311726997</v>
      </c>
      <c r="AY96" s="5">
        <f t="shared" si="204"/>
        <v>13.703925225080136</v>
      </c>
      <c r="AZ96" s="5"/>
      <c r="BA96" s="173">
        <f t="shared" si="278"/>
        <v>5.9277971165680574</v>
      </c>
      <c r="BB96" s="173">
        <f t="shared" si="205"/>
        <v>11.274581948144856</v>
      </c>
      <c r="BC96" s="173">
        <f t="shared" si="206"/>
        <v>0.27766421425235177</v>
      </c>
      <c r="BD96" s="173"/>
      <c r="BE96" s="528">
        <f t="shared" si="207"/>
        <v>0.70277557310385153</v>
      </c>
      <c r="BF96" s="528">
        <f t="shared" si="208"/>
        <v>1.4245877934866884</v>
      </c>
      <c r="BG96" s="528">
        <f t="shared" si="209"/>
        <v>6.7271722889280211E-2</v>
      </c>
      <c r="BH96" s="528">
        <f t="shared" si="210"/>
        <v>2.5277636643016556E-2</v>
      </c>
      <c r="BI96">
        <f t="shared" si="211"/>
        <v>2.5809816101702878E-2</v>
      </c>
      <c r="BJ96" s="460">
        <f t="shared" si="279"/>
        <v>93.081538990983091</v>
      </c>
      <c r="BK96">
        <f t="shared" si="212"/>
        <v>2.8119240054260031</v>
      </c>
      <c r="BL96" s="460">
        <f t="shared" si="280"/>
        <v>2811.9240054260031</v>
      </c>
      <c r="BM96" s="173">
        <f t="shared" si="213"/>
        <v>5.6533749999999987</v>
      </c>
      <c r="BN96" s="173">
        <f t="shared" si="214"/>
        <v>0.100953125</v>
      </c>
      <c r="BO96" s="528"/>
      <c r="BQ96" s="460">
        <f t="shared" si="281"/>
        <v>5754.3281249999991</v>
      </c>
      <c r="BR96" s="528">
        <f t="shared" si="215"/>
        <v>1.0541633596557771</v>
      </c>
      <c r="BS96" s="528">
        <f t="shared" si="216"/>
        <v>3.8134859431630157</v>
      </c>
      <c r="BT96" s="528">
        <f t="shared" si="217"/>
        <v>3.8548707938187955E-4</v>
      </c>
      <c r="BU96" s="528">
        <f t="shared" si="218"/>
        <v>1.7235324698945327</v>
      </c>
      <c r="BV96" s="528">
        <f t="shared" si="219"/>
        <v>12.70953056608721</v>
      </c>
      <c r="BW96" s="625">
        <f t="shared" si="220"/>
        <v>2.2837019710484276E-2</v>
      </c>
      <c r="BX96" s="460">
        <f t="shared" si="282"/>
        <v>12732.367585797694</v>
      </c>
      <c r="BY96" s="173">
        <f t="shared" si="283"/>
        <v>21.298619716223694</v>
      </c>
      <c r="BZ96" s="5">
        <f t="shared" si="284"/>
        <v>138.32</v>
      </c>
      <c r="CA96" s="173">
        <f t="shared" si="285"/>
        <v>0.86656556889109038</v>
      </c>
      <c r="CB96" s="5">
        <f t="shared" si="286"/>
        <v>86.656556889109041</v>
      </c>
      <c r="CC96">
        <f t="shared" si="287"/>
        <v>90.999999999999986</v>
      </c>
      <c r="CE96" s="562">
        <f t="shared" si="221"/>
        <v>-50</v>
      </c>
      <c r="CF96">
        <f t="shared" si="222"/>
        <v>-50</v>
      </c>
      <c r="CG96" s="173">
        <f t="shared" si="223"/>
        <v>0.78697421981004068</v>
      </c>
      <c r="CH96" s="173">
        <f t="shared" si="224"/>
        <v>9.2345221451934023E-2</v>
      </c>
      <c r="CI96" s="170">
        <v>91</v>
      </c>
      <c r="CJ96" s="217">
        <f t="shared" si="309"/>
        <v>9.1</v>
      </c>
      <c r="CK96" s="217">
        <f t="shared" si="288"/>
        <v>0.22750000000000001</v>
      </c>
      <c r="CL96" s="217">
        <f t="shared" si="225"/>
        <v>136.5</v>
      </c>
      <c r="CM96" s="217">
        <f t="shared" si="310"/>
        <v>1.82</v>
      </c>
      <c r="CN96" s="541">
        <f t="shared" si="289"/>
        <v>58</v>
      </c>
      <c r="CO96" s="443">
        <f t="shared" si="226"/>
        <v>15.7</v>
      </c>
      <c r="CP96" s="443">
        <f t="shared" si="227"/>
        <v>73.7</v>
      </c>
      <c r="CQ96" s="443"/>
      <c r="CR96" s="217">
        <f t="shared" si="228"/>
        <v>0.2098092643051771</v>
      </c>
      <c r="CS96" s="172">
        <f t="shared" si="290"/>
        <v>300.22049333142121</v>
      </c>
      <c r="CT96" s="172">
        <f t="shared" si="229"/>
        <v>4.0563124432334243</v>
      </c>
      <c r="CU96" s="217">
        <f t="shared" si="230"/>
        <v>20.014699555428081</v>
      </c>
      <c r="CV96" s="217">
        <f t="shared" si="231"/>
        <v>37.527561666427651</v>
      </c>
      <c r="CW96" s="443">
        <f t="shared" si="232"/>
        <v>15</v>
      </c>
      <c r="CX96" s="217">
        <f t="shared" si="233"/>
        <v>22.733291536050157</v>
      </c>
      <c r="CY96" s="217">
        <f t="shared" si="234"/>
        <v>4.7034396281483088</v>
      </c>
      <c r="CZ96" s="217">
        <f t="shared" si="235"/>
        <v>17.375764231375918</v>
      </c>
      <c r="DA96" s="197">
        <f t="shared" si="236"/>
        <v>102.962460425147</v>
      </c>
      <c r="DB96" s="443">
        <f t="shared" si="291"/>
        <v>45.291488151581767</v>
      </c>
      <c r="DD96" s="217">
        <f t="shared" si="237"/>
        <v>10</v>
      </c>
      <c r="DE96" s="173">
        <f t="shared" si="238"/>
        <v>7.6433121019108281</v>
      </c>
      <c r="DF96" s="173">
        <f t="shared" si="239"/>
        <v>3.9348710990502043</v>
      </c>
      <c r="DG96" s="173"/>
      <c r="DH96" s="173">
        <f t="shared" si="240"/>
        <v>7.6433121019108281</v>
      </c>
      <c r="DI96" s="545">
        <f t="shared" si="241"/>
        <v>238.11666666666667</v>
      </c>
      <c r="DJ96" s="528">
        <f t="shared" si="242"/>
        <v>3.9348710990502034</v>
      </c>
      <c r="DL96" s="173">
        <f t="shared" si="243"/>
        <v>8.1158281565510411</v>
      </c>
      <c r="DM96" s="173">
        <f t="shared" si="244"/>
        <v>22.733291536050157</v>
      </c>
      <c r="DN96" s="173">
        <f t="shared" si="245"/>
        <v>10.632067804481595</v>
      </c>
      <c r="DP96" s="545">
        <f t="shared" si="246"/>
        <v>9100</v>
      </c>
      <c r="DQ96" s="460">
        <f t="shared" si="247"/>
        <v>45.291488151581767</v>
      </c>
      <c r="DS96">
        <f t="shared" ref="DS96:DS105" si="311">IF(CL96&gt;CS96, "",DP96)</f>
        <v>9100</v>
      </c>
      <c r="DT96">
        <f t="shared" ref="DT96:DT105" si="312">IF(CL96&gt;CS96, "",DQ96)</f>
        <v>45.291488151581767</v>
      </c>
      <c r="DV96" s="5">
        <f t="shared" si="293"/>
        <v>22.079203859524227</v>
      </c>
      <c r="DW96" s="5">
        <f t="shared" si="249"/>
        <v>4.7034396281483088</v>
      </c>
      <c r="DX96" s="5">
        <f t="shared" si="294"/>
        <v>17.375764231375918</v>
      </c>
      <c r="DY96" s="173">
        <f t="shared" si="295"/>
        <v>0.2130257801899593</v>
      </c>
      <c r="EA96" s="5">
        <f t="shared" si="250"/>
        <v>285.34200410766408</v>
      </c>
      <c r="EB96" s="5">
        <f t="shared" si="251"/>
        <v>13.375406442546753</v>
      </c>
      <c r="EC96" s="5">
        <f t="shared" si="252"/>
        <v>14.101021507626708</v>
      </c>
      <c r="ED96" s="5"/>
      <c r="EE96" s="173">
        <f t="shared" si="296"/>
        <v>6.0578396906594509</v>
      </c>
      <c r="EF96" s="173">
        <f t="shared" si="253"/>
        <v>11.643457088423276</v>
      </c>
      <c r="EG96" s="173">
        <f t="shared" si="254"/>
        <v>0.28674866868744386</v>
      </c>
      <c r="EH96" s="173"/>
      <c r="EI96" s="528">
        <f t="shared" si="255"/>
        <v>0.7339484343545799</v>
      </c>
      <c r="EJ96" s="528">
        <f t="shared" si="256"/>
        <v>1.5176666666666663</v>
      </c>
      <c r="EK96" s="528">
        <f t="shared" si="257"/>
        <v>5.6614360189477207E-3</v>
      </c>
      <c r="EL96" s="528">
        <f t="shared" si="258"/>
        <v>2.460093232780652E-2</v>
      </c>
      <c r="EM96">
        <f t="shared" si="259"/>
        <v>2.6099999999999998E-2</v>
      </c>
      <c r="EN96" s="460">
        <f t="shared" si="297"/>
        <v>31.761436018947723</v>
      </c>
      <c r="EO96">
        <f t="shared" si="260"/>
        <v>3.0354911567687406</v>
      </c>
      <c r="EP96" s="460">
        <f t="shared" si="298"/>
        <v>3035.4911567687404</v>
      </c>
      <c r="EQ96" s="173">
        <f t="shared" si="261"/>
        <v>5.6533749999999987</v>
      </c>
      <c r="ER96" s="173">
        <f t="shared" si="262"/>
        <v>0.100953125</v>
      </c>
      <c r="ES96" s="528"/>
      <c r="EU96" s="460">
        <f t="shared" si="299"/>
        <v>5754.3281249999991</v>
      </c>
      <c r="EV96" s="528">
        <f t="shared" si="263"/>
        <v>1.1009226515318697</v>
      </c>
      <c r="EW96" s="528">
        <f t="shared" si="300"/>
        <v>4.0671027890986267</v>
      </c>
      <c r="EX96" s="528">
        <f t="shared" si="264"/>
        <v>4.1112399497010728E-4</v>
      </c>
      <c r="EY96" s="528">
        <f t="shared" si="265"/>
        <v>1.7008549743586521</v>
      </c>
      <c r="EZ96" s="528">
        <f t="shared" si="266"/>
        <v>13.826717155861223</v>
      </c>
      <c r="FA96" s="625">
        <f t="shared" si="267"/>
        <v>2.3406756301138931E-2</v>
      </c>
      <c r="FB96" s="460">
        <f t="shared" si="301"/>
        <v>13850.123912162362</v>
      </c>
      <c r="FC96" s="173">
        <f t="shared" si="302"/>
        <v>22.639943193931099</v>
      </c>
      <c r="FD96" s="5">
        <f t="shared" si="303"/>
        <v>138.32</v>
      </c>
      <c r="FE96" s="173">
        <f t="shared" si="304"/>
        <v>0.8593442396618296</v>
      </c>
      <c r="FF96" s="5">
        <f t="shared" si="305"/>
        <v>85.934423966182962</v>
      </c>
      <c r="FG96">
        <f t="shared" si="306"/>
        <v>90.999999999999986</v>
      </c>
      <c r="FI96" s="562">
        <f t="shared" si="268"/>
        <v>-50</v>
      </c>
      <c r="FJ96">
        <f t="shared" si="269"/>
        <v>-50</v>
      </c>
      <c r="FL96">
        <f t="shared" si="270"/>
        <v>0.78697421981004068</v>
      </c>
    </row>
    <row r="97" spans="5:169">
      <c r="E97" s="170">
        <v>92</v>
      </c>
      <c r="F97" s="217">
        <f t="shared" si="307"/>
        <v>9.2000000000000011</v>
      </c>
      <c r="G97" s="217">
        <f t="shared" si="271"/>
        <v>0.23</v>
      </c>
      <c r="H97" s="217">
        <f t="shared" si="176"/>
        <v>138.00000000000003</v>
      </c>
      <c r="I97" s="217">
        <f t="shared" si="308"/>
        <v>1.84</v>
      </c>
      <c r="J97" s="541">
        <f t="shared" si="177"/>
        <v>57.348060594790347</v>
      </c>
      <c r="K97" s="443">
        <f t="shared" si="178"/>
        <v>16.050710344827586</v>
      </c>
      <c r="L97" s="172">
        <f t="shared" si="179"/>
        <v>73.398770939617933</v>
      </c>
      <c r="M97" s="443"/>
      <c r="N97" s="217">
        <f t="shared" si="180"/>
        <v>0.21867818955758575</v>
      </c>
      <c r="O97" s="172">
        <f t="shared" si="272"/>
        <v>309.39399832666476</v>
      </c>
      <c r="P97" s="172">
        <f t="shared" si="181"/>
        <v>4.1802566885024923</v>
      </c>
      <c r="Q97" s="217">
        <f t="shared" si="182"/>
        <v>20.626266555110984</v>
      </c>
      <c r="R97" s="217">
        <f t="shared" si="183"/>
        <v>38.674249790833095</v>
      </c>
      <c r="S97" s="443">
        <f t="shared" si="184"/>
        <v>15</v>
      </c>
      <c r="T97" s="217">
        <f t="shared" si="185"/>
        <v>22.301660786305348</v>
      </c>
      <c r="U97" s="217">
        <f t="shared" si="186"/>
        <v>4.666590755816693</v>
      </c>
      <c r="V97" s="217">
        <f t="shared" si="187"/>
        <v>16.673400970188581</v>
      </c>
      <c r="W97" s="197">
        <f t="shared" si="188"/>
        <v>104.5064172125623</v>
      </c>
      <c r="X97" s="443">
        <f t="shared" si="273"/>
        <v>46.425273171887902</v>
      </c>
      <c r="Z97" s="217">
        <f t="shared" si="189"/>
        <v>10</v>
      </c>
      <c r="AA97" s="173">
        <f t="shared" si="190"/>
        <v>7.4763046258990364</v>
      </c>
      <c r="AB97" s="173">
        <f t="shared" si="191"/>
        <v>3.9066090522120707</v>
      </c>
      <c r="AC97" s="173"/>
      <c r="AD97" s="173">
        <f t="shared" si="192"/>
        <v>7.4763046258990364</v>
      </c>
      <c r="AE97" s="545">
        <f t="shared" si="193"/>
        <v>246.110891954023</v>
      </c>
      <c r="AF97" s="528">
        <f t="shared" si="194"/>
        <v>3.9066090522120707</v>
      </c>
      <c r="AH97" s="173">
        <f t="shared" si="195"/>
        <v>8.1602987807111695</v>
      </c>
      <c r="AI97" s="173">
        <f t="shared" si="196"/>
        <v>22.301660786305348</v>
      </c>
      <c r="AJ97" s="173">
        <f t="shared" si="197"/>
        <v>10.312341323189147</v>
      </c>
      <c r="AL97" s="545">
        <f t="shared" si="198"/>
        <v>9200.0000000000018</v>
      </c>
      <c r="AM97" s="460">
        <f t="shared" si="199"/>
        <v>46.425273171887902</v>
      </c>
      <c r="AO97">
        <f t="shared" si="274"/>
        <v>9200.0000000000018</v>
      </c>
      <c r="AP97">
        <f t="shared" si="200"/>
        <v>46.425273171887902</v>
      </c>
      <c r="AR97" s="5">
        <f t="shared" si="275"/>
        <v>21.539991726005276</v>
      </c>
      <c r="AS97" s="5">
        <f t="shared" si="201"/>
        <v>4.666590755816693</v>
      </c>
      <c r="AT97" s="5">
        <f t="shared" si="276"/>
        <v>16.873400970188584</v>
      </c>
      <c r="AU97" s="173">
        <f t="shared" si="277"/>
        <v>0.21664775062019678</v>
      </c>
      <c r="AW97" s="5">
        <f t="shared" si="202"/>
        <v>286.21756635675717</v>
      </c>
      <c r="AX97" s="5">
        <f t="shared" si="203"/>
        <v>13.416448422972993</v>
      </c>
      <c r="AY97" s="5">
        <f t="shared" si="204"/>
        <v>14.001190995616895</v>
      </c>
      <c r="AZ97" s="5"/>
      <c r="BA97" s="173">
        <f t="shared" si="278"/>
        <v>5.9931296174316735</v>
      </c>
      <c r="BB97" s="173">
        <f t="shared" si="205"/>
        <v>11.396070463006383</v>
      </c>
      <c r="BC97" s="173">
        <f t="shared" si="206"/>
        <v>0.28065616669678467</v>
      </c>
      <c r="BD97" s="173"/>
      <c r="BE97" s="528">
        <f t="shared" si="207"/>
        <v>0.71835205222673437</v>
      </c>
      <c r="BF97" s="528">
        <f t="shared" si="208"/>
        <v>1.4248912956151776</v>
      </c>
      <c r="BG97" s="528">
        <f t="shared" si="209"/>
        <v>6.6559984474778053E-2</v>
      </c>
      <c r="BH97" s="528">
        <f t="shared" si="210"/>
        <v>2.501105684707533E-2</v>
      </c>
      <c r="BI97">
        <f t="shared" si="211"/>
        <v>2.5806627267655657E-2</v>
      </c>
      <c r="BJ97" s="460">
        <f t="shared" si="279"/>
        <v>92.366611742433719</v>
      </c>
      <c r="BK97">
        <f t="shared" si="212"/>
        <v>2.848370633466867</v>
      </c>
      <c r="BL97" s="460">
        <f t="shared" si="280"/>
        <v>2848.3706334668668</v>
      </c>
      <c r="BM97" s="173">
        <f t="shared" si="213"/>
        <v>5.7155000000000005</v>
      </c>
      <c r="BN97" s="173">
        <f t="shared" si="214"/>
        <v>0.1020625</v>
      </c>
      <c r="BO97" s="528"/>
      <c r="BQ97" s="460">
        <f t="shared" si="281"/>
        <v>5817.5625</v>
      </c>
      <c r="BR97" s="528">
        <f t="shared" si="215"/>
        <v>1.0775280783401016</v>
      </c>
      <c r="BS97" s="528">
        <f t="shared" si="216"/>
        <v>3.8961126599341953</v>
      </c>
      <c r="BT97" s="528">
        <f t="shared" si="217"/>
        <v>3.9383941952466695E-4</v>
      </c>
      <c r="BU97" s="528">
        <f t="shared" si="218"/>
        <v>1.7246429144875064</v>
      </c>
      <c r="BV97" s="528">
        <f t="shared" si="219"/>
        <v>13.108693283780337</v>
      </c>
      <c r="BW97" s="625">
        <f t="shared" si="220"/>
        <v>2.3090262993321443E-2</v>
      </c>
      <c r="BX97" s="460">
        <f t="shared" si="282"/>
        <v>13131.783546773659</v>
      </c>
      <c r="BY97" s="173">
        <f t="shared" si="283"/>
        <v>21.797716680240526</v>
      </c>
      <c r="BZ97" s="5">
        <f t="shared" si="284"/>
        <v>139.84000000000003</v>
      </c>
      <c r="CA97" s="173">
        <f t="shared" si="285"/>
        <v>0.865144613968027</v>
      </c>
      <c r="CB97" s="5">
        <f t="shared" si="286"/>
        <v>86.514461396802702</v>
      </c>
      <c r="CC97">
        <f t="shared" si="287"/>
        <v>92.000000000000014</v>
      </c>
      <c r="CE97" s="562">
        <f t="shared" si="221"/>
        <v>-50</v>
      </c>
      <c r="CF97">
        <f t="shared" si="222"/>
        <v>-50</v>
      </c>
      <c r="CG97" s="173">
        <f t="shared" si="223"/>
        <v>0.78697421981004068</v>
      </c>
      <c r="CH97" s="173">
        <f t="shared" si="224"/>
        <v>9.2345221451934009E-2</v>
      </c>
      <c r="CI97" s="170">
        <v>92</v>
      </c>
      <c r="CJ97" s="217">
        <f t="shared" si="309"/>
        <v>9.2000000000000011</v>
      </c>
      <c r="CK97" s="217">
        <f t="shared" si="288"/>
        <v>0.23</v>
      </c>
      <c r="CL97" s="217">
        <f t="shared" si="225"/>
        <v>138.00000000000003</v>
      </c>
      <c r="CM97" s="217">
        <f t="shared" si="310"/>
        <v>1.84</v>
      </c>
      <c r="CN97" s="541">
        <f t="shared" si="289"/>
        <v>58</v>
      </c>
      <c r="CO97" s="443">
        <f t="shared" si="226"/>
        <v>15.7</v>
      </c>
      <c r="CP97" s="443">
        <f t="shared" si="227"/>
        <v>73.7</v>
      </c>
      <c r="CQ97" s="443"/>
      <c r="CR97" s="217">
        <f t="shared" si="228"/>
        <v>0.2098092643051771</v>
      </c>
      <c r="CS97" s="172">
        <f t="shared" si="290"/>
        <v>300.22049333142121</v>
      </c>
      <c r="CT97" s="172">
        <f t="shared" si="229"/>
        <v>4.0563124432334243</v>
      </c>
      <c r="CU97" s="217">
        <f t="shared" si="230"/>
        <v>20.014699555428081</v>
      </c>
      <c r="CV97" s="217">
        <f t="shared" si="231"/>
        <v>37.527561666427651</v>
      </c>
      <c r="CW97" s="443">
        <f t="shared" si="232"/>
        <v>15</v>
      </c>
      <c r="CX97" s="217">
        <f t="shared" si="233"/>
        <v>22.983107926556208</v>
      </c>
      <c r="CY97" s="217">
        <f t="shared" si="234"/>
        <v>4.755125777908181</v>
      </c>
      <c r="CZ97" s="217">
        <f t="shared" si="235"/>
        <v>17.566706695456975</v>
      </c>
      <c r="DA97" s="197">
        <f t="shared" si="236"/>
        <v>102.962460425147</v>
      </c>
      <c r="DB97" s="443">
        <f t="shared" si="291"/>
        <v>44.79918936732544</v>
      </c>
      <c r="DD97" s="217">
        <f t="shared" si="237"/>
        <v>10</v>
      </c>
      <c r="DE97" s="173">
        <f t="shared" si="238"/>
        <v>7.6433121019108281</v>
      </c>
      <c r="DF97" s="173">
        <f t="shared" si="239"/>
        <v>3.9348710990502043</v>
      </c>
      <c r="DG97" s="173"/>
      <c r="DH97" s="173">
        <f t="shared" si="240"/>
        <v>7.6433121019108281</v>
      </c>
      <c r="DI97" s="545">
        <f t="shared" si="241"/>
        <v>240.73333333333338</v>
      </c>
      <c r="DJ97" s="528">
        <f t="shared" si="242"/>
        <v>3.9348710990502034</v>
      </c>
      <c r="DL97" s="173">
        <f t="shared" si="243"/>
        <v>8.1602987807111695</v>
      </c>
      <c r="DM97" s="173">
        <f t="shared" si="244"/>
        <v>22.983107926556208</v>
      </c>
      <c r="DN97" s="173">
        <f t="shared" si="245"/>
        <v>10.817116982634229</v>
      </c>
      <c r="DP97" s="545">
        <f t="shared" si="246"/>
        <v>9200.0000000000018</v>
      </c>
      <c r="DQ97" s="460">
        <f t="shared" si="247"/>
        <v>44.79918936732544</v>
      </c>
      <c r="DS97">
        <f t="shared" si="311"/>
        <v>9200.0000000000018</v>
      </c>
      <c r="DT97">
        <f t="shared" si="312"/>
        <v>44.79918936732544</v>
      </c>
      <c r="DV97" s="5">
        <f t="shared" si="293"/>
        <v>22.321832473365156</v>
      </c>
      <c r="DW97" s="5">
        <f t="shared" si="249"/>
        <v>4.755125777908181</v>
      </c>
      <c r="DX97" s="5">
        <f t="shared" si="294"/>
        <v>17.566706695456975</v>
      </c>
      <c r="DY97" s="173">
        <f t="shared" si="295"/>
        <v>0.2130257801899593</v>
      </c>
      <c r="EA97" s="5">
        <f t="shared" si="250"/>
        <v>291.64771437836845</v>
      </c>
      <c r="EB97" s="5">
        <f t="shared" si="251"/>
        <v>13.670986611486022</v>
      </c>
      <c r="EC97" s="5">
        <f t="shared" si="252"/>
        <v>14.412636884500969</v>
      </c>
      <c r="ED97" s="5"/>
      <c r="EE97" s="173">
        <f t="shared" si="296"/>
        <v>6.1244093575897764</v>
      </c>
      <c r="EF97" s="173">
        <f t="shared" si="253"/>
        <v>11.77140716631804</v>
      </c>
      <c r="EG97" s="173">
        <f t="shared" si="254"/>
        <v>0.28989975295873449</v>
      </c>
      <c r="EH97" s="173"/>
      <c r="EI97" s="528">
        <f t="shared" si="255"/>
        <v>0.75016779958666435</v>
      </c>
      <c r="EJ97" s="528">
        <f t="shared" si="256"/>
        <v>1.5176666666666665</v>
      </c>
      <c r="EK97" s="528">
        <f t="shared" si="257"/>
        <v>5.5998986709156796E-3</v>
      </c>
      <c r="EL97" s="528">
        <f t="shared" si="258"/>
        <v>2.4333530889460792E-2</v>
      </c>
      <c r="EM97">
        <f t="shared" si="259"/>
        <v>2.6099999999999998E-2</v>
      </c>
      <c r="EN97" s="460">
        <f t="shared" si="297"/>
        <v>31.699898670915676</v>
      </c>
      <c r="EO97">
        <f t="shared" si="260"/>
        <v>3.0743925227750002</v>
      </c>
      <c r="EP97" s="460">
        <f t="shared" si="298"/>
        <v>3074.3925227750001</v>
      </c>
      <c r="EQ97" s="173">
        <f t="shared" si="261"/>
        <v>5.7155000000000005</v>
      </c>
      <c r="ER97" s="173">
        <f t="shared" si="262"/>
        <v>0.1020625</v>
      </c>
      <c r="ES97" s="528"/>
      <c r="EU97" s="460">
        <f t="shared" si="299"/>
        <v>5817.5625</v>
      </c>
      <c r="EV97" s="528">
        <f t="shared" si="263"/>
        <v>1.1252516993799964</v>
      </c>
      <c r="EW97" s="528">
        <f t="shared" si="300"/>
        <v>4.156980800257311</v>
      </c>
      <c r="EX97" s="528">
        <f t="shared" si="264"/>
        <v>4.2020933382767639E-4</v>
      </c>
      <c r="EY97" s="528">
        <f t="shared" si="265"/>
        <v>1.7008549743586487</v>
      </c>
      <c r="EZ97" s="528">
        <f t="shared" si="266"/>
        <v>14.290819051584309</v>
      </c>
      <c r="FA97" s="625">
        <f t="shared" si="267"/>
        <v>2.3663973403349258E-2</v>
      </c>
      <c r="FB97" s="460">
        <f t="shared" si="301"/>
        <v>14314.48302498766</v>
      </c>
      <c r="FC97" s="173">
        <f t="shared" si="302"/>
        <v>23.206438047762656</v>
      </c>
      <c r="FD97" s="5">
        <f t="shared" si="303"/>
        <v>139.84000000000003</v>
      </c>
      <c r="FE97" s="173">
        <f t="shared" si="304"/>
        <v>0.85766976374568471</v>
      </c>
      <c r="FF97" s="5">
        <f t="shared" si="305"/>
        <v>85.766976374568472</v>
      </c>
      <c r="FG97">
        <f t="shared" si="306"/>
        <v>92.000000000000014</v>
      </c>
      <c r="FI97" s="562">
        <f t="shared" si="268"/>
        <v>-50</v>
      </c>
      <c r="FJ97">
        <f t="shared" si="269"/>
        <v>-50</v>
      </c>
      <c r="FL97">
        <f t="shared" si="270"/>
        <v>0.78697421981004068</v>
      </c>
    </row>
    <row r="98" spans="5:169">
      <c r="E98" s="170">
        <v>93</v>
      </c>
      <c r="F98" s="217">
        <f t="shared" si="307"/>
        <v>9.3000000000000007</v>
      </c>
      <c r="G98" s="217">
        <f t="shared" si="271"/>
        <v>0.23250000000000001</v>
      </c>
      <c r="H98" s="217">
        <f t="shared" si="176"/>
        <v>139.5</v>
      </c>
      <c r="I98" s="217">
        <f t="shared" si="308"/>
        <v>1.86</v>
      </c>
      <c r="J98" s="541">
        <f t="shared" si="177"/>
        <v>57.340974296907632</v>
      </c>
      <c r="K98" s="443">
        <f t="shared" si="178"/>
        <v>16.054522413793102</v>
      </c>
      <c r="L98" s="172">
        <f t="shared" si="179"/>
        <v>73.395496710700741</v>
      </c>
      <c r="M98" s="443"/>
      <c r="N98" s="217">
        <f t="shared" si="180"/>
        <v>0.21873988368897329</v>
      </c>
      <c r="O98" s="172">
        <f t="shared" si="272"/>
        <v>309.4430439552134</v>
      </c>
      <c r="P98" s="172">
        <f t="shared" si="181"/>
        <v>4.1809193494393275</v>
      </c>
      <c r="Q98" s="217">
        <f t="shared" si="182"/>
        <v>20.629536263680894</v>
      </c>
      <c r="R98" s="217">
        <f t="shared" si="183"/>
        <v>38.680380494401675</v>
      </c>
      <c r="S98" s="443">
        <f t="shared" si="184"/>
        <v>15</v>
      </c>
      <c r="T98" s="217">
        <f t="shared" si="185"/>
        <v>22.540496987256606</v>
      </c>
      <c r="U98" s="217">
        <f t="shared" si="186"/>
        <v>4.7171497722818856</v>
      </c>
      <c r="V98" s="217">
        <f t="shared" si="187"/>
        <v>16.847960772392312</v>
      </c>
      <c r="W98" s="197">
        <f t="shared" si="188"/>
        <v>104.5229837359832</v>
      </c>
      <c r="X98" s="443">
        <f t="shared" si="273"/>
        <v>45.945091707549103</v>
      </c>
      <c r="Z98" s="217">
        <f t="shared" si="189"/>
        <v>10</v>
      </c>
      <c r="AA98" s="173">
        <f t="shared" si="190"/>
        <v>7.474529413400866</v>
      </c>
      <c r="AB98" s="173">
        <f t="shared" si="191"/>
        <v>3.9063005815551337</v>
      </c>
      <c r="AC98" s="173"/>
      <c r="AD98" s="173">
        <f t="shared" si="192"/>
        <v>7.474529413400866</v>
      </c>
      <c r="AE98" s="545">
        <f t="shared" si="193"/>
        <v>248.84509741379313</v>
      </c>
      <c r="AF98" s="528">
        <f t="shared" si="194"/>
        <v>3.9063005815551337</v>
      </c>
      <c r="AH98" s="173">
        <f t="shared" si="195"/>
        <v>8.204528366352676</v>
      </c>
      <c r="AI98" s="173">
        <f t="shared" si="196"/>
        <v>22.540496987256606</v>
      </c>
      <c r="AJ98" s="173">
        <f t="shared" si="197"/>
        <v>10.489257027597485</v>
      </c>
      <c r="AL98" s="545">
        <f t="shared" si="198"/>
        <v>9300</v>
      </c>
      <c r="AM98" s="460">
        <f t="shared" si="199"/>
        <v>45.945091707549103</v>
      </c>
      <c r="AO98">
        <f t="shared" si="274"/>
        <v>9300</v>
      </c>
      <c r="AP98">
        <f t="shared" si="200"/>
        <v>45.945091707549103</v>
      </c>
      <c r="AR98" s="5">
        <f t="shared" si="275"/>
        <v>21.765110544674194</v>
      </c>
      <c r="AS98" s="5">
        <f t="shared" si="201"/>
        <v>4.7171497722818856</v>
      </c>
      <c r="AT98" s="5">
        <f t="shared" si="276"/>
        <v>17.047960772392308</v>
      </c>
      <c r="AU98" s="173">
        <f t="shared" si="277"/>
        <v>0.21672987888573564</v>
      </c>
      <c r="AW98" s="5">
        <f t="shared" si="202"/>
        <v>292.46328588147691</v>
      </c>
      <c r="AX98" s="5">
        <f t="shared" si="203"/>
        <v>13.709216525694231</v>
      </c>
      <c r="AY98" s="5">
        <f t="shared" si="204"/>
        <v>14.301565490977794</v>
      </c>
      <c r="AZ98" s="5"/>
      <c r="BA98" s="173">
        <f t="shared" si="278"/>
        <v>6.0584601301445034</v>
      </c>
      <c r="BB98" s="173">
        <f t="shared" si="205"/>
        <v>11.517511116945252</v>
      </c>
      <c r="BC98" s="173">
        <f t="shared" si="206"/>
        <v>0.28364694044869093</v>
      </c>
      <c r="BD98" s="173"/>
      <c r="BE98" s="528">
        <f t="shared" si="207"/>
        <v>0.73409878297101105</v>
      </c>
      <c r="BF98" s="528">
        <f t="shared" si="208"/>
        <v>1.4251917384218453</v>
      </c>
      <c r="BG98" s="528">
        <f t="shared" si="209"/>
        <v>6.5863408066790918E-2</v>
      </c>
      <c r="BH98" s="528">
        <f t="shared" si="210"/>
        <v>2.4750156569862351E-2</v>
      </c>
      <c r="BI98">
        <f t="shared" si="211"/>
        <v>2.5803438433608435E-2</v>
      </c>
      <c r="BJ98" s="460">
        <f t="shared" si="279"/>
        <v>91.666846500399359</v>
      </c>
      <c r="BK98">
        <f t="shared" si="212"/>
        <v>2.8855504587690417</v>
      </c>
      <c r="BL98" s="460">
        <f t="shared" si="280"/>
        <v>2885.5504587690416</v>
      </c>
      <c r="BM98" s="173">
        <f t="shared" si="213"/>
        <v>5.7776249999999996</v>
      </c>
      <c r="BN98" s="173">
        <f t="shared" si="214"/>
        <v>0.103171875</v>
      </c>
      <c r="BO98" s="528"/>
      <c r="BQ98" s="460">
        <f t="shared" si="281"/>
        <v>5880.796875</v>
      </c>
      <c r="BR98" s="528">
        <f t="shared" si="215"/>
        <v>1.1011481744565166</v>
      </c>
      <c r="BS98" s="528">
        <f t="shared" si="216"/>
        <v>3.9795918698687243</v>
      </c>
      <c r="BT98" s="528">
        <f t="shared" si="217"/>
        <v>4.0227793412951607E-4</v>
      </c>
      <c r="BU98" s="528">
        <f t="shared" si="218"/>
        <v>1.7257446261286731</v>
      </c>
      <c r="BV98" s="528">
        <f t="shared" si="219"/>
        <v>13.523579798902871</v>
      </c>
      <c r="BW98" s="625">
        <f t="shared" si="220"/>
        <v>2.3343506727874032E-2</v>
      </c>
      <c r="BX98" s="460">
        <f t="shared" si="282"/>
        <v>13546.923305630746</v>
      </c>
      <c r="BY98" s="173">
        <f t="shared" si="283"/>
        <v>22.313270639399786</v>
      </c>
      <c r="BZ98" s="5">
        <f t="shared" si="284"/>
        <v>141.36000000000001</v>
      </c>
      <c r="CA98" s="173">
        <f t="shared" si="285"/>
        <v>0.86367187169761073</v>
      </c>
      <c r="CB98" s="5">
        <f t="shared" si="286"/>
        <v>86.367187169761067</v>
      </c>
      <c r="CC98">
        <f t="shared" si="287"/>
        <v>93</v>
      </c>
      <c r="CE98" s="562">
        <f t="shared" si="221"/>
        <v>-50</v>
      </c>
      <c r="CF98">
        <f t="shared" si="222"/>
        <v>-50</v>
      </c>
      <c r="CG98" s="173">
        <f t="shared" si="223"/>
        <v>0.78697421981004079</v>
      </c>
      <c r="CH98" s="173">
        <f t="shared" si="224"/>
        <v>9.2345221451934009E-2</v>
      </c>
      <c r="CI98" s="170">
        <v>93</v>
      </c>
      <c r="CJ98" s="217">
        <f t="shared" si="309"/>
        <v>9.3000000000000007</v>
      </c>
      <c r="CK98" s="217">
        <f t="shared" si="288"/>
        <v>0.23250000000000001</v>
      </c>
      <c r="CL98" s="217">
        <f t="shared" si="225"/>
        <v>139.5</v>
      </c>
      <c r="CM98" s="217">
        <f t="shared" si="310"/>
        <v>1.86</v>
      </c>
      <c r="CN98" s="541">
        <f t="shared" si="289"/>
        <v>58</v>
      </c>
      <c r="CO98" s="443">
        <f t="shared" si="226"/>
        <v>15.7</v>
      </c>
      <c r="CP98" s="443">
        <f t="shared" si="227"/>
        <v>73.7</v>
      </c>
      <c r="CQ98" s="443"/>
      <c r="CR98" s="217">
        <f t="shared" si="228"/>
        <v>0.2098092643051771</v>
      </c>
      <c r="CS98" s="172">
        <f t="shared" si="290"/>
        <v>300.22049333142121</v>
      </c>
      <c r="CT98" s="172">
        <f t="shared" si="229"/>
        <v>4.0563124432334243</v>
      </c>
      <c r="CU98" s="217">
        <f t="shared" si="230"/>
        <v>20.014699555428081</v>
      </c>
      <c r="CV98" s="217">
        <f t="shared" si="231"/>
        <v>37.527561666427651</v>
      </c>
      <c r="CW98" s="443">
        <f t="shared" si="232"/>
        <v>15</v>
      </c>
      <c r="CX98" s="217">
        <f t="shared" si="233"/>
        <v>23.232924317062253</v>
      </c>
      <c r="CY98" s="217">
        <f t="shared" si="234"/>
        <v>4.8068119276680523</v>
      </c>
      <c r="CZ98" s="217">
        <f t="shared" si="235"/>
        <v>17.75764915953803</v>
      </c>
      <c r="DA98" s="197">
        <f t="shared" si="236"/>
        <v>102.962460425147</v>
      </c>
      <c r="DB98" s="443">
        <f t="shared" si="291"/>
        <v>44.317477653698276</v>
      </c>
      <c r="DD98" s="217">
        <f t="shared" si="237"/>
        <v>10</v>
      </c>
      <c r="DE98" s="173">
        <f t="shared" si="238"/>
        <v>7.6433121019108281</v>
      </c>
      <c r="DF98" s="173">
        <f t="shared" si="239"/>
        <v>3.9348710990502043</v>
      </c>
      <c r="DG98" s="173"/>
      <c r="DH98" s="173">
        <f t="shared" si="240"/>
        <v>7.6433121019108281</v>
      </c>
      <c r="DI98" s="545">
        <f t="shared" si="241"/>
        <v>243.35</v>
      </c>
      <c r="DJ98" s="528">
        <f t="shared" si="242"/>
        <v>3.9348710990502034</v>
      </c>
      <c r="DL98" s="173">
        <f t="shared" si="243"/>
        <v>8.204528366352676</v>
      </c>
      <c r="DM98" s="173">
        <f t="shared" si="244"/>
        <v>23.232924317062253</v>
      </c>
      <c r="DN98" s="173">
        <f t="shared" si="245"/>
        <v>11.002166160786853</v>
      </c>
      <c r="DP98" s="545">
        <f t="shared" si="246"/>
        <v>9300</v>
      </c>
      <c r="DQ98" s="460">
        <f t="shared" si="247"/>
        <v>44.317477653698276</v>
      </c>
      <c r="DS98">
        <f t="shared" si="311"/>
        <v>9300</v>
      </c>
      <c r="DT98">
        <f t="shared" si="312"/>
        <v>44.317477653698276</v>
      </c>
      <c r="DV98" s="5">
        <f t="shared" si="293"/>
        <v>22.564461087206087</v>
      </c>
      <c r="DW98" s="5">
        <f t="shared" si="249"/>
        <v>4.8068119276680523</v>
      </c>
      <c r="DX98" s="5">
        <f t="shared" si="294"/>
        <v>17.757649159538033</v>
      </c>
      <c r="DY98" s="173">
        <f t="shared" si="295"/>
        <v>0.21302578018995921</v>
      </c>
      <c r="EA98" s="5">
        <f t="shared" si="250"/>
        <v>298.02233951541928</v>
      </c>
      <c r="EB98" s="5">
        <f t="shared" si="251"/>
        <v>13.969797164785279</v>
      </c>
      <c r="EC98" s="5">
        <f t="shared" si="252"/>
        <v>14.727657893909367</v>
      </c>
      <c r="ED98" s="5"/>
      <c r="EE98" s="173">
        <f t="shared" si="296"/>
        <v>6.1909790245200984</v>
      </c>
      <c r="EF98" s="173">
        <f t="shared" si="253"/>
        <v>11.899357244212801</v>
      </c>
      <c r="EG98" s="173">
        <f t="shared" si="254"/>
        <v>0.29305083723002512</v>
      </c>
      <c r="EH98" s="173"/>
      <c r="EI98" s="528">
        <f t="shared" si="255"/>
        <v>0.76656442564095661</v>
      </c>
      <c r="EJ98" s="528">
        <f t="shared" si="256"/>
        <v>1.5176666666666663</v>
      </c>
      <c r="EK98" s="528">
        <f t="shared" si="257"/>
        <v>5.5396847067122846E-3</v>
      </c>
      <c r="EL98" s="528">
        <f t="shared" si="258"/>
        <v>2.4071880019681642E-2</v>
      </c>
      <c r="EM98">
        <f t="shared" si="259"/>
        <v>2.6099999999999998E-2</v>
      </c>
      <c r="EN98" s="460">
        <f t="shared" si="297"/>
        <v>31.639684706712281</v>
      </c>
      <c r="EO98">
        <f t="shared" si="260"/>
        <v>3.114104718121844</v>
      </c>
      <c r="EP98" s="460">
        <f t="shared" si="298"/>
        <v>3114.1047181218441</v>
      </c>
      <c r="EQ98" s="173">
        <f t="shared" si="261"/>
        <v>5.7776249999999996</v>
      </c>
      <c r="ER98" s="173">
        <f t="shared" si="262"/>
        <v>0.103171875</v>
      </c>
      <c r="ES98" s="528"/>
      <c r="EU98" s="460">
        <f t="shared" si="299"/>
        <v>5880.796875</v>
      </c>
      <c r="EV98" s="528">
        <f t="shared" si="263"/>
        <v>1.1498466384614348</v>
      </c>
      <c r="EW98" s="528">
        <f t="shared" si="300"/>
        <v>4.2478410847619905</v>
      </c>
      <c r="EX98" s="528">
        <f t="shared" si="264"/>
        <v>4.293939660060934E-4</v>
      </c>
      <c r="EY98" s="528">
        <f t="shared" si="265"/>
        <v>1.7008549743586525</v>
      </c>
      <c r="EZ98" s="528">
        <f t="shared" si="266"/>
        <v>14.775166561799557</v>
      </c>
      <c r="FA98" s="625">
        <f t="shared" si="267"/>
        <v>2.3921190505559572E-2</v>
      </c>
      <c r="FB98" s="460">
        <f t="shared" si="301"/>
        <v>14799.087752305117</v>
      </c>
      <c r="FC98" s="173">
        <f t="shared" si="302"/>
        <v>23.793989345426962</v>
      </c>
      <c r="FD98" s="5">
        <f t="shared" si="303"/>
        <v>141.36000000000001</v>
      </c>
      <c r="FE98" s="173">
        <f t="shared" si="304"/>
        <v>0.85592846143328238</v>
      </c>
      <c r="FF98" s="5">
        <f t="shared" si="305"/>
        <v>85.592846143328245</v>
      </c>
      <c r="FG98">
        <f t="shared" si="306"/>
        <v>93</v>
      </c>
      <c r="FI98" s="562">
        <f t="shared" si="268"/>
        <v>-50</v>
      </c>
      <c r="FJ98">
        <f t="shared" si="269"/>
        <v>-50</v>
      </c>
      <c r="FL98">
        <f t="shared" si="270"/>
        <v>0.78697421981004079</v>
      </c>
    </row>
    <row r="99" spans="5:169">
      <c r="E99" s="170">
        <v>94</v>
      </c>
      <c r="F99" s="217">
        <f t="shared" si="307"/>
        <v>9.3999999999999986</v>
      </c>
      <c r="G99" s="217">
        <f t="shared" si="271"/>
        <v>0.23499999999999999</v>
      </c>
      <c r="H99" s="217">
        <f t="shared" si="176"/>
        <v>140.99999999999997</v>
      </c>
      <c r="I99" s="217">
        <f t="shared" si="308"/>
        <v>1.88</v>
      </c>
      <c r="J99" s="541">
        <f t="shared" si="177"/>
        <v>57.333887999024917</v>
      </c>
      <c r="K99" s="443">
        <f t="shared" si="178"/>
        <v>16.058334482758621</v>
      </c>
      <c r="L99" s="172">
        <f t="shared" si="179"/>
        <v>73.392222481783534</v>
      </c>
      <c r="M99" s="443"/>
      <c r="N99" s="217">
        <f t="shared" si="180"/>
        <v>0.21880158332505073</v>
      </c>
      <c r="O99" s="172">
        <f t="shared" si="272"/>
        <v>309.49207579854715</v>
      </c>
      <c r="P99" s="172">
        <f t="shared" si="181"/>
        <v>4.1815818241225928</v>
      </c>
      <c r="Q99" s="217">
        <f t="shared" si="182"/>
        <v>20.632805053236478</v>
      </c>
      <c r="R99" s="217">
        <f t="shared" si="183"/>
        <v>38.686509474818394</v>
      </c>
      <c r="S99" s="443">
        <f t="shared" si="184"/>
        <v>15</v>
      </c>
      <c r="T99" s="217">
        <f t="shared" si="185"/>
        <v>22.779258505438911</v>
      </c>
      <c r="U99" s="217">
        <f t="shared" si="186"/>
        <v>4.7677056555089345</v>
      </c>
      <c r="V99" s="217">
        <f t="shared" si="187"/>
        <v>17.022381888903627</v>
      </c>
      <c r="W99" s="197">
        <f t="shared" si="188"/>
        <v>104.53954560306478</v>
      </c>
      <c r="X99" s="443">
        <f t="shared" si="273"/>
        <v>45.475034966565609</v>
      </c>
      <c r="Z99" s="217">
        <f t="shared" si="189"/>
        <v>10</v>
      </c>
      <c r="AA99" s="173">
        <f t="shared" si="190"/>
        <v>7.4727550437338701</v>
      </c>
      <c r="AB99" s="173">
        <f t="shared" si="191"/>
        <v>3.9059920833747466</v>
      </c>
      <c r="AC99" s="173"/>
      <c r="AD99" s="173">
        <f t="shared" si="192"/>
        <v>7.4727550437338701</v>
      </c>
      <c r="AE99" s="545">
        <f t="shared" si="193"/>
        <v>251.58057356321831</v>
      </c>
      <c r="AF99" s="528">
        <f t="shared" si="194"/>
        <v>3.905992083374747</v>
      </c>
      <c r="AH99" s="173">
        <f t="shared" si="195"/>
        <v>8.2485207909112539</v>
      </c>
      <c r="AI99" s="173">
        <f t="shared" si="196"/>
        <v>22.779258505438911</v>
      </c>
      <c r="AJ99" s="173">
        <f t="shared" si="197"/>
        <v>10.666117411436229</v>
      </c>
      <c r="AL99" s="545">
        <f t="shared" si="198"/>
        <v>9399.9999999999982</v>
      </c>
      <c r="AM99" s="460">
        <f t="shared" si="199"/>
        <v>45.475034966565609</v>
      </c>
      <c r="AO99">
        <f t="shared" si="274"/>
        <v>9399.9999999999982</v>
      </c>
      <c r="AP99">
        <f t="shared" si="200"/>
        <v>45.475034966565609</v>
      </c>
      <c r="AR99" s="5">
        <f t="shared" si="275"/>
        <v>21.99008754441256</v>
      </c>
      <c r="AS99" s="5">
        <f t="shared" si="201"/>
        <v>4.7677056555089345</v>
      </c>
      <c r="AT99" s="5">
        <f t="shared" si="276"/>
        <v>17.222381888903627</v>
      </c>
      <c r="AU99" s="173">
        <f t="shared" si="277"/>
        <v>0.21681158139456139</v>
      </c>
      <c r="AW99" s="5">
        <f t="shared" si="202"/>
        <v>298.77622107855984</v>
      </c>
      <c r="AX99" s="5">
        <f t="shared" si="203"/>
        <v>14.005135363057494</v>
      </c>
      <c r="AY99" s="5">
        <f t="shared" si="204"/>
        <v>14.605046232997248</v>
      </c>
      <c r="AZ99" s="5"/>
      <c r="BA99" s="173">
        <f t="shared" si="278"/>
        <v>6.1237886616646495</v>
      </c>
      <c r="BB99" s="173">
        <f t="shared" si="205"/>
        <v>11.638903948101721</v>
      </c>
      <c r="BC99" s="173">
        <f t="shared" si="206"/>
        <v>0.28663653644736786</v>
      </c>
      <c r="BD99" s="173"/>
      <c r="BE99" s="528">
        <f t="shared" si="207"/>
        <v>0.75001575145465038</v>
      </c>
      <c r="BF99" s="528">
        <f t="shared" si="208"/>
        <v>1.4254892160144192</v>
      </c>
      <c r="BG99" s="528">
        <f t="shared" si="209"/>
        <v>6.5181514038120364E-2</v>
      </c>
      <c r="BH99" s="528">
        <f t="shared" si="210"/>
        <v>2.4494756148363959E-2</v>
      </c>
      <c r="BI99">
        <f t="shared" si="211"/>
        <v>2.5800249599561211E-2</v>
      </c>
      <c r="BJ99" s="460">
        <f t="shared" si="279"/>
        <v>90.981763637681567</v>
      </c>
      <c r="BK99">
        <f t="shared" si="212"/>
        <v>2.9234788485801455</v>
      </c>
      <c r="BL99" s="460">
        <f t="shared" si="280"/>
        <v>2923.4788485801455</v>
      </c>
      <c r="BM99" s="173">
        <f t="shared" si="213"/>
        <v>5.8397499999999978</v>
      </c>
      <c r="BN99" s="173">
        <f t="shared" si="214"/>
        <v>0.10428124999999999</v>
      </c>
      <c r="BO99" s="528"/>
      <c r="BQ99" s="460">
        <f t="shared" si="281"/>
        <v>5944.0312499999973</v>
      </c>
      <c r="BR99" s="528">
        <f t="shared" si="215"/>
        <v>1.1250236271819756</v>
      </c>
      <c r="BS99" s="528">
        <f t="shared" si="216"/>
        <v>4.0639225533941348</v>
      </c>
      <c r="BT99" s="528">
        <f t="shared" si="217"/>
        <v>4.1080252013271624E-4</v>
      </c>
      <c r="BU99" s="528">
        <f t="shared" si="218"/>
        <v>1.7268378781208791</v>
      </c>
      <c r="BV99" s="528">
        <f t="shared" si="219"/>
        <v>13.955066124636328</v>
      </c>
      <c r="BW99" s="625">
        <f t="shared" si="220"/>
        <v>2.3596750900132569E-2</v>
      </c>
      <c r="BX99" s="460">
        <f t="shared" si="282"/>
        <v>13978.662875536462</v>
      </c>
      <c r="BY99" s="173">
        <f t="shared" si="283"/>
        <v>22.846172974116605</v>
      </c>
      <c r="BZ99" s="5">
        <f t="shared" si="284"/>
        <v>142.87999999999997</v>
      </c>
      <c r="CA99" s="173">
        <f t="shared" si="285"/>
        <v>0.86214505190025259</v>
      </c>
      <c r="CB99" s="5">
        <f t="shared" si="286"/>
        <v>86.214505190025264</v>
      </c>
      <c r="CC99">
        <f t="shared" si="287"/>
        <v>93.999999999999986</v>
      </c>
      <c r="CE99" s="562">
        <f t="shared" si="221"/>
        <v>-50</v>
      </c>
      <c r="CF99">
        <f t="shared" si="222"/>
        <v>-50</v>
      </c>
      <c r="CG99" s="173">
        <f t="shared" si="223"/>
        <v>0.78697421981004068</v>
      </c>
      <c r="CH99" s="173">
        <f t="shared" si="224"/>
        <v>9.2345221451934023E-2</v>
      </c>
      <c r="CI99" s="170">
        <v>94</v>
      </c>
      <c r="CJ99" s="217">
        <f t="shared" si="309"/>
        <v>9.3999999999999986</v>
      </c>
      <c r="CK99" s="217">
        <f t="shared" si="288"/>
        <v>0.23499999999999999</v>
      </c>
      <c r="CL99" s="217">
        <f t="shared" si="225"/>
        <v>140.99999999999997</v>
      </c>
      <c r="CM99" s="217">
        <f t="shared" si="310"/>
        <v>1.88</v>
      </c>
      <c r="CN99" s="541">
        <f t="shared" si="289"/>
        <v>58</v>
      </c>
      <c r="CO99" s="443">
        <f t="shared" si="226"/>
        <v>15.7</v>
      </c>
      <c r="CP99" s="443">
        <f t="shared" si="227"/>
        <v>73.7</v>
      </c>
      <c r="CQ99" s="443"/>
      <c r="CR99" s="217">
        <f t="shared" si="228"/>
        <v>0.2098092643051771</v>
      </c>
      <c r="CS99" s="172">
        <f t="shared" si="290"/>
        <v>300.22049333142121</v>
      </c>
      <c r="CT99" s="172">
        <f t="shared" si="229"/>
        <v>4.0563124432334243</v>
      </c>
      <c r="CU99" s="217">
        <f t="shared" si="230"/>
        <v>20.014699555428081</v>
      </c>
      <c r="CV99" s="217">
        <f t="shared" si="231"/>
        <v>37.527561666427651</v>
      </c>
      <c r="CW99" s="443">
        <f t="shared" si="232"/>
        <v>15</v>
      </c>
      <c r="CX99" s="217">
        <f t="shared" si="233"/>
        <v>23.48274070756829</v>
      </c>
      <c r="CY99" s="217">
        <f t="shared" si="234"/>
        <v>4.8584980774279227</v>
      </c>
      <c r="CZ99" s="217">
        <f t="shared" si="235"/>
        <v>17.948591623619077</v>
      </c>
      <c r="DA99" s="197">
        <f t="shared" si="236"/>
        <v>102.962460425147</v>
      </c>
      <c r="DB99" s="443">
        <f t="shared" si="291"/>
        <v>43.846015125467474</v>
      </c>
      <c r="DD99" s="217">
        <f t="shared" si="237"/>
        <v>10</v>
      </c>
      <c r="DE99" s="173">
        <f t="shared" si="238"/>
        <v>7.6433121019108281</v>
      </c>
      <c r="DF99" s="173">
        <f t="shared" si="239"/>
        <v>3.9348710990502043</v>
      </c>
      <c r="DG99" s="173"/>
      <c r="DH99" s="173">
        <f t="shared" si="240"/>
        <v>7.6433121019108281</v>
      </c>
      <c r="DI99" s="545">
        <f t="shared" si="241"/>
        <v>245.96666666666667</v>
      </c>
      <c r="DJ99" s="528">
        <f t="shared" si="242"/>
        <v>3.9348710990502034</v>
      </c>
      <c r="DL99" s="173">
        <f t="shared" si="243"/>
        <v>8.2485207909112539</v>
      </c>
      <c r="DM99" s="173">
        <f t="shared" si="244"/>
        <v>23.48274070756829</v>
      </c>
      <c r="DN99" s="173">
        <f t="shared" si="245"/>
        <v>11.187215338939474</v>
      </c>
      <c r="DP99" s="545">
        <f t="shared" si="246"/>
        <v>9399.9999999999982</v>
      </c>
      <c r="DQ99" s="460">
        <f t="shared" si="247"/>
        <v>43.846015125467474</v>
      </c>
      <c r="DS99">
        <f t="shared" si="311"/>
        <v>9399.9999999999982</v>
      </c>
      <c r="DT99">
        <f t="shared" si="312"/>
        <v>43.846015125467474</v>
      </c>
      <c r="DV99" s="5">
        <f t="shared" si="293"/>
        <v>22.807089701046994</v>
      </c>
      <c r="DW99" s="5">
        <f t="shared" si="249"/>
        <v>4.8584980774279227</v>
      </c>
      <c r="DX99" s="5">
        <f t="shared" si="294"/>
        <v>17.948591623619073</v>
      </c>
      <c r="DY99" s="173">
        <f t="shared" si="295"/>
        <v>0.21302578018995935</v>
      </c>
      <c r="EA99" s="5">
        <f t="shared" si="250"/>
        <v>304.46587951881645</v>
      </c>
      <c r="EB99" s="5">
        <f t="shared" si="251"/>
        <v>14.271838102444523</v>
      </c>
      <c r="EC99" s="5">
        <f t="shared" si="252"/>
        <v>15.046084535851895</v>
      </c>
      <c r="ED99" s="5"/>
      <c r="EE99" s="173">
        <f t="shared" si="296"/>
        <v>6.2575486914504221</v>
      </c>
      <c r="EF99" s="173">
        <f t="shared" si="253"/>
        <v>12.027307322107559</v>
      </c>
      <c r="EG99" s="173">
        <f t="shared" si="254"/>
        <v>0.29620192150131558</v>
      </c>
      <c r="EH99" s="173"/>
      <c r="EI99" s="528">
        <f t="shared" si="255"/>
        <v>0.7831383125174578</v>
      </c>
      <c r="EJ99" s="528">
        <f t="shared" si="256"/>
        <v>1.5176666666666669</v>
      </c>
      <c r="EK99" s="528">
        <f t="shared" si="257"/>
        <v>5.480751890683434E-3</v>
      </c>
      <c r="EL99" s="528">
        <f t="shared" si="258"/>
        <v>2.3815796189685046E-2</v>
      </c>
      <c r="EM99">
        <f t="shared" si="259"/>
        <v>2.6099999999999998E-2</v>
      </c>
      <c r="EN99" s="460">
        <f t="shared" si="297"/>
        <v>31.580751890683434</v>
      </c>
      <c r="EO99">
        <f t="shared" si="260"/>
        <v>3.1546452732798405</v>
      </c>
      <c r="EP99" s="460">
        <f t="shared" si="298"/>
        <v>3154.6452732798402</v>
      </c>
      <c r="EQ99" s="173">
        <f t="shared" si="261"/>
        <v>5.8397499999999978</v>
      </c>
      <c r="ER99" s="173">
        <f t="shared" si="262"/>
        <v>0.10428124999999999</v>
      </c>
      <c r="ES99" s="528"/>
      <c r="EU99" s="460">
        <f t="shared" si="299"/>
        <v>5944.0312499999973</v>
      </c>
      <c r="EV99" s="528">
        <f t="shared" si="263"/>
        <v>1.1747074687761867</v>
      </c>
      <c r="EW99" s="528">
        <f t="shared" si="300"/>
        <v>4.3396836426126626</v>
      </c>
      <c r="EX99" s="528">
        <f t="shared" si="264"/>
        <v>4.3867789150535755E-4</v>
      </c>
      <c r="EY99" s="528">
        <f t="shared" si="265"/>
        <v>1.7008549743586536</v>
      </c>
      <c r="EZ99" s="528">
        <f t="shared" si="266"/>
        <v>15.281023324173477</v>
      </c>
      <c r="FA99" s="625">
        <f t="shared" si="267"/>
        <v>2.4178407607769889E-2</v>
      </c>
      <c r="FB99" s="460">
        <f t="shared" si="301"/>
        <v>15305.201731781248</v>
      </c>
      <c r="FC99" s="173">
        <f t="shared" si="302"/>
        <v>24.403878255061088</v>
      </c>
      <c r="FD99" s="5">
        <f t="shared" si="303"/>
        <v>142.87999999999997</v>
      </c>
      <c r="FE99" s="173">
        <f t="shared" si="304"/>
        <v>0.85411697463247471</v>
      </c>
      <c r="FF99" s="5">
        <f t="shared" si="305"/>
        <v>85.411697463247478</v>
      </c>
      <c r="FG99">
        <f t="shared" si="306"/>
        <v>93.999999999999986</v>
      </c>
      <c r="FI99" s="562">
        <f t="shared" si="268"/>
        <v>-50</v>
      </c>
      <c r="FJ99">
        <f t="shared" si="269"/>
        <v>-50</v>
      </c>
      <c r="FL99">
        <f t="shared" si="270"/>
        <v>0.78697421981004068</v>
      </c>
    </row>
    <row r="100" spans="5:169">
      <c r="E100" s="170">
        <v>95</v>
      </c>
      <c r="F100" s="217">
        <f t="shared" si="307"/>
        <v>9.5</v>
      </c>
      <c r="G100" s="217">
        <f t="shared" si="271"/>
        <v>0.23749999999999999</v>
      </c>
      <c r="H100" s="217">
        <f t="shared" si="176"/>
        <v>142.5</v>
      </c>
      <c r="I100" s="217">
        <f t="shared" si="308"/>
        <v>1.9</v>
      </c>
      <c r="J100" s="541">
        <f t="shared" si="177"/>
        <v>57.326801701142209</v>
      </c>
      <c r="K100" s="443">
        <f t="shared" si="178"/>
        <v>16.062146551724137</v>
      </c>
      <c r="L100" s="172">
        <f t="shared" si="179"/>
        <v>73.388948252866342</v>
      </c>
      <c r="M100" s="443"/>
      <c r="N100" s="217">
        <f t="shared" si="180"/>
        <v>0.21886328846655465</v>
      </c>
      <c r="O100" s="172">
        <f t="shared" si="272"/>
        <v>309.54109385482059</v>
      </c>
      <c r="P100" s="172">
        <f t="shared" si="181"/>
        <v>4.1822441125273544</v>
      </c>
      <c r="Q100" s="217">
        <f t="shared" si="182"/>
        <v>20.636072923654705</v>
      </c>
      <c r="R100" s="217">
        <f t="shared" si="183"/>
        <v>38.692636731852573</v>
      </c>
      <c r="S100" s="443">
        <f t="shared" si="184"/>
        <v>15</v>
      </c>
      <c r="T100" s="217">
        <f t="shared" si="185"/>
        <v>23.017945408378417</v>
      </c>
      <c r="U100" s="217">
        <f t="shared" si="186"/>
        <v>4.8182584184709123</v>
      </c>
      <c r="V100" s="217">
        <f t="shared" si="187"/>
        <v>17.19666446891506</v>
      </c>
      <c r="W100" s="197">
        <f t="shared" si="188"/>
        <v>104.55610281318384</v>
      </c>
      <c r="X100" s="443">
        <f t="shared" si="273"/>
        <v>45.014786009805057</v>
      </c>
      <c r="Z100" s="217">
        <f t="shared" si="189"/>
        <v>10</v>
      </c>
      <c r="AA100" s="173">
        <f t="shared" si="190"/>
        <v>7.4709815162979574</v>
      </c>
      <c r="AB100" s="173">
        <f t="shared" si="191"/>
        <v>3.9056835576672264</v>
      </c>
      <c r="AC100" s="173"/>
      <c r="AD100" s="173">
        <f t="shared" si="192"/>
        <v>7.4709815162979574</v>
      </c>
      <c r="AE100" s="545">
        <f t="shared" si="193"/>
        <v>254.31732040229883</v>
      </c>
      <c r="AF100" s="528">
        <f t="shared" si="194"/>
        <v>3.9056835576672269</v>
      </c>
      <c r="AH100" s="173">
        <f t="shared" si="195"/>
        <v>8.2922798289677111</v>
      </c>
      <c r="AI100" s="173">
        <f t="shared" si="196"/>
        <v>23.017945408378417</v>
      </c>
      <c r="AJ100" s="173">
        <f t="shared" si="197"/>
        <v>10.842922524724752</v>
      </c>
      <c r="AL100" s="545">
        <f t="shared" si="198"/>
        <v>9500</v>
      </c>
      <c r="AM100" s="460">
        <f t="shared" si="199"/>
        <v>45.014786009805057</v>
      </c>
      <c r="AO100">
        <f t="shared" si="274"/>
        <v>9500</v>
      </c>
      <c r="AP100">
        <f t="shared" si="200"/>
        <v>45.014786009805057</v>
      </c>
      <c r="AR100" s="5">
        <f t="shared" si="275"/>
        <v>22.214922887385967</v>
      </c>
      <c r="AS100" s="5">
        <f t="shared" si="201"/>
        <v>4.8182584184709123</v>
      </c>
      <c r="AT100" s="5">
        <f t="shared" si="276"/>
        <v>17.396664468915056</v>
      </c>
      <c r="AU100" s="173">
        <f t="shared" si="277"/>
        <v>0.21689287164740986</v>
      </c>
      <c r="AW100" s="5">
        <f t="shared" si="202"/>
        <v>305.15636650315781</v>
      </c>
      <c r="AX100" s="5">
        <f t="shared" si="203"/>
        <v>14.304204679835518</v>
      </c>
      <c r="AY100" s="5">
        <f t="shared" si="204"/>
        <v>14.911630747517393</v>
      </c>
      <c r="AZ100" s="5"/>
      <c r="BA100" s="173">
        <f t="shared" si="278"/>
        <v>6.1891152190044396</v>
      </c>
      <c r="BB100" s="173">
        <f t="shared" si="205"/>
        <v>11.760248994540207</v>
      </c>
      <c r="BC100" s="173">
        <f t="shared" si="206"/>
        <v>0.2896249556302451</v>
      </c>
      <c r="BD100" s="173"/>
      <c r="BE100" s="528">
        <f t="shared" si="207"/>
        <v>0.76610294388224742</v>
      </c>
      <c r="BF100" s="528">
        <f t="shared" si="208"/>
        <v>1.42578381857279</v>
      </c>
      <c r="BG100" s="528">
        <f t="shared" si="209"/>
        <v>6.4513842780086122E-2</v>
      </c>
      <c r="BH100" s="528">
        <f t="shared" si="210"/>
        <v>2.4244683418280628E-2</v>
      </c>
      <c r="BI100">
        <f t="shared" si="211"/>
        <v>2.5797060765513993E-2</v>
      </c>
      <c r="BJ100" s="460">
        <f t="shared" si="279"/>
        <v>90.310903545600112</v>
      </c>
      <c r="BK100">
        <f t="shared" si="212"/>
        <v>2.9621716788935535</v>
      </c>
      <c r="BL100" s="460">
        <f t="shared" si="280"/>
        <v>2962.1716788935537</v>
      </c>
      <c r="BM100" s="173">
        <f t="shared" si="213"/>
        <v>5.9018749999999995</v>
      </c>
      <c r="BN100" s="173">
        <f t="shared" si="214"/>
        <v>0.10539062499999999</v>
      </c>
      <c r="BO100" s="528"/>
      <c r="BQ100" s="460">
        <f t="shared" si="281"/>
        <v>6007.265625</v>
      </c>
      <c r="BR100" s="528">
        <f t="shared" si="215"/>
        <v>1.1491544158233711</v>
      </c>
      <c r="BS100" s="528">
        <f t="shared" si="216"/>
        <v>4.1491036924075182</v>
      </c>
      <c r="BT100" s="528">
        <f t="shared" si="217"/>
        <v>4.1941307461910722E-4</v>
      </c>
      <c r="BU100" s="528">
        <f t="shared" si="218"/>
        <v>1.72792293242977</v>
      </c>
      <c r="BV100" s="528">
        <f t="shared" si="219"/>
        <v>14.404095711932648</v>
      </c>
      <c r="BW100" s="625">
        <f t="shared" si="220"/>
        <v>2.3849995496672809E-2</v>
      </c>
      <c r="BX100" s="460">
        <f t="shared" si="282"/>
        <v>14427.94570742932</v>
      </c>
      <c r="BY100" s="173">
        <f t="shared" si="283"/>
        <v>23.397383011322873</v>
      </c>
      <c r="BZ100" s="5">
        <f t="shared" si="284"/>
        <v>144.4</v>
      </c>
      <c r="CA100" s="173">
        <f t="shared" si="285"/>
        <v>0.86056169296904916</v>
      </c>
      <c r="CB100" s="5">
        <f t="shared" si="286"/>
        <v>86.056169296904912</v>
      </c>
      <c r="CC100">
        <f t="shared" si="287"/>
        <v>95</v>
      </c>
      <c r="CE100" s="562">
        <f t="shared" si="221"/>
        <v>-50</v>
      </c>
      <c r="CF100">
        <f t="shared" si="222"/>
        <v>-50</v>
      </c>
      <c r="CG100" s="173">
        <f t="shared" si="223"/>
        <v>0.78697421981004068</v>
      </c>
      <c r="CH100" s="173">
        <f t="shared" si="224"/>
        <v>9.2345221451934009E-2</v>
      </c>
      <c r="CI100" s="170">
        <v>95</v>
      </c>
      <c r="CJ100" s="217">
        <f t="shared" si="309"/>
        <v>9.5</v>
      </c>
      <c r="CK100" s="217">
        <f t="shared" si="288"/>
        <v>0.23749999999999999</v>
      </c>
      <c r="CL100" s="217">
        <f t="shared" si="225"/>
        <v>142.5</v>
      </c>
      <c r="CM100" s="217">
        <f t="shared" si="310"/>
        <v>1.9</v>
      </c>
      <c r="CN100" s="541">
        <f t="shared" si="289"/>
        <v>58</v>
      </c>
      <c r="CO100" s="443">
        <f t="shared" si="226"/>
        <v>15.7</v>
      </c>
      <c r="CP100" s="443">
        <f t="shared" si="227"/>
        <v>73.7</v>
      </c>
      <c r="CQ100" s="443"/>
      <c r="CR100" s="217">
        <f t="shared" si="228"/>
        <v>0.2098092643051771</v>
      </c>
      <c r="CS100" s="172">
        <f t="shared" si="290"/>
        <v>300.22049333142121</v>
      </c>
      <c r="CT100" s="172">
        <f t="shared" si="229"/>
        <v>4.0563124432334243</v>
      </c>
      <c r="CU100" s="217">
        <f t="shared" si="230"/>
        <v>20.014699555428081</v>
      </c>
      <c r="CV100" s="217">
        <f t="shared" si="231"/>
        <v>37.527561666427651</v>
      </c>
      <c r="CW100" s="443">
        <f t="shared" si="232"/>
        <v>15</v>
      </c>
      <c r="CX100" s="217">
        <f t="shared" si="233"/>
        <v>23.732557098074341</v>
      </c>
      <c r="CY100" s="217">
        <f t="shared" si="234"/>
        <v>4.9101842271877949</v>
      </c>
      <c r="CZ100" s="217">
        <f t="shared" si="235"/>
        <v>18.139534087700135</v>
      </c>
      <c r="DA100" s="197">
        <f t="shared" si="236"/>
        <v>102.962460425147</v>
      </c>
      <c r="DB100" s="443">
        <f t="shared" si="291"/>
        <v>43.384478124146746</v>
      </c>
      <c r="DD100" s="217">
        <f t="shared" si="237"/>
        <v>10</v>
      </c>
      <c r="DE100" s="173">
        <f t="shared" si="238"/>
        <v>7.6433121019108281</v>
      </c>
      <c r="DF100" s="173">
        <f t="shared" si="239"/>
        <v>3.9348710990502043</v>
      </c>
      <c r="DG100" s="173"/>
      <c r="DH100" s="173">
        <f t="shared" si="240"/>
        <v>7.6433121019108281</v>
      </c>
      <c r="DI100" s="545">
        <f t="shared" si="241"/>
        <v>248.58333333333334</v>
      </c>
      <c r="DJ100" s="528">
        <f t="shared" si="242"/>
        <v>3.9348710990502034</v>
      </c>
      <c r="DL100" s="173">
        <f t="shared" si="243"/>
        <v>8.2922798289677111</v>
      </c>
      <c r="DM100" s="173">
        <f t="shared" si="244"/>
        <v>23.732557098074341</v>
      </c>
      <c r="DN100" s="173">
        <f t="shared" si="245"/>
        <v>11.372264517092104</v>
      </c>
      <c r="DP100" s="545">
        <f t="shared" si="246"/>
        <v>9500</v>
      </c>
      <c r="DQ100" s="460">
        <f t="shared" si="247"/>
        <v>43.384478124146746</v>
      </c>
      <c r="DS100">
        <f t="shared" si="311"/>
        <v>9500</v>
      </c>
      <c r="DT100">
        <f t="shared" si="312"/>
        <v>43.384478124146746</v>
      </c>
      <c r="DV100" s="5">
        <f t="shared" si="293"/>
        <v>23.049718314887929</v>
      </c>
      <c r="DW100" s="5">
        <f t="shared" si="249"/>
        <v>4.9101842271877949</v>
      </c>
      <c r="DX100" s="5">
        <f t="shared" si="294"/>
        <v>18.139534087700135</v>
      </c>
      <c r="DY100" s="173">
        <f t="shared" si="295"/>
        <v>0.2130257801899593</v>
      </c>
      <c r="EA100" s="5">
        <f t="shared" si="250"/>
        <v>310.97833438856031</v>
      </c>
      <c r="EB100" s="5">
        <f t="shared" si="251"/>
        <v>14.577109424463766</v>
      </c>
      <c r="EC100" s="5">
        <f t="shared" si="252"/>
        <v>15.367916810328591</v>
      </c>
      <c r="ED100" s="5"/>
      <c r="EE100" s="173">
        <f t="shared" si="296"/>
        <v>6.3241183583807459</v>
      </c>
      <c r="EF100" s="173">
        <f t="shared" si="253"/>
        <v>12.155257400002322</v>
      </c>
      <c r="EG100" s="173">
        <f t="shared" si="254"/>
        <v>0.29935300577260621</v>
      </c>
      <c r="EH100" s="173"/>
      <c r="EI100" s="528">
        <f t="shared" si="255"/>
        <v>0.79988946021616758</v>
      </c>
      <c r="EJ100" s="528">
        <f t="shared" si="256"/>
        <v>1.5176666666666665</v>
      </c>
      <c r="EK100" s="528">
        <f t="shared" si="257"/>
        <v>5.4230597655183432E-3</v>
      </c>
      <c r="EL100" s="528">
        <f t="shared" si="258"/>
        <v>2.3565103598214666E-2</v>
      </c>
      <c r="EM100">
        <f t="shared" si="259"/>
        <v>2.6099999999999998E-2</v>
      </c>
      <c r="EN100" s="460">
        <f t="shared" si="297"/>
        <v>31.523059765518344</v>
      </c>
      <c r="EO100">
        <f t="shared" si="260"/>
        <v>3.1960323280131719</v>
      </c>
      <c r="EP100" s="460">
        <f t="shared" si="298"/>
        <v>3196.032328013172</v>
      </c>
      <c r="EQ100" s="173">
        <f t="shared" si="261"/>
        <v>5.9018749999999995</v>
      </c>
      <c r="ER100" s="173">
        <f t="shared" si="262"/>
        <v>0.10539062499999999</v>
      </c>
      <c r="ES100" s="528"/>
      <c r="EU100" s="460">
        <f t="shared" si="299"/>
        <v>6007.265625</v>
      </c>
      <c r="EV100" s="528">
        <f t="shared" si="263"/>
        <v>1.1998341903242513</v>
      </c>
      <c r="EW100" s="528">
        <f t="shared" si="300"/>
        <v>4.4325084738093361</v>
      </c>
      <c r="EX100" s="528">
        <f t="shared" si="264"/>
        <v>4.4806111032547004E-4</v>
      </c>
      <c r="EY100" s="528">
        <f t="shared" si="265"/>
        <v>1.7008549743586505</v>
      </c>
      <c r="EZ100" s="528">
        <f t="shared" si="266"/>
        <v>15.809761880981847</v>
      </c>
      <c r="FA100" s="625">
        <f t="shared" si="267"/>
        <v>2.4435624709980206E-2</v>
      </c>
      <c r="FB100" s="460">
        <f t="shared" si="301"/>
        <v>15834.197505691827</v>
      </c>
      <c r="FC100" s="173">
        <f t="shared" si="302"/>
        <v>25.037495458704999</v>
      </c>
      <c r="FD100" s="5">
        <f t="shared" si="303"/>
        <v>144.4</v>
      </c>
      <c r="FE100" s="173">
        <f t="shared" si="304"/>
        <v>0.85223167167973701</v>
      </c>
      <c r="FF100" s="5">
        <f t="shared" si="305"/>
        <v>85.223167167973699</v>
      </c>
      <c r="FG100">
        <f t="shared" si="306"/>
        <v>95</v>
      </c>
      <c r="FI100" s="562">
        <f t="shared" si="268"/>
        <v>-50</v>
      </c>
      <c r="FJ100">
        <f t="shared" si="269"/>
        <v>-50</v>
      </c>
      <c r="FL100">
        <f t="shared" si="270"/>
        <v>0.78697421981004068</v>
      </c>
    </row>
    <row r="101" spans="5:169">
      <c r="E101" s="170">
        <v>96</v>
      </c>
      <c r="F101" s="217">
        <f t="shared" si="307"/>
        <v>9.6</v>
      </c>
      <c r="G101" s="217">
        <f t="shared" si="271"/>
        <v>0.24</v>
      </c>
      <c r="H101" s="217">
        <f t="shared" si="176"/>
        <v>144</v>
      </c>
      <c r="I101" s="217">
        <f t="shared" si="308"/>
        <v>1.92</v>
      </c>
      <c r="J101" s="541">
        <f t="shared" si="177"/>
        <v>57.319715403259494</v>
      </c>
      <c r="K101" s="443">
        <f t="shared" si="178"/>
        <v>16.065958620689653</v>
      </c>
      <c r="L101" s="172">
        <f t="shared" si="179"/>
        <v>73.38567402394915</v>
      </c>
      <c r="M101" s="443"/>
      <c r="N101" s="217">
        <f t="shared" si="180"/>
        <v>0.218924999114222</v>
      </c>
      <c r="O101" s="172">
        <f t="shared" si="272"/>
        <v>309.59009812218858</v>
      </c>
      <c r="P101" s="172">
        <f t="shared" si="181"/>
        <v>4.1829062146286811</v>
      </c>
      <c r="Q101" s="217">
        <f t="shared" si="182"/>
        <v>20.63933987481257</v>
      </c>
      <c r="R101" s="217">
        <f t="shared" si="183"/>
        <v>38.698762265273572</v>
      </c>
      <c r="S101" s="443">
        <f t="shared" si="184"/>
        <v>15</v>
      </c>
      <c r="T101" s="217">
        <f t="shared" si="185"/>
        <v>23.256557763544215</v>
      </c>
      <c r="U101" s="217">
        <f t="shared" si="186"/>
        <v>4.868808074135357</v>
      </c>
      <c r="V101" s="217">
        <f t="shared" si="187"/>
        <v>17.370808661434904</v>
      </c>
      <c r="W101" s="197">
        <f t="shared" si="188"/>
        <v>104.57265536571703</v>
      </c>
      <c r="X101" s="443">
        <f t="shared" si="273"/>
        <v>44.56404098982874</v>
      </c>
      <c r="Z101" s="217">
        <f t="shared" si="189"/>
        <v>10</v>
      </c>
      <c r="AA101" s="173">
        <f t="shared" si="190"/>
        <v>7.4692088304936046</v>
      </c>
      <c r="AB101" s="173">
        <f>0.5*AA101*Z101*Nps*W101/1000*(Pout/Pout_total)</f>
        <v>3.9053750044288904</v>
      </c>
      <c r="AC101" s="173"/>
      <c r="AD101" s="173">
        <f t="shared" si="192"/>
        <v>7.4692088304936046</v>
      </c>
      <c r="AE101" s="545">
        <f>MAX(10, F101/(0.5*AD101/1000000*Isw_min*Nps)/1000*Pout_total/Pout)</f>
        <v>257.05533793103444</v>
      </c>
      <c r="AF101" s="528">
        <f t="shared" si="194"/>
        <v>3.90537500442889</v>
      </c>
      <c r="AH101" s="173">
        <f t="shared" si="195"/>
        <v>8.3358091560276435</v>
      </c>
      <c r="AI101" s="173">
        <f>MAX(IF(F101&gt;AB101,T101,AH101),Isw_min)</f>
        <v>23.256557763544215</v>
      </c>
      <c r="AJ101" s="173">
        <f>IF(F101&gt;AF101, (AI101-Isw_min)/1.08*0.8+1.2, AE101*0.2/350+1)</f>
        <v>11.019672417440159</v>
      </c>
      <c r="AL101" s="545">
        <f t="shared" si="198"/>
        <v>9600</v>
      </c>
      <c r="AM101" s="460">
        <f t="shared" si="199"/>
        <v>44.56404098982874</v>
      </c>
      <c r="AO101">
        <f t="shared" si="274"/>
        <v>9600</v>
      </c>
      <c r="AP101">
        <f t="shared" si="200"/>
        <v>44.56404098982874</v>
      </c>
      <c r="AR101" s="5">
        <f t="shared" si="275"/>
        <v>22.439616735570262</v>
      </c>
      <c r="AS101" s="5">
        <f t="shared" si="201"/>
        <v>4.868808074135357</v>
      </c>
      <c r="AT101" s="5">
        <f t="shared" si="276"/>
        <v>17.570808661434903</v>
      </c>
      <c r="AU101" s="173">
        <f t="shared" si="277"/>
        <v>0.21697376258737716</v>
      </c>
      <c r="AW101" s="5">
        <f t="shared" si="202"/>
        <v>311.60371674466285</v>
      </c>
      <c r="AX101" s="5">
        <f t="shared" si="203"/>
        <v>14.606424222406069</v>
      </c>
      <c r="AY101" s="5">
        <f t="shared" si="204"/>
        <v>15.221316564382406</v>
      </c>
      <c r="AZ101" s="5"/>
      <c r="BA101" s="173">
        <f t="shared" si="278"/>
        <v>6.2544398092274385</v>
      </c>
      <c r="BB101" s="173">
        <f t="shared" si="205"/>
        <v>11.881546294251462</v>
      </c>
      <c r="BC101" s="173">
        <f t="shared" si="206"/>
        <v>0.29261219893293799</v>
      </c>
      <c r="BD101" s="173"/>
      <c r="BE101" s="528">
        <f t="shared" si="207"/>
        <v>0.7823603465449791</v>
      </c>
      <c r="BF101" s="528">
        <f t="shared" si="208"/>
        <v>1.4260756325518191</v>
      </c>
      <c r="BG101" s="528">
        <f t="shared" si="209"/>
        <v>6.3859953668904346E-2</v>
      </c>
      <c r="BH101" s="528">
        <f t="shared" si="210"/>
        <v>2.3999773326843606E-2</v>
      </c>
      <c r="BI101">
        <f t="shared" si="211"/>
        <v>2.5793871931466771E-2</v>
      </c>
      <c r="BJ101" s="460">
        <f t="shared" si="279"/>
        <v>89.653825600371121</v>
      </c>
      <c r="BK101">
        <f t="shared" si="212"/>
        <v>3.0016453539003289</v>
      </c>
      <c r="BL101" s="460">
        <f t="shared" si="280"/>
        <v>3001.6453539003292</v>
      </c>
      <c r="BM101" s="173">
        <f t="shared" si="213"/>
        <v>5.9639999999999995</v>
      </c>
      <c r="BN101" s="173">
        <f t="shared" si="214"/>
        <v>0.1065</v>
      </c>
      <c r="BO101" s="528"/>
      <c r="BQ101" s="460">
        <f t="shared" si="281"/>
        <v>6070.4999999999991</v>
      </c>
      <c r="BR101" s="528">
        <f t="shared" si="215"/>
        <v>1.1735405198174687</v>
      </c>
      <c r="BS101" s="528">
        <f t="shared" si="216"/>
        <v>4.2351342702732193</v>
      </c>
      <c r="BT101" s="528">
        <f t="shared" si="217"/>
        <v>4.281094948218464E-4</v>
      </c>
      <c r="BU101" s="528">
        <f t="shared" si="218"/>
        <v>1.7290000402652836</v>
      </c>
      <c r="BV101" s="528">
        <f>(BU101+(BR101+BS101+BT101)*(1+Ltc*(Ta-25)))/(1-(BR101+BS101+BT101)*Ltc*ThetaCa)</f>
        <v>14.871686043889603</v>
      </c>
      <c r="BW101" s="625">
        <f t="shared" si="220"/>
        <v>2.4103240504625475E-2</v>
      </c>
      <c r="BX101" s="460">
        <f t="shared" si="282"/>
        <v>14895.78928439423</v>
      </c>
      <c r="BY101" s="173">
        <f t="shared" si="283"/>
        <v>23.967934638294558</v>
      </c>
      <c r="BZ101" s="5">
        <f t="shared" si="284"/>
        <v>145.91999999999999</v>
      </c>
      <c r="CA101" s="173">
        <f t="shared" si="285"/>
        <v>0.85891914755851095</v>
      </c>
      <c r="CB101" s="5">
        <f t="shared" si="286"/>
        <v>85.89191475585109</v>
      </c>
      <c r="CC101">
        <f t="shared" si="287"/>
        <v>96</v>
      </c>
      <c r="CE101" s="562">
        <f t="shared" si="221"/>
        <v>-50</v>
      </c>
      <c r="CF101">
        <f t="shared" si="222"/>
        <v>-50</v>
      </c>
      <c r="CG101" s="173">
        <f t="shared" si="223"/>
        <v>0.78697421981004068</v>
      </c>
      <c r="CH101" s="173">
        <f t="shared" si="224"/>
        <v>9.2345221451934023E-2</v>
      </c>
      <c r="CI101" s="170">
        <v>96</v>
      </c>
      <c r="CJ101" s="217">
        <f t="shared" si="309"/>
        <v>9.6</v>
      </c>
      <c r="CK101" s="217">
        <f t="shared" si="288"/>
        <v>0.24</v>
      </c>
      <c r="CL101" s="217">
        <f t="shared" si="225"/>
        <v>144</v>
      </c>
      <c r="CM101" s="217">
        <f t="shared" si="310"/>
        <v>1.92</v>
      </c>
      <c r="CN101" s="541">
        <f t="shared" si="289"/>
        <v>58</v>
      </c>
      <c r="CO101" s="443">
        <f t="shared" si="226"/>
        <v>15.7</v>
      </c>
      <c r="CP101" s="443">
        <f t="shared" si="227"/>
        <v>73.7</v>
      </c>
      <c r="CQ101" s="443"/>
      <c r="CR101" s="217">
        <f t="shared" si="228"/>
        <v>0.2098092643051771</v>
      </c>
      <c r="CS101" s="172">
        <f t="shared" si="290"/>
        <v>300.22049333142121</v>
      </c>
      <c r="CT101" s="172">
        <f t="shared" si="229"/>
        <v>4.0563124432334243</v>
      </c>
      <c r="CU101" s="217">
        <f t="shared" si="230"/>
        <v>20.014699555428081</v>
      </c>
      <c r="CV101" s="217">
        <f t="shared" si="231"/>
        <v>37.527561666427651</v>
      </c>
      <c r="CW101" s="443">
        <f t="shared" si="232"/>
        <v>15</v>
      </c>
      <c r="CX101" s="217">
        <f t="shared" si="233"/>
        <v>23.982373488580382</v>
      </c>
      <c r="CY101" s="217">
        <f t="shared" si="234"/>
        <v>4.9618703769476653</v>
      </c>
      <c r="CZ101" s="217">
        <f t="shared" si="235"/>
        <v>18.330476551781185</v>
      </c>
      <c r="DA101" s="197">
        <f t="shared" si="236"/>
        <v>102.962460425147</v>
      </c>
      <c r="DB101" s="443">
        <f t="shared" si="291"/>
        <v>42.932556477020228</v>
      </c>
      <c r="DD101" s="217">
        <f t="shared" si="237"/>
        <v>10</v>
      </c>
      <c r="DE101" s="173">
        <f t="shared" si="238"/>
        <v>7.6433121019108281</v>
      </c>
      <c r="DF101" s="173">
        <f t="shared" si="239"/>
        <v>3.9348710990502043</v>
      </c>
      <c r="DG101" s="173"/>
      <c r="DH101" s="173">
        <f t="shared" si="240"/>
        <v>7.6433121019108281</v>
      </c>
      <c r="DI101" s="545">
        <f t="shared" si="241"/>
        <v>251.2</v>
      </c>
      <c r="DJ101" s="528">
        <f t="shared" si="242"/>
        <v>3.9348710990502034</v>
      </c>
      <c r="DL101" s="173">
        <f t="shared" si="243"/>
        <v>8.3358091560276435</v>
      </c>
      <c r="DM101" s="173">
        <f t="shared" si="244"/>
        <v>23.982373488580382</v>
      </c>
      <c r="DN101" s="173">
        <f t="shared" si="245"/>
        <v>11.557313695244726</v>
      </c>
      <c r="DP101" s="545">
        <f t="shared" si="246"/>
        <v>9600</v>
      </c>
      <c r="DQ101" s="460">
        <f t="shared" si="247"/>
        <v>42.932556477020228</v>
      </c>
      <c r="DS101">
        <f t="shared" si="311"/>
        <v>9600</v>
      </c>
      <c r="DT101">
        <f t="shared" si="312"/>
        <v>42.932556477020228</v>
      </c>
      <c r="DV101" s="5">
        <f t="shared" si="293"/>
        <v>23.29234692872885</v>
      </c>
      <c r="DW101" s="5">
        <f t="shared" si="249"/>
        <v>4.9618703769476653</v>
      </c>
      <c r="DX101" s="5">
        <f t="shared" si="294"/>
        <v>18.330476551781185</v>
      </c>
      <c r="DY101" s="173">
        <f t="shared" si="295"/>
        <v>0.2130257801899593</v>
      </c>
      <c r="EA101" s="5">
        <f t="shared" si="250"/>
        <v>317.55970412465058</v>
      </c>
      <c r="EB101" s="5">
        <f t="shared" si="251"/>
        <v>14.885611130842996</v>
      </c>
      <c r="EC101" s="5">
        <f t="shared" si="252"/>
        <v>15.69315471733942</v>
      </c>
      <c r="ED101" s="5"/>
      <c r="EE101" s="173">
        <f t="shared" si="296"/>
        <v>6.3906880253110687</v>
      </c>
      <c r="EF101" s="173">
        <f t="shared" si="253"/>
        <v>12.283207477897081</v>
      </c>
      <c r="EG101" s="173">
        <f t="shared" si="254"/>
        <v>0.30250409004389678</v>
      </c>
      <c r="EH101" s="173"/>
      <c r="EI101" s="528">
        <f t="shared" si="255"/>
        <v>0.81681786873708573</v>
      </c>
      <c r="EJ101" s="528">
        <f t="shared" si="256"/>
        <v>1.5176666666666665</v>
      </c>
      <c r="EK101" s="528">
        <f t="shared" si="257"/>
        <v>5.3665695596275282E-3</v>
      </c>
      <c r="EL101" s="528">
        <f t="shared" si="258"/>
        <v>2.3319633769066605E-2</v>
      </c>
      <c r="EM101">
        <f t="shared" si="259"/>
        <v>2.6099999999999998E-2</v>
      </c>
      <c r="EN101" s="460">
        <f t="shared" si="297"/>
        <v>31.466569559627526</v>
      </c>
      <c r="EO101">
        <f t="shared" si="260"/>
        <v>3.2382846551309039</v>
      </c>
      <c r="EP101" s="460">
        <f t="shared" si="298"/>
        <v>3238.284655130904</v>
      </c>
      <c r="EQ101" s="173">
        <f t="shared" si="261"/>
        <v>5.9639999999999995</v>
      </c>
      <c r="ER101" s="173">
        <f t="shared" si="262"/>
        <v>0.1065</v>
      </c>
      <c r="ES101" s="528"/>
      <c r="EU101" s="460">
        <f t="shared" si="299"/>
        <v>6070.4999999999991</v>
      </c>
      <c r="EV101" s="528">
        <f t="shared" si="263"/>
        <v>1.2252268031056286</v>
      </c>
      <c r="EW101" s="528">
        <f t="shared" si="300"/>
        <v>4.526315578352003</v>
      </c>
      <c r="EX101" s="528">
        <f t="shared" si="264"/>
        <v>4.5754362246643005E-4</v>
      </c>
      <c r="EY101" s="528">
        <f t="shared" si="265"/>
        <v>1.7008549743586521</v>
      </c>
      <c r="EZ101" s="528">
        <f t="shared" si="266"/>
        <v>16.362875636087672</v>
      </c>
      <c r="FA101" s="625">
        <f t="shared" si="267"/>
        <v>2.4692841812190527E-2</v>
      </c>
      <c r="FB101" s="460">
        <f t="shared" si="301"/>
        <v>16387.568477899862</v>
      </c>
      <c r="FC101" s="173">
        <f t="shared" si="302"/>
        <v>25.696353133030765</v>
      </c>
      <c r="FD101" s="5">
        <f t="shared" si="303"/>
        <v>145.91999999999999</v>
      </c>
      <c r="FE101" s="173">
        <f t="shared" si="304"/>
        <v>0.85026862146923798</v>
      </c>
      <c r="FF101" s="5">
        <f t="shared" si="305"/>
        <v>85.026862146923804</v>
      </c>
      <c r="FG101">
        <f t="shared" si="306"/>
        <v>96</v>
      </c>
      <c r="FI101" s="562">
        <f t="shared" si="268"/>
        <v>-50</v>
      </c>
      <c r="FJ101">
        <f t="shared" si="269"/>
        <v>-50</v>
      </c>
      <c r="FL101">
        <f t="shared" si="270"/>
        <v>0.78697421981004068</v>
      </c>
    </row>
    <row r="102" spans="5:169">
      <c r="E102" s="170">
        <v>97</v>
      </c>
      <c r="F102" s="217">
        <f t="shared" si="307"/>
        <v>9.6999999999999993</v>
      </c>
      <c r="G102" s="217">
        <f t="shared" si="271"/>
        <v>0.24249999999999999</v>
      </c>
      <c r="H102" s="217">
        <f t="shared" si="176"/>
        <v>145.5</v>
      </c>
      <c r="I102" s="217">
        <f t="shared" si="308"/>
        <v>1.94</v>
      </c>
      <c r="J102" s="541">
        <f t="shared" si="177"/>
        <v>57.312629105376779</v>
      </c>
      <c r="K102" s="443">
        <f t="shared" si="178"/>
        <v>16.069770689655172</v>
      </c>
      <c r="L102" s="172">
        <f t="shared" si="179"/>
        <v>73.382399795031944</v>
      </c>
      <c r="M102" s="443"/>
      <c r="N102" s="217">
        <f t="shared" si="180"/>
        <v>0.21898671526878999</v>
      </c>
      <c r="O102" s="172">
        <f>N102*J102*Isw_max*0.5*Efficiency*Pout/(Pout+Pout2)</f>
        <v>309.63908859880536</v>
      </c>
      <c r="P102" s="172">
        <f t="shared" si="181"/>
        <v>4.1835681304016372</v>
      </c>
      <c r="Q102" s="217">
        <f t="shared" si="182"/>
        <v>20.642605906587026</v>
      </c>
      <c r="R102" s="217">
        <f t="shared" si="183"/>
        <v>38.70488607485067</v>
      </c>
      <c r="S102" s="443">
        <f t="shared" si="184"/>
        <v>15</v>
      </c>
      <c r="T102" s="217">
        <f t="shared" si="185"/>
        <v>23.495095638348513</v>
      </c>
      <c r="U102" s="217">
        <f t="shared" si="186"/>
        <v>4.9193546354643134</v>
      </c>
      <c r="V102" s="217">
        <f t="shared" si="187"/>
        <v>17.544814615287589</v>
      </c>
      <c r="W102" s="197">
        <f t="shared" si="188"/>
        <v>104.5892032600409</v>
      </c>
      <c r="X102" s="443">
        <f t="shared" si="273"/>
        <v>44.12250848183303</v>
      </c>
      <c r="Z102" s="217">
        <f t="shared" si="189"/>
        <v>10</v>
      </c>
      <c r="AA102" s="173">
        <f t="shared" si="190"/>
        <v>7.4674369857218528</v>
      </c>
      <c r="AB102" s="173">
        <f>0.5*AA102*Z102*Nps*W102/1000*(Pout/Pout_total)</f>
        <v>3.9050664236560495</v>
      </c>
      <c r="AC102" s="173"/>
      <c r="AD102" s="173">
        <f t="shared" si="192"/>
        <v>7.4674369857218528</v>
      </c>
      <c r="AE102" s="545">
        <f>MAX(10, F102/(0.5*AD102/1000000*Isw_min*Nps)/1000*Pout_total/Pout)</f>
        <v>259.79462614942526</v>
      </c>
      <c r="AF102" s="528">
        <f t="shared" si="194"/>
        <v>3.9050664236560499</v>
      </c>
      <c r="AH102" s="173">
        <f t="shared" si="195"/>
        <v>8.3791123521244071</v>
      </c>
      <c r="AI102" s="173">
        <f>MAX(IF(F102&gt;AB102,T102,AH102),Isw_min)</f>
        <v>23.495095638348513</v>
      </c>
      <c r="AJ102" s="173">
        <f>IF(F102&gt;AF102, (AI102-Isw_min)/1.08*0.8+1.2, AE102*0.2/350+1)</f>
        <v>11.196367139517417</v>
      </c>
      <c r="AL102" s="545">
        <f t="shared" si="198"/>
        <v>9700</v>
      </c>
      <c r="AM102" s="460">
        <f t="shared" si="199"/>
        <v>44.12250848183303</v>
      </c>
      <c r="AO102">
        <f t="shared" si="274"/>
        <v>9700</v>
      </c>
      <c r="AP102">
        <f t="shared" si="200"/>
        <v>44.12250848183303</v>
      </c>
      <c r="AR102" s="5">
        <f t="shared" si="275"/>
        <v>22.6641692507519</v>
      </c>
      <c r="AS102" s="5">
        <f t="shared" si="201"/>
        <v>4.9193546354643134</v>
      </c>
      <c r="AT102" s="5">
        <f t="shared" si="276"/>
        <v>17.744814615287588</v>
      </c>
      <c r="AU102" s="173">
        <f t="shared" si="277"/>
        <v>0.21705426662841878</v>
      </c>
      <c r="AW102" s="5">
        <f t="shared" si="202"/>
        <v>318.11826642669223</v>
      </c>
      <c r="AX102" s="5">
        <f t="shared" si="203"/>
        <v>14.9117937387512</v>
      </c>
      <c r="AY102" s="5">
        <f t="shared" si="204"/>
        <v>15.534101217432987</v>
      </c>
      <c r="AZ102" s="5"/>
      <c r="BA102" s="173">
        <f t="shared" si="278"/>
        <v>6.3197624394457161</v>
      </c>
      <c r="BB102" s="173">
        <f t="shared" si="205"/>
        <v>12.002795885154658</v>
      </c>
      <c r="BC102" s="173">
        <f t="shared" si="206"/>
        <v>0.29559826728929905</v>
      </c>
      <c r="BD102" s="173"/>
      <c r="BE102" s="528">
        <f t="shared" si="207"/>
        <v>0.79878794582057733</v>
      </c>
      <c r="BF102" s="528">
        <f t="shared" si="208"/>
        <v>1.4263647408717088</v>
      </c>
      <c r="BG102" s="528">
        <f t="shared" si="209"/>
        <v>6.3219424095453433E-2</v>
      </c>
      <c r="BH102" s="528">
        <f t="shared" si="210"/>
        <v>2.3759867569376071E-2</v>
      </c>
      <c r="BI102">
        <f t="shared" si="211"/>
        <v>2.579068309741955E-2</v>
      </c>
      <c r="BJ102" s="460">
        <f t="shared" si="279"/>
        <v>89.010107192872979</v>
      </c>
      <c r="BK102">
        <f t="shared" si="212"/>
        <v>3.0419168263973373</v>
      </c>
      <c r="BL102" s="460">
        <f t="shared" si="280"/>
        <v>3041.9168263973374</v>
      </c>
      <c r="BM102" s="173">
        <f t="shared" si="213"/>
        <v>6.0261249999999986</v>
      </c>
      <c r="BN102" s="173">
        <f t="shared" si="214"/>
        <v>0.10760937499999999</v>
      </c>
      <c r="BO102" s="528"/>
      <c r="BQ102" s="460">
        <f t="shared" si="281"/>
        <v>6133.7343749999982</v>
      </c>
      <c r="BR102" s="528">
        <f t="shared" si="215"/>
        <v>1.198181918730866</v>
      </c>
      <c r="BS102" s="528">
        <f t="shared" si="216"/>
        <v>4.3220132718205679</v>
      </c>
      <c r="BT102" s="528">
        <f t="shared" si="217"/>
        <v>4.3689167812217946E-4</v>
      </c>
      <c r="BU102" s="528">
        <f t="shared" si="218"/>
        <v>1.7300694426277134</v>
      </c>
      <c r="BV102" s="528">
        <f>(BU102+(BR102+BS102+BT102)*(1+Ltc*(Ta-25)))/(1-(BR102+BS102+BT102)*Ltc*ThetaCa)</f>
        <v>15.358936019760385</v>
      </c>
      <c r="BW102" s="625">
        <f t="shared" si="220"/>
        <v>2.4356485911647952E-2</v>
      </c>
      <c r="BX102" s="460">
        <f t="shared" si="282"/>
        <v>15383.292505672032</v>
      </c>
      <c r="BY102" s="173">
        <f t="shared" si="283"/>
        <v>24.558943707069371</v>
      </c>
      <c r="BZ102" s="5">
        <f t="shared" si="284"/>
        <v>147.44</v>
      </c>
      <c r="CA102" s="173">
        <f t="shared" si="285"/>
        <v>0.85721456668422569</v>
      </c>
      <c r="CB102" s="5">
        <f t="shared" si="286"/>
        <v>85.721456668422576</v>
      </c>
      <c r="CC102">
        <f t="shared" si="287"/>
        <v>97</v>
      </c>
      <c r="CE102" s="562">
        <f t="shared" si="221"/>
        <v>-50</v>
      </c>
      <c r="CF102">
        <f t="shared" si="222"/>
        <v>-50</v>
      </c>
      <c r="CG102" s="173">
        <f t="shared" si="223"/>
        <v>0.78697421981004068</v>
      </c>
      <c r="CH102" s="173">
        <f t="shared" si="224"/>
        <v>9.2345221451934023E-2</v>
      </c>
      <c r="CI102" s="170">
        <v>97</v>
      </c>
      <c r="CJ102" s="217">
        <f t="shared" si="309"/>
        <v>9.6999999999999993</v>
      </c>
      <c r="CK102" s="217">
        <f t="shared" si="288"/>
        <v>0.24249999999999999</v>
      </c>
      <c r="CL102" s="217">
        <f t="shared" si="225"/>
        <v>145.5</v>
      </c>
      <c r="CM102" s="217">
        <f t="shared" si="310"/>
        <v>1.94</v>
      </c>
      <c r="CN102" s="541">
        <f t="shared" si="289"/>
        <v>58</v>
      </c>
      <c r="CO102" s="443">
        <f t="shared" si="226"/>
        <v>15.7</v>
      </c>
      <c r="CP102" s="443">
        <f t="shared" si="227"/>
        <v>73.7</v>
      </c>
      <c r="CQ102" s="443"/>
      <c r="CR102" s="217">
        <f t="shared" si="228"/>
        <v>0.2098092643051771</v>
      </c>
      <c r="CS102" s="172">
        <f t="shared" si="290"/>
        <v>300.22049333142121</v>
      </c>
      <c r="CT102" s="172">
        <f t="shared" si="229"/>
        <v>4.0563124432334243</v>
      </c>
      <c r="CU102" s="217">
        <f t="shared" si="230"/>
        <v>20.014699555428081</v>
      </c>
      <c r="CV102" s="217">
        <f t="shared" si="231"/>
        <v>37.527561666427651</v>
      </c>
      <c r="CW102" s="443">
        <f t="shared" si="232"/>
        <v>15</v>
      </c>
      <c r="CX102" s="217">
        <f t="shared" si="233"/>
        <v>24.23218987908643</v>
      </c>
      <c r="CY102" s="217">
        <f t="shared" si="234"/>
        <v>5.0135565267075375</v>
      </c>
      <c r="CZ102" s="217">
        <f t="shared" si="235"/>
        <v>18.521419015862239</v>
      </c>
      <c r="DA102" s="197">
        <f t="shared" si="236"/>
        <v>102.962460425147</v>
      </c>
      <c r="DB102" s="443">
        <f t="shared" si="291"/>
        <v>42.489952801999401</v>
      </c>
      <c r="DD102" s="217">
        <f t="shared" si="237"/>
        <v>10</v>
      </c>
      <c r="DE102" s="173">
        <f t="shared" si="238"/>
        <v>7.6433121019108281</v>
      </c>
      <c r="DF102" s="173">
        <f t="shared" si="239"/>
        <v>3.9348710990502043</v>
      </c>
      <c r="DG102" s="173"/>
      <c r="DH102" s="173">
        <f t="shared" si="240"/>
        <v>7.6433121019108281</v>
      </c>
      <c r="DI102" s="545">
        <f t="shared" si="241"/>
        <v>253.81666666666672</v>
      </c>
      <c r="DJ102" s="528">
        <f t="shared" si="242"/>
        <v>3.9348710990502034</v>
      </c>
      <c r="DL102" s="173">
        <f t="shared" si="243"/>
        <v>8.3791123521244071</v>
      </c>
      <c r="DM102" s="173">
        <f t="shared" si="244"/>
        <v>24.23218987908643</v>
      </c>
      <c r="DN102" s="173">
        <f t="shared" si="245"/>
        <v>11.742362873397354</v>
      </c>
      <c r="DP102" s="545">
        <f t="shared" si="246"/>
        <v>9700</v>
      </c>
      <c r="DQ102" s="460">
        <f t="shared" si="247"/>
        <v>42.489952801999401</v>
      </c>
      <c r="DS102">
        <f t="shared" si="311"/>
        <v>9700</v>
      </c>
      <c r="DT102">
        <f t="shared" si="312"/>
        <v>42.489952801999401</v>
      </c>
      <c r="DV102" s="5">
        <f t="shared" si="293"/>
        <v>23.534975542569779</v>
      </c>
      <c r="DW102" s="5">
        <f t="shared" si="249"/>
        <v>5.0135565267075375</v>
      </c>
      <c r="DX102" s="5">
        <f t="shared" si="294"/>
        <v>18.521419015862243</v>
      </c>
      <c r="DY102" s="173">
        <f t="shared" si="295"/>
        <v>0.2130257801899593</v>
      </c>
      <c r="EA102" s="5">
        <f t="shared" si="250"/>
        <v>324.20998872708742</v>
      </c>
      <c r="EB102" s="5">
        <f t="shared" si="251"/>
        <v>15.197343221582221</v>
      </c>
      <c r="EC102" s="5">
        <f t="shared" si="252"/>
        <v>16.021798256884402</v>
      </c>
      <c r="ED102" s="5"/>
      <c r="EE102" s="173">
        <f t="shared" si="296"/>
        <v>6.4572576922413925</v>
      </c>
      <c r="EF102" s="173">
        <f t="shared" si="253"/>
        <v>12.411157555791844</v>
      </c>
      <c r="EG102" s="173">
        <f t="shared" si="254"/>
        <v>0.30565517431518741</v>
      </c>
      <c r="EH102" s="173"/>
      <c r="EI102" s="528">
        <f t="shared" si="255"/>
        <v>0.83392353808021269</v>
      </c>
      <c r="EJ102" s="528">
        <f t="shared" si="256"/>
        <v>1.5176666666666669</v>
      </c>
      <c r="EK102" s="528">
        <f t="shared" si="257"/>
        <v>5.3112441002499252E-3</v>
      </c>
      <c r="EL102" s="528">
        <f t="shared" si="258"/>
        <v>2.3079225173509212E-2</v>
      </c>
      <c r="EM102">
        <f t="shared" si="259"/>
        <v>2.6099999999999998E-2</v>
      </c>
      <c r="EN102" s="460">
        <f t="shared" si="297"/>
        <v>31.411244100249924</v>
      </c>
      <c r="EO102">
        <f t="shared" si="260"/>
        <v>3.2814216854787919</v>
      </c>
      <c r="EP102" s="460">
        <f t="shared" si="298"/>
        <v>3281.4216854787919</v>
      </c>
      <c r="EQ102" s="173">
        <f t="shared" si="261"/>
        <v>6.0261249999999986</v>
      </c>
      <c r="ER102" s="173">
        <f t="shared" si="262"/>
        <v>0.10760937499999999</v>
      </c>
      <c r="ES102" s="528"/>
      <c r="EU102" s="460">
        <f t="shared" si="299"/>
        <v>6133.7343749999982</v>
      </c>
      <c r="EV102" s="528">
        <f t="shared" si="263"/>
        <v>1.250885307120319</v>
      </c>
      <c r="EW102" s="528">
        <f t="shared" si="300"/>
        <v>4.6211049562406687</v>
      </c>
      <c r="EX102" s="528">
        <f t="shared" si="264"/>
        <v>4.6712542792823802E-4</v>
      </c>
      <c r="EY102" s="528">
        <f t="shared" si="265"/>
        <v>1.7008549743586521</v>
      </c>
      <c r="EZ102" s="528">
        <f t="shared" si="266"/>
        <v>16.941992423522596</v>
      </c>
      <c r="FA102" s="625">
        <f t="shared" si="267"/>
        <v>2.4950058914400844E-2</v>
      </c>
      <c r="FB102" s="460">
        <f t="shared" si="301"/>
        <v>16966.942482436996</v>
      </c>
      <c r="FC102" s="173">
        <f t="shared" si="302"/>
        <v>26.382098542915784</v>
      </c>
      <c r="FD102" s="5">
        <f t="shared" si="303"/>
        <v>147.44</v>
      </c>
      <c r="FE102" s="173">
        <f t="shared" si="304"/>
        <v>0.8482235644140369</v>
      </c>
      <c r="FF102" s="5">
        <f t="shared" si="305"/>
        <v>84.822356441403684</v>
      </c>
      <c r="FG102">
        <f t="shared" si="306"/>
        <v>97</v>
      </c>
      <c r="FI102" s="562">
        <f t="shared" si="268"/>
        <v>-50</v>
      </c>
      <c r="FJ102">
        <f t="shared" si="269"/>
        <v>-50</v>
      </c>
      <c r="FL102">
        <f t="shared" si="270"/>
        <v>0.78697421981004068</v>
      </c>
    </row>
    <row r="103" spans="5:169">
      <c r="E103" s="170">
        <v>98</v>
      </c>
      <c r="F103" s="217">
        <f t="shared" si="307"/>
        <v>9.8000000000000007</v>
      </c>
      <c r="G103" s="217">
        <f t="shared" si="271"/>
        <v>0.245</v>
      </c>
      <c r="H103" s="217">
        <f t="shared" si="176"/>
        <v>147</v>
      </c>
      <c r="I103" s="217">
        <f t="shared" si="308"/>
        <v>1.96</v>
      </c>
      <c r="J103" s="541">
        <f t="shared" si="177"/>
        <v>57.305542807494064</v>
      </c>
      <c r="K103" s="443">
        <f t="shared" si="178"/>
        <v>16.073582758620688</v>
      </c>
      <c r="L103" s="172">
        <f t="shared" si="179"/>
        <v>73.379125566114752</v>
      </c>
      <c r="M103" s="443"/>
      <c r="N103" s="217">
        <f t="shared" si="180"/>
        <v>0.21904843693099552</v>
      </c>
      <c r="O103" s="172">
        <f>N103*J103*Isw_max*0.5*Efficiency*Pout/(Pout+Pout2)</f>
        <v>309.68806528282465</v>
      </c>
      <c r="P103" s="172">
        <f t="shared" si="181"/>
        <v>4.1842298598212757</v>
      </c>
      <c r="Q103" s="217">
        <f t="shared" si="182"/>
        <v>20.645871018854976</v>
      </c>
      <c r="R103" s="217">
        <f t="shared" si="183"/>
        <v>38.711008160353082</v>
      </c>
      <c r="S103" s="443">
        <f t="shared" si="184"/>
        <v>15</v>
      </c>
      <c r="T103" s="217">
        <f t="shared" si="185"/>
        <v>23.733559100146671</v>
      </c>
      <c r="U103" s="217">
        <f t="shared" si="186"/>
        <v>4.969898115414332</v>
      </c>
      <c r="V103" s="217">
        <f t="shared" si="187"/>
        <v>17.718682479113927</v>
      </c>
      <c r="W103" s="197">
        <f t="shared" si="188"/>
        <v>104.6057464955319</v>
      </c>
      <c r="X103" s="443">
        <f t="shared" si="273"/>
        <v>43.689908855207037</v>
      </c>
      <c r="Z103" s="217">
        <f t="shared" si="189"/>
        <v>10</v>
      </c>
      <c r="AA103" s="173">
        <f t="shared" si="190"/>
        <v>7.46566598138432</v>
      </c>
      <c r="AB103" s="173">
        <f>0.5*AA103*Z103*Nps*W103/1000*(Pout/Pout_total)</f>
        <v>3.9047578153450231</v>
      </c>
      <c r="AC103" s="173"/>
      <c r="AD103" s="173">
        <f t="shared" si="192"/>
        <v>7.46566598138432</v>
      </c>
      <c r="AE103" s="545">
        <f>MAX(10, F103/(0.5*AD103/1000000*Isw_min*Nps)/1000*Pout_total/Pout)</f>
        <v>262.53518505747127</v>
      </c>
      <c r="AF103" s="528">
        <f t="shared" si="194"/>
        <v>3.9047578153450226</v>
      </c>
      <c r="AH103" s="173">
        <f t="shared" si="195"/>
        <v>8.4221929052553364</v>
      </c>
      <c r="AI103" s="173">
        <f>MAX(IF(F103&gt;AB103,T103,AH103),Isw_min)</f>
        <v>23.733559100146671</v>
      </c>
      <c r="AJ103" s="173">
        <f>IF(F103&gt;AF103, (AI103-Isw_min)/1.08*0.8+1.2, AE103*0.2/350+1)</f>
        <v>11.373006740849386</v>
      </c>
      <c r="AL103" s="545">
        <f t="shared" si="198"/>
        <v>9800</v>
      </c>
      <c r="AM103" s="460">
        <f t="shared" si="199"/>
        <v>43.689908855207037</v>
      </c>
      <c r="AO103">
        <f t="shared" si="274"/>
        <v>9800</v>
      </c>
      <c r="AP103">
        <f t="shared" si="200"/>
        <v>43.689908855207037</v>
      </c>
      <c r="AR103" s="5">
        <f t="shared" si="275"/>
        <v>22.888580594528253</v>
      </c>
      <c r="AS103" s="5">
        <f t="shared" si="201"/>
        <v>4.969898115414332</v>
      </c>
      <c r="AT103" s="5">
        <f t="shared" si="276"/>
        <v>17.918682479113922</v>
      </c>
      <c r="AU103" s="173">
        <f t="shared" si="277"/>
        <v>0.21713439568211743</v>
      </c>
      <c r="AW103" s="5">
        <f t="shared" si="202"/>
        <v>324.70001020706974</v>
      </c>
      <c r="AX103" s="5">
        <f t="shared" si="203"/>
        <v>15.22031297845639</v>
      </c>
      <c r="AY103" s="5">
        <f t="shared" si="204"/>
        <v>15.84998224450073</v>
      </c>
      <c r="AZ103" s="5"/>
      <c r="BA103" s="173">
        <f t="shared" si="278"/>
        <v>6.3850831168172206</v>
      </c>
      <c r="BB103" s="173">
        <f t="shared" si="205"/>
        <v>12.123997805099355</v>
      </c>
      <c r="BC103" s="173">
        <f t="shared" si="206"/>
        <v>0.29858316163146653</v>
      </c>
      <c r="BD103" s="173"/>
      <c r="BE103" s="528">
        <f t="shared" si="207"/>
        <v>0.81538572817328625</v>
      </c>
      <c r="BF103" s="528">
        <f t="shared" si="208"/>
        <v>1.4266512230968158</v>
      </c>
      <c r="BG103" s="528">
        <f t="shared" si="209"/>
        <v>6.2591848553939525E-2</v>
      </c>
      <c r="BH103" s="528">
        <f t="shared" si="210"/>
        <v>2.3524814247917379E-2</v>
      </c>
      <c r="BI103">
        <f t="shared" si="211"/>
        <v>2.5787494263372329E-2</v>
      </c>
      <c r="BJ103" s="460">
        <f t="shared" si="279"/>
        <v>88.379342817311851</v>
      </c>
      <c r="BK103">
        <f t="shared" si="212"/>
        <v>3.0830036192036534</v>
      </c>
      <c r="BL103" s="460">
        <f t="shared" si="280"/>
        <v>3083.0036192036532</v>
      </c>
      <c r="BM103" s="173">
        <f t="shared" si="213"/>
        <v>6.0882500000000004</v>
      </c>
      <c r="BN103" s="173">
        <f t="shared" si="214"/>
        <v>0.10871874999999999</v>
      </c>
      <c r="BO103" s="528"/>
      <c r="BQ103" s="460">
        <f t="shared" si="281"/>
        <v>6196.9687500000009</v>
      </c>
      <c r="BR103" s="528">
        <f t="shared" si="215"/>
        <v>1.2230785922599294</v>
      </c>
      <c r="BS103" s="528">
        <f t="shared" si="216"/>
        <v>4.4097396833416189</v>
      </c>
      <c r="BT103" s="528">
        <f t="shared" si="217"/>
        <v>4.4575952204921234E-4</v>
      </c>
      <c r="BU103" s="528">
        <f t="shared" si="218"/>
        <v>1.7311313708208351</v>
      </c>
      <c r="BV103" s="528">
        <f>(BU103+(BR103+BS103+BT103)*(1+Ltc*(Ta-25)))/(1-(BR103+BS103+BT103)*Ltc*ThetaCa)</f>
        <v>15.86703424115672</v>
      </c>
      <c r="BW103" s="625">
        <f t="shared" si="220"/>
        <v>2.4609731705897614E-2</v>
      </c>
      <c r="BX103" s="460">
        <f t="shared" si="282"/>
        <v>15891.643972862617</v>
      </c>
      <c r="BY103" s="173">
        <f t="shared" si="283"/>
        <v>25.171616342066269</v>
      </c>
      <c r="BZ103" s="5">
        <f t="shared" si="284"/>
        <v>148.96</v>
      </c>
      <c r="CA103" s="173">
        <f t="shared" si="285"/>
        <v>0.8554448820332613</v>
      </c>
      <c r="CB103" s="5">
        <f t="shared" si="286"/>
        <v>85.544488203326125</v>
      </c>
      <c r="CC103">
        <f t="shared" si="287"/>
        <v>98.000000000000014</v>
      </c>
      <c r="CE103" s="562">
        <f t="shared" si="221"/>
        <v>-50</v>
      </c>
      <c r="CF103">
        <f t="shared" si="222"/>
        <v>-50</v>
      </c>
      <c r="CG103" s="173">
        <f t="shared" si="223"/>
        <v>0.78697421981004068</v>
      </c>
      <c r="CH103" s="173">
        <f t="shared" si="224"/>
        <v>9.2345221451934009E-2</v>
      </c>
      <c r="CI103" s="170">
        <v>98</v>
      </c>
      <c r="CJ103" s="217">
        <f t="shared" si="309"/>
        <v>9.8000000000000007</v>
      </c>
      <c r="CK103" s="217">
        <f t="shared" si="288"/>
        <v>0.245</v>
      </c>
      <c r="CL103" s="217">
        <f t="shared" si="225"/>
        <v>147</v>
      </c>
      <c r="CM103" s="217">
        <f t="shared" si="310"/>
        <v>1.96</v>
      </c>
      <c r="CN103" s="541">
        <f t="shared" si="289"/>
        <v>58</v>
      </c>
      <c r="CO103" s="443">
        <f t="shared" si="226"/>
        <v>15.7</v>
      </c>
      <c r="CP103" s="443">
        <f t="shared" si="227"/>
        <v>73.7</v>
      </c>
      <c r="CQ103" s="443"/>
      <c r="CR103" s="217">
        <f t="shared" si="228"/>
        <v>0.2098092643051771</v>
      </c>
      <c r="CS103" s="172">
        <f t="shared" si="290"/>
        <v>300.22049333142121</v>
      </c>
      <c r="CT103" s="172">
        <f t="shared" si="229"/>
        <v>4.0563124432334243</v>
      </c>
      <c r="CU103" s="217">
        <f t="shared" si="230"/>
        <v>20.014699555428081</v>
      </c>
      <c r="CV103" s="217">
        <f t="shared" si="231"/>
        <v>37.527561666427651</v>
      </c>
      <c r="CW103" s="443">
        <f t="shared" si="232"/>
        <v>15</v>
      </c>
      <c r="CX103" s="217">
        <f t="shared" si="233"/>
        <v>24.482006269592478</v>
      </c>
      <c r="CY103" s="217">
        <f t="shared" si="234"/>
        <v>5.0652426764674097</v>
      </c>
      <c r="CZ103" s="217">
        <f t="shared" si="235"/>
        <v>18.712361479943297</v>
      </c>
      <c r="DA103" s="197">
        <f t="shared" si="236"/>
        <v>102.962460425147</v>
      </c>
      <c r="DB103" s="443">
        <f t="shared" si="291"/>
        <v>42.056381855040215</v>
      </c>
      <c r="DD103" s="217">
        <f t="shared" si="237"/>
        <v>10</v>
      </c>
      <c r="DE103" s="173">
        <f t="shared" si="238"/>
        <v>7.6433121019108281</v>
      </c>
      <c r="DF103" s="173">
        <f t="shared" si="239"/>
        <v>3.9348710990502043</v>
      </c>
      <c r="DG103" s="173"/>
      <c r="DH103" s="173">
        <f t="shared" si="240"/>
        <v>7.6433121019108281</v>
      </c>
      <c r="DI103" s="545">
        <f t="shared" si="241"/>
        <v>256.43333333333339</v>
      </c>
      <c r="DJ103" s="528">
        <f t="shared" si="242"/>
        <v>3.9348710990502034</v>
      </c>
      <c r="DL103" s="173">
        <f t="shared" si="243"/>
        <v>8.4221929052553364</v>
      </c>
      <c r="DM103" s="173">
        <f t="shared" si="244"/>
        <v>24.482006269592478</v>
      </c>
      <c r="DN103" s="173">
        <f t="shared" si="245"/>
        <v>11.927412051549982</v>
      </c>
      <c r="DP103" s="545">
        <f t="shared" si="246"/>
        <v>9800</v>
      </c>
      <c r="DQ103" s="460">
        <f t="shared" si="247"/>
        <v>42.056381855040215</v>
      </c>
      <c r="DS103">
        <f t="shared" si="311"/>
        <v>9800</v>
      </c>
      <c r="DT103">
        <f t="shared" si="312"/>
        <v>42.056381855040215</v>
      </c>
      <c r="DV103" s="5">
        <f t="shared" si="293"/>
        <v>23.777604156410703</v>
      </c>
      <c r="DW103" s="5">
        <f t="shared" si="249"/>
        <v>5.0652426764674097</v>
      </c>
      <c r="DX103" s="5">
        <f t="shared" si="294"/>
        <v>18.712361479943294</v>
      </c>
      <c r="DY103" s="173">
        <f t="shared" si="295"/>
        <v>0.21302578018995932</v>
      </c>
      <c r="EA103" s="5">
        <f t="shared" si="250"/>
        <v>330.92918819587078</v>
      </c>
      <c r="EB103" s="5">
        <f t="shared" si="251"/>
        <v>15.512305696681443</v>
      </c>
      <c r="EC103" s="5">
        <f t="shared" si="252"/>
        <v>16.353847428963519</v>
      </c>
      <c r="ED103" s="5"/>
      <c r="EE103" s="173">
        <f t="shared" si="296"/>
        <v>6.5238273591717171</v>
      </c>
      <c r="EF103" s="173">
        <f t="shared" si="253"/>
        <v>12.539107633686607</v>
      </c>
      <c r="EG103" s="173">
        <f t="shared" si="254"/>
        <v>0.30880625858647803</v>
      </c>
      <c r="EH103" s="173"/>
      <c r="EI103" s="528">
        <f t="shared" si="255"/>
        <v>0.85120646824554846</v>
      </c>
      <c r="EJ103" s="528">
        <f t="shared" si="256"/>
        <v>1.5176666666666669</v>
      </c>
      <c r="EK103" s="528">
        <f t="shared" si="257"/>
        <v>5.257047731880027E-3</v>
      </c>
      <c r="EL103" s="528">
        <f t="shared" si="258"/>
        <v>2.284372287582034E-2</v>
      </c>
      <c r="EM103">
        <f t="shared" si="259"/>
        <v>2.6099999999999998E-2</v>
      </c>
      <c r="EN103" s="460">
        <f t="shared" si="297"/>
        <v>31.357047731880026</v>
      </c>
      <c r="EO103">
        <f t="shared" si="260"/>
        <v>3.3254635342399248</v>
      </c>
      <c r="EP103" s="460">
        <f t="shared" si="298"/>
        <v>3325.4635342399247</v>
      </c>
      <c r="EQ103" s="173">
        <f t="shared" si="261"/>
        <v>6.0882500000000004</v>
      </c>
      <c r="ER103" s="173">
        <f t="shared" si="262"/>
        <v>0.10871874999999999</v>
      </c>
      <c r="ES103" s="528"/>
      <c r="EU103" s="460">
        <f t="shared" si="299"/>
        <v>6196.9687500000009</v>
      </c>
      <c r="EV103" s="528">
        <f t="shared" si="263"/>
        <v>1.2768097023683225</v>
      </c>
      <c r="EW103" s="528">
        <f t="shared" si="300"/>
        <v>4.7168766074753314</v>
      </c>
      <c r="EX103" s="528">
        <f t="shared" si="264"/>
        <v>4.7680652671089368E-4</v>
      </c>
      <c r="EY103" s="528">
        <f t="shared" si="265"/>
        <v>1.7008549743586521</v>
      </c>
      <c r="EZ103" s="528">
        <f t="shared" si="266"/>
        <v>17.548889946888394</v>
      </c>
      <c r="FA103" s="625">
        <f t="shared" si="267"/>
        <v>2.5207276016611158E-2</v>
      </c>
      <c r="FB103" s="460">
        <f t="shared" si="301"/>
        <v>17574.097222905006</v>
      </c>
      <c r="FC103" s="173">
        <f t="shared" si="302"/>
        <v>27.096529507144933</v>
      </c>
      <c r="FD103" s="5">
        <f t="shared" si="303"/>
        <v>148.96</v>
      </c>
      <c r="FE103" s="173">
        <f t="shared" si="304"/>
        <v>0.84609187978997813</v>
      </c>
      <c r="FF103" s="5">
        <f t="shared" si="305"/>
        <v>84.609187978997809</v>
      </c>
      <c r="FG103">
        <f t="shared" si="306"/>
        <v>98.000000000000014</v>
      </c>
      <c r="FI103" s="562">
        <f t="shared" si="268"/>
        <v>-50</v>
      </c>
      <c r="FJ103">
        <f t="shared" si="269"/>
        <v>-50</v>
      </c>
      <c r="FL103">
        <f t="shared" si="270"/>
        <v>0.78697421981004068</v>
      </c>
    </row>
    <row r="104" spans="5:169">
      <c r="E104" s="170">
        <v>99</v>
      </c>
      <c r="F104" s="217">
        <f>IF(PLOT_TYPE=1, E104/100*Iout_max, min_I*EXP(O104*rr/100))</f>
        <v>9.9</v>
      </c>
      <c r="G104" s="217">
        <f t="shared" si="271"/>
        <v>0.2475</v>
      </c>
      <c r="H104" s="217">
        <f t="shared" si="176"/>
        <v>148.5</v>
      </c>
      <c r="I104" s="217">
        <f t="shared" si="308"/>
        <v>1.98</v>
      </c>
      <c r="J104" s="541">
        <f t="shared" si="177"/>
        <v>57.298456509611356</v>
      </c>
      <c r="K104" s="443">
        <f t="shared" si="178"/>
        <v>16.077394827586208</v>
      </c>
      <c r="L104" s="172">
        <f t="shared" si="179"/>
        <v>73.37585133719756</v>
      </c>
      <c r="M104" s="443"/>
      <c r="N104" s="217">
        <f t="shared" si="180"/>
        <v>0.21911016410157608</v>
      </c>
      <c r="O104" s="172">
        <f>N104*J104*Isw_max*0.5*Efficiency*Pout/(Pout+Pout2)</f>
        <v>309.73702817240047</v>
      </c>
      <c r="P104" s="172">
        <f t="shared" si="181"/>
        <v>4.1848914028626547</v>
      </c>
      <c r="Q104" s="217">
        <f t="shared" si="182"/>
        <v>20.649135211493366</v>
      </c>
      <c r="R104" s="217">
        <f t="shared" si="183"/>
        <v>38.717128521550059</v>
      </c>
      <c r="S104" s="443">
        <f t="shared" si="184"/>
        <v>15</v>
      </c>
      <c r="T104" s="217">
        <f t="shared" si="185"/>
        <v>23.971948216237241</v>
      </c>
      <c r="U104" s="217">
        <f t="shared" si="186"/>
        <v>5.0204385269364753</v>
      </c>
      <c r="V104" s="217">
        <f t="shared" si="187"/>
        <v>17.892412401371342</v>
      </c>
      <c r="W104" s="197">
        <f t="shared" si="188"/>
        <v>104.62228507156635</v>
      </c>
      <c r="X104" s="443">
        <f t="shared" si="273"/>
        <v>43.265973682858601</v>
      </c>
      <c r="Z104" s="217">
        <f t="shared" si="189"/>
        <v>10</v>
      </c>
      <c r="AA104" s="173">
        <f t="shared" si="190"/>
        <v>7.4638958168831824</v>
      </c>
      <c r="AB104" s="173">
        <f>0.5*AA104*Z104*Nps*W104/1000*(Pout/Pout_total)</f>
        <v>3.9044491794921194</v>
      </c>
      <c r="AC104" s="173"/>
      <c r="AD104" s="173">
        <f t="shared" si="192"/>
        <v>7.4638958168831824</v>
      </c>
      <c r="AE104" s="545">
        <f>MAX(10, F104/(0.5*AD104/1000000*Isw_min*Nps)/1000*Pout_total/Pout)</f>
        <v>265.27701465517242</v>
      </c>
      <c r="AF104" s="528">
        <f t="shared" si="194"/>
        <v>3.9044491794921194</v>
      </c>
      <c r="AH104" s="173">
        <f t="shared" si="195"/>
        <v>8.4650542146605794</v>
      </c>
      <c r="AI104" s="173">
        <f>MAX(IF(F104&gt;AB104,T104,AH104),Isw_min)</f>
        <v>23.971948216237241</v>
      </c>
      <c r="AJ104" s="173">
        <f>IF(F104&gt;AF104, (AI104-Isw_min)/1.08*0.8+1.2, AE104*0.2/350+1)</f>
        <v>11.549591271286845</v>
      </c>
      <c r="AL104" s="545">
        <f t="shared" si="198"/>
        <v>9900</v>
      </c>
      <c r="AM104" s="460">
        <f t="shared" si="199"/>
        <v>43.265973682858601</v>
      </c>
      <c r="AO104">
        <f t="shared" si="274"/>
        <v>9900</v>
      </c>
      <c r="AP104">
        <f t="shared" si="200"/>
        <v>43.265973682858601</v>
      </c>
      <c r="AR104" s="5">
        <f t="shared" si="275"/>
        <v>23.112850928307818</v>
      </c>
      <c r="AS104" s="5">
        <f t="shared" si="201"/>
        <v>5.0204385269364753</v>
      </c>
      <c r="AT104" s="5">
        <f t="shared" si="276"/>
        <v>18.092412401371341</v>
      </c>
      <c r="AU104" s="173">
        <f t="shared" si="277"/>
        <v>0.21721416118284292</v>
      </c>
      <c r="AW104" s="5">
        <f t="shared" si="202"/>
        <v>331.34894277780739</v>
      </c>
      <c r="AX104" s="5">
        <f t="shared" si="203"/>
        <v>15.531981692709719</v>
      </c>
      <c r="AY104" s="5">
        <f t="shared" si="204"/>
        <v>16.168957187402551</v>
      </c>
      <c r="AZ104" s="5"/>
      <c r="BA104" s="173">
        <f t="shared" si="278"/>
        <v>6.4504018485433301</v>
      </c>
      <c r="BB104" s="173">
        <f t="shared" si="205"/>
        <v>12.245152091867299</v>
      </c>
      <c r="BC104" s="173">
        <f t="shared" si="206"/>
        <v>0.30156688288990841</v>
      </c>
      <c r="BD104" s="173"/>
      <c r="BE104" s="528">
        <f t="shared" si="207"/>
        <v>0.83215368015382429</v>
      </c>
      <c r="BF104" s="528">
        <f t="shared" si="208"/>
        <v>1.4269351556037162</v>
      </c>
      <c r="BG104" s="528">
        <f t="shared" si="209"/>
        <v>6.1976837785331564E-2</v>
      </c>
      <c r="BH104" s="528">
        <f t="shared" si="210"/>
        <v>2.3294467550363337E-2</v>
      </c>
      <c r="BI104">
        <f t="shared" si="211"/>
        <v>2.5784305429325111E-2</v>
      </c>
      <c r="BJ104" s="460">
        <f t="shared" si="279"/>
        <v>87.76114321465667</v>
      </c>
      <c r="BK104">
        <f t="shared" si="212"/>
        <v>3.1249238476409729</v>
      </c>
      <c r="BL104" s="460">
        <f t="shared" si="280"/>
        <v>3124.9238476409728</v>
      </c>
      <c r="BM104" s="173">
        <f t="shared" si="213"/>
        <v>6.1503749999999995</v>
      </c>
      <c r="BN104" s="173">
        <f t="shared" si="214"/>
        <v>0.109828125</v>
      </c>
      <c r="BO104" s="528"/>
      <c r="BQ104" s="460">
        <f t="shared" si="281"/>
        <v>6260.2031249999991</v>
      </c>
      <c r="BR104" s="528">
        <f t="shared" si="215"/>
        <v>1.2482305202307362</v>
      </c>
      <c r="BS104" s="528">
        <f t="shared" si="216"/>
        <v>4.4983124925888625</v>
      </c>
      <c r="BT104" s="528">
        <f t="shared" si="217"/>
        <v>4.5471292427967869E-4</v>
      </c>
      <c r="BU104" s="528">
        <f t="shared" si="218"/>
        <v>1.7321860469343959</v>
      </c>
      <c r="BV104" s="528">
        <f>(BU104+(BR104+BS104+BT104)*(1+Ltc*(Ta-25)))/(1-(BR104+BS104+BT104)*Ltc*ThetaCa)</f>
        <v>16.397268331722522</v>
      </c>
      <c r="BW104" s="625">
        <f t="shared" si="220"/>
        <v>2.4862977876006775E-2</v>
      </c>
      <c r="BX104" s="460">
        <f t="shared" si="282"/>
        <v>16422.131309598532</v>
      </c>
      <c r="BY104" s="173">
        <f t="shared" si="283"/>
        <v>25.807258282239502</v>
      </c>
      <c r="BZ104" s="5">
        <f t="shared" si="284"/>
        <v>150.47999999999999</v>
      </c>
      <c r="CA104" s="173">
        <f t="shared" si="285"/>
        <v>0.8536067862549569</v>
      </c>
      <c r="CB104" s="5">
        <f t="shared" si="286"/>
        <v>85.360678625495694</v>
      </c>
      <c r="CC104">
        <f t="shared" si="287"/>
        <v>99</v>
      </c>
      <c r="CE104" s="562">
        <f t="shared" si="221"/>
        <v>-50</v>
      </c>
      <c r="CF104">
        <f t="shared" si="222"/>
        <v>-50</v>
      </c>
      <c r="CG104" s="173">
        <f t="shared" si="223"/>
        <v>0.78697421981004068</v>
      </c>
      <c r="CH104" s="173">
        <f t="shared" si="224"/>
        <v>9.2345221451934009E-2</v>
      </c>
      <c r="CI104" s="170">
        <v>99</v>
      </c>
      <c r="CJ104" s="217">
        <f t="shared" si="309"/>
        <v>9.9</v>
      </c>
      <c r="CK104" s="217">
        <f t="shared" si="288"/>
        <v>0.2475</v>
      </c>
      <c r="CL104" s="217">
        <f t="shared" si="225"/>
        <v>148.5</v>
      </c>
      <c r="CM104" s="217">
        <f t="shared" si="310"/>
        <v>1.98</v>
      </c>
      <c r="CN104" s="541">
        <f t="shared" si="289"/>
        <v>58</v>
      </c>
      <c r="CO104" s="443">
        <f t="shared" si="226"/>
        <v>15.7</v>
      </c>
      <c r="CP104" s="443">
        <f t="shared" si="227"/>
        <v>73.7</v>
      </c>
      <c r="CQ104" s="443"/>
      <c r="CR104" s="217">
        <f t="shared" si="228"/>
        <v>0.2098092643051771</v>
      </c>
      <c r="CS104" s="172">
        <f t="shared" si="290"/>
        <v>300.22049333142121</v>
      </c>
      <c r="CT104" s="172">
        <f t="shared" si="229"/>
        <v>4.0563124432334243</v>
      </c>
      <c r="CU104" s="217">
        <f t="shared" si="230"/>
        <v>20.014699555428081</v>
      </c>
      <c r="CV104" s="217">
        <f t="shared" si="231"/>
        <v>37.527561666427651</v>
      </c>
      <c r="CW104" s="443">
        <f t="shared" si="232"/>
        <v>15</v>
      </c>
      <c r="CX104" s="217">
        <f t="shared" si="233"/>
        <v>24.731822660098523</v>
      </c>
      <c r="CY104" s="217">
        <f t="shared" si="234"/>
        <v>5.1169288262272801</v>
      </c>
      <c r="CZ104" s="217">
        <f t="shared" si="235"/>
        <v>18.903303944024348</v>
      </c>
      <c r="DA104" s="197">
        <f t="shared" si="236"/>
        <v>102.962460425147</v>
      </c>
      <c r="DB104" s="443">
        <f t="shared" si="291"/>
        <v>41.631569917110518</v>
      </c>
      <c r="DD104" s="217">
        <f t="shared" si="237"/>
        <v>10</v>
      </c>
      <c r="DE104" s="173">
        <f t="shared" si="238"/>
        <v>7.6433121019108281</v>
      </c>
      <c r="DF104" s="173">
        <f t="shared" si="239"/>
        <v>3.9348710990502043</v>
      </c>
      <c r="DG104" s="173"/>
      <c r="DH104" s="173">
        <f t="shared" si="240"/>
        <v>7.6433121019108281</v>
      </c>
      <c r="DI104" s="545">
        <f t="shared" si="241"/>
        <v>259.05</v>
      </c>
      <c r="DJ104" s="528">
        <f t="shared" si="242"/>
        <v>3.9348710990502034</v>
      </c>
      <c r="DL104" s="173">
        <f t="shared" si="243"/>
        <v>8.4650542146605794</v>
      </c>
      <c r="DM104" s="173">
        <f t="shared" si="244"/>
        <v>24.731822660098523</v>
      </c>
      <c r="DN104" s="173">
        <f t="shared" si="245"/>
        <v>12.112461229702609</v>
      </c>
      <c r="DP104" s="545">
        <f t="shared" si="246"/>
        <v>9900</v>
      </c>
      <c r="DQ104" s="460">
        <f t="shared" si="247"/>
        <v>41.631569917110518</v>
      </c>
      <c r="DS104">
        <f t="shared" si="311"/>
        <v>9900</v>
      </c>
      <c r="DT104">
        <f t="shared" si="312"/>
        <v>41.631569917110518</v>
      </c>
      <c r="DV104" s="5">
        <f t="shared" si="293"/>
        <v>24.020232770251628</v>
      </c>
      <c r="DW104" s="5">
        <f t="shared" si="249"/>
        <v>5.1169288262272801</v>
      </c>
      <c r="DX104" s="5">
        <f t="shared" si="294"/>
        <v>18.903303944024348</v>
      </c>
      <c r="DY104" s="173">
        <f t="shared" si="295"/>
        <v>0.2130257801899593</v>
      </c>
      <c r="EA104" s="5">
        <f t="shared" si="250"/>
        <v>337.71730253100054</v>
      </c>
      <c r="EB104" s="5">
        <f t="shared" si="251"/>
        <v>15.830498556140649</v>
      </c>
      <c r="EC104" s="5">
        <f t="shared" si="252"/>
        <v>16.689302233576786</v>
      </c>
      <c r="ED104" s="5"/>
      <c r="EE104" s="173">
        <f t="shared" si="296"/>
        <v>6.5903970261020408</v>
      </c>
      <c r="EF104" s="173">
        <f t="shared" si="253"/>
        <v>12.667057711581366</v>
      </c>
      <c r="EG104" s="173">
        <f t="shared" si="254"/>
        <v>0.3119573428577686</v>
      </c>
      <c r="EH104" s="173"/>
      <c r="EI104" s="528">
        <f t="shared" si="255"/>
        <v>0.86866665923309239</v>
      </c>
      <c r="EJ104" s="528">
        <f t="shared" si="256"/>
        <v>1.5176666666666665</v>
      </c>
      <c r="EK104" s="528">
        <f t="shared" si="257"/>
        <v>5.2039462396388141E-3</v>
      </c>
      <c r="EL104" s="528">
        <f t="shared" si="258"/>
        <v>2.2612978200307002E-2</v>
      </c>
      <c r="EM104">
        <f t="shared" si="259"/>
        <v>2.6099999999999998E-2</v>
      </c>
      <c r="EN104" s="460">
        <f t="shared" si="297"/>
        <v>31.303946239638815</v>
      </c>
      <c r="EO104">
        <f t="shared" si="260"/>
        <v>3.3704310286174253</v>
      </c>
      <c r="EP104" s="460">
        <f t="shared" si="298"/>
        <v>3370.4310286174255</v>
      </c>
      <c r="EQ104" s="173">
        <f t="shared" si="261"/>
        <v>6.1503749999999995</v>
      </c>
      <c r="ER104" s="173">
        <f t="shared" si="262"/>
        <v>0.109828125</v>
      </c>
      <c r="ES104" s="528"/>
      <c r="EU104" s="460">
        <f t="shared" si="299"/>
        <v>6260.2031249999991</v>
      </c>
      <c r="EV104" s="528">
        <f t="shared" si="263"/>
        <v>1.3029999888496386</v>
      </c>
      <c r="EW104" s="528">
        <f t="shared" si="300"/>
        <v>4.8136305320559885</v>
      </c>
      <c r="EX104" s="528">
        <f t="shared" si="264"/>
        <v>4.8658691881439697E-4</v>
      </c>
      <c r="EY104" s="528">
        <f t="shared" si="265"/>
        <v>1.7008549743586505</v>
      </c>
      <c r="EZ104" s="528">
        <f t="shared" si="266"/>
        <v>18.185513397567334</v>
      </c>
      <c r="FA104" s="625">
        <f t="shared" si="267"/>
        <v>2.5464493118821482E-2</v>
      </c>
      <c r="FB104" s="460">
        <f t="shared" si="301"/>
        <v>18210.977890686157</v>
      </c>
      <c r="FC104" s="173">
        <f t="shared" si="302"/>
        <v>27.841612044303581</v>
      </c>
      <c r="FD104" s="5">
        <f t="shared" si="303"/>
        <v>150.47999999999999</v>
      </c>
      <c r="FE104" s="173">
        <f t="shared" si="304"/>
        <v>0.84386854893737495</v>
      </c>
      <c r="FF104" s="5">
        <f t="shared" si="305"/>
        <v>84.386854893737492</v>
      </c>
      <c r="FG104">
        <f t="shared" si="306"/>
        <v>99</v>
      </c>
      <c r="FI104" s="562">
        <f t="shared" si="268"/>
        <v>-50</v>
      </c>
      <c r="FJ104">
        <f t="shared" si="269"/>
        <v>-50</v>
      </c>
      <c r="FL104">
        <f t="shared" si="270"/>
        <v>0.78697421981004068</v>
      </c>
    </row>
    <row r="105" spans="5:169" ht="13">
      <c r="E105" s="170">
        <v>100</v>
      </c>
      <c r="F105" s="217">
        <f>IF(PLOT_TYPE=1, E105/100*Iout_max, min_I*EXP(O105*rr/100))</f>
        <v>10</v>
      </c>
      <c r="G105" s="217">
        <f t="shared" si="271"/>
        <v>0.25</v>
      </c>
      <c r="H105" s="217">
        <f t="shared" si="176"/>
        <v>150</v>
      </c>
      <c r="I105" s="217">
        <f t="shared" si="308"/>
        <v>2</v>
      </c>
      <c r="J105" s="541">
        <f t="shared" si="177"/>
        <v>57.291370211728641</v>
      </c>
      <c r="K105" s="443">
        <f t="shared" si="178"/>
        <v>16.081206896551723</v>
      </c>
      <c r="L105" s="172">
        <f t="shared" si="179"/>
        <v>73.372577108280367</v>
      </c>
      <c r="M105" s="443"/>
      <c r="N105" s="217">
        <f t="shared" si="180"/>
        <v>0.21917189678126897</v>
      </c>
      <c r="O105" s="172">
        <f>N105*J105*Isw_max*0.5*Efficiency*Pout/(Pout+Pout2)</f>
        <v>309.78597726568563</v>
      </c>
      <c r="P105" s="172">
        <f t="shared" si="181"/>
        <v>4.1855527595008191</v>
      </c>
      <c r="Q105" s="217">
        <f t="shared" si="182"/>
        <v>20.652398484379042</v>
      </c>
      <c r="R105" s="217">
        <f t="shared" si="183"/>
        <v>38.723247158210704</v>
      </c>
      <c r="S105" s="443">
        <f t="shared" si="184"/>
        <v>15</v>
      </c>
      <c r="T105" s="217">
        <f t="shared" si="185"/>
        <v>24.210263053862121</v>
      </c>
      <c r="U105" s="217">
        <f t="shared" si="186"/>
        <v>5.0709758829763478</v>
      </c>
      <c r="V105" s="217">
        <f t="shared" si="187"/>
        <v>18.066004530334226</v>
      </c>
      <c r="W105" s="197">
        <f t="shared" si="188"/>
        <v>104.63881898752049</v>
      </c>
      <c r="X105" s="443">
        <f t="shared" si="273"/>
        <v>42.850445185686318</v>
      </c>
      <c r="Z105" s="217">
        <f t="shared" si="189"/>
        <v>10</v>
      </c>
      <c r="AA105" s="173">
        <f t="shared" si="190"/>
        <v>7.4621264916211896</v>
      </c>
      <c r="AB105" s="173">
        <f>0.5*AA105*Z105*Nps*W105/1000*(Pout/Pout_total)</f>
        <v>3.9041405160936553</v>
      </c>
      <c r="AC105" s="173"/>
      <c r="AD105" s="173">
        <f t="shared" si="192"/>
        <v>7.4621264916211896</v>
      </c>
      <c r="AE105" s="545">
        <f>MAX(10, F105/(0.5*AD105/1000000*Isw_min*Nps)/1000*Pout_total/Pout)</f>
        <v>268.02011494252878</v>
      </c>
      <c r="AF105" s="528">
        <f t="shared" si="194"/>
        <v>3.9041405160936553</v>
      </c>
      <c r="AH105" s="173">
        <f t="shared" si="195"/>
        <v>8.5076995939532551</v>
      </c>
      <c r="AI105" s="173">
        <f>MAX(IF(F105&gt;AB105,T105,AH105),Isw_min)</f>
        <v>24.210263053862121</v>
      </c>
      <c r="AJ105" s="173">
        <f>IF(F105&gt;AF105, (AI105-Isw_min)/1.08*0.8+1.2, AE105*0.2/350+1)</f>
        <v>11.726120780638608</v>
      </c>
      <c r="AL105" s="545">
        <f t="shared" si="198"/>
        <v>10000</v>
      </c>
      <c r="AM105" s="460">
        <f t="shared" si="199"/>
        <v>42.850445185686318</v>
      </c>
      <c r="AO105">
        <f t="shared" si="274"/>
        <v>10000</v>
      </c>
      <c r="AP105" s="3">
        <f t="shared" si="200"/>
        <v>42.850445185686318</v>
      </c>
      <c r="AR105" s="5">
        <f t="shared" si="275"/>
        <v>23.336980413310574</v>
      </c>
      <c r="AS105" s="5">
        <f t="shared" si="201"/>
        <v>5.0709758829763478</v>
      </c>
      <c r="AT105" s="5">
        <f t="shared" si="276"/>
        <v>18.266004530334225</v>
      </c>
      <c r="AU105" s="173">
        <f t="shared" si="277"/>
        <v>0.21729357411141528</v>
      </c>
      <c r="AW105" s="5">
        <f t="shared" si="202"/>
        <v>338.06505886508984</v>
      </c>
      <c r="AX105" s="5">
        <f t="shared" si="203"/>
        <v>15.846799634301085</v>
      </c>
      <c r="AY105" s="5">
        <f t="shared" si="204"/>
        <v>16.491023591935154</v>
      </c>
      <c r="AZ105" s="5"/>
      <c r="BA105" s="173">
        <f t="shared" si="278"/>
        <v>6.5157186418665791</v>
      </c>
      <c r="BB105" s="173">
        <f t="shared" si="205"/>
        <v>12.366258783174189</v>
      </c>
      <c r="BC105" s="173">
        <f t="shared" si="206"/>
        <v>0.30454943199346635</v>
      </c>
      <c r="BD105" s="173"/>
      <c r="BE105" s="528">
        <f t="shared" si="207"/>
        <v>0.84909178839935329</v>
      </c>
      <c r="BF105" s="528">
        <f t="shared" si="208"/>
        <v>1.4272166117392746</v>
      </c>
      <c r="BG105" s="528">
        <f t="shared" si="209"/>
        <v>6.1374017971763492E-2</v>
      </c>
      <c r="BH105" s="528">
        <f t="shared" si="210"/>
        <v>2.306868744869826E-2</v>
      </c>
      <c r="BI105">
        <f t="shared" si="211"/>
        <v>2.5781116595277889E-2</v>
      </c>
      <c r="BJ105" s="460">
        <f t="shared" si="279"/>
        <v>87.155134567041387</v>
      </c>
      <c r="BK105">
        <f t="shared" si="212"/>
        <v>3.1676962431374491</v>
      </c>
      <c r="BL105" s="460">
        <f t="shared" si="280"/>
        <v>3167.6962431374491</v>
      </c>
      <c r="BM105" s="173">
        <f t="shared" si="213"/>
        <v>6.2124999999999995</v>
      </c>
      <c r="BN105" s="173">
        <f t="shared" si="214"/>
        <v>0.11093749999999999</v>
      </c>
      <c r="BO105" s="528"/>
      <c r="BQ105" s="460">
        <f t="shared" si="281"/>
        <v>6323.4375</v>
      </c>
      <c r="BR105" s="528">
        <f t="shared" si="215"/>
        <v>1.2736376825990299</v>
      </c>
      <c r="BS105" s="528">
        <f t="shared" si="216"/>
        <v>4.5877306887729832</v>
      </c>
      <c r="BT105" s="528">
        <f t="shared" si="217"/>
        <v>4.6375178263771493E-4</v>
      </c>
      <c r="BU105" s="528">
        <f t="shared" si="218"/>
        <v>1.7332336842980864</v>
      </c>
      <c r="BV105" s="528">
        <f>(BU105+(BR105+BS105+BT105)*(1+Ltc*(Ta-25)))/(1-(BR105+BS105+BT105)*Ltc*ThetaCa)</f>
        <v>16.951035443848664</v>
      </c>
      <c r="BW105" s="625">
        <f t="shared" si="220"/>
        <v>2.5116224411059193E-2</v>
      </c>
      <c r="BX105" s="460">
        <f t="shared" si="282"/>
        <v>16976.151668259721</v>
      </c>
      <c r="BY105" s="173">
        <f>SUM(BK105,BM105:BP105,BV105:BW105)+BI105+BG105</f>
        <v>26.554440545964216</v>
      </c>
      <c r="BZ105" s="5">
        <f t="shared" si="284"/>
        <v>152</v>
      </c>
      <c r="CA105" s="173">
        <f t="shared" si="285"/>
        <v>0.85128098486506998</v>
      </c>
      <c r="CB105" s="5">
        <f t="shared" si="286"/>
        <v>85.128098486507</v>
      </c>
      <c r="CC105">
        <f t="shared" si="287"/>
        <v>100</v>
      </c>
      <c r="CE105" s="562">
        <f t="shared" si="221"/>
        <v>-50</v>
      </c>
      <c r="CF105">
        <f t="shared" si="222"/>
        <v>-50</v>
      </c>
      <c r="CG105" s="173">
        <f t="shared" si="223"/>
        <v>0.78697421981004068</v>
      </c>
      <c r="CH105" s="173">
        <f t="shared" si="224"/>
        <v>9.2345221451934009E-2</v>
      </c>
      <c r="CI105" s="170">
        <v>100</v>
      </c>
      <c r="CJ105" s="217">
        <f t="shared" si="309"/>
        <v>10</v>
      </c>
      <c r="CK105" s="217">
        <f t="shared" si="288"/>
        <v>0.25</v>
      </c>
      <c r="CL105" s="217">
        <f t="shared" si="225"/>
        <v>150</v>
      </c>
      <c r="CM105" s="217">
        <f t="shared" si="310"/>
        <v>2</v>
      </c>
      <c r="CN105" s="541">
        <f t="shared" si="289"/>
        <v>58</v>
      </c>
      <c r="CO105" s="443">
        <f t="shared" si="226"/>
        <v>15.7</v>
      </c>
      <c r="CP105" s="443">
        <f t="shared" si="227"/>
        <v>73.7</v>
      </c>
      <c r="CQ105" s="443"/>
      <c r="CR105" s="217">
        <f t="shared" si="228"/>
        <v>0.2098092643051771</v>
      </c>
      <c r="CS105" s="172">
        <f t="shared" si="290"/>
        <v>300.22049333142121</v>
      </c>
      <c r="CT105" s="172">
        <f t="shared" si="229"/>
        <v>4.0563124432334243</v>
      </c>
      <c r="CU105" s="217">
        <f t="shared" si="230"/>
        <v>20.014699555428081</v>
      </c>
      <c r="CV105" s="217">
        <f t="shared" si="231"/>
        <v>37.527561666427651</v>
      </c>
      <c r="CW105" s="443">
        <f t="shared" si="232"/>
        <v>15</v>
      </c>
      <c r="CX105" s="217">
        <f t="shared" si="233"/>
        <v>24.981639050604567</v>
      </c>
      <c r="CY105" s="217">
        <f t="shared" si="234"/>
        <v>5.1686149759871522</v>
      </c>
      <c r="CZ105" s="217">
        <f t="shared" si="235"/>
        <v>19.094246408105406</v>
      </c>
      <c r="DA105" s="197">
        <f t="shared" si="236"/>
        <v>102.962460425147</v>
      </c>
      <c r="DB105" s="443">
        <f t="shared" si="291"/>
        <v>41.21525421793941</v>
      </c>
      <c r="DD105" s="217">
        <f t="shared" si="237"/>
        <v>10</v>
      </c>
      <c r="DE105" s="173">
        <f t="shared" si="238"/>
        <v>7.6433121019108281</v>
      </c>
      <c r="DF105" s="173">
        <f t="shared" si="239"/>
        <v>3.9348710990502043</v>
      </c>
      <c r="DG105" s="173"/>
      <c r="DH105" s="173">
        <f t="shared" si="240"/>
        <v>7.6433121019108281</v>
      </c>
      <c r="DI105" s="545">
        <f t="shared" si="241"/>
        <v>261.66666666666669</v>
      </c>
      <c r="DJ105" s="528">
        <f t="shared" si="242"/>
        <v>3.9348710990502034</v>
      </c>
      <c r="DL105" s="173">
        <f t="shared" si="243"/>
        <v>8.5076995939532551</v>
      </c>
      <c r="DM105" s="173">
        <f t="shared" si="244"/>
        <v>24.981639050604567</v>
      </c>
      <c r="DN105" s="173">
        <f t="shared" si="245"/>
        <v>12.297510407855235</v>
      </c>
      <c r="DP105" s="545">
        <f t="shared" si="246"/>
        <v>10000</v>
      </c>
      <c r="DQ105" s="460">
        <f t="shared" si="247"/>
        <v>41.21525421793941</v>
      </c>
      <c r="DS105">
        <f t="shared" si="311"/>
        <v>10000</v>
      </c>
      <c r="DT105">
        <f t="shared" si="312"/>
        <v>41.21525421793941</v>
      </c>
      <c r="DV105" s="5">
        <f t="shared" si="293"/>
        <v>24.262861384092556</v>
      </c>
      <c r="DW105" s="5">
        <f t="shared" si="249"/>
        <v>5.1686149759871522</v>
      </c>
      <c r="DX105" s="5">
        <f t="shared" si="294"/>
        <v>19.094246408105406</v>
      </c>
      <c r="DY105" s="173">
        <f t="shared" si="295"/>
        <v>0.2130257801899593</v>
      </c>
      <c r="EA105" s="5">
        <f t="shared" si="250"/>
        <v>344.57433173247682</v>
      </c>
      <c r="EB105" s="5">
        <f t="shared" si="251"/>
        <v>16.151921799959851</v>
      </c>
      <c r="EC105" s="5">
        <f t="shared" si="252"/>
        <v>17.0281626707242</v>
      </c>
      <c r="ED105" s="5"/>
      <c r="EE105" s="173">
        <f t="shared" si="296"/>
        <v>6.6569666930323637</v>
      </c>
      <c r="EF105" s="173">
        <f t="shared" si="253"/>
        <v>12.795007789476127</v>
      </c>
      <c r="EG105" s="173">
        <f t="shared" si="254"/>
        <v>0.31510842712905918</v>
      </c>
      <c r="EH105" s="173"/>
      <c r="EI105" s="528">
        <f t="shared" si="255"/>
        <v>0.8863041110428449</v>
      </c>
      <c r="EJ105" s="528">
        <f t="shared" si="256"/>
        <v>1.5176666666666665</v>
      </c>
      <c r="EK105" s="528">
        <f t="shared" si="257"/>
        <v>5.1519067772424262E-3</v>
      </c>
      <c r="EL105" s="528">
        <f t="shared" si="258"/>
        <v>2.2386848418303934E-2</v>
      </c>
      <c r="EM105">
        <f t="shared" si="259"/>
        <v>2.6099999999999998E-2</v>
      </c>
      <c r="EN105" s="460">
        <f t="shared" si="297"/>
        <v>31.251906777242425</v>
      </c>
      <c r="EO105">
        <f t="shared" si="260"/>
        <v>3.4163457369776857</v>
      </c>
      <c r="EP105" s="460">
        <f t="shared" si="298"/>
        <v>3416.3457369776856</v>
      </c>
      <c r="EQ105" s="173">
        <f t="shared" si="261"/>
        <v>6.2124999999999995</v>
      </c>
      <c r="ER105" s="173">
        <f t="shared" si="262"/>
        <v>0.11093749999999999</v>
      </c>
      <c r="ES105" s="528"/>
      <c r="EU105" s="460">
        <f t="shared" si="299"/>
        <v>6323.4375</v>
      </c>
      <c r="EV105" s="528">
        <f t="shared" si="263"/>
        <v>1.3294561665642672</v>
      </c>
      <c r="EW105" s="528">
        <f t="shared" si="300"/>
        <v>4.9113667299826433</v>
      </c>
      <c r="EX105" s="528">
        <f t="shared" si="264"/>
        <v>4.96466604238748E-4</v>
      </c>
      <c r="EY105" s="528">
        <f t="shared" si="265"/>
        <v>1.7008549743586505</v>
      </c>
      <c r="EZ105" s="528">
        <f t="shared" si="266"/>
        <v>18.853995619073117</v>
      </c>
      <c r="FA105" s="625">
        <f t="shared" si="267"/>
        <v>2.5721710221031792E-2</v>
      </c>
      <c r="FB105" s="460">
        <f t="shared" si="301"/>
        <v>18879.717329294148</v>
      </c>
      <c r="FC105" s="173">
        <f t="shared" si="302"/>
        <v>28.619500566271835</v>
      </c>
      <c r="FD105" s="5">
        <f t="shared" si="303"/>
        <v>152</v>
      </c>
      <c r="FE105" s="173">
        <f t="shared" si="304"/>
        <v>0.84154811370563543</v>
      </c>
      <c r="FF105" s="5">
        <f t="shared" si="305"/>
        <v>84.154811370563536</v>
      </c>
      <c r="FG105">
        <f t="shared" si="306"/>
        <v>100</v>
      </c>
      <c r="FI105" s="562">
        <f t="shared" si="268"/>
        <v>-50</v>
      </c>
      <c r="FJ105">
        <f t="shared" si="269"/>
        <v>-50</v>
      </c>
      <c r="FL105">
        <f t="shared" si="270"/>
        <v>0.78697421981004068</v>
      </c>
    </row>
    <row r="106" spans="5:169" ht="13">
      <c r="E106" s="170"/>
      <c r="F106" s="217"/>
      <c r="G106" s="217"/>
      <c r="H106" s="217"/>
      <c r="I106" s="217"/>
      <c r="J106" s="541"/>
      <c r="K106" s="443"/>
      <c r="L106" s="443"/>
      <c r="M106" s="443"/>
      <c r="N106" s="217"/>
      <c r="O106" s="172"/>
      <c r="P106" s="172"/>
      <c r="Q106" s="217"/>
      <c r="R106" s="217"/>
      <c r="S106" s="217"/>
      <c r="T106" s="217"/>
      <c r="U106" s="217"/>
      <c r="V106" s="217"/>
      <c r="W106" s="197"/>
      <c r="X106" s="443"/>
      <c r="Z106" s="217"/>
      <c r="AA106" s="173"/>
      <c r="AB106" s="173"/>
      <c r="AC106" s="173"/>
      <c r="AD106" s="173"/>
      <c r="AE106" s="545"/>
      <c r="AF106" s="528"/>
      <c r="AH106" s="173"/>
      <c r="AI106" s="173"/>
      <c r="AJ106" s="173"/>
      <c r="AL106" s="545"/>
      <c r="AM106" s="460"/>
      <c r="AP106" s="3"/>
      <c r="AR106" s="5"/>
      <c r="AS106" s="5"/>
      <c r="AT106" s="5"/>
      <c r="AU106" s="173"/>
      <c r="AW106" s="5"/>
      <c r="AX106" s="5"/>
      <c r="AY106" s="5"/>
      <c r="AZ106" s="5"/>
      <c r="BA106" s="173"/>
      <c r="BB106" s="173"/>
      <c r="BC106" s="173"/>
      <c r="BD106" s="173"/>
      <c r="BE106" s="528"/>
      <c r="BF106" s="528"/>
      <c r="BG106" s="528"/>
      <c r="BH106" s="528"/>
      <c r="BL106" s="460"/>
      <c r="BM106" s="173"/>
      <c r="BN106" s="173"/>
      <c r="BO106" s="528"/>
      <c r="BQ106" s="460"/>
      <c r="BR106" s="528"/>
      <c r="BS106" s="528"/>
      <c r="BT106" s="528"/>
      <c r="BU106" s="528"/>
      <c r="BV106" s="528"/>
      <c r="BW106" s="625"/>
      <c r="BX106" s="460"/>
      <c r="BY106" s="173"/>
      <c r="BZ106" s="5"/>
      <c r="CA106" s="173"/>
      <c r="CB106" s="5"/>
      <c r="CI106" s="170"/>
      <c r="CJ106" s="217"/>
      <c r="CK106" s="217"/>
      <c r="CL106" s="217"/>
      <c r="CM106" s="217"/>
      <c r="CN106" s="541"/>
      <c r="CO106" s="443"/>
      <c r="CP106" s="443"/>
      <c r="CQ106" s="443"/>
      <c r="CR106" s="217"/>
      <c r="CS106" s="172"/>
      <c r="CT106" s="172"/>
      <c r="CU106" s="217"/>
      <c r="CV106" s="217"/>
      <c r="CW106" s="217"/>
      <c r="CX106" s="217"/>
      <c r="CY106" s="217"/>
      <c r="CZ106" s="217"/>
      <c r="DA106" s="197"/>
      <c r="DB106" s="443"/>
      <c r="DD106" s="217"/>
      <c r="DE106" s="173"/>
      <c r="DF106" s="173"/>
      <c r="DG106" s="173"/>
      <c r="DH106" s="173"/>
      <c r="DI106" s="545"/>
      <c r="DJ106" s="528"/>
      <c r="DL106" s="173"/>
      <c r="DM106" s="173"/>
      <c r="DN106" s="173"/>
      <c r="DP106" s="545"/>
      <c r="DQ106" s="460"/>
      <c r="DT106" s="3"/>
      <c r="DV106" s="5"/>
      <c r="DW106" s="5"/>
      <c r="DX106" s="5"/>
      <c r="DY106" s="173"/>
      <c r="EA106" s="5"/>
      <c r="EB106" s="5"/>
      <c r="EC106" s="5"/>
      <c r="ED106" s="5"/>
      <c r="EE106" s="173"/>
      <c r="EF106" s="173"/>
      <c r="EG106" s="173"/>
      <c r="EH106" s="173"/>
      <c r="EI106" s="528"/>
      <c r="EJ106" s="528"/>
      <c r="EK106" s="528"/>
      <c r="EL106" s="528"/>
      <c r="EP106" s="460"/>
      <c r="EQ106" s="173"/>
      <c r="ER106" s="173"/>
      <c r="ES106" s="528"/>
      <c r="EU106" s="460"/>
      <c r="EV106" s="528"/>
      <c r="EW106" s="528"/>
      <c r="EX106" s="528"/>
      <c r="EY106" s="528"/>
      <c r="EZ106" s="528"/>
      <c r="FA106" s="625"/>
      <c r="FB106" s="460"/>
      <c r="FC106" s="173"/>
      <c r="FD106" s="5"/>
      <c r="FE106" s="173"/>
      <c r="FF106" s="5"/>
    </row>
    <row r="107" spans="5:169">
      <c r="G107" s="217"/>
      <c r="H107" s="217"/>
      <c r="I107" s="217"/>
      <c r="J107" s="541"/>
      <c r="K107" s="443"/>
      <c r="L107" s="443"/>
      <c r="M107" s="443"/>
      <c r="N107" s="217"/>
      <c r="O107" s="172"/>
      <c r="P107" s="172"/>
      <c r="Q107" s="217"/>
      <c r="R107" s="217"/>
      <c r="S107" s="217"/>
      <c r="T107" s="217"/>
      <c r="U107" s="217"/>
      <c r="V107" s="217"/>
      <c r="W107" s="197"/>
      <c r="X107" s="443"/>
      <c r="Z107" s="217"/>
      <c r="AA107" s="173"/>
      <c r="AB107" s="173"/>
      <c r="AC107" s="173"/>
      <c r="AD107" s="173"/>
      <c r="AE107" s="545"/>
      <c r="AF107" s="528"/>
      <c r="AH107" s="173"/>
      <c r="AI107" s="173"/>
      <c r="AJ107" s="173"/>
      <c r="AL107" s="545"/>
      <c r="AM107" s="460"/>
      <c r="AR107" s="5"/>
      <c r="AS107" s="5"/>
      <c r="AT107" s="5"/>
      <c r="AU107" s="173"/>
      <c r="AW107" s="5"/>
      <c r="AX107" s="5"/>
      <c r="AY107" s="5"/>
      <c r="AZ107" s="5"/>
      <c r="BA107" s="173"/>
      <c r="BB107" s="173"/>
      <c r="BC107" s="173"/>
      <c r="BD107" s="173"/>
      <c r="BE107" s="528"/>
      <c r="BF107" s="528"/>
      <c r="BG107" s="528"/>
      <c r="BH107" s="528"/>
      <c r="BL107" s="460"/>
      <c r="BM107" s="173"/>
      <c r="BN107" s="173"/>
      <c r="BO107" s="528"/>
      <c r="BQ107" s="460"/>
      <c r="BR107" s="528"/>
      <c r="BS107" s="528"/>
      <c r="BT107" s="528"/>
      <c r="BU107" s="528"/>
      <c r="BV107" s="528"/>
      <c r="BW107" s="625"/>
      <c r="BX107" s="460"/>
      <c r="BY107" s="173"/>
      <c r="BZ107" s="5"/>
      <c r="CA107" s="173"/>
      <c r="CB107" s="5"/>
      <c r="CK107" s="217"/>
      <c r="CL107" s="217"/>
      <c r="CM107" s="217"/>
      <c r="CN107" s="541"/>
      <c r="CO107" s="443"/>
      <c r="CP107" s="443"/>
      <c r="CQ107" s="443"/>
      <c r="CR107" s="217"/>
      <c r="CS107" s="172"/>
      <c r="CT107" s="172"/>
      <c r="CU107" s="217"/>
      <c r="CV107" s="217"/>
      <c r="CW107" s="217"/>
      <c r="CX107" s="217"/>
      <c r="CY107" s="217"/>
      <c r="CZ107" s="217"/>
      <c r="DA107" s="197"/>
      <c r="DB107" s="443"/>
      <c r="DD107" s="217"/>
      <c r="DE107" s="173"/>
      <c r="DF107" s="173"/>
      <c r="DG107" s="173"/>
      <c r="DH107" s="173"/>
      <c r="DI107" s="545"/>
      <c r="DJ107" s="528"/>
      <c r="DL107" s="173"/>
      <c r="DM107" s="173"/>
      <c r="DN107" s="173"/>
      <c r="DP107" s="545"/>
      <c r="DQ107" s="460"/>
      <c r="DV107" s="5"/>
      <c r="DW107" s="5"/>
      <c r="DX107" s="5"/>
      <c r="DY107" s="173"/>
      <c r="EA107" s="5"/>
      <c r="EB107" s="5"/>
      <c r="EC107" s="5"/>
      <c r="ED107" s="5"/>
      <c r="EE107" s="173"/>
      <c r="EF107" s="173"/>
      <c r="EG107" s="173"/>
      <c r="EH107" s="173"/>
      <c r="EI107" s="528"/>
      <c r="EJ107" s="528"/>
      <c r="EK107" s="528"/>
      <c r="EL107" s="528"/>
      <c r="EP107" s="460"/>
      <c r="EQ107" s="173"/>
      <c r="ER107" s="173"/>
      <c r="ES107" s="528"/>
      <c r="EU107" s="460"/>
      <c r="EV107" s="528"/>
      <c r="EW107" s="528"/>
      <c r="EX107" s="528"/>
      <c r="EY107" s="528"/>
      <c r="EZ107" s="528"/>
      <c r="FA107" s="625"/>
      <c r="FB107" s="460"/>
      <c r="FC107" s="173"/>
      <c r="FD107" s="5"/>
      <c r="FE107" s="173"/>
      <c r="FF107" s="5"/>
    </row>
    <row r="108" spans="5:169" ht="13">
      <c r="E108" s="445" t="s">
        <v>434</v>
      </c>
      <c r="G108" s="217"/>
      <c r="H108" s="217"/>
      <c r="I108" s="217"/>
      <c r="J108" s="541"/>
      <c r="K108" s="443"/>
      <c r="L108" s="443"/>
      <c r="M108" s="443"/>
      <c r="N108" s="217"/>
      <c r="O108" s="172"/>
      <c r="P108" s="172"/>
      <c r="Q108" s="217"/>
      <c r="R108" s="217"/>
      <c r="S108" s="217"/>
      <c r="T108" s="217"/>
      <c r="U108" s="217"/>
      <c r="V108" s="217"/>
      <c r="W108" s="197"/>
      <c r="X108" s="443"/>
      <c r="Z108" s="217"/>
      <c r="AA108" s="173"/>
      <c r="AB108" s="173"/>
      <c r="AC108" s="173"/>
      <c r="AD108" s="173"/>
      <c r="AE108" s="545"/>
      <c r="AF108" s="528"/>
      <c r="AH108" s="173"/>
      <c r="AI108" s="173"/>
      <c r="AJ108" s="173"/>
      <c r="AL108" s="545"/>
      <c r="AM108" s="460"/>
      <c r="AR108" s="5"/>
      <c r="AS108" s="5"/>
      <c r="AT108" s="5"/>
      <c r="AU108" s="173"/>
      <c r="AW108" s="533" t="s">
        <v>470</v>
      </c>
      <c r="AX108" s="533" t="s">
        <v>470</v>
      </c>
      <c r="AY108" s="533"/>
      <c r="AZ108" s="533"/>
      <c r="BA108" s="558" t="s">
        <v>471</v>
      </c>
      <c r="BB108" s="533"/>
      <c r="BC108" s="533"/>
      <c r="BD108" s="533"/>
      <c r="BE108" s="558" t="s">
        <v>493</v>
      </c>
      <c r="BF108" s="533"/>
      <c r="BG108" s="533"/>
      <c r="BH108" s="533"/>
      <c r="BI108" s="533"/>
      <c r="BJ108" s="533"/>
      <c r="BK108" s="533"/>
      <c r="BL108" s="533"/>
      <c r="BM108" s="558" t="s">
        <v>489</v>
      </c>
      <c r="BN108" s="533"/>
      <c r="BO108" s="533"/>
      <c r="BP108" s="533"/>
      <c r="BQ108" s="533"/>
      <c r="BR108" s="559" t="s">
        <v>490</v>
      </c>
      <c r="BS108" s="533"/>
      <c r="BT108" s="533"/>
      <c r="BU108" s="533"/>
      <c r="BV108" s="533"/>
      <c r="BW108" s="533"/>
      <c r="BX108" s="533"/>
      <c r="BY108" s="558"/>
      <c r="BZ108" s="533"/>
      <c r="CA108" s="533"/>
      <c r="CB108" s="533"/>
      <c r="CC108" s="533"/>
      <c r="CI108" s="445" t="s">
        <v>434</v>
      </c>
      <c r="CK108" s="217"/>
      <c r="CL108" s="217"/>
      <c r="CM108" s="217"/>
      <c r="CN108" s="541"/>
      <c r="CO108" s="443"/>
      <c r="CP108" s="443"/>
      <c r="CQ108" s="443"/>
      <c r="CR108" s="217"/>
      <c r="CS108" s="172"/>
      <c r="CT108" s="172"/>
      <c r="CU108" s="217"/>
      <c r="CV108" s="217"/>
      <c r="CW108" s="217"/>
      <c r="CX108" s="217"/>
      <c r="CY108" s="217"/>
      <c r="CZ108" s="217"/>
      <c r="DA108" s="197"/>
      <c r="DB108" s="443"/>
      <c r="DD108" s="217"/>
      <c r="DE108" s="173"/>
      <c r="DF108" s="173"/>
      <c r="DG108" s="173"/>
      <c r="DH108" s="173"/>
      <c r="DI108" s="545"/>
      <c r="DJ108" s="528"/>
      <c r="DL108" s="173"/>
      <c r="DM108" s="173"/>
      <c r="DN108" s="173"/>
      <c r="DP108" s="545"/>
      <c r="DQ108" s="460"/>
      <c r="DV108" s="5"/>
      <c r="DW108" s="5"/>
      <c r="DX108" s="5"/>
      <c r="DY108" s="173"/>
      <c r="EA108" s="533" t="s">
        <v>470</v>
      </c>
      <c r="EB108" s="533" t="s">
        <v>470</v>
      </c>
      <c r="EC108" s="533"/>
      <c r="ED108" s="533"/>
      <c r="EE108" s="558" t="s">
        <v>471</v>
      </c>
      <c r="EF108" s="533"/>
      <c r="EG108" s="533"/>
      <c r="EH108" s="533"/>
      <c r="EI108" s="558" t="s">
        <v>493</v>
      </c>
      <c r="EJ108" s="533"/>
      <c r="EK108" s="533"/>
      <c r="EL108" s="533"/>
      <c r="EM108" s="533"/>
      <c r="EN108" s="533"/>
      <c r="EO108" s="533"/>
      <c r="EP108" s="533"/>
      <c r="EQ108" s="558" t="s">
        <v>489</v>
      </c>
      <c r="ER108" s="533"/>
      <c r="ES108" s="533"/>
      <c r="ET108" s="533"/>
      <c r="EU108" s="533"/>
      <c r="EV108" s="559" t="s">
        <v>490</v>
      </c>
      <c r="EW108" s="533"/>
      <c r="EX108" s="533"/>
      <c r="EY108" s="533"/>
      <c r="EZ108" s="533"/>
      <c r="FA108" s="533"/>
      <c r="FB108" s="533"/>
      <c r="FC108" s="558"/>
      <c r="FD108" s="533"/>
      <c r="FE108" s="533"/>
      <c r="FF108" s="533"/>
      <c r="FG108" s="533"/>
    </row>
    <row r="109" spans="5:169" ht="45" customHeight="1" thickBot="1">
      <c r="E109" s="241" t="s">
        <v>25</v>
      </c>
      <c r="F109" s="602" t="s">
        <v>580</v>
      </c>
      <c r="G109" s="444" t="s">
        <v>579</v>
      </c>
      <c r="H109" s="603" t="s">
        <v>581</v>
      </c>
      <c r="I109" s="604" t="s">
        <v>582</v>
      </c>
      <c r="J109" s="242" t="s">
        <v>412</v>
      </c>
      <c r="K109" s="243" t="s">
        <v>586</v>
      </c>
      <c r="L109" s="605" t="s">
        <v>413</v>
      </c>
      <c r="M109" s="606"/>
      <c r="N109" s="244" t="s">
        <v>48</v>
      </c>
      <c r="O109" s="606" t="s">
        <v>590</v>
      </c>
      <c r="P109" s="606" t="s">
        <v>606</v>
      </c>
      <c r="Q109" s="606" t="s">
        <v>583</v>
      </c>
      <c r="R109" s="606" t="s">
        <v>584</v>
      </c>
      <c r="S109" s="606" t="s">
        <v>585</v>
      </c>
      <c r="T109" s="606" t="s">
        <v>414</v>
      </c>
      <c r="U109" s="606" t="s">
        <v>466</v>
      </c>
      <c r="V109" s="606" t="s">
        <v>465</v>
      </c>
      <c r="W109" s="607" t="s">
        <v>420</v>
      </c>
      <c r="X109" s="608" t="s">
        <v>425</v>
      </c>
      <c r="Z109" s="245" t="s">
        <v>417</v>
      </c>
      <c r="AA109" s="245" t="s">
        <v>464</v>
      </c>
      <c r="AB109" s="245" t="s">
        <v>587</v>
      </c>
      <c r="AC109" s="544"/>
      <c r="AD109" s="245" t="s">
        <v>463</v>
      </c>
      <c r="AE109" s="607" t="s">
        <v>426</v>
      </c>
      <c r="AF109" s="245" t="s">
        <v>588</v>
      </c>
      <c r="AG109" s="544"/>
      <c r="AH109" s="245" t="s">
        <v>429</v>
      </c>
      <c r="AI109" s="547" t="s">
        <v>430</v>
      </c>
      <c r="AJ109" s="547" t="s">
        <v>431</v>
      </c>
      <c r="AL109" s="543" t="s">
        <v>275</v>
      </c>
      <c r="AM109" s="543" t="s">
        <v>432</v>
      </c>
      <c r="AO109" s="245" t="s">
        <v>275</v>
      </c>
      <c r="AP109" s="245" t="s">
        <v>432</v>
      </c>
      <c r="AQ109" s="548"/>
      <c r="AR109" s="245" t="s">
        <v>467</v>
      </c>
      <c r="AS109" s="245" t="s">
        <v>461</v>
      </c>
      <c r="AT109" s="245" t="s">
        <v>462</v>
      </c>
      <c r="AU109" s="245" t="s">
        <v>48</v>
      </c>
      <c r="AV109" s="544"/>
      <c r="AW109" s="245" t="s">
        <v>591</v>
      </c>
      <c r="AX109" s="245" t="s">
        <v>592</v>
      </c>
      <c r="AY109" s="245" t="s">
        <v>514</v>
      </c>
      <c r="AZ109" s="544"/>
      <c r="BA109" s="557" t="s">
        <v>456</v>
      </c>
      <c r="BB109" s="245" t="s">
        <v>599</v>
      </c>
      <c r="BC109" s="245" t="s">
        <v>598</v>
      </c>
      <c r="BD109" s="544"/>
      <c r="BE109" s="557" t="s">
        <v>474</v>
      </c>
      <c r="BF109" s="245" t="s">
        <v>475</v>
      </c>
      <c r="BG109" s="245" t="s">
        <v>473</v>
      </c>
      <c r="BH109" s="245" t="s">
        <v>469</v>
      </c>
      <c r="BI109" s="245" t="s">
        <v>478</v>
      </c>
      <c r="BJ109" s="245" t="s">
        <v>491</v>
      </c>
      <c r="BK109" s="245" t="s">
        <v>776</v>
      </c>
      <c r="BL109" s="245" t="s">
        <v>778</v>
      </c>
      <c r="BM109" s="557" t="s">
        <v>601</v>
      </c>
      <c r="BN109" s="245" t="s">
        <v>600</v>
      </c>
      <c r="BO109" s="245" t="s">
        <v>477</v>
      </c>
      <c r="BP109" s="245" t="s">
        <v>483</v>
      </c>
      <c r="BQ109" s="245" t="s">
        <v>487</v>
      </c>
      <c r="BR109" s="557" t="s">
        <v>458</v>
      </c>
      <c r="BS109" s="245" t="s">
        <v>603</v>
      </c>
      <c r="BT109" s="245" t="s">
        <v>602</v>
      </c>
      <c r="BU109" s="245" t="s">
        <v>468</v>
      </c>
      <c r="BV109" s="245" t="s">
        <v>673</v>
      </c>
      <c r="BW109" s="245" t="s">
        <v>484</v>
      </c>
      <c r="BX109" s="245" t="s">
        <v>667</v>
      </c>
      <c r="BY109" s="557" t="s">
        <v>482</v>
      </c>
      <c r="BZ109" s="245" t="s">
        <v>223</v>
      </c>
      <c r="CA109" s="245" t="s">
        <v>47</v>
      </c>
      <c r="CB109" s="245" t="s">
        <v>485</v>
      </c>
      <c r="CC109" s="245" t="s">
        <v>604</v>
      </c>
      <c r="CE109" s="569" t="s">
        <v>497</v>
      </c>
      <c r="CG109" s="782" t="s">
        <v>829</v>
      </c>
      <c r="CH109" s="783" t="s">
        <v>830</v>
      </c>
      <c r="CI109" s="241" t="s">
        <v>25</v>
      </c>
      <c r="CJ109" s="602" t="s">
        <v>580</v>
      </c>
      <c r="CK109" s="444" t="s">
        <v>579</v>
      </c>
      <c r="CL109" s="603" t="s">
        <v>581</v>
      </c>
      <c r="CM109" s="604" t="s">
        <v>582</v>
      </c>
      <c r="CN109" s="242" t="s">
        <v>412</v>
      </c>
      <c r="CO109" s="243" t="s">
        <v>586</v>
      </c>
      <c r="CP109" s="605" t="s">
        <v>413</v>
      </c>
      <c r="CQ109" s="606"/>
      <c r="CR109" s="244" t="s">
        <v>48</v>
      </c>
      <c r="CS109" s="606" t="s">
        <v>590</v>
      </c>
      <c r="CT109" s="606" t="s">
        <v>606</v>
      </c>
      <c r="CU109" s="606" t="s">
        <v>583</v>
      </c>
      <c r="CV109" s="606" t="s">
        <v>584</v>
      </c>
      <c r="CW109" s="606" t="s">
        <v>585</v>
      </c>
      <c r="CX109" s="606" t="s">
        <v>414</v>
      </c>
      <c r="CY109" s="606" t="s">
        <v>466</v>
      </c>
      <c r="CZ109" s="606" t="s">
        <v>465</v>
      </c>
      <c r="DA109" s="607" t="s">
        <v>420</v>
      </c>
      <c r="DB109" s="608" t="s">
        <v>425</v>
      </c>
      <c r="DD109" s="245" t="s">
        <v>417</v>
      </c>
      <c r="DE109" s="245" t="s">
        <v>464</v>
      </c>
      <c r="DF109" s="245" t="s">
        <v>587</v>
      </c>
      <c r="DG109" s="544"/>
      <c r="DH109" s="245" t="s">
        <v>463</v>
      </c>
      <c r="DI109" s="607" t="s">
        <v>426</v>
      </c>
      <c r="DJ109" s="245" t="s">
        <v>588</v>
      </c>
      <c r="DK109" s="544"/>
      <c r="DL109" s="245" t="s">
        <v>429</v>
      </c>
      <c r="DM109" s="547" t="s">
        <v>430</v>
      </c>
      <c r="DN109" s="547" t="s">
        <v>431</v>
      </c>
      <c r="DP109" s="543" t="s">
        <v>275</v>
      </c>
      <c r="DQ109" s="543" t="s">
        <v>432</v>
      </c>
      <c r="DS109" s="245" t="s">
        <v>275</v>
      </c>
      <c r="DT109" s="245" t="s">
        <v>432</v>
      </c>
      <c r="DU109" s="548"/>
      <c r="DV109" s="245" t="s">
        <v>467</v>
      </c>
      <c r="DW109" s="245" t="s">
        <v>461</v>
      </c>
      <c r="DX109" s="245" t="s">
        <v>462</v>
      </c>
      <c r="DY109" s="245" t="s">
        <v>48</v>
      </c>
      <c r="DZ109" s="544"/>
      <c r="EA109" s="245" t="s">
        <v>591</v>
      </c>
      <c r="EB109" s="245" t="s">
        <v>592</v>
      </c>
      <c r="EC109" s="245" t="s">
        <v>514</v>
      </c>
      <c r="ED109" s="544"/>
      <c r="EE109" s="557" t="s">
        <v>456</v>
      </c>
      <c r="EF109" s="245" t="s">
        <v>599</v>
      </c>
      <c r="EG109" s="245" t="s">
        <v>598</v>
      </c>
      <c r="EH109" s="544"/>
      <c r="EI109" s="557" t="s">
        <v>474</v>
      </c>
      <c r="EJ109" s="245" t="s">
        <v>475</v>
      </c>
      <c r="EK109" s="245" t="s">
        <v>473</v>
      </c>
      <c r="EL109" s="245" t="s">
        <v>469</v>
      </c>
      <c r="EM109" s="245" t="s">
        <v>478</v>
      </c>
      <c r="EN109" s="245" t="s">
        <v>491</v>
      </c>
      <c r="EO109" s="245" t="s">
        <v>776</v>
      </c>
      <c r="EP109" s="245" t="s">
        <v>778</v>
      </c>
      <c r="EQ109" s="557" t="s">
        <v>601</v>
      </c>
      <c r="ER109" s="245" t="s">
        <v>600</v>
      </c>
      <c r="ES109" s="245" t="s">
        <v>477</v>
      </c>
      <c r="ET109" s="245" t="s">
        <v>483</v>
      </c>
      <c r="EU109" s="245" t="s">
        <v>487</v>
      </c>
      <c r="EV109" s="557" t="s">
        <v>458</v>
      </c>
      <c r="EW109" s="245" t="s">
        <v>603</v>
      </c>
      <c r="EX109" s="245" t="s">
        <v>602</v>
      </c>
      <c r="EY109" s="245" t="s">
        <v>468</v>
      </c>
      <c r="EZ109" s="245" t="s">
        <v>673</v>
      </c>
      <c r="FA109" s="245" t="s">
        <v>484</v>
      </c>
      <c r="FB109" s="245" t="s">
        <v>486</v>
      </c>
      <c r="FC109" s="557" t="s">
        <v>482</v>
      </c>
      <c r="FD109" s="245" t="s">
        <v>223</v>
      </c>
      <c r="FE109" s="245" t="s">
        <v>47</v>
      </c>
      <c r="FF109" s="245" t="s">
        <v>485</v>
      </c>
      <c r="FG109" s="245" t="s">
        <v>604</v>
      </c>
      <c r="FI109" s="569" t="s">
        <v>497</v>
      </c>
      <c r="FL109" s="782" t="s">
        <v>876</v>
      </c>
      <c r="FM109" s="782" t="s">
        <v>875</v>
      </c>
    </row>
    <row r="110" spans="5:169">
      <c r="E110" s="170">
        <v>0.1</v>
      </c>
      <c r="F110" s="217">
        <v>1.0000000000000001E-9</v>
      </c>
      <c r="G110" s="217">
        <f t="shared" ref="G110:G141" si="313">IF(PLOT_TYPE=1, E110/100*Iout2, min_I*EXP(Q110*rr/100))</f>
        <v>2.5000000000000001E-4</v>
      </c>
      <c r="H110" s="217">
        <f t="shared" ref="H110:H141" si="314">F110*Vout</f>
        <v>1.5000000000000002E-8</v>
      </c>
      <c r="I110" s="217">
        <f t="shared" ref="I110:I141" si="315">Vout2*G110</f>
        <v>2E-3</v>
      </c>
      <c r="J110" s="541">
        <f t="shared" ref="J110:J141" si="316">VIN_min-(F110/CG110/Nps+G110/CH110/(Nps/Nsec1sec2))*(Rdcr_pri+RON/1000)</f>
        <v>18.995282505350442</v>
      </c>
      <c r="K110" s="443">
        <f t="shared" ref="K110:K141" si="317">MAX((S110+Vfwd2+Rdcr_sec*F110/CG110)*Nps,(Vout2+Vfwd22+Rdcr_sec2*G110/CH110)*Nps/Nsec1sec2)</f>
        <v>15.7016051118613</v>
      </c>
      <c r="L110" s="172">
        <f t="shared" ref="L110:L141" si="318">MAX((Vout+Vfwd2+F110/CG110*Rdcr_sec)*Nps+J110, (Vout2+Vfwd22+G110/CH110*Rdcr_sec2)*Nps/Nsec1sec2+J110)</f>
        <v>34.696887617211743</v>
      </c>
      <c r="M110" s="443"/>
      <c r="N110" s="217">
        <f t="shared" ref="N110:N141" si="319">MAX((Vout+Vfwd2+F110/CG110*Rdcr_sec)*Nps/((Vout+Vfwd2+F110/CG110*Rdcr_sec)*Nps+J110), (Vout2+Vfwd22+G110/CH110*Rdcr_sec2)*Nps/Nsec1sec2/((Vout2+Vfwd22+G110/CH110*Rdcr_sec2)*Nps/Nsec1sec2+J110))</f>
        <v>0.45253641436335512</v>
      </c>
      <c r="O110" s="172">
        <f t="shared" ref="O110:O141" si="320">N110*J110*Isw_max*0.5*Efficiency*Pout/(Pout+Pout2)</f>
        <v>212.07377552936492</v>
      </c>
      <c r="P110" s="172">
        <f t="shared" ref="P110:P141" si="321">N110*J110*Isw_max*0.5*Efficiency*(Pout2/Pout_total)</f>
        <v>2.8653523449300864</v>
      </c>
      <c r="Q110" s="217">
        <f t="shared" ref="Q110:Q173" si="322">O110/Vout</f>
        <v>14.138251701957662</v>
      </c>
      <c r="R110" s="217">
        <f t="shared" ref="R110:R141" si="323">O110/Vout2</f>
        <v>26.509221941170615</v>
      </c>
      <c r="S110" s="217">
        <f t="shared" ref="S110:S141" si="324">MIN(Vout,O110/F110)</f>
        <v>15</v>
      </c>
      <c r="T110" s="217">
        <f t="shared" ref="T110:T141" si="325">MIN(2*(Vout*F110+Vout2*G110)/(Efficiency*J110*N110), Isw_max)</f>
        <v>4.6533311538196419E-4</v>
      </c>
      <c r="U110" s="217">
        <f t="shared" ref="U110:U173" si="326">L*T110/J110*1000000</f>
        <v>2.9396758816357244E-4</v>
      </c>
      <c r="V110" s="217">
        <f t="shared" ref="V110:V173" si="327">L*T110/K110*1000000</f>
        <v>3.5563226465078467E-4</v>
      </c>
      <c r="W110" s="197">
        <f t="shared" ref="W110:W173" si="328">IF(1/((350000*L)*(1/J110+1/K110))&gt;Isw_min, 350, 0.001/((Isw_min*L)*(1/J110+1/K110)))</f>
        <v>71.633808623252165</v>
      </c>
      <c r="X110" s="443">
        <f>MIN(1/(U110+V110+0.2)*1000, 350)</f>
        <v>350</v>
      </c>
      <c r="Z110" s="217">
        <f t="shared" ref="Z110:Z173" si="329">1/((W110*1000*L)*(1/J110+1/K110))</f>
        <v>9.9999999999999982</v>
      </c>
      <c r="AA110" s="173">
        <f t="shared" ref="AA110:AA173" si="330">L*Z110/K110*1000000</f>
        <v>7.6425307568937413</v>
      </c>
      <c r="AB110" s="173">
        <f t="shared" ref="AB110:AB141" si="331">0.5*AA110*Z110*Nps*W110/1000*(Pout/(Pout+Pout2))</f>
        <v>2.7013005870229181</v>
      </c>
      <c r="AC110" s="173"/>
      <c r="AD110" s="173">
        <f t="shared" ref="AD110:AD173" si="332">L*Isw_min/K110*1000000</f>
        <v>7.6425307568937431</v>
      </c>
      <c r="AE110" s="545">
        <f t="shared" ref="AE110:AE141" si="333">MAX(10, F110/(0.5*AD110/1000000*Isw_min*Nps)/1000*Pout_total/Pout)</f>
        <v>10</v>
      </c>
      <c r="AF110" s="528">
        <f t="shared" ref="AF110:AF141" si="334">0.5*AD110/1000000*Isw_min*Nps*W110*1000*(Pout/Pout_total)</f>
        <v>2.7373179281832241</v>
      </c>
      <c r="AH110" s="173">
        <f t="shared" ref="AH110:AH141" si="335">SQRT((H110+I110)/(0.5*L*Fsw_DCM))</f>
        <v>3.0860785719713863E-2</v>
      </c>
      <c r="AI110" s="173">
        <f t="shared" ref="AI110:AI141" si="336">MAX(IF(F110&gt;AB110,T110,AH110),Isw_min)</f>
        <v>10</v>
      </c>
      <c r="AJ110" s="173">
        <f t="shared" ref="AJ110:AJ141" si="337">IF(F110&gt;AF110, (AI110-Isw_min)/1.08*0.8+1.2, AE110*0.2/350+1)</f>
        <v>1.0057142857142858</v>
      </c>
      <c r="AL110" s="545">
        <f t="shared" ref="AL110:AL141" si="338">F110*1000</f>
        <v>1.0000000000000002E-6</v>
      </c>
      <c r="AM110" s="460">
        <f t="shared" ref="AM110:AM141" si="339">IF(F110&gt;AF110, X110, AE110)</f>
        <v>10</v>
      </c>
      <c r="AO110" s="460">
        <f t="shared" ref="AO110:AO173" si="340">IF(H110&gt;O110, "",AL110)</f>
        <v>1.0000000000000002E-6</v>
      </c>
      <c r="AP110" s="460">
        <f t="shared" ref="AP110:AP173" si="341">IF(H110&gt;O110, "",AM110)</f>
        <v>10</v>
      </c>
      <c r="AR110" s="5">
        <f t="shared" si="275"/>
        <v>100</v>
      </c>
      <c r="AS110" s="5">
        <f>L*AI110/J110*1000000</f>
        <v>6.3173580053994636</v>
      </c>
      <c r="AT110" s="5">
        <f>AR110-AS110</f>
        <v>93.68264199460053</v>
      </c>
      <c r="AU110" s="173">
        <f>AS110/AR110</f>
        <v>6.3173580053994635E-2</v>
      </c>
      <c r="AW110" s="5">
        <f t="shared" ref="AW110:AW169" si="342">F110*AS110/Vout_ripple*1000</f>
        <v>4.2115720035996427E-8</v>
      </c>
      <c r="AX110" s="5">
        <f t="shared" ref="AX110:AX169" si="343">G110*AS110/Vout_ripple2*1000</f>
        <v>1.9741743766873321E-2</v>
      </c>
      <c r="AY110" s="5">
        <f t="shared" ref="AY110:AY169" si="344">H110/Efficiency/J110*AT110/Vinripple1</f>
        <v>2.5509775360843178E-8</v>
      </c>
      <c r="AZ110" s="5"/>
      <c r="BA110" s="173">
        <f t="shared" ref="BA110:BA169" si="345">AI110*SQRT(AU110/3)</f>
        <v>1.4511326616818399</v>
      </c>
      <c r="BB110" s="173">
        <f t="shared" ref="BB110:BB169" si="346">AI110*Npri_sec1*SQRT((1-AU110)/3)*(Pout/Pout_total)</f>
        <v>5.5881613551805671</v>
      </c>
      <c r="BC110" s="173">
        <f t="shared" ref="BC110:BC169" si="347">AI110*Npri_sec2*SQRT((1-AU110)/3)*(Pout2/Pout_total)</f>
        <v>0.13762216984523123</v>
      </c>
      <c r="BD110" s="173"/>
      <c r="BE110" s="528">
        <f t="shared" ref="BE110:BE169" si="348">Rdson*BA110^2</f>
        <v>4.2115720035996417E-2</v>
      </c>
      <c r="BF110" s="528">
        <f t="shared" ref="BF110:BF141" si="349">0.5*L110*AI110*AM110*1000*Tfall</f>
        <v>6.5056664282272025E-2</v>
      </c>
      <c r="BG110" s="528">
        <f t="shared" ref="BG110:BG141" si="350">Qg*Vdd*AM110*1000*0+Qg*J110*AM110*1000</f>
        <v>4.7488206263376111E-3</v>
      </c>
      <c r="BH110" s="528">
        <f t="shared" ref="BH110:BH169" si="351">0.5*(Coss+Csw)*L110^2*AM110*1000</f>
        <v>1.2038740103214214E-3</v>
      </c>
      <c r="BI110">
        <f t="shared" ref="BI110:BI169" si="352">J110*IQ</f>
        <v>8.5478771274076978E-3</v>
      </c>
      <c r="BJ110" s="460">
        <f>(BG110+BI110)*1000</f>
        <v>13.29669775374531</v>
      </c>
      <c r="BK110">
        <f t="shared" ref="BK110:BK141" si="353">(BF110+BG110*0+BH110+BI110*0+BE110*(1+RdsonTC*(Ta-25)))/(1-BE110*RdsonTC*ThetaJA)</f>
        <v>0.12095789147589477</v>
      </c>
      <c r="BL110" s="460">
        <f>SUM(BE110:BI110)*1000</f>
        <v>121.67295608233516</v>
      </c>
      <c r="BM110" s="173">
        <f t="shared" ref="BM110:BM141" si="354">Vfwd2*F110*(1+Diode_TC/1000*(Ta-25))</f>
        <v>6.212499999999999E-10</v>
      </c>
      <c r="BN110" s="173">
        <f t="shared" ref="BN110:BN141" si="355">Vfwd2*G110*(1+Diode_TC/1000*(Ta-25))</f>
        <v>1.5531249999999999E-4</v>
      </c>
      <c r="BO110" s="528"/>
      <c r="BQ110" s="460">
        <f t="shared" ref="BQ110:BQ169" si="356">SUM(BM110:BP110)*1000</f>
        <v>0.15531312124999999</v>
      </c>
      <c r="BR110" s="528">
        <f t="shared" ref="BR110:BR169" si="357">Rdcr_pri*BA110^2</f>
        <v>6.3173580053994621E-2</v>
      </c>
      <c r="BS110" s="528">
        <f t="shared" ref="BS110:BS169" si="358">Rdcr_sec*BB110^2</f>
        <v>0.93682641994600535</v>
      </c>
      <c r="BT110" s="528">
        <f t="shared" ref="BT110:BT169" si="359">Rdcr_sec2*BC110^2</f>
        <v>9.4699308164548373E-5</v>
      </c>
      <c r="BU110" s="528">
        <f t="shared" ref="BU110:BU169" si="360">AI110^2.5*AM110^2.5*k_core</f>
        <v>5.0000000000000096E-3</v>
      </c>
      <c r="BV110" s="528"/>
      <c r="BW110" s="625">
        <f t="shared" ref="BW110:BW141" si="361">0.5*Lleak*0.000000001*AI110^2*AM110*1000</f>
        <v>1.0000000000000002E-3</v>
      </c>
      <c r="BX110" s="460">
        <f t="shared" ref="BX110:BX169" si="362">SUM(BR110:BW110)*1000</f>
        <v>1006.0946993081645</v>
      </c>
      <c r="BY110" s="173">
        <f t="shared" ref="BY110:BY169" si="363">SUM(BE110:BI110,BM110:BP110,BR110:BW110)</f>
        <v>1.1279229685117496</v>
      </c>
      <c r="BZ110" s="5">
        <f t="shared" ref="BZ110:BZ169" si="364">MIN(H110+I110,O110+P110)</f>
        <v>2.000015E-3</v>
      </c>
      <c r="CA110" s="173">
        <f t="shared" ref="CA110:CA169" si="365">BZ110/(BZ110+BY110)</f>
        <v>1.7700454183027978E-3</v>
      </c>
      <c r="CB110" s="5">
        <f t="shared" ref="CB110:CB169" si="366">CA110*100</f>
        <v>0.17700454183027978</v>
      </c>
      <c r="CC110">
        <f t="shared" ref="CC110:CC169" si="367">F110/Iout*100</f>
        <v>1E-8</v>
      </c>
      <c r="CE110" s="562">
        <f t="shared" ref="CE110:CE141" si="368">IF(ABS(F110-Ioutmax_Vinmin)&lt;Iout/200, AM110, -50)</f>
        <v>-50</v>
      </c>
      <c r="CF110">
        <f t="shared" ref="CF110:CF141" si="369">IF(ABS(F110-Ioutmax_Vinmin)&lt;Iout/200, (O110+P110)*CA110, -50)</f>
        <v>-50</v>
      </c>
      <c r="CG110" s="173">
        <f t="shared" ref="CG110:CG173" si="370">MIN(SQRT(2*DT110*1000*Ls1_*(CL110+CJ110*Vfwd1))/(CW110+Vfwd1), 1-DY110)</f>
        <v>3.947710169758614E-6</v>
      </c>
      <c r="CH110" s="173">
        <f t="shared" ref="CH110:CH141" si="371">MIN(SQRT(2*DT110*1000*Ls2_*(CM110+CK110*Vfwd22))/(Vout2+Vfwd22), 1-DY110)</f>
        <v>1.4384190816097088E-3</v>
      </c>
      <c r="CI110" s="170">
        <v>0.1</v>
      </c>
      <c r="CJ110" s="217">
        <v>1.0000000000000001E-9</v>
      </c>
      <c r="CK110" s="217">
        <f t="shared" ref="CK110:CK173" si="372">IF(PLOT_TYPE=1, CI110/100*Iout2, min_I*EXP(CU110*rr/100))</f>
        <v>2.5000000000000001E-4</v>
      </c>
      <c r="CL110" s="217">
        <f t="shared" ref="CL110:CL173" si="373">CJ110*Vout</f>
        <v>1.5000000000000002E-8</v>
      </c>
      <c r="CM110" s="217">
        <f t="shared" ref="CM110:CM173" si="374">Vout2*CK110</f>
        <v>2E-3</v>
      </c>
      <c r="CN110" s="541">
        <f t="shared" ref="CN110:CN173" si="375">VIN_min</f>
        <v>19</v>
      </c>
      <c r="CO110" s="443">
        <f t="shared" ref="CO110:CO141" si="376">(CW110+Vfwd2)*Nps</f>
        <v>15.7</v>
      </c>
      <c r="CP110" s="443">
        <f t="shared" ref="CP110:CP141" si="377">(Vout+Vfwd2)*Nps+CN110</f>
        <v>34.700000000000003</v>
      </c>
      <c r="CQ110" s="443"/>
      <c r="CR110" s="217">
        <f t="shared" ref="CR110:CR173" si="378">(Vout+Vfwd1)*Nps/((Vout+Vfwd1)*Nps+CN110)</f>
        <v>0.44767441860465118</v>
      </c>
      <c r="CS110" s="172">
        <f t="shared" ref="CS110:CS173" si="379">CR110*CN110*Isw_max*0.5*Efficiency*Pout/(Pout+Pout2)</f>
        <v>209.84738372093025</v>
      </c>
      <c r="CT110" s="172">
        <f t="shared" ref="CT110:CT173" si="380">CR110*CN110*Isw_max*0.5*Efficiency*(Pout2/Pout_total)</f>
        <v>2.835271317829458</v>
      </c>
      <c r="CU110" s="217">
        <f t="shared" ref="CU110:CU173" si="381">CS110/Vout</f>
        <v>13.989825581395349</v>
      </c>
      <c r="CV110" s="217">
        <f t="shared" ref="CV110:CV173" si="382">CS110/Vout2</f>
        <v>26.230922965116282</v>
      </c>
      <c r="CW110" s="217">
        <f t="shared" ref="CW110:CW173" si="383">MIN(Vout,CS110/CJ110)</f>
        <v>15</v>
      </c>
      <c r="CX110" s="217">
        <f t="shared" ref="CX110:CX173" si="384">MIN(2*(Vout*CJ110+Vout2*CK110)/(Efficiency*CN110*CR110), Isw_max)</f>
        <v>4.7027010252904987E-4</v>
      </c>
      <c r="CY110" s="217">
        <f t="shared" ref="CY110:CY173" si="385">L*CX110/CN110*1000000</f>
        <v>2.9701269633413676E-4</v>
      </c>
      <c r="CZ110" s="217">
        <f t="shared" ref="CZ110:CZ173" si="386">L*CX110/CO110*1000000</f>
        <v>3.5944211658271328E-4</v>
      </c>
      <c r="DA110" s="197">
        <f t="shared" ref="DA110:DA173" si="387">IF(1/((350000*L)*(1/CN110+1/CO110))&gt;Isw_min, 350, 0.001/((Isw_min*L)*(1/CN110+1/CO110)))</f>
        <v>71.63784822286263</v>
      </c>
      <c r="DB110" s="443">
        <f t="shared" ref="DB110:DB173" si="388">MIN(1/(CY110+CZ110)*1000, 350)</f>
        <v>350</v>
      </c>
      <c r="DD110" s="217">
        <f t="shared" ref="DD110:DD173" si="389">1/((DA110*1000*L)*(1/CN110+1/CO110))</f>
        <v>10.000000000000002</v>
      </c>
      <c r="DE110" s="173">
        <f t="shared" ref="DE110:DE173" si="390">L*DD110/CO110*1000000</f>
        <v>7.6433121019108299</v>
      </c>
      <c r="DF110" s="173">
        <f t="shared" ref="DF110:DF173" si="391">0.5*DE110*DD110*Nps*DA110/1000*(Pout/(Pout+Pout2))</f>
        <v>2.7017291066282429</v>
      </c>
      <c r="DG110" s="173"/>
      <c r="DH110" s="173">
        <f t="shared" ref="DH110:DH173" si="392">L*Isw_min/CO110*1000000</f>
        <v>7.6433121019108281</v>
      </c>
      <c r="DI110" s="545">
        <f t="shared" ref="DI110:DI173" si="393">MAX(10, CJ110/(0.5*DH110/1000000*Isw_min*Nps)/1000*Pout_total/Pout)</f>
        <v>10</v>
      </c>
      <c r="DJ110" s="528">
        <f t="shared" ref="DJ110:DJ173" si="394">0.5*DH110/1000000*Isw_min*Nps*DA110*1000*(Pout/Pout_total)</f>
        <v>2.7377521613832849</v>
      </c>
      <c r="DL110" s="173">
        <f t="shared" ref="DL110:DL173" si="395">SQRT((CL110+CM110)/(0.5*L*Fsw_DCM))</f>
        <v>3.0860785719713863E-2</v>
      </c>
      <c r="DM110" s="173">
        <f t="shared" ref="DM110:DM173" si="396">MAX(IF(CJ110&gt;DF110,CX110,DL110),Isw_min)</f>
        <v>10</v>
      </c>
      <c r="DN110" s="173">
        <f t="shared" ref="DN110:DN173" si="397">IF(CJ110&gt;DJ110, (DM110-Isw_min)/1.08*0.8+1.2, DI110*0.2/350+1)</f>
        <v>1.0057142857142858</v>
      </c>
      <c r="DP110" s="545">
        <f t="shared" ref="DP110:DP173" si="398">CJ110*1000</f>
        <v>1.0000000000000002E-6</v>
      </c>
      <c r="DQ110" s="460">
        <f t="shared" ref="DQ110:DQ173" si="399">IF(CJ110&gt;DJ110, DB110, DI110)</f>
        <v>10</v>
      </c>
      <c r="DS110" s="460">
        <f t="shared" ref="DS110:DS173" si="400">IF(CL110&gt;CS110, "",DP110)</f>
        <v>1.0000000000000002E-6</v>
      </c>
      <c r="DT110" s="460">
        <f t="shared" ref="DT110:DT173" si="401">IF(CL110&gt;CS110, "",DQ110)</f>
        <v>10</v>
      </c>
      <c r="DV110" s="5">
        <f t="shared" ref="DV110:DV173" si="402">1/DQ110*1000</f>
        <v>100</v>
      </c>
      <c r="DW110" s="5">
        <f t="shared" ref="DW110:DW173" si="403">L*DM110/CN110*1000000</f>
        <v>6.3157894736842106</v>
      </c>
      <c r="DX110" s="5">
        <f t="shared" ref="DX110:DX173" si="404">DV110-DW110</f>
        <v>93.684210526315795</v>
      </c>
      <c r="DY110" s="173">
        <f t="shared" ref="DY110:DY173" si="405">DW110/DV110</f>
        <v>6.3157894736842107E-2</v>
      </c>
      <c r="EA110" s="5">
        <f t="shared" ref="EA110:EA173" si="406">CJ110*DW110/Vout_ripple*1000</f>
        <v>4.2105263157894737E-8</v>
      </c>
      <c r="EB110" s="5">
        <f t="shared" ref="EB110:EB173" si="407">CK110*DW110/Vout_ripple2*1000</f>
        <v>1.9736842105263157E-2</v>
      </c>
      <c r="EC110" s="5">
        <f t="shared" ref="EC110:EC173" si="408">CL110/Efficiency/CN110*DX110/Vinripple1</f>
        <v>2.5503868564332792E-8</v>
      </c>
      <c r="ED110" s="5"/>
      <c r="EE110" s="173">
        <f t="shared" ref="EE110:EE173" si="409">DM110*SQRT(DY110/3)</f>
        <v>1.4509525002200232</v>
      </c>
      <c r="EF110" s="173">
        <f t="shared" ref="EF110:EF173" si="410">DM110*Npri_sec1*SQRT((1-DY110)/3)*(Pout/Pout_total)</f>
        <v>5.5882081363741811</v>
      </c>
      <c r="EG110" s="173">
        <f t="shared" ref="EG110:EG173" si="411">DM110*Npri_sec2*SQRT((1-DY110)/3)*(Pout2/Pout_total)</f>
        <v>0.13762332194678378</v>
      </c>
      <c r="EH110" s="173"/>
      <c r="EI110" s="528">
        <f t="shared" ref="EI110:EI173" si="412">Rdson*EE110^2</f>
        <v>4.2105263157894729E-2</v>
      </c>
      <c r="EJ110" s="528">
        <f t="shared" ref="EJ110:EJ173" si="413">0.5*CP110*DM110*DQ110*1000*Trise</f>
        <v>6.9400000000000003E-2</v>
      </c>
      <c r="EK110" s="528">
        <f t="shared" ref="EK110:EK173" si="414">Qg*Vdd*DQ110*1000</f>
        <v>1.2499999999999998E-3</v>
      </c>
      <c r="EL110" s="528">
        <f t="shared" ref="EL110:EL173" si="415">0.5*(Coss+Csw)*CP110^2*DQ110*1000</f>
        <v>1.2040900000000001E-3</v>
      </c>
      <c r="EM110">
        <f t="shared" ref="EM110:EM173" si="416">CN110*IQ</f>
        <v>8.5500000000000003E-3</v>
      </c>
      <c r="EN110" s="460">
        <f t="shared" ref="EN110:EN173" si="417">(EK110+EM110)*1000</f>
        <v>9.7999999999999989</v>
      </c>
      <c r="EP110" s="460">
        <f>SUM(EI110:EM110)*1000</f>
        <v>122.50935315789474</v>
      </c>
      <c r="EQ110" s="173">
        <f t="shared" ref="EQ110:EQ173" si="418">Vfwd2*CJ110</f>
        <v>6.9999999999999996E-10</v>
      </c>
      <c r="ER110" s="173">
        <f t="shared" ref="ER110:ER141" si="419">Vfwd22*CK110*(1+Diode_TC/1000*(Ta-25))</f>
        <v>1.1093749999999999E-4</v>
      </c>
      <c r="ES110" s="528"/>
      <c r="EU110" s="460">
        <f t="shared" ref="EU110:EU169" si="420">SUM(EQ110:ET110)*1000</f>
        <v>0.11093819999999999</v>
      </c>
      <c r="EV110" s="528">
        <f t="shared" ref="EV110:EV173" si="421">Rdcr_pri*EE110^2</f>
        <v>6.315789473684208E-2</v>
      </c>
      <c r="EW110" s="528">
        <f t="shared" ref="EW110:EW173" si="422">Rdcr_sec*EF110^2</f>
        <v>0.93684210526315792</v>
      </c>
      <c r="EX110" s="528">
        <f t="shared" ref="EX110:EX173" si="423">Rdcr_sec2*EG110^2</f>
        <v>9.4700893718340488E-5</v>
      </c>
      <c r="EY110" s="528">
        <f t="shared" ref="EY110:EY173" si="424">DM110^2.5*DQ110^2.5*k_core</f>
        <v>5.0000000000000096E-3</v>
      </c>
      <c r="EZ110" s="528"/>
      <c r="FA110" s="625">
        <f t="shared" ref="FA110:FA173" si="425">0.5*Lleak*0.000000001*DM110^2*DQ110*1000</f>
        <v>1.0000000000000002E-3</v>
      </c>
      <c r="FB110" s="460">
        <f t="shared" ref="FB110:FB169" si="426">SUM(EV110:FA110)*1000</f>
        <v>1006.0947008937185</v>
      </c>
      <c r="FC110" s="173">
        <f t="shared" ref="FC110:FC173" si="427">SUM(EI110:EM110,EQ110:ET110,EV110:FA110)</f>
        <v>1.1287149922516131</v>
      </c>
      <c r="FD110" s="5">
        <f t="shared" ref="FD110:FD173" si="428">MIN(CL110+CM110,CS110+CT110)</f>
        <v>2.000015E-3</v>
      </c>
      <c r="FE110" s="173">
        <f t="shared" ref="FE110:FE173" si="429">FD110/(FD110+FC110)</f>
        <v>1.7688055674270763E-3</v>
      </c>
      <c r="FF110" s="5">
        <f t="shared" ref="FF110:FF173" si="430">FE110*100</f>
        <v>0.17688055674270764</v>
      </c>
      <c r="FG110">
        <f t="shared" ref="FG110:FG173" si="431">CJ110/Iout*100</f>
        <v>1E-8</v>
      </c>
      <c r="FI110" s="562">
        <f t="shared" ref="FI110:FI173" si="432">IF(ABS(CJ110-Ioutmax_Vinmin)&lt;Iout/200, DQ110, -50)</f>
        <v>-50</v>
      </c>
      <c r="FJ110">
        <f t="shared" ref="FJ110:FJ173" si="433">IF(ABS(CJ110-Ioutmax_Vinmin)&lt;Iout/200, (CS110+CT110)*FE110, -50)</f>
        <v>-50</v>
      </c>
    </row>
    <row r="111" spans="5:169">
      <c r="E111" s="170">
        <v>1</v>
      </c>
      <c r="F111" s="217">
        <f t="shared" ref="F111:F142" si="434">IF(PLOT_TYPE=1, E111/100*Iout_max, min_I*EXP(O111*rr/100))</f>
        <v>0.1</v>
      </c>
      <c r="G111" s="217">
        <f t="shared" si="313"/>
        <v>2.5000000000000001E-3</v>
      </c>
      <c r="H111" s="217">
        <f t="shared" si="314"/>
        <v>1.5</v>
      </c>
      <c r="I111" s="217">
        <f t="shared" si="315"/>
        <v>0.02</v>
      </c>
      <c r="J111" s="541">
        <f t="shared" si="316"/>
        <v>18.858466322827447</v>
      </c>
      <c r="K111" s="443">
        <f t="shared" si="317"/>
        <v>15.775993420767852</v>
      </c>
      <c r="L111" s="172">
        <f t="shared" si="318"/>
        <v>34.634459743595301</v>
      </c>
      <c r="M111" s="443"/>
      <c r="N111" s="217">
        <f t="shared" si="319"/>
        <v>0.45549991359935077</v>
      </c>
      <c r="O111" s="172">
        <f t="shared" si="320"/>
        <v>211.92507682559625</v>
      </c>
      <c r="P111" s="172">
        <f t="shared" si="321"/>
        <v>2.8633432602213893</v>
      </c>
      <c r="Q111" s="217">
        <f t="shared" si="322"/>
        <v>14.128338455039749</v>
      </c>
      <c r="R111" s="217">
        <f t="shared" si="323"/>
        <v>26.490634603199531</v>
      </c>
      <c r="S111" s="217">
        <f t="shared" si="324"/>
        <v>15</v>
      </c>
      <c r="T111" s="217">
        <f t="shared" si="325"/>
        <v>0.35389865665459336</v>
      </c>
      <c r="U111" s="217">
        <f t="shared" si="326"/>
        <v>0.22519243119545476</v>
      </c>
      <c r="V111" s="217">
        <f t="shared" si="327"/>
        <v>0.26919280241741</v>
      </c>
      <c r="W111" s="197">
        <f t="shared" si="328"/>
        <v>71.583581505534738</v>
      </c>
      <c r="X111" s="443">
        <f t="shared" ref="X111:X174" si="435">MIN(1/(U111+V111+0.2)*1000, 350)</f>
        <v>350</v>
      </c>
      <c r="Z111" s="217">
        <f t="shared" si="329"/>
        <v>10</v>
      </c>
      <c r="AA111" s="173">
        <f t="shared" si="330"/>
        <v>7.6064940444276212</v>
      </c>
      <c r="AB111" s="173">
        <f t="shared" si="331"/>
        <v>2.6866780578979403</v>
      </c>
      <c r="AC111" s="173"/>
      <c r="AD111" s="173">
        <f t="shared" si="332"/>
        <v>7.6064940444276212</v>
      </c>
      <c r="AE111" s="545">
        <f t="shared" si="333"/>
        <v>10</v>
      </c>
      <c r="AF111" s="528">
        <f t="shared" si="334"/>
        <v>2.7225004320032462</v>
      </c>
      <c r="AH111" s="173">
        <f t="shared" si="335"/>
        <v>0.85076995939532551</v>
      </c>
      <c r="AI111" s="173">
        <f t="shared" si="336"/>
        <v>10</v>
      </c>
      <c r="AJ111" s="173">
        <f t="shared" si="337"/>
        <v>1.0057142857142858</v>
      </c>
      <c r="AL111" s="545">
        <f t="shared" si="338"/>
        <v>100</v>
      </c>
      <c r="AM111" s="460">
        <f t="shared" si="339"/>
        <v>10</v>
      </c>
      <c r="AO111" s="460">
        <f t="shared" si="340"/>
        <v>100</v>
      </c>
      <c r="AP111" s="460">
        <f t="shared" si="341"/>
        <v>10</v>
      </c>
      <c r="AR111" s="5">
        <f t="shared" si="275"/>
        <v>100</v>
      </c>
      <c r="AS111" s="5">
        <f>L*AI111/J111*1000000</f>
        <v>6.3631897708852723</v>
      </c>
      <c r="AT111" s="5">
        <f>AR111-AS111</f>
        <v>93.63681022911473</v>
      </c>
      <c r="AU111" s="173">
        <f>AS111/AR111</f>
        <v>6.3631897708852719E-2</v>
      </c>
      <c r="AW111" s="5">
        <f t="shared" si="342"/>
        <v>4.2421265139235143</v>
      </c>
      <c r="AX111" s="5">
        <f t="shared" si="343"/>
        <v>0.19884968034016476</v>
      </c>
      <c r="AY111" s="5">
        <f t="shared" si="344"/>
        <v>2.5682275561561561</v>
      </c>
      <c r="AZ111" s="5"/>
      <c r="BA111" s="173">
        <f t="shared" si="345"/>
        <v>1.4563870560265759</v>
      </c>
      <c r="BB111" s="173">
        <f t="shared" si="346"/>
        <v>5.5867942575659235</v>
      </c>
      <c r="BC111" s="173">
        <f t="shared" si="347"/>
        <v>0.13758850171574122</v>
      </c>
      <c r="BD111" s="173"/>
      <c r="BE111" s="528">
        <f t="shared" si="348"/>
        <v>4.2421265139235137E-2</v>
      </c>
      <c r="BF111" s="528">
        <f t="shared" si="349"/>
        <v>6.4939612019241186E-2</v>
      </c>
      <c r="BG111" s="528">
        <f t="shared" si="350"/>
        <v>4.7146165807068615E-3</v>
      </c>
      <c r="BH111" s="528">
        <f t="shared" si="351"/>
        <v>1.1995458017307237E-3</v>
      </c>
      <c r="BI111">
        <f t="shared" si="352"/>
        <v>8.4863098452723513E-3</v>
      </c>
      <c r="BJ111" s="460">
        <f t="shared" ref="BJ111:BJ174" si="436">(BG111+BI111)*1000</f>
        <v>13.200926425979212</v>
      </c>
      <c r="BK111">
        <f t="shared" si="353"/>
        <v>0.12123613906679533</v>
      </c>
      <c r="BL111" s="460">
        <f t="shared" ref="BL111:BL174" si="437">SUM(BE111:BI111)*1000</f>
        <v>121.76134938618625</v>
      </c>
      <c r="BM111" s="173">
        <f t="shared" si="354"/>
        <v>6.2124999999999993E-2</v>
      </c>
      <c r="BN111" s="173">
        <f t="shared" si="355"/>
        <v>1.5531249999999998E-3</v>
      </c>
      <c r="BO111" s="528"/>
      <c r="BQ111" s="460">
        <f t="shared" si="356"/>
        <v>63.678124999999987</v>
      </c>
      <c r="BR111" s="528">
        <f t="shared" si="357"/>
        <v>6.3631897708852692E-2</v>
      </c>
      <c r="BS111" s="528">
        <f t="shared" si="358"/>
        <v>0.93636810229114731</v>
      </c>
      <c r="BT111" s="528">
        <f t="shared" si="359"/>
        <v>9.4652979021912626E-5</v>
      </c>
      <c r="BU111" s="528">
        <f t="shared" si="360"/>
        <v>5.0000000000000096E-3</v>
      </c>
      <c r="BV111" s="528"/>
      <c r="BW111" s="625">
        <f t="shared" si="361"/>
        <v>1.0000000000000002E-3</v>
      </c>
      <c r="BX111" s="460">
        <f t="shared" si="362"/>
        <v>1006.094652979022</v>
      </c>
      <c r="BY111" s="173">
        <f t="shared" si="363"/>
        <v>1.1915341273652083</v>
      </c>
      <c r="BZ111" s="5">
        <f t="shared" si="364"/>
        <v>1.52</v>
      </c>
      <c r="CA111" s="173">
        <f t="shared" si="365"/>
        <v>0.56056827190922376</v>
      </c>
      <c r="CB111" s="5">
        <f t="shared" si="366"/>
        <v>56.056827190922377</v>
      </c>
      <c r="CC111">
        <f t="shared" si="367"/>
        <v>1</v>
      </c>
      <c r="CE111" s="562">
        <f t="shared" si="368"/>
        <v>-50</v>
      </c>
      <c r="CF111">
        <f t="shared" si="369"/>
        <v>-50</v>
      </c>
      <c r="CG111" s="173">
        <f t="shared" si="370"/>
        <v>3.9477101697586142E-2</v>
      </c>
      <c r="CH111" s="173">
        <f t="shared" si="371"/>
        <v>4.5486805277342992E-3</v>
      </c>
      <c r="CI111" s="170">
        <v>1</v>
      </c>
      <c r="CJ111" s="217">
        <f t="shared" ref="CJ111:CJ174" si="438">IF(PLOT_TYPE=1, CI111/100*Iout_max, min_I*EXP(CS111*rr/100))</f>
        <v>0.1</v>
      </c>
      <c r="CK111" s="217">
        <f t="shared" si="372"/>
        <v>2.5000000000000001E-3</v>
      </c>
      <c r="CL111" s="217">
        <f t="shared" si="373"/>
        <v>1.5</v>
      </c>
      <c r="CM111" s="217">
        <f t="shared" si="374"/>
        <v>0.02</v>
      </c>
      <c r="CN111" s="541">
        <f t="shared" si="375"/>
        <v>19</v>
      </c>
      <c r="CO111" s="443">
        <f t="shared" si="376"/>
        <v>15.7</v>
      </c>
      <c r="CP111" s="443">
        <f t="shared" si="377"/>
        <v>34.700000000000003</v>
      </c>
      <c r="CQ111" s="443"/>
      <c r="CR111" s="217">
        <f t="shared" si="378"/>
        <v>0.44767441860465118</v>
      </c>
      <c r="CS111" s="172">
        <f t="shared" si="379"/>
        <v>209.84738372093025</v>
      </c>
      <c r="CT111" s="172">
        <f t="shared" si="380"/>
        <v>2.835271317829458</v>
      </c>
      <c r="CU111" s="217">
        <f t="shared" si="381"/>
        <v>13.989825581395349</v>
      </c>
      <c r="CV111" s="217">
        <f t="shared" si="382"/>
        <v>26.230922965116282</v>
      </c>
      <c r="CW111" s="217">
        <f t="shared" si="383"/>
        <v>15</v>
      </c>
      <c r="CX111" s="217">
        <f t="shared" si="384"/>
        <v>0.35740259740259739</v>
      </c>
      <c r="CY111" s="217">
        <f t="shared" si="385"/>
        <v>0.22572795625427203</v>
      </c>
      <c r="CZ111" s="217">
        <f t="shared" si="386"/>
        <v>0.27317395979816361</v>
      </c>
      <c r="DA111" s="197">
        <f t="shared" si="387"/>
        <v>71.63784822286263</v>
      </c>
      <c r="DB111" s="443">
        <f t="shared" si="388"/>
        <v>350</v>
      </c>
      <c r="DD111" s="217">
        <f t="shared" si="389"/>
        <v>10.000000000000002</v>
      </c>
      <c r="DE111" s="173">
        <f t="shared" si="390"/>
        <v>7.6433121019108299</v>
      </c>
      <c r="DF111" s="173">
        <f t="shared" si="391"/>
        <v>2.7017291066282429</v>
      </c>
      <c r="DG111" s="173"/>
      <c r="DH111" s="173">
        <f t="shared" si="392"/>
        <v>7.6433121019108281</v>
      </c>
      <c r="DI111" s="545">
        <f t="shared" si="393"/>
        <v>10</v>
      </c>
      <c r="DJ111" s="528">
        <f t="shared" si="394"/>
        <v>2.7377521613832849</v>
      </c>
      <c r="DL111" s="173">
        <f t="shared" si="395"/>
        <v>0.85076995939532551</v>
      </c>
      <c r="DM111" s="173">
        <f t="shared" si="396"/>
        <v>10</v>
      </c>
      <c r="DN111" s="173">
        <f t="shared" si="397"/>
        <v>1.0057142857142858</v>
      </c>
      <c r="DP111" s="545">
        <f t="shared" si="398"/>
        <v>100</v>
      </c>
      <c r="DQ111" s="460">
        <f t="shared" si="399"/>
        <v>10</v>
      </c>
      <c r="DS111" s="460">
        <f t="shared" si="400"/>
        <v>100</v>
      </c>
      <c r="DT111" s="460">
        <f t="shared" si="401"/>
        <v>10</v>
      </c>
      <c r="DV111" s="5">
        <f t="shared" si="402"/>
        <v>100</v>
      </c>
      <c r="DW111" s="5">
        <f t="shared" si="403"/>
        <v>6.3157894736842106</v>
      </c>
      <c r="DX111" s="5">
        <f t="shared" si="404"/>
        <v>93.684210526315795</v>
      </c>
      <c r="DY111" s="173">
        <f t="shared" si="405"/>
        <v>6.3157894736842107E-2</v>
      </c>
      <c r="EA111" s="5">
        <f t="shared" si="406"/>
        <v>4.2105263157894743</v>
      </c>
      <c r="EB111" s="5">
        <f t="shared" si="407"/>
        <v>0.19736842105263158</v>
      </c>
      <c r="EC111" s="5">
        <f t="shared" si="408"/>
        <v>2.550386856433279</v>
      </c>
      <c r="ED111" s="5"/>
      <c r="EE111" s="173">
        <f t="shared" si="409"/>
        <v>1.4509525002200232</v>
      </c>
      <c r="EF111" s="173">
        <f t="shared" si="410"/>
        <v>5.5882081363741811</v>
      </c>
      <c r="EG111" s="173">
        <f t="shared" si="411"/>
        <v>0.13762332194678378</v>
      </c>
      <c r="EH111" s="173"/>
      <c r="EI111" s="528">
        <f t="shared" si="412"/>
        <v>4.2105263157894729E-2</v>
      </c>
      <c r="EJ111" s="528">
        <f t="shared" si="413"/>
        <v>6.9400000000000003E-2</v>
      </c>
      <c r="EK111" s="528">
        <f t="shared" si="414"/>
        <v>1.2499999999999998E-3</v>
      </c>
      <c r="EL111" s="528">
        <f t="shared" si="415"/>
        <v>1.2040900000000001E-3</v>
      </c>
      <c r="EM111">
        <f t="shared" si="416"/>
        <v>8.5500000000000003E-3</v>
      </c>
      <c r="EN111" s="460">
        <f t="shared" si="417"/>
        <v>9.7999999999999989</v>
      </c>
      <c r="EP111" s="460">
        <f t="shared" ref="EP111:EP174" si="439">SUM(EI111:EM111)*1000</f>
        <v>122.50935315789474</v>
      </c>
      <c r="EQ111" s="173">
        <f t="shared" si="418"/>
        <v>6.9999999999999993E-2</v>
      </c>
      <c r="ER111" s="173">
        <f t="shared" si="419"/>
        <v>1.1093749999999999E-3</v>
      </c>
      <c r="ES111" s="528"/>
      <c r="EU111" s="460">
        <f t="shared" si="420"/>
        <v>71.109374999999986</v>
      </c>
      <c r="EV111" s="528">
        <f t="shared" si="421"/>
        <v>6.315789473684208E-2</v>
      </c>
      <c r="EW111" s="528">
        <f t="shared" si="422"/>
        <v>0.93684210526315792</v>
      </c>
      <c r="EX111" s="528">
        <f t="shared" si="423"/>
        <v>9.4700893718340488E-5</v>
      </c>
      <c r="EY111" s="528">
        <f t="shared" si="424"/>
        <v>5.0000000000000096E-3</v>
      </c>
      <c r="EZ111" s="528"/>
      <c r="FA111" s="625">
        <f t="shared" si="425"/>
        <v>1.0000000000000002E-3</v>
      </c>
      <c r="FB111" s="460">
        <f t="shared" si="426"/>
        <v>1006.0947008937185</v>
      </c>
      <c r="FC111" s="173">
        <f t="shared" si="427"/>
        <v>1.1997134290516132</v>
      </c>
      <c r="FD111" s="5">
        <f t="shared" si="428"/>
        <v>1.52</v>
      </c>
      <c r="FE111" s="173">
        <f t="shared" si="429"/>
        <v>0.55888241156717622</v>
      </c>
      <c r="FF111" s="5">
        <f t="shared" si="430"/>
        <v>55.888241156717619</v>
      </c>
      <c r="FG111">
        <f t="shared" si="431"/>
        <v>1</v>
      </c>
      <c r="FI111" s="562">
        <f t="shared" si="432"/>
        <v>-50</v>
      </c>
      <c r="FJ111">
        <f t="shared" si="433"/>
        <v>-50</v>
      </c>
    </row>
    <row r="112" spans="5:169">
      <c r="E112" s="170">
        <v>3</v>
      </c>
      <c r="F112" s="217">
        <f>IF(PLOT_TYPE=1, E112/100*Iout_max, min_I*EXP(O112*rr/100))</f>
        <v>0.3</v>
      </c>
      <c r="G112" s="217">
        <f>IF(PLOT_TYPE=1, E112/100*Iout2, min_I*EXP(Q112*rr/100))</f>
        <v>7.4999999999999997E-3</v>
      </c>
      <c r="H112" s="217">
        <f>F112*Vout</f>
        <v>4.5</v>
      </c>
      <c r="I112" s="217">
        <f>Vout2*G112</f>
        <v>0.06</v>
      </c>
      <c r="J112" s="541">
        <f>VIN_min-(F112/CG112/Nps+G112/CH112/(Nps/Nsec1sec2))*(Rdcr_pri+RON/1000)</f>
        <v>18.754856480155087</v>
      </c>
      <c r="K112" s="443">
        <f t="shared" si="317"/>
        <v>15.831624465810881</v>
      </c>
      <c r="L112" s="172">
        <f t="shared" si="318"/>
        <v>34.586480945965967</v>
      </c>
      <c r="M112" s="443"/>
      <c r="N112" s="217">
        <f t="shared" si="319"/>
        <v>0.45774025089584663</v>
      </c>
      <c r="O112" s="172">
        <f>N112*J112*Isw_max*0.5*Efficiency*Pout/(Pout+Pout2)</f>
        <v>211.79735306106377</v>
      </c>
      <c r="P112" s="172">
        <f>N112*J112*Isw_max*0.5*Efficiency*(Pout2/Pout_total)</f>
        <v>2.8616175702472617</v>
      </c>
      <c r="Q112" s="217">
        <f>O112/Vout</f>
        <v>14.119823537404251</v>
      </c>
      <c r="R112" s="217">
        <f>O112/Vout2</f>
        <v>26.474669132632972</v>
      </c>
      <c r="S112" s="217">
        <f>MIN(Vout,O112/F112)</f>
        <v>15</v>
      </c>
      <c r="T112" s="217">
        <f>MIN(2*(Vout*F112+Vout2*G112)/(Efficiency*J112*N112), Isw_max)</f>
        <v>1.0623362225642627</v>
      </c>
      <c r="U112" s="217">
        <f>L*T112/J112*1000000</f>
        <v>0.67971912684376545</v>
      </c>
      <c r="V112" s="217">
        <f>L*T112/K112*1000000</f>
        <v>0.8052259386458489</v>
      </c>
      <c r="W112" s="197">
        <f>IF(1/((350000*L)*(1/J112+1/K112))&gt;Isw_min, 350, 0.001/((Isw_min*L)*(1/J112+1/K112)))</f>
        <v>71.540439256181529</v>
      </c>
      <c r="X112" s="443">
        <f t="shared" si="435"/>
        <v>350</v>
      </c>
      <c r="Z112" s="217">
        <f>1/((W112*1000*L)*(1/J112+1/K112))</f>
        <v>10</v>
      </c>
      <c r="AA112" s="173">
        <f>L*Z112/K112*1000000</f>
        <v>7.5797654409467272</v>
      </c>
      <c r="AB112" s="173">
        <f>0.5*AA112*Z112*Nps*W112/1000*(Pout/(Pout+Pout2))</f>
        <v>2.6756237620270724</v>
      </c>
      <c r="AC112" s="173"/>
      <c r="AD112" s="173">
        <f>L*Isw_min/K112*1000000</f>
        <v>7.5797654409467272</v>
      </c>
      <c r="AE112" s="545">
        <f>MAX(10, F112/(0.5*AD112/1000000*Isw_min*Nps)/1000*Pout_total/Pout)</f>
        <v>10</v>
      </c>
      <c r="AF112" s="528">
        <f>0.5*AD112/1000000*Isw_min*Nps*W112*1000*(Pout/Pout_total)</f>
        <v>2.7112987455207667</v>
      </c>
      <c r="AH112" s="173">
        <f>SQRT((H112+I112)/(0.5*L*Fsw_DCM))</f>
        <v>1.4735767952260144</v>
      </c>
      <c r="AI112" s="173">
        <f>MAX(IF(F112&gt;AB112,T112,AH112),Isw_min)</f>
        <v>10</v>
      </c>
      <c r="AJ112" s="173">
        <f>IF(F112&gt;AF112, (AI112-Isw_min)/1.08*0.8+1.2, AE112*0.2/350+1)</f>
        <v>1.0057142857142858</v>
      </c>
      <c r="AL112" s="545">
        <f>F112*1000</f>
        <v>300</v>
      </c>
      <c r="AM112" s="460">
        <f>IF(F112&gt;AF112, X112, AE112)</f>
        <v>10</v>
      </c>
      <c r="AO112" s="460">
        <f>IF(H112&gt;O112, "",AL112)</f>
        <v>300</v>
      </c>
      <c r="AP112" s="460">
        <f>IF(H112&gt;O112, "",AM112)</f>
        <v>10</v>
      </c>
      <c r="AR112" s="5">
        <f>1/AM112*1000</f>
        <v>100</v>
      </c>
      <c r="AS112" s="5">
        <f>L*AI112/J112*1000000</f>
        <v>6.398342750688311</v>
      </c>
      <c r="AT112" s="5">
        <f>AR112-AS112</f>
        <v>93.601657249311685</v>
      </c>
      <c r="AU112" s="173">
        <f>AS112/AR112</f>
        <v>6.3983427506883114E-2</v>
      </c>
      <c r="AW112" s="5">
        <f>F112*AS112/Vout_ripple*1000</f>
        <v>12.79668550137662</v>
      </c>
      <c r="AX112" s="5">
        <f>G112*AS112/Vout_ripple2*1000</f>
        <v>0.59984463287702916</v>
      </c>
      <c r="AY112" s="5">
        <f>H112/Efficiency/J112*AT112/Vinripple1</f>
        <v>7.7443381695717077</v>
      </c>
      <c r="AZ112" s="5"/>
      <c r="BA112" s="173">
        <f>AI112*SQRT(AU112/3)</f>
        <v>1.460404367596901</v>
      </c>
      <c r="BB112" s="173">
        <f>AI112*Npri_sec1*SQRT((1-AU112)/3)*(Pout/Pout_total)</f>
        <v>5.5857454664921153</v>
      </c>
      <c r="BC112" s="173">
        <f>AI112*Npri_sec2*SQRT((1-AU112)/3)*(Pout2/Pout_total)</f>
        <v>0.13756267266498232</v>
      </c>
      <c r="BD112" s="173"/>
      <c r="BE112" s="528">
        <f>Rdson*BA112^2</f>
        <v>4.2655618337922085E-2</v>
      </c>
      <c r="BF112" s="528">
        <f t="shared" si="349"/>
        <v>6.4849651773686193E-2</v>
      </c>
      <c r="BG112" s="528">
        <f t="shared" si="350"/>
        <v>4.6887141200387715E-3</v>
      </c>
      <c r="BH112" s="528">
        <f>0.5*(Coss+Csw)*L112^2*AM112*1000</f>
        <v>1.1962246642256669E-3</v>
      </c>
      <c r="BI112">
        <f>J112*IQ</f>
        <v>8.4396854160697886E-3</v>
      </c>
      <c r="BJ112" s="460">
        <f>(BG112+BI112)*1000</f>
        <v>13.12839953610856</v>
      </c>
      <c r="BK112">
        <f t="shared" si="353"/>
        <v>0.12144939833287227</v>
      </c>
      <c r="BL112" s="460">
        <f>SUM(BE112:BI112)*1000</f>
        <v>121.82989431194251</v>
      </c>
      <c r="BM112" s="173">
        <f t="shared" si="354"/>
        <v>0.18637499999999999</v>
      </c>
      <c r="BN112" s="173">
        <f t="shared" si="355"/>
        <v>4.6593749999999995E-3</v>
      </c>
      <c r="BO112" s="528"/>
      <c r="BQ112" s="460">
        <f>SUM(BM112:BP112)*1000</f>
        <v>191.03437499999998</v>
      </c>
      <c r="BR112" s="528">
        <f>Rdcr_pri*BA112^2</f>
        <v>6.3983427506883128E-2</v>
      </c>
      <c r="BS112" s="528">
        <f>Rdcr_sec*BB112^2</f>
        <v>0.93601657249311654</v>
      </c>
      <c r="BT112" s="528">
        <f>Rdcr_sec2*BC112^2</f>
        <v>9.461744455366537E-5</v>
      </c>
      <c r="BU112" s="528">
        <f>AI112^2.5*AM112^2.5*k_core</f>
        <v>5.0000000000000096E-3</v>
      </c>
      <c r="BV112" s="528"/>
      <c r="BW112" s="625">
        <f>0.5*Lleak*0.000000001*AI112^2*AM112*1000</f>
        <v>1.0000000000000002E-3</v>
      </c>
      <c r="BX112" s="460">
        <f>SUM(BR112:BW112)*1000</f>
        <v>1006.0946174445533</v>
      </c>
      <c r="BY112" s="173">
        <f>SUM(BE112:BI112,BM112:BP112,BR112:BW112)</f>
        <v>1.3189588867564959</v>
      </c>
      <c r="BZ112" s="5">
        <f>MIN(H112+I112,O112+P112)</f>
        <v>4.5599999999999996</v>
      </c>
      <c r="CA112" s="173">
        <f>BZ112/(BZ112+BY112)</f>
        <v>0.77564754029362093</v>
      </c>
      <c r="CB112" s="5">
        <f>CA112*100</f>
        <v>77.564754029362092</v>
      </c>
      <c r="CC112">
        <f>F112/Iout*100</f>
        <v>3</v>
      </c>
      <c r="CE112" s="562">
        <f>IF(ABS(F112-Ioutmax_Vinmin)&lt;Iout/200, AM112, -50)</f>
        <v>-50</v>
      </c>
      <c r="CF112">
        <f>IF(ABS(F112-Ioutmax_Vinmin)&lt;Iout/200, (O112+P112)*CA112, -50)</f>
        <v>-50</v>
      </c>
      <c r="CG112" s="173">
        <f>MIN(SQRT(2*DT112*1000*Ls1_*(CL112+CJ112*Vfwd1))/(CW112+Vfwd1), 1-DY112)</f>
        <v>6.8376345875782771E-2</v>
      </c>
      <c r="CH112" s="173">
        <f t="shared" si="371"/>
        <v>7.8785457814350198E-3</v>
      </c>
      <c r="CI112" s="170">
        <v>3</v>
      </c>
      <c r="CJ112" s="217">
        <f>IF(PLOT_TYPE=1, CI112/100*Iout_max, min_I*EXP(CS112*rr/100))</f>
        <v>0.3</v>
      </c>
      <c r="CK112" s="217">
        <f>IF(PLOT_TYPE=1, CI112/100*Iout2, min_I*EXP(CU112*rr/100))</f>
        <v>7.4999999999999997E-3</v>
      </c>
      <c r="CL112" s="217">
        <f>CJ112*Vout</f>
        <v>4.5</v>
      </c>
      <c r="CM112" s="217">
        <f>Vout2*CK112</f>
        <v>0.06</v>
      </c>
      <c r="CN112" s="541">
        <f t="shared" si="375"/>
        <v>19</v>
      </c>
      <c r="CO112" s="443">
        <f t="shared" si="376"/>
        <v>15.7</v>
      </c>
      <c r="CP112" s="443">
        <f t="shared" si="377"/>
        <v>34.700000000000003</v>
      </c>
      <c r="CQ112" s="443"/>
      <c r="CR112" s="217">
        <f>(Vout+Vfwd1)*Nps/((Vout+Vfwd1)*Nps+CN112)</f>
        <v>0.44767441860465118</v>
      </c>
      <c r="CS112" s="172">
        <f>CR112*CN112*Isw_max*0.5*Efficiency*Pout/(Pout+Pout2)</f>
        <v>209.84738372093025</v>
      </c>
      <c r="CT112" s="172">
        <f>CR112*CN112*Isw_max*0.5*Efficiency*(Pout2/Pout_total)</f>
        <v>2.835271317829458</v>
      </c>
      <c r="CU112" s="217">
        <f>CS112/Vout</f>
        <v>13.989825581395349</v>
      </c>
      <c r="CV112" s="217">
        <f>CS112/Vout2</f>
        <v>26.230922965116282</v>
      </c>
      <c r="CW112" s="217">
        <f>MIN(Vout,CS112/CJ112)</f>
        <v>15</v>
      </c>
      <c r="CX112" s="217">
        <f>MIN(2*(Vout*CJ112+Vout2*CK112)/(Efficiency*CN112*CR112), Isw_max)</f>
        <v>1.0722077922077922</v>
      </c>
      <c r="CY112" s="217">
        <f>L*CX112/CN112*1000000</f>
        <v>0.67718386876281611</v>
      </c>
      <c r="CZ112" s="217">
        <f>L*CX112/CO112*1000000</f>
        <v>0.81952187939449084</v>
      </c>
      <c r="DA112" s="197">
        <f>IF(1/((350000*L)*(1/CN112+1/CO112))&gt;Isw_min, 350, 0.001/((Isw_min*L)*(1/CN112+1/CO112)))</f>
        <v>71.63784822286263</v>
      </c>
      <c r="DB112" s="443">
        <f>MIN(1/(CY112+CZ112)*1000, 350)</f>
        <v>350</v>
      </c>
      <c r="DD112" s="217">
        <f>1/((DA112*1000*L)*(1/CN112+1/CO112))</f>
        <v>10.000000000000002</v>
      </c>
      <c r="DE112" s="173">
        <f>L*DD112/CO112*1000000</f>
        <v>7.6433121019108299</v>
      </c>
      <c r="DF112" s="173">
        <f>0.5*DE112*DD112*Nps*DA112/1000*(Pout/(Pout+Pout2))</f>
        <v>2.7017291066282429</v>
      </c>
      <c r="DG112" s="173"/>
      <c r="DH112" s="173">
        <f>L*Isw_min/CO112*1000000</f>
        <v>7.6433121019108281</v>
      </c>
      <c r="DI112" s="545">
        <f>MAX(10, CJ112/(0.5*DH112/1000000*Isw_min*Nps)/1000*Pout_total/Pout)</f>
        <v>10</v>
      </c>
      <c r="DJ112" s="528">
        <f>0.5*DH112/1000000*Isw_min*Nps*DA112*1000*(Pout/Pout_total)</f>
        <v>2.7377521613832849</v>
      </c>
      <c r="DL112" s="173">
        <f>SQRT((CL112+CM112)/(0.5*L*Fsw_DCM))</f>
        <v>1.4735767952260144</v>
      </c>
      <c r="DM112" s="173">
        <f>MAX(IF(CJ112&gt;DF112,CX112,DL112),Isw_min)</f>
        <v>10</v>
      </c>
      <c r="DN112" s="173">
        <f>IF(CJ112&gt;DJ112, (DM112-Isw_min)/1.08*0.8+1.2, DI112*0.2/350+1)</f>
        <v>1.0057142857142858</v>
      </c>
      <c r="DP112" s="545">
        <f>CJ112*1000</f>
        <v>300</v>
      </c>
      <c r="DQ112" s="460">
        <f>IF(CJ112&gt;DJ112, DB112, DI112)</f>
        <v>10</v>
      </c>
      <c r="DS112" s="460">
        <f>IF(CL112&gt;CS112, "",DP112)</f>
        <v>300</v>
      </c>
      <c r="DT112" s="460">
        <f>IF(CL112&gt;CS112, "",DQ112)</f>
        <v>10</v>
      </c>
      <c r="DV112" s="5">
        <f>1/DQ112*1000</f>
        <v>100</v>
      </c>
      <c r="DW112" s="5">
        <f>L*DM112/CN112*1000000</f>
        <v>6.3157894736842106</v>
      </c>
      <c r="DX112" s="5">
        <f>DV112-DW112</f>
        <v>93.684210526315795</v>
      </c>
      <c r="DY112" s="173">
        <f>DW112/DV112</f>
        <v>6.3157894736842107E-2</v>
      </c>
      <c r="EA112" s="5">
        <f>CJ112*DW112/Vout_ripple*1000</f>
        <v>12.631578947368421</v>
      </c>
      <c r="EB112" s="5">
        <f>CK112*DW112/Vout_ripple2*1000</f>
        <v>0.5921052631578948</v>
      </c>
      <c r="EC112" s="5">
        <f>CL112/Efficiency/CN112*DX112/Vinripple1</f>
        <v>7.6511605692998366</v>
      </c>
      <c r="ED112" s="5"/>
      <c r="EE112" s="173">
        <f>DM112*SQRT(DY112/3)</f>
        <v>1.4509525002200232</v>
      </c>
      <c r="EF112" s="173">
        <f>DM112*Npri_sec1*SQRT((1-DY112)/3)*(Pout/Pout_total)</f>
        <v>5.5882081363741811</v>
      </c>
      <c r="EG112" s="173">
        <f>DM112*Npri_sec2*SQRT((1-DY112)/3)*(Pout2/Pout_total)</f>
        <v>0.13762332194678378</v>
      </c>
      <c r="EH112" s="173"/>
      <c r="EI112" s="528">
        <f>Rdson*EE112^2</f>
        <v>4.2105263157894729E-2</v>
      </c>
      <c r="EJ112" s="528">
        <f>0.5*CP112*DM112*DQ112*1000*Trise</f>
        <v>6.9400000000000003E-2</v>
      </c>
      <c r="EK112" s="528">
        <f>Qg*Vdd*DQ112*1000</f>
        <v>1.2499999999999998E-3</v>
      </c>
      <c r="EL112" s="528">
        <f>0.5*(Coss+Csw)*CP112^2*DQ112*1000</f>
        <v>1.2040900000000001E-3</v>
      </c>
      <c r="EM112">
        <f>CN112*IQ</f>
        <v>8.5500000000000003E-3</v>
      </c>
      <c r="EN112" s="460">
        <f>(EK112+EM112)*1000</f>
        <v>9.7999999999999989</v>
      </c>
      <c r="EP112" s="460">
        <f>SUM(EI112:EM112)*1000</f>
        <v>122.50935315789474</v>
      </c>
      <c r="EQ112" s="173">
        <f>Vfwd2*CJ112</f>
        <v>0.21</v>
      </c>
      <c r="ER112" s="173">
        <f t="shared" si="419"/>
        <v>3.3281249999999999E-3</v>
      </c>
      <c r="ES112" s="528"/>
      <c r="EU112" s="460">
        <f>SUM(EQ112:ET112)*1000</f>
        <v>213.32812499999997</v>
      </c>
      <c r="EV112" s="528">
        <f>Rdcr_pri*EE112^2</f>
        <v>6.315789473684208E-2</v>
      </c>
      <c r="EW112" s="528">
        <f>Rdcr_sec*EF112^2</f>
        <v>0.93684210526315792</v>
      </c>
      <c r="EX112" s="528">
        <f>Rdcr_sec2*EG112^2</f>
        <v>9.4700893718340488E-5</v>
      </c>
      <c r="EY112" s="528">
        <f>DM112^2.5*DQ112^2.5*k_core</f>
        <v>5.0000000000000096E-3</v>
      </c>
      <c r="EZ112" s="528"/>
      <c r="FA112" s="625">
        <f>0.5*Lleak*0.000000001*DM112^2*DQ112*1000</f>
        <v>1.0000000000000002E-3</v>
      </c>
      <c r="FB112" s="460">
        <f>SUM(EV112:FA112)*1000</f>
        <v>1006.0947008937185</v>
      </c>
      <c r="FC112" s="173">
        <f>SUM(EI112:EM112,EQ112:ET112,EV112:FA112)</f>
        <v>1.3419321790516132</v>
      </c>
      <c r="FD112" s="5">
        <f>MIN(CL112+CM112,CS112+CT112)</f>
        <v>4.5599999999999996</v>
      </c>
      <c r="FE112" s="173">
        <f>FD112/(FD112+FC112)</f>
        <v>0.77262832944528181</v>
      </c>
      <c r="FF112" s="5">
        <f>FE112*100</f>
        <v>77.262832944528185</v>
      </c>
      <c r="FG112">
        <f>CJ112/Iout*100</f>
        <v>3</v>
      </c>
      <c r="FI112" s="562">
        <f>IF(ABS(CJ112-Ioutmax_Vinmin)&lt;Iout/200, DQ112, -50)</f>
        <v>-50</v>
      </c>
      <c r="FJ112">
        <f>IF(ABS(CJ112-Ioutmax_Vinmin)&lt;Iout/200, (CS112+CT112)*FE112, -50)</f>
        <v>-50</v>
      </c>
    </row>
    <row r="113" spans="5:166">
      <c r="E113" s="170">
        <v>3</v>
      </c>
      <c r="F113" s="217">
        <f t="shared" si="434"/>
        <v>0.3</v>
      </c>
      <c r="G113" s="217">
        <f t="shared" si="313"/>
        <v>7.4999999999999997E-3</v>
      </c>
      <c r="H113" s="217">
        <f t="shared" si="314"/>
        <v>4.5</v>
      </c>
      <c r="I113" s="217">
        <f t="shared" si="315"/>
        <v>0.06</v>
      </c>
      <c r="J113" s="541">
        <f t="shared" si="316"/>
        <v>18.754856480155087</v>
      </c>
      <c r="K113" s="443">
        <f t="shared" si="317"/>
        <v>15.831624465810881</v>
      </c>
      <c r="L113" s="172">
        <f t="shared" si="318"/>
        <v>34.586480945965967</v>
      </c>
      <c r="M113" s="443"/>
      <c r="N113" s="217">
        <f t="shared" si="319"/>
        <v>0.45774025089584663</v>
      </c>
      <c r="O113" s="172">
        <f t="shared" si="320"/>
        <v>211.79735306106377</v>
      </c>
      <c r="P113" s="172">
        <f t="shared" si="321"/>
        <v>2.8616175702472617</v>
      </c>
      <c r="Q113" s="217">
        <f t="shared" si="322"/>
        <v>14.119823537404251</v>
      </c>
      <c r="R113" s="217">
        <f t="shared" si="323"/>
        <v>26.474669132632972</v>
      </c>
      <c r="S113" s="217">
        <f t="shared" si="324"/>
        <v>15</v>
      </c>
      <c r="T113" s="217">
        <f t="shared" si="325"/>
        <v>1.0623362225642627</v>
      </c>
      <c r="U113" s="217">
        <f t="shared" si="326"/>
        <v>0.67971912684376545</v>
      </c>
      <c r="V113" s="217">
        <f t="shared" si="327"/>
        <v>0.8052259386458489</v>
      </c>
      <c r="W113" s="197">
        <f t="shared" si="328"/>
        <v>71.540439256181529</v>
      </c>
      <c r="X113" s="443">
        <f t="shared" si="435"/>
        <v>350</v>
      </c>
      <c r="Z113" s="217">
        <f t="shared" si="329"/>
        <v>10</v>
      </c>
      <c r="AA113" s="173">
        <f t="shared" si="330"/>
        <v>7.5797654409467272</v>
      </c>
      <c r="AB113" s="173">
        <f t="shared" si="331"/>
        <v>2.6756237620270724</v>
      </c>
      <c r="AC113" s="173"/>
      <c r="AD113" s="173">
        <f t="shared" si="332"/>
        <v>7.5797654409467272</v>
      </c>
      <c r="AE113" s="545">
        <f t="shared" si="333"/>
        <v>10</v>
      </c>
      <c r="AF113" s="528">
        <f t="shared" si="334"/>
        <v>2.7112987455207667</v>
      </c>
      <c r="AH113" s="173">
        <f t="shared" si="335"/>
        <v>1.4735767952260144</v>
      </c>
      <c r="AI113" s="173">
        <f t="shared" si="336"/>
        <v>10</v>
      </c>
      <c r="AJ113" s="173">
        <f t="shared" si="337"/>
        <v>1.0057142857142858</v>
      </c>
      <c r="AL113" s="545">
        <f t="shared" si="338"/>
        <v>300</v>
      </c>
      <c r="AM113" s="460">
        <f t="shared" si="339"/>
        <v>10</v>
      </c>
      <c r="AO113" s="460">
        <f t="shared" si="340"/>
        <v>300</v>
      </c>
      <c r="AP113" s="460">
        <f t="shared" si="341"/>
        <v>10</v>
      </c>
      <c r="AR113" s="5">
        <f t="shared" si="275"/>
        <v>100</v>
      </c>
      <c r="AS113" s="5">
        <f>L*AI113/J113*1000000</f>
        <v>6.398342750688311</v>
      </c>
      <c r="AT113" s="5">
        <f>AR113-AS113</f>
        <v>93.601657249311685</v>
      </c>
      <c r="AU113" s="173">
        <f>AS113/AR113</f>
        <v>6.3983427506883114E-2</v>
      </c>
      <c r="AW113" s="5">
        <f t="shared" si="342"/>
        <v>12.79668550137662</v>
      </c>
      <c r="AX113" s="5">
        <f t="shared" si="343"/>
        <v>0.59984463287702916</v>
      </c>
      <c r="AY113" s="5">
        <f t="shared" si="344"/>
        <v>7.7443381695717077</v>
      </c>
      <c r="AZ113" s="5"/>
      <c r="BA113" s="173">
        <f t="shared" si="345"/>
        <v>1.460404367596901</v>
      </c>
      <c r="BB113" s="173">
        <f t="shared" si="346"/>
        <v>5.5857454664921153</v>
      </c>
      <c r="BC113" s="173">
        <f t="shared" si="347"/>
        <v>0.13756267266498232</v>
      </c>
      <c r="BD113" s="173"/>
      <c r="BE113" s="528">
        <f t="shared" si="348"/>
        <v>4.2655618337922085E-2</v>
      </c>
      <c r="BF113" s="528">
        <f t="shared" si="349"/>
        <v>6.4849651773686193E-2</v>
      </c>
      <c r="BG113" s="528">
        <f t="shared" si="350"/>
        <v>4.6887141200387715E-3</v>
      </c>
      <c r="BH113" s="528">
        <f t="shared" si="351"/>
        <v>1.1962246642256669E-3</v>
      </c>
      <c r="BI113">
        <f t="shared" si="352"/>
        <v>8.4396854160697886E-3</v>
      </c>
      <c r="BJ113" s="460">
        <f t="shared" si="436"/>
        <v>13.12839953610856</v>
      </c>
      <c r="BK113">
        <f t="shared" si="353"/>
        <v>0.12144939833287227</v>
      </c>
      <c r="BL113" s="460">
        <f t="shared" si="437"/>
        <v>121.82989431194251</v>
      </c>
      <c r="BM113" s="173">
        <f t="shared" si="354"/>
        <v>0.18637499999999999</v>
      </c>
      <c r="BN113" s="173">
        <f t="shared" si="355"/>
        <v>4.6593749999999995E-3</v>
      </c>
      <c r="BO113" s="528"/>
      <c r="BQ113" s="460">
        <f t="shared" si="356"/>
        <v>191.03437499999998</v>
      </c>
      <c r="BR113" s="528">
        <f t="shared" si="357"/>
        <v>6.3983427506883128E-2</v>
      </c>
      <c r="BS113" s="528">
        <f t="shared" si="358"/>
        <v>0.93601657249311654</v>
      </c>
      <c r="BT113" s="528">
        <f t="shared" si="359"/>
        <v>9.461744455366537E-5</v>
      </c>
      <c r="BU113" s="528">
        <f t="shared" si="360"/>
        <v>5.0000000000000096E-3</v>
      </c>
      <c r="BV113" s="528"/>
      <c r="BW113" s="625">
        <f t="shared" si="361"/>
        <v>1.0000000000000002E-3</v>
      </c>
      <c r="BX113" s="460">
        <f t="shared" si="362"/>
        <v>1006.0946174445533</v>
      </c>
      <c r="BY113" s="173">
        <f t="shared" si="363"/>
        <v>1.3189588867564959</v>
      </c>
      <c r="BZ113" s="5">
        <f t="shared" si="364"/>
        <v>4.5599999999999996</v>
      </c>
      <c r="CA113" s="173">
        <f t="shared" si="365"/>
        <v>0.77564754029362093</v>
      </c>
      <c r="CB113" s="5">
        <f t="shared" si="366"/>
        <v>77.564754029362092</v>
      </c>
      <c r="CC113">
        <f t="shared" si="367"/>
        <v>3</v>
      </c>
      <c r="CE113" s="562">
        <f t="shared" si="368"/>
        <v>-50</v>
      </c>
      <c r="CF113">
        <f t="shared" si="369"/>
        <v>-50</v>
      </c>
      <c r="CG113" s="173">
        <f t="shared" si="370"/>
        <v>6.8376345875782771E-2</v>
      </c>
      <c r="CH113" s="173">
        <f t="shared" si="371"/>
        <v>7.8785457814350198E-3</v>
      </c>
      <c r="CI113" s="170">
        <v>3</v>
      </c>
      <c r="CJ113" s="217">
        <f t="shared" si="438"/>
        <v>0.3</v>
      </c>
      <c r="CK113" s="217">
        <f t="shared" si="372"/>
        <v>7.4999999999999997E-3</v>
      </c>
      <c r="CL113" s="217">
        <f t="shared" si="373"/>
        <v>4.5</v>
      </c>
      <c r="CM113" s="217">
        <f t="shared" si="374"/>
        <v>0.06</v>
      </c>
      <c r="CN113" s="541">
        <f t="shared" si="375"/>
        <v>19</v>
      </c>
      <c r="CO113" s="443">
        <f t="shared" si="376"/>
        <v>15.7</v>
      </c>
      <c r="CP113" s="443">
        <f t="shared" si="377"/>
        <v>34.700000000000003</v>
      </c>
      <c r="CQ113" s="443"/>
      <c r="CR113" s="217">
        <f t="shared" si="378"/>
        <v>0.44767441860465118</v>
      </c>
      <c r="CS113" s="172">
        <f t="shared" si="379"/>
        <v>209.84738372093025</v>
      </c>
      <c r="CT113" s="172">
        <f t="shared" si="380"/>
        <v>2.835271317829458</v>
      </c>
      <c r="CU113" s="217">
        <f t="shared" si="381"/>
        <v>13.989825581395349</v>
      </c>
      <c r="CV113" s="217">
        <f t="shared" si="382"/>
        <v>26.230922965116282</v>
      </c>
      <c r="CW113" s="217">
        <f t="shared" si="383"/>
        <v>15</v>
      </c>
      <c r="CX113" s="217">
        <f t="shared" si="384"/>
        <v>1.0722077922077922</v>
      </c>
      <c r="CY113" s="217">
        <f t="shared" si="385"/>
        <v>0.67718386876281611</v>
      </c>
      <c r="CZ113" s="217">
        <f t="shared" si="386"/>
        <v>0.81952187939449084</v>
      </c>
      <c r="DA113" s="197">
        <f t="shared" si="387"/>
        <v>71.63784822286263</v>
      </c>
      <c r="DB113" s="443">
        <f t="shared" si="388"/>
        <v>350</v>
      </c>
      <c r="DD113" s="217">
        <f t="shared" si="389"/>
        <v>10.000000000000002</v>
      </c>
      <c r="DE113" s="173">
        <f t="shared" si="390"/>
        <v>7.6433121019108299</v>
      </c>
      <c r="DF113" s="173">
        <f t="shared" si="391"/>
        <v>2.7017291066282429</v>
      </c>
      <c r="DG113" s="173"/>
      <c r="DH113" s="173">
        <f t="shared" si="392"/>
        <v>7.6433121019108281</v>
      </c>
      <c r="DI113" s="545">
        <f t="shared" si="393"/>
        <v>10</v>
      </c>
      <c r="DJ113" s="528">
        <f t="shared" si="394"/>
        <v>2.7377521613832849</v>
      </c>
      <c r="DL113" s="173">
        <f t="shared" si="395"/>
        <v>1.4735767952260144</v>
      </c>
      <c r="DM113" s="173">
        <f t="shared" si="396"/>
        <v>10</v>
      </c>
      <c r="DN113" s="173">
        <f t="shared" si="397"/>
        <v>1.0057142857142858</v>
      </c>
      <c r="DP113" s="545">
        <f t="shared" si="398"/>
        <v>300</v>
      </c>
      <c r="DQ113" s="460">
        <f t="shared" si="399"/>
        <v>10</v>
      </c>
      <c r="DS113" s="460">
        <f t="shared" si="400"/>
        <v>300</v>
      </c>
      <c r="DT113" s="460">
        <f t="shared" si="401"/>
        <v>10</v>
      </c>
      <c r="DV113" s="5">
        <f t="shared" si="402"/>
        <v>100</v>
      </c>
      <c r="DW113" s="5">
        <f t="shared" si="403"/>
        <v>6.3157894736842106</v>
      </c>
      <c r="DX113" s="5">
        <f t="shared" si="404"/>
        <v>93.684210526315795</v>
      </c>
      <c r="DY113" s="173">
        <f t="shared" si="405"/>
        <v>6.3157894736842107E-2</v>
      </c>
      <c r="EA113" s="5">
        <f t="shared" si="406"/>
        <v>12.631578947368421</v>
      </c>
      <c r="EB113" s="5">
        <f t="shared" si="407"/>
        <v>0.5921052631578948</v>
      </c>
      <c r="EC113" s="5">
        <f t="shared" si="408"/>
        <v>7.6511605692998366</v>
      </c>
      <c r="ED113" s="5"/>
      <c r="EE113" s="173">
        <f t="shared" si="409"/>
        <v>1.4509525002200232</v>
      </c>
      <c r="EF113" s="173">
        <f t="shared" si="410"/>
        <v>5.5882081363741811</v>
      </c>
      <c r="EG113" s="173">
        <f t="shared" si="411"/>
        <v>0.13762332194678378</v>
      </c>
      <c r="EH113" s="173"/>
      <c r="EI113" s="528">
        <f t="shared" si="412"/>
        <v>4.2105263157894729E-2</v>
      </c>
      <c r="EJ113" s="528">
        <f t="shared" si="413"/>
        <v>6.9400000000000003E-2</v>
      </c>
      <c r="EK113" s="528">
        <f t="shared" si="414"/>
        <v>1.2499999999999998E-3</v>
      </c>
      <c r="EL113" s="528">
        <f t="shared" si="415"/>
        <v>1.2040900000000001E-3</v>
      </c>
      <c r="EM113">
        <f t="shared" si="416"/>
        <v>8.5500000000000003E-3</v>
      </c>
      <c r="EN113" s="460">
        <f t="shared" si="417"/>
        <v>9.7999999999999989</v>
      </c>
      <c r="EP113" s="460">
        <f t="shared" si="439"/>
        <v>122.50935315789474</v>
      </c>
      <c r="EQ113" s="173">
        <f t="shared" si="418"/>
        <v>0.21</v>
      </c>
      <c r="ER113" s="173">
        <f t="shared" si="419"/>
        <v>3.3281249999999999E-3</v>
      </c>
      <c r="ES113" s="528"/>
      <c r="EU113" s="460">
        <f t="shared" si="420"/>
        <v>213.32812499999997</v>
      </c>
      <c r="EV113" s="528">
        <f t="shared" si="421"/>
        <v>6.315789473684208E-2</v>
      </c>
      <c r="EW113" s="528">
        <f t="shared" si="422"/>
        <v>0.93684210526315792</v>
      </c>
      <c r="EX113" s="528">
        <f t="shared" si="423"/>
        <v>9.4700893718340488E-5</v>
      </c>
      <c r="EY113" s="528">
        <f t="shared" si="424"/>
        <v>5.0000000000000096E-3</v>
      </c>
      <c r="EZ113" s="528"/>
      <c r="FA113" s="625">
        <f t="shared" si="425"/>
        <v>1.0000000000000002E-3</v>
      </c>
      <c r="FB113" s="460">
        <f t="shared" si="426"/>
        <v>1006.0947008937185</v>
      </c>
      <c r="FC113" s="173">
        <f t="shared" si="427"/>
        <v>1.3419321790516132</v>
      </c>
      <c r="FD113" s="5">
        <f t="shared" si="428"/>
        <v>4.5599999999999996</v>
      </c>
      <c r="FE113" s="173">
        <f t="shared" si="429"/>
        <v>0.77262832944528181</v>
      </c>
      <c r="FF113" s="5">
        <f t="shared" si="430"/>
        <v>77.262832944528185</v>
      </c>
      <c r="FG113">
        <f t="shared" si="431"/>
        <v>3</v>
      </c>
      <c r="FI113" s="562">
        <f t="shared" si="432"/>
        <v>-50</v>
      </c>
      <c r="FJ113">
        <f t="shared" si="433"/>
        <v>-50</v>
      </c>
    </row>
    <row r="114" spans="5:166">
      <c r="E114" s="170">
        <v>4</v>
      </c>
      <c r="F114" s="217">
        <f t="shared" si="434"/>
        <v>0.4</v>
      </c>
      <c r="G114" s="217">
        <f t="shared" si="313"/>
        <v>0.01</v>
      </c>
      <c r="H114" s="217">
        <f t="shared" si="314"/>
        <v>6</v>
      </c>
      <c r="I114" s="217">
        <f t="shared" si="315"/>
        <v>0.08</v>
      </c>
      <c r="J114" s="541">
        <f t="shared" si="316"/>
        <v>18.723315016620045</v>
      </c>
      <c r="K114" s="443">
        <f t="shared" si="317"/>
        <v>15.848559966660831</v>
      </c>
      <c r="L114" s="172">
        <f t="shared" si="318"/>
        <v>34.571874983280878</v>
      </c>
      <c r="M114" s="443"/>
      <c r="N114" s="217">
        <f t="shared" si="319"/>
        <v>0.4584235010199843</v>
      </c>
      <c r="O114" s="172">
        <f t="shared" si="320"/>
        <v>211.75676695606103</v>
      </c>
      <c r="P114" s="172">
        <f t="shared" si="321"/>
        <v>2.8610692068730028</v>
      </c>
      <c r="Q114" s="217">
        <f t="shared" si="322"/>
        <v>14.117117797070735</v>
      </c>
      <c r="R114" s="217">
        <f t="shared" si="323"/>
        <v>26.469595869507629</v>
      </c>
      <c r="S114" s="217">
        <f t="shared" si="324"/>
        <v>15</v>
      </c>
      <c r="T114" s="217">
        <f t="shared" si="325"/>
        <v>1.4167197786045214</v>
      </c>
      <c r="U114" s="217">
        <f t="shared" si="326"/>
        <v>0.90799291301585072</v>
      </c>
      <c r="V114" s="217">
        <f t="shared" si="327"/>
        <v>1.0726928742432715</v>
      </c>
      <c r="W114" s="197">
        <f t="shared" si="328"/>
        <v>71.526730171825065</v>
      </c>
      <c r="X114" s="443">
        <f t="shared" si="435"/>
        <v>350</v>
      </c>
      <c r="Z114" s="217">
        <f t="shared" si="329"/>
        <v>10</v>
      </c>
      <c r="AA114" s="173">
        <f t="shared" si="330"/>
        <v>7.5716658328853255</v>
      </c>
      <c r="AB114" s="173">
        <f t="shared" si="331"/>
        <v>2.6722524620724464</v>
      </c>
      <c r="AC114" s="173"/>
      <c r="AD114" s="173">
        <f t="shared" si="332"/>
        <v>7.5716658328853255</v>
      </c>
      <c r="AE114" s="545">
        <f t="shared" si="333"/>
        <v>10.565706644440553</v>
      </c>
      <c r="AF114" s="528">
        <f t="shared" si="334"/>
        <v>2.7078824949000788</v>
      </c>
      <c r="AH114" s="173">
        <f t="shared" si="335"/>
        <v>1.701539918790651</v>
      </c>
      <c r="AI114" s="173">
        <f t="shared" si="336"/>
        <v>10</v>
      </c>
      <c r="AJ114" s="173">
        <f t="shared" si="337"/>
        <v>1.0060375466539659</v>
      </c>
      <c r="AL114" s="545">
        <f t="shared" si="338"/>
        <v>400</v>
      </c>
      <c r="AM114" s="460">
        <f t="shared" si="339"/>
        <v>10.565706644440553</v>
      </c>
      <c r="AO114" s="460">
        <f t="shared" si="340"/>
        <v>400</v>
      </c>
      <c r="AP114" s="460">
        <f t="shared" si="341"/>
        <v>10.565706644440553</v>
      </c>
      <c r="AR114" s="5">
        <f t="shared" si="275"/>
        <v>94.645822911066574</v>
      </c>
      <c r="AS114" s="5">
        <f>L*AI114/J114*1000000</f>
        <v>6.4091214559750833</v>
      </c>
      <c r="AT114" s="5">
        <f>AR114-AS114</f>
        <v>88.236701455091492</v>
      </c>
      <c r="AU114" s="173">
        <f>AS114/AR114</f>
        <v>6.7716897152422448E-2</v>
      </c>
      <c r="AW114" s="5">
        <f t="shared" si="342"/>
        <v>17.090990549266891</v>
      </c>
      <c r="AX114" s="5">
        <f t="shared" si="343"/>
        <v>0.80114018199688541</v>
      </c>
      <c r="AY114" s="5">
        <f t="shared" si="344"/>
        <v>9.7503402844878391</v>
      </c>
      <c r="AZ114" s="5"/>
      <c r="BA114" s="173">
        <f t="shared" si="345"/>
        <v>1.5024080354819551</v>
      </c>
      <c r="BB114" s="173">
        <f t="shared" si="346"/>
        <v>5.5745944631203965</v>
      </c>
      <c r="BC114" s="173">
        <f t="shared" si="347"/>
        <v>0.13728805187606313</v>
      </c>
      <c r="BD114" s="173"/>
      <c r="BE114" s="528">
        <f t="shared" si="348"/>
        <v>4.5144598101614961E-2</v>
      </c>
      <c r="BF114" s="528">
        <f t="shared" si="349"/>
        <v>6.8489304229053541E-2</v>
      </c>
      <c r="BG114" s="528">
        <f t="shared" si="350"/>
        <v>4.9456263469263989E-3</v>
      </c>
      <c r="BH114" s="528">
        <f t="shared" si="351"/>
        <v>1.2628286205326558E-3</v>
      </c>
      <c r="BI114">
        <f t="shared" si="352"/>
        <v>8.4254917574790207E-3</v>
      </c>
      <c r="BJ114" s="460">
        <f t="shared" si="436"/>
        <v>13.37111810440542</v>
      </c>
      <c r="BK114">
        <f t="shared" si="353"/>
        <v>0.12846372009888296</v>
      </c>
      <c r="BL114" s="460">
        <f t="shared" si="437"/>
        <v>128.2678490556066</v>
      </c>
      <c r="BM114" s="173">
        <f t="shared" si="354"/>
        <v>0.24849999999999997</v>
      </c>
      <c r="BN114" s="173">
        <f t="shared" si="355"/>
        <v>6.2124999999999993E-3</v>
      </c>
      <c r="BO114" s="528"/>
      <c r="BQ114" s="460">
        <f t="shared" si="356"/>
        <v>254.71249999999995</v>
      </c>
      <c r="BR114" s="528">
        <f t="shared" si="357"/>
        <v>6.7716897152422434E-2</v>
      </c>
      <c r="BS114" s="528">
        <f t="shared" si="358"/>
        <v>0.93228310284757743</v>
      </c>
      <c r="BT114" s="528">
        <f t="shared" si="359"/>
        <v>9.4240045939623015E-5</v>
      </c>
      <c r="BU114" s="528">
        <f t="shared" si="360"/>
        <v>5.7374164636718877E-3</v>
      </c>
      <c r="BV114" s="528"/>
      <c r="BW114" s="625">
        <f t="shared" si="361"/>
        <v>1.0565706644440555E-3</v>
      </c>
      <c r="BX114" s="460">
        <f t="shared" si="362"/>
        <v>1006.8882271740556</v>
      </c>
      <c r="BY114" s="173">
        <f t="shared" si="363"/>
        <v>1.3898685762296621</v>
      </c>
      <c r="BZ114" s="5">
        <f t="shared" si="364"/>
        <v>6.08</v>
      </c>
      <c r="CA114" s="173">
        <f t="shared" si="365"/>
        <v>0.8139366761213912</v>
      </c>
      <c r="CB114" s="5">
        <f t="shared" si="366"/>
        <v>81.393667612139126</v>
      </c>
      <c r="CC114">
        <f t="shared" si="367"/>
        <v>4</v>
      </c>
      <c r="CE114" s="562">
        <f t="shared" si="368"/>
        <v>-50</v>
      </c>
      <c r="CF114">
        <f t="shared" si="369"/>
        <v>-50</v>
      </c>
      <c r="CG114" s="173">
        <f t="shared" si="370"/>
        <v>8.0775462392209965E-2</v>
      </c>
      <c r="CH114" s="173">
        <f t="shared" si="371"/>
        <v>9.3072124624753293E-3</v>
      </c>
      <c r="CI114" s="170">
        <v>4</v>
      </c>
      <c r="CJ114" s="217">
        <f t="shared" si="438"/>
        <v>0.4</v>
      </c>
      <c r="CK114" s="217">
        <f t="shared" si="372"/>
        <v>0.01</v>
      </c>
      <c r="CL114" s="217">
        <f t="shared" si="373"/>
        <v>6</v>
      </c>
      <c r="CM114" s="217">
        <f t="shared" si="374"/>
        <v>0.08</v>
      </c>
      <c r="CN114" s="541">
        <f t="shared" si="375"/>
        <v>19</v>
      </c>
      <c r="CO114" s="443">
        <f t="shared" si="376"/>
        <v>15.7</v>
      </c>
      <c r="CP114" s="443">
        <f t="shared" si="377"/>
        <v>34.700000000000003</v>
      </c>
      <c r="CQ114" s="443"/>
      <c r="CR114" s="217">
        <f t="shared" si="378"/>
        <v>0.44767441860465118</v>
      </c>
      <c r="CS114" s="172">
        <f t="shared" si="379"/>
        <v>209.84738372093025</v>
      </c>
      <c r="CT114" s="172">
        <f t="shared" si="380"/>
        <v>2.835271317829458</v>
      </c>
      <c r="CU114" s="217">
        <f t="shared" si="381"/>
        <v>13.989825581395349</v>
      </c>
      <c r="CV114" s="217">
        <f t="shared" si="382"/>
        <v>26.230922965116282</v>
      </c>
      <c r="CW114" s="217">
        <f t="shared" si="383"/>
        <v>15</v>
      </c>
      <c r="CX114" s="217">
        <f t="shared" si="384"/>
        <v>1.4296103896103896</v>
      </c>
      <c r="CY114" s="217">
        <f t="shared" si="385"/>
        <v>0.90291182501708811</v>
      </c>
      <c r="CZ114" s="217">
        <f t="shared" si="386"/>
        <v>1.0926958391926545</v>
      </c>
      <c r="DA114" s="197">
        <f t="shared" si="387"/>
        <v>71.63784822286263</v>
      </c>
      <c r="DB114" s="443">
        <f t="shared" si="388"/>
        <v>350</v>
      </c>
      <c r="DD114" s="217">
        <f t="shared" si="389"/>
        <v>10.000000000000002</v>
      </c>
      <c r="DE114" s="173">
        <f t="shared" si="390"/>
        <v>7.6433121019108299</v>
      </c>
      <c r="DF114" s="173">
        <f t="shared" si="391"/>
        <v>2.7017291066282429</v>
      </c>
      <c r="DG114" s="173"/>
      <c r="DH114" s="173">
        <f t="shared" si="392"/>
        <v>7.6433121019108281</v>
      </c>
      <c r="DI114" s="545">
        <f t="shared" si="393"/>
        <v>10.466666666666669</v>
      </c>
      <c r="DJ114" s="528">
        <f t="shared" si="394"/>
        <v>2.7377521613832849</v>
      </c>
      <c r="DL114" s="173">
        <f t="shared" si="395"/>
        <v>1.701539918790651</v>
      </c>
      <c r="DM114" s="173">
        <f t="shared" si="396"/>
        <v>10</v>
      </c>
      <c r="DN114" s="173">
        <f t="shared" si="397"/>
        <v>1.0059809523809524</v>
      </c>
      <c r="DP114" s="545">
        <f t="shared" si="398"/>
        <v>400</v>
      </c>
      <c r="DQ114" s="460">
        <f t="shared" si="399"/>
        <v>10.466666666666669</v>
      </c>
      <c r="DS114" s="460">
        <f t="shared" si="400"/>
        <v>400</v>
      </c>
      <c r="DT114" s="460">
        <f t="shared" si="401"/>
        <v>10.466666666666669</v>
      </c>
      <c r="DV114" s="5">
        <f t="shared" si="402"/>
        <v>95.541401273885327</v>
      </c>
      <c r="DW114" s="5">
        <f t="shared" si="403"/>
        <v>6.3157894736842106</v>
      </c>
      <c r="DX114" s="5">
        <f t="shared" si="404"/>
        <v>89.225611800201122</v>
      </c>
      <c r="DY114" s="173">
        <f t="shared" si="405"/>
        <v>6.610526315789475E-2</v>
      </c>
      <c r="EA114" s="5">
        <f t="shared" si="406"/>
        <v>16.842105263157897</v>
      </c>
      <c r="EB114" s="5">
        <f t="shared" si="407"/>
        <v>0.78947368421052633</v>
      </c>
      <c r="EC114" s="5">
        <f t="shared" si="408"/>
        <v>9.7160375825990304</v>
      </c>
      <c r="ED114" s="5"/>
      <c r="EE114" s="173">
        <f t="shared" si="409"/>
        <v>1.4844220329575497</v>
      </c>
      <c r="EF114" s="173">
        <f t="shared" si="410"/>
        <v>5.5794107718829515</v>
      </c>
      <c r="EG114" s="173">
        <f t="shared" si="411"/>
        <v>0.13740666528401937</v>
      </c>
      <c r="EH114" s="173"/>
      <c r="EI114" s="528">
        <f t="shared" si="412"/>
        <v>4.4070175438596496E-2</v>
      </c>
      <c r="EJ114" s="528">
        <f t="shared" si="413"/>
        <v>7.2638666666666685E-2</v>
      </c>
      <c r="EK114" s="528">
        <f t="shared" si="414"/>
        <v>1.3083333333333334E-3</v>
      </c>
      <c r="EL114" s="528">
        <f t="shared" si="415"/>
        <v>1.2602808666666672E-3</v>
      </c>
      <c r="EM114">
        <f t="shared" si="416"/>
        <v>8.5500000000000003E-3</v>
      </c>
      <c r="EN114" s="460">
        <f t="shared" si="417"/>
        <v>9.8583333333333343</v>
      </c>
      <c r="EP114" s="460">
        <f t="shared" si="439"/>
        <v>127.82745630526318</v>
      </c>
      <c r="EQ114" s="173">
        <f t="shared" si="418"/>
        <v>0.27999999999999997</v>
      </c>
      <c r="ER114" s="173">
        <f t="shared" si="419"/>
        <v>4.4374999999999996E-3</v>
      </c>
      <c r="ES114" s="528"/>
      <c r="EU114" s="460">
        <f t="shared" si="420"/>
        <v>284.43749999999994</v>
      </c>
      <c r="EV114" s="528">
        <f t="shared" si="421"/>
        <v>6.6105263157894736E-2</v>
      </c>
      <c r="EW114" s="528">
        <f t="shared" si="422"/>
        <v>0.93389473684210533</v>
      </c>
      <c r="EX114" s="528">
        <f t="shared" si="423"/>
        <v>9.4402958322372678E-5</v>
      </c>
      <c r="EY114" s="528">
        <f t="shared" si="424"/>
        <v>5.6039078827065068E-3</v>
      </c>
      <c r="EZ114" s="528"/>
      <c r="FA114" s="625">
        <f t="shared" si="425"/>
        <v>1.0466666666666669E-3</v>
      </c>
      <c r="FB114" s="460">
        <f t="shared" si="426"/>
        <v>1006.7449775076956</v>
      </c>
      <c r="FC114" s="173">
        <f t="shared" si="427"/>
        <v>1.4190099338129587</v>
      </c>
      <c r="FD114" s="5">
        <f t="shared" si="428"/>
        <v>6.08</v>
      </c>
      <c r="FE114" s="173">
        <f t="shared" si="429"/>
        <v>0.81077369594956028</v>
      </c>
      <c r="FF114" s="5">
        <f t="shared" si="430"/>
        <v>81.077369594956025</v>
      </c>
      <c r="FG114">
        <f t="shared" si="431"/>
        <v>4</v>
      </c>
      <c r="FI114" s="562">
        <f t="shared" si="432"/>
        <v>-50</v>
      </c>
      <c r="FJ114">
        <f t="shared" si="433"/>
        <v>-50</v>
      </c>
    </row>
    <row r="115" spans="5:166">
      <c r="E115" s="170">
        <v>5</v>
      </c>
      <c r="F115" s="217">
        <f t="shared" si="434"/>
        <v>0.5</v>
      </c>
      <c r="G115" s="217">
        <f t="shared" si="313"/>
        <v>1.2500000000000001E-2</v>
      </c>
      <c r="H115" s="217">
        <f t="shared" si="314"/>
        <v>7.5</v>
      </c>
      <c r="I115" s="217">
        <f t="shared" si="315"/>
        <v>0.1</v>
      </c>
      <c r="J115" s="541">
        <f t="shared" si="316"/>
        <v>18.723315016620045</v>
      </c>
      <c r="K115" s="443">
        <f t="shared" si="317"/>
        <v>15.848559966660831</v>
      </c>
      <c r="L115" s="172">
        <f t="shared" si="318"/>
        <v>34.571874983280878</v>
      </c>
      <c r="M115" s="443"/>
      <c r="N115" s="217">
        <f t="shared" si="319"/>
        <v>0.4584235010199843</v>
      </c>
      <c r="O115" s="172">
        <f t="shared" si="320"/>
        <v>211.75676695606103</v>
      </c>
      <c r="P115" s="172">
        <f t="shared" si="321"/>
        <v>2.8610692068730028</v>
      </c>
      <c r="Q115" s="217">
        <f t="shared" si="322"/>
        <v>14.117117797070735</v>
      </c>
      <c r="R115" s="217">
        <f t="shared" si="323"/>
        <v>26.469595869507629</v>
      </c>
      <c r="S115" s="217">
        <f t="shared" si="324"/>
        <v>15</v>
      </c>
      <c r="T115" s="217">
        <f t="shared" si="325"/>
        <v>1.7708997232556516</v>
      </c>
      <c r="U115" s="217">
        <f t="shared" si="326"/>
        <v>1.1349911412698133</v>
      </c>
      <c r="V115" s="217">
        <f t="shared" si="327"/>
        <v>1.3408660928040896</v>
      </c>
      <c r="W115" s="197">
        <f t="shared" si="328"/>
        <v>71.526730171825065</v>
      </c>
      <c r="X115" s="443">
        <f t="shared" si="435"/>
        <v>350</v>
      </c>
      <c r="Z115" s="217">
        <f t="shared" si="329"/>
        <v>10</v>
      </c>
      <c r="AA115" s="173">
        <f t="shared" si="330"/>
        <v>7.5716658328853255</v>
      </c>
      <c r="AB115" s="173">
        <f t="shared" si="331"/>
        <v>2.6722524620724464</v>
      </c>
      <c r="AC115" s="173"/>
      <c r="AD115" s="173">
        <f t="shared" si="332"/>
        <v>7.5716658328853255</v>
      </c>
      <c r="AE115" s="545">
        <f t="shared" si="333"/>
        <v>13.207133305550691</v>
      </c>
      <c r="AF115" s="528">
        <f t="shared" si="334"/>
        <v>2.7078824949000788</v>
      </c>
      <c r="AH115" s="173">
        <f t="shared" si="335"/>
        <v>1.9023794624226835</v>
      </c>
      <c r="AI115" s="173">
        <f t="shared" si="336"/>
        <v>10</v>
      </c>
      <c r="AJ115" s="173">
        <f t="shared" si="337"/>
        <v>1.0075469333174576</v>
      </c>
      <c r="AL115" s="545">
        <f t="shared" si="338"/>
        <v>500</v>
      </c>
      <c r="AM115" s="460">
        <f t="shared" si="339"/>
        <v>13.207133305550691</v>
      </c>
      <c r="AO115" s="460">
        <f t="shared" si="340"/>
        <v>500</v>
      </c>
      <c r="AP115" s="460">
        <f t="shared" si="341"/>
        <v>13.207133305550691</v>
      </c>
      <c r="AR115" s="5">
        <f t="shared" si="275"/>
        <v>75.716658328853256</v>
      </c>
      <c r="AS115" s="5">
        <f t="shared" ref="AS115:AS178" si="440">L*AI115/J115*1000000</f>
        <v>6.4091214559750833</v>
      </c>
      <c r="AT115" s="5">
        <f t="shared" ref="AT115:AT178" si="441">AR115-AS115</f>
        <v>69.307536872878174</v>
      </c>
      <c r="AU115" s="173">
        <f t="shared" ref="AU115:AU178" si="442">AS115/AR115</f>
        <v>8.4646121440528063E-2</v>
      </c>
      <c r="AW115" s="5">
        <f t="shared" si="342"/>
        <v>21.36373818658361</v>
      </c>
      <c r="AX115" s="5">
        <f t="shared" si="343"/>
        <v>1.0014252274961069</v>
      </c>
      <c r="AY115" s="5">
        <f t="shared" si="344"/>
        <v>9.5732849489816321</v>
      </c>
      <c r="AZ115" s="5"/>
      <c r="BA115" s="173">
        <f t="shared" si="345"/>
        <v>1.6797432486397841</v>
      </c>
      <c r="BB115" s="173">
        <f t="shared" si="346"/>
        <v>5.523748360667998</v>
      </c>
      <c r="BC115" s="173">
        <f t="shared" si="347"/>
        <v>0.13603584198037269</v>
      </c>
      <c r="BD115" s="173"/>
      <c r="BE115" s="528">
        <f t="shared" si="348"/>
        <v>5.6430747627018711E-2</v>
      </c>
      <c r="BF115" s="528">
        <f t="shared" si="349"/>
        <v>8.5611630286316937E-2</v>
      </c>
      <c r="BG115" s="528">
        <f t="shared" si="350"/>
        <v>6.1820329336579995E-3</v>
      </c>
      <c r="BH115" s="528">
        <f t="shared" si="351"/>
        <v>1.5785357756658196E-3</v>
      </c>
      <c r="BI115">
        <f t="shared" si="352"/>
        <v>8.4254917574790207E-3</v>
      </c>
      <c r="BJ115" s="460">
        <f t="shared" si="436"/>
        <v>14.607524691137019</v>
      </c>
      <c r="BK115">
        <f t="shared" si="353"/>
        <v>0.16101611080856687</v>
      </c>
      <c r="BL115" s="460">
        <f t="shared" si="437"/>
        <v>158.2284383801385</v>
      </c>
      <c r="BM115" s="173">
        <f t="shared" si="354"/>
        <v>0.31062499999999998</v>
      </c>
      <c r="BN115" s="173">
        <f t="shared" si="355"/>
        <v>7.7656249999999991E-3</v>
      </c>
      <c r="BO115" s="528"/>
      <c r="BQ115" s="460">
        <f t="shared" si="356"/>
        <v>318.390625</v>
      </c>
      <c r="BR115" s="528">
        <f t="shared" si="357"/>
        <v>8.4646121440528063E-2</v>
      </c>
      <c r="BS115" s="528">
        <f t="shared" si="358"/>
        <v>0.91535387855947181</v>
      </c>
      <c r="BT115" s="528">
        <f t="shared" si="359"/>
        <v>9.2528751516544639E-5</v>
      </c>
      <c r="BU115" s="528">
        <f t="shared" si="360"/>
        <v>1.0022854084372489E-2</v>
      </c>
      <c r="BV115" s="528"/>
      <c r="BW115" s="625">
        <f t="shared" si="361"/>
        <v>1.320713330555069E-3</v>
      </c>
      <c r="BX115" s="460">
        <f t="shared" si="362"/>
        <v>1011.4360961664439</v>
      </c>
      <c r="BY115" s="173">
        <f t="shared" si="363"/>
        <v>1.4880551595465825</v>
      </c>
      <c r="BZ115" s="5">
        <f t="shared" si="364"/>
        <v>7.6</v>
      </c>
      <c r="CA115" s="173">
        <f t="shared" si="365"/>
        <v>0.83626252994476491</v>
      </c>
      <c r="CB115" s="5">
        <f t="shared" si="366"/>
        <v>83.626252994476488</v>
      </c>
      <c r="CC115">
        <f t="shared" si="367"/>
        <v>5</v>
      </c>
      <c r="CE115" s="562">
        <f t="shared" si="368"/>
        <v>-50</v>
      </c>
      <c r="CF115">
        <f t="shared" si="369"/>
        <v>-50</v>
      </c>
      <c r="CG115" s="173">
        <f t="shared" si="370"/>
        <v>0.10096932799026244</v>
      </c>
      <c r="CH115" s="173">
        <f t="shared" si="371"/>
        <v>1.163401557809416E-2</v>
      </c>
      <c r="CI115" s="170">
        <v>5</v>
      </c>
      <c r="CJ115" s="217">
        <f t="shared" si="438"/>
        <v>0.5</v>
      </c>
      <c r="CK115" s="217">
        <f t="shared" si="372"/>
        <v>1.2500000000000001E-2</v>
      </c>
      <c r="CL115" s="217">
        <f t="shared" si="373"/>
        <v>7.5</v>
      </c>
      <c r="CM115" s="217">
        <f t="shared" si="374"/>
        <v>0.1</v>
      </c>
      <c r="CN115" s="541">
        <f t="shared" si="375"/>
        <v>19</v>
      </c>
      <c r="CO115" s="443">
        <f t="shared" si="376"/>
        <v>15.7</v>
      </c>
      <c r="CP115" s="443">
        <f t="shared" si="377"/>
        <v>34.700000000000003</v>
      </c>
      <c r="CQ115" s="443"/>
      <c r="CR115" s="217">
        <f t="shared" si="378"/>
        <v>0.44767441860465118</v>
      </c>
      <c r="CS115" s="172">
        <f t="shared" si="379"/>
        <v>209.84738372093025</v>
      </c>
      <c r="CT115" s="172">
        <f t="shared" si="380"/>
        <v>2.835271317829458</v>
      </c>
      <c r="CU115" s="217">
        <f t="shared" si="381"/>
        <v>13.989825581395349</v>
      </c>
      <c r="CV115" s="217">
        <f t="shared" si="382"/>
        <v>26.230922965116282</v>
      </c>
      <c r="CW115" s="217">
        <f t="shared" si="383"/>
        <v>15</v>
      </c>
      <c r="CX115" s="217">
        <f t="shared" si="384"/>
        <v>1.7870129870129869</v>
      </c>
      <c r="CY115" s="217">
        <f t="shared" si="385"/>
        <v>1.1286397812713602</v>
      </c>
      <c r="CZ115" s="217">
        <f t="shared" si="386"/>
        <v>1.3658697989908182</v>
      </c>
      <c r="DA115" s="197">
        <f t="shared" si="387"/>
        <v>71.63784822286263</v>
      </c>
      <c r="DB115" s="443">
        <f t="shared" si="388"/>
        <v>350</v>
      </c>
      <c r="DD115" s="217">
        <f t="shared" si="389"/>
        <v>10.000000000000002</v>
      </c>
      <c r="DE115" s="173">
        <f t="shared" si="390"/>
        <v>7.6433121019108299</v>
      </c>
      <c r="DF115" s="173">
        <f t="shared" si="391"/>
        <v>2.7017291066282429</v>
      </c>
      <c r="DG115" s="173"/>
      <c r="DH115" s="173">
        <f t="shared" si="392"/>
        <v>7.6433121019108281</v>
      </c>
      <c r="DI115" s="545">
        <f t="shared" si="393"/>
        <v>13.083333333333334</v>
      </c>
      <c r="DJ115" s="528">
        <f t="shared" si="394"/>
        <v>2.7377521613832849</v>
      </c>
      <c r="DL115" s="173">
        <f t="shared" si="395"/>
        <v>1.9023794624226835</v>
      </c>
      <c r="DM115" s="173">
        <f t="shared" si="396"/>
        <v>10</v>
      </c>
      <c r="DN115" s="173">
        <f t="shared" si="397"/>
        <v>1.0074761904761904</v>
      </c>
      <c r="DP115" s="545">
        <f t="shared" si="398"/>
        <v>500</v>
      </c>
      <c r="DQ115" s="460">
        <f t="shared" si="399"/>
        <v>13.083333333333334</v>
      </c>
      <c r="DS115" s="460">
        <f t="shared" si="400"/>
        <v>500</v>
      </c>
      <c r="DT115" s="460">
        <f t="shared" si="401"/>
        <v>13.083333333333334</v>
      </c>
      <c r="DV115" s="5">
        <f t="shared" si="402"/>
        <v>76.43312101910827</v>
      </c>
      <c r="DW115" s="5">
        <f t="shared" si="403"/>
        <v>6.3157894736842106</v>
      </c>
      <c r="DX115" s="5">
        <f t="shared" si="404"/>
        <v>70.117331545424065</v>
      </c>
      <c r="DY115" s="173">
        <f t="shared" si="405"/>
        <v>8.2631578947368431E-2</v>
      </c>
      <c r="EA115" s="5">
        <f t="shared" si="406"/>
        <v>21.052631578947366</v>
      </c>
      <c r="EB115" s="5">
        <f t="shared" si="407"/>
        <v>0.98684210526315796</v>
      </c>
      <c r="EC115" s="5">
        <f t="shared" si="408"/>
        <v>9.5441013900304981</v>
      </c>
      <c r="ED115" s="5"/>
      <c r="EE115" s="173">
        <f t="shared" si="409"/>
        <v>1.6596342864957572</v>
      </c>
      <c r="EF115" s="173">
        <f t="shared" si="410"/>
        <v>5.5298234482143327</v>
      </c>
      <c r="EG115" s="173">
        <f t="shared" si="411"/>
        <v>0.13618545590112163</v>
      </c>
      <c r="EH115" s="173"/>
      <c r="EI115" s="528">
        <f t="shared" si="412"/>
        <v>5.5087719298245616E-2</v>
      </c>
      <c r="EJ115" s="528">
        <f t="shared" si="413"/>
        <v>9.0798333333333342E-2</v>
      </c>
      <c r="EK115" s="528">
        <f t="shared" si="414"/>
        <v>1.6354166666666667E-3</v>
      </c>
      <c r="EL115" s="528">
        <f t="shared" si="415"/>
        <v>1.5753510833333337E-3</v>
      </c>
      <c r="EM115">
        <f t="shared" si="416"/>
        <v>8.5500000000000003E-3</v>
      </c>
      <c r="EN115" s="460">
        <f t="shared" si="417"/>
        <v>10.185416666666667</v>
      </c>
      <c r="EP115" s="460">
        <f t="shared" si="439"/>
        <v>157.64682038157895</v>
      </c>
      <c r="EQ115" s="173">
        <f t="shared" si="418"/>
        <v>0.35</v>
      </c>
      <c r="ER115" s="173">
        <f t="shared" si="419"/>
        <v>5.5468749999999997E-3</v>
      </c>
      <c r="ES115" s="528"/>
      <c r="EU115" s="460">
        <f t="shared" si="420"/>
        <v>355.546875</v>
      </c>
      <c r="EV115" s="528">
        <f t="shared" si="421"/>
        <v>8.2631578947368417E-2</v>
      </c>
      <c r="EW115" s="528">
        <f t="shared" si="422"/>
        <v>0.9173684210526315</v>
      </c>
      <c r="EX115" s="528">
        <f t="shared" si="423"/>
        <v>9.2732391994981728E-5</v>
      </c>
      <c r="EY115" s="528">
        <f t="shared" si="424"/>
        <v>9.7896241917020885E-3</v>
      </c>
      <c r="EZ115" s="528"/>
      <c r="FA115" s="625">
        <f t="shared" si="425"/>
        <v>1.3083333333333334E-3</v>
      </c>
      <c r="FB115" s="460">
        <f t="shared" si="426"/>
        <v>1011.1906899170302</v>
      </c>
      <c r="FC115" s="173">
        <f t="shared" si="427"/>
        <v>1.5243843852986092</v>
      </c>
      <c r="FD115" s="5">
        <f t="shared" si="428"/>
        <v>7.6</v>
      </c>
      <c r="FE115" s="173">
        <f t="shared" si="429"/>
        <v>0.83293290583475121</v>
      </c>
      <c r="FF115" s="5">
        <f t="shared" si="430"/>
        <v>83.293290583475127</v>
      </c>
      <c r="FG115">
        <f t="shared" si="431"/>
        <v>5</v>
      </c>
      <c r="FI115" s="562">
        <f t="shared" si="432"/>
        <v>-50</v>
      </c>
      <c r="FJ115">
        <f t="shared" si="433"/>
        <v>-50</v>
      </c>
    </row>
    <row r="116" spans="5:166">
      <c r="E116" s="170">
        <v>6</v>
      </c>
      <c r="F116" s="217">
        <f t="shared" si="434"/>
        <v>0.6</v>
      </c>
      <c r="G116" s="217">
        <f t="shared" si="313"/>
        <v>1.4999999999999999E-2</v>
      </c>
      <c r="H116" s="217">
        <f t="shared" si="314"/>
        <v>9</v>
      </c>
      <c r="I116" s="217">
        <f t="shared" si="315"/>
        <v>0.12</v>
      </c>
      <c r="J116" s="541">
        <f t="shared" si="316"/>
        <v>18.723315016620045</v>
      </c>
      <c r="K116" s="443">
        <f t="shared" si="317"/>
        <v>15.848559966660831</v>
      </c>
      <c r="L116" s="172">
        <f t="shared" si="318"/>
        <v>34.571874983280878</v>
      </c>
      <c r="M116" s="443"/>
      <c r="N116" s="217">
        <f t="shared" si="319"/>
        <v>0.4584235010199843</v>
      </c>
      <c r="O116" s="172">
        <f t="shared" si="320"/>
        <v>211.75676695606103</v>
      </c>
      <c r="P116" s="172">
        <f t="shared" si="321"/>
        <v>2.8610692068730028</v>
      </c>
      <c r="Q116" s="217">
        <f t="shared" si="322"/>
        <v>14.117117797070735</v>
      </c>
      <c r="R116" s="217">
        <f t="shared" si="323"/>
        <v>26.469595869507629</v>
      </c>
      <c r="S116" s="217">
        <f t="shared" si="324"/>
        <v>15</v>
      </c>
      <c r="T116" s="217">
        <f t="shared" si="325"/>
        <v>2.1250796679067818</v>
      </c>
      <c r="U116" s="217">
        <f t="shared" si="326"/>
        <v>1.3619893695237759</v>
      </c>
      <c r="V116" s="217">
        <f t="shared" si="327"/>
        <v>1.6090393113649073</v>
      </c>
      <c r="W116" s="197">
        <f t="shared" si="328"/>
        <v>71.526730171825065</v>
      </c>
      <c r="X116" s="443">
        <f t="shared" si="435"/>
        <v>315.35507894546987</v>
      </c>
      <c r="Z116" s="217">
        <f t="shared" si="329"/>
        <v>10</v>
      </c>
      <c r="AA116" s="173">
        <f t="shared" si="330"/>
        <v>7.5716658328853255</v>
      </c>
      <c r="AB116" s="173">
        <f t="shared" si="331"/>
        <v>2.6722524620724464</v>
      </c>
      <c r="AC116" s="173"/>
      <c r="AD116" s="173">
        <f t="shared" si="332"/>
        <v>7.5716658328853255</v>
      </c>
      <c r="AE116" s="545">
        <f t="shared" si="333"/>
        <v>15.848559966660829</v>
      </c>
      <c r="AF116" s="528">
        <f t="shared" si="334"/>
        <v>2.7078824949000788</v>
      </c>
      <c r="AH116" s="173">
        <f t="shared" si="335"/>
        <v>2.0839522890069109</v>
      </c>
      <c r="AI116" s="173">
        <f t="shared" si="336"/>
        <v>10</v>
      </c>
      <c r="AJ116" s="173">
        <f t="shared" si="337"/>
        <v>1.009056319980949</v>
      </c>
      <c r="AL116" s="545">
        <f t="shared" si="338"/>
        <v>600</v>
      </c>
      <c r="AM116" s="460">
        <f t="shared" si="339"/>
        <v>15.848559966660829</v>
      </c>
      <c r="AO116" s="460">
        <f t="shared" si="340"/>
        <v>600</v>
      </c>
      <c r="AP116" s="460">
        <f t="shared" si="341"/>
        <v>15.848559966660829</v>
      </c>
      <c r="AR116" s="5">
        <f t="shared" si="275"/>
        <v>63.09721527404438</v>
      </c>
      <c r="AS116" s="5">
        <f t="shared" si="440"/>
        <v>6.4091214559750833</v>
      </c>
      <c r="AT116" s="5">
        <f t="shared" si="441"/>
        <v>56.688093818069298</v>
      </c>
      <c r="AU116" s="173">
        <f t="shared" si="442"/>
        <v>0.10157534572863368</v>
      </c>
      <c r="AW116" s="5">
        <f t="shared" si="342"/>
        <v>25.63648582390033</v>
      </c>
      <c r="AX116" s="5">
        <f t="shared" si="343"/>
        <v>1.2017102729953282</v>
      </c>
      <c r="AY116" s="5">
        <f t="shared" si="344"/>
        <v>9.3962296134754215</v>
      </c>
      <c r="AZ116" s="5"/>
      <c r="BA116" s="173">
        <f t="shared" si="345"/>
        <v>1.8400665361940374</v>
      </c>
      <c r="BB116" s="173">
        <f t="shared" si="346"/>
        <v>5.4724298511458516</v>
      </c>
      <c r="BC116" s="173">
        <f t="shared" si="347"/>
        <v>0.13477199790272923</v>
      </c>
      <c r="BD116" s="173"/>
      <c r="BE116" s="528">
        <f t="shared" si="348"/>
        <v>6.7716897152422448E-2</v>
      </c>
      <c r="BF116" s="528">
        <f t="shared" si="349"/>
        <v>0.10273395634358032</v>
      </c>
      <c r="BG116" s="528">
        <f t="shared" si="350"/>
        <v>7.4184395203895992E-3</v>
      </c>
      <c r="BH116" s="528">
        <f t="shared" si="351"/>
        <v>1.8942429307989837E-3</v>
      </c>
      <c r="BI116">
        <f t="shared" si="352"/>
        <v>8.4254917574790207E-3</v>
      </c>
      <c r="BJ116" s="460">
        <f t="shared" si="436"/>
        <v>15.843931277868618</v>
      </c>
      <c r="BK116">
        <f t="shared" si="353"/>
        <v>0.19374594070621917</v>
      </c>
      <c r="BL116" s="460">
        <f t="shared" si="437"/>
        <v>188.18902770467037</v>
      </c>
      <c r="BM116" s="173">
        <f t="shared" si="354"/>
        <v>0.37274999999999997</v>
      </c>
      <c r="BN116" s="173">
        <f t="shared" si="355"/>
        <v>9.3187499999999989E-3</v>
      </c>
      <c r="BO116" s="528"/>
      <c r="BQ116" s="460">
        <f t="shared" si="356"/>
        <v>382.06874999999997</v>
      </c>
      <c r="BR116" s="528">
        <f t="shared" si="357"/>
        <v>0.10157534572863368</v>
      </c>
      <c r="BS116" s="528">
        <f t="shared" si="358"/>
        <v>0.89842465427136609</v>
      </c>
      <c r="BT116" s="528">
        <f t="shared" si="359"/>
        <v>9.0817457093466249E-5</v>
      </c>
      <c r="BU116" s="528">
        <f t="shared" si="360"/>
        <v>1.5810460625069578E-2</v>
      </c>
      <c r="BV116" s="528"/>
      <c r="BW116" s="625">
        <f t="shared" si="361"/>
        <v>1.584855996666083E-3</v>
      </c>
      <c r="BX116" s="460">
        <f t="shared" si="362"/>
        <v>1017.4861340788289</v>
      </c>
      <c r="BY116" s="173">
        <f t="shared" si="363"/>
        <v>1.5877439117834993</v>
      </c>
      <c r="BZ116" s="5">
        <f t="shared" si="364"/>
        <v>9.1199999999999992</v>
      </c>
      <c r="CA116" s="173">
        <f t="shared" si="365"/>
        <v>0.8517200331961392</v>
      </c>
      <c r="CB116" s="5">
        <f t="shared" si="366"/>
        <v>85.172003319613921</v>
      </c>
      <c r="CC116">
        <f t="shared" si="367"/>
        <v>6</v>
      </c>
      <c r="CE116" s="562">
        <f t="shared" si="368"/>
        <v>-50</v>
      </c>
      <c r="CF116">
        <f t="shared" si="369"/>
        <v>-50</v>
      </c>
      <c r="CG116" s="173">
        <f t="shared" si="370"/>
        <v>0.12116319358831493</v>
      </c>
      <c r="CH116" s="173">
        <f t="shared" si="371"/>
        <v>1.3960818693712991E-2</v>
      </c>
      <c r="CI116" s="170">
        <v>6</v>
      </c>
      <c r="CJ116" s="217">
        <f t="shared" si="438"/>
        <v>0.6</v>
      </c>
      <c r="CK116" s="217">
        <f t="shared" si="372"/>
        <v>1.4999999999999999E-2</v>
      </c>
      <c r="CL116" s="217">
        <f t="shared" si="373"/>
        <v>9</v>
      </c>
      <c r="CM116" s="217">
        <f t="shared" si="374"/>
        <v>0.12</v>
      </c>
      <c r="CN116" s="541">
        <f t="shared" si="375"/>
        <v>19</v>
      </c>
      <c r="CO116" s="443">
        <f t="shared" si="376"/>
        <v>15.7</v>
      </c>
      <c r="CP116" s="443">
        <f t="shared" si="377"/>
        <v>34.700000000000003</v>
      </c>
      <c r="CQ116" s="443"/>
      <c r="CR116" s="217">
        <f t="shared" si="378"/>
        <v>0.44767441860465118</v>
      </c>
      <c r="CS116" s="172">
        <f t="shared" si="379"/>
        <v>209.84738372093025</v>
      </c>
      <c r="CT116" s="172">
        <f t="shared" si="380"/>
        <v>2.835271317829458</v>
      </c>
      <c r="CU116" s="217">
        <f t="shared" si="381"/>
        <v>13.989825581395349</v>
      </c>
      <c r="CV116" s="217">
        <f t="shared" si="382"/>
        <v>26.230922965116282</v>
      </c>
      <c r="CW116" s="217">
        <f t="shared" si="383"/>
        <v>15</v>
      </c>
      <c r="CX116" s="217">
        <f t="shared" si="384"/>
        <v>2.1444155844155843</v>
      </c>
      <c r="CY116" s="217">
        <f t="shared" si="385"/>
        <v>1.3543677375256322</v>
      </c>
      <c r="CZ116" s="217">
        <f t="shared" si="386"/>
        <v>1.6390437587889817</v>
      </c>
      <c r="DA116" s="197">
        <f t="shared" si="387"/>
        <v>71.63784822286263</v>
      </c>
      <c r="DB116" s="443">
        <f t="shared" si="388"/>
        <v>334.0670005547737</v>
      </c>
      <c r="DD116" s="217">
        <f t="shared" si="389"/>
        <v>10.000000000000002</v>
      </c>
      <c r="DE116" s="173">
        <f t="shared" si="390"/>
        <v>7.6433121019108299</v>
      </c>
      <c r="DF116" s="173">
        <f t="shared" si="391"/>
        <v>2.7017291066282429</v>
      </c>
      <c r="DG116" s="173"/>
      <c r="DH116" s="173">
        <f t="shared" si="392"/>
        <v>7.6433121019108281</v>
      </c>
      <c r="DI116" s="545">
        <f t="shared" si="393"/>
        <v>15.7</v>
      </c>
      <c r="DJ116" s="528">
        <f t="shared" si="394"/>
        <v>2.7377521613832849</v>
      </c>
      <c r="DL116" s="173">
        <f t="shared" si="395"/>
        <v>2.0839522890069109</v>
      </c>
      <c r="DM116" s="173">
        <f t="shared" si="396"/>
        <v>10</v>
      </c>
      <c r="DN116" s="173">
        <f t="shared" si="397"/>
        <v>1.0089714285714286</v>
      </c>
      <c r="DP116" s="545">
        <f t="shared" si="398"/>
        <v>600</v>
      </c>
      <c r="DQ116" s="460">
        <f t="shared" si="399"/>
        <v>15.7</v>
      </c>
      <c r="DS116" s="460">
        <f t="shared" si="400"/>
        <v>600</v>
      </c>
      <c r="DT116" s="460">
        <f t="shared" si="401"/>
        <v>15.7</v>
      </c>
      <c r="DV116" s="5">
        <f t="shared" si="402"/>
        <v>63.694267515923563</v>
      </c>
      <c r="DW116" s="5">
        <f t="shared" si="403"/>
        <v>6.3157894736842106</v>
      </c>
      <c r="DX116" s="5">
        <f t="shared" si="404"/>
        <v>57.378478042239351</v>
      </c>
      <c r="DY116" s="173">
        <f t="shared" si="405"/>
        <v>9.9157894736842112E-2</v>
      </c>
      <c r="EA116" s="5">
        <f t="shared" si="406"/>
        <v>25.263157894736842</v>
      </c>
      <c r="EB116" s="5">
        <f t="shared" si="407"/>
        <v>1.1842105263157896</v>
      </c>
      <c r="EC116" s="5">
        <f t="shared" si="408"/>
        <v>9.3721651974619604</v>
      </c>
      <c r="ED116" s="5"/>
      <c r="EE116" s="173">
        <f t="shared" si="409"/>
        <v>1.8180382718454351</v>
      </c>
      <c r="EF116" s="173">
        <f t="shared" si="410"/>
        <v>5.4797874206431221</v>
      </c>
      <c r="EG116" s="173">
        <f t="shared" si="411"/>
        <v>0.13495319608485809</v>
      </c>
      <c r="EH116" s="173"/>
      <c r="EI116" s="528">
        <f t="shared" si="412"/>
        <v>6.6105263157894723E-2</v>
      </c>
      <c r="EJ116" s="528">
        <f t="shared" si="413"/>
        <v>0.108958</v>
      </c>
      <c r="EK116" s="528">
        <f t="shared" si="414"/>
        <v>1.9624999999999998E-3</v>
      </c>
      <c r="EL116" s="528">
        <f t="shared" si="415"/>
        <v>1.8904213000000003E-3</v>
      </c>
      <c r="EM116">
        <f t="shared" si="416"/>
        <v>8.5500000000000003E-3</v>
      </c>
      <c r="EN116" s="460">
        <f t="shared" si="417"/>
        <v>10.512500000000001</v>
      </c>
      <c r="EP116" s="460">
        <f t="shared" si="439"/>
        <v>187.46618445789474</v>
      </c>
      <c r="EQ116" s="173">
        <f t="shared" si="418"/>
        <v>0.42</v>
      </c>
      <c r="ER116" s="173">
        <f t="shared" si="419"/>
        <v>6.6562499999999998E-3</v>
      </c>
      <c r="ES116" s="528"/>
      <c r="EU116" s="460">
        <f t="shared" si="420"/>
        <v>426.65624999999994</v>
      </c>
      <c r="EV116" s="528">
        <f t="shared" si="421"/>
        <v>9.915789473684207E-2</v>
      </c>
      <c r="EW116" s="528">
        <f t="shared" si="422"/>
        <v>0.900842105263158</v>
      </c>
      <c r="EX116" s="528">
        <f t="shared" si="423"/>
        <v>9.1061825667590777E-5</v>
      </c>
      <c r="EY116" s="528">
        <f t="shared" si="424"/>
        <v>1.544255423796531E-2</v>
      </c>
      <c r="EZ116" s="528"/>
      <c r="FA116" s="625">
        <f t="shared" si="425"/>
        <v>1.57E-3</v>
      </c>
      <c r="FB116" s="460">
        <f t="shared" si="426"/>
        <v>1017.1036160636329</v>
      </c>
      <c r="FC116" s="173">
        <f t="shared" si="427"/>
        <v>1.6312260505215277</v>
      </c>
      <c r="FD116" s="5">
        <f t="shared" si="428"/>
        <v>9.1199999999999992</v>
      </c>
      <c r="FE116" s="173">
        <f t="shared" si="429"/>
        <v>0.84827534619250244</v>
      </c>
      <c r="FF116" s="5">
        <f t="shared" si="430"/>
        <v>84.827534619250244</v>
      </c>
      <c r="FG116">
        <f t="shared" si="431"/>
        <v>6</v>
      </c>
      <c r="FI116" s="562">
        <f t="shared" si="432"/>
        <v>-50</v>
      </c>
      <c r="FJ116">
        <f t="shared" si="433"/>
        <v>-50</v>
      </c>
    </row>
    <row r="117" spans="5:166">
      <c r="E117" s="170">
        <v>7</v>
      </c>
      <c r="F117" s="217">
        <f t="shared" si="434"/>
        <v>0.70000000000000007</v>
      </c>
      <c r="G117" s="217">
        <f t="shared" si="313"/>
        <v>1.7500000000000002E-2</v>
      </c>
      <c r="H117" s="217">
        <f t="shared" si="314"/>
        <v>10.500000000000002</v>
      </c>
      <c r="I117" s="217">
        <f t="shared" si="315"/>
        <v>0.14000000000000001</v>
      </c>
      <c r="J117" s="541">
        <f t="shared" si="316"/>
        <v>18.723315016620045</v>
      </c>
      <c r="K117" s="443">
        <f t="shared" si="317"/>
        <v>15.848559966660831</v>
      </c>
      <c r="L117" s="172">
        <f t="shared" si="318"/>
        <v>34.571874983280878</v>
      </c>
      <c r="M117" s="443"/>
      <c r="N117" s="217">
        <f t="shared" si="319"/>
        <v>0.4584235010199843</v>
      </c>
      <c r="O117" s="172">
        <f t="shared" si="320"/>
        <v>211.75676695606103</v>
      </c>
      <c r="P117" s="172">
        <f t="shared" si="321"/>
        <v>2.8610692068730028</v>
      </c>
      <c r="Q117" s="217">
        <f t="shared" si="322"/>
        <v>14.117117797070735</v>
      </c>
      <c r="R117" s="217">
        <f t="shared" si="323"/>
        <v>26.469595869507629</v>
      </c>
      <c r="S117" s="217">
        <f t="shared" si="324"/>
        <v>15</v>
      </c>
      <c r="T117" s="217">
        <f t="shared" si="325"/>
        <v>2.4792596125579132</v>
      </c>
      <c r="U117" s="217">
        <f t="shared" si="326"/>
        <v>1.5889875977777392</v>
      </c>
      <c r="V117" s="217">
        <f t="shared" si="327"/>
        <v>1.8772125299257258</v>
      </c>
      <c r="W117" s="197">
        <f t="shared" si="328"/>
        <v>71.526730171825065</v>
      </c>
      <c r="X117" s="443">
        <f t="shared" si="435"/>
        <v>272.76197838834491</v>
      </c>
      <c r="Z117" s="217">
        <f t="shared" si="329"/>
        <v>10</v>
      </c>
      <c r="AA117" s="173">
        <f t="shared" si="330"/>
        <v>7.5716658328853255</v>
      </c>
      <c r="AB117" s="173">
        <f t="shared" si="331"/>
        <v>2.6722524620724464</v>
      </c>
      <c r="AC117" s="173"/>
      <c r="AD117" s="173">
        <f t="shared" si="332"/>
        <v>7.5716658328853255</v>
      </c>
      <c r="AE117" s="545">
        <f t="shared" si="333"/>
        <v>18.489986627770971</v>
      </c>
      <c r="AF117" s="528">
        <f t="shared" si="334"/>
        <v>2.7078824949000788</v>
      </c>
      <c r="AH117" s="173">
        <f t="shared" si="335"/>
        <v>2.2509257354845511</v>
      </c>
      <c r="AI117" s="173">
        <f t="shared" si="336"/>
        <v>10</v>
      </c>
      <c r="AJ117" s="173">
        <f t="shared" si="337"/>
        <v>1.0105657066444405</v>
      </c>
      <c r="AL117" s="545">
        <f t="shared" si="338"/>
        <v>700.00000000000011</v>
      </c>
      <c r="AM117" s="460">
        <f t="shared" si="339"/>
        <v>18.489986627770971</v>
      </c>
      <c r="AO117" s="460">
        <f t="shared" si="340"/>
        <v>700.00000000000011</v>
      </c>
      <c r="AP117" s="460">
        <f t="shared" si="341"/>
        <v>18.489986627770971</v>
      </c>
      <c r="AR117" s="5">
        <f t="shared" si="275"/>
        <v>54.083327377752319</v>
      </c>
      <c r="AS117" s="5">
        <f t="shared" si="440"/>
        <v>6.4091214559750833</v>
      </c>
      <c r="AT117" s="5">
        <f t="shared" si="441"/>
        <v>47.674205921777236</v>
      </c>
      <c r="AU117" s="173">
        <f t="shared" si="442"/>
        <v>0.11850457001673931</v>
      </c>
      <c r="AW117" s="5">
        <f t="shared" si="342"/>
        <v>29.90923346121706</v>
      </c>
      <c r="AX117" s="5">
        <f t="shared" si="343"/>
        <v>1.4019953184945495</v>
      </c>
      <c r="AY117" s="5">
        <f t="shared" si="344"/>
        <v>9.2191742779692163</v>
      </c>
      <c r="AZ117" s="5"/>
      <c r="BA117" s="173">
        <f t="shared" si="345"/>
        <v>1.9874990148151797</v>
      </c>
      <c r="BB117" s="173">
        <f t="shared" si="346"/>
        <v>5.4206255173588609</v>
      </c>
      <c r="BC117" s="173">
        <f t="shared" si="347"/>
        <v>0.13349618921181824</v>
      </c>
      <c r="BD117" s="173"/>
      <c r="BE117" s="528">
        <f t="shared" si="348"/>
        <v>7.9003046677826191E-2</v>
      </c>
      <c r="BF117" s="528">
        <f t="shared" si="349"/>
        <v>0.11985628240084371</v>
      </c>
      <c r="BG117" s="528">
        <f t="shared" si="350"/>
        <v>8.6548461071211998E-3</v>
      </c>
      <c r="BH117" s="528">
        <f t="shared" si="351"/>
        <v>2.2099500859321481E-3</v>
      </c>
      <c r="BI117">
        <f t="shared" si="352"/>
        <v>8.4254917574790207E-3</v>
      </c>
      <c r="BJ117" s="460">
        <f t="shared" si="436"/>
        <v>17.080337864600217</v>
      </c>
      <c r="BK117">
        <f t="shared" si="353"/>
        <v>0.22665466455639732</v>
      </c>
      <c r="BL117" s="460">
        <f t="shared" si="437"/>
        <v>218.14961702920226</v>
      </c>
      <c r="BM117" s="173">
        <f t="shared" si="354"/>
        <v>0.43487499999999996</v>
      </c>
      <c r="BN117" s="173">
        <f t="shared" si="355"/>
        <v>1.0871875E-2</v>
      </c>
      <c r="BO117" s="528"/>
      <c r="BQ117" s="460">
        <f t="shared" si="356"/>
        <v>445.74687499999993</v>
      </c>
      <c r="BR117" s="528">
        <f t="shared" si="357"/>
        <v>0.11850457001673929</v>
      </c>
      <c r="BS117" s="528">
        <f t="shared" si="358"/>
        <v>0.88149542998326047</v>
      </c>
      <c r="BT117" s="528">
        <f t="shared" si="359"/>
        <v>8.9106162670387885E-5</v>
      </c>
      <c r="BU117" s="528">
        <f t="shared" si="360"/>
        <v>2.3244033731665323E-2</v>
      </c>
      <c r="BV117" s="528"/>
      <c r="BW117" s="625">
        <f t="shared" si="361"/>
        <v>1.8489986627770972E-3</v>
      </c>
      <c r="BX117" s="460">
        <f t="shared" si="362"/>
        <v>1025.1821385571125</v>
      </c>
      <c r="BY117" s="173">
        <f t="shared" si="363"/>
        <v>1.6890786305863148</v>
      </c>
      <c r="BZ117" s="5">
        <f t="shared" si="364"/>
        <v>10.640000000000002</v>
      </c>
      <c r="CA117" s="173">
        <f t="shared" si="365"/>
        <v>0.86300041704689912</v>
      </c>
      <c r="CB117" s="5">
        <f t="shared" si="366"/>
        <v>86.300041704689917</v>
      </c>
      <c r="CC117">
        <f t="shared" si="367"/>
        <v>7.0000000000000009</v>
      </c>
      <c r="CE117" s="562">
        <f t="shared" si="368"/>
        <v>-50</v>
      </c>
      <c r="CF117">
        <f t="shared" si="369"/>
        <v>-50</v>
      </c>
      <c r="CG117" s="173">
        <f t="shared" si="370"/>
        <v>0.14135705918636746</v>
      </c>
      <c r="CH117" s="173">
        <f t="shared" si="371"/>
        <v>1.6287621809331826E-2</v>
      </c>
      <c r="CI117" s="170">
        <v>7</v>
      </c>
      <c r="CJ117" s="217">
        <f t="shared" si="438"/>
        <v>0.70000000000000007</v>
      </c>
      <c r="CK117" s="217">
        <f t="shared" si="372"/>
        <v>1.7500000000000002E-2</v>
      </c>
      <c r="CL117" s="217">
        <f t="shared" si="373"/>
        <v>10.500000000000002</v>
      </c>
      <c r="CM117" s="217">
        <f t="shared" si="374"/>
        <v>0.14000000000000001</v>
      </c>
      <c r="CN117" s="541">
        <f t="shared" si="375"/>
        <v>19</v>
      </c>
      <c r="CO117" s="443">
        <f t="shared" si="376"/>
        <v>15.7</v>
      </c>
      <c r="CP117" s="443">
        <f t="shared" si="377"/>
        <v>34.700000000000003</v>
      </c>
      <c r="CQ117" s="443"/>
      <c r="CR117" s="217">
        <f t="shared" si="378"/>
        <v>0.44767441860465118</v>
      </c>
      <c r="CS117" s="172">
        <f t="shared" si="379"/>
        <v>209.84738372093025</v>
      </c>
      <c r="CT117" s="172">
        <f t="shared" si="380"/>
        <v>2.835271317829458</v>
      </c>
      <c r="CU117" s="217">
        <f t="shared" si="381"/>
        <v>13.989825581395349</v>
      </c>
      <c r="CV117" s="217">
        <f t="shared" si="382"/>
        <v>26.230922965116282</v>
      </c>
      <c r="CW117" s="217">
        <f t="shared" si="383"/>
        <v>15</v>
      </c>
      <c r="CX117" s="217">
        <f t="shared" si="384"/>
        <v>2.5018181818181824</v>
      </c>
      <c r="CY117" s="217">
        <f t="shared" si="385"/>
        <v>1.5800956937799049</v>
      </c>
      <c r="CZ117" s="217">
        <f t="shared" si="386"/>
        <v>1.9122177185871461</v>
      </c>
      <c r="DA117" s="197">
        <f t="shared" si="387"/>
        <v>71.63784822286263</v>
      </c>
      <c r="DB117" s="443">
        <f t="shared" si="388"/>
        <v>286.34314333266303</v>
      </c>
      <c r="DD117" s="217">
        <f t="shared" si="389"/>
        <v>10.000000000000002</v>
      </c>
      <c r="DE117" s="173">
        <f t="shared" si="390"/>
        <v>7.6433121019108299</v>
      </c>
      <c r="DF117" s="173">
        <f t="shared" si="391"/>
        <v>2.7017291066282429</v>
      </c>
      <c r="DG117" s="173"/>
      <c r="DH117" s="173">
        <f t="shared" si="392"/>
        <v>7.6433121019108281</v>
      </c>
      <c r="DI117" s="545">
        <f t="shared" si="393"/>
        <v>18.31666666666667</v>
      </c>
      <c r="DJ117" s="528">
        <f t="shared" si="394"/>
        <v>2.7377521613832849</v>
      </c>
      <c r="DL117" s="173">
        <f t="shared" si="395"/>
        <v>2.2509257354845511</v>
      </c>
      <c r="DM117" s="173">
        <f t="shared" si="396"/>
        <v>10</v>
      </c>
      <c r="DN117" s="173">
        <f t="shared" si="397"/>
        <v>1.0104666666666666</v>
      </c>
      <c r="DP117" s="545">
        <f t="shared" si="398"/>
        <v>700.00000000000011</v>
      </c>
      <c r="DQ117" s="460">
        <f t="shared" si="399"/>
        <v>18.31666666666667</v>
      </c>
      <c r="DS117" s="460">
        <f t="shared" si="400"/>
        <v>700.00000000000011</v>
      </c>
      <c r="DT117" s="460">
        <f t="shared" si="401"/>
        <v>18.31666666666667</v>
      </c>
      <c r="DV117" s="5">
        <f t="shared" si="402"/>
        <v>54.595086442220193</v>
      </c>
      <c r="DW117" s="5">
        <f t="shared" si="403"/>
        <v>6.3157894736842106</v>
      </c>
      <c r="DX117" s="5">
        <f t="shared" si="404"/>
        <v>48.279296968535981</v>
      </c>
      <c r="DY117" s="173">
        <f t="shared" si="405"/>
        <v>0.11568421052631581</v>
      </c>
      <c r="EA117" s="5">
        <f t="shared" si="406"/>
        <v>29.473684210526319</v>
      </c>
      <c r="EB117" s="5">
        <f t="shared" si="407"/>
        <v>1.3815789473684212</v>
      </c>
      <c r="EC117" s="5">
        <f t="shared" si="408"/>
        <v>9.2002290048934263</v>
      </c>
      <c r="ED117" s="5"/>
      <c r="EE117" s="173">
        <f t="shared" si="409"/>
        <v>1.9637057699353011</v>
      </c>
      <c r="EF117" s="173">
        <f t="shared" si="410"/>
        <v>5.4292902834952699</v>
      </c>
      <c r="EG117" s="173">
        <f t="shared" si="411"/>
        <v>0.13370958031509919</v>
      </c>
      <c r="EH117" s="173"/>
      <c r="EI117" s="528">
        <f t="shared" si="412"/>
        <v>7.7122807017543885E-2</v>
      </c>
      <c r="EJ117" s="528">
        <f t="shared" si="413"/>
        <v>0.12711766666666668</v>
      </c>
      <c r="EK117" s="528">
        <f t="shared" si="414"/>
        <v>2.2895833333333336E-3</v>
      </c>
      <c r="EL117" s="528">
        <f t="shared" si="415"/>
        <v>2.2054915166666673E-3</v>
      </c>
      <c r="EM117">
        <f t="shared" si="416"/>
        <v>8.5500000000000003E-3</v>
      </c>
      <c r="EN117" s="460">
        <f t="shared" si="417"/>
        <v>10.839583333333334</v>
      </c>
      <c r="EP117" s="460">
        <f t="shared" si="439"/>
        <v>217.28554853421056</v>
      </c>
      <c r="EQ117" s="173">
        <f t="shared" si="418"/>
        <v>0.49</v>
      </c>
      <c r="ER117" s="173">
        <f t="shared" si="419"/>
        <v>7.765625E-3</v>
      </c>
      <c r="ES117" s="528"/>
      <c r="EU117" s="460">
        <f t="shared" si="420"/>
        <v>497.765625</v>
      </c>
      <c r="EV117" s="528">
        <f t="shared" si="421"/>
        <v>0.11568421052631581</v>
      </c>
      <c r="EW117" s="528">
        <f t="shared" si="422"/>
        <v>0.88431578947368439</v>
      </c>
      <c r="EX117" s="528">
        <f t="shared" si="423"/>
        <v>8.9391259340199799E-5</v>
      </c>
      <c r="EY117" s="528">
        <f t="shared" si="424"/>
        <v>2.2703149523751295E-2</v>
      </c>
      <c r="EZ117" s="528"/>
      <c r="FA117" s="625">
        <f t="shared" si="425"/>
        <v>1.8316666666666672E-3</v>
      </c>
      <c r="FB117" s="460">
        <f t="shared" si="426"/>
        <v>1024.6242074497584</v>
      </c>
      <c r="FC117" s="173">
        <f t="shared" si="427"/>
        <v>1.7396753809839691</v>
      </c>
      <c r="FD117" s="5">
        <f t="shared" si="428"/>
        <v>10.640000000000002</v>
      </c>
      <c r="FE117" s="173">
        <f t="shared" si="429"/>
        <v>0.8594732634382134</v>
      </c>
      <c r="FF117" s="5">
        <f t="shared" si="430"/>
        <v>85.947326343821345</v>
      </c>
      <c r="FG117">
        <f t="shared" si="431"/>
        <v>7.0000000000000009</v>
      </c>
      <c r="FI117" s="562">
        <f t="shared" si="432"/>
        <v>-50</v>
      </c>
      <c r="FJ117">
        <f t="shared" si="433"/>
        <v>-50</v>
      </c>
    </row>
    <row r="118" spans="5:166">
      <c r="E118" s="170">
        <v>8</v>
      </c>
      <c r="F118" s="217">
        <f t="shared" si="434"/>
        <v>0.8</v>
      </c>
      <c r="G118" s="217">
        <f t="shared" si="313"/>
        <v>0.02</v>
      </c>
      <c r="H118" s="217">
        <f t="shared" si="314"/>
        <v>12</v>
      </c>
      <c r="I118" s="217">
        <f t="shared" si="315"/>
        <v>0.16</v>
      </c>
      <c r="J118" s="541">
        <f t="shared" si="316"/>
        <v>18.723315016620045</v>
      </c>
      <c r="K118" s="443">
        <f t="shared" si="317"/>
        <v>15.848559966660831</v>
      </c>
      <c r="L118" s="172">
        <f t="shared" si="318"/>
        <v>34.571874983280878</v>
      </c>
      <c r="M118" s="443"/>
      <c r="N118" s="217">
        <f t="shared" si="319"/>
        <v>0.4584235010199843</v>
      </c>
      <c r="O118" s="172">
        <f t="shared" si="320"/>
        <v>211.75676695606103</v>
      </c>
      <c r="P118" s="172">
        <f t="shared" si="321"/>
        <v>2.8610692068730028</v>
      </c>
      <c r="Q118" s="217">
        <f t="shared" si="322"/>
        <v>14.117117797070735</v>
      </c>
      <c r="R118" s="217">
        <f t="shared" si="323"/>
        <v>26.469595869507629</v>
      </c>
      <c r="S118" s="217">
        <f t="shared" si="324"/>
        <v>15</v>
      </c>
      <c r="T118" s="217">
        <f t="shared" si="325"/>
        <v>2.8334395572090427</v>
      </c>
      <c r="U118" s="217">
        <f t="shared" si="326"/>
        <v>1.8159858260317014</v>
      </c>
      <c r="V118" s="217">
        <f t="shared" si="327"/>
        <v>2.1453857484865431</v>
      </c>
      <c r="W118" s="197">
        <f t="shared" si="328"/>
        <v>71.526730171825065</v>
      </c>
      <c r="X118" s="443">
        <f t="shared" si="435"/>
        <v>240.30538539826702</v>
      </c>
      <c r="Z118" s="217">
        <f t="shared" si="329"/>
        <v>10</v>
      </c>
      <c r="AA118" s="173">
        <f t="shared" si="330"/>
        <v>7.5716658328853255</v>
      </c>
      <c r="AB118" s="173">
        <f t="shared" si="331"/>
        <v>2.6722524620724464</v>
      </c>
      <c r="AC118" s="173"/>
      <c r="AD118" s="173">
        <f t="shared" si="332"/>
        <v>7.5716658328853255</v>
      </c>
      <c r="AE118" s="545">
        <f t="shared" si="333"/>
        <v>21.131413288881106</v>
      </c>
      <c r="AF118" s="528">
        <f t="shared" si="334"/>
        <v>2.7078824949000788</v>
      </c>
      <c r="AH118" s="173">
        <f t="shared" si="335"/>
        <v>2.4063408300729532</v>
      </c>
      <c r="AI118" s="173">
        <f t="shared" si="336"/>
        <v>10</v>
      </c>
      <c r="AJ118" s="173">
        <f t="shared" si="337"/>
        <v>1.0120750933079321</v>
      </c>
      <c r="AL118" s="545">
        <f t="shared" si="338"/>
        <v>800</v>
      </c>
      <c r="AM118" s="460">
        <f t="shared" si="339"/>
        <v>21.131413288881106</v>
      </c>
      <c r="AO118" s="460">
        <f t="shared" si="340"/>
        <v>800</v>
      </c>
      <c r="AP118" s="460">
        <f t="shared" si="341"/>
        <v>21.131413288881106</v>
      </c>
      <c r="AR118" s="5">
        <f t="shared" si="275"/>
        <v>47.322911455533287</v>
      </c>
      <c r="AS118" s="5">
        <f t="shared" si="440"/>
        <v>6.4091214559750833</v>
      </c>
      <c r="AT118" s="5">
        <f t="shared" si="441"/>
        <v>40.913789999558205</v>
      </c>
      <c r="AU118" s="173">
        <f t="shared" si="442"/>
        <v>0.1354337943048449</v>
      </c>
      <c r="AW118" s="5">
        <f t="shared" si="342"/>
        <v>34.181981098533782</v>
      </c>
      <c r="AX118" s="5">
        <f t="shared" si="343"/>
        <v>1.6022803639937708</v>
      </c>
      <c r="AY118" s="5">
        <f t="shared" si="344"/>
        <v>9.0421189424630075</v>
      </c>
      <c r="AZ118" s="5"/>
      <c r="BA118" s="173">
        <f t="shared" si="345"/>
        <v>2.1247258199968995</v>
      </c>
      <c r="BB118" s="173">
        <f t="shared" si="346"/>
        <v>5.3683212947039447</v>
      </c>
      <c r="BC118" s="173">
        <f t="shared" si="347"/>
        <v>0.13220806953231679</v>
      </c>
      <c r="BD118" s="173"/>
      <c r="BE118" s="528">
        <f t="shared" si="348"/>
        <v>9.0289196203229935E-2</v>
      </c>
      <c r="BF118" s="528">
        <f t="shared" si="349"/>
        <v>0.13697860845810708</v>
      </c>
      <c r="BG118" s="528">
        <f t="shared" si="350"/>
        <v>9.8912526938527978E-3</v>
      </c>
      <c r="BH118" s="528">
        <f t="shared" si="351"/>
        <v>2.5256572410653115E-3</v>
      </c>
      <c r="BI118">
        <f t="shared" si="352"/>
        <v>8.4254917574790207E-3</v>
      </c>
      <c r="BJ118" s="460">
        <f t="shared" si="436"/>
        <v>18.316744451331818</v>
      </c>
      <c r="BK118">
        <f t="shared" si="353"/>
        <v>0.2597437530700758</v>
      </c>
      <c r="BL118" s="460">
        <f t="shared" si="437"/>
        <v>248.11020635373416</v>
      </c>
      <c r="BM118" s="173">
        <f t="shared" si="354"/>
        <v>0.49699999999999994</v>
      </c>
      <c r="BN118" s="173">
        <f t="shared" si="355"/>
        <v>1.2424999999999999E-2</v>
      </c>
      <c r="BO118" s="528"/>
      <c r="BQ118" s="460">
        <f t="shared" si="356"/>
        <v>509.4249999999999</v>
      </c>
      <c r="BR118" s="528">
        <f t="shared" si="357"/>
        <v>0.1354337943048449</v>
      </c>
      <c r="BS118" s="528">
        <f t="shared" si="358"/>
        <v>0.86456620569515508</v>
      </c>
      <c r="BT118" s="528">
        <f t="shared" si="359"/>
        <v>8.7394868247309549E-5</v>
      </c>
      <c r="BU118" s="528">
        <f t="shared" si="360"/>
        <v>3.2455728703629873E-2</v>
      </c>
      <c r="BV118" s="528"/>
      <c r="BW118" s="625">
        <f t="shared" si="361"/>
        <v>2.113141328888111E-3</v>
      </c>
      <c r="BX118" s="460">
        <f t="shared" si="362"/>
        <v>1034.6562649007653</v>
      </c>
      <c r="BY118" s="173">
        <f t="shared" si="363"/>
        <v>1.7921914712544993</v>
      </c>
      <c r="BZ118" s="5">
        <f t="shared" si="364"/>
        <v>12.16</v>
      </c>
      <c r="CA118" s="173">
        <f t="shared" si="365"/>
        <v>0.87154767228166807</v>
      </c>
      <c r="CB118" s="5">
        <f t="shared" si="366"/>
        <v>87.154767228166804</v>
      </c>
      <c r="CC118">
        <f t="shared" si="367"/>
        <v>8</v>
      </c>
      <c r="CE118" s="562">
        <f t="shared" si="368"/>
        <v>-50</v>
      </c>
      <c r="CF118">
        <f t="shared" si="369"/>
        <v>-50</v>
      </c>
      <c r="CG118" s="173">
        <f t="shared" si="370"/>
        <v>0.16155092478441993</v>
      </c>
      <c r="CH118" s="173">
        <f t="shared" si="371"/>
        <v>1.8614424924950659E-2</v>
      </c>
      <c r="CI118" s="170">
        <v>8</v>
      </c>
      <c r="CJ118" s="217">
        <f t="shared" si="438"/>
        <v>0.8</v>
      </c>
      <c r="CK118" s="217">
        <f t="shared" si="372"/>
        <v>0.02</v>
      </c>
      <c r="CL118" s="217">
        <f t="shared" si="373"/>
        <v>12</v>
      </c>
      <c r="CM118" s="217">
        <f t="shared" si="374"/>
        <v>0.16</v>
      </c>
      <c r="CN118" s="541">
        <f t="shared" si="375"/>
        <v>19</v>
      </c>
      <c r="CO118" s="443">
        <f t="shared" si="376"/>
        <v>15.7</v>
      </c>
      <c r="CP118" s="443">
        <f t="shared" si="377"/>
        <v>34.700000000000003</v>
      </c>
      <c r="CQ118" s="443"/>
      <c r="CR118" s="217">
        <f t="shared" si="378"/>
        <v>0.44767441860465118</v>
      </c>
      <c r="CS118" s="172">
        <f t="shared" si="379"/>
        <v>209.84738372093025</v>
      </c>
      <c r="CT118" s="172">
        <f t="shared" si="380"/>
        <v>2.835271317829458</v>
      </c>
      <c r="CU118" s="217">
        <f t="shared" si="381"/>
        <v>13.989825581395349</v>
      </c>
      <c r="CV118" s="217">
        <f t="shared" si="382"/>
        <v>26.230922965116282</v>
      </c>
      <c r="CW118" s="217">
        <f t="shared" si="383"/>
        <v>15</v>
      </c>
      <c r="CX118" s="217">
        <f t="shared" si="384"/>
        <v>2.8592207792207791</v>
      </c>
      <c r="CY118" s="217">
        <f t="shared" si="385"/>
        <v>1.8058236500341762</v>
      </c>
      <c r="CZ118" s="217">
        <f t="shared" si="386"/>
        <v>2.1853916783853089</v>
      </c>
      <c r="DA118" s="197">
        <f t="shared" si="387"/>
        <v>71.63784822286263</v>
      </c>
      <c r="DB118" s="443">
        <f t="shared" si="388"/>
        <v>250.55025041608025</v>
      </c>
      <c r="DD118" s="217">
        <f t="shared" si="389"/>
        <v>10.000000000000002</v>
      </c>
      <c r="DE118" s="173">
        <f t="shared" si="390"/>
        <v>7.6433121019108299</v>
      </c>
      <c r="DF118" s="173">
        <f t="shared" si="391"/>
        <v>2.7017291066282429</v>
      </c>
      <c r="DG118" s="173"/>
      <c r="DH118" s="173">
        <f t="shared" si="392"/>
        <v>7.6433121019108281</v>
      </c>
      <c r="DI118" s="545">
        <f t="shared" si="393"/>
        <v>20.933333333333337</v>
      </c>
      <c r="DJ118" s="528">
        <f t="shared" si="394"/>
        <v>2.7377521613832849</v>
      </c>
      <c r="DL118" s="173">
        <f t="shared" si="395"/>
        <v>2.4063408300729532</v>
      </c>
      <c r="DM118" s="173">
        <f t="shared" si="396"/>
        <v>10</v>
      </c>
      <c r="DN118" s="173">
        <f t="shared" si="397"/>
        <v>1.0119619047619048</v>
      </c>
      <c r="DP118" s="545">
        <f t="shared" si="398"/>
        <v>800</v>
      </c>
      <c r="DQ118" s="460">
        <f t="shared" si="399"/>
        <v>20.933333333333337</v>
      </c>
      <c r="DS118" s="460">
        <f t="shared" si="400"/>
        <v>800</v>
      </c>
      <c r="DT118" s="460">
        <f t="shared" si="401"/>
        <v>20.933333333333337</v>
      </c>
      <c r="DV118" s="5">
        <f t="shared" si="402"/>
        <v>47.770700636942664</v>
      </c>
      <c r="DW118" s="5">
        <f t="shared" si="403"/>
        <v>6.3157894736842106</v>
      </c>
      <c r="DX118" s="5">
        <f t="shared" si="404"/>
        <v>41.454911163258451</v>
      </c>
      <c r="DY118" s="173">
        <f t="shared" si="405"/>
        <v>0.1322105263157895</v>
      </c>
      <c r="EA118" s="5">
        <f t="shared" si="406"/>
        <v>33.684210526315795</v>
      </c>
      <c r="EB118" s="5">
        <f t="shared" si="407"/>
        <v>1.5789473684210527</v>
      </c>
      <c r="EC118" s="5">
        <f t="shared" si="408"/>
        <v>9.0282928123248869</v>
      </c>
      <c r="ED118" s="5"/>
      <c r="EE118" s="173">
        <f t="shared" si="409"/>
        <v>2.0992897712940084</v>
      </c>
      <c r="EF118" s="173">
        <f t="shared" si="410"/>
        <v>5.3783190486873949</v>
      </c>
      <c r="EG118" s="173">
        <f t="shared" si="411"/>
        <v>0.13245428872845819</v>
      </c>
      <c r="EH118" s="173"/>
      <c r="EI118" s="528">
        <f t="shared" si="412"/>
        <v>8.8140350877193005E-2</v>
      </c>
      <c r="EJ118" s="528">
        <f t="shared" si="413"/>
        <v>0.14527733333333337</v>
      </c>
      <c r="EK118" s="528">
        <f t="shared" si="414"/>
        <v>2.6166666666666669E-3</v>
      </c>
      <c r="EL118" s="528">
        <f t="shared" si="415"/>
        <v>2.5205617333333343E-3</v>
      </c>
      <c r="EM118">
        <f t="shared" si="416"/>
        <v>8.5500000000000003E-3</v>
      </c>
      <c r="EN118" s="460">
        <f t="shared" si="417"/>
        <v>11.166666666666666</v>
      </c>
      <c r="EP118" s="460">
        <f t="shared" si="439"/>
        <v>247.10491261052638</v>
      </c>
      <c r="EQ118" s="173">
        <f t="shared" si="418"/>
        <v>0.55999999999999994</v>
      </c>
      <c r="ER118" s="173">
        <f t="shared" si="419"/>
        <v>8.8749999999999992E-3</v>
      </c>
      <c r="ES118" s="528"/>
      <c r="EU118" s="460">
        <f t="shared" si="420"/>
        <v>568.87499999999989</v>
      </c>
      <c r="EV118" s="528">
        <f t="shared" si="421"/>
        <v>0.1322105263157895</v>
      </c>
      <c r="EW118" s="528">
        <f t="shared" si="422"/>
        <v>0.86778947368421044</v>
      </c>
      <c r="EX118" s="528">
        <f t="shared" si="423"/>
        <v>8.7720693012808821E-5</v>
      </c>
      <c r="EY118" s="528">
        <f t="shared" si="424"/>
        <v>3.1700490120052188E-2</v>
      </c>
      <c r="EZ118" s="528"/>
      <c r="FA118" s="625">
        <f t="shared" si="425"/>
        <v>2.0933333333333338E-3</v>
      </c>
      <c r="FB118" s="460">
        <f t="shared" si="426"/>
        <v>1033.8815441463983</v>
      </c>
      <c r="FC118" s="173">
        <f t="shared" si="427"/>
        <v>1.8498614567569245</v>
      </c>
      <c r="FD118" s="5">
        <f t="shared" si="428"/>
        <v>12.16</v>
      </c>
      <c r="FE118" s="173">
        <f t="shared" si="429"/>
        <v>0.86796004639540958</v>
      </c>
      <c r="FF118" s="5">
        <f t="shared" si="430"/>
        <v>86.796004639540953</v>
      </c>
      <c r="FG118">
        <f t="shared" si="431"/>
        <v>8</v>
      </c>
      <c r="FI118" s="562">
        <f t="shared" si="432"/>
        <v>-50</v>
      </c>
      <c r="FJ118">
        <f t="shared" si="433"/>
        <v>-50</v>
      </c>
    </row>
    <row r="119" spans="5:166">
      <c r="E119" s="170">
        <v>9</v>
      </c>
      <c r="F119" s="217">
        <f t="shared" si="434"/>
        <v>0.89999999999999991</v>
      </c>
      <c r="G119" s="217">
        <f t="shared" si="313"/>
        <v>2.2499999999999999E-2</v>
      </c>
      <c r="H119" s="217">
        <f t="shared" si="314"/>
        <v>13.499999999999998</v>
      </c>
      <c r="I119" s="217">
        <f t="shared" si="315"/>
        <v>0.18</v>
      </c>
      <c r="J119" s="541">
        <f t="shared" si="316"/>
        <v>18.723315016620045</v>
      </c>
      <c r="K119" s="443">
        <f t="shared" si="317"/>
        <v>15.848559966660831</v>
      </c>
      <c r="L119" s="172">
        <f t="shared" si="318"/>
        <v>34.571874983280878</v>
      </c>
      <c r="M119" s="443"/>
      <c r="N119" s="217">
        <f t="shared" si="319"/>
        <v>0.4584235010199843</v>
      </c>
      <c r="O119" s="172">
        <f t="shared" si="320"/>
        <v>211.75676695606103</v>
      </c>
      <c r="P119" s="172">
        <f t="shared" si="321"/>
        <v>2.8610692068730028</v>
      </c>
      <c r="Q119" s="217">
        <f t="shared" si="322"/>
        <v>14.117117797070735</v>
      </c>
      <c r="R119" s="217">
        <f t="shared" si="323"/>
        <v>26.469595869507629</v>
      </c>
      <c r="S119" s="217">
        <f t="shared" si="324"/>
        <v>15</v>
      </c>
      <c r="T119" s="217">
        <f t="shared" si="325"/>
        <v>3.1876195018601727</v>
      </c>
      <c r="U119" s="217">
        <f t="shared" si="326"/>
        <v>2.0429840542856641</v>
      </c>
      <c r="V119" s="217">
        <f t="shared" si="327"/>
        <v>2.4135589670473609</v>
      </c>
      <c r="W119" s="197">
        <f t="shared" si="328"/>
        <v>71.526730171825065</v>
      </c>
      <c r="X119" s="443">
        <f t="shared" si="435"/>
        <v>214.75158619145125</v>
      </c>
      <c r="Z119" s="217">
        <f t="shared" si="329"/>
        <v>10</v>
      </c>
      <c r="AA119" s="173">
        <f t="shared" si="330"/>
        <v>7.5716658328853255</v>
      </c>
      <c r="AB119" s="173">
        <f t="shared" si="331"/>
        <v>2.6722524620724464</v>
      </c>
      <c r="AC119" s="173"/>
      <c r="AD119" s="173">
        <f t="shared" si="332"/>
        <v>7.5716658328853255</v>
      </c>
      <c r="AE119" s="545">
        <f t="shared" si="333"/>
        <v>23.772839949991241</v>
      </c>
      <c r="AF119" s="528">
        <f t="shared" si="334"/>
        <v>2.7078824949000788</v>
      </c>
      <c r="AH119" s="173">
        <f t="shared" si="335"/>
        <v>2.5523098781859765</v>
      </c>
      <c r="AI119" s="173">
        <f t="shared" si="336"/>
        <v>10</v>
      </c>
      <c r="AJ119" s="173">
        <f t="shared" si="337"/>
        <v>1.0135844799714235</v>
      </c>
      <c r="AL119" s="545">
        <f t="shared" si="338"/>
        <v>899.99999999999989</v>
      </c>
      <c r="AM119" s="460">
        <f t="shared" si="339"/>
        <v>23.772839949991241</v>
      </c>
      <c r="AO119" s="460">
        <f t="shared" si="340"/>
        <v>899.99999999999989</v>
      </c>
      <c r="AP119" s="460">
        <f t="shared" si="341"/>
        <v>23.772839949991241</v>
      </c>
      <c r="AR119" s="5">
        <f t="shared" si="275"/>
        <v>42.064810182696263</v>
      </c>
      <c r="AS119" s="5">
        <f t="shared" si="440"/>
        <v>6.4091214559750833</v>
      </c>
      <c r="AT119" s="5">
        <f t="shared" si="441"/>
        <v>35.655688726721181</v>
      </c>
      <c r="AU119" s="173">
        <f t="shared" si="442"/>
        <v>0.15236301859295048</v>
      </c>
      <c r="AW119" s="5">
        <f t="shared" si="342"/>
        <v>38.454728735850495</v>
      </c>
      <c r="AX119" s="5">
        <f t="shared" si="343"/>
        <v>1.8025654094929919</v>
      </c>
      <c r="AY119" s="5">
        <f t="shared" si="344"/>
        <v>8.8650636069568005</v>
      </c>
      <c r="AZ119" s="5"/>
      <c r="BA119" s="173">
        <f t="shared" si="345"/>
        <v>2.2536120532229327</v>
      </c>
      <c r="BB119" s="173">
        <f t="shared" si="346"/>
        <v>5.3155024265728299</v>
      </c>
      <c r="BC119" s="173">
        <f t="shared" si="347"/>
        <v>0.13090727544657796</v>
      </c>
      <c r="BD119" s="173"/>
      <c r="BE119" s="528">
        <f t="shared" si="348"/>
        <v>0.10157534572863364</v>
      </c>
      <c r="BF119" s="528">
        <f t="shared" si="349"/>
        <v>0.15410093451537046</v>
      </c>
      <c r="BG119" s="528">
        <f t="shared" si="350"/>
        <v>1.1127659280584398E-2</v>
      </c>
      <c r="BH119" s="528">
        <f t="shared" si="351"/>
        <v>2.8413643961984749E-3</v>
      </c>
      <c r="BI119">
        <f t="shared" si="352"/>
        <v>8.4254917574790207E-3</v>
      </c>
      <c r="BJ119" s="460">
        <f t="shared" si="436"/>
        <v>19.553151038063419</v>
      </c>
      <c r="BK119">
        <f t="shared" si="353"/>
        <v>0.29301469312374262</v>
      </c>
      <c r="BL119" s="460">
        <f t="shared" si="437"/>
        <v>278.07079567826605</v>
      </c>
      <c r="BM119" s="173">
        <f t="shared" si="354"/>
        <v>0.55912499999999987</v>
      </c>
      <c r="BN119" s="173">
        <f t="shared" si="355"/>
        <v>1.3978124999999999E-2</v>
      </c>
      <c r="BO119" s="528"/>
      <c r="BQ119" s="460">
        <f t="shared" si="356"/>
        <v>573.10312499999986</v>
      </c>
      <c r="BR119" s="528">
        <f t="shared" si="357"/>
        <v>0.15236301859295046</v>
      </c>
      <c r="BS119" s="528">
        <f t="shared" si="358"/>
        <v>0.84763698140704924</v>
      </c>
      <c r="BT119" s="528">
        <f t="shared" si="359"/>
        <v>8.5683573824231159E-5</v>
      </c>
      <c r="BU119" s="528">
        <f t="shared" si="360"/>
        <v>4.3568506271008368E-2</v>
      </c>
      <c r="BV119" s="528"/>
      <c r="BW119" s="625">
        <f t="shared" si="361"/>
        <v>2.3772839949991243E-3</v>
      </c>
      <c r="BX119" s="460">
        <f t="shared" si="362"/>
        <v>1046.0314738398313</v>
      </c>
      <c r="BY119" s="173">
        <f t="shared" si="363"/>
        <v>1.8972053945180973</v>
      </c>
      <c r="BZ119" s="5">
        <f t="shared" si="364"/>
        <v>13.679999999999998</v>
      </c>
      <c r="CA119" s="173">
        <f t="shared" si="365"/>
        <v>0.87820630552988921</v>
      </c>
      <c r="CB119" s="5">
        <f t="shared" si="366"/>
        <v>87.820630552988916</v>
      </c>
      <c r="CC119">
        <f t="shared" si="367"/>
        <v>9</v>
      </c>
      <c r="CE119" s="562">
        <f t="shared" si="368"/>
        <v>-50</v>
      </c>
      <c r="CF119">
        <f t="shared" si="369"/>
        <v>-50</v>
      </c>
      <c r="CG119" s="173">
        <f t="shared" si="370"/>
        <v>0.18174479038247238</v>
      </c>
      <c r="CH119" s="173">
        <f t="shared" si="371"/>
        <v>2.0941228040569488E-2</v>
      </c>
      <c r="CI119" s="170">
        <v>9</v>
      </c>
      <c r="CJ119" s="217">
        <f t="shared" si="438"/>
        <v>0.89999999999999991</v>
      </c>
      <c r="CK119" s="217">
        <f t="shared" si="372"/>
        <v>2.2499999999999999E-2</v>
      </c>
      <c r="CL119" s="217">
        <f t="shared" si="373"/>
        <v>13.499999999999998</v>
      </c>
      <c r="CM119" s="217">
        <f t="shared" si="374"/>
        <v>0.18</v>
      </c>
      <c r="CN119" s="541">
        <f t="shared" si="375"/>
        <v>19</v>
      </c>
      <c r="CO119" s="443">
        <f t="shared" si="376"/>
        <v>15.7</v>
      </c>
      <c r="CP119" s="443">
        <f t="shared" si="377"/>
        <v>34.700000000000003</v>
      </c>
      <c r="CQ119" s="443"/>
      <c r="CR119" s="217">
        <f t="shared" si="378"/>
        <v>0.44767441860465118</v>
      </c>
      <c r="CS119" s="172">
        <f t="shared" si="379"/>
        <v>209.84738372093025</v>
      </c>
      <c r="CT119" s="172">
        <f t="shared" si="380"/>
        <v>2.835271317829458</v>
      </c>
      <c r="CU119" s="217">
        <f t="shared" si="381"/>
        <v>13.989825581395349</v>
      </c>
      <c r="CV119" s="217">
        <f t="shared" si="382"/>
        <v>26.230922965116282</v>
      </c>
      <c r="CW119" s="217">
        <f t="shared" si="383"/>
        <v>15</v>
      </c>
      <c r="CX119" s="217">
        <f t="shared" si="384"/>
        <v>3.2166233766233758</v>
      </c>
      <c r="CY119" s="217">
        <f t="shared" si="385"/>
        <v>2.0315516062884478</v>
      </c>
      <c r="CZ119" s="217">
        <f t="shared" si="386"/>
        <v>2.458565638183472</v>
      </c>
      <c r="DA119" s="197">
        <f t="shared" si="387"/>
        <v>71.63784822286263</v>
      </c>
      <c r="DB119" s="443">
        <f t="shared" si="388"/>
        <v>222.7113337031825</v>
      </c>
      <c r="DD119" s="217">
        <f t="shared" si="389"/>
        <v>10.000000000000002</v>
      </c>
      <c r="DE119" s="173">
        <f t="shared" si="390"/>
        <v>7.6433121019108299</v>
      </c>
      <c r="DF119" s="173">
        <f t="shared" si="391"/>
        <v>2.7017291066282429</v>
      </c>
      <c r="DG119" s="173"/>
      <c r="DH119" s="173">
        <f t="shared" si="392"/>
        <v>7.6433121019108281</v>
      </c>
      <c r="DI119" s="545">
        <f t="shared" si="393"/>
        <v>23.55</v>
      </c>
      <c r="DJ119" s="528">
        <f t="shared" si="394"/>
        <v>2.7377521613832849</v>
      </c>
      <c r="DL119" s="173">
        <f t="shared" si="395"/>
        <v>2.5523098781859765</v>
      </c>
      <c r="DM119" s="173">
        <f t="shared" si="396"/>
        <v>10</v>
      </c>
      <c r="DN119" s="173">
        <f t="shared" si="397"/>
        <v>1.0134571428571428</v>
      </c>
      <c r="DP119" s="545">
        <f t="shared" si="398"/>
        <v>899.99999999999989</v>
      </c>
      <c r="DQ119" s="460">
        <f t="shared" si="399"/>
        <v>23.55</v>
      </c>
      <c r="DS119" s="460">
        <f t="shared" si="400"/>
        <v>899.99999999999989</v>
      </c>
      <c r="DT119" s="460">
        <f t="shared" si="401"/>
        <v>23.55</v>
      </c>
      <c r="DV119" s="5">
        <f t="shared" si="402"/>
        <v>42.462845010615709</v>
      </c>
      <c r="DW119" s="5">
        <f t="shared" si="403"/>
        <v>6.3157894736842106</v>
      </c>
      <c r="DX119" s="5">
        <f t="shared" si="404"/>
        <v>36.147055536931497</v>
      </c>
      <c r="DY119" s="173">
        <f t="shared" si="405"/>
        <v>0.14873684210526317</v>
      </c>
      <c r="EA119" s="5">
        <f t="shared" si="406"/>
        <v>37.894736842105267</v>
      </c>
      <c r="EB119" s="5">
        <f t="shared" si="407"/>
        <v>1.7763157894736843</v>
      </c>
      <c r="EC119" s="5">
        <f t="shared" si="408"/>
        <v>8.8563566197563528</v>
      </c>
      <c r="ED119" s="5"/>
      <c r="EE119" s="173">
        <f t="shared" si="409"/>
        <v>2.2266330494363245</v>
      </c>
      <c r="EF119" s="173">
        <f t="shared" si="410"/>
        <v>5.3268601067130739</v>
      </c>
      <c r="EG119" s="173">
        <f t="shared" si="411"/>
        <v>0.13118698615748278</v>
      </c>
      <c r="EH119" s="173"/>
      <c r="EI119" s="528">
        <f t="shared" si="412"/>
        <v>9.9157894736842112E-2</v>
      </c>
      <c r="EJ119" s="528">
        <f t="shared" si="413"/>
        <v>0.163437</v>
      </c>
      <c r="EK119" s="528">
        <f t="shared" si="414"/>
        <v>2.9437500000000002E-3</v>
      </c>
      <c r="EL119" s="528">
        <f t="shared" si="415"/>
        <v>2.8356319500000009E-3</v>
      </c>
      <c r="EM119">
        <f t="shared" si="416"/>
        <v>8.5500000000000003E-3</v>
      </c>
      <c r="EN119" s="460">
        <f t="shared" si="417"/>
        <v>11.49375</v>
      </c>
      <c r="EP119" s="460">
        <f t="shared" si="439"/>
        <v>276.92427668684218</v>
      </c>
      <c r="EQ119" s="173">
        <f t="shared" si="418"/>
        <v>0.62999999999999989</v>
      </c>
      <c r="ER119" s="173">
        <f t="shared" si="419"/>
        <v>9.9843749999999985E-3</v>
      </c>
      <c r="ES119" s="528"/>
      <c r="EU119" s="460">
        <f t="shared" si="420"/>
        <v>639.98437499999989</v>
      </c>
      <c r="EV119" s="528">
        <f t="shared" si="421"/>
        <v>0.14873684210526314</v>
      </c>
      <c r="EW119" s="528">
        <f t="shared" si="422"/>
        <v>0.85126315789473661</v>
      </c>
      <c r="EX119" s="528">
        <f t="shared" si="423"/>
        <v>8.6050126685417898E-5</v>
      </c>
      <c r="EY119" s="528">
        <f t="shared" si="424"/>
        <v>4.255467548430255E-2</v>
      </c>
      <c r="EZ119" s="528"/>
      <c r="FA119" s="625">
        <f t="shared" si="425"/>
        <v>2.3550000000000003E-3</v>
      </c>
      <c r="FB119" s="460">
        <f t="shared" si="426"/>
        <v>1044.9957256109878</v>
      </c>
      <c r="FC119" s="173">
        <f t="shared" si="427"/>
        <v>1.9619043772978297</v>
      </c>
      <c r="FD119" s="5">
        <f t="shared" si="428"/>
        <v>13.679999999999998</v>
      </c>
      <c r="FE119" s="173">
        <f t="shared" si="429"/>
        <v>0.87457381595138273</v>
      </c>
      <c r="FF119" s="5">
        <f t="shared" si="430"/>
        <v>87.457381595138273</v>
      </c>
      <c r="FG119">
        <f t="shared" si="431"/>
        <v>9</v>
      </c>
      <c r="FI119" s="562">
        <f t="shared" si="432"/>
        <v>-50</v>
      </c>
      <c r="FJ119">
        <f t="shared" si="433"/>
        <v>-50</v>
      </c>
    </row>
    <row r="120" spans="5:166">
      <c r="E120" s="170">
        <v>10</v>
      </c>
      <c r="F120" s="217">
        <f t="shared" si="434"/>
        <v>1</v>
      </c>
      <c r="G120" s="217">
        <f t="shared" si="313"/>
        <v>2.5000000000000001E-2</v>
      </c>
      <c r="H120" s="217">
        <f t="shared" si="314"/>
        <v>15</v>
      </c>
      <c r="I120" s="217">
        <f t="shared" si="315"/>
        <v>0.2</v>
      </c>
      <c r="J120" s="541">
        <f t="shared" si="316"/>
        <v>18.723315016620045</v>
      </c>
      <c r="K120" s="443">
        <f t="shared" si="317"/>
        <v>15.848559966660831</v>
      </c>
      <c r="L120" s="172">
        <f t="shared" si="318"/>
        <v>34.571874983280878</v>
      </c>
      <c r="M120" s="443"/>
      <c r="N120" s="217">
        <f t="shared" si="319"/>
        <v>0.4584235010199843</v>
      </c>
      <c r="O120" s="172">
        <f t="shared" si="320"/>
        <v>211.75676695606103</v>
      </c>
      <c r="P120" s="172">
        <f t="shared" si="321"/>
        <v>2.8610692068730028</v>
      </c>
      <c r="Q120" s="217">
        <f t="shared" si="322"/>
        <v>14.117117797070735</v>
      </c>
      <c r="R120" s="217">
        <f t="shared" si="323"/>
        <v>26.469595869507629</v>
      </c>
      <c r="S120" s="217">
        <f t="shared" si="324"/>
        <v>15</v>
      </c>
      <c r="T120" s="217">
        <f t="shared" si="325"/>
        <v>3.5417994465113032</v>
      </c>
      <c r="U120" s="217">
        <f t="shared" si="326"/>
        <v>2.2699822825396265</v>
      </c>
      <c r="V120" s="217">
        <f t="shared" si="327"/>
        <v>2.6817321856081793</v>
      </c>
      <c r="W120" s="197">
        <f t="shared" si="328"/>
        <v>71.526730171825065</v>
      </c>
      <c r="X120" s="443">
        <f t="shared" si="435"/>
        <v>194.11013676763991</v>
      </c>
      <c r="Z120" s="217">
        <f t="shared" si="329"/>
        <v>10</v>
      </c>
      <c r="AA120" s="173">
        <f t="shared" si="330"/>
        <v>7.5716658328853255</v>
      </c>
      <c r="AB120" s="173">
        <f t="shared" si="331"/>
        <v>2.6722524620724464</v>
      </c>
      <c r="AC120" s="173"/>
      <c r="AD120" s="173">
        <f t="shared" si="332"/>
        <v>7.5716658328853255</v>
      </c>
      <c r="AE120" s="545">
        <f t="shared" si="333"/>
        <v>26.414266611101382</v>
      </c>
      <c r="AF120" s="528">
        <f t="shared" si="334"/>
        <v>2.7078824949000788</v>
      </c>
      <c r="AH120" s="173">
        <f t="shared" si="335"/>
        <v>2.6903708365381971</v>
      </c>
      <c r="AI120" s="173">
        <f t="shared" si="336"/>
        <v>10</v>
      </c>
      <c r="AJ120" s="173">
        <f t="shared" si="337"/>
        <v>1.0150938666349152</v>
      </c>
      <c r="AL120" s="545">
        <f t="shared" si="338"/>
        <v>1000</v>
      </c>
      <c r="AM120" s="460">
        <f t="shared" si="339"/>
        <v>26.414266611101382</v>
      </c>
      <c r="AO120" s="460">
        <f t="shared" si="340"/>
        <v>1000</v>
      </c>
      <c r="AP120" s="460">
        <f t="shared" si="341"/>
        <v>26.414266611101382</v>
      </c>
      <c r="AR120" s="5">
        <f t="shared" si="275"/>
        <v>37.858329164426628</v>
      </c>
      <c r="AS120" s="5">
        <f t="shared" si="440"/>
        <v>6.4091214559750833</v>
      </c>
      <c r="AT120" s="5">
        <f t="shared" si="441"/>
        <v>31.449207708451546</v>
      </c>
      <c r="AU120" s="173">
        <f t="shared" si="442"/>
        <v>0.16929224288105613</v>
      </c>
      <c r="AW120" s="5">
        <f t="shared" si="342"/>
        <v>42.727476373167221</v>
      </c>
      <c r="AX120" s="5">
        <f t="shared" si="343"/>
        <v>2.0028504549922137</v>
      </c>
      <c r="AY120" s="5">
        <f t="shared" si="344"/>
        <v>8.6880082714505935</v>
      </c>
      <c r="AZ120" s="5"/>
      <c r="BA120" s="173">
        <f t="shared" si="345"/>
        <v>2.3755156835310247</v>
      </c>
      <c r="BB120" s="173">
        <f t="shared" si="346"/>
        <v>5.262153415725491</v>
      </c>
      <c r="BC120" s="173">
        <f t="shared" si="347"/>
        <v>0.1295934252970827</v>
      </c>
      <c r="BD120" s="173"/>
      <c r="BE120" s="528">
        <f t="shared" si="348"/>
        <v>0.11286149525403744</v>
      </c>
      <c r="BF120" s="528">
        <f t="shared" si="349"/>
        <v>0.17122326057263387</v>
      </c>
      <c r="BG120" s="528">
        <f t="shared" si="350"/>
        <v>1.2364065867315999E-2</v>
      </c>
      <c r="BH120" s="528">
        <f t="shared" si="351"/>
        <v>3.1570715513316392E-3</v>
      </c>
      <c r="BI120">
        <f t="shared" si="352"/>
        <v>8.4254917574790207E-3</v>
      </c>
      <c r="BJ120" s="460">
        <f t="shared" si="436"/>
        <v>20.789557624795023</v>
      </c>
      <c r="BK120">
        <f t="shared" si="353"/>
        <v>0.32646898798211871</v>
      </c>
      <c r="BL120" s="460">
        <f t="shared" si="437"/>
        <v>308.03138500279795</v>
      </c>
      <c r="BM120" s="173">
        <f t="shared" si="354"/>
        <v>0.62124999999999997</v>
      </c>
      <c r="BN120" s="173">
        <f t="shared" si="355"/>
        <v>1.5531249999999998E-2</v>
      </c>
      <c r="BO120" s="528"/>
      <c r="BQ120" s="460">
        <f t="shared" si="356"/>
        <v>636.78125</v>
      </c>
      <c r="BR120" s="528">
        <f t="shared" si="357"/>
        <v>0.16929224288105615</v>
      </c>
      <c r="BS120" s="528">
        <f t="shared" si="358"/>
        <v>0.83070775711894351</v>
      </c>
      <c r="BT120" s="528">
        <f t="shared" si="359"/>
        <v>8.3972279401152783E-5</v>
      </c>
      <c r="BU120" s="528">
        <f t="shared" si="360"/>
        <v>5.669782471922459E-2</v>
      </c>
      <c r="BV120" s="528"/>
      <c r="BW120" s="625">
        <f t="shared" si="361"/>
        <v>2.6414266611101381E-3</v>
      </c>
      <c r="BX120" s="460">
        <f t="shared" si="362"/>
        <v>1059.4232236597356</v>
      </c>
      <c r="BY120" s="173">
        <f t="shared" si="363"/>
        <v>2.0042358586625335</v>
      </c>
      <c r="BZ120" s="5">
        <f t="shared" si="364"/>
        <v>15.2</v>
      </c>
      <c r="CA120" s="173">
        <f t="shared" si="365"/>
        <v>0.88350334910961026</v>
      </c>
      <c r="CB120" s="5">
        <f t="shared" si="366"/>
        <v>88.350334910961024</v>
      </c>
      <c r="CC120">
        <f t="shared" si="367"/>
        <v>10</v>
      </c>
      <c r="CE120" s="562">
        <f t="shared" si="368"/>
        <v>-50</v>
      </c>
      <c r="CF120">
        <f t="shared" si="369"/>
        <v>-50</v>
      </c>
      <c r="CG120" s="173">
        <f t="shared" si="370"/>
        <v>0.20193865598052488</v>
      </c>
      <c r="CH120" s="173">
        <f t="shared" si="371"/>
        <v>2.3268031156188321E-2</v>
      </c>
      <c r="CI120" s="170">
        <v>10</v>
      </c>
      <c r="CJ120" s="217">
        <f t="shared" si="438"/>
        <v>1</v>
      </c>
      <c r="CK120" s="217">
        <f t="shared" si="372"/>
        <v>2.5000000000000001E-2</v>
      </c>
      <c r="CL120" s="217">
        <f t="shared" si="373"/>
        <v>15</v>
      </c>
      <c r="CM120" s="217">
        <f t="shared" si="374"/>
        <v>0.2</v>
      </c>
      <c r="CN120" s="541">
        <f t="shared" si="375"/>
        <v>19</v>
      </c>
      <c r="CO120" s="443">
        <f t="shared" si="376"/>
        <v>15.7</v>
      </c>
      <c r="CP120" s="443">
        <f t="shared" si="377"/>
        <v>34.700000000000003</v>
      </c>
      <c r="CQ120" s="443"/>
      <c r="CR120" s="217">
        <f t="shared" si="378"/>
        <v>0.44767441860465118</v>
      </c>
      <c r="CS120" s="172">
        <f t="shared" si="379"/>
        <v>209.84738372093025</v>
      </c>
      <c r="CT120" s="172">
        <f t="shared" si="380"/>
        <v>2.835271317829458</v>
      </c>
      <c r="CU120" s="217">
        <f t="shared" si="381"/>
        <v>13.989825581395349</v>
      </c>
      <c r="CV120" s="217">
        <f t="shared" si="382"/>
        <v>26.230922965116282</v>
      </c>
      <c r="CW120" s="217">
        <f t="shared" si="383"/>
        <v>15</v>
      </c>
      <c r="CX120" s="217">
        <f t="shared" si="384"/>
        <v>3.5740259740259739</v>
      </c>
      <c r="CY120" s="217">
        <f t="shared" si="385"/>
        <v>2.2572795625427204</v>
      </c>
      <c r="CZ120" s="217">
        <f t="shared" si="386"/>
        <v>2.7317395979816363</v>
      </c>
      <c r="DA120" s="197">
        <f t="shared" si="387"/>
        <v>71.63784822286263</v>
      </c>
      <c r="DB120" s="443">
        <f t="shared" si="388"/>
        <v>200.44020033286418</v>
      </c>
      <c r="DD120" s="217">
        <f t="shared" si="389"/>
        <v>10.000000000000002</v>
      </c>
      <c r="DE120" s="173">
        <f t="shared" si="390"/>
        <v>7.6433121019108299</v>
      </c>
      <c r="DF120" s="173">
        <f t="shared" si="391"/>
        <v>2.7017291066282429</v>
      </c>
      <c r="DG120" s="173"/>
      <c r="DH120" s="173">
        <f t="shared" si="392"/>
        <v>7.6433121019108281</v>
      </c>
      <c r="DI120" s="545">
        <f t="shared" si="393"/>
        <v>26.166666666666668</v>
      </c>
      <c r="DJ120" s="528">
        <f t="shared" si="394"/>
        <v>2.7377521613832849</v>
      </c>
      <c r="DL120" s="173">
        <f t="shared" si="395"/>
        <v>2.6903708365381971</v>
      </c>
      <c r="DM120" s="173">
        <f t="shared" si="396"/>
        <v>10</v>
      </c>
      <c r="DN120" s="173">
        <f t="shared" si="397"/>
        <v>1.0149523809523811</v>
      </c>
      <c r="DP120" s="545">
        <f t="shared" si="398"/>
        <v>1000</v>
      </c>
      <c r="DQ120" s="460">
        <f t="shared" si="399"/>
        <v>26.166666666666668</v>
      </c>
      <c r="DS120" s="460">
        <f t="shared" si="400"/>
        <v>1000</v>
      </c>
      <c r="DT120" s="460">
        <f t="shared" si="401"/>
        <v>26.166666666666668</v>
      </c>
      <c r="DV120" s="5">
        <f t="shared" si="402"/>
        <v>38.216560509554135</v>
      </c>
      <c r="DW120" s="5">
        <f t="shared" si="403"/>
        <v>6.3157894736842106</v>
      </c>
      <c r="DX120" s="5">
        <f t="shared" si="404"/>
        <v>31.900771035869923</v>
      </c>
      <c r="DY120" s="173">
        <f t="shared" si="405"/>
        <v>0.16526315789473686</v>
      </c>
      <c r="EA120" s="5">
        <f t="shared" si="406"/>
        <v>42.105263157894733</v>
      </c>
      <c r="EB120" s="5">
        <f t="shared" si="407"/>
        <v>1.9736842105263159</v>
      </c>
      <c r="EC120" s="5">
        <f t="shared" si="408"/>
        <v>8.6844204271878187</v>
      </c>
      <c r="ED120" s="5"/>
      <c r="EE120" s="173">
        <f t="shared" si="409"/>
        <v>2.3470773165416947</v>
      </c>
      <c r="EF120" s="173">
        <f t="shared" si="410"/>
        <v>5.2748991842033117</v>
      </c>
      <c r="EG120" s="173">
        <f t="shared" si="411"/>
        <v>0.12990732108547767</v>
      </c>
      <c r="EH120" s="173"/>
      <c r="EI120" s="528">
        <f t="shared" si="412"/>
        <v>0.11017543859649126</v>
      </c>
      <c r="EJ120" s="528">
        <f t="shared" si="413"/>
        <v>0.18159666666666668</v>
      </c>
      <c r="EK120" s="528">
        <f t="shared" si="414"/>
        <v>3.2708333333333335E-3</v>
      </c>
      <c r="EL120" s="528">
        <f t="shared" si="415"/>
        <v>3.1507021666666675E-3</v>
      </c>
      <c r="EM120">
        <f t="shared" si="416"/>
        <v>8.5500000000000003E-3</v>
      </c>
      <c r="EN120" s="460">
        <f t="shared" si="417"/>
        <v>11.820833333333335</v>
      </c>
      <c r="EP120" s="460">
        <f t="shared" si="439"/>
        <v>306.74364076315794</v>
      </c>
      <c r="EQ120" s="173">
        <f t="shared" si="418"/>
        <v>0.7</v>
      </c>
      <c r="ER120" s="173">
        <f t="shared" si="419"/>
        <v>1.1093749999999999E-2</v>
      </c>
      <c r="ES120" s="528"/>
      <c r="EU120" s="460">
        <f t="shared" si="420"/>
        <v>711.09375</v>
      </c>
      <c r="EV120" s="528">
        <f t="shared" si="421"/>
        <v>0.16526315789473686</v>
      </c>
      <c r="EW120" s="528">
        <f t="shared" si="422"/>
        <v>0.83473684210526289</v>
      </c>
      <c r="EX120" s="528">
        <f t="shared" si="423"/>
        <v>8.4379560358026961E-5</v>
      </c>
      <c r="EY120" s="528">
        <f t="shared" si="424"/>
        <v>5.5378477209763376E-2</v>
      </c>
      <c r="EZ120" s="528"/>
      <c r="FA120" s="625">
        <f t="shared" si="425"/>
        <v>2.6166666666666669E-3</v>
      </c>
      <c r="FB120" s="460">
        <f t="shared" si="426"/>
        <v>1058.0795234367879</v>
      </c>
      <c r="FC120" s="173">
        <f t="shared" si="427"/>
        <v>2.0759169141999454</v>
      </c>
      <c r="FD120" s="5">
        <f t="shared" si="428"/>
        <v>15.2</v>
      </c>
      <c r="FE120" s="173">
        <f t="shared" si="429"/>
        <v>0.87983752616374034</v>
      </c>
      <c r="FF120" s="5">
        <f t="shared" si="430"/>
        <v>87.983752616374034</v>
      </c>
      <c r="FG120">
        <f t="shared" si="431"/>
        <v>10</v>
      </c>
      <c r="FI120" s="562">
        <f t="shared" si="432"/>
        <v>-50</v>
      </c>
      <c r="FJ120">
        <f t="shared" si="433"/>
        <v>-50</v>
      </c>
    </row>
    <row r="121" spans="5:166">
      <c r="E121" s="170">
        <v>11</v>
      </c>
      <c r="F121" s="217">
        <f t="shared" si="434"/>
        <v>1.1000000000000001</v>
      </c>
      <c r="G121" s="217">
        <f t="shared" si="313"/>
        <v>2.75E-2</v>
      </c>
      <c r="H121" s="217">
        <f t="shared" si="314"/>
        <v>16.5</v>
      </c>
      <c r="I121" s="217">
        <f t="shared" si="315"/>
        <v>0.22</v>
      </c>
      <c r="J121" s="541">
        <f t="shared" si="316"/>
        <v>18.723315016620045</v>
      </c>
      <c r="K121" s="443">
        <f t="shared" si="317"/>
        <v>15.848559966660831</v>
      </c>
      <c r="L121" s="172">
        <f t="shared" si="318"/>
        <v>34.571874983280878</v>
      </c>
      <c r="M121" s="443"/>
      <c r="N121" s="217">
        <f t="shared" si="319"/>
        <v>0.4584235010199843</v>
      </c>
      <c r="O121" s="172">
        <f t="shared" si="320"/>
        <v>211.75676695606103</v>
      </c>
      <c r="P121" s="172">
        <f t="shared" si="321"/>
        <v>2.8610692068730028</v>
      </c>
      <c r="Q121" s="217">
        <f t="shared" si="322"/>
        <v>14.117117797070735</v>
      </c>
      <c r="R121" s="217">
        <f t="shared" si="323"/>
        <v>26.469595869507629</v>
      </c>
      <c r="S121" s="217">
        <f t="shared" si="324"/>
        <v>15</v>
      </c>
      <c r="T121" s="217">
        <f t="shared" si="325"/>
        <v>3.8959793911624336</v>
      </c>
      <c r="U121" s="217">
        <f t="shared" si="326"/>
        <v>2.4969805107935894</v>
      </c>
      <c r="V121" s="217">
        <f t="shared" si="327"/>
        <v>2.9499054041689967</v>
      </c>
      <c r="W121" s="197">
        <f t="shared" si="328"/>
        <v>71.526730171825065</v>
      </c>
      <c r="X121" s="443">
        <f t="shared" si="435"/>
        <v>177.08875565385415</v>
      </c>
      <c r="Z121" s="217">
        <f t="shared" si="329"/>
        <v>10</v>
      </c>
      <c r="AA121" s="173">
        <f t="shared" si="330"/>
        <v>7.5716658328853255</v>
      </c>
      <c r="AB121" s="173">
        <f t="shared" si="331"/>
        <v>2.6722524620724464</v>
      </c>
      <c r="AC121" s="173"/>
      <c r="AD121" s="173">
        <f t="shared" si="332"/>
        <v>7.5716658328853255</v>
      </c>
      <c r="AE121" s="545">
        <f t="shared" si="333"/>
        <v>29.055693272211524</v>
      </c>
      <c r="AF121" s="528">
        <f t="shared" si="334"/>
        <v>2.7078824949000788</v>
      </c>
      <c r="AH121" s="173">
        <f t="shared" si="335"/>
        <v>2.8216847382201933</v>
      </c>
      <c r="AI121" s="173">
        <f t="shared" si="336"/>
        <v>10</v>
      </c>
      <c r="AJ121" s="173">
        <f t="shared" si="337"/>
        <v>1.0166032532984066</v>
      </c>
      <c r="AL121" s="545">
        <f t="shared" si="338"/>
        <v>1100</v>
      </c>
      <c r="AM121" s="460">
        <f t="shared" si="339"/>
        <v>29.055693272211524</v>
      </c>
      <c r="AO121" s="460">
        <f t="shared" si="340"/>
        <v>1100</v>
      </c>
      <c r="AP121" s="460">
        <f t="shared" si="341"/>
        <v>29.055693272211524</v>
      </c>
      <c r="AR121" s="5">
        <f t="shared" si="275"/>
        <v>34.416662876751481</v>
      </c>
      <c r="AS121" s="5">
        <f t="shared" si="440"/>
        <v>6.4091214559750833</v>
      </c>
      <c r="AT121" s="5">
        <f t="shared" si="441"/>
        <v>28.007541420776398</v>
      </c>
      <c r="AU121" s="173">
        <f t="shared" si="442"/>
        <v>0.18622146716916174</v>
      </c>
      <c r="AW121" s="5">
        <f t="shared" si="342"/>
        <v>47.000224010483954</v>
      </c>
      <c r="AX121" s="5">
        <f t="shared" si="343"/>
        <v>2.203135500491435</v>
      </c>
      <c r="AY121" s="5">
        <f t="shared" si="344"/>
        <v>8.5109529359443847</v>
      </c>
      <c r="AZ121" s="5"/>
      <c r="BA121" s="173">
        <f t="shared" si="345"/>
        <v>2.4914618678543041</v>
      </c>
      <c r="BB121" s="173">
        <f t="shared" si="346"/>
        <v>5.2082579711801209</v>
      </c>
      <c r="BC121" s="173">
        <f t="shared" si="347"/>
        <v>0.12826611787847517</v>
      </c>
      <c r="BD121" s="173"/>
      <c r="BE121" s="528">
        <f t="shared" si="348"/>
        <v>0.12414764477944117</v>
      </c>
      <c r="BF121" s="528">
        <f t="shared" si="349"/>
        <v>0.18834558662989725</v>
      </c>
      <c r="BG121" s="528">
        <f t="shared" si="350"/>
        <v>1.36004724540476E-2</v>
      </c>
      <c r="BH121" s="528">
        <f t="shared" si="351"/>
        <v>3.4727787064648039E-3</v>
      </c>
      <c r="BI121">
        <f t="shared" si="352"/>
        <v>8.4254917574790207E-3</v>
      </c>
      <c r="BJ121" s="460">
        <f t="shared" si="436"/>
        <v>22.02596421152662</v>
      </c>
      <c r="BK121">
        <f t="shared" si="353"/>
        <v>0.3601081575245676</v>
      </c>
      <c r="BL121" s="460">
        <f t="shared" si="437"/>
        <v>337.99197432732984</v>
      </c>
      <c r="BM121" s="173">
        <f t="shared" si="354"/>
        <v>0.68337499999999995</v>
      </c>
      <c r="BN121" s="173">
        <f t="shared" si="355"/>
        <v>1.7084374999999999E-2</v>
      </c>
      <c r="BO121" s="528"/>
      <c r="BQ121" s="460">
        <f t="shared" si="356"/>
        <v>700.45937500000002</v>
      </c>
      <c r="BR121" s="528">
        <f t="shared" si="357"/>
        <v>0.18622146716916174</v>
      </c>
      <c r="BS121" s="528">
        <f t="shared" si="358"/>
        <v>0.81377853283083801</v>
      </c>
      <c r="BT121" s="528">
        <f t="shared" si="359"/>
        <v>8.2260984978074447E-5</v>
      </c>
      <c r="BU121" s="528">
        <f t="shared" si="360"/>
        <v>7.1952868087402963E-2</v>
      </c>
      <c r="BV121" s="528"/>
      <c r="BW121" s="625">
        <f t="shared" si="361"/>
        <v>2.9055693272211527E-3</v>
      </c>
      <c r="BX121" s="460">
        <f t="shared" si="362"/>
        <v>1074.9406983996016</v>
      </c>
      <c r="BY121" s="173">
        <f t="shared" si="363"/>
        <v>2.1133920477269319</v>
      </c>
      <c r="BZ121" s="5">
        <f t="shared" si="364"/>
        <v>16.72</v>
      </c>
      <c r="CA121" s="173">
        <f t="shared" si="365"/>
        <v>0.88778484288060022</v>
      </c>
      <c r="CB121" s="5">
        <f t="shared" si="366"/>
        <v>88.778484288060028</v>
      </c>
      <c r="CC121">
        <f t="shared" si="367"/>
        <v>11.000000000000002</v>
      </c>
      <c r="CE121" s="562">
        <f t="shared" si="368"/>
        <v>-50</v>
      </c>
      <c r="CF121">
        <f t="shared" si="369"/>
        <v>-50</v>
      </c>
      <c r="CG121" s="173">
        <f t="shared" si="370"/>
        <v>0.22213252157857741</v>
      </c>
      <c r="CH121" s="173">
        <f t="shared" si="371"/>
        <v>2.5594834271807154E-2</v>
      </c>
      <c r="CI121" s="170">
        <v>11</v>
      </c>
      <c r="CJ121" s="217">
        <f t="shared" si="438"/>
        <v>1.1000000000000001</v>
      </c>
      <c r="CK121" s="217">
        <f t="shared" si="372"/>
        <v>2.75E-2</v>
      </c>
      <c r="CL121" s="217">
        <f t="shared" si="373"/>
        <v>16.5</v>
      </c>
      <c r="CM121" s="217">
        <f t="shared" si="374"/>
        <v>0.22</v>
      </c>
      <c r="CN121" s="541">
        <f t="shared" si="375"/>
        <v>19</v>
      </c>
      <c r="CO121" s="443">
        <f t="shared" si="376"/>
        <v>15.7</v>
      </c>
      <c r="CP121" s="443">
        <f t="shared" si="377"/>
        <v>34.700000000000003</v>
      </c>
      <c r="CQ121" s="443"/>
      <c r="CR121" s="217">
        <f t="shared" si="378"/>
        <v>0.44767441860465118</v>
      </c>
      <c r="CS121" s="172">
        <f t="shared" si="379"/>
        <v>209.84738372093025</v>
      </c>
      <c r="CT121" s="172">
        <f t="shared" si="380"/>
        <v>2.835271317829458</v>
      </c>
      <c r="CU121" s="217">
        <f t="shared" si="381"/>
        <v>13.989825581395349</v>
      </c>
      <c r="CV121" s="217">
        <f t="shared" si="382"/>
        <v>26.230922965116282</v>
      </c>
      <c r="CW121" s="217">
        <f t="shared" si="383"/>
        <v>15</v>
      </c>
      <c r="CX121" s="217">
        <f t="shared" si="384"/>
        <v>3.9314285714285711</v>
      </c>
      <c r="CY121" s="217">
        <f t="shared" si="385"/>
        <v>2.4830075187969927</v>
      </c>
      <c r="CZ121" s="217">
        <f t="shared" si="386"/>
        <v>3.0049135577797998</v>
      </c>
      <c r="DA121" s="197">
        <f t="shared" si="387"/>
        <v>71.63784822286263</v>
      </c>
      <c r="DB121" s="443">
        <f t="shared" si="388"/>
        <v>182.21836393896743</v>
      </c>
      <c r="DD121" s="217">
        <f t="shared" si="389"/>
        <v>10.000000000000002</v>
      </c>
      <c r="DE121" s="173">
        <f t="shared" si="390"/>
        <v>7.6433121019108299</v>
      </c>
      <c r="DF121" s="173">
        <f t="shared" si="391"/>
        <v>2.7017291066282429</v>
      </c>
      <c r="DG121" s="173"/>
      <c r="DH121" s="173">
        <f t="shared" si="392"/>
        <v>7.6433121019108281</v>
      </c>
      <c r="DI121" s="545">
        <f t="shared" si="393"/>
        <v>28.783333333333339</v>
      </c>
      <c r="DJ121" s="528">
        <f t="shared" si="394"/>
        <v>2.7377521613832849</v>
      </c>
      <c r="DL121" s="173">
        <f t="shared" si="395"/>
        <v>2.8216847382201933</v>
      </c>
      <c r="DM121" s="173">
        <f t="shared" si="396"/>
        <v>10</v>
      </c>
      <c r="DN121" s="173">
        <f t="shared" si="397"/>
        <v>1.016447619047619</v>
      </c>
      <c r="DP121" s="545">
        <f t="shared" si="398"/>
        <v>1100</v>
      </c>
      <c r="DQ121" s="460">
        <f t="shared" si="399"/>
        <v>28.783333333333339</v>
      </c>
      <c r="DS121" s="460">
        <f t="shared" si="400"/>
        <v>1100</v>
      </c>
      <c r="DT121" s="460">
        <f t="shared" si="401"/>
        <v>28.783333333333339</v>
      </c>
      <c r="DV121" s="5">
        <f t="shared" si="402"/>
        <v>34.742327735958305</v>
      </c>
      <c r="DW121" s="5">
        <f t="shared" si="403"/>
        <v>6.3157894736842106</v>
      </c>
      <c r="DX121" s="5">
        <f t="shared" si="404"/>
        <v>28.426538262274093</v>
      </c>
      <c r="DY121" s="173">
        <f t="shared" si="405"/>
        <v>0.18178947368421056</v>
      </c>
      <c r="EA121" s="5">
        <f t="shared" si="406"/>
        <v>46.315789473684212</v>
      </c>
      <c r="EB121" s="5">
        <f t="shared" si="407"/>
        <v>2.1710526315789478</v>
      </c>
      <c r="EC121" s="5">
        <f t="shared" si="408"/>
        <v>8.5124842346192828</v>
      </c>
      <c r="ED121" s="5"/>
      <c r="EE121" s="173">
        <f t="shared" si="409"/>
        <v>2.4616354569283851</v>
      </c>
      <c r="EF121" s="173">
        <f t="shared" si="410"/>
        <v>5.222421297686191</v>
      </c>
      <c r="EG121" s="173">
        <f t="shared" si="411"/>
        <v>0.12861492450772269</v>
      </c>
      <c r="EH121" s="173"/>
      <c r="EI121" s="528">
        <f t="shared" si="412"/>
        <v>0.12119298245614041</v>
      </c>
      <c r="EJ121" s="528">
        <f t="shared" si="413"/>
        <v>0.1997563333333334</v>
      </c>
      <c r="EK121" s="528">
        <f t="shared" si="414"/>
        <v>3.5979166666666672E-3</v>
      </c>
      <c r="EL121" s="528">
        <f t="shared" si="415"/>
        <v>3.4657723833333349E-3</v>
      </c>
      <c r="EM121">
        <f t="shared" si="416"/>
        <v>8.5500000000000003E-3</v>
      </c>
      <c r="EN121" s="460">
        <f t="shared" si="417"/>
        <v>12.147916666666667</v>
      </c>
      <c r="EP121" s="460">
        <f t="shared" si="439"/>
        <v>336.56300483947382</v>
      </c>
      <c r="EQ121" s="173">
        <f t="shared" si="418"/>
        <v>0.77</v>
      </c>
      <c r="ER121" s="173">
        <f t="shared" si="419"/>
        <v>1.2203124999999999E-2</v>
      </c>
      <c r="ES121" s="528"/>
      <c r="EU121" s="460">
        <f t="shared" si="420"/>
        <v>782.203125</v>
      </c>
      <c r="EV121" s="528">
        <f t="shared" si="421"/>
        <v>0.18178947368421058</v>
      </c>
      <c r="EW121" s="528">
        <f t="shared" si="422"/>
        <v>0.8182105263157895</v>
      </c>
      <c r="EX121" s="528">
        <f t="shared" si="423"/>
        <v>8.2708994030636037E-5</v>
      </c>
      <c r="EY121" s="528">
        <f t="shared" si="424"/>
        <v>7.0278538643904612E-2</v>
      </c>
      <c r="EZ121" s="528"/>
      <c r="FA121" s="625">
        <f t="shared" si="425"/>
        <v>2.8783333333333343E-3</v>
      </c>
      <c r="FB121" s="460">
        <f t="shared" si="426"/>
        <v>1073.2395809712687</v>
      </c>
      <c r="FC121" s="173">
        <f t="shared" si="427"/>
        <v>2.1920057108107427</v>
      </c>
      <c r="FD121" s="5">
        <f t="shared" si="428"/>
        <v>16.72</v>
      </c>
      <c r="FE121" s="173">
        <f t="shared" si="429"/>
        <v>0.88409448768526344</v>
      </c>
      <c r="FF121" s="5">
        <f t="shared" si="430"/>
        <v>88.409448768526346</v>
      </c>
      <c r="FG121">
        <f t="shared" si="431"/>
        <v>11.000000000000002</v>
      </c>
      <c r="FI121" s="562">
        <f t="shared" si="432"/>
        <v>-50</v>
      </c>
      <c r="FJ121">
        <f t="shared" si="433"/>
        <v>-50</v>
      </c>
    </row>
    <row r="122" spans="5:166">
      <c r="E122" s="170">
        <v>12</v>
      </c>
      <c r="F122" s="217">
        <f t="shared" si="434"/>
        <v>1.2</v>
      </c>
      <c r="G122" s="217">
        <f t="shared" si="313"/>
        <v>0.03</v>
      </c>
      <c r="H122" s="217">
        <f t="shared" si="314"/>
        <v>18</v>
      </c>
      <c r="I122" s="217">
        <f t="shared" si="315"/>
        <v>0.24</v>
      </c>
      <c r="J122" s="541">
        <f t="shared" si="316"/>
        <v>18.723315016620045</v>
      </c>
      <c r="K122" s="443">
        <f t="shared" si="317"/>
        <v>15.848559966660831</v>
      </c>
      <c r="L122" s="172">
        <f t="shared" si="318"/>
        <v>34.571874983280878</v>
      </c>
      <c r="M122" s="443"/>
      <c r="N122" s="217">
        <f t="shared" si="319"/>
        <v>0.4584235010199843</v>
      </c>
      <c r="O122" s="172">
        <f t="shared" si="320"/>
        <v>211.75676695606103</v>
      </c>
      <c r="P122" s="172">
        <f t="shared" si="321"/>
        <v>2.8610692068730028</v>
      </c>
      <c r="Q122" s="217">
        <f t="shared" si="322"/>
        <v>14.117117797070735</v>
      </c>
      <c r="R122" s="217">
        <f t="shared" si="323"/>
        <v>26.469595869507629</v>
      </c>
      <c r="S122" s="217">
        <f t="shared" si="324"/>
        <v>15</v>
      </c>
      <c r="T122" s="217">
        <f t="shared" si="325"/>
        <v>4.2501593358135636</v>
      </c>
      <c r="U122" s="217">
        <f t="shared" si="326"/>
        <v>2.7239787390475518</v>
      </c>
      <c r="V122" s="217">
        <f t="shared" si="327"/>
        <v>3.2180786227298146</v>
      </c>
      <c r="W122" s="197">
        <f t="shared" si="328"/>
        <v>71.526730171825065</v>
      </c>
      <c r="X122" s="443">
        <f t="shared" si="435"/>
        <v>162.81189528171771</v>
      </c>
      <c r="Z122" s="217">
        <f t="shared" si="329"/>
        <v>10</v>
      </c>
      <c r="AA122" s="173">
        <f t="shared" si="330"/>
        <v>7.5716658328853255</v>
      </c>
      <c r="AB122" s="173">
        <f t="shared" si="331"/>
        <v>2.6722524620724464</v>
      </c>
      <c r="AC122" s="173"/>
      <c r="AD122" s="173">
        <f t="shared" si="332"/>
        <v>7.5716658328853255</v>
      </c>
      <c r="AE122" s="545">
        <f t="shared" si="333"/>
        <v>31.697119933321659</v>
      </c>
      <c r="AF122" s="528">
        <f t="shared" si="334"/>
        <v>2.7078824949000788</v>
      </c>
      <c r="AH122" s="173">
        <f t="shared" si="335"/>
        <v>2.9471535904520287</v>
      </c>
      <c r="AI122" s="173">
        <f t="shared" si="336"/>
        <v>10</v>
      </c>
      <c r="AJ122" s="173">
        <f t="shared" si="337"/>
        <v>1.018112639961898</v>
      </c>
      <c r="AL122" s="545">
        <f t="shared" si="338"/>
        <v>1200</v>
      </c>
      <c r="AM122" s="460">
        <f t="shared" si="339"/>
        <v>31.697119933321659</v>
      </c>
      <c r="AO122" s="460">
        <f t="shared" si="340"/>
        <v>1200</v>
      </c>
      <c r="AP122" s="460">
        <f t="shared" si="341"/>
        <v>31.697119933321659</v>
      </c>
      <c r="AR122" s="5">
        <f t="shared" si="275"/>
        <v>31.54860763702219</v>
      </c>
      <c r="AS122" s="5">
        <f t="shared" si="440"/>
        <v>6.4091214559750833</v>
      </c>
      <c r="AT122" s="5">
        <f t="shared" si="441"/>
        <v>25.139486181047108</v>
      </c>
      <c r="AU122" s="173">
        <f t="shared" si="442"/>
        <v>0.20315069145726736</v>
      </c>
      <c r="AW122" s="5">
        <f t="shared" si="342"/>
        <v>51.272971647800659</v>
      </c>
      <c r="AX122" s="5">
        <f t="shared" si="343"/>
        <v>2.4034205459906564</v>
      </c>
      <c r="AY122" s="5">
        <f t="shared" si="344"/>
        <v>8.3338976004381777</v>
      </c>
      <c r="AZ122" s="5"/>
      <c r="BA122" s="173">
        <f t="shared" si="345"/>
        <v>2.6022470511544911</v>
      </c>
      <c r="BB122" s="173">
        <f t="shared" si="346"/>
        <v>5.1537989501038055</v>
      </c>
      <c r="BC122" s="173">
        <f t="shared" si="347"/>
        <v>0.12692493100647806</v>
      </c>
      <c r="BD122" s="173"/>
      <c r="BE122" s="528">
        <f t="shared" si="348"/>
        <v>0.1354337943048449</v>
      </c>
      <c r="BF122" s="528">
        <f t="shared" si="349"/>
        <v>0.20546791268716064</v>
      </c>
      <c r="BG122" s="528">
        <f t="shared" si="350"/>
        <v>1.4836879040779198E-2</v>
      </c>
      <c r="BH122" s="528">
        <f t="shared" si="351"/>
        <v>3.7884858615979673E-3</v>
      </c>
      <c r="BI122">
        <f t="shared" si="352"/>
        <v>8.4254917574790207E-3</v>
      </c>
      <c r="BJ122" s="460">
        <f t="shared" si="436"/>
        <v>23.262370798258221</v>
      </c>
      <c r="BK122">
        <f t="shared" si="353"/>
        <v>0.39393373847527191</v>
      </c>
      <c r="BL122" s="460">
        <f t="shared" si="437"/>
        <v>367.95256365186168</v>
      </c>
      <c r="BM122" s="173">
        <f t="shared" si="354"/>
        <v>0.74549999999999994</v>
      </c>
      <c r="BN122" s="173">
        <f t="shared" si="355"/>
        <v>1.8637499999999998E-2</v>
      </c>
      <c r="BO122" s="528"/>
      <c r="BQ122" s="460">
        <f t="shared" si="356"/>
        <v>764.13749999999993</v>
      </c>
      <c r="BR122" s="528">
        <f t="shared" si="357"/>
        <v>0.20315069145726733</v>
      </c>
      <c r="BS122" s="528">
        <f t="shared" si="358"/>
        <v>0.79684930854273262</v>
      </c>
      <c r="BT122" s="528">
        <f t="shared" si="359"/>
        <v>8.054969055499607E-5</v>
      </c>
      <c r="BU122" s="528">
        <f t="shared" si="360"/>
        <v>8.9437471373356683E-2</v>
      </c>
      <c r="BV122" s="528"/>
      <c r="BW122" s="625">
        <f t="shared" si="361"/>
        <v>3.1697119933321661E-3</v>
      </c>
      <c r="BX122" s="460">
        <f t="shared" si="362"/>
        <v>1092.687733057244</v>
      </c>
      <c r="BY122" s="173">
        <f t="shared" si="363"/>
        <v>2.2247777967091054</v>
      </c>
      <c r="BZ122" s="5">
        <f t="shared" si="364"/>
        <v>18.239999999999998</v>
      </c>
      <c r="CA122" s="173">
        <f t="shared" si="365"/>
        <v>0.89128746870308717</v>
      </c>
      <c r="CB122" s="5">
        <f t="shared" si="366"/>
        <v>89.128746870308717</v>
      </c>
      <c r="CC122">
        <f t="shared" si="367"/>
        <v>12</v>
      </c>
      <c r="CE122" s="562">
        <f t="shared" si="368"/>
        <v>-50</v>
      </c>
      <c r="CF122">
        <f t="shared" si="369"/>
        <v>-50</v>
      </c>
      <c r="CG122" s="173">
        <f t="shared" si="370"/>
        <v>0.24232638717662985</v>
      </c>
      <c r="CH122" s="173">
        <f t="shared" si="371"/>
        <v>2.7921637387425983E-2</v>
      </c>
      <c r="CI122" s="170">
        <v>12</v>
      </c>
      <c r="CJ122" s="217">
        <f t="shared" si="438"/>
        <v>1.2</v>
      </c>
      <c r="CK122" s="217">
        <f t="shared" si="372"/>
        <v>0.03</v>
      </c>
      <c r="CL122" s="217">
        <f t="shared" si="373"/>
        <v>18</v>
      </c>
      <c r="CM122" s="217">
        <f t="shared" si="374"/>
        <v>0.24</v>
      </c>
      <c r="CN122" s="541">
        <f t="shared" si="375"/>
        <v>19</v>
      </c>
      <c r="CO122" s="443">
        <f t="shared" si="376"/>
        <v>15.7</v>
      </c>
      <c r="CP122" s="443">
        <f t="shared" si="377"/>
        <v>34.700000000000003</v>
      </c>
      <c r="CQ122" s="443"/>
      <c r="CR122" s="217">
        <f t="shared" si="378"/>
        <v>0.44767441860465118</v>
      </c>
      <c r="CS122" s="172">
        <f t="shared" si="379"/>
        <v>209.84738372093025</v>
      </c>
      <c r="CT122" s="172">
        <f t="shared" si="380"/>
        <v>2.835271317829458</v>
      </c>
      <c r="CU122" s="217">
        <f t="shared" si="381"/>
        <v>13.989825581395349</v>
      </c>
      <c r="CV122" s="217">
        <f t="shared" si="382"/>
        <v>26.230922965116282</v>
      </c>
      <c r="CW122" s="217">
        <f t="shared" si="383"/>
        <v>15</v>
      </c>
      <c r="CX122" s="217">
        <f t="shared" si="384"/>
        <v>4.2888311688311687</v>
      </c>
      <c r="CY122" s="217">
        <f t="shared" si="385"/>
        <v>2.7087354750512644</v>
      </c>
      <c r="CZ122" s="217">
        <f t="shared" si="386"/>
        <v>3.2780875175779634</v>
      </c>
      <c r="DA122" s="197">
        <f t="shared" si="387"/>
        <v>71.63784822286263</v>
      </c>
      <c r="DB122" s="443">
        <f t="shared" si="388"/>
        <v>167.03350027738685</v>
      </c>
      <c r="DD122" s="217">
        <f t="shared" si="389"/>
        <v>10.000000000000002</v>
      </c>
      <c r="DE122" s="173">
        <f t="shared" si="390"/>
        <v>7.6433121019108299</v>
      </c>
      <c r="DF122" s="173">
        <f t="shared" si="391"/>
        <v>2.7017291066282429</v>
      </c>
      <c r="DG122" s="173"/>
      <c r="DH122" s="173">
        <f t="shared" si="392"/>
        <v>7.6433121019108281</v>
      </c>
      <c r="DI122" s="545">
        <f t="shared" si="393"/>
        <v>31.4</v>
      </c>
      <c r="DJ122" s="528">
        <f t="shared" si="394"/>
        <v>2.7377521613832849</v>
      </c>
      <c r="DL122" s="173">
        <f t="shared" si="395"/>
        <v>2.9471535904520287</v>
      </c>
      <c r="DM122" s="173">
        <f t="shared" si="396"/>
        <v>10</v>
      </c>
      <c r="DN122" s="173">
        <f t="shared" si="397"/>
        <v>1.017942857142857</v>
      </c>
      <c r="DP122" s="545">
        <f t="shared" si="398"/>
        <v>1200</v>
      </c>
      <c r="DQ122" s="460">
        <f t="shared" si="399"/>
        <v>31.4</v>
      </c>
      <c r="DS122" s="460">
        <f t="shared" si="400"/>
        <v>1200</v>
      </c>
      <c r="DT122" s="460">
        <f t="shared" si="401"/>
        <v>31.4</v>
      </c>
      <c r="DV122" s="5">
        <f t="shared" si="402"/>
        <v>31.847133757961782</v>
      </c>
      <c r="DW122" s="5">
        <f t="shared" si="403"/>
        <v>6.3157894736842106</v>
      </c>
      <c r="DX122" s="5">
        <f t="shared" si="404"/>
        <v>25.531344284277573</v>
      </c>
      <c r="DY122" s="173">
        <f t="shared" si="405"/>
        <v>0.19831578947368422</v>
      </c>
      <c r="EA122" s="5">
        <f t="shared" si="406"/>
        <v>50.526315789473685</v>
      </c>
      <c r="EB122" s="5">
        <f t="shared" si="407"/>
        <v>2.3684210526315792</v>
      </c>
      <c r="EC122" s="5">
        <f t="shared" si="408"/>
        <v>8.3405480420507487</v>
      </c>
      <c r="ED122" s="5"/>
      <c r="EE122" s="173">
        <f t="shared" si="409"/>
        <v>2.5710943809571587</v>
      </c>
      <c r="EF122" s="173">
        <f t="shared" si="410"/>
        <v>5.1694107031211844</v>
      </c>
      <c r="EG122" s="173">
        <f t="shared" si="411"/>
        <v>0.12730940868863153</v>
      </c>
      <c r="EH122" s="173"/>
      <c r="EI122" s="528">
        <f t="shared" si="412"/>
        <v>0.1322105263157895</v>
      </c>
      <c r="EJ122" s="528">
        <f t="shared" si="413"/>
        <v>0.217916</v>
      </c>
      <c r="EK122" s="528">
        <f t="shared" si="414"/>
        <v>3.9249999999999997E-3</v>
      </c>
      <c r="EL122" s="528">
        <f t="shared" si="415"/>
        <v>3.7808426000000006E-3</v>
      </c>
      <c r="EM122">
        <f t="shared" si="416"/>
        <v>8.5500000000000003E-3</v>
      </c>
      <c r="EN122" s="460">
        <f t="shared" si="417"/>
        <v>12.475</v>
      </c>
      <c r="EP122" s="460">
        <f t="shared" si="439"/>
        <v>366.38236891578953</v>
      </c>
      <c r="EQ122" s="173">
        <f t="shared" si="418"/>
        <v>0.84</v>
      </c>
      <c r="ER122" s="173">
        <f t="shared" si="419"/>
        <v>1.33125E-2</v>
      </c>
      <c r="ES122" s="528"/>
      <c r="EU122" s="460">
        <f t="shared" si="420"/>
        <v>853.31249999999989</v>
      </c>
      <c r="EV122" s="528">
        <f t="shared" si="421"/>
        <v>0.19831578947368422</v>
      </c>
      <c r="EW122" s="528">
        <f t="shared" si="422"/>
        <v>0.80168421052631567</v>
      </c>
      <c r="EX122" s="528">
        <f t="shared" si="423"/>
        <v>8.1038427703245046E-5</v>
      </c>
      <c r="EY122" s="528">
        <f t="shared" si="424"/>
        <v>8.7356278564050566E-2</v>
      </c>
      <c r="EZ122" s="528"/>
      <c r="FA122" s="625">
        <f t="shared" si="425"/>
        <v>3.14E-3</v>
      </c>
      <c r="FB122" s="460">
        <f t="shared" si="426"/>
        <v>1090.5773169917536</v>
      </c>
      <c r="FC122" s="173">
        <f t="shared" si="427"/>
        <v>2.3102721859075439</v>
      </c>
      <c r="FD122" s="5">
        <f t="shared" si="428"/>
        <v>18.239999999999998</v>
      </c>
      <c r="FE122" s="173">
        <f t="shared" si="429"/>
        <v>0.88757948483564009</v>
      </c>
      <c r="FF122" s="5">
        <f t="shared" si="430"/>
        <v>88.757948483564007</v>
      </c>
      <c r="FG122">
        <f t="shared" si="431"/>
        <v>12</v>
      </c>
      <c r="FI122" s="562">
        <f t="shared" si="432"/>
        <v>-50</v>
      </c>
      <c r="FJ122">
        <f t="shared" si="433"/>
        <v>-50</v>
      </c>
    </row>
    <row r="123" spans="5:166">
      <c r="E123" s="170">
        <v>13</v>
      </c>
      <c r="F123" s="217">
        <f t="shared" si="434"/>
        <v>1.3</v>
      </c>
      <c r="G123" s="217">
        <f t="shared" si="313"/>
        <v>3.2500000000000001E-2</v>
      </c>
      <c r="H123" s="217">
        <f t="shared" si="314"/>
        <v>19.5</v>
      </c>
      <c r="I123" s="217">
        <f t="shared" si="315"/>
        <v>0.26</v>
      </c>
      <c r="J123" s="541">
        <f t="shared" si="316"/>
        <v>18.723315016620045</v>
      </c>
      <c r="K123" s="443">
        <f t="shared" si="317"/>
        <v>15.848559966660831</v>
      </c>
      <c r="L123" s="172">
        <f t="shared" si="318"/>
        <v>34.571874983280878</v>
      </c>
      <c r="M123" s="443"/>
      <c r="N123" s="217">
        <f t="shared" si="319"/>
        <v>0.4584235010199843</v>
      </c>
      <c r="O123" s="172">
        <f t="shared" si="320"/>
        <v>211.75676695606103</v>
      </c>
      <c r="P123" s="172">
        <f t="shared" si="321"/>
        <v>2.8610692068730028</v>
      </c>
      <c r="Q123" s="217">
        <f t="shared" si="322"/>
        <v>14.117117797070735</v>
      </c>
      <c r="R123" s="217">
        <f t="shared" si="323"/>
        <v>26.469595869507629</v>
      </c>
      <c r="S123" s="217">
        <f t="shared" si="324"/>
        <v>15</v>
      </c>
      <c r="T123" s="217">
        <f t="shared" si="325"/>
        <v>4.6043392804646945</v>
      </c>
      <c r="U123" s="217">
        <f t="shared" si="326"/>
        <v>2.9509769673015152</v>
      </c>
      <c r="V123" s="217">
        <f t="shared" si="327"/>
        <v>3.4862518412906334</v>
      </c>
      <c r="W123" s="197">
        <f t="shared" si="328"/>
        <v>71.526730171825065</v>
      </c>
      <c r="X123" s="443">
        <f t="shared" si="435"/>
        <v>150.66528951140896</v>
      </c>
      <c r="Z123" s="217">
        <f t="shared" si="329"/>
        <v>10</v>
      </c>
      <c r="AA123" s="173">
        <f t="shared" si="330"/>
        <v>7.5716658328853255</v>
      </c>
      <c r="AB123" s="173">
        <f t="shared" si="331"/>
        <v>2.6722524620724464</v>
      </c>
      <c r="AC123" s="173"/>
      <c r="AD123" s="173">
        <f t="shared" si="332"/>
        <v>7.5716658328853255</v>
      </c>
      <c r="AE123" s="545">
        <f t="shared" si="333"/>
        <v>34.338546594431797</v>
      </c>
      <c r="AF123" s="528">
        <f t="shared" si="334"/>
        <v>2.7078824949000788</v>
      </c>
      <c r="AH123" s="173">
        <f t="shared" si="335"/>
        <v>3.0674947122242622</v>
      </c>
      <c r="AI123" s="173">
        <f t="shared" si="336"/>
        <v>10</v>
      </c>
      <c r="AJ123" s="173">
        <f t="shared" si="337"/>
        <v>1.0196220266253897</v>
      </c>
      <c r="AL123" s="545">
        <f t="shared" si="338"/>
        <v>1300</v>
      </c>
      <c r="AM123" s="460">
        <f t="shared" si="339"/>
        <v>34.338546594431797</v>
      </c>
      <c r="AO123" s="460">
        <f t="shared" si="340"/>
        <v>1300</v>
      </c>
      <c r="AP123" s="460">
        <f t="shared" si="341"/>
        <v>34.338546594431797</v>
      </c>
      <c r="AR123" s="5">
        <f t="shared" si="275"/>
        <v>29.121791664943558</v>
      </c>
      <c r="AS123" s="5">
        <f t="shared" si="440"/>
        <v>6.4091214559750833</v>
      </c>
      <c r="AT123" s="5">
        <f t="shared" si="441"/>
        <v>22.712670208968476</v>
      </c>
      <c r="AU123" s="173">
        <f t="shared" si="442"/>
        <v>0.22007991574537297</v>
      </c>
      <c r="AW123" s="5">
        <f t="shared" si="342"/>
        <v>55.545719285117386</v>
      </c>
      <c r="AX123" s="5">
        <f t="shared" si="343"/>
        <v>2.6037055914898781</v>
      </c>
      <c r="AY123" s="5">
        <f t="shared" si="344"/>
        <v>8.1568422649319707</v>
      </c>
      <c r="AZ123" s="5"/>
      <c r="BA123" s="173">
        <f t="shared" si="345"/>
        <v>2.7085046042996552</v>
      </c>
      <c r="BB123" s="173">
        <f t="shared" si="346"/>
        <v>5.0987582941164113</v>
      </c>
      <c r="BC123" s="173">
        <f t="shared" si="347"/>
        <v>0.12556941994921988</v>
      </c>
      <c r="BD123" s="173"/>
      <c r="BE123" s="528">
        <f t="shared" si="348"/>
        <v>0.14671994383024864</v>
      </c>
      <c r="BF123" s="528">
        <f t="shared" si="349"/>
        <v>0.22259023874442402</v>
      </c>
      <c r="BG123" s="528">
        <f t="shared" si="350"/>
        <v>1.60732856275108E-2</v>
      </c>
      <c r="BH123" s="528">
        <f t="shared" si="351"/>
        <v>4.1041930167311311E-3</v>
      </c>
      <c r="BI123">
        <f t="shared" si="352"/>
        <v>8.4254917574790207E-3</v>
      </c>
      <c r="BJ123" s="460">
        <f t="shared" si="436"/>
        <v>24.498777384989822</v>
      </c>
      <c r="BK123">
        <f t="shared" si="353"/>
        <v>0.4279472846372448</v>
      </c>
      <c r="BL123" s="460">
        <f t="shared" si="437"/>
        <v>397.91315297639363</v>
      </c>
      <c r="BM123" s="173">
        <f t="shared" si="354"/>
        <v>0.80762499999999993</v>
      </c>
      <c r="BN123" s="173">
        <f t="shared" si="355"/>
        <v>2.0190624999999997E-2</v>
      </c>
      <c r="BO123" s="528"/>
      <c r="BQ123" s="460">
        <f t="shared" si="356"/>
        <v>827.81562499999995</v>
      </c>
      <c r="BR123" s="528">
        <f t="shared" si="357"/>
        <v>0.22007991574537294</v>
      </c>
      <c r="BS123" s="528">
        <f t="shared" si="358"/>
        <v>0.77992008425462689</v>
      </c>
      <c r="BT123" s="528">
        <f t="shared" si="359"/>
        <v>7.8838396131917707E-5</v>
      </c>
      <c r="BU123" s="528">
        <f t="shared" si="360"/>
        <v>0.10925083821843092</v>
      </c>
      <c r="BV123" s="528"/>
      <c r="BW123" s="625">
        <f t="shared" si="361"/>
        <v>3.4338546594431803E-3</v>
      </c>
      <c r="BX123" s="460">
        <f t="shared" si="362"/>
        <v>1112.7635312740058</v>
      </c>
      <c r="BY123" s="173">
        <f t="shared" si="363"/>
        <v>2.3384923092503991</v>
      </c>
      <c r="BZ123" s="5">
        <f t="shared" si="364"/>
        <v>19.760000000000002</v>
      </c>
      <c r="CA123" s="173">
        <f t="shared" si="365"/>
        <v>0.89417864908948974</v>
      </c>
      <c r="CB123" s="5">
        <f t="shared" si="366"/>
        <v>89.417864908948971</v>
      </c>
      <c r="CC123">
        <f t="shared" si="367"/>
        <v>13</v>
      </c>
      <c r="CE123" s="562">
        <f t="shared" si="368"/>
        <v>-50</v>
      </c>
      <c r="CF123">
        <f t="shared" si="369"/>
        <v>-50</v>
      </c>
      <c r="CG123" s="173">
        <f t="shared" si="370"/>
        <v>0.26252025277468233</v>
      </c>
      <c r="CH123" s="173">
        <f t="shared" si="371"/>
        <v>3.0248440503044819E-2</v>
      </c>
      <c r="CI123" s="170">
        <v>13</v>
      </c>
      <c r="CJ123" s="217">
        <f t="shared" si="438"/>
        <v>1.3</v>
      </c>
      <c r="CK123" s="217">
        <f t="shared" si="372"/>
        <v>3.2500000000000001E-2</v>
      </c>
      <c r="CL123" s="217">
        <f t="shared" si="373"/>
        <v>19.5</v>
      </c>
      <c r="CM123" s="217">
        <f t="shared" si="374"/>
        <v>0.26</v>
      </c>
      <c r="CN123" s="541">
        <f t="shared" si="375"/>
        <v>19</v>
      </c>
      <c r="CO123" s="443">
        <f t="shared" si="376"/>
        <v>15.7</v>
      </c>
      <c r="CP123" s="443">
        <f t="shared" si="377"/>
        <v>34.700000000000003</v>
      </c>
      <c r="CQ123" s="443"/>
      <c r="CR123" s="217">
        <f t="shared" si="378"/>
        <v>0.44767441860465118</v>
      </c>
      <c r="CS123" s="172">
        <f t="shared" si="379"/>
        <v>209.84738372093025</v>
      </c>
      <c r="CT123" s="172">
        <f t="shared" si="380"/>
        <v>2.835271317829458</v>
      </c>
      <c r="CU123" s="217">
        <f t="shared" si="381"/>
        <v>13.989825581395349</v>
      </c>
      <c r="CV123" s="217">
        <f t="shared" si="382"/>
        <v>26.230922965116282</v>
      </c>
      <c r="CW123" s="217">
        <f t="shared" si="383"/>
        <v>15</v>
      </c>
      <c r="CX123" s="217">
        <f t="shared" si="384"/>
        <v>4.6462337662337667</v>
      </c>
      <c r="CY123" s="217">
        <f t="shared" si="385"/>
        <v>2.9344634313055371</v>
      </c>
      <c r="CZ123" s="217">
        <f t="shared" si="386"/>
        <v>3.5512614773761277</v>
      </c>
      <c r="DA123" s="197">
        <f t="shared" si="387"/>
        <v>71.63784822286263</v>
      </c>
      <c r="DB123" s="443">
        <f t="shared" si="388"/>
        <v>154.1847694868186</v>
      </c>
      <c r="DD123" s="217">
        <f t="shared" si="389"/>
        <v>10.000000000000002</v>
      </c>
      <c r="DE123" s="173">
        <f t="shared" si="390"/>
        <v>7.6433121019108299</v>
      </c>
      <c r="DF123" s="173">
        <f t="shared" si="391"/>
        <v>2.7017291066282429</v>
      </c>
      <c r="DG123" s="173"/>
      <c r="DH123" s="173">
        <f t="shared" si="392"/>
        <v>7.6433121019108281</v>
      </c>
      <c r="DI123" s="545">
        <f t="shared" si="393"/>
        <v>34.016666666666673</v>
      </c>
      <c r="DJ123" s="528">
        <f t="shared" si="394"/>
        <v>2.7377521613832849</v>
      </c>
      <c r="DL123" s="173">
        <f t="shared" si="395"/>
        <v>3.0674947122242622</v>
      </c>
      <c r="DM123" s="173">
        <f t="shared" si="396"/>
        <v>10</v>
      </c>
      <c r="DN123" s="173">
        <f t="shared" si="397"/>
        <v>1.0194380952380953</v>
      </c>
      <c r="DP123" s="545">
        <f t="shared" si="398"/>
        <v>1300</v>
      </c>
      <c r="DQ123" s="460">
        <f t="shared" si="399"/>
        <v>34.016666666666673</v>
      </c>
      <c r="DS123" s="460">
        <f t="shared" si="400"/>
        <v>1300</v>
      </c>
      <c r="DT123" s="460">
        <f t="shared" si="401"/>
        <v>34.016666666666673</v>
      </c>
      <c r="DV123" s="5">
        <f t="shared" si="402"/>
        <v>29.397354238118563</v>
      </c>
      <c r="DW123" s="5">
        <f t="shared" si="403"/>
        <v>6.3157894736842106</v>
      </c>
      <c r="DX123" s="5">
        <f t="shared" si="404"/>
        <v>23.081564764434354</v>
      </c>
      <c r="DY123" s="173">
        <f t="shared" si="405"/>
        <v>0.21484210526315795</v>
      </c>
      <c r="EA123" s="5">
        <f t="shared" si="406"/>
        <v>54.736842105263158</v>
      </c>
      <c r="EB123" s="5">
        <f t="shared" si="407"/>
        <v>2.5657894736842106</v>
      </c>
      <c r="EC123" s="5">
        <f t="shared" si="408"/>
        <v>8.1686118494822111</v>
      </c>
      <c r="ED123" s="5"/>
      <c r="EE123" s="173">
        <f t="shared" si="409"/>
        <v>2.6760798771284704</v>
      </c>
      <c r="EF123" s="173">
        <f t="shared" si="410"/>
        <v>5.1158508407264378</v>
      </c>
      <c r="EG123" s="173">
        <f t="shared" si="411"/>
        <v>0.12599036580298836</v>
      </c>
      <c r="EH123" s="173"/>
      <c r="EI123" s="528">
        <f t="shared" si="412"/>
        <v>0.14322807017543859</v>
      </c>
      <c r="EJ123" s="528">
        <f t="shared" si="413"/>
        <v>0.23607566666666668</v>
      </c>
      <c r="EK123" s="528">
        <f t="shared" si="414"/>
        <v>4.2520833333333334E-3</v>
      </c>
      <c r="EL123" s="528">
        <f t="shared" si="415"/>
        <v>4.0959128166666685E-3</v>
      </c>
      <c r="EM123">
        <f t="shared" si="416"/>
        <v>8.5500000000000003E-3</v>
      </c>
      <c r="EN123" s="460">
        <f t="shared" si="417"/>
        <v>12.802083333333334</v>
      </c>
      <c r="EP123" s="460">
        <f t="shared" si="439"/>
        <v>396.20173299210524</v>
      </c>
      <c r="EQ123" s="173">
        <f t="shared" si="418"/>
        <v>0.90999999999999992</v>
      </c>
      <c r="ER123" s="173">
        <f t="shared" si="419"/>
        <v>1.4421874999999999E-2</v>
      </c>
      <c r="ES123" s="528"/>
      <c r="EU123" s="460">
        <f t="shared" si="420"/>
        <v>924.421875</v>
      </c>
      <c r="EV123" s="528">
        <f t="shared" si="421"/>
        <v>0.21484210526315786</v>
      </c>
      <c r="EW123" s="528">
        <f t="shared" si="422"/>
        <v>0.78515789473684194</v>
      </c>
      <c r="EX123" s="528">
        <f t="shared" si="423"/>
        <v>7.9367861375854095E-5</v>
      </c>
      <c r="EY123" s="528">
        <f t="shared" si="424"/>
        <v>0.1067085921618344</v>
      </c>
      <c r="EZ123" s="528"/>
      <c r="FA123" s="625">
        <f t="shared" si="425"/>
        <v>3.4016666666666674E-3</v>
      </c>
      <c r="FB123" s="460">
        <f t="shared" si="426"/>
        <v>1110.1896266898768</v>
      </c>
      <c r="FC123" s="173">
        <f t="shared" si="427"/>
        <v>2.430813234681982</v>
      </c>
      <c r="FD123" s="5">
        <f t="shared" si="428"/>
        <v>19.760000000000002</v>
      </c>
      <c r="FE123" s="173">
        <f t="shared" si="429"/>
        <v>0.89045857810731932</v>
      </c>
      <c r="FF123" s="5">
        <f t="shared" si="430"/>
        <v>89.045857810731931</v>
      </c>
      <c r="FG123">
        <f t="shared" si="431"/>
        <v>13</v>
      </c>
      <c r="FI123" s="562">
        <f t="shared" si="432"/>
        <v>-50</v>
      </c>
      <c r="FJ123">
        <f t="shared" si="433"/>
        <v>-50</v>
      </c>
    </row>
    <row r="124" spans="5:166">
      <c r="E124" s="170">
        <v>14</v>
      </c>
      <c r="F124" s="217">
        <f t="shared" si="434"/>
        <v>1.4000000000000001</v>
      </c>
      <c r="G124" s="217">
        <f t="shared" si="313"/>
        <v>3.5000000000000003E-2</v>
      </c>
      <c r="H124" s="217">
        <f t="shared" si="314"/>
        <v>21.000000000000004</v>
      </c>
      <c r="I124" s="217">
        <f t="shared" si="315"/>
        <v>0.28000000000000003</v>
      </c>
      <c r="J124" s="541">
        <f t="shared" si="316"/>
        <v>18.723315016620045</v>
      </c>
      <c r="K124" s="443">
        <f t="shared" si="317"/>
        <v>15.848559966660831</v>
      </c>
      <c r="L124" s="172">
        <f t="shared" si="318"/>
        <v>34.571874983280878</v>
      </c>
      <c r="M124" s="443"/>
      <c r="N124" s="217">
        <f t="shared" si="319"/>
        <v>0.4584235010199843</v>
      </c>
      <c r="O124" s="172">
        <f t="shared" si="320"/>
        <v>211.75676695606103</v>
      </c>
      <c r="P124" s="172">
        <f t="shared" si="321"/>
        <v>2.8610692068730028</v>
      </c>
      <c r="Q124" s="217">
        <f t="shared" si="322"/>
        <v>14.117117797070735</v>
      </c>
      <c r="R124" s="217">
        <f t="shared" si="323"/>
        <v>26.469595869507629</v>
      </c>
      <c r="S124" s="217">
        <f t="shared" si="324"/>
        <v>15</v>
      </c>
      <c r="T124" s="217">
        <f t="shared" si="325"/>
        <v>4.9585192251158263</v>
      </c>
      <c r="U124" s="217">
        <f t="shared" si="326"/>
        <v>3.1779751955554785</v>
      </c>
      <c r="V124" s="217">
        <f t="shared" si="327"/>
        <v>3.7544250598514517</v>
      </c>
      <c r="W124" s="197">
        <f t="shared" si="328"/>
        <v>71.526730171825065</v>
      </c>
      <c r="X124" s="443">
        <f t="shared" si="435"/>
        <v>140.20525548070862</v>
      </c>
      <c r="Z124" s="217">
        <f t="shared" si="329"/>
        <v>10</v>
      </c>
      <c r="AA124" s="173">
        <f t="shared" si="330"/>
        <v>7.5716658328853255</v>
      </c>
      <c r="AB124" s="173">
        <f t="shared" si="331"/>
        <v>2.6722524620724464</v>
      </c>
      <c r="AC124" s="173"/>
      <c r="AD124" s="173">
        <f t="shared" si="332"/>
        <v>7.5716658328853255</v>
      </c>
      <c r="AE124" s="545">
        <f t="shared" si="333"/>
        <v>36.979973255541942</v>
      </c>
      <c r="AF124" s="528">
        <f t="shared" si="334"/>
        <v>2.7078824949000788</v>
      </c>
      <c r="AH124" s="173">
        <f t="shared" si="335"/>
        <v>3.1832897030168859</v>
      </c>
      <c r="AI124" s="173">
        <f t="shared" si="336"/>
        <v>10</v>
      </c>
      <c r="AJ124" s="173">
        <f t="shared" si="337"/>
        <v>1.0211314132888811</v>
      </c>
      <c r="AL124" s="545">
        <f t="shared" si="338"/>
        <v>1400.0000000000002</v>
      </c>
      <c r="AM124" s="460">
        <f t="shared" si="339"/>
        <v>36.979973255541942</v>
      </c>
      <c r="AO124" s="460">
        <f t="shared" si="340"/>
        <v>1400.0000000000002</v>
      </c>
      <c r="AP124" s="460">
        <f t="shared" si="341"/>
        <v>36.979973255541942</v>
      </c>
      <c r="AR124" s="5">
        <f t="shared" si="275"/>
        <v>27.041663688876159</v>
      </c>
      <c r="AS124" s="5">
        <f t="shared" si="440"/>
        <v>6.4091214559750833</v>
      </c>
      <c r="AT124" s="5">
        <f t="shared" si="441"/>
        <v>20.632542232901077</v>
      </c>
      <c r="AU124" s="173">
        <f t="shared" si="442"/>
        <v>0.23700914003347862</v>
      </c>
      <c r="AW124" s="5">
        <f t="shared" si="342"/>
        <v>59.818466922434119</v>
      </c>
      <c r="AX124" s="5">
        <f t="shared" si="343"/>
        <v>2.803990636989099</v>
      </c>
      <c r="AY124" s="5">
        <f t="shared" si="344"/>
        <v>7.979786929425762</v>
      </c>
      <c r="AZ124" s="5"/>
      <c r="BA124" s="173">
        <f t="shared" si="345"/>
        <v>2.8107480619547918</v>
      </c>
      <c r="BB124" s="173">
        <f t="shared" si="346"/>
        <v>5.0431169593368255</v>
      </c>
      <c r="BC124" s="173">
        <f t="shared" si="347"/>
        <v>0.12419911570445202</v>
      </c>
      <c r="BD124" s="173"/>
      <c r="BE124" s="528">
        <f t="shared" si="348"/>
        <v>0.15800609335565236</v>
      </c>
      <c r="BF124" s="528">
        <f t="shared" si="349"/>
        <v>0.23971256480168743</v>
      </c>
      <c r="BG124" s="528">
        <f t="shared" si="350"/>
        <v>1.73096922142424E-2</v>
      </c>
      <c r="BH124" s="528">
        <f t="shared" si="351"/>
        <v>4.4199001718642963E-3</v>
      </c>
      <c r="BI124">
        <f t="shared" si="352"/>
        <v>8.4254917574790207E-3</v>
      </c>
      <c r="BJ124" s="460">
        <f t="shared" si="436"/>
        <v>25.735183971721419</v>
      </c>
      <c r="BK124">
        <f t="shared" si="353"/>
        <v>0.46215036713025437</v>
      </c>
      <c r="BL124" s="460">
        <f t="shared" si="437"/>
        <v>427.87374230092547</v>
      </c>
      <c r="BM124" s="173">
        <f t="shared" si="354"/>
        <v>0.86974999999999991</v>
      </c>
      <c r="BN124" s="173">
        <f t="shared" si="355"/>
        <v>2.1743749999999999E-2</v>
      </c>
      <c r="BO124" s="528"/>
      <c r="BQ124" s="460">
        <f t="shared" si="356"/>
        <v>891.49374999999986</v>
      </c>
      <c r="BR124" s="528">
        <f t="shared" si="357"/>
        <v>0.23700914003347853</v>
      </c>
      <c r="BS124" s="528">
        <f t="shared" si="358"/>
        <v>0.76299085996652116</v>
      </c>
      <c r="BT124" s="528">
        <f t="shared" si="359"/>
        <v>7.7127101708839303E-5</v>
      </c>
      <c r="BU124" s="528">
        <f t="shared" si="360"/>
        <v>0.13148811099031502</v>
      </c>
      <c r="BV124" s="528"/>
      <c r="BW124" s="625">
        <f t="shared" si="361"/>
        <v>3.6979973255541945E-3</v>
      </c>
      <c r="BX124" s="460">
        <f t="shared" si="362"/>
        <v>1135.2632354175778</v>
      </c>
      <c r="BY124" s="173">
        <f t="shared" si="363"/>
        <v>2.4546307277185031</v>
      </c>
      <c r="BZ124" s="5">
        <f t="shared" si="364"/>
        <v>21.280000000000005</v>
      </c>
      <c r="CA124" s="173">
        <f t="shared" si="365"/>
        <v>0.89658020148373907</v>
      </c>
      <c r="CB124" s="5">
        <f t="shared" si="366"/>
        <v>89.658020148373907</v>
      </c>
      <c r="CC124">
        <f t="shared" si="367"/>
        <v>14.000000000000002</v>
      </c>
      <c r="CE124" s="562">
        <f t="shared" si="368"/>
        <v>-50</v>
      </c>
      <c r="CF124">
        <f t="shared" si="369"/>
        <v>-50</v>
      </c>
      <c r="CG124" s="173">
        <f t="shared" si="370"/>
        <v>0.28271411837273491</v>
      </c>
      <c r="CH124" s="173">
        <f t="shared" si="371"/>
        <v>3.2575243618663652E-2</v>
      </c>
      <c r="CI124" s="170">
        <v>14</v>
      </c>
      <c r="CJ124" s="217">
        <f t="shared" si="438"/>
        <v>1.4000000000000001</v>
      </c>
      <c r="CK124" s="217">
        <f t="shared" si="372"/>
        <v>3.5000000000000003E-2</v>
      </c>
      <c r="CL124" s="217">
        <f t="shared" si="373"/>
        <v>21.000000000000004</v>
      </c>
      <c r="CM124" s="217">
        <f t="shared" si="374"/>
        <v>0.28000000000000003</v>
      </c>
      <c r="CN124" s="541">
        <f t="shared" si="375"/>
        <v>19</v>
      </c>
      <c r="CO124" s="443">
        <f t="shared" si="376"/>
        <v>15.7</v>
      </c>
      <c r="CP124" s="443">
        <f t="shared" si="377"/>
        <v>34.700000000000003</v>
      </c>
      <c r="CQ124" s="443"/>
      <c r="CR124" s="217">
        <f t="shared" si="378"/>
        <v>0.44767441860465118</v>
      </c>
      <c r="CS124" s="172">
        <f t="shared" si="379"/>
        <v>209.84738372093025</v>
      </c>
      <c r="CT124" s="172">
        <f t="shared" si="380"/>
        <v>2.835271317829458</v>
      </c>
      <c r="CU124" s="217">
        <f t="shared" si="381"/>
        <v>13.989825581395349</v>
      </c>
      <c r="CV124" s="217">
        <f t="shared" si="382"/>
        <v>26.230922965116282</v>
      </c>
      <c r="CW124" s="217">
        <f t="shared" si="383"/>
        <v>15</v>
      </c>
      <c r="CX124" s="217">
        <f t="shared" si="384"/>
        <v>5.0036363636363648</v>
      </c>
      <c r="CY124" s="217">
        <f t="shared" si="385"/>
        <v>3.1601913875598098</v>
      </c>
      <c r="CZ124" s="217">
        <f t="shared" si="386"/>
        <v>3.8244354371742921</v>
      </c>
      <c r="DA124" s="197">
        <f t="shared" si="387"/>
        <v>71.63784822286263</v>
      </c>
      <c r="DB124" s="443">
        <f t="shared" si="388"/>
        <v>143.17157166633152</v>
      </c>
      <c r="DD124" s="217">
        <f t="shared" si="389"/>
        <v>10.000000000000002</v>
      </c>
      <c r="DE124" s="173">
        <f t="shared" si="390"/>
        <v>7.6433121019108299</v>
      </c>
      <c r="DF124" s="173">
        <f t="shared" si="391"/>
        <v>2.7017291066282429</v>
      </c>
      <c r="DG124" s="173"/>
      <c r="DH124" s="173">
        <f t="shared" si="392"/>
        <v>7.6433121019108281</v>
      </c>
      <c r="DI124" s="545">
        <f t="shared" si="393"/>
        <v>36.63333333333334</v>
      </c>
      <c r="DJ124" s="528">
        <f t="shared" si="394"/>
        <v>2.7377521613832849</v>
      </c>
      <c r="DL124" s="173">
        <f t="shared" si="395"/>
        <v>3.1832897030168859</v>
      </c>
      <c r="DM124" s="173">
        <f t="shared" si="396"/>
        <v>10</v>
      </c>
      <c r="DN124" s="173">
        <f t="shared" si="397"/>
        <v>1.0209333333333332</v>
      </c>
      <c r="DP124" s="545">
        <f t="shared" si="398"/>
        <v>1400.0000000000002</v>
      </c>
      <c r="DQ124" s="460">
        <f t="shared" si="399"/>
        <v>36.63333333333334</v>
      </c>
      <c r="DS124" s="460">
        <f t="shared" si="400"/>
        <v>1400.0000000000002</v>
      </c>
      <c r="DT124" s="460">
        <f t="shared" si="401"/>
        <v>36.63333333333334</v>
      </c>
      <c r="DV124" s="5">
        <f t="shared" si="402"/>
        <v>27.297543221110097</v>
      </c>
      <c r="DW124" s="5">
        <f t="shared" si="403"/>
        <v>6.3157894736842106</v>
      </c>
      <c r="DX124" s="5">
        <f t="shared" si="404"/>
        <v>20.981753747425884</v>
      </c>
      <c r="DY124" s="173">
        <f t="shared" si="405"/>
        <v>0.23136842105263161</v>
      </c>
      <c r="EA124" s="5">
        <f t="shared" si="406"/>
        <v>58.947368421052637</v>
      </c>
      <c r="EB124" s="5">
        <f t="shared" si="407"/>
        <v>2.7631578947368425</v>
      </c>
      <c r="EC124" s="5">
        <f t="shared" si="408"/>
        <v>7.9966756569136752</v>
      </c>
      <c r="ED124" s="5"/>
      <c r="EE124" s="173">
        <f t="shared" si="409"/>
        <v>2.7770993323528037</v>
      </c>
      <c r="EF124" s="173">
        <f t="shared" si="410"/>
        <v>5.0617242745510094</v>
      </c>
      <c r="EG124" s="173">
        <f t="shared" si="411"/>
        <v>0.12465736644776607</v>
      </c>
      <c r="EH124" s="173"/>
      <c r="EI124" s="528">
        <f t="shared" si="412"/>
        <v>0.15424561403508777</v>
      </c>
      <c r="EJ124" s="528">
        <f t="shared" si="413"/>
        <v>0.25423533333333337</v>
      </c>
      <c r="EK124" s="528">
        <f t="shared" si="414"/>
        <v>4.5791666666666671E-3</v>
      </c>
      <c r="EL124" s="528">
        <f t="shared" si="415"/>
        <v>4.4109830333333346E-3</v>
      </c>
      <c r="EM124">
        <f t="shared" si="416"/>
        <v>8.5500000000000003E-3</v>
      </c>
      <c r="EN124" s="460">
        <f t="shared" si="417"/>
        <v>13.129166666666668</v>
      </c>
      <c r="EP124" s="460">
        <f t="shared" si="439"/>
        <v>426.02109706842111</v>
      </c>
      <c r="EQ124" s="173">
        <f t="shared" si="418"/>
        <v>0.98</v>
      </c>
      <c r="ER124" s="173">
        <f t="shared" si="419"/>
        <v>1.553125E-2</v>
      </c>
      <c r="ES124" s="528"/>
      <c r="EU124" s="460">
        <f t="shared" si="420"/>
        <v>995.53125</v>
      </c>
      <c r="EV124" s="528">
        <f t="shared" si="421"/>
        <v>0.23136842105263161</v>
      </c>
      <c r="EW124" s="528">
        <f t="shared" si="422"/>
        <v>0.76863157894736822</v>
      </c>
      <c r="EX124" s="528">
        <f t="shared" si="423"/>
        <v>7.7697295048463158E-5</v>
      </c>
      <c r="EY124" s="528">
        <f t="shared" si="424"/>
        <v>0.12842840786029333</v>
      </c>
      <c r="EZ124" s="528"/>
      <c r="FA124" s="625">
        <f t="shared" si="425"/>
        <v>3.6633333333333344E-3</v>
      </c>
      <c r="FB124" s="460">
        <f t="shared" si="426"/>
        <v>1132.1694384886748</v>
      </c>
      <c r="FC124" s="173">
        <f t="shared" si="427"/>
        <v>2.5537217855570962</v>
      </c>
      <c r="FD124" s="5">
        <f t="shared" si="428"/>
        <v>21.280000000000005</v>
      </c>
      <c r="FE124" s="173">
        <f t="shared" si="429"/>
        <v>0.89285258053550753</v>
      </c>
      <c r="FF124" s="5">
        <f t="shared" si="430"/>
        <v>89.285258053550749</v>
      </c>
      <c r="FG124">
        <f t="shared" si="431"/>
        <v>14.000000000000002</v>
      </c>
      <c r="FI124" s="562">
        <f t="shared" si="432"/>
        <v>-50</v>
      </c>
      <c r="FJ124">
        <f t="shared" si="433"/>
        <v>-50</v>
      </c>
    </row>
    <row r="125" spans="5:166">
      <c r="E125" s="170">
        <v>15</v>
      </c>
      <c r="F125" s="217">
        <f t="shared" si="434"/>
        <v>1.5</v>
      </c>
      <c r="G125" s="217">
        <f t="shared" si="313"/>
        <v>3.7499999999999999E-2</v>
      </c>
      <c r="H125" s="217">
        <f t="shared" si="314"/>
        <v>22.5</v>
      </c>
      <c r="I125" s="217">
        <f t="shared" si="315"/>
        <v>0.3</v>
      </c>
      <c r="J125" s="541">
        <f t="shared" si="316"/>
        <v>18.723315016620045</v>
      </c>
      <c r="K125" s="443">
        <f t="shared" si="317"/>
        <v>15.848559966660831</v>
      </c>
      <c r="L125" s="172">
        <f t="shared" si="318"/>
        <v>34.571874983280878</v>
      </c>
      <c r="M125" s="443"/>
      <c r="N125" s="217">
        <f t="shared" si="319"/>
        <v>0.4584235010199843</v>
      </c>
      <c r="O125" s="172">
        <f t="shared" si="320"/>
        <v>211.75676695606103</v>
      </c>
      <c r="P125" s="172">
        <f t="shared" si="321"/>
        <v>2.8610692068730028</v>
      </c>
      <c r="Q125" s="217">
        <f t="shared" si="322"/>
        <v>14.117117797070735</v>
      </c>
      <c r="R125" s="217">
        <f t="shared" si="323"/>
        <v>26.469595869507629</v>
      </c>
      <c r="S125" s="217">
        <f t="shared" si="324"/>
        <v>15</v>
      </c>
      <c r="T125" s="217">
        <f t="shared" si="325"/>
        <v>5.3126991697669554</v>
      </c>
      <c r="U125" s="217">
        <f t="shared" si="326"/>
        <v>3.4049734238094405</v>
      </c>
      <c r="V125" s="217">
        <f t="shared" si="327"/>
        <v>4.0225982784122687</v>
      </c>
      <c r="W125" s="197">
        <f t="shared" si="328"/>
        <v>71.526730171825065</v>
      </c>
      <c r="X125" s="443">
        <f t="shared" si="435"/>
        <v>131.10332344810692</v>
      </c>
      <c r="Z125" s="217">
        <f t="shared" si="329"/>
        <v>10</v>
      </c>
      <c r="AA125" s="173">
        <f t="shared" si="330"/>
        <v>7.5716658328853255</v>
      </c>
      <c r="AB125" s="173">
        <f t="shared" si="331"/>
        <v>2.6722524620724464</v>
      </c>
      <c r="AC125" s="173"/>
      <c r="AD125" s="173">
        <f t="shared" si="332"/>
        <v>7.5716658328853255</v>
      </c>
      <c r="AE125" s="545">
        <f t="shared" si="333"/>
        <v>39.621399916652074</v>
      </c>
      <c r="AF125" s="528">
        <f t="shared" si="334"/>
        <v>2.7078824949000788</v>
      </c>
      <c r="AH125" s="173">
        <f t="shared" si="335"/>
        <v>3.295017884191656</v>
      </c>
      <c r="AI125" s="173">
        <f t="shared" si="336"/>
        <v>10</v>
      </c>
      <c r="AJ125" s="173">
        <f t="shared" si="337"/>
        <v>1.0226407999523726</v>
      </c>
      <c r="AL125" s="545">
        <f t="shared" si="338"/>
        <v>1500</v>
      </c>
      <c r="AM125" s="460">
        <f t="shared" si="339"/>
        <v>39.621399916652074</v>
      </c>
      <c r="AO125" s="460">
        <f t="shared" si="340"/>
        <v>1500</v>
      </c>
      <c r="AP125" s="460">
        <f t="shared" si="341"/>
        <v>39.621399916652074</v>
      </c>
      <c r="AR125" s="5">
        <f t="shared" si="275"/>
        <v>25.238886109617752</v>
      </c>
      <c r="AS125" s="5">
        <f t="shared" si="440"/>
        <v>6.4091214559750833</v>
      </c>
      <c r="AT125" s="5">
        <f t="shared" si="441"/>
        <v>18.82976465364267</v>
      </c>
      <c r="AU125" s="173">
        <f t="shared" si="442"/>
        <v>0.25393836432158418</v>
      </c>
      <c r="AW125" s="5">
        <f t="shared" si="342"/>
        <v>64.091214559750838</v>
      </c>
      <c r="AX125" s="5">
        <f t="shared" si="343"/>
        <v>3.0042756824883199</v>
      </c>
      <c r="AY125" s="5">
        <f t="shared" si="344"/>
        <v>7.8027315939195541</v>
      </c>
      <c r="AZ125" s="5"/>
      <c r="BA125" s="173">
        <f t="shared" si="345"/>
        <v>2.9094006503149075</v>
      </c>
      <c r="BB125" s="173">
        <f t="shared" si="346"/>
        <v>4.9868548394033416</v>
      </c>
      <c r="BC125" s="173">
        <f t="shared" si="347"/>
        <v>0.12281352310373721</v>
      </c>
      <c r="BD125" s="173"/>
      <c r="BE125" s="528">
        <f t="shared" si="348"/>
        <v>0.16929224288105613</v>
      </c>
      <c r="BF125" s="528">
        <f t="shared" si="349"/>
        <v>0.25683489085895078</v>
      </c>
      <c r="BG125" s="528">
        <f t="shared" si="350"/>
        <v>1.8546098800973999E-2</v>
      </c>
      <c r="BH125" s="528">
        <f t="shared" si="351"/>
        <v>4.7356073269974588E-3</v>
      </c>
      <c r="BI125">
        <f t="shared" si="352"/>
        <v>8.4254917574790207E-3</v>
      </c>
      <c r="BJ125" s="460">
        <f t="shared" si="436"/>
        <v>26.97159055845302</v>
      </c>
      <c r="BK125">
        <f t="shared" si="353"/>
        <v>0.49654457463273649</v>
      </c>
      <c r="BL125" s="460">
        <f t="shared" si="437"/>
        <v>457.83433162545737</v>
      </c>
      <c r="BM125" s="173">
        <f t="shared" si="354"/>
        <v>0.93187499999999979</v>
      </c>
      <c r="BN125" s="173">
        <f t="shared" si="355"/>
        <v>2.3296874999999998E-2</v>
      </c>
      <c r="BO125" s="528"/>
      <c r="BQ125" s="460">
        <f t="shared" si="356"/>
        <v>955.17187499999977</v>
      </c>
      <c r="BR125" s="528">
        <f t="shared" si="357"/>
        <v>0.25393836432158418</v>
      </c>
      <c r="BS125" s="528">
        <f t="shared" si="358"/>
        <v>0.74606163567841577</v>
      </c>
      <c r="BT125" s="528">
        <f t="shared" si="359"/>
        <v>7.5415807285760967E-5</v>
      </c>
      <c r="BU125" s="528">
        <f t="shared" si="360"/>
        <v>0.15624083259884158</v>
      </c>
      <c r="BV125" s="528"/>
      <c r="BW125" s="625">
        <f t="shared" si="361"/>
        <v>3.9621399916652074E-3</v>
      </c>
      <c r="BX125" s="460">
        <f t="shared" si="362"/>
        <v>1160.2783883977925</v>
      </c>
      <c r="BY125" s="173">
        <f t="shared" si="363"/>
        <v>2.5732845950232499</v>
      </c>
      <c r="BZ125" s="5">
        <f t="shared" si="364"/>
        <v>22.8</v>
      </c>
      <c r="CA125" s="173">
        <f t="shared" si="365"/>
        <v>0.89858291363949083</v>
      </c>
      <c r="CB125" s="5">
        <f t="shared" si="366"/>
        <v>89.858291363949078</v>
      </c>
      <c r="CC125">
        <f t="shared" si="367"/>
        <v>15</v>
      </c>
      <c r="CE125" s="562">
        <f t="shared" si="368"/>
        <v>-50</v>
      </c>
      <c r="CF125">
        <f t="shared" si="369"/>
        <v>-50</v>
      </c>
      <c r="CG125" s="173">
        <f t="shared" si="370"/>
        <v>0.30290798397078739</v>
      </c>
      <c r="CH125" s="173">
        <f t="shared" si="371"/>
        <v>3.4902046734282481E-2</v>
      </c>
      <c r="CI125" s="170">
        <v>15</v>
      </c>
      <c r="CJ125" s="217">
        <f t="shared" si="438"/>
        <v>1.5</v>
      </c>
      <c r="CK125" s="217">
        <f t="shared" si="372"/>
        <v>3.7499999999999999E-2</v>
      </c>
      <c r="CL125" s="217">
        <f t="shared" si="373"/>
        <v>22.5</v>
      </c>
      <c r="CM125" s="217">
        <f t="shared" si="374"/>
        <v>0.3</v>
      </c>
      <c r="CN125" s="541">
        <f t="shared" si="375"/>
        <v>19</v>
      </c>
      <c r="CO125" s="443">
        <f t="shared" si="376"/>
        <v>15.7</v>
      </c>
      <c r="CP125" s="443">
        <f t="shared" si="377"/>
        <v>34.700000000000003</v>
      </c>
      <c r="CQ125" s="443"/>
      <c r="CR125" s="217">
        <f t="shared" si="378"/>
        <v>0.44767441860465118</v>
      </c>
      <c r="CS125" s="172">
        <f t="shared" si="379"/>
        <v>209.84738372093025</v>
      </c>
      <c r="CT125" s="172">
        <f t="shared" si="380"/>
        <v>2.835271317829458</v>
      </c>
      <c r="CU125" s="217">
        <f t="shared" si="381"/>
        <v>13.989825581395349</v>
      </c>
      <c r="CV125" s="217">
        <f t="shared" si="382"/>
        <v>26.230922965116282</v>
      </c>
      <c r="CW125" s="217">
        <f t="shared" si="383"/>
        <v>15</v>
      </c>
      <c r="CX125" s="217">
        <f t="shared" si="384"/>
        <v>5.361038961038961</v>
      </c>
      <c r="CY125" s="217">
        <f t="shared" si="385"/>
        <v>3.3859193438140811</v>
      </c>
      <c r="CZ125" s="217">
        <f t="shared" si="386"/>
        <v>4.0976093969724552</v>
      </c>
      <c r="DA125" s="197">
        <f t="shared" si="387"/>
        <v>71.63784822286263</v>
      </c>
      <c r="DB125" s="443">
        <f t="shared" si="388"/>
        <v>133.62680022190946</v>
      </c>
      <c r="DD125" s="217">
        <f t="shared" si="389"/>
        <v>10.000000000000002</v>
      </c>
      <c r="DE125" s="173">
        <f t="shared" si="390"/>
        <v>7.6433121019108299</v>
      </c>
      <c r="DF125" s="173">
        <f t="shared" si="391"/>
        <v>2.7017291066282429</v>
      </c>
      <c r="DG125" s="173"/>
      <c r="DH125" s="173">
        <f t="shared" si="392"/>
        <v>7.6433121019108281</v>
      </c>
      <c r="DI125" s="545">
        <f t="shared" si="393"/>
        <v>39.250000000000007</v>
      </c>
      <c r="DJ125" s="528">
        <f t="shared" si="394"/>
        <v>2.7377521613832849</v>
      </c>
      <c r="DL125" s="173">
        <f t="shared" si="395"/>
        <v>3.295017884191656</v>
      </c>
      <c r="DM125" s="173">
        <f t="shared" si="396"/>
        <v>10</v>
      </c>
      <c r="DN125" s="173">
        <f t="shared" si="397"/>
        <v>1.0224285714285715</v>
      </c>
      <c r="DP125" s="545">
        <f t="shared" si="398"/>
        <v>1500</v>
      </c>
      <c r="DQ125" s="460">
        <f t="shared" si="399"/>
        <v>39.250000000000007</v>
      </c>
      <c r="DS125" s="460">
        <f t="shared" si="400"/>
        <v>1500</v>
      </c>
      <c r="DT125" s="460">
        <f t="shared" si="401"/>
        <v>39.250000000000007</v>
      </c>
      <c r="DV125" s="5">
        <f t="shared" si="402"/>
        <v>25.477707006369421</v>
      </c>
      <c r="DW125" s="5">
        <f t="shared" si="403"/>
        <v>6.3157894736842106</v>
      </c>
      <c r="DX125" s="5">
        <f t="shared" si="404"/>
        <v>19.161917532685209</v>
      </c>
      <c r="DY125" s="173">
        <f t="shared" si="405"/>
        <v>0.24789473684210533</v>
      </c>
      <c r="EA125" s="5">
        <f t="shared" si="406"/>
        <v>63.157894736842096</v>
      </c>
      <c r="EB125" s="5">
        <f t="shared" si="407"/>
        <v>2.9605263157894735</v>
      </c>
      <c r="EC125" s="5">
        <f t="shared" si="408"/>
        <v>7.8247394643451385</v>
      </c>
      <c r="ED125" s="5"/>
      <c r="EE125" s="173">
        <f t="shared" si="409"/>
        <v>2.8745709061939739</v>
      </c>
      <c r="EF125" s="173">
        <f t="shared" si="410"/>
        <v>5.0070126261670733</v>
      </c>
      <c r="EG125" s="173">
        <f t="shared" si="411"/>
        <v>0.12330995800913422</v>
      </c>
      <c r="EH125" s="173"/>
      <c r="EI125" s="528">
        <f t="shared" si="412"/>
        <v>0.16526315789473689</v>
      </c>
      <c r="EJ125" s="528">
        <f t="shared" si="413"/>
        <v>0.27239500000000005</v>
      </c>
      <c r="EK125" s="528">
        <f t="shared" si="414"/>
        <v>4.9062500000000009E-3</v>
      </c>
      <c r="EL125" s="528">
        <f t="shared" si="415"/>
        <v>4.7260532500000016E-3</v>
      </c>
      <c r="EM125">
        <f t="shared" si="416"/>
        <v>8.5500000000000003E-3</v>
      </c>
      <c r="EN125" s="460">
        <f t="shared" si="417"/>
        <v>13.456250000000001</v>
      </c>
      <c r="EP125" s="460">
        <f t="shared" si="439"/>
        <v>455.84046114473699</v>
      </c>
      <c r="EQ125" s="173">
        <f t="shared" si="418"/>
        <v>1.0499999999999998</v>
      </c>
      <c r="ER125" s="173">
        <f t="shared" si="419"/>
        <v>1.6640624999999999E-2</v>
      </c>
      <c r="ES125" s="528"/>
      <c r="EU125" s="460">
        <f t="shared" si="420"/>
        <v>1066.6406249999998</v>
      </c>
      <c r="EV125" s="528">
        <f t="shared" si="421"/>
        <v>0.24789473684210531</v>
      </c>
      <c r="EW125" s="528">
        <f t="shared" si="422"/>
        <v>0.75210526315789472</v>
      </c>
      <c r="EX125" s="528">
        <f t="shared" si="423"/>
        <v>7.6026728721072221E-5</v>
      </c>
      <c r="EY125" s="528">
        <f t="shared" si="424"/>
        <v>0.15260513838330084</v>
      </c>
      <c r="EZ125" s="528"/>
      <c r="FA125" s="625">
        <f t="shared" si="425"/>
        <v>3.9250000000000014E-3</v>
      </c>
      <c r="FB125" s="460">
        <f t="shared" si="426"/>
        <v>1156.6061651120219</v>
      </c>
      <c r="FC125" s="173">
        <f t="shared" si="427"/>
        <v>2.6790872512567585</v>
      </c>
      <c r="FD125" s="5">
        <f t="shared" si="428"/>
        <v>22.8</v>
      </c>
      <c r="FE125" s="173">
        <f t="shared" si="429"/>
        <v>0.89485152176616489</v>
      </c>
      <c r="FF125" s="5">
        <f t="shared" si="430"/>
        <v>89.485152176616495</v>
      </c>
      <c r="FG125">
        <f t="shared" si="431"/>
        <v>15</v>
      </c>
      <c r="FI125" s="562">
        <f t="shared" si="432"/>
        <v>-50</v>
      </c>
      <c r="FJ125">
        <f t="shared" si="433"/>
        <v>-50</v>
      </c>
    </row>
    <row r="126" spans="5:166">
      <c r="E126" s="170">
        <v>16</v>
      </c>
      <c r="F126" s="217">
        <f t="shared" si="434"/>
        <v>1.6</v>
      </c>
      <c r="G126" s="217">
        <f t="shared" si="313"/>
        <v>0.04</v>
      </c>
      <c r="H126" s="217">
        <f t="shared" si="314"/>
        <v>24</v>
      </c>
      <c r="I126" s="217">
        <f t="shared" si="315"/>
        <v>0.32</v>
      </c>
      <c r="J126" s="541">
        <f t="shared" si="316"/>
        <v>18.723315016620045</v>
      </c>
      <c r="K126" s="443">
        <f t="shared" si="317"/>
        <v>15.848559966660831</v>
      </c>
      <c r="L126" s="172">
        <f t="shared" si="318"/>
        <v>34.571874983280878</v>
      </c>
      <c r="M126" s="443"/>
      <c r="N126" s="217">
        <f t="shared" si="319"/>
        <v>0.4584235010199843</v>
      </c>
      <c r="O126" s="172">
        <f t="shared" si="320"/>
        <v>211.75676695606103</v>
      </c>
      <c r="P126" s="172">
        <f t="shared" si="321"/>
        <v>2.8610692068730028</v>
      </c>
      <c r="Q126" s="217">
        <f t="shared" si="322"/>
        <v>14.117117797070735</v>
      </c>
      <c r="R126" s="217">
        <f t="shared" si="323"/>
        <v>26.469595869507629</v>
      </c>
      <c r="S126" s="217">
        <f t="shared" si="324"/>
        <v>15</v>
      </c>
      <c r="T126" s="217">
        <f t="shared" si="325"/>
        <v>5.6668791144180855</v>
      </c>
      <c r="U126" s="217">
        <f t="shared" si="326"/>
        <v>3.6319716520634029</v>
      </c>
      <c r="V126" s="217">
        <f t="shared" si="327"/>
        <v>4.2907714969730861</v>
      </c>
      <c r="W126" s="197">
        <f t="shared" si="328"/>
        <v>71.526730171825065</v>
      </c>
      <c r="X126" s="443">
        <f t="shared" si="435"/>
        <v>123.11111919359645</v>
      </c>
      <c r="Z126" s="217">
        <f t="shared" si="329"/>
        <v>10</v>
      </c>
      <c r="AA126" s="173">
        <f t="shared" si="330"/>
        <v>7.5716658328853255</v>
      </c>
      <c r="AB126" s="173">
        <f t="shared" si="331"/>
        <v>2.6722524620724464</v>
      </c>
      <c r="AC126" s="173"/>
      <c r="AD126" s="173">
        <f t="shared" si="332"/>
        <v>7.5716658328853255</v>
      </c>
      <c r="AE126" s="545">
        <f t="shared" si="333"/>
        <v>42.262826577762212</v>
      </c>
      <c r="AF126" s="528">
        <f t="shared" si="334"/>
        <v>2.7078824949000788</v>
      </c>
      <c r="AH126" s="173">
        <f t="shared" si="335"/>
        <v>3.4030798375813021</v>
      </c>
      <c r="AI126" s="173">
        <f t="shared" si="336"/>
        <v>10</v>
      </c>
      <c r="AJ126" s="173">
        <f t="shared" si="337"/>
        <v>1.0241501866158642</v>
      </c>
      <c r="AL126" s="545">
        <f t="shared" si="338"/>
        <v>1600</v>
      </c>
      <c r="AM126" s="460">
        <f t="shared" si="339"/>
        <v>42.262826577762212</v>
      </c>
      <c r="AO126" s="460">
        <f t="shared" si="340"/>
        <v>1600</v>
      </c>
      <c r="AP126" s="460">
        <f t="shared" si="341"/>
        <v>42.262826577762212</v>
      </c>
      <c r="AR126" s="5">
        <f t="shared" si="275"/>
        <v>23.661455727766644</v>
      </c>
      <c r="AS126" s="5">
        <f t="shared" si="440"/>
        <v>6.4091214559750833</v>
      </c>
      <c r="AT126" s="5">
        <f t="shared" si="441"/>
        <v>17.252334271791561</v>
      </c>
      <c r="AU126" s="173">
        <f t="shared" si="442"/>
        <v>0.27086758860968979</v>
      </c>
      <c r="AW126" s="5">
        <f t="shared" si="342"/>
        <v>68.363962197067565</v>
      </c>
      <c r="AX126" s="5">
        <f t="shared" si="343"/>
        <v>3.2045607279875417</v>
      </c>
      <c r="AY126" s="5">
        <f t="shared" si="344"/>
        <v>7.625676258413348</v>
      </c>
      <c r="AZ126" s="5"/>
      <c r="BA126" s="173">
        <f t="shared" si="345"/>
        <v>3.0048160709639102</v>
      </c>
      <c r="BB126" s="173">
        <f t="shared" si="346"/>
        <v>4.9299506805859972</v>
      </c>
      <c r="BC126" s="173">
        <f t="shared" si="347"/>
        <v>0.12141211872188261</v>
      </c>
      <c r="BD126" s="173"/>
      <c r="BE126" s="528">
        <f t="shared" si="348"/>
        <v>0.18057839240645984</v>
      </c>
      <c r="BF126" s="528">
        <f t="shared" si="349"/>
        <v>0.27395721691621416</v>
      </c>
      <c r="BG126" s="528">
        <f t="shared" si="350"/>
        <v>1.9782505387705596E-2</v>
      </c>
      <c r="BH126" s="528">
        <f t="shared" si="351"/>
        <v>5.0513144821306231E-3</v>
      </c>
      <c r="BI126">
        <f t="shared" si="352"/>
        <v>8.4254917574790207E-3</v>
      </c>
      <c r="BJ126" s="460">
        <f t="shared" si="436"/>
        <v>28.207997145184617</v>
      </c>
      <c r="BK126">
        <f t="shared" si="353"/>
        <v>0.53113151362777444</v>
      </c>
      <c r="BL126" s="460">
        <f t="shared" si="437"/>
        <v>487.79492094998926</v>
      </c>
      <c r="BM126" s="173">
        <f t="shared" si="354"/>
        <v>0.99399999999999988</v>
      </c>
      <c r="BN126" s="173">
        <f t="shared" si="355"/>
        <v>2.4849999999999997E-2</v>
      </c>
      <c r="BO126" s="528"/>
      <c r="BQ126" s="460">
        <f t="shared" si="356"/>
        <v>1018.8499999999998</v>
      </c>
      <c r="BR126" s="528">
        <f t="shared" si="357"/>
        <v>0.27086758860968974</v>
      </c>
      <c r="BS126" s="528">
        <f t="shared" si="358"/>
        <v>0.72913241139031004</v>
      </c>
      <c r="BT126" s="528">
        <f t="shared" si="359"/>
        <v>7.3704512862682591E-5</v>
      </c>
      <c r="BU126" s="528">
        <f t="shared" si="360"/>
        <v>0.18359732683750035</v>
      </c>
      <c r="BV126" s="528"/>
      <c r="BW126" s="625">
        <f t="shared" si="361"/>
        <v>4.226282657776222E-3</v>
      </c>
      <c r="BX126" s="460">
        <f t="shared" si="362"/>
        <v>1187.8973140081391</v>
      </c>
      <c r="BY126" s="173">
        <f t="shared" si="363"/>
        <v>2.6945422349581287</v>
      </c>
      <c r="BZ126" s="5">
        <f t="shared" si="364"/>
        <v>24.32</v>
      </c>
      <c r="CA126" s="173">
        <f t="shared" si="365"/>
        <v>0.90025586176799033</v>
      </c>
      <c r="CB126" s="5">
        <f t="shared" si="366"/>
        <v>90.025586176799038</v>
      </c>
      <c r="CC126">
        <f t="shared" si="367"/>
        <v>16</v>
      </c>
      <c r="CE126" s="562">
        <f t="shared" si="368"/>
        <v>-50</v>
      </c>
      <c r="CF126">
        <f t="shared" si="369"/>
        <v>-50</v>
      </c>
      <c r="CG126" s="173">
        <f t="shared" si="370"/>
        <v>0.32310184956883986</v>
      </c>
      <c r="CH126" s="173">
        <f t="shared" si="371"/>
        <v>3.7228849849901317E-2</v>
      </c>
      <c r="CI126" s="170">
        <v>16</v>
      </c>
      <c r="CJ126" s="217">
        <f t="shared" si="438"/>
        <v>1.6</v>
      </c>
      <c r="CK126" s="217">
        <f t="shared" si="372"/>
        <v>0.04</v>
      </c>
      <c r="CL126" s="217">
        <f t="shared" si="373"/>
        <v>24</v>
      </c>
      <c r="CM126" s="217">
        <f t="shared" si="374"/>
        <v>0.32</v>
      </c>
      <c r="CN126" s="541">
        <f t="shared" si="375"/>
        <v>19</v>
      </c>
      <c r="CO126" s="443">
        <f t="shared" si="376"/>
        <v>15.7</v>
      </c>
      <c r="CP126" s="443">
        <f t="shared" si="377"/>
        <v>34.700000000000003</v>
      </c>
      <c r="CQ126" s="443"/>
      <c r="CR126" s="217">
        <f t="shared" si="378"/>
        <v>0.44767441860465118</v>
      </c>
      <c r="CS126" s="172">
        <f t="shared" si="379"/>
        <v>209.84738372093025</v>
      </c>
      <c r="CT126" s="172">
        <f t="shared" si="380"/>
        <v>2.835271317829458</v>
      </c>
      <c r="CU126" s="217">
        <f t="shared" si="381"/>
        <v>13.989825581395349</v>
      </c>
      <c r="CV126" s="217">
        <f t="shared" si="382"/>
        <v>26.230922965116282</v>
      </c>
      <c r="CW126" s="217">
        <f t="shared" si="383"/>
        <v>15</v>
      </c>
      <c r="CX126" s="217">
        <f t="shared" si="384"/>
        <v>5.7184415584415582</v>
      </c>
      <c r="CY126" s="217">
        <f t="shared" si="385"/>
        <v>3.6116473000683524</v>
      </c>
      <c r="CZ126" s="217">
        <f t="shared" si="386"/>
        <v>4.3707833567706178</v>
      </c>
      <c r="DA126" s="197">
        <f t="shared" si="387"/>
        <v>71.63784822286263</v>
      </c>
      <c r="DB126" s="443">
        <f t="shared" si="388"/>
        <v>125.27512520804012</v>
      </c>
      <c r="DD126" s="217">
        <f t="shared" si="389"/>
        <v>10.000000000000002</v>
      </c>
      <c r="DE126" s="173">
        <f t="shared" si="390"/>
        <v>7.6433121019108299</v>
      </c>
      <c r="DF126" s="173">
        <f t="shared" si="391"/>
        <v>2.7017291066282429</v>
      </c>
      <c r="DG126" s="173"/>
      <c r="DH126" s="173">
        <f t="shared" si="392"/>
        <v>7.6433121019108281</v>
      </c>
      <c r="DI126" s="545">
        <f t="shared" si="393"/>
        <v>41.866666666666674</v>
      </c>
      <c r="DJ126" s="528">
        <f t="shared" si="394"/>
        <v>2.7377521613832849</v>
      </c>
      <c r="DL126" s="173">
        <f t="shared" si="395"/>
        <v>3.4030798375813021</v>
      </c>
      <c r="DM126" s="173">
        <f t="shared" si="396"/>
        <v>10</v>
      </c>
      <c r="DN126" s="173">
        <f t="shared" si="397"/>
        <v>1.0239238095238095</v>
      </c>
      <c r="DP126" s="545">
        <f t="shared" si="398"/>
        <v>1600</v>
      </c>
      <c r="DQ126" s="460">
        <f t="shared" si="399"/>
        <v>41.866666666666674</v>
      </c>
      <c r="DS126" s="460">
        <f t="shared" si="400"/>
        <v>1600</v>
      </c>
      <c r="DT126" s="460">
        <f t="shared" si="401"/>
        <v>41.866666666666674</v>
      </c>
      <c r="DV126" s="5">
        <f t="shared" si="402"/>
        <v>23.885350318471332</v>
      </c>
      <c r="DW126" s="5">
        <f t="shared" si="403"/>
        <v>6.3157894736842106</v>
      </c>
      <c r="DX126" s="5">
        <f t="shared" si="404"/>
        <v>17.569560844787119</v>
      </c>
      <c r="DY126" s="173">
        <f t="shared" si="405"/>
        <v>0.264421052631579</v>
      </c>
      <c r="EA126" s="5">
        <f t="shared" si="406"/>
        <v>67.368421052631589</v>
      </c>
      <c r="EB126" s="5">
        <f t="shared" si="407"/>
        <v>3.1578947368421053</v>
      </c>
      <c r="EC126" s="5">
        <f t="shared" si="408"/>
        <v>7.6528032717766017</v>
      </c>
      <c r="ED126" s="5"/>
      <c r="EE126" s="173">
        <f t="shared" si="409"/>
        <v>2.9688440659150994</v>
      </c>
      <c r="EF126" s="173">
        <f t="shared" si="410"/>
        <v>4.951696501767251</v>
      </c>
      <c r="EG126" s="173">
        <f t="shared" si="411"/>
        <v>0.12194766286705232</v>
      </c>
      <c r="EH126" s="173"/>
      <c r="EI126" s="528">
        <f t="shared" si="412"/>
        <v>0.17628070175438598</v>
      </c>
      <c r="EJ126" s="528">
        <f t="shared" si="413"/>
        <v>0.29055466666666674</v>
      </c>
      <c r="EK126" s="528">
        <f t="shared" si="414"/>
        <v>5.2333333333333338E-3</v>
      </c>
      <c r="EL126" s="528">
        <f t="shared" si="415"/>
        <v>5.0411234666666686E-3</v>
      </c>
      <c r="EM126">
        <f t="shared" si="416"/>
        <v>8.5500000000000003E-3</v>
      </c>
      <c r="EN126" s="460">
        <f t="shared" si="417"/>
        <v>13.783333333333335</v>
      </c>
      <c r="EP126" s="460">
        <f t="shared" si="439"/>
        <v>485.6598252210527</v>
      </c>
      <c r="EQ126" s="173">
        <f t="shared" si="418"/>
        <v>1.1199999999999999</v>
      </c>
      <c r="ER126" s="173">
        <f t="shared" si="419"/>
        <v>1.7749999999999998E-2</v>
      </c>
      <c r="ES126" s="528"/>
      <c r="EU126" s="460">
        <f t="shared" si="420"/>
        <v>1137.7499999999998</v>
      </c>
      <c r="EV126" s="528">
        <f t="shared" si="421"/>
        <v>0.26442105263157895</v>
      </c>
      <c r="EW126" s="528">
        <f t="shared" si="422"/>
        <v>0.73557894736842089</v>
      </c>
      <c r="EX126" s="528">
        <f t="shared" si="423"/>
        <v>7.4356162393681257E-5</v>
      </c>
      <c r="EY126" s="528">
        <f t="shared" si="424"/>
        <v>0.1793250522466083</v>
      </c>
      <c r="EZ126" s="528"/>
      <c r="FA126" s="625">
        <f t="shared" si="425"/>
        <v>4.1866666666666675E-3</v>
      </c>
      <c r="FB126" s="460">
        <f t="shared" si="426"/>
        <v>1183.5860750756683</v>
      </c>
      <c r="FC126" s="173">
        <f t="shared" si="427"/>
        <v>2.8069959002967204</v>
      </c>
      <c r="FD126" s="5">
        <f t="shared" si="428"/>
        <v>24.32</v>
      </c>
      <c r="FE126" s="173">
        <f t="shared" si="429"/>
        <v>0.89652389410852473</v>
      </c>
      <c r="FF126" s="5">
        <f t="shared" si="430"/>
        <v>89.652389410852479</v>
      </c>
      <c r="FG126">
        <f t="shared" si="431"/>
        <v>16</v>
      </c>
      <c r="FI126" s="562">
        <f t="shared" si="432"/>
        <v>-50</v>
      </c>
      <c r="FJ126">
        <f t="shared" si="433"/>
        <v>-50</v>
      </c>
    </row>
    <row r="127" spans="5:166">
      <c r="E127" s="170">
        <v>17</v>
      </c>
      <c r="F127" s="217">
        <f t="shared" si="434"/>
        <v>1.7000000000000002</v>
      </c>
      <c r="G127" s="217">
        <f t="shared" si="313"/>
        <v>4.2500000000000003E-2</v>
      </c>
      <c r="H127" s="217">
        <f t="shared" si="314"/>
        <v>25.500000000000004</v>
      </c>
      <c r="I127" s="217">
        <f t="shared" si="315"/>
        <v>0.34</v>
      </c>
      <c r="J127" s="541">
        <f t="shared" si="316"/>
        <v>18.723315016620045</v>
      </c>
      <c r="K127" s="443">
        <f t="shared" si="317"/>
        <v>15.848559966660831</v>
      </c>
      <c r="L127" s="172">
        <f t="shared" si="318"/>
        <v>34.571874983280878</v>
      </c>
      <c r="M127" s="443"/>
      <c r="N127" s="217">
        <f t="shared" si="319"/>
        <v>0.4584235010199843</v>
      </c>
      <c r="O127" s="172">
        <f t="shared" si="320"/>
        <v>211.75676695606103</v>
      </c>
      <c r="P127" s="172">
        <f t="shared" si="321"/>
        <v>2.8610692068730028</v>
      </c>
      <c r="Q127" s="217">
        <f t="shared" si="322"/>
        <v>14.117117797070735</v>
      </c>
      <c r="R127" s="217">
        <f t="shared" si="323"/>
        <v>26.469595869507629</v>
      </c>
      <c r="S127" s="217">
        <f t="shared" si="324"/>
        <v>15</v>
      </c>
      <c r="T127" s="217">
        <f t="shared" si="325"/>
        <v>6.0210590590692163</v>
      </c>
      <c r="U127" s="217">
        <f t="shared" si="326"/>
        <v>3.8589698803173662</v>
      </c>
      <c r="V127" s="217">
        <f t="shared" si="327"/>
        <v>4.5589447155339045</v>
      </c>
      <c r="W127" s="197">
        <f t="shared" si="328"/>
        <v>71.526730171825065</v>
      </c>
      <c r="X127" s="443">
        <f t="shared" si="435"/>
        <v>116.03735322248467</v>
      </c>
      <c r="Z127" s="217">
        <f t="shared" si="329"/>
        <v>10</v>
      </c>
      <c r="AA127" s="173">
        <f t="shared" si="330"/>
        <v>7.5716658328853255</v>
      </c>
      <c r="AB127" s="173">
        <f t="shared" si="331"/>
        <v>2.6722524620724464</v>
      </c>
      <c r="AC127" s="173"/>
      <c r="AD127" s="173">
        <f t="shared" si="332"/>
        <v>7.5716658328853255</v>
      </c>
      <c r="AE127" s="545">
        <f t="shared" si="333"/>
        <v>44.904253238872357</v>
      </c>
      <c r="AF127" s="528">
        <f t="shared" si="334"/>
        <v>2.7078824949000788</v>
      </c>
      <c r="AH127" s="173">
        <f t="shared" si="335"/>
        <v>3.5078144056893752</v>
      </c>
      <c r="AI127" s="173">
        <f t="shared" si="336"/>
        <v>10</v>
      </c>
      <c r="AJ127" s="173">
        <f t="shared" si="337"/>
        <v>1.0256595732793556</v>
      </c>
      <c r="AL127" s="545">
        <f t="shared" si="338"/>
        <v>1700.0000000000002</v>
      </c>
      <c r="AM127" s="460">
        <f t="shared" si="339"/>
        <v>44.904253238872357</v>
      </c>
      <c r="AO127" s="460">
        <f t="shared" si="340"/>
        <v>1700.0000000000002</v>
      </c>
      <c r="AP127" s="460">
        <f t="shared" si="341"/>
        <v>44.904253238872357</v>
      </c>
      <c r="AR127" s="5">
        <f t="shared" si="275"/>
        <v>22.269605390839189</v>
      </c>
      <c r="AS127" s="5">
        <f t="shared" si="440"/>
        <v>6.4091214559750833</v>
      </c>
      <c r="AT127" s="5">
        <f t="shared" si="441"/>
        <v>15.860483934864106</v>
      </c>
      <c r="AU127" s="173">
        <f t="shared" si="442"/>
        <v>0.28779681289779546</v>
      </c>
      <c r="AW127" s="5">
        <f t="shared" si="342"/>
        <v>72.636709834384277</v>
      </c>
      <c r="AX127" s="5">
        <f t="shared" si="343"/>
        <v>3.404845773486763</v>
      </c>
      <c r="AY127" s="5">
        <f t="shared" si="344"/>
        <v>7.4486209229071383</v>
      </c>
      <c r="AZ127" s="5"/>
      <c r="BA127" s="173">
        <f t="shared" si="345"/>
        <v>3.097293511534414</v>
      </c>
      <c r="BB127" s="173">
        <f t="shared" si="346"/>
        <v>4.8723819879746859</v>
      </c>
      <c r="BC127" s="173">
        <f t="shared" si="347"/>
        <v>0.11999434856659229</v>
      </c>
      <c r="BD127" s="173"/>
      <c r="BE127" s="528">
        <f t="shared" si="348"/>
        <v>0.19186454193186364</v>
      </c>
      <c r="BF127" s="528">
        <f t="shared" si="349"/>
        <v>0.2910795429734776</v>
      </c>
      <c r="BG127" s="528">
        <f t="shared" si="350"/>
        <v>2.1018911974437202E-2</v>
      </c>
      <c r="BH127" s="528">
        <f t="shared" si="351"/>
        <v>5.3670216372637882E-3</v>
      </c>
      <c r="BI127">
        <f t="shared" si="352"/>
        <v>8.4254917574790207E-3</v>
      </c>
      <c r="BJ127" s="460">
        <f t="shared" si="436"/>
        <v>29.444403731916221</v>
      </c>
      <c r="BK127">
        <f t="shared" si="353"/>
        <v>0.5659128086532248</v>
      </c>
      <c r="BL127" s="460">
        <f t="shared" si="437"/>
        <v>517.75551027452116</v>
      </c>
      <c r="BM127" s="173">
        <f t="shared" si="354"/>
        <v>1.056125</v>
      </c>
      <c r="BN127" s="173">
        <f t="shared" si="355"/>
        <v>2.6403124999999996E-2</v>
      </c>
      <c r="BO127" s="528"/>
      <c r="BQ127" s="460">
        <f t="shared" si="356"/>
        <v>1082.528125</v>
      </c>
      <c r="BR127" s="528">
        <f t="shared" si="357"/>
        <v>0.28779681289779546</v>
      </c>
      <c r="BS127" s="528">
        <f t="shared" si="358"/>
        <v>0.71220318710220454</v>
      </c>
      <c r="BT127" s="528">
        <f t="shared" si="359"/>
        <v>7.1993218439604241E-5</v>
      </c>
      <c r="BU127" s="528">
        <f t="shared" si="360"/>
        <v>0.21364301607145122</v>
      </c>
      <c r="BV127" s="528"/>
      <c r="BW127" s="625">
        <f t="shared" si="361"/>
        <v>4.4904253238872366E-3</v>
      </c>
      <c r="BX127" s="460">
        <f t="shared" si="362"/>
        <v>1218.2054346137784</v>
      </c>
      <c r="BY127" s="173">
        <f t="shared" si="363"/>
        <v>2.8184890698882992</v>
      </c>
      <c r="BZ127" s="5">
        <f t="shared" si="364"/>
        <v>25.840000000000003</v>
      </c>
      <c r="CA127" s="173">
        <f t="shared" si="365"/>
        <v>0.90165255875789663</v>
      </c>
      <c r="CB127" s="5">
        <f t="shared" si="366"/>
        <v>90.165255875789668</v>
      </c>
      <c r="CC127">
        <f t="shared" si="367"/>
        <v>17</v>
      </c>
      <c r="CE127" s="562">
        <f t="shared" si="368"/>
        <v>-50</v>
      </c>
      <c r="CF127">
        <f t="shared" si="369"/>
        <v>-50</v>
      </c>
      <c r="CG127" s="173">
        <f t="shared" si="370"/>
        <v>0.34329571516689239</v>
      </c>
      <c r="CH127" s="173">
        <f t="shared" si="371"/>
        <v>3.9555652965520154E-2</v>
      </c>
      <c r="CI127" s="170">
        <v>17</v>
      </c>
      <c r="CJ127" s="217">
        <f t="shared" si="438"/>
        <v>1.7000000000000002</v>
      </c>
      <c r="CK127" s="217">
        <f t="shared" si="372"/>
        <v>4.2500000000000003E-2</v>
      </c>
      <c r="CL127" s="217">
        <f t="shared" si="373"/>
        <v>25.500000000000004</v>
      </c>
      <c r="CM127" s="217">
        <f t="shared" si="374"/>
        <v>0.34</v>
      </c>
      <c r="CN127" s="541">
        <f t="shared" si="375"/>
        <v>19</v>
      </c>
      <c r="CO127" s="443">
        <f t="shared" si="376"/>
        <v>15.7</v>
      </c>
      <c r="CP127" s="443">
        <f t="shared" si="377"/>
        <v>34.700000000000003</v>
      </c>
      <c r="CQ127" s="443"/>
      <c r="CR127" s="217">
        <f t="shared" si="378"/>
        <v>0.44767441860465118</v>
      </c>
      <c r="CS127" s="172">
        <f t="shared" si="379"/>
        <v>209.84738372093025</v>
      </c>
      <c r="CT127" s="172">
        <f t="shared" si="380"/>
        <v>2.835271317829458</v>
      </c>
      <c r="CU127" s="217">
        <f t="shared" si="381"/>
        <v>13.989825581395349</v>
      </c>
      <c r="CV127" s="217">
        <f t="shared" si="382"/>
        <v>26.230922965116282</v>
      </c>
      <c r="CW127" s="217">
        <f t="shared" si="383"/>
        <v>15</v>
      </c>
      <c r="CX127" s="217">
        <f t="shared" si="384"/>
        <v>6.0758441558441563</v>
      </c>
      <c r="CY127" s="217">
        <f t="shared" si="385"/>
        <v>3.8373752563226247</v>
      </c>
      <c r="CZ127" s="217">
        <f t="shared" si="386"/>
        <v>4.6439573165687822</v>
      </c>
      <c r="DA127" s="197">
        <f t="shared" si="387"/>
        <v>71.63784822286263</v>
      </c>
      <c r="DB127" s="443">
        <f t="shared" si="388"/>
        <v>117.90600019580245</v>
      </c>
      <c r="DD127" s="217">
        <f t="shared" si="389"/>
        <v>10.000000000000002</v>
      </c>
      <c r="DE127" s="173">
        <f t="shared" si="390"/>
        <v>7.6433121019108299</v>
      </c>
      <c r="DF127" s="173">
        <f t="shared" si="391"/>
        <v>2.7017291066282429</v>
      </c>
      <c r="DG127" s="173"/>
      <c r="DH127" s="173">
        <f t="shared" si="392"/>
        <v>7.6433121019108281</v>
      </c>
      <c r="DI127" s="545">
        <f t="shared" si="393"/>
        <v>44.483333333333341</v>
      </c>
      <c r="DJ127" s="528">
        <f t="shared" si="394"/>
        <v>2.7377521613832849</v>
      </c>
      <c r="DL127" s="173">
        <f t="shared" si="395"/>
        <v>3.5078144056893752</v>
      </c>
      <c r="DM127" s="173">
        <f t="shared" si="396"/>
        <v>10</v>
      </c>
      <c r="DN127" s="173">
        <f t="shared" si="397"/>
        <v>1.0254190476190477</v>
      </c>
      <c r="DP127" s="545">
        <f t="shared" si="398"/>
        <v>1700.0000000000002</v>
      </c>
      <c r="DQ127" s="460">
        <f t="shared" si="399"/>
        <v>44.483333333333341</v>
      </c>
      <c r="DS127" s="460">
        <f t="shared" si="400"/>
        <v>1700.0000000000002</v>
      </c>
      <c r="DT127" s="460">
        <f t="shared" si="401"/>
        <v>44.483333333333341</v>
      </c>
      <c r="DV127" s="5">
        <f t="shared" si="402"/>
        <v>22.480329711502431</v>
      </c>
      <c r="DW127" s="5">
        <f t="shared" si="403"/>
        <v>6.3157894736842106</v>
      </c>
      <c r="DX127" s="5">
        <f t="shared" si="404"/>
        <v>16.164540237818223</v>
      </c>
      <c r="DY127" s="173">
        <f t="shared" si="405"/>
        <v>0.28094736842105267</v>
      </c>
      <c r="EA127" s="5">
        <f t="shared" si="406"/>
        <v>71.578947368421055</v>
      </c>
      <c r="EB127" s="5">
        <f t="shared" si="407"/>
        <v>3.3552631578947372</v>
      </c>
      <c r="EC127" s="5">
        <f t="shared" si="408"/>
        <v>7.4808670792080711</v>
      </c>
      <c r="ED127" s="5"/>
      <c r="EE127" s="173">
        <f t="shared" si="409"/>
        <v>3.0602144174390391</v>
      </c>
      <c r="EF127" s="173">
        <f t="shared" si="410"/>
        <v>4.8957554118472437</v>
      </c>
      <c r="EG127" s="173">
        <f t="shared" si="411"/>
        <v>0.12056997641725763</v>
      </c>
      <c r="EH127" s="173"/>
      <c r="EI127" s="528">
        <f t="shared" si="412"/>
        <v>0.18729824561403516</v>
      </c>
      <c r="EJ127" s="528">
        <f t="shared" si="413"/>
        <v>0.30871433333333342</v>
      </c>
      <c r="EK127" s="528">
        <f t="shared" si="414"/>
        <v>5.5604166666666675E-3</v>
      </c>
      <c r="EL127" s="528">
        <f t="shared" si="415"/>
        <v>5.3561936833333356E-3</v>
      </c>
      <c r="EM127">
        <f t="shared" si="416"/>
        <v>8.5500000000000003E-3</v>
      </c>
      <c r="EN127" s="460">
        <f t="shared" si="417"/>
        <v>14.110416666666667</v>
      </c>
      <c r="EP127" s="460">
        <f t="shared" si="439"/>
        <v>515.47918929736852</v>
      </c>
      <c r="EQ127" s="173">
        <f t="shared" si="418"/>
        <v>1.19</v>
      </c>
      <c r="ER127" s="173">
        <f t="shared" si="419"/>
        <v>1.8859375000000001E-2</v>
      </c>
      <c r="ES127" s="528"/>
      <c r="EU127" s="460">
        <f t="shared" si="420"/>
        <v>1208.8593749999998</v>
      </c>
      <c r="EV127" s="528">
        <f t="shared" si="421"/>
        <v>0.28094736842105272</v>
      </c>
      <c r="EW127" s="528">
        <f t="shared" si="422"/>
        <v>0.71905263157894728</v>
      </c>
      <c r="EX127" s="528">
        <f t="shared" si="423"/>
        <v>7.2685596066290306E-5</v>
      </c>
      <c r="EY127" s="528">
        <f t="shared" si="424"/>
        <v>0.20867158405331809</v>
      </c>
      <c r="EZ127" s="528"/>
      <c r="FA127" s="625">
        <f t="shared" si="425"/>
        <v>4.4483333333333345E-3</v>
      </c>
      <c r="FB127" s="460">
        <f t="shared" si="426"/>
        <v>1213.1926029827177</v>
      </c>
      <c r="FC127" s="173">
        <f t="shared" si="427"/>
        <v>2.9375311672800861</v>
      </c>
      <c r="FD127" s="5">
        <f t="shared" si="428"/>
        <v>25.840000000000003</v>
      </c>
      <c r="FE127" s="173">
        <f t="shared" si="429"/>
        <v>0.89792275264321342</v>
      </c>
      <c r="FF127" s="5">
        <f t="shared" si="430"/>
        <v>89.792275264321347</v>
      </c>
      <c r="FG127">
        <f t="shared" si="431"/>
        <v>17</v>
      </c>
      <c r="FI127" s="562">
        <f t="shared" si="432"/>
        <v>-50</v>
      </c>
      <c r="FJ127">
        <f t="shared" si="433"/>
        <v>-50</v>
      </c>
    </row>
    <row r="128" spans="5:166">
      <c r="E128" s="170">
        <v>18</v>
      </c>
      <c r="F128" s="217">
        <f t="shared" si="434"/>
        <v>1.7999999999999998</v>
      </c>
      <c r="G128" s="217">
        <f t="shared" si="313"/>
        <v>4.4999999999999998E-2</v>
      </c>
      <c r="H128" s="217">
        <f t="shared" si="314"/>
        <v>26.999999999999996</v>
      </c>
      <c r="I128" s="217">
        <f t="shared" si="315"/>
        <v>0.36</v>
      </c>
      <c r="J128" s="541">
        <f t="shared" si="316"/>
        <v>18.723315016620045</v>
      </c>
      <c r="K128" s="443">
        <f t="shared" si="317"/>
        <v>15.848559966660831</v>
      </c>
      <c r="L128" s="172">
        <f t="shared" si="318"/>
        <v>34.571874983280878</v>
      </c>
      <c r="M128" s="443"/>
      <c r="N128" s="217">
        <f t="shared" si="319"/>
        <v>0.4584235010199843</v>
      </c>
      <c r="O128" s="172">
        <f t="shared" si="320"/>
        <v>211.75676695606103</v>
      </c>
      <c r="P128" s="172">
        <f t="shared" si="321"/>
        <v>2.8610692068730028</v>
      </c>
      <c r="Q128" s="217">
        <f t="shared" si="322"/>
        <v>14.117117797070735</v>
      </c>
      <c r="R128" s="217">
        <f t="shared" si="323"/>
        <v>26.469595869507629</v>
      </c>
      <c r="S128" s="217">
        <f t="shared" si="324"/>
        <v>15</v>
      </c>
      <c r="T128" s="217">
        <f t="shared" si="325"/>
        <v>6.3752390037203455</v>
      </c>
      <c r="U128" s="217">
        <f t="shared" si="326"/>
        <v>4.0859681085713282</v>
      </c>
      <c r="V128" s="217">
        <f t="shared" si="327"/>
        <v>4.8271179340947219</v>
      </c>
      <c r="W128" s="197">
        <f t="shared" si="328"/>
        <v>71.526730171825065</v>
      </c>
      <c r="X128" s="443">
        <f t="shared" si="435"/>
        <v>109.732311899411</v>
      </c>
      <c r="Z128" s="217">
        <f t="shared" si="329"/>
        <v>10</v>
      </c>
      <c r="AA128" s="173">
        <f t="shared" si="330"/>
        <v>7.5716658328853255</v>
      </c>
      <c r="AB128" s="173">
        <f t="shared" si="331"/>
        <v>2.6722524620724464</v>
      </c>
      <c r="AC128" s="173"/>
      <c r="AD128" s="173">
        <f t="shared" si="332"/>
        <v>7.5716658328853255</v>
      </c>
      <c r="AE128" s="545">
        <f t="shared" si="333"/>
        <v>47.545679899982481</v>
      </c>
      <c r="AF128" s="528">
        <f t="shared" si="334"/>
        <v>2.7078824949000788</v>
      </c>
      <c r="AH128" s="173">
        <f t="shared" si="335"/>
        <v>3.60951124510943</v>
      </c>
      <c r="AI128" s="173">
        <f t="shared" si="336"/>
        <v>10</v>
      </c>
      <c r="AJ128" s="173">
        <f t="shared" si="337"/>
        <v>1.0271689599428471</v>
      </c>
      <c r="AL128" s="545">
        <f t="shared" si="338"/>
        <v>1799.9999999999998</v>
      </c>
      <c r="AM128" s="460">
        <f t="shared" si="339"/>
        <v>47.545679899982481</v>
      </c>
      <c r="AO128" s="460">
        <f t="shared" si="340"/>
        <v>1799.9999999999998</v>
      </c>
      <c r="AP128" s="460">
        <f t="shared" si="341"/>
        <v>47.545679899982481</v>
      </c>
      <c r="AR128" s="5">
        <f t="shared" si="275"/>
        <v>21.032405091348132</v>
      </c>
      <c r="AS128" s="5">
        <f t="shared" si="440"/>
        <v>6.4091214559750833</v>
      </c>
      <c r="AT128" s="5">
        <f t="shared" si="441"/>
        <v>14.623283635373049</v>
      </c>
      <c r="AU128" s="173">
        <f t="shared" si="442"/>
        <v>0.30472603718590097</v>
      </c>
      <c r="AW128" s="5">
        <f t="shared" si="342"/>
        <v>76.909457471700989</v>
      </c>
      <c r="AX128" s="5">
        <f t="shared" si="343"/>
        <v>3.6051308189859839</v>
      </c>
      <c r="AY128" s="5">
        <f t="shared" si="344"/>
        <v>7.2715655874009331</v>
      </c>
      <c r="AZ128" s="5"/>
      <c r="BA128" s="173">
        <f t="shared" si="345"/>
        <v>3.1870887299953488</v>
      </c>
      <c r="BB128" s="173">
        <f t="shared" si="346"/>
        <v>4.8141249215688173</v>
      </c>
      <c r="BC128" s="173">
        <f t="shared" si="347"/>
        <v>0.11855962551942029</v>
      </c>
      <c r="BD128" s="173"/>
      <c r="BE128" s="528">
        <f t="shared" si="348"/>
        <v>0.20315069145726733</v>
      </c>
      <c r="BF128" s="528">
        <f t="shared" si="349"/>
        <v>0.30820186903074093</v>
      </c>
      <c r="BG128" s="528">
        <f t="shared" si="350"/>
        <v>2.2255318561168795E-2</v>
      </c>
      <c r="BH128" s="528">
        <f t="shared" si="351"/>
        <v>5.6827287923969499E-3</v>
      </c>
      <c r="BI128">
        <f t="shared" si="352"/>
        <v>8.4254917574790207E-3</v>
      </c>
      <c r="BJ128" s="460">
        <f t="shared" si="436"/>
        <v>30.680810318647815</v>
      </c>
      <c r="BK128">
        <f t="shared" si="353"/>
        <v>0.60089010255607223</v>
      </c>
      <c r="BL128" s="460">
        <f t="shared" si="437"/>
        <v>547.716099599053</v>
      </c>
      <c r="BM128" s="173">
        <f t="shared" si="354"/>
        <v>1.1182499999999997</v>
      </c>
      <c r="BN128" s="173">
        <f t="shared" si="355"/>
        <v>2.7956249999999998E-2</v>
      </c>
      <c r="BO128" s="528"/>
      <c r="BQ128" s="460">
        <f t="shared" si="356"/>
        <v>1146.2062499999997</v>
      </c>
      <c r="BR128" s="528">
        <f t="shared" si="357"/>
        <v>0.30472603718590097</v>
      </c>
      <c r="BS128" s="528">
        <f t="shared" si="358"/>
        <v>0.69527396281409903</v>
      </c>
      <c r="BT128" s="528">
        <f t="shared" si="359"/>
        <v>7.0281924016525878E-5</v>
      </c>
      <c r="BU128" s="528">
        <f t="shared" si="360"/>
        <v>0.24646068984318939</v>
      </c>
      <c r="BV128" s="528"/>
      <c r="BW128" s="625">
        <f t="shared" si="361"/>
        <v>4.7545679899982487E-3</v>
      </c>
      <c r="BX128" s="460">
        <f t="shared" si="362"/>
        <v>1251.2855397572043</v>
      </c>
      <c r="BY128" s="173">
        <f t="shared" si="363"/>
        <v>2.945207889356257</v>
      </c>
      <c r="BZ128" s="5">
        <f t="shared" si="364"/>
        <v>27.359999999999996</v>
      </c>
      <c r="CA128" s="173">
        <f t="shared" si="365"/>
        <v>0.90281512339037051</v>
      </c>
      <c r="CB128" s="5">
        <f t="shared" si="366"/>
        <v>90.28151233903705</v>
      </c>
      <c r="CC128">
        <f t="shared" si="367"/>
        <v>18</v>
      </c>
      <c r="CE128" s="562">
        <f t="shared" si="368"/>
        <v>-50</v>
      </c>
      <c r="CF128">
        <f t="shared" si="369"/>
        <v>-50</v>
      </c>
      <c r="CG128" s="173">
        <f t="shared" si="370"/>
        <v>0.36348958076494475</v>
      </c>
      <c r="CH128" s="173">
        <f t="shared" si="371"/>
        <v>4.1882456081138976E-2</v>
      </c>
      <c r="CI128" s="170">
        <v>18</v>
      </c>
      <c r="CJ128" s="217">
        <f t="shared" si="438"/>
        <v>1.7999999999999998</v>
      </c>
      <c r="CK128" s="217">
        <f t="shared" si="372"/>
        <v>4.4999999999999998E-2</v>
      </c>
      <c r="CL128" s="217">
        <f t="shared" si="373"/>
        <v>26.999999999999996</v>
      </c>
      <c r="CM128" s="217">
        <f t="shared" si="374"/>
        <v>0.36</v>
      </c>
      <c r="CN128" s="541">
        <f t="shared" si="375"/>
        <v>19</v>
      </c>
      <c r="CO128" s="443">
        <f t="shared" si="376"/>
        <v>15.7</v>
      </c>
      <c r="CP128" s="443">
        <f t="shared" si="377"/>
        <v>34.700000000000003</v>
      </c>
      <c r="CQ128" s="443"/>
      <c r="CR128" s="217">
        <f t="shared" si="378"/>
        <v>0.44767441860465118</v>
      </c>
      <c r="CS128" s="172">
        <f t="shared" si="379"/>
        <v>209.84738372093025</v>
      </c>
      <c r="CT128" s="172">
        <f t="shared" si="380"/>
        <v>2.835271317829458</v>
      </c>
      <c r="CU128" s="217">
        <f t="shared" si="381"/>
        <v>13.989825581395349</v>
      </c>
      <c r="CV128" s="217">
        <f t="shared" si="382"/>
        <v>26.230922965116282</v>
      </c>
      <c r="CW128" s="217">
        <f t="shared" si="383"/>
        <v>15</v>
      </c>
      <c r="CX128" s="217">
        <f t="shared" si="384"/>
        <v>6.4332467532467517</v>
      </c>
      <c r="CY128" s="217">
        <f t="shared" si="385"/>
        <v>4.0631032125768956</v>
      </c>
      <c r="CZ128" s="217">
        <f t="shared" si="386"/>
        <v>4.9171312763669439</v>
      </c>
      <c r="DA128" s="197">
        <f t="shared" si="387"/>
        <v>71.63784822286263</v>
      </c>
      <c r="DB128" s="443">
        <f t="shared" si="388"/>
        <v>111.35566685159125</v>
      </c>
      <c r="DD128" s="217">
        <f t="shared" si="389"/>
        <v>10.000000000000002</v>
      </c>
      <c r="DE128" s="173">
        <f t="shared" si="390"/>
        <v>7.6433121019108299</v>
      </c>
      <c r="DF128" s="173">
        <f t="shared" si="391"/>
        <v>2.7017291066282429</v>
      </c>
      <c r="DG128" s="173"/>
      <c r="DH128" s="173">
        <f t="shared" si="392"/>
        <v>7.6433121019108281</v>
      </c>
      <c r="DI128" s="545">
        <f t="shared" si="393"/>
        <v>47.1</v>
      </c>
      <c r="DJ128" s="528">
        <f t="shared" si="394"/>
        <v>2.7377521613832849</v>
      </c>
      <c r="DL128" s="173">
        <f t="shared" si="395"/>
        <v>3.60951124510943</v>
      </c>
      <c r="DM128" s="173">
        <f t="shared" si="396"/>
        <v>10</v>
      </c>
      <c r="DN128" s="173">
        <f t="shared" si="397"/>
        <v>1.0269142857142857</v>
      </c>
      <c r="DP128" s="545">
        <f t="shared" si="398"/>
        <v>1799.9999999999998</v>
      </c>
      <c r="DQ128" s="460">
        <f t="shared" si="399"/>
        <v>47.1</v>
      </c>
      <c r="DS128" s="460">
        <f t="shared" si="400"/>
        <v>1799.9999999999998</v>
      </c>
      <c r="DT128" s="460">
        <f t="shared" si="401"/>
        <v>47.1</v>
      </c>
      <c r="DV128" s="5">
        <f t="shared" si="402"/>
        <v>21.231422505307854</v>
      </c>
      <c r="DW128" s="5">
        <f t="shared" si="403"/>
        <v>6.3157894736842106</v>
      </c>
      <c r="DX128" s="5">
        <f t="shared" si="404"/>
        <v>14.915633031623644</v>
      </c>
      <c r="DY128" s="173">
        <f t="shared" si="405"/>
        <v>0.29747368421052633</v>
      </c>
      <c r="EA128" s="5">
        <f t="shared" si="406"/>
        <v>75.789473684210535</v>
      </c>
      <c r="EB128" s="5">
        <f t="shared" si="407"/>
        <v>3.5526315789473686</v>
      </c>
      <c r="EC128" s="5">
        <f t="shared" si="408"/>
        <v>7.3089308866395335</v>
      </c>
      <c r="ED128" s="5"/>
      <c r="EE128" s="173">
        <f t="shared" si="409"/>
        <v>3.1489346569410124</v>
      </c>
      <c r="EF128" s="173">
        <f t="shared" si="410"/>
        <v>4.8391676825306558</v>
      </c>
      <c r="EG128" s="173">
        <f t="shared" si="411"/>
        <v>0.11917636488742167</v>
      </c>
      <c r="EH128" s="173"/>
      <c r="EI128" s="528">
        <f t="shared" si="412"/>
        <v>0.19831578947368425</v>
      </c>
      <c r="EJ128" s="528">
        <f t="shared" si="413"/>
        <v>0.326874</v>
      </c>
      <c r="EK128" s="528">
        <f t="shared" si="414"/>
        <v>5.8875000000000004E-3</v>
      </c>
      <c r="EL128" s="528">
        <f t="shared" si="415"/>
        <v>5.6712639000000018E-3</v>
      </c>
      <c r="EM128">
        <f t="shared" si="416"/>
        <v>8.5500000000000003E-3</v>
      </c>
      <c r="EN128" s="460">
        <f t="shared" si="417"/>
        <v>14.4375</v>
      </c>
      <c r="EP128" s="460">
        <f t="shared" si="439"/>
        <v>545.29855337368429</v>
      </c>
      <c r="EQ128" s="173">
        <f t="shared" si="418"/>
        <v>1.2599999999999998</v>
      </c>
      <c r="ER128" s="173">
        <f t="shared" si="419"/>
        <v>1.9968749999999997E-2</v>
      </c>
      <c r="ES128" s="528"/>
      <c r="EU128" s="460">
        <f t="shared" si="420"/>
        <v>1279.9687499999998</v>
      </c>
      <c r="EV128" s="528">
        <f t="shared" si="421"/>
        <v>0.29747368421052633</v>
      </c>
      <c r="EW128" s="528">
        <f t="shared" si="422"/>
        <v>0.70252631578947355</v>
      </c>
      <c r="EX128" s="528">
        <f t="shared" si="423"/>
        <v>7.1015029738899369E-5</v>
      </c>
      <c r="EY128" s="528">
        <f t="shared" si="424"/>
        <v>0.24072559684914632</v>
      </c>
      <c r="EZ128" s="528"/>
      <c r="FA128" s="625">
        <f t="shared" si="425"/>
        <v>4.7100000000000006E-3</v>
      </c>
      <c r="FB128" s="460">
        <f t="shared" si="426"/>
        <v>1245.5066118788852</v>
      </c>
      <c r="FC128" s="173">
        <f t="shared" si="427"/>
        <v>3.0707739152525693</v>
      </c>
      <c r="FD128" s="5">
        <f t="shared" si="428"/>
        <v>27.359999999999996</v>
      </c>
      <c r="FE128" s="173">
        <f t="shared" si="429"/>
        <v>0.89908985148374976</v>
      </c>
      <c r="FF128" s="5">
        <f t="shared" si="430"/>
        <v>89.908985148374981</v>
      </c>
      <c r="FG128">
        <f t="shared" si="431"/>
        <v>18</v>
      </c>
      <c r="FI128" s="562">
        <f t="shared" si="432"/>
        <v>-50</v>
      </c>
      <c r="FJ128">
        <f t="shared" si="433"/>
        <v>-50</v>
      </c>
    </row>
    <row r="129" spans="5:166">
      <c r="E129" s="170">
        <v>19</v>
      </c>
      <c r="F129" s="217">
        <f t="shared" si="434"/>
        <v>1.9</v>
      </c>
      <c r="G129" s="217">
        <f t="shared" si="313"/>
        <v>4.7500000000000001E-2</v>
      </c>
      <c r="H129" s="217">
        <f t="shared" si="314"/>
        <v>28.5</v>
      </c>
      <c r="I129" s="217">
        <f t="shared" si="315"/>
        <v>0.38</v>
      </c>
      <c r="J129" s="541">
        <f t="shared" si="316"/>
        <v>18.723315016620045</v>
      </c>
      <c r="K129" s="443">
        <f t="shared" si="317"/>
        <v>15.848559966660831</v>
      </c>
      <c r="L129" s="172">
        <f t="shared" si="318"/>
        <v>34.571874983280878</v>
      </c>
      <c r="M129" s="443"/>
      <c r="N129" s="217">
        <f t="shared" si="319"/>
        <v>0.4584235010199843</v>
      </c>
      <c r="O129" s="172">
        <f t="shared" si="320"/>
        <v>211.75676695606103</v>
      </c>
      <c r="P129" s="172">
        <f t="shared" si="321"/>
        <v>2.8610692068730028</v>
      </c>
      <c r="Q129" s="217">
        <f t="shared" si="322"/>
        <v>14.117117797070735</v>
      </c>
      <c r="R129" s="217">
        <f t="shared" si="323"/>
        <v>26.469595869507629</v>
      </c>
      <c r="S129" s="217">
        <f t="shared" si="324"/>
        <v>15</v>
      </c>
      <c r="T129" s="217">
        <f t="shared" si="325"/>
        <v>6.7294189483714764</v>
      </c>
      <c r="U129" s="217">
        <f t="shared" si="326"/>
        <v>4.3129663368252906</v>
      </c>
      <c r="V129" s="217">
        <f t="shared" si="327"/>
        <v>5.0952911526555402</v>
      </c>
      <c r="W129" s="197">
        <f t="shared" si="328"/>
        <v>71.526730171825065</v>
      </c>
      <c r="X129" s="443">
        <f t="shared" si="435"/>
        <v>104.07714417466488</v>
      </c>
      <c r="Z129" s="217">
        <f t="shared" si="329"/>
        <v>10</v>
      </c>
      <c r="AA129" s="173">
        <f t="shared" si="330"/>
        <v>7.5716658328853255</v>
      </c>
      <c r="AB129" s="173">
        <f t="shared" si="331"/>
        <v>2.6722524620724464</v>
      </c>
      <c r="AC129" s="173"/>
      <c r="AD129" s="173">
        <f t="shared" si="332"/>
        <v>7.5716658328853255</v>
      </c>
      <c r="AE129" s="545">
        <f t="shared" si="333"/>
        <v>50.187106561092627</v>
      </c>
      <c r="AF129" s="528">
        <f t="shared" si="334"/>
        <v>2.7078824949000788</v>
      </c>
      <c r="AH129" s="173">
        <f t="shared" si="335"/>
        <v>3.7084202772044259</v>
      </c>
      <c r="AI129" s="173">
        <f t="shared" si="336"/>
        <v>10</v>
      </c>
      <c r="AJ129" s="173">
        <f t="shared" si="337"/>
        <v>1.0286783466063387</v>
      </c>
      <c r="AL129" s="545">
        <f t="shared" si="338"/>
        <v>1900</v>
      </c>
      <c r="AM129" s="460">
        <f t="shared" si="339"/>
        <v>50.187106561092627</v>
      </c>
      <c r="AO129" s="460">
        <f t="shared" si="340"/>
        <v>1900</v>
      </c>
      <c r="AP129" s="460">
        <f t="shared" si="341"/>
        <v>50.187106561092627</v>
      </c>
      <c r="AR129" s="5">
        <f t="shared" si="275"/>
        <v>19.925436402329805</v>
      </c>
      <c r="AS129" s="5">
        <f t="shared" si="440"/>
        <v>6.4091214559750833</v>
      </c>
      <c r="AT129" s="5">
        <f t="shared" si="441"/>
        <v>13.516314946354722</v>
      </c>
      <c r="AU129" s="173">
        <f t="shared" si="442"/>
        <v>0.32165526147400664</v>
      </c>
      <c r="AW129" s="5">
        <f t="shared" si="342"/>
        <v>81.182205109017715</v>
      </c>
      <c r="AX129" s="5">
        <f t="shared" si="343"/>
        <v>3.8054158644852061</v>
      </c>
      <c r="AY129" s="5">
        <f t="shared" si="344"/>
        <v>7.0945102518947243</v>
      </c>
      <c r="AZ129" s="5"/>
      <c r="BA129" s="173">
        <f t="shared" si="345"/>
        <v>3.2744223993146573</v>
      </c>
      <c r="BB129" s="173">
        <f t="shared" si="346"/>
        <v>4.7551541809072582</v>
      </c>
      <c r="BC129" s="173">
        <f t="shared" si="347"/>
        <v>0.11710732649450036</v>
      </c>
      <c r="BD129" s="173"/>
      <c r="BE129" s="528">
        <f t="shared" si="348"/>
        <v>0.21443684098267113</v>
      </c>
      <c r="BF129" s="528">
        <f t="shared" si="349"/>
        <v>0.32532419508800431</v>
      </c>
      <c r="BG129" s="528">
        <f t="shared" si="350"/>
        <v>2.3491725147900398E-2</v>
      </c>
      <c r="BH129" s="528">
        <f t="shared" si="351"/>
        <v>5.998435947530115E-3</v>
      </c>
      <c r="BI129">
        <f t="shared" si="352"/>
        <v>8.4254917574790207E-3</v>
      </c>
      <c r="BJ129" s="460">
        <f t="shared" si="436"/>
        <v>31.917216905379423</v>
      </c>
      <c r="BK129">
        <f t="shared" si="353"/>
        <v>0.63606505675109726</v>
      </c>
      <c r="BL129" s="460">
        <f t="shared" si="437"/>
        <v>577.67668892358506</v>
      </c>
      <c r="BM129" s="173">
        <f t="shared" si="354"/>
        <v>1.1803749999999997</v>
      </c>
      <c r="BN129" s="173">
        <f t="shared" si="355"/>
        <v>2.9509374999999994E-2</v>
      </c>
      <c r="BO129" s="528"/>
      <c r="BQ129" s="460">
        <f t="shared" si="356"/>
        <v>1209.8843749999996</v>
      </c>
      <c r="BR129" s="528">
        <f t="shared" si="357"/>
        <v>0.32165526147400669</v>
      </c>
      <c r="BS129" s="528">
        <f t="shared" si="358"/>
        <v>0.6783447385259932</v>
      </c>
      <c r="BT129" s="528">
        <f t="shared" si="359"/>
        <v>6.8570629593447529E-5</v>
      </c>
      <c r="BU129" s="528">
        <f t="shared" si="360"/>
        <v>0.28213073440427994</v>
      </c>
      <c r="BV129" s="528"/>
      <c r="BW129" s="625">
        <f t="shared" si="361"/>
        <v>5.0187106561092633E-3</v>
      </c>
      <c r="BX129" s="460">
        <f t="shared" si="362"/>
        <v>1287.2180156899824</v>
      </c>
      <c r="BY129" s="173">
        <f t="shared" si="363"/>
        <v>3.0747790796135677</v>
      </c>
      <c r="BZ129" s="5">
        <f t="shared" si="364"/>
        <v>28.88</v>
      </c>
      <c r="CA129" s="173">
        <f t="shared" si="365"/>
        <v>0.90377717611650754</v>
      </c>
      <c r="CB129" s="5">
        <f t="shared" si="366"/>
        <v>90.377717611650752</v>
      </c>
      <c r="CC129">
        <f t="shared" si="367"/>
        <v>19</v>
      </c>
      <c r="CE129" s="562">
        <f t="shared" si="368"/>
        <v>-50</v>
      </c>
      <c r="CF129">
        <f t="shared" si="369"/>
        <v>-50</v>
      </c>
      <c r="CG129" s="173">
        <f t="shared" si="370"/>
        <v>0.38368344636299728</v>
      </c>
      <c r="CH129" s="173">
        <f t="shared" si="371"/>
        <v>4.4209259196757805E-2</v>
      </c>
      <c r="CI129" s="170">
        <v>19</v>
      </c>
      <c r="CJ129" s="217">
        <f t="shared" si="438"/>
        <v>1.9</v>
      </c>
      <c r="CK129" s="217">
        <f t="shared" si="372"/>
        <v>4.7500000000000001E-2</v>
      </c>
      <c r="CL129" s="217">
        <f t="shared" si="373"/>
        <v>28.5</v>
      </c>
      <c r="CM129" s="217">
        <f t="shared" si="374"/>
        <v>0.38</v>
      </c>
      <c r="CN129" s="541">
        <f t="shared" si="375"/>
        <v>19</v>
      </c>
      <c r="CO129" s="443">
        <f t="shared" si="376"/>
        <v>15.7</v>
      </c>
      <c r="CP129" s="443">
        <f t="shared" si="377"/>
        <v>34.700000000000003</v>
      </c>
      <c r="CQ129" s="443"/>
      <c r="CR129" s="217">
        <f t="shared" si="378"/>
        <v>0.44767441860465118</v>
      </c>
      <c r="CS129" s="172">
        <f t="shared" si="379"/>
        <v>209.84738372093025</v>
      </c>
      <c r="CT129" s="172">
        <f t="shared" si="380"/>
        <v>2.835271317829458</v>
      </c>
      <c r="CU129" s="217">
        <f t="shared" si="381"/>
        <v>13.989825581395349</v>
      </c>
      <c r="CV129" s="217">
        <f t="shared" si="382"/>
        <v>26.230922965116282</v>
      </c>
      <c r="CW129" s="217">
        <f t="shared" si="383"/>
        <v>15</v>
      </c>
      <c r="CX129" s="217">
        <f t="shared" si="384"/>
        <v>6.7906493506493497</v>
      </c>
      <c r="CY129" s="217">
        <f t="shared" si="385"/>
        <v>4.2888311688311678</v>
      </c>
      <c r="CZ129" s="217">
        <f t="shared" si="386"/>
        <v>5.1903052361651083</v>
      </c>
      <c r="DA129" s="197">
        <f t="shared" si="387"/>
        <v>71.63784822286263</v>
      </c>
      <c r="DB129" s="443">
        <f t="shared" si="388"/>
        <v>105.49484228045488</v>
      </c>
      <c r="DD129" s="217">
        <f t="shared" si="389"/>
        <v>10.000000000000002</v>
      </c>
      <c r="DE129" s="173">
        <f t="shared" si="390"/>
        <v>7.6433121019108299</v>
      </c>
      <c r="DF129" s="173">
        <f t="shared" si="391"/>
        <v>2.7017291066282429</v>
      </c>
      <c r="DG129" s="173"/>
      <c r="DH129" s="173">
        <f t="shared" si="392"/>
        <v>7.6433121019108281</v>
      </c>
      <c r="DI129" s="545">
        <f t="shared" si="393"/>
        <v>49.716666666666669</v>
      </c>
      <c r="DJ129" s="528">
        <f t="shared" si="394"/>
        <v>2.7377521613832849</v>
      </c>
      <c r="DL129" s="173">
        <f t="shared" si="395"/>
        <v>3.7084202772044259</v>
      </c>
      <c r="DM129" s="173">
        <f t="shared" si="396"/>
        <v>10</v>
      </c>
      <c r="DN129" s="173">
        <f t="shared" si="397"/>
        <v>1.0284095238095239</v>
      </c>
      <c r="DP129" s="545">
        <f t="shared" si="398"/>
        <v>1900</v>
      </c>
      <c r="DQ129" s="460">
        <f t="shared" si="399"/>
        <v>49.716666666666669</v>
      </c>
      <c r="DS129" s="460">
        <f t="shared" si="400"/>
        <v>1900</v>
      </c>
      <c r="DT129" s="460">
        <f t="shared" si="401"/>
        <v>49.716666666666669</v>
      </c>
      <c r="DV129" s="5">
        <f t="shared" si="402"/>
        <v>20.11397921555481</v>
      </c>
      <c r="DW129" s="5">
        <f t="shared" si="403"/>
        <v>6.3157894736842106</v>
      </c>
      <c r="DX129" s="5">
        <f t="shared" si="404"/>
        <v>13.798189741870599</v>
      </c>
      <c r="DY129" s="173">
        <f t="shared" si="405"/>
        <v>0.314</v>
      </c>
      <c r="EA129" s="5">
        <f t="shared" si="406"/>
        <v>80</v>
      </c>
      <c r="EB129" s="5">
        <f t="shared" si="407"/>
        <v>3.75</v>
      </c>
      <c r="EC129" s="5">
        <f t="shared" si="408"/>
        <v>7.1369946940709985</v>
      </c>
      <c r="ED129" s="5"/>
      <c r="EE129" s="173">
        <f t="shared" si="409"/>
        <v>3.2352228156135809</v>
      </c>
      <c r="EF129" s="173">
        <f t="shared" si="410"/>
        <v>4.7819103574478126</v>
      </c>
      <c r="EG129" s="173">
        <f t="shared" si="411"/>
        <v>0.11776626292067555</v>
      </c>
      <c r="EH129" s="173"/>
      <c r="EI129" s="528">
        <f t="shared" si="412"/>
        <v>0.20933333333333334</v>
      </c>
      <c r="EJ129" s="528">
        <f t="shared" si="413"/>
        <v>0.34503366666666674</v>
      </c>
      <c r="EK129" s="528">
        <f t="shared" si="414"/>
        <v>6.2145833333333332E-3</v>
      </c>
      <c r="EL129" s="528">
        <f t="shared" si="415"/>
        <v>5.9863341166666688E-3</v>
      </c>
      <c r="EM129">
        <f t="shared" si="416"/>
        <v>8.5500000000000003E-3</v>
      </c>
      <c r="EN129" s="460">
        <f t="shared" si="417"/>
        <v>14.764583333333334</v>
      </c>
      <c r="EP129" s="460">
        <f t="shared" si="439"/>
        <v>575.11791745000005</v>
      </c>
      <c r="EQ129" s="173">
        <f t="shared" si="418"/>
        <v>1.3299999999999998</v>
      </c>
      <c r="ER129" s="173">
        <f t="shared" si="419"/>
        <v>2.1078125E-2</v>
      </c>
      <c r="ES129" s="528"/>
      <c r="EU129" s="460">
        <f t="shared" si="420"/>
        <v>1351.078125</v>
      </c>
      <c r="EV129" s="528">
        <f t="shared" si="421"/>
        <v>0.314</v>
      </c>
      <c r="EW129" s="528">
        <f t="shared" si="422"/>
        <v>0.68599999999999994</v>
      </c>
      <c r="EX129" s="528">
        <f t="shared" si="423"/>
        <v>6.9344463411508405E-5</v>
      </c>
      <c r="EY129" s="528">
        <f t="shared" si="424"/>
        <v>0.27556560631299815</v>
      </c>
      <c r="EZ129" s="528"/>
      <c r="FA129" s="625">
        <f t="shared" si="425"/>
        <v>4.9716666666666676E-3</v>
      </c>
      <c r="FB129" s="460">
        <f t="shared" si="426"/>
        <v>1280.6066174430762</v>
      </c>
      <c r="FC129" s="173">
        <f t="shared" si="427"/>
        <v>3.2068026598930763</v>
      </c>
      <c r="FD129" s="5">
        <f t="shared" si="428"/>
        <v>28.88</v>
      </c>
      <c r="FE129" s="173">
        <f t="shared" si="429"/>
        <v>0.90005851645974622</v>
      </c>
      <c r="FF129" s="5">
        <f t="shared" si="430"/>
        <v>90.005851645974616</v>
      </c>
      <c r="FG129">
        <f t="shared" si="431"/>
        <v>19</v>
      </c>
      <c r="FI129" s="562">
        <f t="shared" si="432"/>
        <v>-50</v>
      </c>
      <c r="FJ129">
        <f t="shared" si="433"/>
        <v>-50</v>
      </c>
    </row>
    <row r="130" spans="5:166">
      <c r="E130" s="170">
        <v>20</v>
      </c>
      <c r="F130" s="217">
        <f t="shared" si="434"/>
        <v>2</v>
      </c>
      <c r="G130" s="217">
        <f t="shared" si="313"/>
        <v>0.05</v>
      </c>
      <c r="H130" s="217">
        <f t="shared" si="314"/>
        <v>30</v>
      </c>
      <c r="I130" s="217">
        <f t="shared" si="315"/>
        <v>0.4</v>
      </c>
      <c r="J130" s="541">
        <f t="shared" si="316"/>
        <v>18.723315016620045</v>
      </c>
      <c r="K130" s="443">
        <f t="shared" si="317"/>
        <v>15.848559966660831</v>
      </c>
      <c r="L130" s="172">
        <f t="shared" si="318"/>
        <v>34.571874983280878</v>
      </c>
      <c r="M130" s="443"/>
      <c r="N130" s="217">
        <f t="shared" si="319"/>
        <v>0.4584235010199843</v>
      </c>
      <c r="O130" s="172">
        <f t="shared" si="320"/>
        <v>211.75676695606103</v>
      </c>
      <c r="P130" s="172">
        <f t="shared" si="321"/>
        <v>2.8610692068730028</v>
      </c>
      <c r="Q130" s="217">
        <f t="shared" si="322"/>
        <v>14.117117797070735</v>
      </c>
      <c r="R130" s="217">
        <f t="shared" si="323"/>
        <v>26.469595869507629</v>
      </c>
      <c r="S130" s="217">
        <f t="shared" si="324"/>
        <v>15</v>
      </c>
      <c r="T130" s="217">
        <f t="shared" si="325"/>
        <v>7.0835988930226064</v>
      </c>
      <c r="U130" s="217">
        <f t="shared" si="326"/>
        <v>4.5399645650792531</v>
      </c>
      <c r="V130" s="217">
        <f t="shared" si="327"/>
        <v>5.3634643712163586</v>
      </c>
      <c r="W130" s="197">
        <f t="shared" si="328"/>
        <v>71.526730171825065</v>
      </c>
      <c r="X130" s="443">
        <f t="shared" si="435"/>
        <v>98.97629867099819</v>
      </c>
      <c r="Z130" s="217">
        <f t="shared" si="329"/>
        <v>10</v>
      </c>
      <c r="AA130" s="173">
        <f t="shared" si="330"/>
        <v>7.5716658328853255</v>
      </c>
      <c r="AB130" s="173">
        <f t="shared" si="331"/>
        <v>2.6722524620724464</v>
      </c>
      <c r="AC130" s="173"/>
      <c r="AD130" s="173">
        <f t="shared" si="332"/>
        <v>7.5716658328853255</v>
      </c>
      <c r="AE130" s="545">
        <f t="shared" si="333"/>
        <v>52.828533222202765</v>
      </c>
      <c r="AF130" s="528">
        <f t="shared" si="334"/>
        <v>2.7078824949000788</v>
      </c>
      <c r="AH130" s="173">
        <f t="shared" si="335"/>
        <v>3.804758924845367</v>
      </c>
      <c r="AI130" s="173">
        <f t="shared" si="336"/>
        <v>10</v>
      </c>
      <c r="AJ130" s="173">
        <f t="shared" si="337"/>
        <v>1.0301877332698302</v>
      </c>
      <c r="AL130" s="545">
        <f t="shared" si="338"/>
        <v>2000</v>
      </c>
      <c r="AM130" s="460">
        <f t="shared" si="339"/>
        <v>52.828533222202765</v>
      </c>
      <c r="AO130" s="460">
        <f t="shared" si="340"/>
        <v>2000</v>
      </c>
      <c r="AP130" s="460">
        <f t="shared" si="341"/>
        <v>52.828533222202765</v>
      </c>
      <c r="AR130" s="5">
        <f t="shared" si="275"/>
        <v>18.929164582213314</v>
      </c>
      <c r="AS130" s="5">
        <f t="shared" si="440"/>
        <v>6.4091214559750833</v>
      </c>
      <c r="AT130" s="5">
        <f t="shared" si="441"/>
        <v>12.520043126238232</v>
      </c>
      <c r="AU130" s="173">
        <f t="shared" si="442"/>
        <v>0.33858448576211225</v>
      </c>
      <c r="AW130" s="5">
        <f t="shared" si="342"/>
        <v>85.454952746334442</v>
      </c>
      <c r="AX130" s="5">
        <f t="shared" si="343"/>
        <v>4.0057009099844274</v>
      </c>
      <c r="AY130" s="5">
        <f t="shared" si="344"/>
        <v>6.9174549163885173</v>
      </c>
      <c r="AZ130" s="5"/>
      <c r="BA130" s="173">
        <f t="shared" si="345"/>
        <v>3.3594864972795682</v>
      </c>
      <c r="BB130" s="173">
        <f t="shared" si="346"/>
        <v>4.695442876654937</v>
      </c>
      <c r="BC130" s="173">
        <f t="shared" si="347"/>
        <v>0.11563678927605102</v>
      </c>
      <c r="BD130" s="173"/>
      <c r="BE130" s="528">
        <f t="shared" si="348"/>
        <v>0.22572299050807484</v>
      </c>
      <c r="BF130" s="528">
        <f t="shared" si="349"/>
        <v>0.34244652114526775</v>
      </c>
      <c r="BG130" s="528">
        <f t="shared" si="350"/>
        <v>2.4728131734631998E-2</v>
      </c>
      <c r="BH130" s="528">
        <f t="shared" si="351"/>
        <v>6.3141431026632784E-3</v>
      </c>
      <c r="BI130">
        <f t="shared" si="352"/>
        <v>8.4254917574790207E-3</v>
      </c>
      <c r="BJ130" s="460">
        <f t="shared" si="436"/>
        <v>33.153623492111016</v>
      </c>
      <c r="BK130">
        <f t="shared" si="353"/>
        <v>0.67143935148393952</v>
      </c>
      <c r="BL130" s="460">
        <f t="shared" si="437"/>
        <v>607.6372782481169</v>
      </c>
      <c r="BM130" s="173">
        <f t="shared" si="354"/>
        <v>1.2424999999999999</v>
      </c>
      <c r="BN130" s="173">
        <f t="shared" si="355"/>
        <v>3.1062499999999996E-2</v>
      </c>
      <c r="BO130" s="528"/>
      <c r="BQ130" s="460">
        <f t="shared" si="356"/>
        <v>1273.5625</v>
      </c>
      <c r="BR130" s="528">
        <f t="shared" si="357"/>
        <v>0.33858448576211225</v>
      </c>
      <c r="BS130" s="528">
        <f t="shared" si="358"/>
        <v>0.66141551423788758</v>
      </c>
      <c r="BT130" s="528">
        <f t="shared" si="359"/>
        <v>6.6859335170369138E-5</v>
      </c>
      <c r="BU130" s="528">
        <f t="shared" si="360"/>
        <v>0.3207313306999201</v>
      </c>
      <c r="BV130" s="528"/>
      <c r="BW130" s="625">
        <f t="shared" si="361"/>
        <v>5.2828533222202762E-3</v>
      </c>
      <c r="BX130" s="460">
        <f t="shared" si="362"/>
        <v>1326.0810433573104</v>
      </c>
      <c r="BY130" s="173">
        <f t="shared" si="363"/>
        <v>3.2072808216054276</v>
      </c>
      <c r="BZ130" s="5">
        <f t="shared" si="364"/>
        <v>30.4</v>
      </c>
      <c r="CA130" s="173">
        <f t="shared" si="365"/>
        <v>0.90456589336607274</v>
      </c>
      <c r="CB130" s="5">
        <f t="shared" si="366"/>
        <v>90.45658933660728</v>
      </c>
      <c r="CC130">
        <f t="shared" si="367"/>
        <v>20</v>
      </c>
      <c r="CE130" s="562">
        <f t="shared" si="368"/>
        <v>-50</v>
      </c>
      <c r="CF130">
        <f t="shared" si="369"/>
        <v>-50</v>
      </c>
      <c r="CG130" s="173">
        <f t="shared" si="370"/>
        <v>0.40387731196104976</v>
      </c>
      <c r="CH130" s="173">
        <f t="shared" si="371"/>
        <v>4.6536062312376641E-2</v>
      </c>
      <c r="CI130" s="170">
        <v>20</v>
      </c>
      <c r="CJ130" s="217">
        <f t="shared" si="438"/>
        <v>2</v>
      </c>
      <c r="CK130" s="217">
        <f t="shared" si="372"/>
        <v>0.05</v>
      </c>
      <c r="CL130" s="217">
        <f t="shared" si="373"/>
        <v>30</v>
      </c>
      <c r="CM130" s="217">
        <f t="shared" si="374"/>
        <v>0.4</v>
      </c>
      <c r="CN130" s="541">
        <f t="shared" si="375"/>
        <v>19</v>
      </c>
      <c r="CO130" s="443">
        <f t="shared" si="376"/>
        <v>15.7</v>
      </c>
      <c r="CP130" s="443">
        <f t="shared" si="377"/>
        <v>34.700000000000003</v>
      </c>
      <c r="CQ130" s="443"/>
      <c r="CR130" s="217">
        <f t="shared" si="378"/>
        <v>0.44767441860465118</v>
      </c>
      <c r="CS130" s="172">
        <f t="shared" si="379"/>
        <v>209.84738372093025</v>
      </c>
      <c r="CT130" s="172">
        <f t="shared" si="380"/>
        <v>2.835271317829458</v>
      </c>
      <c r="CU130" s="217">
        <f t="shared" si="381"/>
        <v>13.989825581395349</v>
      </c>
      <c r="CV130" s="217">
        <f t="shared" si="382"/>
        <v>26.230922965116282</v>
      </c>
      <c r="CW130" s="217">
        <f t="shared" si="383"/>
        <v>15</v>
      </c>
      <c r="CX130" s="217">
        <f t="shared" si="384"/>
        <v>7.1480519480519478</v>
      </c>
      <c r="CY130" s="217">
        <f t="shared" si="385"/>
        <v>4.5145591250854409</v>
      </c>
      <c r="CZ130" s="217">
        <f t="shared" si="386"/>
        <v>5.4634791959632727</v>
      </c>
      <c r="DA130" s="197">
        <f t="shared" si="387"/>
        <v>71.63784822286263</v>
      </c>
      <c r="DB130" s="443">
        <f t="shared" si="388"/>
        <v>100.22010016643209</v>
      </c>
      <c r="DD130" s="217">
        <f t="shared" si="389"/>
        <v>10.000000000000002</v>
      </c>
      <c r="DE130" s="173">
        <f t="shared" si="390"/>
        <v>7.6433121019108299</v>
      </c>
      <c r="DF130" s="173">
        <f t="shared" si="391"/>
        <v>2.7017291066282429</v>
      </c>
      <c r="DG130" s="173"/>
      <c r="DH130" s="173">
        <f t="shared" si="392"/>
        <v>7.6433121019108281</v>
      </c>
      <c r="DI130" s="545">
        <f t="shared" si="393"/>
        <v>52.333333333333336</v>
      </c>
      <c r="DJ130" s="528">
        <f t="shared" si="394"/>
        <v>2.7377521613832849</v>
      </c>
      <c r="DL130" s="173">
        <f t="shared" si="395"/>
        <v>3.804758924845367</v>
      </c>
      <c r="DM130" s="173">
        <f t="shared" si="396"/>
        <v>10</v>
      </c>
      <c r="DN130" s="173">
        <f t="shared" si="397"/>
        <v>1.0299047619047619</v>
      </c>
      <c r="DP130" s="545">
        <f t="shared" si="398"/>
        <v>2000</v>
      </c>
      <c r="DQ130" s="460">
        <f t="shared" si="399"/>
        <v>52.333333333333336</v>
      </c>
      <c r="DS130" s="460">
        <f t="shared" si="400"/>
        <v>2000</v>
      </c>
      <c r="DT130" s="460">
        <f t="shared" si="401"/>
        <v>52.333333333333336</v>
      </c>
      <c r="DV130" s="5">
        <f t="shared" si="402"/>
        <v>19.108280254777068</v>
      </c>
      <c r="DW130" s="5">
        <f t="shared" si="403"/>
        <v>6.3157894736842106</v>
      </c>
      <c r="DX130" s="5">
        <f t="shared" si="404"/>
        <v>12.792490781092857</v>
      </c>
      <c r="DY130" s="173">
        <f t="shared" si="405"/>
        <v>0.33052631578947372</v>
      </c>
      <c r="EA130" s="5">
        <f t="shared" si="406"/>
        <v>84.210526315789465</v>
      </c>
      <c r="EB130" s="5">
        <f t="shared" si="407"/>
        <v>3.9473684210526319</v>
      </c>
      <c r="EC130" s="5">
        <f t="shared" si="408"/>
        <v>6.9650585015024626</v>
      </c>
      <c r="ED130" s="5"/>
      <c r="EE130" s="173">
        <f t="shared" si="409"/>
        <v>3.3192685729915143</v>
      </c>
      <c r="EF130" s="173">
        <f t="shared" si="410"/>
        <v>4.7239590889088152</v>
      </c>
      <c r="EG130" s="173">
        <f t="shared" si="411"/>
        <v>0.11633907089547987</v>
      </c>
      <c r="EH130" s="173"/>
      <c r="EI130" s="528">
        <f t="shared" si="412"/>
        <v>0.22035087719298246</v>
      </c>
      <c r="EJ130" s="528">
        <f t="shared" si="413"/>
        <v>0.36319333333333337</v>
      </c>
      <c r="EK130" s="528">
        <f t="shared" si="414"/>
        <v>6.541666666666667E-3</v>
      </c>
      <c r="EL130" s="528">
        <f t="shared" si="415"/>
        <v>6.3014043333333349E-3</v>
      </c>
      <c r="EM130">
        <f t="shared" si="416"/>
        <v>8.5500000000000003E-3</v>
      </c>
      <c r="EN130" s="460">
        <f t="shared" si="417"/>
        <v>15.091666666666667</v>
      </c>
      <c r="EP130" s="460">
        <f t="shared" si="439"/>
        <v>604.93728152631581</v>
      </c>
      <c r="EQ130" s="173">
        <f t="shared" si="418"/>
        <v>1.4</v>
      </c>
      <c r="ER130" s="173">
        <f t="shared" si="419"/>
        <v>2.2187499999999999E-2</v>
      </c>
      <c r="ES130" s="528"/>
      <c r="EU130" s="460">
        <f t="shared" si="420"/>
        <v>1422.1875</v>
      </c>
      <c r="EV130" s="528">
        <f t="shared" si="421"/>
        <v>0.33052631578947367</v>
      </c>
      <c r="EW130" s="528">
        <f t="shared" si="422"/>
        <v>0.66947368421052611</v>
      </c>
      <c r="EX130" s="528">
        <f t="shared" si="423"/>
        <v>6.7673897084117468E-5</v>
      </c>
      <c r="EY130" s="528">
        <f t="shared" si="424"/>
        <v>0.31326797413446666</v>
      </c>
      <c r="EZ130" s="528"/>
      <c r="FA130" s="625">
        <f t="shared" si="425"/>
        <v>5.2333333333333338E-3</v>
      </c>
      <c r="FB130" s="460">
        <f t="shared" si="426"/>
        <v>1318.5689813648839</v>
      </c>
      <c r="FC130" s="173">
        <f t="shared" si="427"/>
        <v>3.3456937628911989</v>
      </c>
      <c r="FD130" s="5">
        <f t="shared" si="428"/>
        <v>30.4</v>
      </c>
      <c r="FE130" s="173">
        <f t="shared" si="429"/>
        <v>0.9008556829087826</v>
      </c>
      <c r="FF130" s="5">
        <f t="shared" si="430"/>
        <v>90.085568290878257</v>
      </c>
      <c r="FG130">
        <f t="shared" si="431"/>
        <v>20</v>
      </c>
      <c r="FI130" s="562">
        <f t="shared" si="432"/>
        <v>-50</v>
      </c>
      <c r="FJ130">
        <f t="shared" si="433"/>
        <v>-50</v>
      </c>
    </row>
    <row r="131" spans="5:166">
      <c r="E131" s="170">
        <v>21</v>
      </c>
      <c r="F131" s="217">
        <f t="shared" si="434"/>
        <v>2.1</v>
      </c>
      <c r="G131" s="217">
        <f t="shared" si="313"/>
        <v>5.2499999999999998E-2</v>
      </c>
      <c r="H131" s="217">
        <f t="shared" si="314"/>
        <v>31.5</v>
      </c>
      <c r="I131" s="217">
        <f t="shared" si="315"/>
        <v>0.42</v>
      </c>
      <c r="J131" s="541">
        <f t="shared" si="316"/>
        <v>18.723315016620045</v>
      </c>
      <c r="K131" s="443">
        <f t="shared" si="317"/>
        <v>15.848559966660831</v>
      </c>
      <c r="L131" s="172">
        <f t="shared" si="318"/>
        <v>34.571874983280878</v>
      </c>
      <c r="M131" s="443"/>
      <c r="N131" s="217">
        <f t="shared" si="319"/>
        <v>0.4584235010199843</v>
      </c>
      <c r="O131" s="172">
        <f t="shared" si="320"/>
        <v>211.75676695606103</v>
      </c>
      <c r="P131" s="172">
        <f t="shared" si="321"/>
        <v>2.8610692068730028</v>
      </c>
      <c r="Q131" s="217">
        <f t="shared" si="322"/>
        <v>14.117117797070735</v>
      </c>
      <c r="R131" s="217">
        <f t="shared" si="323"/>
        <v>26.469595869507629</v>
      </c>
      <c r="S131" s="217">
        <f t="shared" si="324"/>
        <v>15</v>
      </c>
      <c r="T131" s="217">
        <f t="shared" si="325"/>
        <v>7.4377788376737382</v>
      </c>
      <c r="U131" s="217">
        <f t="shared" si="326"/>
        <v>4.7669627933332173</v>
      </c>
      <c r="V131" s="217">
        <f t="shared" si="327"/>
        <v>5.6316375897771769</v>
      </c>
      <c r="W131" s="197">
        <f t="shared" si="328"/>
        <v>71.526730171825065</v>
      </c>
      <c r="X131" s="443">
        <f t="shared" si="435"/>
        <v>94.352080826971218</v>
      </c>
      <c r="Z131" s="217">
        <f t="shared" si="329"/>
        <v>10</v>
      </c>
      <c r="AA131" s="173">
        <f t="shared" si="330"/>
        <v>7.5716658328853255</v>
      </c>
      <c r="AB131" s="173">
        <f t="shared" si="331"/>
        <v>2.6722524620724464</v>
      </c>
      <c r="AC131" s="173"/>
      <c r="AD131" s="173">
        <f t="shared" si="332"/>
        <v>7.5716658328853255</v>
      </c>
      <c r="AE131" s="545">
        <f t="shared" si="333"/>
        <v>55.469959883312903</v>
      </c>
      <c r="AF131" s="528">
        <f t="shared" si="334"/>
        <v>2.7078824949000788</v>
      </c>
      <c r="AH131" s="173">
        <f t="shared" si="335"/>
        <v>3.8987177379235853</v>
      </c>
      <c r="AI131" s="173">
        <f t="shared" si="336"/>
        <v>10</v>
      </c>
      <c r="AJ131" s="173">
        <f t="shared" si="337"/>
        <v>1.0316971199333216</v>
      </c>
      <c r="AL131" s="545">
        <f t="shared" si="338"/>
        <v>2100</v>
      </c>
      <c r="AM131" s="460">
        <f t="shared" si="339"/>
        <v>55.469959883312903</v>
      </c>
      <c r="AO131" s="460">
        <f t="shared" si="340"/>
        <v>2100</v>
      </c>
      <c r="AP131" s="460">
        <f t="shared" si="341"/>
        <v>55.469959883312903</v>
      </c>
      <c r="AR131" s="5">
        <f t="shared" si="275"/>
        <v>18.027775792584109</v>
      </c>
      <c r="AS131" s="5">
        <f t="shared" si="440"/>
        <v>6.4091214559750833</v>
      </c>
      <c r="AT131" s="5">
        <f t="shared" si="441"/>
        <v>11.618654336609026</v>
      </c>
      <c r="AU131" s="173">
        <f t="shared" si="442"/>
        <v>0.35551371005021787</v>
      </c>
      <c r="AW131" s="5">
        <f t="shared" si="342"/>
        <v>89.727700383651168</v>
      </c>
      <c r="AX131" s="5">
        <f t="shared" si="343"/>
        <v>4.2059859554836478</v>
      </c>
      <c r="AY131" s="5">
        <f t="shared" si="344"/>
        <v>6.7403995808823094</v>
      </c>
      <c r="AZ131" s="5"/>
      <c r="BA131" s="173">
        <f t="shared" si="345"/>
        <v>3.4424492736529801</v>
      </c>
      <c r="BB131" s="173">
        <f t="shared" si="346"/>
        <v>4.6349623872971621</v>
      </c>
      <c r="BC131" s="173">
        <f t="shared" si="347"/>
        <v>0.11414730898912229</v>
      </c>
      <c r="BD131" s="173"/>
      <c r="BE131" s="528">
        <f t="shared" si="348"/>
        <v>0.23700914003347862</v>
      </c>
      <c r="BF131" s="528">
        <f t="shared" si="349"/>
        <v>0.35956884720253113</v>
      </c>
      <c r="BG131" s="528">
        <f t="shared" si="350"/>
        <v>2.5964538321363598E-2</v>
      </c>
      <c r="BH131" s="528">
        <f t="shared" si="351"/>
        <v>6.6298502577964427E-3</v>
      </c>
      <c r="BI131">
        <f t="shared" si="352"/>
        <v>8.4254917574790207E-3</v>
      </c>
      <c r="BJ131" s="460">
        <f t="shared" si="436"/>
        <v>34.390030078842614</v>
      </c>
      <c r="BK131">
        <f t="shared" si="353"/>
        <v>0.70701468609864893</v>
      </c>
      <c r="BL131" s="460">
        <f t="shared" si="437"/>
        <v>637.59786757264874</v>
      </c>
      <c r="BM131" s="173">
        <f t="shared" si="354"/>
        <v>1.3046249999999999</v>
      </c>
      <c r="BN131" s="173">
        <f t="shared" si="355"/>
        <v>3.2615624999999995E-2</v>
      </c>
      <c r="BO131" s="528"/>
      <c r="BQ131" s="460">
        <f t="shared" si="356"/>
        <v>1337.2406249999999</v>
      </c>
      <c r="BR131" s="528">
        <f t="shared" si="357"/>
        <v>0.35551371005021792</v>
      </c>
      <c r="BS131" s="528">
        <f t="shared" si="358"/>
        <v>0.64448628994978219</v>
      </c>
      <c r="BT131" s="528">
        <f t="shared" si="359"/>
        <v>6.5148040747290789E-5</v>
      </c>
      <c r="BU131" s="528">
        <f t="shared" si="360"/>
        <v>0.36233862656480181</v>
      </c>
      <c r="BV131" s="528"/>
      <c r="BW131" s="625">
        <f t="shared" si="361"/>
        <v>5.5469959883312908E-3</v>
      </c>
      <c r="BX131" s="460">
        <f t="shared" si="362"/>
        <v>1367.9507705938802</v>
      </c>
      <c r="BY131" s="173">
        <f t="shared" si="363"/>
        <v>3.3427892631665288</v>
      </c>
      <c r="BZ131" s="5">
        <f t="shared" si="364"/>
        <v>31.92</v>
      </c>
      <c r="CA131" s="173">
        <f t="shared" si="365"/>
        <v>0.90520349260464728</v>
      </c>
      <c r="CB131" s="5">
        <f t="shared" si="366"/>
        <v>90.520349260464727</v>
      </c>
      <c r="CC131">
        <f t="shared" si="367"/>
        <v>21.000000000000004</v>
      </c>
      <c r="CE131" s="562">
        <f t="shared" si="368"/>
        <v>-50</v>
      </c>
      <c r="CF131">
        <f t="shared" si="369"/>
        <v>-50</v>
      </c>
      <c r="CG131" s="173">
        <f t="shared" si="370"/>
        <v>0.42407117755910229</v>
      </c>
      <c r="CH131" s="173">
        <f t="shared" si="371"/>
        <v>4.8862865427995478E-2</v>
      </c>
      <c r="CI131" s="170">
        <v>21</v>
      </c>
      <c r="CJ131" s="217">
        <f t="shared" si="438"/>
        <v>2.1</v>
      </c>
      <c r="CK131" s="217">
        <f t="shared" si="372"/>
        <v>5.2499999999999998E-2</v>
      </c>
      <c r="CL131" s="217">
        <f t="shared" si="373"/>
        <v>31.5</v>
      </c>
      <c r="CM131" s="217">
        <f t="shared" si="374"/>
        <v>0.42</v>
      </c>
      <c r="CN131" s="541">
        <f t="shared" si="375"/>
        <v>19</v>
      </c>
      <c r="CO131" s="443">
        <f t="shared" si="376"/>
        <v>15.7</v>
      </c>
      <c r="CP131" s="443">
        <f t="shared" si="377"/>
        <v>34.700000000000003</v>
      </c>
      <c r="CQ131" s="443"/>
      <c r="CR131" s="217">
        <f t="shared" si="378"/>
        <v>0.44767441860465118</v>
      </c>
      <c r="CS131" s="172">
        <f t="shared" si="379"/>
        <v>209.84738372093025</v>
      </c>
      <c r="CT131" s="172">
        <f t="shared" si="380"/>
        <v>2.835271317829458</v>
      </c>
      <c r="CU131" s="217">
        <f t="shared" si="381"/>
        <v>13.989825581395349</v>
      </c>
      <c r="CV131" s="217">
        <f t="shared" si="382"/>
        <v>26.230922965116282</v>
      </c>
      <c r="CW131" s="217">
        <f t="shared" si="383"/>
        <v>15</v>
      </c>
      <c r="CX131" s="217">
        <f t="shared" si="384"/>
        <v>7.5054545454545458</v>
      </c>
      <c r="CY131" s="217">
        <f t="shared" si="385"/>
        <v>4.7402870813397131</v>
      </c>
      <c r="CZ131" s="217">
        <f t="shared" si="386"/>
        <v>5.7366531557614371</v>
      </c>
      <c r="DA131" s="197">
        <f t="shared" si="387"/>
        <v>71.63784822286263</v>
      </c>
      <c r="DB131" s="443">
        <f t="shared" si="388"/>
        <v>95.447714444221035</v>
      </c>
      <c r="DD131" s="217">
        <f t="shared" si="389"/>
        <v>10.000000000000002</v>
      </c>
      <c r="DE131" s="173">
        <f t="shared" si="390"/>
        <v>7.6433121019108299</v>
      </c>
      <c r="DF131" s="173">
        <f t="shared" si="391"/>
        <v>2.7017291066282429</v>
      </c>
      <c r="DG131" s="173"/>
      <c r="DH131" s="173">
        <f t="shared" si="392"/>
        <v>7.6433121019108281</v>
      </c>
      <c r="DI131" s="545">
        <f t="shared" si="393"/>
        <v>54.95000000000001</v>
      </c>
      <c r="DJ131" s="528">
        <f t="shared" si="394"/>
        <v>2.7377521613832849</v>
      </c>
      <c r="DL131" s="173">
        <f t="shared" si="395"/>
        <v>3.8987177379235853</v>
      </c>
      <c r="DM131" s="173">
        <f t="shared" si="396"/>
        <v>10</v>
      </c>
      <c r="DN131" s="173">
        <f t="shared" si="397"/>
        <v>1.0314000000000001</v>
      </c>
      <c r="DP131" s="545">
        <f t="shared" si="398"/>
        <v>2100</v>
      </c>
      <c r="DQ131" s="460">
        <f t="shared" si="399"/>
        <v>54.95000000000001</v>
      </c>
      <c r="DS131" s="460">
        <f t="shared" si="400"/>
        <v>2100</v>
      </c>
      <c r="DT131" s="460">
        <f t="shared" si="401"/>
        <v>54.95000000000001</v>
      </c>
      <c r="DV131" s="5">
        <f t="shared" si="402"/>
        <v>18.198362147406733</v>
      </c>
      <c r="DW131" s="5">
        <f t="shared" si="403"/>
        <v>6.3157894736842106</v>
      </c>
      <c r="DX131" s="5">
        <f t="shared" si="404"/>
        <v>11.882572673722523</v>
      </c>
      <c r="DY131" s="173">
        <f t="shared" si="405"/>
        <v>0.34705263157894739</v>
      </c>
      <c r="EA131" s="5">
        <f t="shared" si="406"/>
        <v>88.421052631578959</v>
      </c>
      <c r="EB131" s="5">
        <f t="shared" si="407"/>
        <v>4.1447368421052628</v>
      </c>
      <c r="EC131" s="5">
        <f t="shared" si="408"/>
        <v>6.7931223089339277</v>
      </c>
      <c r="ED131" s="5"/>
      <c r="EE131" s="173">
        <f t="shared" si="409"/>
        <v>3.4012381646441021</v>
      </c>
      <c r="EF131" s="173">
        <f t="shared" si="410"/>
        <v>4.6652880169076116</v>
      </c>
      <c r="EG131" s="173">
        <f t="shared" si="411"/>
        <v>0.11489415194580316</v>
      </c>
      <c r="EH131" s="173"/>
      <c r="EI131" s="528">
        <f t="shared" si="412"/>
        <v>0.23136842105263161</v>
      </c>
      <c r="EJ131" s="528">
        <f t="shared" si="413"/>
        <v>0.38135300000000011</v>
      </c>
      <c r="EK131" s="528">
        <f t="shared" si="414"/>
        <v>6.8687500000000007E-3</v>
      </c>
      <c r="EL131" s="528">
        <f t="shared" si="415"/>
        <v>6.6164745500000028E-3</v>
      </c>
      <c r="EM131">
        <f t="shared" si="416"/>
        <v>8.5500000000000003E-3</v>
      </c>
      <c r="EN131" s="460">
        <f t="shared" si="417"/>
        <v>15.418750000000001</v>
      </c>
      <c r="EP131" s="460">
        <f t="shared" si="439"/>
        <v>634.75664560263169</v>
      </c>
      <c r="EQ131" s="173">
        <f t="shared" si="418"/>
        <v>1.47</v>
      </c>
      <c r="ER131" s="173">
        <f t="shared" si="419"/>
        <v>2.3296874999999998E-2</v>
      </c>
      <c r="ES131" s="528"/>
      <c r="EU131" s="460">
        <f t="shared" si="420"/>
        <v>1493.296875</v>
      </c>
      <c r="EV131" s="528">
        <f t="shared" si="421"/>
        <v>0.34705263157894739</v>
      </c>
      <c r="EW131" s="528">
        <f t="shared" si="422"/>
        <v>0.65294736842105261</v>
      </c>
      <c r="EX131" s="528">
        <f t="shared" si="423"/>
        <v>6.6003330756726517E-5</v>
      </c>
      <c r="EY131" s="528">
        <f t="shared" si="424"/>
        <v>0.35390707620273343</v>
      </c>
      <c r="EZ131" s="528"/>
      <c r="FA131" s="625">
        <f t="shared" si="425"/>
        <v>5.4950000000000016E-3</v>
      </c>
      <c r="FB131" s="460">
        <f t="shared" si="426"/>
        <v>1359.46807953349</v>
      </c>
      <c r="FC131" s="173">
        <f t="shared" si="427"/>
        <v>3.4875216001361222</v>
      </c>
      <c r="FD131" s="5">
        <f t="shared" si="428"/>
        <v>31.92</v>
      </c>
      <c r="FE131" s="173">
        <f t="shared" si="429"/>
        <v>0.90150336870449832</v>
      </c>
      <c r="FF131" s="5">
        <f t="shared" si="430"/>
        <v>90.150336870449834</v>
      </c>
      <c r="FG131">
        <f t="shared" si="431"/>
        <v>21.000000000000004</v>
      </c>
      <c r="FI131" s="562">
        <f t="shared" si="432"/>
        <v>-50</v>
      </c>
      <c r="FJ131">
        <f t="shared" si="433"/>
        <v>-50</v>
      </c>
    </row>
    <row r="132" spans="5:166">
      <c r="E132" s="170">
        <v>22</v>
      </c>
      <c r="F132" s="217">
        <f t="shared" si="434"/>
        <v>2.2000000000000002</v>
      </c>
      <c r="G132" s="217">
        <f t="shared" si="313"/>
        <v>5.5E-2</v>
      </c>
      <c r="H132" s="217">
        <f t="shared" si="314"/>
        <v>33</v>
      </c>
      <c r="I132" s="217">
        <f t="shared" si="315"/>
        <v>0.44</v>
      </c>
      <c r="J132" s="541">
        <f t="shared" si="316"/>
        <v>18.723315016620045</v>
      </c>
      <c r="K132" s="443">
        <f t="shared" si="317"/>
        <v>15.848559966660831</v>
      </c>
      <c r="L132" s="172">
        <f t="shared" si="318"/>
        <v>34.571874983280878</v>
      </c>
      <c r="M132" s="443"/>
      <c r="N132" s="217">
        <f t="shared" si="319"/>
        <v>0.4584235010199843</v>
      </c>
      <c r="O132" s="172">
        <f t="shared" si="320"/>
        <v>211.75676695606103</v>
      </c>
      <c r="P132" s="172">
        <f t="shared" si="321"/>
        <v>2.8610692068730028</v>
      </c>
      <c r="Q132" s="217">
        <f t="shared" si="322"/>
        <v>14.117117797070735</v>
      </c>
      <c r="R132" s="217">
        <f t="shared" si="323"/>
        <v>26.469595869507629</v>
      </c>
      <c r="S132" s="217">
        <f t="shared" si="324"/>
        <v>15</v>
      </c>
      <c r="T132" s="217">
        <f t="shared" si="325"/>
        <v>7.7919587823248673</v>
      </c>
      <c r="U132" s="217">
        <f t="shared" si="326"/>
        <v>4.9939610215871788</v>
      </c>
      <c r="V132" s="217">
        <f t="shared" si="327"/>
        <v>5.8998108083379934</v>
      </c>
      <c r="W132" s="197">
        <f t="shared" si="328"/>
        <v>71.526730171825065</v>
      </c>
      <c r="X132" s="443">
        <f t="shared" si="435"/>
        <v>90.140667694509915</v>
      </c>
      <c r="Z132" s="217">
        <f t="shared" si="329"/>
        <v>10</v>
      </c>
      <c r="AA132" s="173">
        <f t="shared" si="330"/>
        <v>7.5716658328853255</v>
      </c>
      <c r="AB132" s="173">
        <f t="shared" si="331"/>
        <v>2.6722524620724464</v>
      </c>
      <c r="AC132" s="173"/>
      <c r="AD132" s="173">
        <f t="shared" si="332"/>
        <v>7.5716658328853255</v>
      </c>
      <c r="AE132" s="545">
        <f t="shared" si="333"/>
        <v>58.111386544423048</v>
      </c>
      <c r="AF132" s="528">
        <f t="shared" si="334"/>
        <v>2.7078824949000788</v>
      </c>
      <c r="AH132" s="173">
        <f t="shared" si="335"/>
        <v>3.990464825532174</v>
      </c>
      <c r="AI132" s="173">
        <f t="shared" si="336"/>
        <v>10</v>
      </c>
      <c r="AJ132" s="173">
        <f t="shared" si="337"/>
        <v>1.0332065065968132</v>
      </c>
      <c r="AL132" s="545">
        <f t="shared" si="338"/>
        <v>2200</v>
      </c>
      <c r="AM132" s="460">
        <f t="shared" si="339"/>
        <v>58.111386544423048</v>
      </c>
      <c r="AO132" s="460">
        <f t="shared" si="340"/>
        <v>2200</v>
      </c>
      <c r="AP132" s="460">
        <f t="shared" si="341"/>
        <v>58.111386544423048</v>
      </c>
      <c r="AR132" s="5">
        <f t="shared" si="275"/>
        <v>17.20833143837574</v>
      </c>
      <c r="AS132" s="5">
        <f t="shared" si="440"/>
        <v>6.4091214559750833</v>
      </c>
      <c r="AT132" s="5">
        <f t="shared" si="441"/>
        <v>10.799209982400658</v>
      </c>
      <c r="AU132" s="173">
        <f t="shared" si="442"/>
        <v>0.37244293433832348</v>
      </c>
      <c r="AW132" s="5">
        <f t="shared" si="342"/>
        <v>94.000448020967909</v>
      </c>
      <c r="AX132" s="5">
        <f t="shared" si="343"/>
        <v>4.4062710009828701</v>
      </c>
      <c r="AY132" s="5">
        <f t="shared" si="344"/>
        <v>6.5633442453761015</v>
      </c>
      <c r="AZ132" s="5"/>
      <c r="BA132" s="173">
        <f t="shared" si="345"/>
        <v>3.523459163654961</v>
      </c>
      <c r="BB132" s="173">
        <f t="shared" si="346"/>
        <v>4.5736821987747698</v>
      </c>
      <c r="BC132" s="173">
        <f t="shared" si="347"/>
        <v>0.11263813415021787</v>
      </c>
      <c r="BD132" s="173"/>
      <c r="BE132" s="528">
        <f t="shared" si="348"/>
        <v>0.24829528955888236</v>
      </c>
      <c r="BF132" s="528">
        <f t="shared" si="349"/>
        <v>0.37669117325979451</v>
      </c>
      <c r="BG132" s="528">
        <f t="shared" si="350"/>
        <v>2.7200944908095201E-2</v>
      </c>
      <c r="BH132" s="528">
        <f t="shared" si="351"/>
        <v>6.9455574129296078E-3</v>
      </c>
      <c r="BI132">
        <f t="shared" si="352"/>
        <v>8.4254917574790207E-3</v>
      </c>
      <c r="BJ132" s="460">
        <f t="shared" si="436"/>
        <v>35.626436665574218</v>
      </c>
      <c r="BK132">
        <f t="shared" si="353"/>
        <v>0.74279277930980858</v>
      </c>
      <c r="BL132" s="460">
        <f t="shared" si="437"/>
        <v>667.55845689718058</v>
      </c>
      <c r="BM132" s="173">
        <f t="shared" si="354"/>
        <v>1.3667499999999999</v>
      </c>
      <c r="BN132" s="173">
        <f t="shared" si="355"/>
        <v>3.4168749999999998E-2</v>
      </c>
      <c r="BO132" s="528"/>
      <c r="BQ132" s="460">
        <f t="shared" si="356"/>
        <v>1400.91875</v>
      </c>
      <c r="BR132" s="528">
        <f t="shared" si="357"/>
        <v>0.37244293433832354</v>
      </c>
      <c r="BS132" s="528">
        <f t="shared" si="358"/>
        <v>0.62755706566167635</v>
      </c>
      <c r="BT132" s="528">
        <f t="shared" si="359"/>
        <v>6.3436746324212385E-5</v>
      </c>
      <c r="BU132" s="528">
        <f t="shared" si="360"/>
        <v>0.40702688760339051</v>
      </c>
      <c r="BV132" s="528"/>
      <c r="BW132" s="625">
        <f t="shared" si="361"/>
        <v>5.8111386544423054E-3</v>
      </c>
      <c r="BX132" s="460">
        <f t="shared" si="362"/>
        <v>1412.901463004157</v>
      </c>
      <c r="BY132" s="173">
        <f t="shared" si="363"/>
        <v>3.4813786699013378</v>
      </c>
      <c r="BZ132" s="5">
        <f t="shared" si="364"/>
        <v>33.44</v>
      </c>
      <c r="CA132" s="173">
        <f t="shared" si="365"/>
        <v>0.90570832413851887</v>
      </c>
      <c r="CB132" s="5">
        <f t="shared" si="366"/>
        <v>90.570832413851889</v>
      </c>
      <c r="CC132">
        <f t="shared" si="367"/>
        <v>22.000000000000004</v>
      </c>
      <c r="CE132" s="562">
        <f t="shared" si="368"/>
        <v>-50</v>
      </c>
      <c r="CF132">
        <f t="shared" si="369"/>
        <v>-50</v>
      </c>
      <c r="CG132" s="173">
        <f t="shared" si="370"/>
        <v>0.44426504315715482</v>
      </c>
      <c r="CH132" s="173">
        <f t="shared" si="371"/>
        <v>5.1189668543614307E-2</v>
      </c>
      <c r="CI132" s="170">
        <v>22</v>
      </c>
      <c r="CJ132" s="217">
        <f t="shared" si="438"/>
        <v>2.2000000000000002</v>
      </c>
      <c r="CK132" s="217">
        <f t="shared" si="372"/>
        <v>5.5E-2</v>
      </c>
      <c r="CL132" s="217">
        <f t="shared" si="373"/>
        <v>33</v>
      </c>
      <c r="CM132" s="217">
        <f t="shared" si="374"/>
        <v>0.44</v>
      </c>
      <c r="CN132" s="541">
        <f t="shared" si="375"/>
        <v>19</v>
      </c>
      <c r="CO132" s="443">
        <f t="shared" si="376"/>
        <v>15.7</v>
      </c>
      <c r="CP132" s="443">
        <f t="shared" si="377"/>
        <v>34.700000000000003</v>
      </c>
      <c r="CQ132" s="443"/>
      <c r="CR132" s="217">
        <f t="shared" si="378"/>
        <v>0.44767441860465118</v>
      </c>
      <c r="CS132" s="172">
        <f t="shared" si="379"/>
        <v>209.84738372093025</v>
      </c>
      <c r="CT132" s="172">
        <f t="shared" si="380"/>
        <v>2.835271317829458</v>
      </c>
      <c r="CU132" s="217">
        <f t="shared" si="381"/>
        <v>13.989825581395349</v>
      </c>
      <c r="CV132" s="217">
        <f t="shared" si="382"/>
        <v>26.230922965116282</v>
      </c>
      <c r="CW132" s="217">
        <f t="shared" si="383"/>
        <v>15</v>
      </c>
      <c r="CX132" s="217">
        <f t="shared" si="384"/>
        <v>7.8628571428571421</v>
      </c>
      <c r="CY132" s="217">
        <f t="shared" si="385"/>
        <v>4.9660150375939853</v>
      </c>
      <c r="CZ132" s="217">
        <f t="shared" si="386"/>
        <v>6.0098271155595997</v>
      </c>
      <c r="DA132" s="197">
        <f t="shared" si="387"/>
        <v>71.63784822286263</v>
      </c>
      <c r="DB132" s="443">
        <f t="shared" si="388"/>
        <v>91.109181969483714</v>
      </c>
      <c r="DD132" s="217">
        <f t="shared" si="389"/>
        <v>10.000000000000002</v>
      </c>
      <c r="DE132" s="173">
        <f t="shared" si="390"/>
        <v>7.6433121019108299</v>
      </c>
      <c r="DF132" s="173">
        <f t="shared" si="391"/>
        <v>2.7017291066282429</v>
      </c>
      <c r="DG132" s="173"/>
      <c r="DH132" s="173">
        <f t="shared" si="392"/>
        <v>7.6433121019108281</v>
      </c>
      <c r="DI132" s="545">
        <f t="shared" si="393"/>
        <v>57.566666666666677</v>
      </c>
      <c r="DJ132" s="528">
        <f t="shared" si="394"/>
        <v>2.7377521613832849</v>
      </c>
      <c r="DL132" s="173">
        <f t="shared" si="395"/>
        <v>3.990464825532174</v>
      </c>
      <c r="DM132" s="173">
        <f t="shared" si="396"/>
        <v>10</v>
      </c>
      <c r="DN132" s="173">
        <f t="shared" si="397"/>
        <v>1.0328952380952381</v>
      </c>
      <c r="DP132" s="545">
        <f t="shared" si="398"/>
        <v>2200</v>
      </c>
      <c r="DQ132" s="460">
        <f t="shared" si="399"/>
        <v>57.566666666666677</v>
      </c>
      <c r="DS132" s="460">
        <f t="shared" si="400"/>
        <v>2200</v>
      </c>
      <c r="DT132" s="460">
        <f t="shared" si="401"/>
        <v>57.566666666666677</v>
      </c>
      <c r="DV132" s="5">
        <f t="shared" si="402"/>
        <v>17.371163867979153</v>
      </c>
      <c r="DW132" s="5">
        <f t="shared" si="403"/>
        <v>6.3157894736842106</v>
      </c>
      <c r="DX132" s="5">
        <f t="shared" si="404"/>
        <v>11.055374394294942</v>
      </c>
      <c r="DY132" s="173">
        <f t="shared" si="405"/>
        <v>0.36357894736842111</v>
      </c>
      <c r="EA132" s="5">
        <f t="shared" si="406"/>
        <v>92.631578947368425</v>
      </c>
      <c r="EB132" s="5">
        <f t="shared" si="407"/>
        <v>4.3421052631578956</v>
      </c>
      <c r="EC132" s="5">
        <f t="shared" si="408"/>
        <v>6.6211861163653909</v>
      </c>
      <c r="ED132" s="5"/>
      <c r="EE132" s="173">
        <f t="shared" si="409"/>
        <v>3.4812782488066132</v>
      </c>
      <c r="EF132" s="173">
        <f t="shared" si="410"/>
        <v>4.6058696342514187</v>
      </c>
      <c r="EG132" s="173">
        <f t="shared" si="411"/>
        <v>0.11343082863960358</v>
      </c>
      <c r="EH132" s="173"/>
      <c r="EI132" s="528">
        <f t="shared" si="412"/>
        <v>0.24238596491228082</v>
      </c>
      <c r="EJ132" s="528">
        <f t="shared" si="413"/>
        <v>0.39951266666666679</v>
      </c>
      <c r="EK132" s="528">
        <f t="shared" si="414"/>
        <v>7.1958333333333345E-3</v>
      </c>
      <c r="EL132" s="528">
        <f t="shared" si="415"/>
        <v>6.9315447666666698E-3</v>
      </c>
      <c r="EM132">
        <f t="shared" si="416"/>
        <v>8.5500000000000003E-3</v>
      </c>
      <c r="EN132" s="460">
        <f t="shared" si="417"/>
        <v>15.745833333333334</v>
      </c>
      <c r="EP132" s="460">
        <f t="shared" si="439"/>
        <v>664.57600967894757</v>
      </c>
      <c r="EQ132" s="173">
        <f t="shared" si="418"/>
        <v>1.54</v>
      </c>
      <c r="ER132" s="173">
        <f t="shared" si="419"/>
        <v>2.4406249999999997E-2</v>
      </c>
      <c r="ES132" s="528"/>
      <c r="EU132" s="460">
        <f t="shared" si="420"/>
        <v>1564.40625</v>
      </c>
      <c r="EV132" s="528">
        <f t="shared" si="421"/>
        <v>0.36357894736842117</v>
      </c>
      <c r="EW132" s="528">
        <f t="shared" si="422"/>
        <v>0.63642105263157889</v>
      </c>
      <c r="EX132" s="528">
        <f t="shared" si="423"/>
        <v>6.4332764429335553E-5</v>
      </c>
      <c r="EY132" s="528">
        <f t="shared" si="424"/>
        <v>0.39755544997588593</v>
      </c>
      <c r="EZ132" s="528"/>
      <c r="FA132" s="625">
        <f t="shared" si="425"/>
        <v>5.7566666666666686E-3</v>
      </c>
      <c r="FB132" s="460">
        <f t="shared" si="426"/>
        <v>1403.3764494069819</v>
      </c>
      <c r="FC132" s="173">
        <f t="shared" si="427"/>
        <v>3.6323587090859299</v>
      </c>
      <c r="FD132" s="5">
        <f t="shared" si="428"/>
        <v>33.44</v>
      </c>
      <c r="FE132" s="173">
        <f t="shared" si="429"/>
        <v>0.90201975715681437</v>
      </c>
      <c r="FF132" s="5">
        <f t="shared" si="430"/>
        <v>90.201975715681442</v>
      </c>
      <c r="FG132">
        <f t="shared" si="431"/>
        <v>22.000000000000004</v>
      </c>
      <c r="FI132" s="562">
        <f t="shared" si="432"/>
        <v>-50</v>
      </c>
      <c r="FJ132">
        <f t="shared" si="433"/>
        <v>-50</v>
      </c>
    </row>
    <row r="133" spans="5:166">
      <c r="E133" s="170">
        <v>23</v>
      </c>
      <c r="F133" s="217">
        <f t="shared" si="434"/>
        <v>2.3000000000000003</v>
      </c>
      <c r="G133" s="217">
        <f t="shared" si="313"/>
        <v>5.7500000000000002E-2</v>
      </c>
      <c r="H133" s="217">
        <f t="shared" si="314"/>
        <v>34.500000000000007</v>
      </c>
      <c r="I133" s="217">
        <f t="shared" si="315"/>
        <v>0.46</v>
      </c>
      <c r="J133" s="541">
        <f t="shared" si="316"/>
        <v>18.723315016620045</v>
      </c>
      <c r="K133" s="443">
        <f t="shared" si="317"/>
        <v>15.848559966660831</v>
      </c>
      <c r="L133" s="172">
        <f t="shared" si="318"/>
        <v>34.571874983280878</v>
      </c>
      <c r="M133" s="443"/>
      <c r="N133" s="217">
        <f t="shared" si="319"/>
        <v>0.4584235010199843</v>
      </c>
      <c r="O133" s="172">
        <f t="shared" si="320"/>
        <v>211.75676695606103</v>
      </c>
      <c r="P133" s="172">
        <f t="shared" si="321"/>
        <v>2.8610692068730028</v>
      </c>
      <c r="Q133" s="217">
        <f t="shared" si="322"/>
        <v>14.117117797070735</v>
      </c>
      <c r="R133" s="217">
        <f t="shared" si="323"/>
        <v>26.469595869507629</v>
      </c>
      <c r="S133" s="217">
        <f t="shared" si="324"/>
        <v>15</v>
      </c>
      <c r="T133" s="217">
        <f t="shared" si="325"/>
        <v>8.1461387269759999</v>
      </c>
      <c r="U133" s="217">
        <f t="shared" si="326"/>
        <v>5.220959249841143</v>
      </c>
      <c r="V133" s="217">
        <f t="shared" si="327"/>
        <v>6.1679840268988135</v>
      </c>
      <c r="W133" s="197">
        <f t="shared" si="328"/>
        <v>71.526730171825065</v>
      </c>
      <c r="X133" s="443">
        <f t="shared" si="435"/>
        <v>86.289144412941369</v>
      </c>
      <c r="Z133" s="217">
        <f t="shared" si="329"/>
        <v>10</v>
      </c>
      <c r="AA133" s="173">
        <f t="shared" si="330"/>
        <v>7.5716658328853255</v>
      </c>
      <c r="AB133" s="173">
        <f t="shared" si="331"/>
        <v>2.6722524620724464</v>
      </c>
      <c r="AC133" s="173"/>
      <c r="AD133" s="173">
        <f t="shared" si="332"/>
        <v>7.5716658328853255</v>
      </c>
      <c r="AE133" s="545">
        <f t="shared" si="333"/>
        <v>60.752813205533194</v>
      </c>
      <c r="AF133" s="528">
        <f t="shared" si="334"/>
        <v>2.7078824949000788</v>
      </c>
      <c r="AH133" s="173">
        <f t="shared" si="335"/>
        <v>4.0801493903555848</v>
      </c>
      <c r="AI133" s="173">
        <f t="shared" si="336"/>
        <v>10</v>
      </c>
      <c r="AJ133" s="173">
        <f t="shared" si="337"/>
        <v>1.0347158932603047</v>
      </c>
      <c r="AL133" s="545">
        <f t="shared" si="338"/>
        <v>2300.0000000000005</v>
      </c>
      <c r="AM133" s="460">
        <f t="shared" si="339"/>
        <v>60.752813205533194</v>
      </c>
      <c r="AO133" s="460">
        <f t="shared" si="340"/>
        <v>2300.0000000000005</v>
      </c>
      <c r="AP133" s="460">
        <f t="shared" si="341"/>
        <v>60.752813205533194</v>
      </c>
      <c r="AR133" s="5">
        <f t="shared" si="275"/>
        <v>16.460143114968094</v>
      </c>
      <c r="AS133" s="5">
        <f t="shared" si="440"/>
        <v>6.4091214559750833</v>
      </c>
      <c r="AT133" s="5">
        <f t="shared" si="441"/>
        <v>10.051021658993012</v>
      </c>
      <c r="AU133" s="173">
        <f t="shared" si="442"/>
        <v>0.38937215862642921</v>
      </c>
      <c r="AW133" s="5">
        <f t="shared" si="342"/>
        <v>98.273195658284621</v>
      </c>
      <c r="AX133" s="5">
        <f t="shared" si="343"/>
        <v>4.6065560464820923</v>
      </c>
      <c r="AY133" s="5">
        <f t="shared" si="344"/>
        <v>6.3862889098698927</v>
      </c>
      <c r="AZ133" s="5"/>
      <c r="BA133" s="173">
        <f t="shared" si="345"/>
        <v>3.6026479087213485</v>
      </c>
      <c r="BB133" s="173">
        <f t="shared" si="346"/>
        <v>4.5115697245104203</v>
      </c>
      <c r="BC133" s="173">
        <f t="shared" si="347"/>
        <v>0.11110846223500173</v>
      </c>
      <c r="BD133" s="173"/>
      <c r="BE133" s="528">
        <f t="shared" si="348"/>
        <v>0.25958143908428616</v>
      </c>
      <c r="BF133" s="528">
        <f t="shared" si="349"/>
        <v>0.39381349931705789</v>
      </c>
      <c r="BG133" s="528">
        <f t="shared" si="350"/>
        <v>2.8437351494826804E-2</v>
      </c>
      <c r="BH133" s="528">
        <f t="shared" si="351"/>
        <v>7.2612645680627721E-3</v>
      </c>
      <c r="BI133">
        <f t="shared" si="352"/>
        <v>8.4254917574790207E-3</v>
      </c>
      <c r="BJ133" s="460">
        <f t="shared" si="436"/>
        <v>36.862843252305822</v>
      </c>
      <c r="BK133">
        <f t="shared" si="353"/>
        <v>0.77877536947932691</v>
      </c>
      <c r="BL133" s="460">
        <f t="shared" si="437"/>
        <v>697.51904622171253</v>
      </c>
      <c r="BM133" s="173">
        <f t="shared" si="354"/>
        <v>1.4288750000000001</v>
      </c>
      <c r="BN133" s="173">
        <f t="shared" si="355"/>
        <v>3.5721875E-2</v>
      </c>
      <c r="BO133" s="528"/>
      <c r="BQ133" s="460">
        <f t="shared" si="356"/>
        <v>1464.596875</v>
      </c>
      <c r="BR133" s="528">
        <f t="shared" si="357"/>
        <v>0.38937215862642921</v>
      </c>
      <c r="BS133" s="528">
        <f t="shared" si="358"/>
        <v>0.61062784137357085</v>
      </c>
      <c r="BT133" s="528">
        <f t="shared" si="359"/>
        <v>6.1725451901134036E-5</v>
      </c>
      <c r="BU133" s="528">
        <f t="shared" si="360"/>
        <v>0.45486863027663127</v>
      </c>
      <c r="BV133" s="528"/>
      <c r="BW133" s="625">
        <f t="shared" si="361"/>
        <v>6.0752813205533201E-3</v>
      </c>
      <c r="BX133" s="460">
        <f t="shared" si="362"/>
        <v>1461.0056370490859</v>
      </c>
      <c r="BY133" s="173">
        <f t="shared" si="363"/>
        <v>3.6231215582707983</v>
      </c>
      <c r="BZ133" s="5">
        <f t="shared" si="364"/>
        <v>34.960000000000008</v>
      </c>
      <c r="CA133" s="173">
        <f t="shared" si="365"/>
        <v>0.90609568609427005</v>
      </c>
      <c r="CB133" s="5">
        <f t="shared" si="366"/>
        <v>90.609568609427001</v>
      </c>
      <c r="CC133">
        <f t="shared" si="367"/>
        <v>23.000000000000004</v>
      </c>
      <c r="CE133" s="562">
        <f t="shared" si="368"/>
        <v>-50</v>
      </c>
      <c r="CF133">
        <f t="shared" si="369"/>
        <v>-50</v>
      </c>
      <c r="CG133" s="173">
        <f t="shared" si="370"/>
        <v>0.46445890875520734</v>
      </c>
      <c r="CH133" s="173">
        <f t="shared" si="371"/>
        <v>5.3516471659233136E-2</v>
      </c>
      <c r="CI133" s="170">
        <v>23</v>
      </c>
      <c r="CJ133" s="217">
        <f t="shared" si="438"/>
        <v>2.3000000000000003</v>
      </c>
      <c r="CK133" s="217">
        <f t="shared" si="372"/>
        <v>5.7500000000000002E-2</v>
      </c>
      <c r="CL133" s="217">
        <f t="shared" si="373"/>
        <v>34.500000000000007</v>
      </c>
      <c r="CM133" s="217">
        <f t="shared" si="374"/>
        <v>0.46</v>
      </c>
      <c r="CN133" s="541">
        <f t="shared" si="375"/>
        <v>19</v>
      </c>
      <c r="CO133" s="443">
        <f t="shared" si="376"/>
        <v>15.7</v>
      </c>
      <c r="CP133" s="443">
        <f t="shared" si="377"/>
        <v>34.700000000000003</v>
      </c>
      <c r="CQ133" s="443"/>
      <c r="CR133" s="217">
        <f t="shared" si="378"/>
        <v>0.44767441860465118</v>
      </c>
      <c r="CS133" s="172">
        <f t="shared" si="379"/>
        <v>209.84738372093025</v>
      </c>
      <c r="CT133" s="172">
        <f t="shared" si="380"/>
        <v>2.835271317829458</v>
      </c>
      <c r="CU133" s="217">
        <f t="shared" si="381"/>
        <v>13.989825581395349</v>
      </c>
      <c r="CV133" s="217">
        <f t="shared" si="382"/>
        <v>26.230922965116282</v>
      </c>
      <c r="CW133" s="217">
        <f t="shared" si="383"/>
        <v>15</v>
      </c>
      <c r="CX133" s="217">
        <f t="shared" si="384"/>
        <v>8.2202597402597419</v>
      </c>
      <c r="CY133" s="217">
        <f t="shared" si="385"/>
        <v>5.1917429938482584</v>
      </c>
      <c r="CZ133" s="217">
        <f t="shared" si="386"/>
        <v>6.283001075357765</v>
      </c>
      <c r="DA133" s="197">
        <f t="shared" si="387"/>
        <v>71.63784822286263</v>
      </c>
      <c r="DB133" s="443">
        <f t="shared" si="388"/>
        <v>87.147913188201798</v>
      </c>
      <c r="DD133" s="217">
        <f t="shared" si="389"/>
        <v>10.000000000000002</v>
      </c>
      <c r="DE133" s="173">
        <f t="shared" si="390"/>
        <v>7.6433121019108299</v>
      </c>
      <c r="DF133" s="173">
        <f t="shared" si="391"/>
        <v>2.7017291066282429</v>
      </c>
      <c r="DG133" s="173"/>
      <c r="DH133" s="173">
        <f t="shared" si="392"/>
        <v>7.6433121019108281</v>
      </c>
      <c r="DI133" s="545">
        <f t="shared" si="393"/>
        <v>60.183333333333344</v>
      </c>
      <c r="DJ133" s="528">
        <f t="shared" si="394"/>
        <v>2.7377521613832849</v>
      </c>
      <c r="DL133" s="173">
        <f t="shared" si="395"/>
        <v>4.0801493903555848</v>
      </c>
      <c r="DM133" s="173">
        <f t="shared" si="396"/>
        <v>10</v>
      </c>
      <c r="DN133" s="173">
        <f t="shared" si="397"/>
        <v>1.0343904761904761</v>
      </c>
      <c r="DP133" s="545">
        <f t="shared" si="398"/>
        <v>2300.0000000000005</v>
      </c>
      <c r="DQ133" s="460">
        <f t="shared" si="399"/>
        <v>60.183333333333344</v>
      </c>
      <c r="DS133" s="460">
        <f t="shared" si="400"/>
        <v>2300.0000000000005</v>
      </c>
      <c r="DT133" s="460">
        <f t="shared" si="401"/>
        <v>60.183333333333344</v>
      </c>
      <c r="DV133" s="5">
        <f t="shared" si="402"/>
        <v>16.61589587371919</v>
      </c>
      <c r="DW133" s="5">
        <f t="shared" si="403"/>
        <v>6.3157894736842106</v>
      </c>
      <c r="DX133" s="5">
        <f t="shared" si="404"/>
        <v>10.300106400034979</v>
      </c>
      <c r="DY133" s="173">
        <f t="shared" si="405"/>
        <v>0.38010526315789478</v>
      </c>
      <c r="EA133" s="5">
        <f t="shared" si="406"/>
        <v>96.842105263157904</v>
      </c>
      <c r="EB133" s="5">
        <f t="shared" si="407"/>
        <v>4.5394736842105265</v>
      </c>
      <c r="EC133" s="5">
        <f t="shared" si="408"/>
        <v>6.4492499237968559</v>
      </c>
      <c r="ED133" s="5"/>
      <c r="EE133" s="173">
        <f t="shared" si="409"/>
        <v>3.5595189897788848</v>
      </c>
      <c r="EF133" s="173">
        <f t="shared" si="410"/>
        <v>4.5456746358199505</v>
      </c>
      <c r="EG133" s="173">
        <f t="shared" si="411"/>
        <v>0.11194837926646782</v>
      </c>
      <c r="EH133" s="173"/>
      <c r="EI133" s="528">
        <f t="shared" si="412"/>
        <v>0.25340350877192985</v>
      </c>
      <c r="EJ133" s="528">
        <f t="shared" si="413"/>
        <v>0.41767233333333342</v>
      </c>
      <c r="EK133" s="528">
        <f t="shared" si="414"/>
        <v>7.5229166666666682E-3</v>
      </c>
      <c r="EL133" s="528">
        <f t="shared" si="415"/>
        <v>7.2466149833333359E-3</v>
      </c>
      <c r="EM133">
        <f t="shared" si="416"/>
        <v>8.5500000000000003E-3</v>
      </c>
      <c r="EN133" s="460">
        <f t="shared" si="417"/>
        <v>16.072916666666668</v>
      </c>
      <c r="EP133" s="460">
        <f t="shared" si="439"/>
        <v>694.39537375526334</v>
      </c>
      <c r="EQ133" s="173">
        <f t="shared" si="418"/>
        <v>1.61</v>
      </c>
      <c r="ER133" s="173">
        <f t="shared" si="419"/>
        <v>2.5515625E-2</v>
      </c>
      <c r="ES133" s="528"/>
      <c r="EU133" s="460">
        <f t="shared" si="420"/>
        <v>1635.515625</v>
      </c>
      <c r="EV133" s="528">
        <f t="shared" si="421"/>
        <v>0.38010526315789478</v>
      </c>
      <c r="EW133" s="528">
        <f t="shared" si="422"/>
        <v>0.61989473684210505</v>
      </c>
      <c r="EX133" s="528">
        <f t="shared" si="423"/>
        <v>6.2662198101944616E-5</v>
      </c>
      <c r="EY133" s="528">
        <f t="shared" si="424"/>
        <v>0.44428392447072984</v>
      </c>
      <c r="EZ133" s="528"/>
      <c r="FA133" s="625">
        <f t="shared" si="425"/>
        <v>6.0183333333333347E-3</v>
      </c>
      <c r="FB133" s="460">
        <f t="shared" si="426"/>
        <v>1450.3649200021648</v>
      </c>
      <c r="FC133" s="173">
        <f t="shared" si="427"/>
        <v>3.7802759187574289</v>
      </c>
      <c r="FD133" s="5">
        <f t="shared" si="428"/>
        <v>34.960000000000008</v>
      </c>
      <c r="FE133" s="173">
        <f t="shared" si="429"/>
        <v>0.90242000530184463</v>
      </c>
      <c r="FF133" s="5">
        <f t="shared" si="430"/>
        <v>90.24200053018447</v>
      </c>
      <c r="FG133">
        <f t="shared" si="431"/>
        <v>23.000000000000004</v>
      </c>
      <c r="FI133" s="562">
        <f t="shared" si="432"/>
        <v>-50</v>
      </c>
      <c r="FJ133">
        <f t="shared" si="433"/>
        <v>-50</v>
      </c>
    </row>
    <row r="134" spans="5:166">
      <c r="E134" s="170">
        <v>24</v>
      </c>
      <c r="F134" s="217">
        <f t="shared" si="434"/>
        <v>2.4</v>
      </c>
      <c r="G134" s="217">
        <f t="shared" si="313"/>
        <v>0.06</v>
      </c>
      <c r="H134" s="217">
        <f t="shared" si="314"/>
        <v>36</v>
      </c>
      <c r="I134" s="217">
        <f t="shared" si="315"/>
        <v>0.48</v>
      </c>
      <c r="J134" s="541">
        <f t="shared" si="316"/>
        <v>18.723315016620045</v>
      </c>
      <c r="K134" s="443">
        <f t="shared" si="317"/>
        <v>15.848559966660831</v>
      </c>
      <c r="L134" s="172">
        <f t="shared" si="318"/>
        <v>34.571874983280878</v>
      </c>
      <c r="M134" s="443"/>
      <c r="N134" s="217">
        <f t="shared" si="319"/>
        <v>0.4584235010199843</v>
      </c>
      <c r="O134" s="172">
        <f t="shared" si="320"/>
        <v>211.75676695606103</v>
      </c>
      <c r="P134" s="172">
        <f t="shared" si="321"/>
        <v>2.8610692068730028</v>
      </c>
      <c r="Q134" s="217">
        <f t="shared" si="322"/>
        <v>14.117117797070735</v>
      </c>
      <c r="R134" s="217">
        <f t="shared" si="323"/>
        <v>26.469595869507629</v>
      </c>
      <c r="S134" s="217">
        <f t="shared" si="324"/>
        <v>15</v>
      </c>
      <c r="T134" s="217">
        <f t="shared" si="325"/>
        <v>8.5003186716271273</v>
      </c>
      <c r="U134" s="217">
        <f t="shared" si="326"/>
        <v>5.4479574780951037</v>
      </c>
      <c r="V134" s="217">
        <f t="shared" si="327"/>
        <v>6.4361572454596292</v>
      </c>
      <c r="W134" s="197">
        <f t="shared" si="328"/>
        <v>71.526730171825065</v>
      </c>
      <c r="X134" s="443">
        <f t="shared" si="435"/>
        <v>82.753269302447862</v>
      </c>
      <c r="Z134" s="217">
        <f t="shared" si="329"/>
        <v>10</v>
      </c>
      <c r="AA134" s="173">
        <f t="shared" si="330"/>
        <v>7.5716658328853255</v>
      </c>
      <c r="AB134" s="173">
        <f t="shared" si="331"/>
        <v>2.6722524620724464</v>
      </c>
      <c r="AC134" s="173"/>
      <c r="AD134" s="173">
        <f t="shared" si="332"/>
        <v>7.5716658328853255</v>
      </c>
      <c r="AE134" s="545">
        <f t="shared" si="333"/>
        <v>63.394239866643318</v>
      </c>
      <c r="AF134" s="528">
        <f t="shared" si="334"/>
        <v>2.7078824949000788</v>
      </c>
      <c r="AH134" s="173">
        <f t="shared" si="335"/>
        <v>4.1679045780138217</v>
      </c>
      <c r="AI134" s="173">
        <f t="shared" si="336"/>
        <v>10</v>
      </c>
      <c r="AJ134" s="173">
        <f t="shared" si="337"/>
        <v>1.0362252799237961</v>
      </c>
      <c r="AL134" s="545">
        <f t="shared" si="338"/>
        <v>2400</v>
      </c>
      <c r="AM134" s="460">
        <f t="shared" si="339"/>
        <v>63.394239866643318</v>
      </c>
      <c r="AO134" s="460">
        <f t="shared" si="340"/>
        <v>2400</v>
      </c>
      <c r="AP134" s="460">
        <f t="shared" si="341"/>
        <v>63.394239866643318</v>
      </c>
      <c r="AR134" s="5">
        <f t="shared" ref="AR134:AR197" si="443">1/AM134*1000</f>
        <v>15.774303818511095</v>
      </c>
      <c r="AS134" s="5">
        <f t="shared" si="440"/>
        <v>6.4091214559750833</v>
      </c>
      <c r="AT134" s="5">
        <f t="shared" si="441"/>
        <v>9.3651823625360109</v>
      </c>
      <c r="AU134" s="173">
        <f t="shared" si="442"/>
        <v>0.40630138291453471</v>
      </c>
      <c r="AW134" s="5">
        <f t="shared" si="342"/>
        <v>102.54594329560132</v>
      </c>
      <c r="AX134" s="5">
        <f t="shared" si="343"/>
        <v>4.8068410919813127</v>
      </c>
      <c r="AY134" s="5">
        <f t="shared" si="344"/>
        <v>6.2092335743636848</v>
      </c>
      <c r="AZ134" s="5"/>
      <c r="BA134" s="173">
        <f t="shared" si="345"/>
        <v>3.6801330723880747</v>
      </c>
      <c r="BB134" s="173">
        <f t="shared" si="346"/>
        <v>4.4485901028133448</v>
      </c>
      <c r="BC134" s="173">
        <f t="shared" si="347"/>
        <v>0.10955743468889337</v>
      </c>
      <c r="BD134" s="173"/>
      <c r="BE134" s="528">
        <f t="shared" si="348"/>
        <v>0.27086758860968979</v>
      </c>
      <c r="BF134" s="528">
        <f t="shared" si="349"/>
        <v>0.41093582537432127</v>
      </c>
      <c r="BG134" s="528">
        <f t="shared" si="350"/>
        <v>2.9673758081558397E-2</v>
      </c>
      <c r="BH134" s="528">
        <f t="shared" si="351"/>
        <v>7.5769717231959346E-3</v>
      </c>
      <c r="BI134">
        <f t="shared" si="352"/>
        <v>8.4254917574790207E-3</v>
      </c>
      <c r="BJ134" s="460">
        <f t="shared" si="436"/>
        <v>38.099249839037419</v>
      </c>
      <c r="BK134">
        <f t="shared" si="353"/>
        <v>0.81496421489798654</v>
      </c>
      <c r="BL134" s="460">
        <f t="shared" si="437"/>
        <v>727.47963554624425</v>
      </c>
      <c r="BM134" s="173">
        <f t="shared" si="354"/>
        <v>1.4909999999999999</v>
      </c>
      <c r="BN134" s="173">
        <f t="shared" si="355"/>
        <v>3.7274999999999996E-2</v>
      </c>
      <c r="BO134" s="528"/>
      <c r="BQ134" s="460">
        <f t="shared" si="356"/>
        <v>1528.2749999999999</v>
      </c>
      <c r="BR134" s="528">
        <f t="shared" si="357"/>
        <v>0.40630138291453471</v>
      </c>
      <c r="BS134" s="528">
        <f t="shared" si="358"/>
        <v>0.59369861708546534</v>
      </c>
      <c r="BT134" s="528">
        <f t="shared" si="359"/>
        <v>6.0014157478055679E-5</v>
      </c>
      <c r="BU134" s="528">
        <f t="shared" si="360"/>
        <v>0.50593474000222638</v>
      </c>
      <c r="BV134" s="528"/>
      <c r="BW134" s="625">
        <f t="shared" si="361"/>
        <v>6.3394239866643321E-3</v>
      </c>
      <c r="BX134" s="460">
        <f t="shared" si="362"/>
        <v>1512.3341781463687</v>
      </c>
      <c r="BY134" s="173">
        <f t="shared" si="363"/>
        <v>3.7680888136926138</v>
      </c>
      <c r="BZ134" s="5">
        <f t="shared" si="364"/>
        <v>36.479999999999997</v>
      </c>
      <c r="CA134" s="173">
        <f t="shared" si="365"/>
        <v>0.90637844119418931</v>
      </c>
      <c r="CB134" s="5">
        <f t="shared" si="366"/>
        <v>90.637844119418929</v>
      </c>
      <c r="CC134">
        <f t="shared" si="367"/>
        <v>24</v>
      </c>
      <c r="CE134" s="562">
        <f t="shared" si="368"/>
        <v>-50</v>
      </c>
      <c r="CF134">
        <f t="shared" si="369"/>
        <v>-50</v>
      </c>
      <c r="CG134" s="173">
        <f t="shared" si="370"/>
        <v>0.48465277435325971</v>
      </c>
      <c r="CH134" s="173">
        <f t="shared" si="371"/>
        <v>5.5843274774851966E-2</v>
      </c>
      <c r="CI134" s="170">
        <v>24</v>
      </c>
      <c r="CJ134" s="217">
        <f t="shared" si="438"/>
        <v>2.4</v>
      </c>
      <c r="CK134" s="217">
        <f t="shared" si="372"/>
        <v>0.06</v>
      </c>
      <c r="CL134" s="217">
        <f t="shared" si="373"/>
        <v>36</v>
      </c>
      <c r="CM134" s="217">
        <f t="shared" si="374"/>
        <v>0.48</v>
      </c>
      <c r="CN134" s="541">
        <f t="shared" si="375"/>
        <v>19</v>
      </c>
      <c r="CO134" s="443">
        <f t="shared" si="376"/>
        <v>15.7</v>
      </c>
      <c r="CP134" s="443">
        <f t="shared" si="377"/>
        <v>34.700000000000003</v>
      </c>
      <c r="CQ134" s="443"/>
      <c r="CR134" s="217">
        <f t="shared" si="378"/>
        <v>0.44767441860465118</v>
      </c>
      <c r="CS134" s="172">
        <f t="shared" si="379"/>
        <v>209.84738372093025</v>
      </c>
      <c r="CT134" s="172">
        <f t="shared" si="380"/>
        <v>2.835271317829458</v>
      </c>
      <c r="CU134" s="217">
        <f t="shared" si="381"/>
        <v>13.989825581395349</v>
      </c>
      <c r="CV134" s="217">
        <f t="shared" si="382"/>
        <v>26.230922965116282</v>
      </c>
      <c r="CW134" s="217">
        <f t="shared" si="383"/>
        <v>15</v>
      </c>
      <c r="CX134" s="217">
        <f t="shared" si="384"/>
        <v>8.5776623376623373</v>
      </c>
      <c r="CY134" s="217">
        <f t="shared" si="385"/>
        <v>5.4174709501025289</v>
      </c>
      <c r="CZ134" s="217">
        <f t="shared" si="386"/>
        <v>6.5561750351559267</v>
      </c>
      <c r="DA134" s="197">
        <f t="shared" si="387"/>
        <v>71.63784822286263</v>
      </c>
      <c r="DB134" s="443">
        <f t="shared" si="388"/>
        <v>83.516750138693425</v>
      </c>
      <c r="DD134" s="217">
        <f t="shared" si="389"/>
        <v>10.000000000000002</v>
      </c>
      <c r="DE134" s="173">
        <f t="shared" si="390"/>
        <v>7.6433121019108299</v>
      </c>
      <c r="DF134" s="173">
        <f t="shared" si="391"/>
        <v>2.7017291066282429</v>
      </c>
      <c r="DG134" s="173"/>
      <c r="DH134" s="173">
        <f t="shared" si="392"/>
        <v>7.6433121019108281</v>
      </c>
      <c r="DI134" s="545">
        <f t="shared" si="393"/>
        <v>62.8</v>
      </c>
      <c r="DJ134" s="528">
        <f t="shared" si="394"/>
        <v>2.7377521613832849</v>
      </c>
      <c r="DL134" s="173">
        <f t="shared" si="395"/>
        <v>4.1679045780138217</v>
      </c>
      <c r="DM134" s="173">
        <f t="shared" si="396"/>
        <v>10</v>
      </c>
      <c r="DN134" s="173">
        <f t="shared" si="397"/>
        <v>1.0358857142857143</v>
      </c>
      <c r="DP134" s="545">
        <f t="shared" si="398"/>
        <v>2400</v>
      </c>
      <c r="DQ134" s="460">
        <f t="shared" si="399"/>
        <v>62.8</v>
      </c>
      <c r="DS134" s="460">
        <f t="shared" si="400"/>
        <v>2400</v>
      </c>
      <c r="DT134" s="460">
        <f t="shared" si="401"/>
        <v>62.8</v>
      </c>
      <c r="DV134" s="5">
        <f t="shared" si="402"/>
        <v>15.923566878980891</v>
      </c>
      <c r="DW134" s="5">
        <f t="shared" si="403"/>
        <v>6.3157894736842106</v>
      </c>
      <c r="DX134" s="5">
        <f t="shared" si="404"/>
        <v>9.6077774052966802</v>
      </c>
      <c r="DY134" s="173">
        <f t="shared" si="405"/>
        <v>0.39663157894736845</v>
      </c>
      <c r="EA134" s="5">
        <f t="shared" si="406"/>
        <v>101.05263157894737</v>
      </c>
      <c r="EB134" s="5">
        <f t="shared" si="407"/>
        <v>4.7368421052631584</v>
      </c>
      <c r="EC134" s="5">
        <f t="shared" si="408"/>
        <v>6.27731373122832</v>
      </c>
      <c r="ED134" s="5"/>
      <c r="EE134" s="173">
        <f t="shared" si="409"/>
        <v>3.6360765436908702</v>
      </c>
      <c r="EF134" s="173">
        <f t="shared" si="410"/>
        <v>4.4846717496104862</v>
      </c>
      <c r="EG134" s="173">
        <f t="shared" si="411"/>
        <v>0.11044603367668182</v>
      </c>
      <c r="EH134" s="173"/>
      <c r="EI134" s="528">
        <f t="shared" si="412"/>
        <v>0.26442105263157889</v>
      </c>
      <c r="EJ134" s="528">
        <f t="shared" si="413"/>
        <v>0.435832</v>
      </c>
      <c r="EK134" s="528">
        <f t="shared" si="414"/>
        <v>7.8499999999999993E-3</v>
      </c>
      <c r="EL134" s="528">
        <f t="shared" si="415"/>
        <v>7.5616852000000012E-3</v>
      </c>
      <c r="EM134">
        <f t="shared" si="416"/>
        <v>8.5500000000000003E-3</v>
      </c>
      <c r="EN134" s="460">
        <f t="shared" si="417"/>
        <v>16.399999999999999</v>
      </c>
      <c r="EP134" s="460">
        <f t="shared" si="439"/>
        <v>724.21473783157887</v>
      </c>
      <c r="EQ134" s="173">
        <f t="shared" si="418"/>
        <v>1.68</v>
      </c>
      <c r="ER134" s="173">
        <f t="shared" si="419"/>
        <v>2.6624999999999999E-2</v>
      </c>
      <c r="ES134" s="528"/>
      <c r="EU134" s="460">
        <f t="shared" si="420"/>
        <v>1706.6249999999998</v>
      </c>
      <c r="EV134" s="528">
        <f t="shared" si="421"/>
        <v>0.39663157894736828</v>
      </c>
      <c r="EW134" s="528">
        <f t="shared" si="422"/>
        <v>0.60336842105263133</v>
      </c>
      <c r="EX134" s="528">
        <f t="shared" si="423"/>
        <v>6.0991631774553678E-5</v>
      </c>
      <c r="EY134" s="528">
        <f t="shared" si="424"/>
        <v>0.4941617356148893</v>
      </c>
      <c r="EZ134" s="528"/>
      <c r="FA134" s="625">
        <f t="shared" si="425"/>
        <v>6.28E-3</v>
      </c>
      <c r="FB134" s="460">
        <f t="shared" si="426"/>
        <v>1500.5027272466637</v>
      </c>
      <c r="FC134" s="173">
        <f t="shared" si="427"/>
        <v>3.931342465078242</v>
      </c>
      <c r="FD134" s="5">
        <f t="shared" si="428"/>
        <v>36.479999999999997</v>
      </c>
      <c r="FE134" s="173">
        <f t="shared" si="429"/>
        <v>0.90271685558391079</v>
      </c>
      <c r="FF134" s="5">
        <f t="shared" si="430"/>
        <v>90.271685558391084</v>
      </c>
      <c r="FG134">
        <f t="shared" si="431"/>
        <v>24</v>
      </c>
      <c r="FI134" s="562">
        <f t="shared" si="432"/>
        <v>-50</v>
      </c>
      <c r="FJ134">
        <f t="shared" si="433"/>
        <v>-50</v>
      </c>
    </row>
    <row r="135" spans="5:166">
      <c r="E135" s="170">
        <v>25</v>
      </c>
      <c r="F135" s="217">
        <f t="shared" si="434"/>
        <v>2.5</v>
      </c>
      <c r="G135" s="217">
        <f t="shared" si="313"/>
        <v>6.25E-2</v>
      </c>
      <c r="H135" s="217">
        <f t="shared" si="314"/>
        <v>37.5</v>
      </c>
      <c r="I135" s="217">
        <f t="shared" si="315"/>
        <v>0.5</v>
      </c>
      <c r="J135" s="541">
        <f t="shared" si="316"/>
        <v>18.723315016620045</v>
      </c>
      <c r="K135" s="443">
        <f t="shared" si="317"/>
        <v>15.848559966660831</v>
      </c>
      <c r="L135" s="172">
        <f t="shared" si="318"/>
        <v>34.571874983280878</v>
      </c>
      <c r="M135" s="443"/>
      <c r="N135" s="217">
        <f t="shared" si="319"/>
        <v>0.4584235010199843</v>
      </c>
      <c r="O135" s="172">
        <f t="shared" si="320"/>
        <v>211.75676695606103</v>
      </c>
      <c r="P135" s="172">
        <f t="shared" si="321"/>
        <v>2.8610692068730028</v>
      </c>
      <c r="Q135" s="217">
        <f t="shared" si="322"/>
        <v>14.117117797070735</v>
      </c>
      <c r="R135" s="217">
        <f t="shared" si="323"/>
        <v>26.469595869507629</v>
      </c>
      <c r="S135" s="217">
        <f t="shared" si="324"/>
        <v>15</v>
      </c>
      <c r="T135" s="217">
        <f t="shared" si="325"/>
        <v>8.8544986162782582</v>
      </c>
      <c r="U135" s="217">
        <f t="shared" si="326"/>
        <v>5.674955706349067</v>
      </c>
      <c r="V135" s="217">
        <f t="shared" si="327"/>
        <v>6.7043304640204484</v>
      </c>
      <c r="W135" s="197">
        <f t="shared" si="328"/>
        <v>71.526730171825065</v>
      </c>
      <c r="X135" s="443">
        <f t="shared" si="435"/>
        <v>79.495766807141905</v>
      </c>
      <c r="Z135" s="217">
        <f t="shared" si="329"/>
        <v>10</v>
      </c>
      <c r="AA135" s="173">
        <f t="shared" si="330"/>
        <v>7.5716658328853255</v>
      </c>
      <c r="AB135" s="173">
        <f t="shared" si="331"/>
        <v>2.6722524620724464</v>
      </c>
      <c r="AC135" s="173"/>
      <c r="AD135" s="173">
        <f t="shared" si="332"/>
        <v>7.5716658328853255</v>
      </c>
      <c r="AE135" s="545">
        <f t="shared" si="333"/>
        <v>66.035666527753463</v>
      </c>
      <c r="AF135" s="528">
        <f t="shared" si="334"/>
        <v>2.7078824949000788</v>
      </c>
      <c r="AH135" s="173">
        <f t="shared" si="335"/>
        <v>4.2538497969766276</v>
      </c>
      <c r="AI135" s="173">
        <f t="shared" si="336"/>
        <v>10</v>
      </c>
      <c r="AJ135" s="173">
        <f t="shared" si="337"/>
        <v>1.0377346665872877</v>
      </c>
      <c r="AL135" s="545">
        <f t="shared" si="338"/>
        <v>2500</v>
      </c>
      <c r="AM135" s="460">
        <f t="shared" si="339"/>
        <v>66.035666527753463</v>
      </c>
      <c r="AO135" s="460">
        <f t="shared" si="340"/>
        <v>2500</v>
      </c>
      <c r="AP135" s="460">
        <f t="shared" si="341"/>
        <v>66.035666527753463</v>
      </c>
      <c r="AR135" s="5">
        <f t="shared" si="443"/>
        <v>15.143331665770649</v>
      </c>
      <c r="AS135" s="5">
        <f t="shared" si="440"/>
        <v>6.4091214559750833</v>
      </c>
      <c r="AT135" s="5">
        <f t="shared" si="441"/>
        <v>8.7342102097955667</v>
      </c>
      <c r="AU135" s="173">
        <f t="shared" si="442"/>
        <v>0.42323060720264039</v>
      </c>
      <c r="AW135" s="5">
        <f t="shared" si="342"/>
        <v>106.81869093291807</v>
      </c>
      <c r="AX135" s="5">
        <f t="shared" si="343"/>
        <v>5.007126137480534</v>
      </c>
      <c r="AY135" s="5">
        <f t="shared" si="344"/>
        <v>6.0321782388574769</v>
      </c>
      <c r="AZ135" s="5"/>
      <c r="BA135" s="173">
        <f t="shared" si="345"/>
        <v>3.7560200887048891</v>
      </c>
      <c r="BB135" s="173">
        <f t="shared" si="346"/>
        <v>4.3847059680871023</v>
      </c>
      <c r="BC135" s="173">
        <f t="shared" si="347"/>
        <v>0.10798413129249808</v>
      </c>
      <c r="BD135" s="173"/>
      <c r="BE135" s="528">
        <f t="shared" si="348"/>
        <v>0.28215373813509365</v>
      </c>
      <c r="BF135" s="528">
        <f t="shared" si="349"/>
        <v>0.42805815143158471</v>
      </c>
      <c r="BG135" s="528">
        <f t="shared" si="350"/>
        <v>3.0910164668289997E-2</v>
      </c>
      <c r="BH135" s="528">
        <f t="shared" si="351"/>
        <v>7.8926788783291006E-3</v>
      </c>
      <c r="BI135">
        <f t="shared" si="352"/>
        <v>8.4254917574790207E-3</v>
      </c>
      <c r="BJ135" s="460">
        <f t="shared" si="436"/>
        <v>39.335656425769017</v>
      </c>
      <c r="BK135">
        <f t="shared" si="353"/>
        <v>0.85136109407185179</v>
      </c>
      <c r="BL135" s="460">
        <f t="shared" si="437"/>
        <v>757.44022487077643</v>
      </c>
      <c r="BM135" s="173">
        <f t="shared" si="354"/>
        <v>1.5531249999999999</v>
      </c>
      <c r="BN135" s="173">
        <f t="shared" si="355"/>
        <v>3.8828124999999998E-2</v>
      </c>
      <c r="BO135" s="528"/>
      <c r="BQ135" s="460">
        <f t="shared" si="356"/>
        <v>1591.9531249999998</v>
      </c>
      <c r="BR135" s="528">
        <f t="shared" si="357"/>
        <v>0.4232306072026405</v>
      </c>
      <c r="BS135" s="528">
        <f t="shared" si="358"/>
        <v>0.5767693927973595</v>
      </c>
      <c r="BT135" s="528">
        <f t="shared" si="359"/>
        <v>5.8302863054977316E-5</v>
      </c>
      <c r="BU135" s="528">
        <f t="shared" si="360"/>
        <v>0.56029457653045889</v>
      </c>
      <c r="BV135" s="528"/>
      <c r="BW135" s="625">
        <f t="shared" si="361"/>
        <v>6.6035666527753476E-3</v>
      </c>
      <c r="BX135" s="460">
        <f t="shared" si="362"/>
        <v>1566.9564460462893</v>
      </c>
      <c r="BY135" s="173">
        <f t="shared" si="363"/>
        <v>3.9163497959170659</v>
      </c>
      <c r="BZ135" s="5">
        <f t="shared" si="364"/>
        <v>38</v>
      </c>
      <c r="CA135" s="173">
        <f t="shared" si="365"/>
        <v>0.90656748941677778</v>
      </c>
      <c r="CB135" s="5">
        <f t="shared" si="366"/>
        <v>90.656748941677776</v>
      </c>
      <c r="CC135">
        <f t="shared" si="367"/>
        <v>25</v>
      </c>
      <c r="CE135" s="562">
        <f t="shared" si="368"/>
        <v>-50</v>
      </c>
      <c r="CF135">
        <f t="shared" si="369"/>
        <v>-50</v>
      </c>
      <c r="CG135" s="173">
        <f t="shared" si="370"/>
        <v>0.50484663995131218</v>
      </c>
      <c r="CH135" s="173">
        <f t="shared" si="371"/>
        <v>5.8170077890470802E-2</v>
      </c>
      <c r="CI135" s="170">
        <v>25</v>
      </c>
      <c r="CJ135" s="217">
        <f t="shared" si="438"/>
        <v>2.5</v>
      </c>
      <c r="CK135" s="217">
        <f t="shared" si="372"/>
        <v>6.25E-2</v>
      </c>
      <c r="CL135" s="217">
        <f t="shared" si="373"/>
        <v>37.5</v>
      </c>
      <c r="CM135" s="217">
        <f t="shared" si="374"/>
        <v>0.5</v>
      </c>
      <c r="CN135" s="541">
        <f t="shared" si="375"/>
        <v>19</v>
      </c>
      <c r="CO135" s="443">
        <f t="shared" si="376"/>
        <v>15.7</v>
      </c>
      <c r="CP135" s="443">
        <f t="shared" si="377"/>
        <v>34.700000000000003</v>
      </c>
      <c r="CQ135" s="443"/>
      <c r="CR135" s="217">
        <f t="shared" si="378"/>
        <v>0.44767441860465118</v>
      </c>
      <c r="CS135" s="172">
        <f t="shared" si="379"/>
        <v>209.84738372093025</v>
      </c>
      <c r="CT135" s="172">
        <f t="shared" si="380"/>
        <v>2.835271317829458</v>
      </c>
      <c r="CU135" s="217">
        <f t="shared" si="381"/>
        <v>13.989825581395349</v>
      </c>
      <c r="CV135" s="217">
        <f t="shared" si="382"/>
        <v>26.230922965116282</v>
      </c>
      <c r="CW135" s="217">
        <f t="shared" si="383"/>
        <v>15</v>
      </c>
      <c r="CX135" s="217">
        <f t="shared" si="384"/>
        <v>8.9350649350649345</v>
      </c>
      <c r="CY135" s="217">
        <f t="shared" si="385"/>
        <v>5.6431989063568011</v>
      </c>
      <c r="CZ135" s="217">
        <f t="shared" si="386"/>
        <v>6.8293489949540911</v>
      </c>
      <c r="DA135" s="197">
        <f t="shared" si="387"/>
        <v>71.63784822286263</v>
      </c>
      <c r="DB135" s="443">
        <f t="shared" si="388"/>
        <v>80.176080133145675</v>
      </c>
      <c r="DD135" s="217">
        <f t="shared" si="389"/>
        <v>10.000000000000002</v>
      </c>
      <c r="DE135" s="173">
        <f t="shared" si="390"/>
        <v>7.6433121019108299</v>
      </c>
      <c r="DF135" s="173">
        <f t="shared" si="391"/>
        <v>2.7017291066282429</v>
      </c>
      <c r="DG135" s="173"/>
      <c r="DH135" s="173">
        <f t="shared" si="392"/>
        <v>7.6433121019108281</v>
      </c>
      <c r="DI135" s="545">
        <f t="shared" si="393"/>
        <v>65.416666666666671</v>
      </c>
      <c r="DJ135" s="528">
        <f t="shared" si="394"/>
        <v>2.7377521613832849</v>
      </c>
      <c r="DL135" s="173">
        <f t="shared" si="395"/>
        <v>4.2538497969766276</v>
      </c>
      <c r="DM135" s="173">
        <f t="shared" si="396"/>
        <v>10</v>
      </c>
      <c r="DN135" s="173">
        <f t="shared" si="397"/>
        <v>1.0373809523809523</v>
      </c>
      <c r="DP135" s="545">
        <f t="shared" si="398"/>
        <v>2500</v>
      </c>
      <c r="DQ135" s="460">
        <f t="shared" si="399"/>
        <v>65.416666666666671</v>
      </c>
      <c r="DS135" s="460">
        <f t="shared" si="400"/>
        <v>2500</v>
      </c>
      <c r="DT135" s="460">
        <f t="shared" si="401"/>
        <v>65.416666666666671</v>
      </c>
      <c r="DV135" s="5">
        <f t="shared" si="402"/>
        <v>15.286624203821654</v>
      </c>
      <c r="DW135" s="5">
        <f t="shared" si="403"/>
        <v>6.3157894736842106</v>
      </c>
      <c r="DX135" s="5">
        <f t="shared" si="404"/>
        <v>8.9708347301374438</v>
      </c>
      <c r="DY135" s="173">
        <f t="shared" si="405"/>
        <v>0.41315789473684217</v>
      </c>
      <c r="EA135" s="5">
        <f t="shared" si="406"/>
        <v>105.26315789473685</v>
      </c>
      <c r="EB135" s="5">
        <f t="shared" si="407"/>
        <v>4.9342105263157894</v>
      </c>
      <c r="EC135" s="5">
        <f t="shared" si="408"/>
        <v>6.1053775386597842</v>
      </c>
      <c r="ED135" s="5"/>
      <c r="EE135" s="173">
        <f t="shared" si="409"/>
        <v>3.7110550823938744</v>
      </c>
      <c r="EF135" s="173">
        <f t="shared" si="410"/>
        <v>4.4228275468044114</v>
      </c>
      <c r="EG135" s="173">
        <f t="shared" si="411"/>
        <v>0.10892296860365376</v>
      </c>
      <c r="EH135" s="173"/>
      <c r="EI135" s="528">
        <f t="shared" si="412"/>
        <v>0.27543859649122815</v>
      </c>
      <c r="EJ135" s="528">
        <f t="shared" si="413"/>
        <v>0.45399166666666674</v>
      </c>
      <c r="EK135" s="528">
        <f t="shared" si="414"/>
        <v>8.1770833333333331E-3</v>
      </c>
      <c r="EL135" s="528">
        <f t="shared" si="415"/>
        <v>7.8767554166666691E-3</v>
      </c>
      <c r="EM135">
        <f t="shared" si="416"/>
        <v>8.5500000000000003E-3</v>
      </c>
      <c r="EN135" s="460">
        <f t="shared" si="417"/>
        <v>16.727083333333333</v>
      </c>
      <c r="EP135" s="460">
        <f t="shared" si="439"/>
        <v>754.03410190789475</v>
      </c>
      <c r="EQ135" s="173">
        <f t="shared" si="418"/>
        <v>1.75</v>
      </c>
      <c r="ER135" s="173">
        <f t="shared" si="419"/>
        <v>2.7734374999999999E-2</v>
      </c>
      <c r="ES135" s="528"/>
      <c r="EU135" s="460">
        <f t="shared" si="420"/>
        <v>1777.734375</v>
      </c>
      <c r="EV135" s="528">
        <f t="shared" si="421"/>
        <v>0.41315789473684217</v>
      </c>
      <c r="EW135" s="528">
        <f t="shared" si="422"/>
        <v>0.58684210526315783</v>
      </c>
      <c r="EX135" s="528">
        <f t="shared" si="423"/>
        <v>5.9321065447162714E-5</v>
      </c>
      <c r="EY135" s="528">
        <f t="shared" si="424"/>
        <v>0.54725662917055806</v>
      </c>
      <c r="EZ135" s="528"/>
      <c r="FA135" s="625">
        <f t="shared" si="425"/>
        <v>6.5416666666666679E-3</v>
      </c>
      <c r="FB135" s="460">
        <f t="shared" si="426"/>
        <v>1553.8576169026719</v>
      </c>
      <c r="FC135" s="173">
        <f t="shared" si="427"/>
        <v>4.0856260938105677</v>
      </c>
      <c r="FD135" s="5">
        <f t="shared" si="428"/>
        <v>38</v>
      </c>
      <c r="FE135" s="173">
        <f t="shared" si="429"/>
        <v>0.90292110459035246</v>
      </c>
      <c r="FF135" s="5">
        <f t="shared" si="430"/>
        <v>90.292110459035243</v>
      </c>
      <c r="FG135">
        <f t="shared" si="431"/>
        <v>25</v>
      </c>
      <c r="FI135" s="562">
        <f t="shared" si="432"/>
        <v>-50</v>
      </c>
      <c r="FJ135">
        <f t="shared" si="433"/>
        <v>-50</v>
      </c>
    </row>
    <row r="136" spans="5:166">
      <c r="E136" s="170">
        <v>26</v>
      </c>
      <c r="F136" s="217">
        <f t="shared" si="434"/>
        <v>2.6</v>
      </c>
      <c r="G136" s="217">
        <f t="shared" si="313"/>
        <v>6.5000000000000002E-2</v>
      </c>
      <c r="H136" s="217">
        <f t="shared" si="314"/>
        <v>39</v>
      </c>
      <c r="I136" s="217">
        <f t="shared" si="315"/>
        <v>0.52</v>
      </c>
      <c r="J136" s="541">
        <f t="shared" si="316"/>
        <v>18.723315016620045</v>
      </c>
      <c r="K136" s="443">
        <f t="shared" si="317"/>
        <v>15.848559966660831</v>
      </c>
      <c r="L136" s="172">
        <f t="shared" si="318"/>
        <v>34.571874983280878</v>
      </c>
      <c r="M136" s="443"/>
      <c r="N136" s="217">
        <f t="shared" si="319"/>
        <v>0.4584235010199843</v>
      </c>
      <c r="O136" s="172">
        <f t="shared" si="320"/>
        <v>211.75676695606103</v>
      </c>
      <c r="P136" s="172">
        <f t="shared" si="321"/>
        <v>2.8610692068730028</v>
      </c>
      <c r="Q136" s="217">
        <f t="shared" si="322"/>
        <v>14.117117797070735</v>
      </c>
      <c r="R136" s="217">
        <f t="shared" si="323"/>
        <v>26.469595869507629</v>
      </c>
      <c r="S136" s="217">
        <f t="shared" si="324"/>
        <v>15</v>
      </c>
      <c r="T136" s="217">
        <f t="shared" si="325"/>
        <v>9.2086785609293891</v>
      </c>
      <c r="U136" s="217">
        <f t="shared" si="326"/>
        <v>5.9019539346030303</v>
      </c>
      <c r="V136" s="217">
        <f t="shared" si="327"/>
        <v>6.9725036825812667</v>
      </c>
      <c r="W136" s="197">
        <f t="shared" si="328"/>
        <v>71.526730171825065</v>
      </c>
      <c r="X136" s="443">
        <f t="shared" si="435"/>
        <v>76.485008348312576</v>
      </c>
      <c r="Z136" s="217">
        <f t="shared" si="329"/>
        <v>10</v>
      </c>
      <c r="AA136" s="173">
        <f t="shared" si="330"/>
        <v>7.5716658328853255</v>
      </c>
      <c r="AB136" s="173">
        <f t="shared" si="331"/>
        <v>2.6722524620724464</v>
      </c>
      <c r="AC136" s="173"/>
      <c r="AD136" s="173">
        <f t="shared" si="332"/>
        <v>7.5716658328853255</v>
      </c>
      <c r="AE136" s="545">
        <f t="shared" si="333"/>
        <v>68.677093188863594</v>
      </c>
      <c r="AF136" s="528">
        <f t="shared" si="334"/>
        <v>2.7078824949000788</v>
      </c>
      <c r="AH136" s="173">
        <f t="shared" si="335"/>
        <v>4.3380926245353058</v>
      </c>
      <c r="AI136" s="173">
        <f t="shared" si="336"/>
        <v>10</v>
      </c>
      <c r="AJ136" s="173">
        <f t="shared" si="337"/>
        <v>1.0392440532507792</v>
      </c>
      <c r="AL136" s="545">
        <f t="shared" si="338"/>
        <v>2600</v>
      </c>
      <c r="AM136" s="460">
        <f t="shared" si="339"/>
        <v>68.677093188863594</v>
      </c>
      <c r="AO136" s="460">
        <f t="shared" si="340"/>
        <v>2600</v>
      </c>
      <c r="AP136" s="460">
        <f t="shared" si="341"/>
        <v>68.677093188863594</v>
      </c>
      <c r="AR136" s="5">
        <f t="shared" si="443"/>
        <v>14.560895832471779</v>
      </c>
      <c r="AS136" s="5">
        <f t="shared" si="440"/>
        <v>6.4091214559750833</v>
      </c>
      <c r="AT136" s="5">
        <f t="shared" si="441"/>
        <v>8.1517743764966966</v>
      </c>
      <c r="AU136" s="173">
        <f t="shared" si="442"/>
        <v>0.44015983149074595</v>
      </c>
      <c r="AW136" s="5">
        <f t="shared" si="342"/>
        <v>111.09143857023477</v>
      </c>
      <c r="AX136" s="5">
        <f t="shared" si="343"/>
        <v>5.2074111829797562</v>
      </c>
      <c r="AY136" s="5">
        <f t="shared" si="344"/>
        <v>5.8551229033512717</v>
      </c>
      <c r="AZ136" s="5"/>
      <c r="BA136" s="173">
        <f t="shared" si="345"/>
        <v>3.8304039451505458</v>
      </c>
      <c r="BB136" s="173">
        <f t="shared" si="346"/>
        <v>4.3198771915771479</v>
      </c>
      <c r="BC136" s="173">
        <f t="shared" si="347"/>
        <v>0.10638756377688036</v>
      </c>
      <c r="BD136" s="173"/>
      <c r="BE136" s="528">
        <f t="shared" si="348"/>
        <v>0.29343988766049728</v>
      </c>
      <c r="BF136" s="528">
        <f t="shared" si="349"/>
        <v>0.44518047748884804</v>
      </c>
      <c r="BG136" s="528">
        <f t="shared" si="350"/>
        <v>3.21465712550216E-2</v>
      </c>
      <c r="BH136" s="528">
        <f t="shared" si="351"/>
        <v>8.2083860334622623E-3</v>
      </c>
      <c r="BI136">
        <f t="shared" si="352"/>
        <v>8.4254917574790207E-3</v>
      </c>
      <c r="BJ136" s="460">
        <f t="shared" si="436"/>
        <v>40.572063012500614</v>
      </c>
      <c r="BK136">
        <f t="shared" si="353"/>
        <v>0.88796780601362546</v>
      </c>
      <c r="BL136" s="460">
        <f t="shared" si="437"/>
        <v>787.40081419530816</v>
      </c>
      <c r="BM136" s="173">
        <f t="shared" si="354"/>
        <v>1.6152499999999999</v>
      </c>
      <c r="BN136" s="173">
        <f t="shared" si="355"/>
        <v>4.0381249999999994E-2</v>
      </c>
      <c r="BO136" s="528"/>
      <c r="BQ136" s="460">
        <f t="shared" si="356"/>
        <v>1655.6312499999999</v>
      </c>
      <c r="BR136" s="528">
        <f t="shared" si="357"/>
        <v>0.44015983149074595</v>
      </c>
      <c r="BS136" s="528">
        <f t="shared" si="358"/>
        <v>0.55984016850925389</v>
      </c>
      <c r="BT136" s="528">
        <f t="shared" si="359"/>
        <v>5.6591568631898926E-5</v>
      </c>
      <c r="BU136" s="528">
        <f t="shared" si="360"/>
        <v>0.61801606843653378</v>
      </c>
      <c r="BV136" s="528"/>
      <c r="BW136" s="625">
        <f t="shared" si="361"/>
        <v>6.8677093188863605E-3</v>
      </c>
      <c r="BX136" s="460">
        <f t="shared" si="362"/>
        <v>1624.9403693240515</v>
      </c>
      <c r="BY136" s="173">
        <f t="shared" si="363"/>
        <v>4.0679724335193592</v>
      </c>
      <c r="BZ136" s="5">
        <f t="shared" si="364"/>
        <v>39.520000000000003</v>
      </c>
      <c r="CA136" s="173">
        <f t="shared" si="365"/>
        <v>0.90667213438927785</v>
      </c>
      <c r="CB136" s="5">
        <f t="shared" si="366"/>
        <v>90.667213438927789</v>
      </c>
      <c r="CC136">
        <f t="shared" si="367"/>
        <v>26</v>
      </c>
      <c r="CE136" s="562">
        <f t="shared" si="368"/>
        <v>-50</v>
      </c>
      <c r="CF136">
        <f t="shared" si="369"/>
        <v>-50</v>
      </c>
      <c r="CG136" s="173">
        <f t="shared" si="370"/>
        <v>0.52504050554936466</v>
      </c>
      <c r="CH136" s="173">
        <f t="shared" si="371"/>
        <v>6.0496881006089638E-2</v>
      </c>
      <c r="CI136" s="170">
        <v>26</v>
      </c>
      <c r="CJ136" s="217">
        <f t="shared" si="438"/>
        <v>2.6</v>
      </c>
      <c r="CK136" s="217">
        <f t="shared" si="372"/>
        <v>6.5000000000000002E-2</v>
      </c>
      <c r="CL136" s="217">
        <f t="shared" si="373"/>
        <v>39</v>
      </c>
      <c r="CM136" s="217">
        <f t="shared" si="374"/>
        <v>0.52</v>
      </c>
      <c r="CN136" s="541">
        <f t="shared" si="375"/>
        <v>19</v>
      </c>
      <c r="CO136" s="443">
        <f t="shared" si="376"/>
        <v>15.7</v>
      </c>
      <c r="CP136" s="443">
        <f t="shared" si="377"/>
        <v>34.700000000000003</v>
      </c>
      <c r="CQ136" s="443"/>
      <c r="CR136" s="217">
        <f t="shared" si="378"/>
        <v>0.44767441860465118</v>
      </c>
      <c r="CS136" s="172">
        <f t="shared" si="379"/>
        <v>209.84738372093025</v>
      </c>
      <c r="CT136" s="172">
        <f t="shared" si="380"/>
        <v>2.835271317829458</v>
      </c>
      <c r="CU136" s="217">
        <f t="shared" si="381"/>
        <v>13.989825581395349</v>
      </c>
      <c r="CV136" s="217">
        <f t="shared" si="382"/>
        <v>26.230922965116282</v>
      </c>
      <c r="CW136" s="217">
        <f t="shared" si="383"/>
        <v>15</v>
      </c>
      <c r="CX136" s="217">
        <f t="shared" si="384"/>
        <v>9.2924675324675334</v>
      </c>
      <c r="CY136" s="217">
        <f t="shared" si="385"/>
        <v>5.8689268626110742</v>
      </c>
      <c r="CZ136" s="217">
        <f t="shared" si="386"/>
        <v>7.1025229547522555</v>
      </c>
      <c r="DA136" s="197">
        <f t="shared" si="387"/>
        <v>71.63784822286263</v>
      </c>
      <c r="DB136" s="443">
        <f t="shared" si="388"/>
        <v>77.092384743409298</v>
      </c>
      <c r="DD136" s="217">
        <f t="shared" si="389"/>
        <v>10.000000000000002</v>
      </c>
      <c r="DE136" s="173">
        <f t="shared" si="390"/>
        <v>7.6433121019108299</v>
      </c>
      <c r="DF136" s="173">
        <f t="shared" si="391"/>
        <v>2.7017291066282429</v>
      </c>
      <c r="DG136" s="173"/>
      <c r="DH136" s="173">
        <f t="shared" si="392"/>
        <v>7.6433121019108281</v>
      </c>
      <c r="DI136" s="545">
        <f t="shared" si="393"/>
        <v>68.033333333333346</v>
      </c>
      <c r="DJ136" s="528">
        <f t="shared" si="394"/>
        <v>2.7377521613832849</v>
      </c>
      <c r="DL136" s="173">
        <f t="shared" si="395"/>
        <v>4.3380926245353058</v>
      </c>
      <c r="DM136" s="173">
        <f t="shared" si="396"/>
        <v>10</v>
      </c>
      <c r="DN136" s="173">
        <f t="shared" si="397"/>
        <v>1.0388761904761905</v>
      </c>
      <c r="DP136" s="545">
        <f t="shared" si="398"/>
        <v>2600</v>
      </c>
      <c r="DQ136" s="460">
        <f t="shared" si="399"/>
        <v>68.033333333333346</v>
      </c>
      <c r="DS136" s="460">
        <f t="shared" si="400"/>
        <v>2600</v>
      </c>
      <c r="DT136" s="460">
        <f t="shared" si="401"/>
        <v>68.033333333333346</v>
      </c>
      <c r="DV136" s="5">
        <f t="shared" si="402"/>
        <v>14.698677119059282</v>
      </c>
      <c r="DW136" s="5">
        <f t="shared" si="403"/>
        <v>6.3157894736842106</v>
      </c>
      <c r="DX136" s="5">
        <f t="shared" si="404"/>
        <v>8.3828876453750709</v>
      </c>
      <c r="DY136" s="173">
        <f t="shared" si="405"/>
        <v>0.42968421052631589</v>
      </c>
      <c r="EA136" s="5">
        <f t="shared" si="406"/>
        <v>109.47368421052632</v>
      </c>
      <c r="EB136" s="5">
        <f t="shared" si="407"/>
        <v>5.1315789473684212</v>
      </c>
      <c r="EC136" s="5">
        <f t="shared" si="408"/>
        <v>5.9334413460912483</v>
      </c>
      <c r="ED136" s="5"/>
      <c r="EE136" s="173">
        <f t="shared" si="409"/>
        <v>3.784548456228809</v>
      </c>
      <c r="EF136" s="173">
        <f t="shared" si="410"/>
        <v>4.360106227580868</v>
      </c>
      <c r="EG136" s="173">
        <f t="shared" si="411"/>
        <v>0.10737830238905041</v>
      </c>
      <c r="EH136" s="173"/>
      <c r="EI136" s="528">
        <f t="shared" si="412"/>
        <v>0.28645614035087724</v>
      </c>
      <c r="EJ136" s="528">
        <f t="shared" si="413"/>
        <v>0.47215133333333337</v>
      </c>
      <c r="EK136" s="528">
        <f t="shared" si="414"/>
        <v>8.5041666666666668E-3</v>
      </c>
      <c r="EL136" s="528">
        <f t="shared" si="415"/>
        <v>8.191825633333337E-3</v>
      </c>
      <c r="EM136">
        <f t="shared" si="416"/>
        <v>8.5500000000000003E-3</v>
      </c>
      <c r="EN136" s="460">
        <f t="shared" si="417"/>
        <v>17.054166666666667</v>
      </c>
      <c r="EP136" s="460">
        <f t="shared" si="439"/>
        <v>783.85346598421052</v>
      </c>
      <c r="EQ136" s="173">
        <f t="shared" si="418"/>
        <v>1.8199999999999998</v>
      </c>
      <c r="ER136" s="173">
        <f t="shared" si="419"/>
        <v>2.8843749999999998E-2</v>
      </c>
      <c r="ES136" s="528"/>
      <c r="EU136" s="460">
        <f t="shared" si="420"/>
        <v>1848.84375</v>
      </c>
      <c r="EV136" s="528">
        <f t="shared" si="421"/>
        <v>0.42968421052631578</v>
      </c>
      <c r="EW136" s="528">
        <f t="shared" si="422"/>
        <v>0.570315789473684</v>
      </c>
      <c r="EX136" s="528">
        <f t="shared" si="423"/>
        <v>5.765049911977175E-5</v>
      </c>
      <c r="EY136" s="528">
        <f t="shared" si="424"/>
        <v>0.60363495302802295</v>
      </c>
      <c r="EZ136" s="528"/>
      <c r="FA136" s="625">
        <f t="shared" si="425"/>
        <v>6.8033333333333348E-3</v>
      </c>
      <c r="FB136" s="460">
        <f t="shared" si="426"/>
        <v>1610.4959368604759</v>
      </c>
      <c r="FC136" s="173">
        <f t="shared" si="427"/>
        <v>4.243193152844686</v>
      </c>
      <c r="FD136" s="5">
        <f t="shared" si="428"/>
        <v>39.520000000000003</v>
      </c>
      <c r="FE136" s="173">
        <f t="shared" si="429"/>
        <v>0.90304196638428169</v>
      </c>
      <c r="FF136" s="5">
        <f t="shared" si="430"/>
        <v>90.304196638428166</v>
      </c>
      <c r="FG136">
        <f t="shared" si="431"/>
        <v>26</v>
      </c>
      <c r="FI136" s="562">
        <f t="shared" si="432"/>
        <v>-50</v>
      </c>
      <c r="FJ136">
        <f t="shared" si="433"/>
        <v>-50</v>
      </c>
    </row>
    <row r="137" spans="5:166">
      <c r="E137" s="170">
        <v>27</v>
      </c>
      <c r="F137" s="217">
        <f t="shared" si="434"/>
        <v>2.7</v>
      </c>
      <c r="G137" s="217">
        <f t="shared" si="313"/>
        <v>6.7500000000000004E-2</v>
      </c>
      <c r="H137" s="217">
        <f t="shared" si="314"/>
        <v>40.5</v>
      </c>
      <c r="I137" s="217">
        <f t="shared" si="315"/>
        <v>0.54</v>
      </c>
      <c r="J137" s="541">
        <f t="shared" si="316"/>
        <v>18.723315016620045</v>
      </c>
      <c r="K137" s="443">
        <f t="shared" si="317"/>
        <v>15.848559966660831</v>
      </c>
      <c r="L137" s="172">
        <f t="shared" si="318"/>
        <v>34.571874983280878</v>
      </c>
      <c r="M137" s="443"/>
      <c r="N137" s="217">
        <f t="shared" si="319"/>
        <v>0.4584235010199843</v>
      </c>
      <c r="O137" s="172">
        <f t="shared" si="320"/>
        <v>211.75676695606103</v>
      </c>
      <c r="P137" s="172">
        <f t="shared" si="321"/>
        <v>2.8610692068730028</v>
      </c>
      <c r="Q137" s="217">
        <f t="shared" si="322"/>
        <v>14.117117797070735</v>
      </c>
      <c r="R137" s="217">
        <f t="shared" si="323"/>
        <v>26.469595869507629</v>
      </c>
      <c r="S137" s="217">
        <f t="shared" si="324"/>
        <v>15</v>
      </c>
      <c r="T137" s="217">
        <f t="shared" si="325"/>
        <v>9.56285850558052</v>
      </c>
      <c r="U137" s="217">
        <f t="shared" si="326"/>
        <v>6.1289521628569936</v>
      </c>
      <c r="V137" s="217">
        <f t="shared" si="327"/>
        <v>7.2406769011420842</v>
      </c>
      <c r="W137" s="197">
        <f t="shared" si="328"/>
        <v>71.526730171825065</v>
      </c>
      <c r="X137" s="443">
        <f t="shared" si="435"/>
        <v>73.693982000808802</v>
      </c>
      <c r="Z137" s="217">
        <f t="shared" si="329"/>
        <v>10</v>
      </c>
      <c r="AA137" s="173">
        <f t="shared" si="330"/>
        <v>7.5716658328853255</v>
      </c>
      <c r="AB137" s="173">
        <f t="shared" si="331"/>
        <v>2.6722524620724464</v>
      </c>
      <c r="AC137" s="173"/>
      <c r="AD137" s="173">
        <f t="shared" si="332"/>
        <v>7.5716658328853255</v>
      </c>
      <c r="AE137" s="545">
        <f t="shared" si="333"/>
        <v>71.31851984997374</v>
      </c>
      <c r="AF137" s="528">
        <f t="shared" si="334"/>
        <v>2.7078824949000788</v>
      </c>
      <c r="AH137" s="173">
        <f t="shared" si="335"/>
        <v>4.4207303856780431</v>
      </c>
      <c r="AI137" s="173">
        <f t="shared" si="336"/>
        <v>10</v>
      </c>
      <c r="AJ137" s="173">
        <f t="shared" si="337"/>
        <v>1.0407534399142706</v>
      </c>
      <c r="AL137" s="545">
        <f t="shared" si="338"/>
        <v>2700</v>
      </c>
      <c r="AM137" s="460">
        <f t="shared" si="339"/>
        <v>71.31851984997374</v>
      </c>
      <c r="AO137" s="460">
        <f t="shared" si="340"/>
        <v>2700</v>
      </c>
      <c r="AP137" s="460">
        <f t="shared" si="341"/>
        <v>71.31851984997374</v>
      </c>
      <c r="AR137" s="5">
        <f t="shared" si="443"/>
        <v>14.021603394232084</v>
      </c>
      <c r="AS137" s="5">
        <f t="shared" si="440"/>
        <v>6.4091214559750833</v>
      </c>
      <c r="AT137" s="5">
        <f t="shared" si="441"/>
        <v>7.6124819382570008</v>
      </c>
      <c r="AU137" s="173">
        <f t="shared" si="442"/>
        <v>0.45708905577885156</v>
      </c>
      <c r="AW137" s="5">
        <f t="shared" si="342"/>
        <v>115.3641862075515</v>
      </c>
      <c r="AX137" s="5">
        <f t="shared" si="343"/>
        <v>5.4076962284789767</v>
      </c>
      <c r="AY137" s="5">
        <f t="shared" si="344"/>
        <v>5.6780675678450629</v>
      </c>
      <c r="AZ137" s="5"/>
      <c r="BA137" s="173">
        <f t="shared" si="345"/>
        <v>3.9033705767317368</v>
      </c>
      <c r="BB137" s="173">
        <f t="shared" si="346"/>
        <v>4.2540605865500174</v>
      </c>
      <c r="BC137" s="173">
        <f t="shared" si="347"/>
        <v>0.10476666856287888</v>
      </c>
      <c r="BD137" s="173"/>
      <c r="BE137" s="528">
        <f t="shared" si="348"/>
        <v>0.30472603718590102</v>
      </c>
      <c r="BF137" s="528">
        <f t="shared" si="349"/>
        <v>0.46230280354611147</v>
      </c>
      <c r="BG137" s="528">
        <f t="shared" si="350"/>
        <v>3.3382977841753203E-2</v>
      </c>
      <c r="BH137" s="528">
        <f t="shared" si="351"/>
        <v>8.5240931885954274E-3</v>
      </c>
      <c r="BI137">
        <f t="shared" si="352"/>
        <v>8.4254917574790207E-3</v>
      </c>
      <c r="BJ137" s="460">
        <f t="shared" si="436"/>
        <v>41.808469599232218</v>
      </c>
      <c r="BK137">
        <f t="shared" si="353"/>
        <v>0.92478617053906531</v>
      </c>
      <c r="BL137" s="460">
        <f t="shared" si="437"/>
        <v>817.36140351984011</v>
      </c>
      <c r="BM137" s="173">
        <f t="shared" si="354"/>
        <v>1.6773749999999998</v>
      </c>
      <c r="BN137" s="173">
        <f t="shared" si="355"/>
        <v>4.1934374999999996E-2</v>
      </c>
      <c r="BO137" s="528"/>
      <c r="BQ137" s="460">
        <f t="shared" si="356"/>
        <v>1719.3093749999998</v>
      </c>
      <c r="BR137" s="528">
        <f t="shared" si="357"/>
        <v>0.45708905577885156</v>
      </c>
      <c r="BS137" s="528">
        <f t="shared" si="358"/>
        <v>0.54291094422114827</v>
      </c>
      <c r="BT137" s="528">
        <f t="shared" si="359"/>
        <v>5.4880274208820563E-5</v>
      </c>
      <c r="BU137" s="528">
        <f t="shared" si="360"/>
        <v>0.67916579824142853</v>
      </c>
      <c r="BV137" s="528"/>
      <c r="BW137" s="625">
        <f t="shared" si="361"/>
        <v>7.1318519849973743E-3</v>
      </c>
      <c r="BX137" s="460">
        <f t="shared" si="362"/>
        <v>1686.3525305006347</v>
      </c>
      <c r="BY137" s="173">
        <f t="shared" si="363"/>
        <v>4.2230233090204745</v>
      </c>
      <c r="BZ137" s="5">
        <f t="shared" si="364"/>
        <v>41.04</v>
      </c>
      <c r="CA137" s="173">
        <f t="shared" si="365"/>
        <v>0.90670037040634732</v>
      </c>
      <c r="CB137" s="5">
        <f t="shared" si="366"/>
        <v>90.670037040634739</v>
      </c>
      <c r="CC137">
        <f t="shared" si="367"/>
        <v>27</v>
      </c>
      <c r="CE137" s="562">
        <f t="shared" si="368"/>
        <v>-50</v>
      </c>
      <c r="CF137">
        <f t="shared" si="369"/>
        <v>-50</v>
      </c>
      <c r="CG137" s="173">
        <f t="shared" si="370"/>
        <v>0.54523437114741724</v>
      </c>
      <c r="CH137" s="173">
        <f t="shared" si="371"/>
        <v>6.2823684121708467E-2</v>
      </c>
      <c r="CI137" s="170">
        <v>27</v>
      </c>
      <c r="CJ137" s="217">
        <f t="shared" si="438"/>
        <v>2.7</v>
      </c>
      <c r="CK137" s="217">
        <f t="shared" si="372"/>
        <v>6.7500000000000004E-2</v>
      </c>
      <c r="CL137" s="217">
        <f t="shared" si="373"/>
        <v>40.5</v>
      </c>
      <c r="CM137" s="217">
        <f t="shared" si="374"/>
        <v>0.54</v>
      </c>
      <c r="CN137" s="541">
        <f t="shared" si="375"/>
        <v>19</v>
      </c>
      <c r="CO137" s="443">
        <f t="shared" si="376"/>
        <v>15.7</v>
      </c>
      <c r="CP137" s="443">
        <f t="shared" si="377"/>
        <v>34.700000000000003</v>
      </c>
      <c r="CQ137" s="443"/>
      <c r="CR137" s="217">
        <f t="shared" si="378"/>
        <v>0.44767441860465118</v>
      </c>
      <c r="CS137" s="172">
        <f t="shared" si="379"/>
        <v>209.84738372093025</v>
      </c>
      <c r="CT137" s="172">
        <f t="shared" si="380"/>
        <v>2.835271317829458</v>
      </c>
      <c r="CU137" s="217">
        <f t="shared" si="381"/>
        <v>13.989825581395349</v>
      </c>
      <c r="CV137" s="217">
        <f t="shared" si="382"/>
        <v>26.230922965116282</v>
      </c>
      <c r="CW137" s="217">
        <f t="shared" si="383"/>
        <v>15</v>
      </c>
      <c r="CX137" s="217">
        <f t="shared" si="384"/>
        <v>9.6498701298701288</v>
      </c>
      <c r="CY137" s="217">
        <f t="shared" si="385"/>
        <v>6.0946548188653447</v>
      </c>
      <c r="CZ137" s="217">
        <f t="shared" si="386"/>
        <v>7.3756969145504172</v>
      </c>
      <c r="DA137" s="197">
        <f t="shared" si="387"/>
        <v>71.63784822286263</v>
      </c>
      <c r="DB137" s="443">
        <f t="shared" si="388"/>
        <v>74.237111234394149</v>
      </c>
      <c r="DD137" s="217">
        <f t="shared" si="389"/>
        <v>10.000000000000002</v>
      </c>
      <c r="DE137" s="173">
        <f t="shared" si="390"/>
        <v>7.6433121019108299</v>
      </c>
      <c r="DF137" s="173">
        <f t="shared" si="391"/>
        <v>2.7017291066282429</v>
      </c>
      <c r="DG137" s="173"/>
      <c r="DH137" s="173">
        <f t="shared" si="392"/>
        <v>7.6433121019108281</v>
      </c>
      <c r="DI137" s="545">
        <f t="shared" si="393"/>
        <v>70.65000000000002</v>
      </c>
      <c r="DJ137" s="528">
        <f t="shared" si="394"/>
        <v>2.7377521613832849</v>
      </c>
      <c r="DL137" s="173">
        <f t="shared" si="395"/>
        <v>4.4207303856780431</v>
      </c>
      <c r="DM137" s="173">
        <f t="shared" si="396"/>
        <v>10</v>
      </c>
      <c r="DN137" s="173">
        <f t="shared" si="397"/>
        <v>1.0403714285714285</v>
      </c>
      <c r="DP137" s="545">
        <f t="shared" si="398"/>
        <v>2700</v>
      </c>
      <c r="DQ137" s="460">
        <f t="shared" si="399"/>
        <v>70.65000000000002</v>
      </c>
      <c r="DS137" s="460">
        <f t="shared" si="400"/>
        <v>2700</v>
      </c>
      <c r="DT137" s="460">
        <f t="shared" si="401"/>
        <v>70.65000000000002</v>
      </c>
      <c r="DV137" s="5">
        <f t="shared" si="402"/>
        <v>14.154281670205233</v>
      </c>
      <c r="DW137" s="5">
        <f t="shared" si="403"/>
        <v>6.3157894736842106</v>
      </c>
      <c r="DX137" s="5">
        <f t="shared" si="404"/>
        <v>7.8384921965210221</v>
      </c>
      <c r="DY137" s="173">
        <f t="shared" si="405"/>
        <v>0.44621052631578961</v>
      </c>
      <c r="EA137" s="5">
        <f t="shared" si="406"/>
        <v>113.68421052631581</v>
      </c>
      <c r="EB137" s="5">
        <f t="shared" si="407"/>
        <v>5.3289473684210531</v>
      </c>
      <c r="EC137" s="5">
        <f t="shared" si="408"/>
        <v>5.7615051535227115</v>
      </c>
      <c r="ED137" s="5"/>
      <c r="EE137" s="173">
        <f t="shared" si="409"/>
        <v>3.8566415714357385</v>
      </c>
      <c r="EF137" s="173">
        <f t="shared" si="410"/>
        <v>4.2964693787814916</v>
      </c>
      <c r="EG137" s="173">
        <f t="shared" si="411"/>
        <v>0.10581108901469713</v>
      </c>
      <c r="EH137" s="173"/>
      <c r="EI137" s="528">
        <f t="shared" si="412"/>
        <v>0.29747368421052645</v>
      </c>
      <c r="EJ137" s="528">
        <f t="shared" si="413"/>
        <v>0.49031100000000016</v>
      </c>
      <c r="EK137" s="528">
        <f t="shared" si="414"/>
        <v>8.8312500000000023E-3</v>
      </c>
      <c r="EL137" s="528">
        <f t="shared" si="415"/>
        <v>8.5068958500000048E-3</v>
      </c>
      <c r="EM137">
        <f t="shared" si="416"/>
        <v>8.5500000000000003E-3</v>
      </c>
      <c r="EN137" s="460">
        <f t="shared" si="417"/>
        <v>17.381250000000001</v>
      </c>
      <c r="EP137" s="460">
        <f t="shared" si="439"/>
        <v>813.67283006052651</v>
      </c>
      <c r="EQ137" s="173">
        <f t="shared" si="418"/>
        <v>1.89</v>
      </c>
      <c r="ER137" s="173">
        <f t="shared" si="419"/>
        <v>2.9953125000000001E-2</v>
      </c>
      <c r="ES137" s="528"/>
      <c r="EU137" s="460">
        <f t="shared" si="420"/>
        <v>1919.953125</v>
      </c>
      <c r="EV137" s="528">
        <f t="shared" si="421"/>
        <v>0.44621052631578967</v>
      </c>
      <c r="EW137" s="528">
        <f t="shared" si="422"/>
        <v>0.55378947368421039</v>
      </c>
      <c r="EX137" s="528">
        <f t="shared" si="423"/>
        <v>5.5979932792380799E-5</v>
      </c>
      <c r="EY137" s="528">
        <f t="shared" si="424"/>
        <v>0.66336174034575923</v>
      </c>
      <c r="EZ137" s="528"/>
      <c r="FA137" s="625">
        <f t="shared" si="425"/>
        <v>7.0650000000000027E-3</v>
      </c>
      <c r="FB137" s="460">
        <f t="shared" si="426"/>
        <v>1670.4827202785518</v>
      </c>
      <c r="FC137" s="173">
        <f t="shared" si="427"/>
        <v>4.4041086753390779</v>
      </c>
      <c r="FD137" s="5">
        <f t="shared" si="428"/>
        <v>41.04</v>
      </c>
      <c r="FE137" s="173">
        <f t="shared" si="429"/>
        <v>0.9030873571137058</v>
      </c>
      <c r="FF137" s="5">
        <f t="shared" si="430"/>
        <v>90.308735711370574</v>
      </c>
      <c r="FG137">
        <f t="shared" si="431"/>
        <v>27</v>
      </c>
      <c r="FI137" s="562">
        <f t="shared" si="432"/>
        <v>-50</v>
      </c>
      <c r="FJ137">
        <f t="shared" si="433"/>
        <v>-50</v>
      </c>
    </row>
    <row r="138" spans="5:166">
      <c r="E138" s="170">
        <v>28</v>
      </c>
      <c r="F138" s="217">
        <f t="shared" si="434"/>
        <v>2.8000000000000003</v>
      </c>
      <c r="G138" s="217">
        <f t="shared" si="313"/>
        <v>7.0000000000000007E-2</v>
      </c>
      <c r="H138" s="217">
        <f t="shared" si="314"/>
        <v>42.000000000000007</v>
      </c>
      <c r="I138" s="217">
        <f t="shared" si="315"/>
        <v>0.56000000000000005</v>
      </c>
      <c r="J138" s="541">
        <f t="shared" si="316"/>
        <v>18.714891263986441</v>
      </c>
      <c r="K138" s="443">
        <f t="shared" si="317"/>
        <v>15.853410526315789</v>
      </c>
      <c r="L138" s="172">
        <f t="shared" si="318"/>
        <v>34.568301790302229</v>
      </c>
      <c r="M138" s="443"/>
      <c r="N138" s="217">
        <f t="shared" si="319"/>
        <v>0.458611204637287</v>
      </c>
      <c r="O138" s="172">
        <f t="shared" si="320"/>
        <v>211.74816185606895</v>
      </c>
      <c r="P138" s="172">
        <f t="shared" si="321"/>
        <v>2.8609529424108873</v>
      </c>
      <c r="Q138" s="217">
        <f t="shared" si="322"/>
        <v>14.116544123737929</v>
      </c>
      <c r="R138" s="217">
        <f t="shared" si="323"/>
        <v>26.468520232008618</v>
      </c>
      <c r="S138" s="217">
        <f t="shared" si="324"/>
        <v>15</v>
      </c>
      <c r="T138" s="217">
        <f t="shared" si="325"/>
        <v>9.917441462502179</v>
      </c>
      <c r="U138" s="217">
        <f t="shared" si="326"/>
        <v>6.3590696772595674</v>
      </c>
      <c r="V138" s="217">
        <f t="shared" si="327"/>
        <v>7.5068577422175027</v>
      </c>
      <c r="W138" s="197">
        <f t="shared" si="328"/>
        <v>71.523823560272163</v>
      </c>
      <c r="X138" s="443">
        <f t="shared" si="435"/>
        <v>71.093783593344966</v>
      </c>
      <c r="Z138" s="217">
        <f t="shared" si="329"/>
        <v>10</v>
      </c>
      <c r="AA138" s="173">
        <f t="shared" si="330"/>
        <v>7.5693491820455039</v>
      </c>
      <c r="AB138" s="173">
        <f t="shared" si="331"/>
        <v>2.6713262929081236</v>
      </c>
      <c r="AC138" s="173"/>
      <c r="AD138" s="173">
        <f t="shared" si="332"/>
        <v>7.5693491820455039</v>
      </c>
      <c r="AE138" s="545">
        <f t="shared" si="333"/>
        <v>73.982582456140364</v>
      </c>
      <c r="AF138" s="528">
        <f t="shared" si="334"/>
        <v>2.706943976813565</v>
      </c>
      <c r="AH138" s="173">
        <f t="shared" si="335"/>
        <v>4.5018514709691022</v>
      </c>
      <c r="AI138" s="173">
        <f t="shared" si="336"/>
        <v>10</v>
      </c>
      <c r="AJ138" s="173">
        <f t="shared" si="337"/>
        <v>1.2</v>
      </c>
      <c r="AL138" s="545">
        <f t="shared" si="338"/>
        <v>2800.0000000000005</v>
      </c>
      <c r="AM138" s="460">
        <f t="shared" si="339"/>
        <v>71.093783593344966</v>
      </c>
      <c r="AO138" s="460">
        <f t="shared" si="340"/>
        <v>2800.0000000000005</v>
      </c>
      <c r="AP138" s="460">
        <f t="shared" si="341"/>
        <v>71.093783593344966</v>
      </c>
      <c r="AR138" s="5">
        <f t="shared" si="443"/>
        <v>14.06592741947707</v>
      </c>
      <c r="AS138" s="5">
        <f t="shared" si="440"/>
        <v>6.4120062632113264</v>
      </c>
      <c r="AT138" s="5">
        <f t="shared" si="441"/>
        <v>7.6539211562657439</v>
      </c>
      <c r="AU138" s="173">
        <f t="shared" si="442"/>
        <v>0.45585378567591855</v>
      </c>
      <c r="AW138" s="5">
        <f t="shared" si="342"/>
        <v>119.69078357994476</v>
      </c>
      <c r="AX138" s="5">
        <f t="shared" si="343"/>
        <v>5.6105054803099108</v>
      </c>
      <c r="AY138" s="5">
        <f t="shared" si="344"/>
        <v>5.9230850473226111</v>
      </c>
      <c r="AZ138" s="5"/>
      <c r="BA138" s="173">
        <f t="shared" si="345"/>
        <v>3.8980926347634797</v>
      </c>
      <c r="BB138" s="173">
        <f t="shared" si="346"/>
        <v>4.258897409440153</v>
      </c>
      <c r="BC138" s="173">
        <f t="shared" si="347"/>
        <v>0.10488578718150653</v>
      </c>
      <c r="BD138" s="173"/>
      <c r="BE138" s="528">
        <f t="shared" si="348"/>
        <v>0.30390252378394578</v>
      </c>
      <c r="BF138" s="528">
        <f t="shared" si="349"/>
        <v>0.4607983812504724</v>
      </c>
      <c r="BG138" s="528">
        <f t="shared" si="350"/>
        <v>3.3262810737370856E-2</v>
      </c>
      <c r="BH138" s="528">
        <f t="shared" si="351"/>
        <v>8.4954760040261736E-3</v>
      </c>
      <c r="BI138">
        <f t="shared" si="352"/>
        <v>8.4217010687938978E-3</v>
      </c>
      <c r="BJ138" s="460">
        <f t="shared" si="436"/>
        <v>41.684511806164757</v>
      </c>
      <c r="BK138">
        <f t="shared" si="353"/>
        <v>0.92181152840474612</v>
      </c>
      <c r="BL138" s="460">
        <f t="shared" si="437"/>
        <v>814.88089284460921</v>
      </c>
      <c r="BM138" s="173">
        <f t="shared" si="354"/>
        <v>1.7394999999999998</v>
      </c>
      <c r="BN138" s="173">
        <f t="shared" si="355"/>
        <v>4.3487499999999998E-2</v>
      </c>
      <c r="BO138" s="528"/>
      <c r="BQ138" s="460">
        <f t="shared" si="356"/>
        <v>1782.9874999999997</v>
      </c>
      <c r="BR138" s="528">
        <f t="shared" si="357"/>
        <v>0.45585378567591861</v>
      </c>
      <c r="BS138" s="528">
        <f t="shared" si="358"/>
        <v>0.54414621432408139</v>
      </c>
      <c r="BT138" s="528">
        <f t="shared" si="359"/>
        <v>5.5005141763421395E-5</v>
      </c>
      <c r="BU138" s="528">
        <f t="shared" si="360"/>
        <v>0.67382803183819329</v>
      </c>
      <c r="BV138" s="528"/>
      <c r="BW138" s="625">
        <f t="shared" si="361"/>
        <v>7.1093783593344975E-3</v>
      </c>
      <c r="BX138" s="460">
        <f t="shared" si="362"/>
        <v>1680.9924153392913</v>
      </c>
      <c r="BY138" s="173">
        <f t="shared" si="363"/>
        <v>4.278860808183901</v>
      </c>
      <c r="BZ138" s="5">
        <f t="shared" si="364"/>
        <v>42.560000000000009</v>
      </c>
      <c r="CA138" s="173">
        <f t="shared" si="365"/>
        <v>0.90864720588088521</v>
      </c>
      <c r="CB138" s="5">
        <f t="shared" si="366"/>
        <v>90.864720588088517</v>
      </c>
      <c r="CC138">
        <f t="shared" si="367"/>
        <v>28.000000000000004</v>
      </c>
      <c r="CE138" s="562">
        <f t="shared" si="368"/>
        <v>-50</v>
      </c>
      <c r="CF138">
        <f t="shared" si="369"/>
        <v>-50</v>
      </c>
      <c r="CG138" s="173">
        <f t="shared" si="370"/>
        <v>0.54755043227665712</v>
      </c>
      <c r="CH138" s="173">
        <f t="shared" si="371"/>
        <v>6.4398811101315845E-2</v>
      </c>
      <c r="CI138" s="170">
        <v>28</v>
      </c>
      <c r="CJ138" s="217">
        <f t="shared" si="438"/>
        <v>2.8000000000000003</v>
      </c>
      <c r="CK138" s="217">
        <f t="shared" si="372"/>
        <v>7.0000000000000007E-2</v>
      </c>
      <c r="CL138" s="217">
        <f t="shared" si="373"/>
        <v>42.000000000000007</v>
      </c>
      <c r="CM138" s="217">
        <f t="shared" si="374"/>
        <v>0.56000000000000005</v>
      </c>
      <c r="CN138" s="541">
        <f t="shared" si="375"/>
        <v>19</v>
      </c>
      <c r="CO138" s="443">
        <f t="shared" si="376"/>
        <v>15.7</v>
      </c>
      <c r="CP138" s="443">
        <f t="shared" si="377"/>
        <v>34.700000000000003</v>
      </c>
      <c r="CQ138" s="443"/>
      <c r="CR138" s="217">
        <f t="shared" si="378"/>
        <v>0.44767441860465118</v>
      </c>
      <c r="CS138" s="172">
        <f t="shared" si="379"/>
        <v>209.84738372093025</v>
      </c>
      <c r="CT138" s="172">
        <f t="shared" si="380"/>
        <v>2.835271317829458</v>
      </c>
      <c r="CU138" s="217">
        <f t="shared" si="381"/>
        <v>13.989825581395349</v>
      </c>
      <c r="CV138" s="217">
        <f t="shared" si="382"/>
        <v>26.230922965116282</v>
      </c>
      <c r="CW138" s="217">
        <f t="shared" si="383"/>
        <v>15</v>
      </c>
      <c r="CX138" s="217">
        <f t="shared" si="384"/>
        <v>10.00727272727273</v>
      </c>
      <c r="CY138" s="217">
        <f t="shared" si="385"/>
        <v>6.3203827751196195</v>
      </c>
      <c r="CZ138" s="217">
        <f t="shared" si="386"/>
        <v>7.6488708743485843</v>
      </c>
      <c r="DA138" s="197">
        <f t="shared" si="387"/>
        <v>71.63784822286263</v>
      </c>
      <c r="DB138" s="443">
        <f t="shared" si="388"/>
        <v>71.585785833165758</v>
      </c>
      <c r="DD138" s="217">
        <f t="shared" si="389"/>
        <v>10.000000000000002</v>
      </c>
      <c r="DE138" s="173">
        <f t="shared" si="390"/>
        <v>7.6433121019108299</v>
      </c>
      <c r="DF138" s="173">
        <f t="shared" si="391"/>
        <v>2.7017291066282429</v>
      </c>
      <c r="DG138" s="173"/>
      <c r="DH138" s="173">
        <f t="shared" si="392"/>
        <v>7.6433121019108281</v>
      </c>
      <c r="DI138" s="545">
        <f t="shared" si="393"/>
        <v>73.26666666666668</v>
      </c>
      <c r="DJ138" s="528">
        <f t="shared" si="394"/>
        <v>2.7377521613832849</v>
      </c>
      <c r="DL138" s="173">
        <f t="shared" si="395"/>
        <v>4.5018514709691022</v>
      </c>
      <c r="DM138" s="173">
        <f t="shared" si="396"/>
        <v>10.00727272727273</v>
      </c>
      <c r="DN138" s="173">
        <f t="shared" si="397"/>
        <v>1.205387205387207</v>
      </c>
      <c r="DP138" s="545">
        <f t="shared" si="398"/>
        <v>2800.0000000000005</v>
      </c>
      <c r="DQ138" s="460">
        <f t="shared" si="399"/>
        <v>71.585785833165758</v>
      </c>
      <c r="DS138" s="460">
        <f t="shared" si="400"/>
        <v>2800.0000000000005</v>
      </c>
      <c r="DT138" s="460">
        <f t="shared" si="401"/>
        <v>71.585785833165758</v>
      </c>
      <c r="DV138" s="5">
        <f t="shared" si="402"/>
        <v>13.969253649468204</v>
      </c>
      <c r="DW138" s="5">
        <f t="shared" si="403"/>
        <v>6.3203827751196195</v>
      </c>
      <c r="DX138" s="5">
        <f t="shared" si="404"/>
        <v>7.6488708743485843</v>
      </c>
      <c r="DY138" s="173">
        <f t="shared" si="405"/>
        <v>0.45244956772334294</v>
      </c>
      <c r="EA138" s="5">
        <f t="shared" si="406"/>
        <v>117.98047846889958</v>
      </c>
      <c r="EB138" s="5">
        <f t="shared" si="407"/>
        <v>5.5303349282296672</v>
      </c>
      <c r="EC138" s="5">
        <f t="shared" si="408"/>
        <v>5.8303552944217891</v>
      </c>
      <c r="ED138" s="5"/>
      <c r="EE138" s="173">
        <f t="shared" si="409"/>
        <v>3.886334672059927</v>
      </c>
      <c r="EF138" s="173">
        <f t="shared" si="410"/>
        <v>4.2753056767226658</v>
      </c>
      <c r="EG138" s="173">
        <f t="shared" si="411"/>
        <v>0.1052898809796798</v>
      </c>
      <c r="EH138" s="173"/>
      <c r="EI138" s="528">
        <f t="shared" si="412"/>
        <v>0.30207194366510282</v>
      </c>
      <c r="EJ138" s="528">
        <f t="shared" si="413"/>
        <v>0.49716666666666665</v>
      </c>
      <c r="EK138" s="528">
        <f t="shared" si="414"/>
        <v>8.9482232291457197E-3</v>
      </c>
      <c r="EL138" s="528">
        <f t="shared" si="415"/>
        <v>8.6195728863856565E-3</v>
      </c>
      <c r="EM138">
        <f t="shared" si="416"/>
        <v>8.5500000000000003E-3</v>
      </c>
      <c r="EN138" s="460">
        <f t="shared" si="417"/>
        <v>17.498223229145719</v>
      </c>
      <c r="EP138" s="460">
        <f t="shared" si="439"/>
        <v>825.35640644730074</v>
      </c>
      <c r="EQ138" s="173">
        <f t="shared" si="418"/>
        <v>1.96</v>
      </c>
      <c r="ER138" s="173">
        <f t="shared" si="419"/>
        <v>3.10625E-2</v>
      </c>
      <c r="ES138" s="528"/>
      <c r="EU138" s="460">
        <f t="shared" si="420"/>
        <v>1991.0625</v>
      </c>
      <c r="EV138" s="528">
        <f t="shared" si="421"/>
        <v>0.45310791549765417</v>
      </c>
      <c r="EW138" s="528">
        <f t="shared" si="422"/>
        <v>0.54834715888251151</v>
      </c>
      <c r="EX138" s="528">
        <f t="shared" si="423"/>
        <v>5.5429795183575684E-5</v>
      </c>
      <c r="EY138" s="528">
        <f t="shared" si="424"/>
        <v>0.6867937521027887</v>
      </c>
      <c r="EZ138" s="528"/>
      <c r="FA138" s="625">
        <f t="shared" si="425"/>
        <v>7.168994847611564E-3</v>
      </c>
      <c r="FB138" s="460">
        <f t="shared" si="426"/>
        <v>1695.4732511257494</v>
      </c>
      <c r="FC138" s="173">
        <f t="shared" si="427"/>
        <v>4.5118921575730502</v>
      </c>
      <c r="FD138" s="5">
        <f t="shared" si="428"/>
        <v>42.560000000000009</v>
      </c>
      <c r="FE138" s="173">
        <f t="shared" si="429"/>
        <v>0.90414891029938838</v>
      </c>
      <c r="FF138" s="5">
        <f t="shared" si="430"/>
        <v>90.414891029938843</v>
      </c>
      <c r="FG138">
        <f t="shared" si="431"/>
        <v>28.000000000000004</v>
      </c>
      <c r="FI138" s="562">
        <f t="shared" si="432"/>
        <v>-50</v>
      </c>
      <c r="FJ138">
        <f t="shared" si="433"/>
        <v>-50</v>
      </c>
    </row>
    <row r="139" spans="5:166">
      <c r="E139" s="170">
        <v>29</v>
      </c>
      <c r="F139" s="217">
        <f t="shared" si="434"/>
        <v>2.9</v>
      </c>
      <c r="G139" s="217">
        <f t="shared" si="313"/>
        <v>7.2499999999999995E-2</v>
      </c>
      <c r="H139" s="217">
        <f t="shared" si="314"/>
        <v>43.5</v>
      </c>
      <c r="I139" s="217">
        <f t="shared" si="315"/>
        <v>0.57999999999999996</v>
      </c>
      <c r="J139" s="541">
        <f t="shared" si="316"/>
        <v>18.704708809128814</v>
      </c>
      <c r="K139" s="443">
        <f t="shared" si="317"/>
        <v>15.85888947368421</v>
      </c>
      <c r="L139" s="172">
        <f t="shared" si="318"/>
        <v>34.563598282813025</v>
      </c>
      <c r="M139" s="443"/>
      <c r="N139" s="217">
        <f t="shared" si="319"/>
        <v>0.45883213153678348</v>
      </c>
      <c r="O139" s="172">
        <f t="shared" si="320"/>
        <v>211.73490327304498</v>
      </c>
      <c r="P139" s="172">
        <f t="shared" si="321"/>
        <v>2.8607738042224748</v>
      </c>
      <c r="Q139" s="217">
        <f t="shared" si="322"/>
        <v>14.115660218202999</v>
      </c>
      <c r="R139" s="217">
        <f t="shared" si="323"/>
        <v>26.466862909130622</v>
      </c>
      <c r="S139" s="217">
        <f t="shared" si="324"/>
        <v>15</v>
      </c>
      <c r="T139" s="217">
        <f t="shared" si="325"/>
        <v>10.272278997833462</v>
      </c>
      <c r="U139" s="217">
        <f t="shared" si="326"/>
        <v>6.5901773308462852</v>
      </c>
      <c r="V139" s="217">
        <f t="shared" si="327"/>
        <v>7.7727603927467852</v>
      </c>
      <c r="W139" s="197">
        <f t="shared" si="328"/>
        <v>71.519345105561882</v>
      </c>
      <c r="X139" s="443">
        <f t="shared" si="435"/>
        <v>68.667463871655769</v>
      </c>
      <c r="Z139" s="217">
        <f t="shared" si="329"/>
        <v>10</v>
      </c>
      <c r="AA139" s="173">
        <f t="shared" si="330"/>
        <v>7.5667341145875691</v>
      </c>
      <c r="AB139" s="173">
        <f t="shared" si="331"/>
        <v>2.6702361930750818</v>
      </c>
      <c r="AC139" s="173"/>
      <c r="AD139" s="173">
        <f t="shared" si="332"/>
        <v>7.5667341145875691</v>
      </c>
      <c r="AE139" s="545">
        <f t="shared" si="333"/>
        <v>76.651299122807018</v>
      </c>
      <c r="AF139" s="528">
        <f t="shared" si="334"/>
        <v>2.7058393423160827</v>
      </c>
      <c r="AH139" s="173">
        <f t="shared" si="335"/>
        <v>4.5815364443029578</v>
      </c>
      <c r="AI139" s="173">
        <f t="shared" si="336"/>
        <v>10.272278997833462</v>
      </c>
      <c r="AJ139" s="173">
        <f t="shared" si="337"/>
        <v>1.4016881465433051</v>
      </c>
      <c r="AL139" s="545">
        <f t="shared" si="338"/>
        <v>2900</v>
      </c>
      <c r="AM139" s="460">
        <f t="shared" si="339"/>
        <v>68.667463871655769</v>
      </c>
      <c r="AO139" s="460">
        <f t="shared" si="340"/>
        <v>2900</v>
      </c>
      <c r="AP139" s="460">
        <f t="shared" si="341"/>
        <v>68.667463871655769</v>
      </c>
      <c r="AR139" s="5">
        <f t="shared" si="443"/>
        <v>14.56293772359307</v>
      </c>
      <c r="AS139" s="5">
        <f t="shared" si="440"/>
        <v>6.5901773308462852</v>
      </c>
      <c r="AT139" s="5">
        <f t="shared" si="441"/>
        <v>7.9727603927467845</v>
      </c>
      <c r="AU139" s="173">
        <f t="shared" si="442"/>
        <v>0.45253076377369211</v>
      </c>
      <c r="AW139" s="5">
        <f t="shared" si="342"/>
        <v>127.41009506302817</v>
      </c>
      <c r="AX139" s="5">
        <f t="shared" si="343"/>
        <v>5.9723482060794462</v>
      </c>
      <c r="AY139" s="5">
        <f t="shared" si="344"/>
        <v>6.3936523744670799</v>
      </c>
      <c r="AZ139" s="5"/>
      <c r="BA139" s="173">
        <f t="shared" si="345"/>
        <v>3.9896080671489207</v>
      </c>
      <c r="BB139" s="173">
        <f t="shared" si="346"/>
        <v>4.3881962209603156</v>
      </c>
      <c r="BC139" s="173">
        <f t="shared" si="347"/>
        <v>0.10807008732404229</v>
      </c>
      <c r="BD139" s="173"/>
      <c r="BE139" s="528">
        <f t="shared" si="348"/>
        <v>0.31833945058919494</v>
      </c>
      <c r="BF139" s="528">
        <f t="shared" si="349"/>
        <v>0.45712822268711517</v>
      </c>
      <c r="BG139" s="528">
        <f t="shared" si="350"/>
        <v>3.2110122909517348E-2</v>
      </c>
      <c r="BH139" s="528">
        <f t="shared" si="351"/>
        <v>8.2033058777712387E-3</v>
      </c>
      <c r="BI139">
        <f t="shared" si="352"/>
        <v>8.4171189641079665E-3</v>
      </c>
      <c r="BJ139" s="460">
        <f t="shared" si="436"/>
        <v>40.527241873625314</v>
      </c>
      <c r="BK139">
        <f t="shared" si="353"/>
        <v>0.94078090254549918</v>
      </c>
      <c r="BL139" s="460">
        <f t="shared" si="437"/>
        <v>824.19822102770684</v>
      </c>
      <c r="BM139" s="173">
        <f t="shared" si="354"/>
        <v>1.8016249999999998</v>
      </c>
      <c r="BN139" s="173">
        <f t="shared" si="355"/>
        <v>4.5040624999999994E-2</v>
      </c>
      <c r="BO139" s="528"/>
      <c r="BQ139" s="460">
        <f t="shared" si="356"/>
        <v>1846.6656249999999</v>
      </c>
      <c r="BR139" s="528">
        <f t="shared" si="357"/>
        <v>0.47750917588379238</v>
      </c>
      <c r="BS139" s="528">
        <f t="shared" si="358"/>
        <v>0.57768798220951179</v>
      </c>
      <c r="BT139" s="528">
        <f t="shared" si="359"/>
        <v>5.8395718871130631E-5</v>
      </c>
      <c r="BU139" s="528">
        <f t="shared" si="360"/>
        <v>0.66071556757941452</v>
      </c>
      <c r="BV139" s="528"/>
      <c r="BW139" s="625">
        <f t="shared" si="361"/>
        <v>7.2457712730845825E-3</v>
      </c>
      <c r="BX139" s="460">
        <f t="shared" si="362"/>
        <v>1723.2168926646746</v>
      </c>
      <c r="BY139" s="173">
        <f t="shared" si="363"/>
        <v>4.3940807386923808</v>
      </c>
      <c r="BZ139" s="5">
        <f t="shared" si="364"/>
        <v>44.08</v>
      </c>
      <c r="CA139" s="173">
        <f t="shared" si="365"/>
        <v>0.90935195321434958</v>
      </c>
      <c r="CB139" s="5">
        <f t="shared" si="366"/>
        <v>90.935195321434961</v>
      </c>
      <c r="CC139">
        <f t="shared" si="367"/>
        <v>28.999999999999996</v>
      </c>
      <c r="CE139" s="562">
        <f t="shared" si="368"/>
        <v>-50</v>
      </c>
      <c r="CF139">
        <f t="shared" si="369"/>
        <v>-50</v>
      </c>
      <c r="CG139" s="173">
        <f t="shared" si="370"/>
        <v>0.54755043227665712</v>
      </c>
      <c r="CH139" s="173">
        <f t="shared" si="371"/>
        <v>6.4398811101315859E-2</v>
      </c>
      <c r="CI139" s="170">
        <v>29</v>
      </c>
      <c r="CJ139" s="217">
        <f t="shared" si="438"/>
        <v>2.9</v>
      </c>
      <c r="CK139" s="217">
        <f t="shared" si="372"/>
        <v>7.2499999999999995E-2</v>
      </c>
      <c r="CL139" s="217">
        <f t="shared" si="373"/>
        <v>43.5</v>
      </c>
      <c r="CM139" s="217">
        <f t="shared" si="374"/>
        <v>0.57999999999999996</v>
      </c>
      <c r="CN139" s="541">
        <f t="shared" si="375"/>
        <v>19</v>
      </c>
      <c r="CO139" s="443">
        <f t="shared" si="376"/>
        <v>15.7</v>
      </c>
      <c r="CP139" s="443">
        <f t="shared" si="377"/>
        <v>34.700000000000003</v>
      </c>
      <c r="CQ139" s="443"/>
      <c r="CR139" s="217">
        <f t="shared" si="378"/>
        <v>0.44767441860465118</v>
      </c>
      <c r="CS139" s="172">
        <f t="shared" si="379"/>
        <v>209.84738372093025</v>
      </c>
      <c r="CT139" s="172">
        <f t="shared" si="380"/>
        <v>2.835271317829458</v>
      </c>
      <c r="CU139" s="217">
        <f t="shared" si="381"/>
        <v>13.989825581395349</v>
      </c>
      <c r="CV139" s="217">
        <f t="shared" si="382"/>
        <v>26.230922965116282</v>
      </c>
      <c r="CW139" s="217">
        <f t="shared" si="383"/>
        <v>15</v>
      </c>
      <c r="CX139" s="217">
        <f t="shared" si="384"/>
        <v>10.364675324675323</v>
      </c>
      <c r="CY139" s="217">
        <f t="shared" si="385"/>
        <v>6.5461107313738882</v>
      </c>
      <c r="CZ139" s="217">
        <f t="shared" si="386"/>
        <v>7.9220448341467433</v>
      </c>
      <c r="DA139" s="197">
        <f t="shared" si="387"/>
        <v>71.63784822286263</v>
      </c>
      <c r="DB139" s="443">
        <f t="shared" si="388"/>
        <v>69.117310459608348</v>
      </c>
      <c r="DD139" s="217">
        <f t="shared" si="389"/>
        <v>10.000000000000002</v>
      </c>
      <c r="DE139" s="173">
        <f t="shared" si="390"/>
        <v>7.6433121019108299</v>
      </c>
      <c r="DF139" s="173">
        <f t="shared" si="391"/>
        <v>2.7017291066282429</v>
      </c>
      <c r="DG139" s="173"/>
      <c r="DH139" s="173">
        <f t="shared" si="392"/>
        <v>7.6433121019108281</v>
      </c>
      <c r="DI139" s="545">
        <f t="shared" si="393"/>
        <v>75.88333333333334</v>
      </c>
      <c r="DJ139" s="528">
        <f t="shared" si="394"/>
        <v>2.7377521613832849</v>
      </c>
      <c r="DL139" s="173">
        <f t="shared" si="395"/>
        <v>4.5815364443029578</v>
      </c>
      <c r="DM139" s="173">
        <f t="shared" si="396"/>
        <v>10.364675324675323</v>
      </c>
      <c r="DN139" s="173">
        <f t="shared" si="397"/>
        <v>1.4701298701298691</v>
      </c>
      <c r="DP139" s="545">
        <f t="shared" si="398"/>
        <v>2900</v>
      </c>
      <c r="DQ139" s="460">
        <f t="shared" si="399"/>
        <v>69.117310459608348</v>
      </c>
      <c r="DS139" s="460">
        <f t="shared" si="400"/>
        <v>2900</v>
      </c>
      <c r="DT139" s="460">
        <f t="shared" si="401"/>
        <v>69.117310459608348</v>
      </c>
      <c r="DV139" s="5">
        <f t="shared" si="402"/>
        <v>14.468155565520634</v>
      </c>
      <c r="DW139" s="5">
        <f t="shared" si="403"/>
        <v>6.5461107313738882</v>
      </c>
      <c r="DX139" s="5">
        <f t="shared" si="404"/>
        <v>7.922044834146746</v>
      </c>
      <c r="DY139" s="173">
        <f t="shared" si="405"/>
        <v>0.45244956772334288</v>
      </c>
      <c r="EA139" s="5">
        <f t="shared" si="406"/>
        <v>126.55814080656184</v>
      </c>
      <c r="EB139" s="5">
        <f t="shared" si="407"/>
        <v>5.9324128503075855</v>
      </c>
      <c r="EC139" s="5">
        <f t="shared" si="408"/>
        <v>6.2542459216947979</v>
      </c>
      <c r="ED139" s="5"/>
      <c r="EE139" s="173">
        <f t="shared" si="409"/>
        <v>4.0251323389192084</v>
      </c>
      <c r="EF139" s="173">
        <f t="shared" si="410"/>
        <v>4.4279951651770455</v>
      </c>
      <c r="EG139" s="173">
        <f t="shared" si="411"/>
        <v>0.10905023387181116</v>
      </c>
      <c r="EH139" s="173"/>
      <c r="EI139" s="528">
        <f t="shared" si="412"/>
        <v>0.32403380691626432</v>
      </c>
      <c r="EJ139" s="528">
        <f t="shared" si="413"/>
        <v>0.49716666666666665</v>
      </c>
      <c r="EK139" s="528">
        <f t="shared" si="414"/>
        <v>8.6396638074510441E-3</v>
      </c>
      <c r="EL139" s="528">
        <f t="shared" si="415"/>
        <v>8.3223462351309837E-3</v>
      </c>
      <c r="EM139">
        <f t="shared" si="416"/>
        <v>8.5500000000000003E-3</v>
      </c>
      <c r="EN139" s="460">
        <f t="shared" si="417"/>
        <v>17.189663807451044</v>
      </c>
      <c r="EP139" s="460">
        <f t="shared" si="439"/>
        <v>846.71248362551296</v>
      </c>
      <c r="EQ139" s="173">
        <f t="shared" si="418"/>
        <v>2.0299999999999998</v>
      </c>
      <c r="ER139" s="173">
        <f t="shared" si="419"/>
        <v>3.2171874999999996E-2</v>
      </c>
      <c r="ES139" s="528"/>
      <c r="EU139" s="460">
        <f t="shared" si="420"/>
        <v>2062.1718749999995</v>
      </c>
      <c r="EV139" s="528">
        <f t="shared" si="421"/>
        <v>0.48605071037439646</v>
      </c>
      <c r="EW139" s="528">
        <f t="shared" si="422"/>
        <v>0.58821423548493879</v>
      </c>
      <c r="EX139" s="528">
        <f t="shared" si="423"/>
        <v>5.945976753748355E-5</v>
      </c>
      <c r="EY139" s="528">
        <f t="shared" si="424"/>
        <v>0.68679375210278981</v>
      </c>
      <c r="EZ139" s="528"/>
      <c r="FA139" s="625">
        <f t="shared" si="425"/>
        <v>7.4250303778834025E-3</v>
      </c>
      <c r="FB139" s="460">
        <f t="shared" si="426"/>
        <v>1768.5431881075458</v>
      </c>
      <c r="FC139" s="173">
        <f t="shared" si="427"/>
        <v>4.6774275467330595</v>
      </c>
      <c r="FD139" s="5">
        <f t="shared" si="428"/>
        <v>44.08</v>
      </c>
      <c r="FE139" s="173">
        <f t="shared" si="429"/>
        <v>0.90406738455900215</v>
      </c>
      <c r="FF139" s="5">
        <f t="shared" si="430"/>
        <v>90.406738455900211</v>
      </c>
      <c r="FG139">
        <f t="shared" si="431"/>
        <v>28.999999999999996</v>
      </c>
      <c r="FI139" s="562">
        <f t="shared" si="432"/>
        <v>-50</v>
      </c>
      <c r="FJ139">
        <f t="shared" si="433"/>
        <v>-50</v>
      </c>
    </row>
    <row r="140" spans="5:166">
      <c r="E140" s="170">
        <v>30</v>
      </c>
      <c r="F140" s="217">
        <f t="shared" si="434"/>
        <v>3</v>
      </c>
      <c r="G140" s="217">
        <f t="shared" si="313"/>
        <v>7.4999999999999997E-2</v>
      </c>
      <c r="H140" s="217">
        <f t="shared" si="314"/>
        <v>45</v>
      </c>
      <c r="I140" s="217">
        <f t="shared" si="315"/>
        <v>0.6</v>
      </c>
      <c r="J140" s="541">
        <f t="shared" si="316"/>
        <v>18.69452635427119</v>
      </c>
      <c r="K140" s="443">
        <f t="shared" si="317"/>
        <v>15.864368421052632</v>
      </c>
      <c r="L140" s="172">
        <f t="shared" si="318"/>
        <v>34.558894775323822</v>
      </c>
      <c r="M140" s="443"/>
      <c r="N140" s="217">
        <f t="shared" si="319"/>
        <v>0.45905311857311792</v>
      </c>
      <c r="O140" s="172">
        <f t="shared" si="320"/>
        <v>211.72156142702789</v>
      </c>
      <c r="P140" s="172">
        <f t="shared" si="321"/>
        <v>2.8605935410585106</v>
      </c>
      <c r="Q140" s="217">
        <f t="shared" si="322"/>
        <v>14.114770761801859</v>
      </c>
      <c r="R140" s="217">
        <f t="shared" si="323"/>
        <v>26.465195178378487</v>
      </c>
      <c r="S140" s="217">
        <f t="shared" si="324"/>
        <v>15</v>
      </c>
      <c r="T140" s="217">
        <f t="shared" si="325"/>
        <v>10.627165154246638</v>
      </c>
      <c r="U140" s="217">
        <f t="shared" si="326"/>
        <v>6.8215679517241936</v>
      </c>
      <c r="V140" s="217">
        <f t="shared" si="327"/>
        <v>8.0385161555960671</v>
      </c>
      <c r="W140" s="197">
        <f t="shared" si="328"/>
        <v>71.514838526462754</v>
      </c>
      <c r="X140" s="443">
        <f t="shared" si="435"/>
        <v>66.400691581392266</v>
      </c>
      <c r="Z140" s="217">
        <f t="shared" si="329"/>
        <v>10</v>
      </c>
      <c r="AA140" s="173">
        <f t="shared" si="330"/>
        <v>7.5641208534186175</v>
      </c>
      <c r="AB140" s="173">
        <f t="shared" si="331"/>
        <v>2.6691457965142207</v>
      </c>
      <c r="AC140" s="173"/>
      <c r="AD140" s="173">
        <f t="shared" si="332"/>
        <v>7.5641208534186175</v>
      </c>
      <c r="AE140" s="545">
        <f t="shared" si="333"/>
        <v>79.321842105263158</v>
      </c>
      <c r="AF140" s="528">
        <f t="shared" si="334"/>
        <v>2.7047344071344108</v>
      </c>
      <c r="AH140" s="173">
        <f t="shared" si="335"/>
        <v>4.6598589800857404</v>
      </c>
      <c r="AI140" s="173">
        <f t="shared" si="336"/>
        <v>10.627165154246638</v>
      </c>
      <c r="AJ140" s="173">
        <f t="shared" si="337"/>
        <v>1.6645667809234357</v>
      </c>
      <c r="AL140" s="545">
        <f t="shared" si="338"/>
        <v>3000</v>
      </c>
      <c r="AM140" s="460">
        <f t="shared" si="339"/>
        <v>66.400691581392266</v>
      </c>
      <c r="AO140" s="460">
        <f t="shared" si="340"/>
        <v>3000</v>
      </c>
      <c r="AP140" s="460">
        <f t="shared" si="341"/>
        <v>66.400691581392266</v>
      </c>
      <c r="AR140" s="5">
        <f t="shared" si="443"/>
        <v>15.060084107320261</v>
      </c>
      <c r="AS140" s="5">
        <f t="shared" si="440"/>
        <v>6.8215679517241936</v>
      </c>
      <c r="AT140" s="5">
        <f t="shared" si="441"/>
        <v>8.2385161555960664</v>
      </c>
      <c r="AU140" s="173">
        <f t="shared" si="442"/>
        <v>0.45295682966394801</v>
      </c>
      <c r="AW140" s="5">
        <f t="shared" si="342"/>
        <v>136.43135903448388</v>
      </c>
      <c r="AX140" s="5">
        <f t="shared" si="343"/>
        <v>6.3952199547414308</v>
      </c>
      <c r="AY140" s="5">
        <f t="shared" si="344"/>
        <v>6.8383141338333129</v>
      </c>
      <c r="AZ140" s="5"/>
      <c r="BA140" s="173">
        <f t="shared" si="345"/>
        <v>4.1293834104708127</v>
      </c>
      <c r="BB140" s="173">
        <f t="shared" si="346"/>
        <v>4.5380325091982066</v>
      </c>
      <c r="BC140" s="173">
        <f t="shared" si="347"/>
        <v>0.11176017316770487</v>
      </c>
      <c r="BD140" s="173"/>
      <c r="BE140" s="528">
        <f t="shared" si="348"/>
        <v>0.34103614701343121</v>
      </c>
      <c r="BF140" s="528">
        <f t="shared" si="349"/>
        <v>0.45724729985125268</v>
      </c>
      <c r="BG140" s="528">
        <f t="shared" si="350"/>
        <v>3.1033236967754271E-2</v>
      </c>
      <c r="BH140" s="528">
        <f t="shared" si="351"/>
        <v>7.930348858486003E-3</v>
      </c>
      <c r="BI140">
        <f t="shared" si="352"/>
        <v>8.4125368594220352E-3</v>
      </c>
      <c r="BJ140" s="460">
        <f t="shared" si="436"/>
        <v>39.445773827176303</v>
      </c>
      <c r="BK140">
        <f t="shared" si="353"/>
        <v>0.97750061449815517</v>
      </c>
      <c r="BL140" s="460">
        <f t="shared" si="437"/>
        <v>845.65956955034619</v>
      </c>
      <c r="BM140" s="173">
        <f t="shared" si="354"/>
        <v>1.8637499999999996</v>
      </c>
      <c r="BN140" s="173">
        <f t="shared" si="355"/>
        <v>4.6593749999999996E-2</v>
      </c>
      <c r="BO140" s="528"/>
      <c r="BQ140" s="460">
        <f t="shared" si="356"/>
        <v>1910.3437499999995</v>
      </c>
      <c r="BR140" s="528">
        <f t="shared" si="357"/>
        <v>0.51155422052014676</v>
      </c>
      <c r="BS140" s="528">
        <f t="shared" si="358"/>
        <v>0.61781217163619306</v>
      </c>
      <c r="BT140" s="528">
        <f t="shared" si="359"/>
        <v>6.2451681532376896E-5</v>
      </c>
      <c r="BU140" s="528">
        <f t="shared" si="360"/>
        <v>0.66137090540684906</v>
      </c>
      <c r="BV140" s="528"/>
      <c r="BW140" s="625">
        <f t="shared" si="361"/>
        <v>7.4990709487962829E-3</v>
      </c>
      <c r="BX140" s="460">
        <f t="shared" si="362"/>
        <v>1798.2988201935177</v>
      </c>
      <c r="BY140" s="173">
        <f t="shared" si="363"/>
        <v>4.5543021397438634</v>
      </c>
      <c r="BZ140" s="5">
        <f t="shared" si="364"/>
        <v>45.6</v>
      </c>
      <c r="CA140" s="173">
        <f t="shared" si="365"/>
        <v>0.90919418782751071</v>
      </c>
      <c r="CB140" s="5">
        <f t="shared" si="366"/>
        <v>90.919418782751066</v>
      </c>
      <c r="CC140">
        <f t="shared" si="367"/>
        <v>30</v>
      </c>
      <c r="CE140" s="562">
        <f t="shared" si="368"/>
        <v>-50</v>
      </c>
      <c r="CF140">
        <f t="shared" si="369"/>
        <v>-50</v>
      </c>
      <c r="CG140" s="173">
        <f t="shared" si="370"/>
        <v>0.54755043227665701</v>
      </c>
      <c r="CH140" s="173">
        <f t="shared" si="371"/>
        <v>6.4398811101315845E-2</v>
      </c>
      <c r="CI140" s="170">
        <v>30</v>
      </c>
      <c r="CJ140" s="217">
        <f t="shared" si="438"/>
        <v>3</v>
      </c>
      <c r="CK140" s="217">
        <f t="shared" si="372"/>
        <v>7.4999999999999997E-2</v>
      </c>
      <c r="CL140" s="217">
        <f t="shared" si="373"/>
        <v>45</v>
      </c>
      <c r="CM140" s="217">
        <f t="shared" si="374"/>
        <v>0.6</v>
      </c>
      <c r="CN140" s="541">
        <f t="shared" si="375"/>
        <v>19</v>
      </c>
      <c r="CO140" s="443">
        <f t="shared" si="376"/>
        <v>15.7</v>
      </c>
      <c r="CP140" s="443">
        <f t="shared" si="377"/>
        <v>34.700000000000003</v>
      </c>
      <c r="CQ140" s="443"/>
      <c r="CR140" s="217">
        <f t="shared" si="378"/>
        <v>0.44767441860465118</v>
      </c>
      <c r="CS140" s="172">
        <f t="shared" si="379"/>
        <v>209.84738372093025</v>
      </c>
      <c r="CT140" s="172">
        <f t="shared" si="380"/>
        <v>2.835271317829458</v>
      </c>
      <c r="CU140" s="217">
        <f t="shared" si="381"/>
        <v>13.989825581395349</v>
      </c>
      <c r="CV140" s="217">
        <f t="shared" si="382"/>
        <v>26.230922965116282</v>
      </c>
      <c r="CW140" s="217">
        <f t="shared" si="383"/>
        <v>15</v>
      </c>
      <c r="CX140" s="217">
        <f t="shared" si="384"/>
        <v>10.722077922077922</v>
      </c>
      <c r="CY140" s="217">
        <f t="shared" si="385"/>
        <v>6.7718386876281622</v>
      </c>
      <c r="CZ140" s="217">
        <f t="shared" si="386"/>
        <v>8.1952187939449104</v>
      </c>
      <c r="DA140" s="197">
        <f t="shared" si="387"/>
        <v>71.63784822286263</v>
      </c>
      <c r="DB140" s="443">
        <f t="shared" si="388"/>
        <v>66.813400110954731</v>
      </c>
      <c r="DD140" s="217">
        <f t="shared" si="389"/>
        <v>10.000000000000002</v>
      </c>
      <c r="DE140" s="173">
        <f t="shared" si="390"/>
        <v>7.6433121019108299</v>
      </c>
      <c r="DF140" s="173">
        <f t="shared" si="391"/>
        <v>2.7017291066282429</v>
      </c>
      <c r="DG140" s="173"/>
      <c r="DH140" s="173">
        <f t="shared" si="392"/>
        <v>7.6433121019108281</v>
      </c>
      <c r="DI140" s="545">
        <f t="shared" si="393"/>
        <v>78.500000000000014</v>
      </c>
      <c r="DJ140" s="528">
        <f t="shared" si="394"/>
        <v>2.7377521613832849</v>
      </c>
      <c r="DL140" s="173">
        <f t="shared" si="395"/>
        <v>4.6598589800857404</v>
      </c>
      <c r="DM140" s="173">
        <f t="shared" si="396"/>
        <v>10.722077922077922</v>
      </c>
      <c r="DN140" s="173">
        <f t="shared" si="397"/>
        <v>1.7348725348725349</v>
      </c>
      <c r="DP140" s="545">
        <f t="shared" si="398"/>
        <v>3000</v>
      </c>
      <c r="DQ140" s="460">
        <f t="shared" si="399"/>
        <v>66.813400110954731</v>
      </c>
      <c r="DS140" s="460">
        <f t="shared" si="400"/>
        <v>3000</v>
      </c>
      <c r="DT140" s="460">
        <f t="shared" si="401"/>
        <v>66.813400110954731</v>
      </c>
      <c r="DV140" s="5">
        <f t="shared" si="402"/>
        <v>14.96705748157307</v>
      </c>
      <c r="DW140" s="5">
        <f t="shared" si="403"/>
        <v>6.7718386876281622</v>
      </c>
      <c r="DX140" s="5">
        <f t="shared" si="404"/>
        <v>8.1952187939449068</v>
      </c>
      <c r="DY140" s="173">
        <f t="shared" si="405"/>
        <v>0.45244956772334299</v>
      </c>
      <c r="EA140" s="5">
        <f t="shared" si="406"/>
        <v>135.43677375256325</v>
      </c>
      <c r="EB140" s="5">
        <f t="shared" si="407"/>
        <v>6.3485987696514021</v>
      </c>
      <c r="EC140" s="5">
        <f t="shared" si="408"/>
        <v>6.6930099043107205</v>
      </c>
      <c r="ED140" s="5"/>
      <c r="EE140" s="173">
        <f t="shared" si="409"/>
        <v>4.1639300057784929</v>
      </c>
      <c r="EF140" s="173">
        <f t="shared" si="410"/>
        <v>4.5806846536314261</v>
      </c>
      <c r="EG140" s="173">
        <f t="shared" si="411"/>
        <v>0.11281058676394261</v>
      </c>
      <c r="EH140" s="173"/>
      <c r="EI140" s="528">
        <f t="shared" si="412"/>
        <v>0.34676626186044962</v>
      </c>
      <c r="EJ140" s="528">
        <f t="shared" si="413"/>
        <v>0.4971666666666667</v>
      </c>
      <c r="EK140" s="528">
        <f t="shared" si="414"/>
        <v>8.3516750138693408E-3</v>
      </c>
      <c r="EL140" s="528">
        <f t="shared" si="415"/>
        <v>8.0449346939599486E-3</v>
      </c>
      <c r="EM140">
        <f t="shared" si="416"/>
        <v>8.5500000000000003E-3</v>
      </c>
      <c r="EN140" s="460">
        <f t="shared" si="417"/>
        <v>16.90167501386934</v>
      </c>
      <c r="EP140" s="460">
        <f t="shared" si="439"/>
        <v>868.87953823494558</v>
      </c>
      <c r="EQ140" s="173">
        <f t="shared" si="418"/>
        <v>2.0999999999999996</v>
      </c>
      <c r="ER140" s="173">
        <f t="shared" si="419"/>
        <v>3.3281249999999998E-2</v>
      </c>
      <c r="ES140" s="528"/>
      <c r="EU140" s="460">
        <f t="shared" si="420"/>
        <v>2133.2812499999995</v>
      </c>
      <c r="EV140" s="528">
        <f t="shared" si="421"/>
        <v>0.5201493927906744</v>
      </c>
      <c r="EW140" s="528">
        <f t="shared" si="422"/>
        <v>0.62948015688043379</v>
      </c>
      <c r="EX140" s="528">
        <f t="shared" si="423"/>
        <v>6.3631142430125122E-5</v>
      </c>
      <c r="EY140" s="528">
        <f t="shared" si="424"/>
        <v>0.68679375210278804</v>
      </c>
      <c r="EZ140" s="528"/>
      <c r="FA140" s="625">
        <f t="shared" si="425"/>
        <v>7.6810659081552454E-3</v>
      </c>
      <c r="FB140" s="460">
        <f t="shared" si="426"/>
        <v>1844.1679988244814</v>
      </c>
      <c r="FC140" s="173">
        <f t="shared" si="427"/>
        <v>4.8463287870594263</v>
      </c>
      <c r="FD140" s="5">
        <f t="shared" si="428"/>
        <v>45.6</v>
      </c>
      <c r="FE140" s="173">
        <f t="shared" si="429"/>
        <v>0.90393099153921752</v>
      </c>
      <c r="FF140" s="5">
        <f t="shared" si="430"/>
        <v>90.393099153921753</v>
      </c>
      <c r="FG140">
        <f t="shared" si="431"/>
        <v>30</v>
      </c>
      <c r="FI140" s="562">
        <f t="shared" si="432"/>
        <v>-50</v>
      </c>
      <c r="FJ140">
        <f t="shared" si="433"/>
        <v>-50</v>
      </c>
    </row>
    <row r="141" spans="5:166">
      <c r="E141" s="170">
        <v>31</v>
      </c>
      <c r="F141" s="217">
        <f t="shared" si="434"/>
        <v>3.1</v>
      </c>
      <c r="G141" s="217">
        <f t="shared" si="313"/>
        <v>7.7499999999999999E-2</v>
      </c>
      <c r="H141" s="217">
        <f t="shared" si="314"/>
        <v>46.5</v>
      </c>
      <c r="I141" s="217">
        <f t="shared" si="315"/>
        <v>0.62</v>
      </c>
      <c r="J141" s="541">
        <f t="shared" si="316"/>
        <v>18.684343899413562</v>
      </c>
      <c r="K141" s="443">
        <f t="shared" si="317"/>
        <v>15.869847368421052</v>
      </c>
      <c r="L141" s="172">
        <f t="shared" si="318"/>
        <v>34.554191267834611</v>
      </c>
      <c r="M141" s="443"/>
      <c r="N141" s="217">
        <f t="shared" si="319"/>
        <v>0.45927416577084773</v>
      </c>
      <c r="O141" s="172">
        <f t="shared" si="320"/>
        <v>211.70813628401621</v>
      </c>
      <c r="P141" s="172">
        <f t="shared" si="321"/>
        <v>2.8604121524595971</v>
      </c>
      <c r="Q141" s="217">
        <f t="shared" si="322"/>
        <v>14.113875752267747</v>
      </c>
      <c r="R141" s="217">
        <f t="shared" si="323"/>
        <v>26.463517035502026</v>
      </c>
      <c r="S141" s="217">
        <f t="shared" si="324"/>
        <v>15</v>
      </c>
      <c r="T141" s="217">
        <f t="shared" si="325"/>
        <v>10.982100361418821</v>
      </c>
      <c r="U141" s="217">
        <f t="shared" si="326"/>
        <v>7.053242278481191</v>
      </c>
      <c r="V141" s="217">
        <f t="shared" si="327"/>
        <v>8.3041255078017588</v>
      </c>
      <c r="W141" s="197">
        <f t="shared" si="328"/>
        <v>71.510303811489933</v>
      </c>
      <c r="X141" s="443">
        <f t="shared" si="435"/>
        <v>64.278225837259427</v>
      </c>
      <c r="Z141" s="217">
        <f t="shared" si="329"/>
        <v>10</v>
      </c>
      <c r="AA141" s="173">
        <f t="shared" si="330"/>
        <v>7.5615093966678293</v>
      </c>
      <c r="AB141" s="173">
        <f t="shared" si="331"/>
        <v>2.6680551031043702</v>
      </c>
      <c r="AC141" s="173"/>
      <c r="AD141" s="173">
        <f t="shared" si="332"/>
        <v>7.5615093966678293</v>
      </c>
      <c r="AE141" s="545">
        <f t="shared" si="333"/>
        <v>81.994211403508771</v>
      </c>
      <c r="AF141" s="528">
        <f t="shared" si="334"/>
        <v>2.7036291711457614</v>
      </c>
      <c r="AH141" s="173">
        <f t="shared" si="335"/>
        <v>4.7368866608876381</v>
      </c>
      <c r="AI141" s="173">
        <f t="shared" si="336"/>
        <v>10.982100361418821</v>
      </c>
      <c r="AJ141" s="173">
        <f t="shared" si="337"/>
        <v>1.9274817491991267</v>
      </c>
      <c r="AL141" s="545">
        <f t="shared" si="338"/>
        <v>3100</v>
      </c>
      <c r="AM141" s="460">
        <f t="shared" si="339"/>
        <v>64.278225837259427</v>
      </c>
      <c r="AO141" s="460">
        <f t="shared" si="340"/>
        <v>3100</v>
      </c>
      <c r="AP141" s="460">
        <f t="shared" si="341"/>
        <v>64.278225837259427</v>
      </c>
      <c r="AR141" s="5">
        <f t="shared" si="443"/>
        <v>15.557367786282947</v>
      </c>
      <c r="AS141" s="5">
        <f t="shared" si="440"/>
        <v>7.053242278481191</v>
      </c>
      <c r="AT141" s="5">
        <f t="shared" si="441"/>
        <v>8.5041255078017564</v>
      </c>
      <c r="AU141" s="173">
        <f t="shared" si="442"/>
        <v>0.45336990006112021</v>
      </c>
      <c r="AW141" s="5">
        <f t="shared" si="342"/>
        <v>145.76700708861125</v>
      </c>
      <c r="AX141" s="5">
        <f t="shared" si="343"/>
        <v>6.8328284572786542</v>
      </c>
      <c r="AY141" s="5">
        <f t="shared" si="344"/>
        <v>7.2980488138132333</v>
      </c>
      <c r="AZ141" s="5"/>
      <c r="BA141" s="173">
        <f t="shared" si="345"/>
        <v>4.2692454330937792</v>
      </c>
      <c r="BB141" s="173">
        <f t="shared" si="346"/>
        <v>4.6878267404096441</v>
      </c>
      <c r="BC141" s="173">
        <f t="shared" si="347"/>
        <v>0.11544922325401007</v>
      </c>
      <c r="BD141" s="173"/>
      <c r="BE141" s="528">
        <f t="shared" si="348"/>
        <v>0.36452913135984183</v>
      </c>
      <c r="BF141" s="528">
        <f t="shared" si="349"/>
        <v>0.45735274954290051</v>
      </c>
      <c r="BG141" s="528">
        <f t="shared" si="350"/>
        <v>3.0024911919688133E-2</v>
      </c>
      <c r="BH141" s="528">
        <f t="shared" si="351"/>
        <v>7.6747696048354011E-3</v>
      </c>
      <c r="BI141">
        <f t="shared" si="352"/>
        <v>8.4079547547361022E-3</v>
      </c>
      <c r="BJ141" s="460">
        <f t="shared" si="436"/>
        <v>38.432866674424233</v>
      </c>
      <c r="BK141">
        <f t="shared" si="353"/>
        <v>1.0159752914737288</v>
      </c>
      <c r="BL141" s="460">
        <f t="shared" si="437"/>
        <v>867.98951718200203</v>
      </c>
      <c r="BM141" s="173">
        <f t="shared" si="354"/>
        <v>1.9258749999999998</v>
      </c>
      <c r="BN141" s="173">
        <f t="shared" si="355"/>
        <v>4.8146874999999999E-2</v>
      </c>
      <c r="BO141" s="528"/>
      <c r="BQ141" s="460">
        <f t="shared" si="356"/>
        <v>1974.0218749999999</v>
      </c>
      <c r="BR141" s="528">
        <f t="shared" si="357"/>
        <v>0.54679369703976277</v>
      </c>
      <c r="BS141" s="528">
        <f t="shared" si="358"/>
        <v>0.65927158644299122</v>
      </c>
      <c r="BT141" s="528">
        <f t="shared" si="359"/>
        <v>6.6642615749771297E-5</v>
      </c>
      <c r="BU141" s="528">
        <f t="shared" si="360"/>
        <v>0.66197749915670978</v>
      </c>
      <c r="BV141" s="528"/>
      <c r="BW141" s="625">
        <f t="shared" si="361"/>
        <v>7.7523736666182787E-3</v>
      </c>
      <c r="BX141" s="460">
        <f t="shared" si="362"/>
        <v>1875.8617989218319</v>
      </c>
      <c r="BY141" s="173">
        <f t="shared" si="363"/>
        <v>4.7178731911038341</v>
      </c>
      <c r="BZ141" s="5">
        <f t="shared" si="364"/>
        <v>47.12</v>
      </c>
      <c r="CA141" s="173">
        <f t="shared" si="365"/>
        <v>0.90898790979114685</v>
      </c>
      <c r="CB141" s="5">
        <f t="shared" si="366"/>
        <v>90.898790979114679</v>
      </c>
      <c r="CC141">
        <f t="shared" si="367"/>
        <v>31</v>
      </c>
      <c r="CE141" s="562">
        <f t="shared" si="368"/>
        <v>-50</v>
      </c>
      <c r="CF141">
        <f t="shared" si="369"/>
        <v>-50</v>
      </c>
      <c r="CG141" s="173">
        <f t="shared" si="370"/>
        <v>0.54755043227665712</v>
      </c>
      <c r="CH141" s="173">
        <f t="shared" si="371"/>
        <v>6.4398811101315859E-2</v>
      </c>
      <c r="CI141" s="170">
        <v>31</v>
      </c>
      <c r="CJ141" s="217">
        <f t="shared" si="438"/>
        <v>3.1</v>
      </c>
      <c r="CK141" s="217">
        <f t="shared" si="372"/>
        <v>7.7499999999999999E-2</v>
      </c>
      <c r="CL141" s="217">
        <f t="shared" si="373"/>
        <v>46.5</v>
      </c>
      <c r="CM141" s="217">
        <f t="shared" si="374"/>
        <v>0.62</v>
      </c>
      <c r="CN141" s="541">
        <f t="shared" si="375"/>
        <v>19</v>
      </c>
      <c r="CO141" s="443">
        <f t="shared" si="376"/>
        <v>15.7</v>
      </c>
      <c r="CP141" s="443">
        <f t="shared" si="377"/>
        <v>34.700000000000003</v>
      </c>
      <c r="CQ141" s="443"/>
      <c r="CR141" s="217">
        <f t="shared" si="378"/>
        <v>0.44767441860465118</v>
      </c>
      <c r="CS141" s="172">
        <f t="shared" si="379"/>
        <v>209.84738372093025</v>
      </c>
      <c r="CT141" s="172">
        <f t="shared" si="380"/>
        <v>2.835271317829458</v>
      </c>
      <c r="CU141" s="217">
        <f t="shared" si="381"/>
        <v>13.989825581395349</v>
      </c>
      <c r="CV141" s="217">
        <f t="shared" si="382"/>
        <v>26.230922965116282</v>
      </c>
      <c r="CW141" s="217">
        <f t="shared" si="383"/>
        <v>15</v>
      </c>
      <c r="CX141" s="217">
        <f t="shared" si="384"/>
        <v>11.079480519480517</v>
      </c>
      <c r="CY141" s="217">
        <f t="shared" si="385"/>
        <v>6.9975666438824318</v>
      </c>
      <c r="CZ141" s="217">
        <f t="shared" si="386"/>
        <v>8.4683927537430712</v>
      </c>
      <c r="DA141" s="197">
        <f t="shared" si="387"/>
        <v>71.63784822286263</v>
      </c>
      <c r="DB141" s="443">
        <f t="shared" si="388"/>
        <v>64.658129139633616</v>
      </c>
      <c r="DD141" s="217">
        <f t="shared" si="389"/>
        <v>10.000000000000002</v>
      </c>
      <c r="DE141" s="173">
        <f t="shared" si="390"/>
        <v>7.6433121019108299</v>
      </c>
      <c r="DF141" s="173">
        <f t="shared" si="391"/>
        <v>2.7017291066282429</v>
      </c>
      <c r="DG141" s="173"/>
      <c r="DH141" s="173">
        <f t="shared" si="392"/>
        <v>7.6433121019108281</v>
      </c>
      <c r="DI141" s="545">
        <f t="shared" si="393"/>
        <v>81.116666666666674</v>
      </c>
      <c r="DJ141" s="528">
        <f t="shared" si="394"/>
        <v>2.7377521613832849</v>
      </c>
      <c r="DL141" s="173">
        <f t="shared" si="395"/>
        <v>4.7368866608876381</v>
      </c>
      <c r="DM141" s="173">
        <f t="shared" si="396"/>
        <v>11.079480519480517</v>
      </c>
      <c r="DN141" s="173">
        <f t="shared" si="397"/>
        <v>1.9996151996151981</v>
      </c>
      <c r="DP141" s="545">
        <f t="shared" si="398"/>
        <v>3100</v>
      </c>
      <c r="DQ141" s="460">
        <f t="shared" si="399"/>
        <v>64.658129139633616</v>
      </c>
      <c r="DS141" s="460">
        <f t="shared" si="400"/>
        <v>3100</v>
      </c>
      <c r="DT141" s="460">
        <f t="shared" si="401"/>
        <v>64.658129139633616</v>
      </c>
      <c r="DV141" s="5">
        <f t="shared" si="402"/>
        <v>15.465959397625506</v>
      </c>
      <c r="DW141" s="5">
        <f t="shared" si="403"/>
        <v>6.9975666438824318</v>
      </c>
      <c r="DX141" s="5">
        <f t="shared" si="404"/>
        <v>8.4683927537430748</v>
      </c>
      <c r="DY141" s="173">
        <f t="shared" si="405"/>
        <v>0.45244956772334283</v>
      </c>
      <c r="EA141" s="5">
        <f t="shared" si="406"/>
        <v>144.61637730690362</v>
      </c>
      <c r="EB141" s="5">
        <f t="shared" si="407"/>
        <v>6.7788926862611047</v>
      </c>
      <c r="EC141" s="5">
        <f t="shared" si="408"/>
        <v>7.1466472422695624</v>
      </c>
      <c r="ED141" s="5"/>
      <c r="EE141" s="173">
        <f t="shared" si="409"/>
        <v>4.3027276726377748</v>
      </c>
      <c r="EF141" s="173">
        <f t="shared" si="410"/>
        <v>4.7333741420858066</v>
      </c>
      <c r="EG141" s="173">
        <f t="shared" si="411"/>
        <v>0.116570939656074</v>
      </c>
      <c r="EH141" s="173"/>
      <c r="EI141" s="528">
        <f t="shared" si="412"/>
        <v>0.3702693084976576</v>
      </c>
      <c r="EJ141" s="528">
        <f t="shared" si="413"/>
        <v>0.49716666666666665</v>
      </c>
      <c r="EK141" s="528">
        <f t="shared" si="414"/>
        <v>8.0822661424542024E-3</v>
      </c>
      <c r="EL141" s="528">
        <f t="shared" si="415"/>
        <v>7.7854206715741465E-3</v>
      </c>
      <c r="EM141">
        <f t="shared" si="416"/>
        <v>8.5500000000000003E-3</v>
      </c>
      <c r="EN141" s="460">
        <f t="shared" si="417"/>
        <v>16.632266142454203</v>
      </c>
      <c r="EP141" s="460">
        <f t="shared" si="439"/>
        <v>891.85366197835253</v>
      </c>
      <c r="EQ141" s="173">
        <f t="shared" si="418"/>
        <v>2.17</v>
      </c>
      <c r="ER141" s="173">
        <f t="shared" si="419"/>
        <v>3.4390625000000001E-2</v>
      </c>
      <c r="ES141" s="528"/>
      <c r="EU141" s="460">
        <f t="shared" si="420"/>
        <v>2204.390625</v>
      </c>
      <c r="EV141" s="528">
        <f t="shared" si="421"/>
        <v>0.5554039627464864</v>
      </c>
      <c r="EW141" s="528">
        <f t="shared" si="422"/>
        <v>0.67214492306899642</v>
      </c>
      <c r="EX141" s="528">
        <f t="shared" si="423"/>
        <v>6.7943919861500226E-5</v>
      </c>
      <c r="EY141" s="528">
        <f t="shared" si="424"/>
        <v>0.6867937521027887</v>
      </c>
      <c r="EZ141" s="528"/>
      <c r="FA141" s="625">
        <f t="shared" si="425"/>
        <v>7.9371014384270865E-3</v>
      </c>
      <c r="FB141" s="460">
        <f t="shared" si="426"/>
        <v>1922.34768327656</v>
      </c>
      <c r="FC141" s="173">
        <f t="shared" si="427"/>
        <v>5.0185919702549135</v>
      </c>
      <c r="FD141" s="5">
        <f t="shared" si="428"/>
        <v>47.12</v>
      </c>
      <c r="FE141" s="173">
        <f t="shared" si="429"/>
        <v>0.90374515727010774</v>
      </c>
      <c r="FF141" s="5">
        <f t="shared" si="430"/>
        <v>90.374515727010774</v>
      </c>
      <c r="FG141">
        <f t="shared" si="431"/>
        <v>31</v>
      </c>
      <c r="FI141" s="562">
        <f t="shared" si="432"/>
        <v>-50</v>
      </c>
      <c r="FJ141">
        <f t="shared" si="433"/>
        <v>-50</v>
      </c>
    </row>
    <row r="142" spans="5:166">
      <c r="E142" s="170">
        <v>32</v>
      </c>
      <c r="F142" s="217">
        <f t="shared" si="434"/>
        <v>3.2</v>
      </c>
      <c r="G142" s="217">
        <f t="shared" ref="G142:G173" si="444">IF(PLOT_TYPE=1, E142/100*Iout2, min_I*EXP(Q142*rr/100))</f>
        <v>0.08</v>
      </c>
      <c r="H142" s="217">
        <f t="shared" ref="H142:H173" si="445">F142*Vout</f>
        <v>48</v>
      </c>
      <c r="I142" s="217">
        <f t="shared" ref="I142:I173" si="446">Vout2*G142</f>
        <v>0.64</v>
      </c>
      <c r="J142" s="541">
        <f t="shared" ref="J142:J173" si="447">VIN_min-(F142/CG142/Nps+G142/CH142/(Nps/Nsec1sec2))*(Rdcr_pri+RON/1000)</f>
        <v>18.674161444555935</v>
      </c>
      <c r="K142" s="443">
        <f t="shared" ref="K142:K173" si="448">MAX((S142+Vfwd2+Rdcr_sec*F142/CG142)*Nps,(Vout2+Vfwd22+Rdcr_sec2*G142/CH142)*Nps/Nsec1sec2)</f>
        <v>15.875326315789472</v>
      </c>
      <c r="L142" s="172">
        <f t="shared" ref="L142:L173" si="449">MAX((Vout+Vfwd2+F142/CG142*Rdcr_sec)*Nps+J142, (Vout2+Vfwd22+G142/CH142*Rdcr_sec2)*Nps/Nsec1sec2+J142)</f>
        <v>34.549487760345407</v>
      </c>
      <c r="M142" s="443"/>
      <c r="N142" s="217">
        <f t="shared" ref="N142:N173" si="450">MAX((Vout+Vfwd2+F142/CG142*Rdcr_sec)*Nps/((Vout+Vfwd2+F142/CG142*Rdcr_sec)*Nps+J142), (Vout2+Vfwd22+G142/CH142*Rdcr_sec2)*Nps/Nsec1sec2/((Vout2+Vfwd22+G142/CH142*Rdcr_sec2)*Nps/Nsec1sec2+J142))</f>
        <v>0.45949527315454358</v>
      </c>
      <c r="O142" s="172">
        <f t="shared" ref="O142:O173" si="451">N142*J142*Isw_max*0.5*Efficiency*Pout/(Pout+Pout2)</f>
        <v>211.69462780999032</v>
      </c>
      <c r="P142" s="172">
        <f t="shared" ref="P142:P173" si="452">N142*J142*Isw_max*0.5*Efficiency*(Pout2/Pout_total)</f>
        <v>2.8602296379660919</v>
      </c>
      <c r="Q142" s="217">
        <f t="shared" si="322"/>
        <v>14.112975187332689</v>
      </c>
      <c r="R142" s="217">
        <f t="shared" ref="R142:R173" si="453">O142/Vout2</f>
        <v>26.46182847624879</v>
      </c>
      <c r="S142" s="217">
        <f t="shared" ref="S142:S173" si="454">MIN(Vout,O142/F142)</f>
        <v>15</v>
      </c>
      <c r="T142" s="217">
        <f t="shared" ref="T142:T173" si="455">MIN(2*(Vout*F142+Vout2*G142)/(Efficiency*J142*N142), Isw_max)</f>
        <v>11.337085049480594</v>
      </c>
      <c r="U142" s="217">
        <f t="shared" si="326"/>
        <v>7.2852010516074994</v>
      </c>
      <c r="V142" s="217">
        <f t="shared" si="327"/>
        <v>8.5695889260844886</v>
      </c>
      <c r="W142" s="197">
        <f t="shared" si="328"/>
        <v>71.505740949152298</v>
      </c>
      <c r="X142" s="443">
        <f t="shared" si="435"/>
        <v>62.286707044408089</v>
      </c>
      <c r="Z142" s="217">
        <f t="shared" si="329"/>
        <v>9.9999999999999982</v>
      </c>
      <c r="AA142" s="173">
        <f t="shared" si="330"/>
        <v>7.5588997424669593</v>
      </c>
      <c r="AB142" s="173">
        <f t="shared" ref="AB142:AB173" si="456">0.5*AA142*Z142*Nps*W142/1000*(Pout/(Pout+Pout2))</f>
        <v>2.6669641127242913</v>
      </c>
      <c r="AC142" s="173"/>
      <c r="AD142" s="173">
        <f t="shared" si="332"/>
        <v>7.5588997424669611</v>
      </c>
      <c r="AE142" s="545">
        <f t="shared" ref="AE142:AE173" si="457">MAX(10, F142/(0.5*AD142/1000000*Isw_min*Nps)/1000*Pout_total/Pout)</f>
        <v>84.668407017543856</v>
      </c>
      <c r="AF142" s="528">
        <f t="shared" ref="AF142:AF173" si="458">0.5*AD142/1000000*Isw_min*Nps*W142*1000*(Pout/Pout_total)</f>
        <v>2.7025236342272825</v>
      </c>
      <c r="AH142" s="173">
        <f t="shared" ref="AH142:AH173" si="459">SQRT((H142+I142)/(0.5*L*Fsw_DCM))</f>
        <v>4.8126816601459064</v>
      </c>
      <c r="AI142" s="173">
        <f t="shared" ref="AI142:AI173" si="460">MAX(IF(F142&gt;AB142,T142,AH142),Isw_min)</f>
        <v>11.337085049480594</v>
      </c>
      <c r="AJ142" s="173">
        <f t="shared" ref="AJ142:AJ173" si="461">IF(F142&gt;AF142, (AI142-Isw_min)/1.08*0.8+1.2, AE142*0.2/350+1)</f>
        <v>2.1904333699856249</v>
      </c>
      <c r="AL142" s="545">
        <f t="shared" ref="AL142:AL173" si="462">F142*1000</f>
        <v>3200</v>
      </c>
      <c r="AM142" s="460">
        <f t="shared" ref="AM142:AM173" si="463">IF(F142&gt;AF142, X142, AE142)</f>
        <v>62.286707044408089</v>
      </c>
      <c r="AO142" s="460">
        <f t="shared" si="340"/>
        <v>3200</v>
      </c>
      <c r="AP142" s="460">
        <f t="shared" si="341"/>
        <v>62.286707044408089</v>
      </c>
      <c r="AR142" s="5">
        <f t="shared" si="443"/>
        <v>16.054789977691989</v>
      </c>
      <c r="AS142" s="5">
        <f t="shared" si="440"/>
        <v>7.2852010516074994</v>
      </c>
      <c r="AT142" s="5">
        <f t="shared" si="441"/>
        <v>8.7695889260844897</v>
      </c>
      <c r="AU142" s="173">
        <f t="shared" si="442"/>
        <v>0.45377118366109004</v>
      </c>
      <c r="AW142" s="5">
        <f t="shared" si="342"/>
        <v>155.41762243429332</v>
      </c>
      <c r="AX142" s="5">
        <f t="shared" si="343"/>
        <v>7.2852010516074994</v>
      </c>
      <c r="AY142" s="5">
        <f t="shared" si="344"/>
        <v>7.7728693274161094</v>
      </c>
      <c r="AZ142" s="5"/>
      <c r="BA142" s="173">
        <f t="shared" si="345"/>
        <v>4.4091942642337587</v>
      </c>
      <c r="BB142" s="173">
        <f t="shared" si="346"/>
        <v>4.8375791204520464</v>
      </c>
      <c r="BC142" s="173">
        <f t="shared" si="347"/>
        <v>0.11913724265270138</v>
      </c>
      <c r="BD142" s="173"/>
      <c r="BE142" s="528">
        <f t="shared" si="348"/>
        <v>0.38881988119503752</v>
      </c>
      <c r="BF142" s="528">
        <f t="shared" ref="BF142:BF173" si="464">0.5*L142*AI142*AM142*1000*Tfall</f>
        <v>0.45744581722099248</v>
      </c>
      <c r="BG142" s="528">
        <f t="shared" ref="BG142:BG173" si="465">Qg*Vdd*AM142*1000*0+Qg*J142*AM142*1000</f>
        <v>2.9078800579925901E-2</v>
      </c>
      <c r="BH142" s="528">
        <f t="shared" si="351"/>
        <v>7.4349593246678947E-3</v>
      </c>
      <c r="BI142">
        <f t="shared" si="352"/>
        <v>8.4033726500501709E-3</v>
      </c>
      <c r="BJ142" s="460">
        <f t="shared" si="436"/>
        <v>37.482173229976077</v>
      </c>
      <c r="BK142">
        <f t="shared" ref="BK142:BK173" si="466">(BF142+BG142*0+BH142+BI142*0+BE142*(1+RdsonTC*(Ta-25)))/(1-BE142*RdsonTC*ThetaJA)</f>
        <v>1.0562634496771119</v>
      </c>
      <c r="BL142" s="460">
        <f t="shared" si="437"/>
        <v>891.18283097067388</v>
      </c>
      <c r="BM142" s="173">
        <f t="shared" ref="BM142:BM173" si="467">Vfwd2*F142*(1+Diode_TC/1000*(Ta-25))</f>
        <v>1.9879999999999998</v>
      </c>
      <c r="BN142" s="173">
        <f t="shared" ref="BN142:BN173" si="468">Vfwd2*G142*(1+Diode_TC/1000*(Ta-25))</f>
        <v>4.9699999999999994E-2</v>
      </c>
      <c r="BO142" s="528"/>
      <c r="BQ142" s="460">
        <f t="shared" si="356"/>
        <v>2037.6999999999996</v>
      </c>
      <c r="BR142" s="528">
        <f t="shared" si="357"/>
        <v>0.58322982179255622</v>
      </c>
      <c r="BS142" s="528">
        <f t="shared" si="358"/>
        <v>0.7020651523990078</v>
      </c>
      <c r="BT142" s="528">
        <f t="shared" si="359"/>
        <v>7.0968412934443247E-5</v>
      </c>
      <c r="BU142" s="528">
        <f t="shared" si="360"/>
        <v>0.66253975738830695</v>
      </c>
      <c r="BV142" s="528"/>
      <c r="BW142" s="625">
        <f t="shared" ref="BW142:BW173" si="469">0.5*Lleak*0.000000001*AI142^2*AM142*1000</f>
        <v>8.0056791523119997E-3</v>
      </c>
      <c r="BX142" s="460">
        <f t="shared" si="362"/>
        <v>1955.9113791451175</v>
      </c>
      <c r="BY142" s="173">
        <f t="shared" si="363"/>
        <v>4.8847942101157926</v>
      </c>
      <c r="BZ142" s="5">
        <f t="shared" si="364"/>
        <v>48.64</v>
      </c>
      <c r="CA142" s="173">
        <f t="shared" si="365"/>
        <v>0.90873773020144366</v>
      </c>
      <c r="CB142" s="5">
        <f t="shared" si="366"/>
        <v>90.87377302014437</v>
      </c>
      <c r="CC142">
        <f t="shared" si="367"/>
        <v>32</v>
      </c>
      <c r="CE142" s="562">
        <f t="shared" ref="CE142:CE173" si="470">IF(ABS(F142-Ioutmax_Vinmin)&lt;Iout/200, AM142, -50)</f>
        <v>-50</v>
      </c>
      <c r="CF142">
        <f t="shared" ref="CF142:CF173" si="471">IF(ABS(F142-Ioutmax_Vinmin)&lt;Iout/200, (O142+P142)*CA142, -50)</f>
        <v>-50</v>
      </c>
      <c r="CG142" s="173">
        <f t="shared" si="370"/>
        <v>0.54755043227665712</v>
      </c>
      <c r="CH142" s="173">
        <f t="shared" ref="CH142:CH173" si="472">MIN(SQRT(2*DT142*1000*Ls2_*(CM142+CK142*Vfwd22))/(Vout2+Vfwd22), 1-DY142)</f>
        <v>6.4398811101315859E-2</v>
      </c>
      <c r="CI142" s="170">
        <v>32</v>
      </c>
      <c r="CJ142" s="217">
        <f t="shared" si="438"/>
        <v>3.2</v>
      </c>
      <c r="CK142" s="217">
        <f t="shared" si="372"/>
        <v>0.08</v>
      </c>
      <c r="CL142" s="217">
        <f t="shared" si="373"/>
        <v>48</v>
      </c>
      <c r="CM142" s="217">
        <f t="shared" si="374"/>
        <v>0.64</v>
      </c>
      <c r="CN142" s="541">
        <f t="shared" si="375"/>
        <v>19</v>
      </c>
      <c r="CO142" s="443">
        <f t="shared" ref="CO142:CO173" si="473">(CW142+Vfwd2)*Nps</f>
        <v>15.7</v>
      </c>
      <c r="CP142" s="443">
        <f t="shared" ref="CP142:CP173" si="474">(Vout+Vfwd2)*Nps+CN142</f>
        <v>34.700000000000003</v>
      </c>
      <c r="CQ142" s="443"/>
      <c r="CR142" s="217">
        <f t="shared" si="378"/>
        <v>0.44767441860465118</v>
      </c>
      <c r="CS142" s="172">
        <f t="shared" si="379"/>
        <v>209.84738372093025</v>
      </c>
      <c r="CT142" s="172">
        <f t="shared" si="380"/>
        <v>2.835271317829458</v>
      </c>
      <c r="CU142" s="217">
        <f t="shared" si="381"/>
        <v>13.989825581395349</v>
      </c>
      <c r="CV142" s="217">
        <f t="shared" si="382"/>
        <v>26.230922965116282</v>
      </c>
      <c r="CW142" s="217">
        <f t="shared" si="383"/>
        <v>15</v>
      </c>
      <c r="CX142" s="217">
        <f t="shared" si="384"/>
        <v>11.436883116883116</v>
      </c>
      <c r="CY142" s="217">
        <f t="shared" si="385"/>
        <v>7.2232946001367049</v>
      </c>
      <c r="CZ142" s="217">
        <f t="shared" si="386"/>
        <v>8.7415667135412356</v>
      </c>
      <c r="DA142" s="197">
        <f t="shared" si="387"/>
        <v>71.63784822286263</v>
      </c>
      <c r="DB142" s="443">
        <f t="shared" si="388"/>
        <v>62.637562604020061</v>
      </c>
      <c r="DD142" s="217">
        <f t="shared" si="389"/>
        <v>10.000000000000002</v>
      </c>
      <c r="DE142" s="173">
        <f t="shared" si="390"/>
        <v>7.6433121019108299</v>
      </c>
      <c r="DF142" s="173">
        <f t="shared" si="391"/>
        <v>2.7017291066282429</v>
      </c>
      <c r="DG142" s="173"/>
      <c r="DH142" s="173">
        <f t="shared" si="392"/>
        <v>7.6433121019108281</v>
      </c>
      <c r="DI142" s="545">
        <f t="shared" si="393"/>
        <v>83.733333333333348</v>
      </c>
      <c r="DJ142" s="528">
        <f t="shared" si="394"/>
        <v>2.7377521613832849</v>
      </c>
      <c r="DL142" s="173">
        <f t="shared" si="395"/>
        <v>4.8126816601459064</v>
      </c>
      <c r="DM142" s="173">
        <f t="shared" si="396"/>
        <v>11.436883116883116</v>
      </c>
      <c r="DN142" s="173">
        <f t="shared" si="397"/>
        <v>2.2643578643578639</v>
      </c>
      <c r="DP142" s="545">
        <f t="shared" si="398"/>
        <v>3200</v>
      </c>
      <c r="DQ142" s="460">
        <f t="shared" si="399"/>
        <v>62.637562604020061</v>
      </c>
      <c r="DS142" s="460">
        <f t="shared" si="400"/>
        <v>3200</v>
      </c>
      <c r="DT142" s="460">
        <f t="shared" si="401"/>
        <v>62.637562604020061</v>
      </c>
      <c r="DV142" s="5">
        <f t="shared" si="402"/>
        <v>15.964861313677941</v>
      </c>
      <c r="DW142" s="5">
        <f t="shared" si="403"/>
        <v>7.2232946001367049</v>
      </c>
      <c r="DX142" s="5">
        <f t="shared" si="404"/>
        <v>8.7415667135412356</v>
      </c>
      <c r="DY142" s="173">
        <f t="shared" si="405"/>
        <v>0.45244956772334288</v>
      </c>
      <c r="EA142" s="5">
        <f t="shared" si="406"/>
        <v>154.09695146958305</v>
      </c>
      <c r="EB142" s="5">
        <f t="shared" si="407"/>
        <v>7.2232946001367049</v>
      </c>
      <c r="EC142" s="5">
        <f t="shared" si="408"/>
        <v>7.6151579355713102</v>
      </c>
      <c r="ED142" s="5"/>
      <c r="EE142" s="173">
        <f t="shared" si="409"/>
        <v>4.4415253394970584</v>
      </c>
      <c r="EF142" s="173">
        <f t="shared" si="410"/>
        <v>4.8860636305401881</v>
      </c>
      <c r="EG142" s="173">
        <f t="shared" si="411"/>
        <v>0.12033129254820542</v>
      </c>
      <c r="EH142" s="173"/>
      <c r="EI142" s="528">
        <f t="shared" si="412"/>
        <v>0.39454294682788921</v>
      </c>
      <c r="EJ142" s="528">
        <f t="shared" si="413"/>
        <v>0.4971666666666667</v>
      </c>
      <c r="EK142" s="528">
        <f t="shared" si="414"/>
        <v>7.8296953255025063E-3</v>
      </c>
      <c r="EL142" s="528">
        <f t="shared" si="415"/>
        <v>7.5421262755874536E-3</v>
      </c>
      <c r="EM142">
        <f t="shared" si="416"/>
        <v>8.5500000000000003E-3</v>
      </c>
      <c r="EN142" s="460">
        <f t="shared" si="417"/>
        <v>16.379695325502507</v>
      </c>
      <c r="EP142" s="460">
        <f t="shared" si="439"/>
        <v>915.63143509564577</v>
      </c>
      <c r="EQ142" s="173">
        <f t="shared" si="418"/>
        <v>2.2399999999999998</v>
      </c>
      <c r="ER142" s="173">
        <f t="shared" ref="ER142:ER173" si="475">Vfwd22*CK142*(1+Diode_TC/1000*(Ta-25))</f>
        <v>3.5499999999999997E-2</v>
      </c>
      <c r="ES142" s="528"/>
      <c r="EU142" s="460">
        <f t="shared" si="420"/>
        <v>2275.4999999999995</v>
      </c>
      <c r="EV142" s="528">
        <f t="shared" si="421"/>
        <v>0.59181442024183373</v>
      </c>
      <c r="EW142" s="528">
        <f t="shared" si="422"/>
        <v>0.7162085340506269</v>
      </c>
      <c r="EX142" s="528">
        <f t="shared" si="423"/>
        <v>7.2398099831608983E-5</v>
      </c>
      <c r="EY142" s="528">
        <f t="shared" si="424"/>
        <v>0.68679375210278804</v>
      </c>
      <c r="EZ142" s="528"/>
      <c r="FA142" s="625">
        <f t="shared" si="425"/>
        <v>8.1931369686989303E-3</v>
      </c>
      <c r="FB142" s="460">
        <f t="shared" si="426"/>
        <v>2003.0822414637792</v>
      </c>
      <c r="FC142" s="173">
        <f t="shared" si="427"/>
        <v>5.194213676559424</v>
      </c>
      <c r="FD142" s="5">
        <f t="shared" si="428"/>
        <v>48.64</v>
      </c>
      <c r="FE142" s="173">
        <f t="shared" si="429"/>
        <v>0.90351463647696795</v>
      </c>
      <c r="FF142" s="5">
        <f t="shared" si="430"/>
        <v>90.351463647696789</v>
      </c>
      <c r="FG142">
        <f t="shared" si="431"/>
        <v>32</v>
      </c>
      <c r="FI142" s="562">
        <f t="shared" si="432"/>
        <v>-50</v>
      </c>
      <c r="FJ142">
        <f t="shared" si="433"/>
        <v>-50</v>
      </c>
    </row>
    <row r="143" spans="5:166">
      <c r="E143" s="170">
        <v>33</v>
      </c>
      <c r="F143" s="217">
        <f t="shared" ref="F143:F174" si="476">IF(PLOT_TYPE=1, E143/100*Iout_max, min_I*EXP(O143*rr/100))</f>
        <v>3.3000000000000003</v>
      </c>
      <c r="G143" s="217">
        <f t="shared" si="444"/>
        <v>8.2500000000000004E-2</v>
      </c>
      <c r="H143" s="217">
        <f t="shared" si="445"/>
        <v>49.500000000000007</v>
      </c>
      <c r="I143" s="217">
        <f t="shared" si="446"/>
        <v>0.66</v>
      </c>
      <c r="J143" s="541">
        <f t="shared" si="447"/>
        <v>18.663978989698307</v>
      </c>
      <c r="K143" s="443">
        <f t="shared" si="448"/>
        <v>15.880805263157894</v>
      </c>
      <c r="L143" s="172">
        <f t="shared" si="449"/>
        <v>34.544784252856203</v>
      </c>
      <c r="M143" s="443"/>
      <c r="N143" s="217">
        <f t="shared" si="450"/>
        <v>0.45971644074878976</v>
      </c>
      <c r="O143" s="172">
        <f t="shared" si="451"/>
        <v>211.68103597091195</v>
      </c>
      <c r="P143" s="172">
        <f t="shared" si="452"/>
        <v>2.8600459971180996</v>
      </c>
      <c r="Q143" s="217">
        <f t="shared" si="322"/>
        <v>14.112069064727462</v>
      </c>
      <c r="R143" s="217">
        <f t="shared" si="453"/>
        <v>26.460129496363994</v>
      </c>
      <c r="S143" s="217">
        <f t="shared" si="454"/>
        <v>15</v>
      </c>
      <c r="T143" s="217">
        <f t="shared" si="455"/>
        <v>11.692119649018068</v>
      </c>
      <c r="U143" s="217">
        <f t="shared" si="326"/>
        <v>7.5174450135021704</v>
      </c>
      <c r="V143" s="217">
        <f t="shared" si="327"/>
        <v>8.8349068868512219</v>
      </c>
      <c r="W143" s="197">
        <f t="shared" si="328"/>
        <v>71.501149927952497</v>
      </c>
      <c r="X143" s="443">
        <f t="shared" si="435"/>
        <v>60.41437531174347</v>
      </c>
      <c r="Z143" s="217">
        <f t="shared" si="329"/>
        <v>9.9999999999999982</v>
      </c>
      <c r="AA143" s="173">
        <f t="shared" si="330"/>
        <v>7.556291888950347</v>
      </c>
      <c r="AB143" s="173">
        <f t="shared" si="456"/>
        <v>2.6658728252526807</v>
      </c>
      <c r="AC143" s="173"/>
      <c r="AD143" s="173">
        <f t="shared" si="332"/>
        <v>7.5562918889503479</v>
      </c>
      <c r="AE143" s="545">
        <f t="shared" si="457"/>
        <v>87.344428947368414</v>
      </c>
      <c r="AF143" s="528">
        <f t="shared" si="458"/>
        <v>2.7014177962560515</v>
      </c>
      <c r="AH143" s="173">
        <f t="shared" si="459"/>
        <v>4.8873013295390626</v>
      </c>
      <c r="AI143" s="173">
        <f t="shared" si="460"/>
        <v>11.692119649018068</v>
      </c>
      <c r="AJ143" s="173">
        <f t="shared" si="461"/>
        <v>2.4534219622356055</v>
      </c>
      <c r="AL143" s="545">
        <f t="shared" si="462"/>
        <v>3300.0000000000005</v>
      </c>
      <c r="AM143" s="460">
        <f t="shared" si="463"/>
        <v>60.41437531174347</v>
      </c>
      <c r="AO143" s="460">
        <f t="shared" si="340"/>
        <v>3300.0000000000005</v>
      </c>
      <c r="AP143" s="460">
        <f t="shared" si="341"/>
        <v>60.41437531174347</v>
      </c>
      <c r="AR143" s="5">
        <f t="shared" si="443"/>
        <v>16.552351900353393</v>
      </c>
      <c r="AS143" s="5">
        <f t="shared" si="440"/>
        <v>7.5174450135021704</v>
      </c>
      <c r="AT143" s="5">
        <f t="shared" si="441"/>
        <v>9.034906886851223</v>
      </c>
      <c r="AU143" s="173">
        <f t="shared" si="442"/>
        <v>0.45416174443111451</v>
      </c>
      <c r="AW143" s="5">
        <f t="shared" si="342"/>
        <v>165.38379029704774</v>
      </c>
      <c r="AX143" s="5">
        <f t="shared" si="343"/>
        <v>7.7523651701741132</v>
      </c>
      <c r="AY143" s="5">
        <f t="shared" si="344"/>
        <v>8.2627886683901064</v>
      </c>
      <c r="AZ143" s="5"/>
      <c r="BA143" s="173">
        <f t="shared" si="345"/>
        <v>4.5492300402078785</v>
      </c>
      <c r="BB143" s="173">
        <f t="shared" si="346"/>
        <v>4.9872898455562371</v>
      </c>
      <c r="BC143" s="173">
        <f t="shared" si="347"/>
        <v>0.12282423619644382</v>
      </c>
      <c r="BD143" s="173"/>
      <c r="BE143" s="528">
        <f t="shared" si="348"/>
        <v>0.41390987917459554</v>
      </c>
      <c r="BF143" s="528">
        <f t="shared" si="464"/>
        <v>0.45752759921078801</v>
      </c>
      <c r="BG143" s="528">
        <f t="shared" si="465"/>
        <v>2.8189315787353206E-2</v>
      </c>
      <c r="BH143" s="528">
        <f t="shared" si="351"/>
        <v>7.2095018657191813E-3</v>
      </c>
      <c r="BI143">
        <f t="shared" si="352"/>
        <v>8.3987905453642379E-3</v>
      </c>
      <c r="BJ143" s="460">
        <f t="shared" si="436"/>
        <v>36.588106332717445</v>
      </c>
      <c r="BK143">
        <f t="shared" si="466"/>
        <v>1.0984274846468987</v>
      </c>
      <c r="BL143" s="460">
        <f t="shared" si="437"/>
        <v>915.23508658382013</v>
      </c>
      <c r="BM143" s="173">
        <f t="shared" si="467"/>
        <v>2.050125</v>
      </c>
      <c r="BN143" s="173">
        <f t="shared" si="468"/>
        <v>5.1253124999999997E-2</v>
      </c>
      <c r="BO143" s="528"/>
      <c r="BQ143" s="460">
        <f t="shared" si="356"/>
        <v>2101.3781250000002</v>
      </c>
      <c r="BR143" s="528">
        <f t="shared" si="357"/>
        <v>0.62086481876189326</v>
      </c>
      <c r="BS143" s="528">
        <f t="shared" si="358"/>
        <v>0.74619180010765063</v>
      </c>
      <c r="BT143" s="528">
        <f t="shared" si="359"/>
        <v>7.5428964986199113E-5</v>
      </c>
      <c r="BU143" s="528">
        <f t="shared" si="360"/>
        <v>0.66306156570626695</v>
      </c>
      <c r="BV143" s="528"/>
      <c r="BW143" s="625">
        <f t="shared" si="469"/>
        <v>8.2589871644787663E-3</v>
      </c>
      <c r="BX143" s="460">
        <f t="shared" si="362"/>
        <v>2038.4526007052757</v>
      </c>
      <c r="BY143" s="173">
        <f t="shared" si="363"/>
        <v>5.0550658122890955</v>
      </c>
      <c r="BZ143" s="5">
        <f t="shared" si="364"/>
        <v>50.160000000000004</v>
      </c>
      <c r="CA143" s="173">
        <f t="shared" si="365"/>
        <v>0.90844770828537169</v>
      </c>
      <c r="CB143" s="5">
        <f t="shared" si="366"/>
        <v>90.844770828537165</v>
      </c>
      <c r="CC143">
        <f t="shared" si="367"/>
        <v>33</v>
      </c>
      <c r="CE143" s="562">
        <f t="shared" si="470"/>
        <v>-50</v>
      </c>
      <c r="CF143">
        <f t="shared" si="471"/>
        <v>-50</v>
      </c>
      <c r="CG143" s="173">
        <f t="shared" si="370"/>
        <v>0.54755043227665712</v>
      </c>
      <c r="CH143" s="173">
        <f t="shared" si="472"/>
        <v>6.4398811101315845E-2</v>
      </c>
      <c r="CI143" s="170">
        <v>33</v>
      </c>
      <c r="CJ143" s="217">
        <f t="shared" si="438"/>
        <v>3.3000000000000003</v>
      </c>
      <c r="CK143" s="217">
        <f t="shared" si="372"/>
        <v>8.2500000000000004E-2</v>
      </c>
      <c r="CL143" s="217">
        <f t="shared" si="373"/>
        <v>49.500000000000007</v>
      </c>
      <c r="CM143" s="217">
        <f t="shared" si="374"/>
        <v>0.66</v>
      </c>
      <c r="CN143" s="541">
        <f t="shared" si="375"/>
        <v>19</v>
      </c>
      <c r="CO143" s="443">
        <f t="shared" si="473"/>
        <v>15.7</v>
      </c>
      <c r="CP143" s="443">
        <f t="shared" si="474"/>
        <v>34.700000000000003</v>
      </c>
      <c r="CQ143" s="443"/>
      <c r="CR143" s="217">
        <f t="shared" si="378"/>
        <v>0.44767441860465118</v>
      </c>
      <c r="CS143" s="172">
        <f t="shared" si="379"/>
        <v>209.84738372093025</v>
      </c>
      <c r="CT143" s="172">
        <f t="shared" si="380"/>
        <v>2.835271317829458</v>
      </c>
      <c r="CU143" s="217">
        <f t="shared" si="381"/>
        <v>13.989825581395349</v>
      </c>
      <c r="CV143" s="217">
        <f t="shared" si="382"/>
        <v>26.230922965116282</v>
      </c>
      <c r="CW143" s="217">
        <f t="shared" si="383"/>
        <v>15</v>
      </c>
      <c r="CX143" s="217">
        <f t="shared" si="384"/>
        <v>11.794285714285715</v>
      </c>
      <c r="CY143" s="217">
        <f t="shared" si="385"/>
        <v>7.449022556390978</v>
      </c>
      <c r="CZ143" s="217">
        <f t="shared" si="386"/>
        <v>9.0147406733394</v>
      </c>
      <c r="DA143" s="197">
        <f t="shared" si="387"/>
        <v>71.63784822286263</v>
      </c>
      <c r="DB143" s="443">
        <f t="shared" si="388"/>
        <v>60.739454646322471</v>
      </c>
      <c r="DD143" s="217">
        <f t="shared" si="389"/>
        <v>10.000000000000002</v>
      </c>
      <c r="DE143" s="173">
        <f t="shared" si="390"/>
        <v>7.6433121019108299</v>
      </c>
      <c r="DF143" s="173">
        <f t="shared" si="391"/>
        <v>2.7017291066282429</v>
      </c>
      <c r="DG143" s="173"/>
      <c r="DH143" s="173">
        <f t="shared" si="392"/>
        <v>7.6433121019108281</v>
      </c>
      <c r="DI143" s="545">
        <f t="shared" si="393"/>
        <v>86.350000000000009</v>
      </c>
      <c r="DJ143" s="528">
        <f t="shared" si="394"/>
        <v>2.7377521613832849</v>
      </c>
      <c r="DL143" s="173">
        <f t="shared" si="395"/>
        <v>4.8873013295390626</v>
      </c>
      <c r="DM143" s="173">
        <f t="shared" si="396"/>
        <v>11.794285714285715</v>
      </c>
      <c r="DN143" s="173">
        <f t="shared" si="397"/>
        <v>2.5291005291005302</v>
      </c>
      <c r="DP143" s="545">
        <f t="shared" si="398"/>
        <v>3300.0000000000005</v>
      </c>
      <c r="DQ143" s="460">
        <f t="shared" si="399"/>
        <v>60.739454646322471</v>
      </c>
      <c r="DS143" s="460">
        <f t="shared" si="400"/>
        <v>3300.0000000000005</v>
      </c>
      <c r="DT143" s="460">
        <f t="shared" si="401"/>
        <v>60.739454646322471</v>
      </c>
      <c r="DV143" s="5">
        <f t="shared" si="402"/>
        <v>16.463763229730379</v>
      </c>
      <c r="DW143" s="5">
        <f t="shared" si="403"/>
        <v>7.449022556390978</v>
      </c>
      <c r="DX143" s="5">
        <f t="shared" si="404"/>
        <v>9.0147406733394</v>
      </c>
      <c r="DY143" s="173">
        <f t="shared" si="405"/>
        <v>0.45244956772334294</v>
      </c>
      <c r="EA143" s="5">
        <f t="shared" si="406"/>
        <v>163.87849624060152</v>
      </c>
      <c r="EB143" s="5">
        <f t="shared" si="407"/>
        <v>7.6818045112781963</v>
      </c>
      <c r="EC143" s="5">
        <f t="shared" si="408"/>
        <v>8.0985419842159772</v>
      </c>
      <c r="ED143" s="5"/>
      <c r="EE143" s="173">
        <f t="shared" si="409"/>
        <v>4.580323006356342</v>
      </c>
      <c r="EF143" s="173">
        <f t="shared" si="410"/>
        <v>5.0387531189945705</v>
      </c>
      <c r="EG143" s="173">
        <f t="shared" si="411"/>
        <v>0.12409164544033689</v>
      </c>
      <c r="EH143" s="173"/>
      <c r="EI143" s="528">
        <f t="shared" si="412"/>
        <v>0.41958717685114399</v>
      </c>
      <c r="EJ143" s="528">
        <f t="shared" si="413"/>
        <v>0.49716666666666665</v>
      </c>
      <c r="EK143" s="528">
        <f t="shared" si="414"/>
        <v>7.5924318307903091E-3</v>
      </c>
      <c r="EL143" s="528">
        <f t="shared" si="415"/>
        <v>7.3135769945090441E-3</v>
      </c>
      <c r="EM143">
        <f t="shared" si="416"/>
        <v>8.5500000000000003E-3</v>
      </c>
      <c r="EN143" s="460">
        <f t="shared" si="417"/>
        <v>16.142431830790311</v>
      </c>
      <c r="EP143" s="460">
        <f t="shared" si="439"/>
        <v>940.2098523431099</v>
      </c>
      <c r="EQ143" s="173">
        <f t="shared" si="418"/>
        <v>2.31</v>
      </c>
      <c r="ER143" s="173">
        <f t="shared" si="475"/>
        <v>3.6609375E-2</v>
      </c>
      <c r="ES143" s="528"/>
      <c r="EU143" s="460">
        <f t="shared" si="420"/>
        <v>2346.609375</v>
      </c>
      <c r="EV143" s="528">
        <f t="shared" si="421"/>
        <v>0.62938076527671594</v>
      </c>
      <c r="EW143" s="528">
        <f t="shared" si="422"/>
        <v>0.76167098982532533</v>
      </c>
      <c r="EX143" s="528">
        <f t="shared" si="423"/>
        <v>7.699368234045142E-5</v>
      </c>
      <c r="EY143" s="528">
        <f t="shared" si="424"/>
        <v>0.6867937521027887</v>
      </c>
      <c r="EZ143" s="528"/>
      <c r="FA143" s="625">
        <f t="shared" si="425"/>
        <v>8.4491724989707688E-3</v>
      </c>
      <c r="FB143" s="460">
        <f t="shared" si="426"/>
        <v>2086.3716733861411</v>
      </c>
      <c r="FC143" s="173">
        <f t="shared" si="427"/>
        <v>5.3731909007292513</v>
      </c>
      <c r="FD143" s="5">
        <f t="shared" si="428"/>
        <v>50.160000000000004</v>
      </c>
      <c r="FE143" s="173">
        <f t="shared" si="429"/>
        <v>0.90324361316938684</v>
      </c>
      <c r="FF143" s="5">
        <f t="shared" si="430"/>
        <v>90.324361316938678</v>
      </c>
      <c r="FG143">
        <f t="shared" si="431"/>
        <v>33</v>
      </c>
      <c r="FI143" s="562">
        <f t="shared" si="432"/>
        <v>-50</v>
      </c>
      <c r="FJ143">
        <f t="shared" si="433"/>
        <v>-50</v>
      </c>
    </row>
    <row r="144" spans="5:166">
      <c r="E144" s="170">
        <v>34</v>
      </c>
      <c r="F144" s="217">
        <f t="shared" si="476"/>
        <v>3.4000000000000004</v>
      </c>
      <c r="G144" s="217">
        <f t="shared" si="444"/>
        <v>8.5000000000000006E-2</v>
      </c>
      <c r="H144" s="217">
        <f t="shared" si="445"/>
        <v>51.000000000000007</v>
      </c>
      <c r="I144" s="217">
        <f t="shared" si="446"/>
        <v>0.68</v>
      </c>
      <c r="J144" s="541">
        <f t="shared" si="447"/>
        <v>18.65379653484068</v>
      </c>
      <c r="K144" s="443">
        <f t="shared" si="448"/>
        <v>15.886284210526314</v>
      </c>
      <c r="L144" s="172">
        <f t="shared" si="449"/>
        <v>34.540080745366993</v>
      </c>
      <c r="M144" s="443"/>
      <c r="N144" s="217">
        <f t="shared" si="450"/>
        <v>0.45993766857818391</v>
      </c>
      <c r="O144" s="172">
        <f t="shared" si="451"/>
        <v>211.6673607327244</v>
      </c>
      <c r="P144" s="172">
        <f t="shared" si="452"/>
        <v>2.8598612294554764</v>
      </c>
      <c r="Q144" s="217">
        <f t="shared" si="322"/>
        <v>14.111157382181627</v>
      </c>
      <c r="R144" s="217">
        <f t="shared" si="453"/>
        <v>26.458420091590551</v>
      </c>
      <c r="S144" s="217">
        <f t="shared" si="454"/>
        <v>15</v>
      </c>
      <c r="T144" s="217">
        <f t="shared" si="455"/>
        <v>12.047204591074976</v>
      </c>
      <c r="U144" s="217">
        <f t="shared" si="326"/>
        <v>7.7499749084796408</v>
      </c>
      <c r="V144" s="217">
        <f t="shared" si="327"/>
        <v>9.1000798661973707</v>
      </c>
      <c r="W144" s="197">
        <f t="shared" si="328"/>
        <v>71.496530736386902</v>
      </c>
      <c r="X144" s="443">
        <f t="shared" si="435"/>
        <v>58.650837971806077</v>
      </c>
      <c r="Z144" s="217">
        <f t="shared" si="329"/>
        <v>10</v>
      </c>
      <c r="AA144" s="173">
        <f t="shared" si="330"/>
        <v>7.5536858342549058</v>
      </c>
      <c r="AB144" s="173">
        <f t="shared" si="456"/>
        <v>2.6647812405681721</v>
      </c>
      <c r="AC144" s="173"/>
      <c r="AD144" s="173">
        <f t="shared" si="332"/>
        <v>7.5536858342549058</v>
      </c>
      <c r="AE144" s="545">
        <f t="shared" si="457"/>
        <v>90.022277192982457</v>
      </c>
      <c r="AF144" s="528">
        <f t="shared" si="458"/>
        <v>2.7003116571090811</v>
      </c>
      <c r="AH144" s="173">
        <f t="shared" si="459"/>
        <v>4.960798706813633</v>
      </c>
      <c r="AI144" s="173">
        <f t="shared" si="460"/>
        <v>12.047204591074976</v>
      </c>
      <c r="AJ144" s="173">
        <f t="shared" si="461"/>
        <v>2.7164478452407232</v>
      </c>
      <c r="AL144" s="545">
        <f t="shared" si="462"/>
        <v>3400.0000000000005</v>
      </c>
      <c r="AM144" s="460">
        <f t="shared" si="463"/>
        <v>58.650837971806077</v>
      </c>
      <c r="AO144" s="460">
        <f t="shared" si="340"/>
        <v>3400.0000000000005</v>
      </c>
      <c r="AP144" s="460">
        <f t="shared" si="341"/>
        <v>58.650837971806077</v>
      </c>
      <c r="AR144" s="5">
        <f t="shared" si="443"/>
        <v>17.050054774677012</v>
      </c>
      <c r="AS144" s="5">
        <f t="shared" si="440"/>
        <v>7.7499749084796408</v>
      </c>
      <c r="AT144" s="5">
        <f t="shared" si="441"/>
        <v>9.3000798661973718</v>
      </c>
      <c r="AU144" s="173">
        <f t="shared" si="442"/>
        <v>0.45454252264280204</v>
      </c>
      <c r="AW144" s="5">
        <f t="shared" si="342"/>
        <v>175.66609792553857</v>
      </c>
      <c r="AX144" s="5">
        <f t="shared" si="343"/>
        <v>8.2343483402596185</v>
      </c>
      <c r="AY144" s="5">
        <f t="shared" si="344"/>
        <v>8.7678199114011601</v>
      </c>
      <c r="AZ144" s="5"/>
      <c r="BA144" s="173">
        <f t="shared" si="345"/>
        <v>4.6893529034528605</v>
      </c>
      <c r="BB144" s="173">
        <f t="shared" si="346"/>
        <v>5.1369591037192643</v>
      </c>
      <c r="BC144" s="173">
        <f t="shared" si="347"/>
        <v>0.12651020851512543</v>
      </c>
      <c r="BD144" s="173"/>
      <c r="BE144" s="528">
        <f t="shared" si="348"/>
        <v>0.43980061306243551</v>
      </c>
      <c r="BF144" s="528">
        <f t="shared" si="464"/>
        <v>0.45759906437701781</v>
      </c>
      <c r="BG144" s="528">
        <f t="shared" si="465"/>
        <v>2.7351519953099455E-2</v>
      </c>
      <c r="BH144" s="528">
        <f t="shared" si="351"/>
        <v>6.9971457198387292E-3</v>
      </c>
      <c r="BI144">
        <f t="shared" si="352"/>
        <v>8.3942084406783066E-3</v>
      </c>
      <c r="BJ144" s="460">
        <f t="shared" si="436"/>
        <v>35.745728393777767</v>
      </c>
      <c r="BK144">
        <f t="shared" si="466"/>
        <v>1.1425339289696979</v>
      </c>
      <c r="BL144" s="460">
        <f t="shared" si="437"/>
        <v>940.14255155306978</v>
      </c>
      <c r="BM144" s="173">
        <f t="shared" si="467"/>
        <v>2.11225</v>
      </c>
      <c r="BN144" s="173">
        <f t="shared" si="468"/>
        <v>5.2806249999999992E-2</v>
      </c>
      <c r="BO144" s="528"/>
      <c r="BQ144" s="460">
        <f t="shared" si="356"/>
        <v>2165.0562500000001</v>
      </c>
      <c r="BR144" s="528">
        <f t="shared" si="357"/>
        <v>0.65970091959365318</v>
      </c>
      <c r="BS144" s="528">
        <f t="shared" si="358"/>
        <v>0.79165046499852676</v>
      </c>
      <c r="BT144" s="528">
        <f t="shared" si="359"/>
        <v>8.0024164292702562E-5</v>
      </c>
      <c r="BU144" s="528">
        <f t="shared" si="360"/>
        <v>0.66354636206394557</v>
      </c>
      <c r="BV144" s="528"/>
      <c r="BW144" s="625">
        <f t="shared" si="469"/>
        <v>8.5122974897872353E-3</v>
      </c>
      <c r="BX144" s="460">
        <f t="shared" si="362"/>
        <v>2123.4900683102055</v>
      </c>
      <c r="BY144" s="173">
        <f t="shared" si="363"/>
        <v>5.2286888698632747</v>
      </c>
      <c r="BZ144" s="5">
        <f t="shared" si="364"/>
        <v>51.680000000000007</v>
      </c>
      <c r="CA144" s="173">
        <f t="shared" si="365"/>
        <v>0.90812143147736102</v>
      </c>
      <c r="CB144" s="5">
        <f t="shared" si="366"/>
        <v>90.812143147736109</v>
      </c>
      <c r="CC144">
        <f t="shared" si="367"/>
        <v>34</v>
      </c>
      <c r="CE144" s="562">
        <f t="shared" si="470"/>
        <v>-50</v>
      </c>
      <c r="CF144">
        <f t="shared" si="471"/>
        <v>-50</v>
      </c>
      <c r="CG144" s="173">
        <f t="shared" si="370"/>
        <v>0.54755043227665712</v>
      </c>
      <c r="CH144" s="173">
        <f t="shared" si="472"/>
        <v>6.4398811101315845E-2</v>
      </c>
      <c r="CI144" s="170">
        <v>34</v>
      </c>
      <c r="CJ144" s="217">
        <f t="shared" si="438"/>
        <v>3.4000000000000004</v>
      </c>
      <c r="CK144" s="217">
        <f t="shared" si="372"/>
        <v>8.5000000000000006E-2</v>
      </c>
      <c r="CL144" s="217">
        <f t="shared" si="373"/>
        <v>51.000000000000007</v>
      </c>
      <c r="CM144" s="217">
        <f t="shared" si="374"/>
        <v>0.68</v>
      </c>
      <c r="CN144" s="541">
        <f t="shared" si="375"/>
        <v>19</v>
      </c>
      <c r="CO144" s="443">
        <f t="shared" si="473"/>
        <v>15.7</v>
      </c>
      <c r="CP144" s="443">
        <f t="shared" si="474"/>
        <v>34.700000000000003</v>
      </c>
      <c r="CQ144" s="443"/>
      <c r="CR144" s="217">
        <f t="shared" si="378"/>
        <v>0.44767441860465118</v>
      </c>
      <c r="CS144" s="172">
        <f t="shared" si="379"/>
        <v>209.84738372093025</v>
      </c>
      <c r="CT144" s="172">
        <f t="shared" si="380"/>
        <v>2.835271317829458</v>
      </c>
      <c r="CU144" s="217">
        <f t="shared" si="381"/>
        <v>13.989825581395349</v>
      </c>
      <c r="CV144" s="217">
        <f t="shared" si="382"/>
        <v>26.230922965116282</v>
      </c>
      <c r="CW144" s="217">
        <f t="shared" si="383"/>
        <v>15</v>
      </c>
      <c r="CX144" s="217">
        <f t="shared" si="384"/>
        <v>12.151688311688313</v>
      </c>
      <c r="CY144" s="217">
        <f t="shared" si="385"/>
        <v>7.6747505126452493</v>
      </c>
      <c r="CZ144" s="217">
        <f t="shared" si="386"/>
        <v>9.2879146331375644</v>
      </c>
      <c r="DA144" s="197">
        <f t="shared" si="387"/>
        <v>71.63784822286263</v>
      </c>
      <c r="DB144" s="443">
        <f t="shared" si="388"/>
        <v>58.953000097901224</v>
      </c>
      <c r="DD144" s="217">
        <f t="shared" si="389"/>
        <v>10.000000000000002</v>
      </c>
      <c r="DE144" s="173">
        <f t="shared" si="390"/>
        <v>7.6433121019108299</v>
      </c>
      <c r="DF144" s="173">
        <f t="shared" si="391"/>
        <v>2.7017291066282429</v>
      </c>
      <c r="DG144" s="173"/>
      <c r="DH144" s="173">
        <f t="shared" si="392"/>
        <v>7.6433121019108281</v>
      </c>
      <c r="DI144" s="545">
        <f t="shared" si="393"/>
        <v>88.966666666666683</v>
      </c>
      <c r="DJ144" s="528">
        <f t="shared" si="394"/>
        <v>2.7377521613832849</v>
      </c>
      <c r="DL144" s="173">
        <f t="shared" si="395"/>
        <v>4.960798706813633</v>
      </c>
      <c r="DM144" s="173">
        <f t="shared" si="396"/>
        <v>12.151688311688313</v>
      </c>
      <c r="DN144" s="173">
        <f t="shared" si="397"/>
        <v>2.7938431938431947</v>
      </c>
      <c r="DP144" s="545">
        <f t="shared" si="398"/>
        <v>3400.0000000000005</v>
      </c>
      <c r="DQ144" s="460">
        <f t="shared" si="399"/>
        <v>58.953000097901224</v>
      </c>
      <c r="DS144" s="460">
        <f t="shared" si="400"/>
        <v>3400.0000000000005</v>
      </c>
      <c r="DT144" s="460">
        <f t="shared" si="401"/>
        <v>58.953000097901224</v>
      </c>
      <c r="DV144" s="5">
        <f t="shared" si="402"/>
        <v>16.962665145782815</v>
      </c>
      <c r="DW144" s="5">
        <f t="shared" si="403"/>
        <v>7.6747505126452493</v>
      </c>
      <c r="DX144" s="5">
        <f t="shared" si="404"/>
        <v>9.2879146331375644</v>
      </c>
      <c r="DY144" s="173">
        <f t="shared" si="405"/>
        <v>0.45244956772334288</v>
      </c>
      <c r="EA144" s="5">
        <f t="shared" si="406"/>
        <v>173.96101161995901</v>
      </c>
      <c r="EB144" s="5">
        <f t="shared" si="407"/>
        <v>8.1544224196855772</v>
      </c>
      <c r="EC144" s="5">
        <f t="shared" si="408"/>
        <v>8.5967993882035536</v>
      </c>
      <c r="ED144" s="5"/>
      <c r="EE144" s="173">
        <f t="shared" si="409"/>
        <v>4.7191206732156248</v>
      </c>
      <c r="EF144" s="173">
        <f t="shared" si="410"/>
        <v>5.191442607448951</v>
      </c>
      <c r="EG144" s="173">
        <f t="shared" si="411"/>
        <v>0.1278519983324683</v>
      </c>
      <c r="EH144" s="173"/>
      <c r="EI144" s="528">
        <f t="shared" si="412"/>
        <v>0.44540199856742185</v>
      </c>
      <c r="EJ144" s="528">
        <f t="shared" si="413"/>
        <v>0.49716666666666665</v>
      </c>
      <c r="EK144" s="528">
        <f t="shared" si="414"/>
        <v>7.3691250122376525E-3</v>
      </c>
      <c r="EL144" s="528">
        <f t="shared" si="415"/>
        <v>7.0984717887881904E-3</v>
      </c>
      <c r="EM144">
        <f t="shared" si="416"/>
        <v>8.5500000000000003E-3</v>
      </c>
      <c r="EN144" s="460">
        <f t="shared" si="417"/>
        <v>15.919125012237654</v>
      </c>
      <c r="EP144" s="460">
        <f t="shared" si="439"/>
        <v>965.58626203511437</v>
      </c>
      <c r="EQ144" s="173">
        <f t="shared" si="418"/>
        <v>2.38</v>
      </c>
      <c r="ER144" s="173">
        <f t="shared" si="475"/>
        <v>3.7718750000000002E-2</v>
      </c>
      <c r="ES144" s="528"/>
      <c r="EU144" s="460">
        <f t="shared" si="420"/>
        <v>2417.7187499999995</v>
      </c>
      <c r="EV144" s="528">
        <f t="shared" si="421"/>
        <v>0.6681029978511327</v>
      </c>
      <c r="EW144" s="528">
        <f t="shared" si="422"/>
        <v>0.80853229039309082</v>
      </c>
      <c r="EX144" s="528">
        <f t="shared" si="423"/>
        <v>8.1730667388027375E-5</v>
      </c>
      <c r="EY144" s="528">
        <f t="shared" si="424"/>
        <v>0.68679375210278815</v>
      </c>
      <c r="EZ144" s="528"/>
      <c r="FA144" s="625">
        <f t="shared" si="425"/>
        <v>8.7052080292426108E-3</v>
      </c>
      <c r="FB144" s="460">
        <f t="shared" si="426"/>
        <v>2172.2159790436422</v>
      </c>
      <c r="FC144" s="173">
        <f t="shared" si="427"/>
        <v>5.5555209910787555</v>
      </c>
      <c r="FD144" s="5">
        <f t="shared" si="428"/>
        <v>51.680000000000007</v>
      </c>
      <c r="FE144" s="173">
        <f t="shared" si="429"/>
        <v>0.90293578367278793</v>
      </c>
      <c r="FF144" s="5">
        <f t="shared" si="430"/>
        <v>90.293578367278798</v>
      </c>
      <c r="FG144">
        <f t="shared" si="431"/>
        <v>34</v>
      </c>
      <c r="FI144" s="562">
        <f t="shared" si="432"/>
        <v>-50</v>
      </c>
      <c r="FJ144">
        <f t="shared" si="433"/>
        <v>-50</v>
      </c>
    </row>
    <row r="145" spans="5:166">
      <c r="E145" s="170">
        <v>35</v>
      </c>
      <c r="F145" s="217">
        <f t="shared" si="476"/>
        <v>3.5</v>
      </c>
      <c r="G145" s="217">
        <f t="shared" si="444"/>
        <v>8.7499999999999994E-2</v>
      </c>
      <c r="H145" s="217">
        <f t="shared" si="445"/>
        <v>52.5</v>
      </c>
      <c r="I145" s="217">
        <f t="shared" si="446"/>
        <v>0.7</v>
      </c>
      <c r="J145" s="541">
        <f t="shared" si="447"/>
        <v>18.643614079983053</v>
      </c>
      <c r="K145" s="443">
        <f t="shared" si="448"/>
        <v>15.891763157894736</v>
      </c>
      <c r="L145" s="172">
        <f t="shared" si="449"/>
        <v>34.535377237877789</v>
      </c>
      <c r="M145" s="443"/>
      <c r="N145" s="217">
        <f t="shared" si="450"/>
        <v>0.46015895666733686</v>
      </c>
      <c r="O145" s="172">
        <f t="shared" si="451"/>
        <v>211.65360206135213</v>
      </c>
      <c r="P145" s="172">
        <f t="shared" si="452"/>
        <v>2.8596753345178247</v>
      </c>
      <c r="Q145" s="217">
        <f t="shared" si="322"/>
        <v>14.110240137423476</v>
      </c>
      <c r="R145" s="217">
        <f t="shared" si="453"/>
        <v>26.456700257669016</v>
      </c>
      <c r="S145" s="217">
        <f t="shared" si="454"/>
        <v>15</v>
      </c>
      <c r="T145" s="217">
        <f t="shared" si="455"/>
        <v>12.402340307154754</v>
      </c>
      <c r="U145" s="217">
        <f t="shared" si="326"/>
        <v>7.9827914827763005</v>
      </c>
      <c r="V145" s="217">
        <f t="shared" si="327"/>
        <v>9.3651083399089021</v>
      </c>
      <c r="W145" s="197">
        <f t="shared" si="328"/>
        <v>71.491883362945615</v>
      </c>
      <c r="X145" s="443">
        <f t="shared" si="435"/>
        <v>56.986876498305577</v>
      </c>
      <c r="Z145" s="217">
        <f t="shared" si="329"/>
        <v>9.9999999999999982</v>
      </c>
      <c r="AA145" s="173">
        <f t="shared" si="330"/>
        <v>7.5510815765201089</v>
      </c>
      <c r="AB145" s="173">
        <f t="shared" si="456"/>
        <v>2.6636893585493238</v>
      </c>
      <c r="AC145" s="173"/>
      <c r="AD145" s="173">
        <f t="shared" si="332"/>
        <v>7.5510815765201107</v>
      </c>
      <c r="AE145" s="545">
        <f t="shared" si="457"/>
        <v>92.701951754385973</v>
      </c>
      <c r="AF145" s="528">
        <f t="shared" si="458"/>
        <v>2.6992052166633163</v>
      </c>
      <c r="AH145" s="173">
        <f t="shared" si="459"/>
        <v>5.0332229568471663</v>
      </c>
      <c r="AI145" s="173">
        <f t="shared" si="460"/>
        <v>12.402340307154754</v>
      </c>
      <c r="AJ145" s="173">
        <f t="shared" si="461"/>
        <v>2.9795113386331509</v>
      </c>
      <c r="AL145" s="545">
        <f t="shared" si="462"/>
        <v>3500</v>
      </c>
      <c r="AM145" s="460">
        <f t="shared" si="463"/>
        <v>56.986876498305577</v>
      </c>
      <c r="AO145" s="460">
        <f t="shared" si="340"/>
        <v>3500</v>
      </c>
      <c r="AP145" s="460">
        <f t="shared" si="341"/>
        <v>56.986876498305577</v>
      </c>
      <c r="AR145" s="5">
        <f t="shared" si="443"/>
        <v>17.547899822685203</v>
      </c>
      <c r="AS145" s="5">
        <f t="shared" si="440"/>
        <v>7.9827914827763005</v>
      </c>
      <c r="AT145" s="5">
        <f t="shared" si="441"/>
        <v>9.5651083399089032</v>
      </c>
      <c r="AU145" s="173">
        <f t="shared" si="442"/>
        <v>0.45491435234069871</v>
      </c>
      <c r="AW145" s="5">
        <f t="shared" si="342"/>
        <v>186.26513459811366</v>
      </c>
      <c r="AX145" s="5">
        <f t="shared" si="343"/>
        <v>8.7311781842865788</v>
      </c>
      <c r="AY145" s="5">
        <f t="shared" si="344"/>
        <v>9.2879762122127723</v>
      </c>
      <c r="AZ145" s="5"/>
      <c r="BA145" s="173">
        <f t="shared" si="345"/>
        <v>4.8295630017102544</v>
      </c>
      <c r="BB145" s="173">
        <f t="shared" si="346"/>
        <v>5.2865870758618856</v>
      </c>
      <c r="BC145" s="173">
        <f t="shared" si="347"/>
        <v>0.13019516406436332</v>
      </c>
      <c r="BD145" s="173"/>
      <c r="BE145" s="528">
        <f t="shared" si="348"/>
        <v>0.46649357574977124</v>
      </c>
      <c r="BF145" s="528">
        <f t="shared" si="464"/>
        <v>0.45766107212415463</v>
      </c>
      <c r="BG145" s="528">
        <f t="shared" si="465"/>
        <v>2.6561033326451627E-2</v>
      </c>
      <c r="BH145" s="528">
        <f t="shared" si="351"/>
        <v>6.7967807715693922E-3</v>
      </c>
      <c r="BI145">
        <f t="shared" si="352"/>
        <v>8.3896263359923735E-3</v>
      </c>
      <c r="BJ145" s="460">
        <f t="shared" si="436"/>
        <v>34.950659662443996</v>
      </c>
      <c r="BK145">
        <f t="shared" si="466"/>
        <v>1.1886537352064441</v>
      </c>
      <c r="BL145" s="460">
        <f t="shared" si="437"/>
        <v>965.90208830793938</v>
      </c>
      <c r="BM145" s="173">
        <f t="shared" si="467"/>
        <v>2.1743749999999995</v>
      </c>
      <c r="BN145" s="173">
        <f t="shared" si="468"/>
        <v>5.4359374999999988E-2</v>
      </c>
      <c r="BO145" s="528"/>
      <c r="BQ145" s="460">
        <f t="shared" si="356"/>
        <v>2228.7343749999991</v>
      </c>
      <c r="BR145" s="528">
        <f t="shared" si="357"/>
        <v>0.69974036362465686</v>
      </c>
      <c r="BS145" s="528">
        <f t="shared" si="358"/>
        <v>0.83844008732009756</v>
      </c>
      <c r="BT145" s="528">
        <f t="shared" si="359"/>
        <v>8.4753903728732426E-5</v>
      </c>
      <c r="BU145" s="528">
        <f t="shared" si="360"/>
        <v>0.66399719941984947</v>
      </c>
      <c r="BV145" s="528"/>
      <c r="BW145" s="625">
        <f t="shared" si="469"/>
        <v>8.7656099390096744E-3</v>
      </c>
      <c r="BX145" s="460">
        <f t="shared" si="362"/>
        <v>2211.0280142073425</v>
      </c>
      <c r="BY145" s="173">
        <f t="shared" si="363"/>
        <v>5.4056644775152813</v>
      </c>
      <c r="BZ145" s="5">
        <f t="shared" si="364"/>
        <v>53.2</v>
      </c>
      <c r="CA145" s="173">
        <f t="shared" si="365"/>
        <v>0.90776208194705776</v>
      </c>
      <c r="CB145" s="5">
        <f t="shared" si="366"/>
        <v>90.776208194705774</v>
      </c>
      <c r="CC145">
        <f t="shared" si="367"/>
        <v>35</v>
      </c>
      <c r="CE145" s="562">
        <f t="shared" si="470"/>
        <v>-50</v>
      </c>
      <c r="CF145">
        <f t="shared" si="471"/>
        <v>-50</v>
      </c>
      <c r="CG145" s="173">
        <f t="shared" si="370"/>
        <v>0.54755043227665712</v>
      </c>
      <c r="CH145" s="173">
        <f t="shared" si="472"/>
        <v>6.4398811101315831E-2</v>
      </c>
      <c r="CI145" s="170">
        <v>35</v>
      </c>
      <c r="CJ145" s="217">
        <f t="shared" si="438"/>
        <v>3.5</v>
      </c>
      <c r="CK145" s="217">
        <f t="shared" si="372"/>
        <v>8.7499999999999994E-2</v>
      </c>
      <c r="CL145" s="217">
        <f t="shared" si="373"/>
        <v>52.5</v>
      </c>
      <c r="CM145" s="217">
        <f t="shared" si="374"/>
        <v>0.7</v>
      </c>
      <c r="CN145" s="541">
        <f t="shared" si="375"/>
        <v>19</v>
      </c>
      <c r="CO145" s="443">
        <f t="shared" si="473"/>
        <v>15.7</v>
      </c>
      <c r="CP145" s="443">
        <f t="shared" si="474"/>
        <v>34.700000000000003</v>
      </c>
      <c r="CQ145" s="443"/>
      <c r="CR145" s="217">
        <f t="shared" si="378"/>
        <v>0.44767441860465118</v>
      </c>
      <c r="CS145" s="172">
        <f t="shared" si="379"/>
        <v>209.84738372093025</v>
      </c>
      <c r="CT145" s="172">
        <f t="shared" si="380"/>
        <v>2.835271317829458</v>
      </c>
      <c r="CU145" s="217">
        <f t="shared" si="381"/>
        <v>13.989825581395349</v>
      </c>
      <c r="CV145" s="217">
        <f t="shared" si="382"/>
        <v>26.230922965116282</v>
      </c>
      <c r="CW145" s="217">
        <f t="shared" si="383"/>
        <v>15</v>
      </c>
      <c r="CX145" s="217">
        <f t="shared" si="384"/>
        <v>12.50909090909091</v>
      </c>
      <c r="CY145" s="217">
        <f t="shared" si="385"/>
        <v>7.9004784688995233</v>
      </c>
      <c r="CZ145" s="217">
        <f t="shared" si="386"/>
        <v>9.5610885929357288</v>
      </c>
      <c r="DA145" s="197">
        <f t="shared" si="387"/>
        <v>71.63784822286263</v>
      </c>
      <c r="DB145" s="443">
        <f t="shared" si="388"/>
        <v>57.268628666532607</v>
      </c>
      <c r="DD145" s="217">
        <f t="shared" si="389"/>
        <v>10.000000000000002</v>
      </c>
      <c r="DE145" s="173">
        <f t="shared" si="390"/>
        <v>7.6433121019108299</v>
      </c>
      <c r="DF145" s="173">
        <f t="shared" si="391"/>
        <v>2.7017291066282429</v>
      </c>
      <c r="DG145" s="173"/>
      <c r="DH145" s="173">
        <f t="shared" si="392"/>
        <v>7.6433121019108281</v>
      </c>
      <c r="DI145" s="545">
        <f t="shared" si="393"/>
        <v>91.583333333333343</v>
      </c>
      <c r="DJ145" s="528">
        <f t="shared" si="394"/>
        <v>2.7377521613832849</v>
      </c>
      <c r="DL145" s="173">
        <f t="shared" si="395"/>
        <v>5.0332229568471663</v>
      </c>
      <c r="DM145" s="173">
        <f t="shared" si="396"/>
        <v>12.50909090909091</v>
      </c>
      <c r="DN145" s="173">
        <f t="shared" si="397"/>
        <v>3.0585858585858592</v>
      </c>
      <c r="DP145" s="545">
        <f t="shared" si="398"/>
        <v>3500</v>
      </c>
      <c r="DQ145" s="460">
        <f t="shared" si="399"/>
        <v>57.268628666532607</v>
      </c>
      <c r="DS145" s="460">
        <f t="shared" si="400"/>
        <v>3500</v>
      </c>
      <c r="DT145" s="460">
        <f t="shared" si="401"/>
        <v>57.268628666532607</v>
      </c>
      <c r="DV145" s="5">
        <f t="shared" si="402"/>
        <v>17.461567061835254</v>
      </c>
      <c r="DW145" s="5">
        <f t="shared" si="403"/>
        <v>7.9004784688995233</v>
      </c>
      <c r="DX145" s="5">
        <f t="shared" si="404"/>
        <v>9.5610885929357305</v>
      </c>
      <c r="DY145" s="173">
        <f t="shared" si="405"/>
        <v>0.45244956772334288</v>
      </c>
      <c r="EA145" s="5">
        <f t="shared" si="406"/>
        <v>184.34449760765557</v>
      </c>
      <c r="EB145" s="5">
        <f t="shared" si="407"/>
        <v>8.6411483253588539</v>
      </c>
      <c r="EC145" s="5">
        <f t="shared" si="408"/>
        <v>9.1099301475340422</v>
      </c>
      <c r="ED145" s="5"/>
      <c r="EE145" s="173">
        <f t="shared" si="409"/>
        <v>4.8579183400749075</v>
      </c>
      <c r="EF145" s="173">
        <f t="shared" si="410"/>
        <v>5.3441320959033316</v>
      </c>
      <c r="EG145" s="173">
        <f t="shared" si="411"/>
        <v>0.13161235122459972</v>
      </c>
      <c r="EH145" s="173"/>
      <c r="EI145" s="528">
        <f t="shared" si="412"/>
        <v>0.47198741197672289</v>
      </c>
      <c r="EJ145" s="528">
        <f t="shared" si="413"/>
        <v>0.49716666666666659</v>
      </c>
      <c r="EK145" s="528">
        <f t="shared" si="414"/>
        <v>7.1585785833165752E-3</v>
      </c>
      <c r="EL145" s="528">
        <f t="shared" si="415"/>
        <v>6.8956583091085259E-3</v>
      </c>
      <c r="EM145">
        <f t="shared" si="416"/>
        <v>8.5500000000000003E-3</v>
      </c>
      <c r="EN145" s="460">
        <f t="shared" si="417"/>
        <v>15.708578583316577</v>
      </c>
      <c r="EP145" s="460">
        <f t="shared" si="439"/>
        <v>991.75831553581452</v>
      </c>
      <c r="EQ145" s="173">
        <f t="shared" si="418"/>
        <v>2.4499999999999997</v>
      </c>
      <c r="ER145" s="173">
        <f t="shared" si="475"/>
        <v>3.8828124999999998E-2</v>
      </c>
      <c r="ES145" s="528"/>
      <c r="EU145" s="460">
        <f t="shared" si="420"/>
        <v>2488.828125</v>
      </c>
      <c r="EV145" s="528">
        <f t="shared" si="421"/>
        <v>0.70798111796508434</v>
      </c>
      <c r="EW145" s="528">
        <f t="shared" si="422"/>
        <v>0.85679243575392405</v>
      </c>
      <c r="EX145" s="528">
        <f t="shared" si="423"/>
        <v>8.6609054974336969E-5</v>
      </c>
      <c r="EY145" s="528">
        <f t="shared" si="424"/>
        <v>0.68679375210278792</v>
      </c>
      <c r="EZ145" s="528"/>
      <c r="FA145" s="625">
        <f t="shared" si="425"/>
        <v>8.9612435595144511E-3</v>
      </c>
      <c r="FB145" s="460">
        <f t="shared" si="426"/>
        <v>2260.6151584362851</v>
      </c>
      <c r="FC145" s="173">
        <f t="shared" si="427"/>
        <v>5.7412015989720988</v>
      </c>
      <c r="FD145" s="5">
        <f t="shared" si="428"/>
        <v>53.2</v>
      </c>
      <c r="FE145" s="173">
        <f t="shared" si="429"/>
        <v>0.90259442557628111</v>
      </c>
      <c r="FF145" s="5">
        <f t="shared" si="430"/>
        <v>90.259442557628105</v>
      </c>
      <c r="FG145">
        <f t="shared" si="431"/>
        <v>35</v>
      </c>
      <c r="FI145" s="562">
        <f t="shared" si="432"/>
        <v>-50</v>
      </c>
      <c r="FJ145">
        <f t="shared" si="433"/>
        <v>-50</v>
      </c>
    </row>
    <row r="146" spans="5:166">
      <c r="E146" s="170">
        <v>36</v>
      </c>
      <c r="F146" s="217">
        <f t="shared" si="476"/>
        <v>3.5999999999999996</v>
      </c>
      <c r="G146" s="217">
        <f t="shared" si="444"/>
        <v>0.09</v>
      </c>
      <c r="H146" s="217">
        <f t="shared" si="445"/>
        <v>53.999999999999993</v>
      </c>
      <c r="I146" s="217">
        <f t="shared" si="446"/>
        <v>0.72</v>
      </c>
      <c r="J146" s="541">
        <f t="shared" si="447"/>
        <v>18.633431625125425</v>
      </c>
      <c r="K146" s="443">
        <f t="shared" si="448"/>
        <v>15.897242105263157</v>
      </c>
      <c r="L146" s="172">
        <f t="shared" si="449"/>
        <v>34.530673730388585</v>
      </c>
      <c r="M146" s="443"/>
      <c r="N146" s="217">
        <f t="shared" si="450"/>
        <v>0.46038030504087302</v>
      </c>
      <c r="O146" s="172">
        <f t="shared" si="451"/>
        <v>211.6397599227013</v>
      </c>
      <c r="P146" s="172">
        <f t="shared" si="452"/>
        <v>2.859488311844498</v>
      </c>
      <c r="Q146" s="217">
        <f t="shared" si="322"/>
        <v>14.109317328180087</v>
      </c>
      <c r="R146" s="217">
        <f t="shared" si="453"/>
        <v>26.454969990337663</v>
      </c>
      <c r="S146" s="217">
        <f t="shared" si="454"/>
        <v>15</v>
      </c>
      <c r="T146" s="217">
        <f t="shared" si="455"/>
        <v>12.757527229222617</v>
      </c>
      <c r="U146" s="217">
        <f t="shared" si="326"/>
        <v>8.2158954845570982</v>
      </c>
      <c r="V146" s="217">
        <f t="shared" si="327"/>
        <v>9.6299927834644503</v>
      </c>
      <c r="W146" s="197">
        <f t="shared" si="328"/>
        <v>71.487207796112457</v>
      </c>
      <c r="X146" s="443">
        <f t="shared" si="435"/>
        <v>55.414285245911849</v>
      </c>
      <c r="Z146" s="217">
        <f t="shared" si="329"/>
        <v>10</v>
      </c>
      <c r="AA146" s="173">
        <f t="shared" si="330"/>
        <v>7.5484791138880105</v>
      </c>
      <c r="AB146" s="173">
        <f t="shared" si="456"/>
        <v>2.6625971790746399</v>
      </c>
      <c r="AC146" s="173"/>
      <c r="AD146" s="173">
        <f t="shared" si="332"/>
        <v>7.5484791138880105</v>
      </c>
      <c r="AE146" s="545">
        <f t="shared" si="457"/>
        <v>95.383452631578947</v>
      </c>
      <c r="AF146" s="528">
        <f t="shared" si="458"/>
        <v>2.6980984747956351</v>
      </c>
      <c r="AH146" s="173">
        <f t="shared" si="459"/>
        <v>5.1046197563719531</v>
      </c>
      <c r="AI146" s="173">
        <f t="shared" si="460"/>
        <v>12.757527229222617</v>
      </c>
      <c r="AJ146" s="173">
        <f t="shared" si="461"/>
        <v>3.2426127623871235</v>
      </c>
      <c r="AL146" s="545">
        <f t="shared" si="462"/>
        <v>3599.9999999999995</v>
      </c>
      <c r="AM146" s="460">
        <f t="shared" si="463"/>
        <v>55.414285245911849</v>
      </c>
      <c r="AO146" s="460">
        <f t="shared" si="340"/>
        <v>3599.9999999999995</v>
      </c>
      <c r="AP146" s="460">
        <f t="shared" si="341"/>
        <v>55.414285245911849</v>
      </c>
      <c r="AR146" s="5">
        <f t="shared" si="443"/>
        <v>18.045888268021546</v>
      </c>
      <c r="AS146" s="5">
        <f t="shared" si="440"/>
        <v>8.2158954845570982</v>
      </c>
      <c r="AT146" s="5">
        <f t="shared" si="441"/>
        <v>9.8299927834644478</v>
      </c>
      <c r="AU146" s="173">
        <f t="shared" si="442"/>
        <v>0.45527797593184616</v>
      </c>
      <c r="AW146" s="5">
        <f t="shared" si="342"/>
        <v>197.18149162937036</v>
      </c>
      <c r="AX146" s="5">
        <f t="shared" si="343"/>
        <v>9.2428824201267368</v>
      </c>
      <c r="AY146" s="5">
        <f t="shared" si="344"/>
        <v>9.823270807866761</v>
      </c>
      <c r="AZ146" s="5"/>
      <c r="BA146" s="173">
        <f t="shared" si="345"/>
        <v>4.9698604873464021</v>
      </c>
      <c r="BB146" s="173">
        <f t="shared" si="346"/>
        <v>5.4361739367958499</v>
      </c>
      <c r="BC146" s="173">
        <f t="shared" si="347"/>
        <v>0.13387910714932527</v>
      </c>
      <c r="BD146" s="173"/>
      <c r="BE146" s="528">
        <f t="shared" si="348"/>
        <v>0.49399026527374035</v>
      </c>
      <c r="BF146" s="528">
        <f t="shared" si="464"/>
        <v>0.45771438743002452</v>
      </c>
      <c r="BG146" s="528">
        <f t="shared" si="465"/>
        <v>2.5813957379622374E-2</v>
      </c>
      <c r="BH146" s="528">
        <f t="shared" si="351"/>
        <v>6.6074188788340154E-3</v>
      </c>
      <c r="BI146">
        <f t="shared" si="352"/>
        <v>8.3850442313064405E-3</v>
      </c>
      <c r="BJ146" s="460">
        <f t="shared" si="436"/>
        <v>34.199001610928818</v>
      </c>
      <c r="BK146">
        <f t="shared" si="466"/>
        <v>1.2368625863324902</v>
      </c>
      <c r="BL146" s="460">
        <f t="shared" si="437"/>
        <v>992.51107319352775</v>
      </c>
      <c r="BM146" s="173">
        <f t="shared" si="467"/>
        <v>2.2364999999999995</v>
      </c>
      <c r="BN146" s="173">
        <f t="shared" si="468"/>
        <v>5.5912499999999997E-2</v>
      </c>
      <c r="BO146" s="528"/>
      <c r="BQ146" s="460">
        <f t="shared" si="356"/>
        <v>2292.4124999999995</v>
      </c>
      <c r="BR146" s="528">
        <f t="shared" si="357"/>
        <v>0.74098539791061047</v>
      </c>
      <c r="BS146" s="528">
        <f t="shared" si="358"/>
        <v>0.88655961213295476</v>
      </c>
      <c r="BT146" s="528">
        <f t="shared" si="359"/>
        <v>8.9618076655502578E-5</v>
      </c>
      <c r="BU146" s="528">
        <f t="shared" si="360"/>
        <v>0.66441679815746191</v>
      </c>
      <c r="BV146" s="528"/>
      <c r="BW146" s="625">
        <f t="shared" si="469"/>
        <v>9.0189243437114579E-3</v>
      </c>
      <c r="BX146" s="460">
        <f t="shared" si="362"/>
        <v>2301.070350621394</v>
      </c>
      <c r="BY146" s="173">
        <f t="shared" si="363"/>
        <v>5.5859939238149208</v>
      </c>
      <c r="BZ146" s="5">
        <f t="shared" si="364"/>
        <v>54.719999999999992</v>
      </c>
      <c r="CA146" s="173">
        <f t="shared" si="365"/>
        <v>0.90737249217927241</v>
      </c>
      <c r="CB146" s="5">
        <f t="shared" si="366"/>
        <v>90.737249217927243</v>
      </c>
      <c r="CC146">
        <f t="shared" si="367"/>
        <v>36</v>
      </c>
      <c r="CE146" s="562">
        <f t="shared" si="470"/>
        <v>-50</v>
      </c>
      <c r="CF146">
        <f t="shared" si="471"/>
        <v>-50</v>
      </c>
      <c r="CG146" s="173">
        <f t="shared" si="370"/>
        <v>0.54755043227665712</v>
      </c>
      <c r="CH146" s="173">
        <f t="shared" si="472"/>
        <v>6.4398811101315859E-2</v>
      </c>
      <c r="CI146" s="170">
        <v>36</v>
      </c>
      <c r="CJ146" s="217">
        <f t="shared" si="438"/>
        <v>3.5999999999999996</v>
      </c>
      <c r="CK146" s="217">
        <f t="shared" si="372"/>
        <v>0.09</v>
      </c>
      <c r="CL146" s="217">
        <f t="shared" si="373"/>
        <v>53.999999999999993</v>
      </c>
      <c r="CM146" s="217">
        <f t="shared" si="374"/>
        <v>0.72</v>
      </c>
      <c r="CN146" s="541">
        <f t="shared" si="375"/>
        <v>19</v>
      </c>
      <c r="CO146" s="443">
        <f t="shared" si="473"/>
        <v>15.7</v>
      </c>
      <c r="CP146" s="443">
        <f t="shared" si="474"/>
        <v>34.700000000000003</v>
      </c>
      <c r="CQ146" s="443"/>
      <c r="CR146" s="217">
        <f t="shared" si="378"/>
        <v>0.44767441860465118</v>
      </c>
      <c r="CS146" s="172">
        <f t="shared" si="379"/>
        <v>209.84738372093025</v>
      </c>
      <c r="CT146" s="172">
        <f t="shared" si="380"/>
        <v>2.835271317829458</v>
      </c>
      <c r="CU146" s="217">
        <f t="shared" si="381"/>
        <v>13.989825581395349</v>
      </c>
      <c r="CV146" s="217">
        <f t="shared" si="382"/>
        <v>26.230922965116282</v>
      </c>
      <c r="CW146" s="217">
        <f t="shared" si="383"/>
        <v>15</v>
      </c>
      <c r="CX146" s="217">
        <f t="shared" si="384"/>
        <v>12.866493506493503</v>
      </c>
      <c r="CY146" s="217">
        <f t="shared" si="385"/>
        <v>8.1262064251537911</v>
      </c>
      <c r="CZ146" s="217">
        <f t="shared" si="386"/>
        <v>9.8342625527338878</v>
      </c>
      <c r="DA146" s="197">
        <f t="shared" si="387"/>
        <v>71.63784822286263</v>
      </c>
      <c r="DB146" s="443">
        <f t="shared" si="388"/>
        <v>55.677833425795626</v>
      </c>
      <c r="DD146" s="217">
        <f t="shared" si="389"/>
        <v>10.000000000000002</v>
      </c>
      <c r="DE146" s="173">
        <f t="shared" si="390"/>
        <v>7.6433121019108299</v>
      </c>
      <c r="DF146" s="173">
        <f t="shared" si="391"/>
        <v>2.7017291066282429</v>
      </c>
      <c r="DG146" s="173"/>
      <c r="DH146" s="173">
        <f t="shared" si="392"/>
        <v>7.6433121019108281</v>
      </c>
      <c r="DI146" s="545">
        <f t="shared" si="393"/>
        <v>94.2</v>
      </c>
      <c r="DJ146" s="528">
        <f t="shared" si="394"/>
        <v>2.7377521613832849</v>
      </c>
      <c r="DL146" s="173">
        <f t="shared" si="395"/>
        <v>5.1046197563719531</v>
      </c>
      <c r="DM146" s="173">
        <f t="shared" si="396"/>
        <v>12.866493506493503</v>
      </c>
      <c r="DN146" s="173">
        <f t="shared" si="397"/>
        <v>3.323328523328521</v>
      </c>
      <c r="DP146" s="545">
        <f t="shared" si="398"/>
        <v>3599.9999999999995</v>
      </c>
      <c r="DQ146" s="460">
        <f t="shared" si="399"/>
        <v>55.677833425795626</v>
      </c>
      <c r="DS146" s="460">
        <f t="shared" si="400"/>
        <v>3599.9999999999995</v>
      </c>
      <c r="DT146" s="460">
        <f t="shared" si="401"/>
        <v>55.677833425795626</v>
      </c>
      <c r="DV146" s="5">
        <f t="shared" si="402"/>
        <v>17.960468977887679</v>
      </c>
      <c r="DW146" s="5">
        <f t="shared" si="403"/>
        <v>8.1262064251537911</v>
      </c>
      <c r="DX146" s="5">
        <f t="shared" si="404"/>
        <v>9.8342625527338878</v>
      </c>
      <c r="DY146" s="173">
        <f t="shared" si="405"/>
        <v>0.45244956772334294</v>
      </c>
      <c r="EA146" s="5">
        <f t="shared" si="406"/>
        <v>195.02895420369097</v>
      </c>
      <c r="EB146" s="5">
        <f t="shared" si="407"/>
        <v>9.1419822282980157</v>
      </c>
      <c r="EC146" s="5">
        <f t="shared" si="408"/>
        <v>9.6379342622074358</v>
      </c>
      <c r="ED146" s="5"/>
      <c r="EE146" s="173">
        <f t="shared" si="409"/>
        <v>4.9967160069341894</v>
      </c>
      <c r="EF146" s="173">
        <f t="shared" si="410"/>
        <v>5.4968215843577113</v>
      </c>
      <c r="EG146" s="173">
        <f t="shared" si="411"/>
        <v>0.13537270411673108</v>
      </c>
      <c r="EH146" s="173"/>
      <c r="EI146" s="528">
        <f t="shared" si="412"/>
        <v>0.499343417079047</v>
      </c>
      <c r="EJ146" s="528">
        <f t="shared" si="413"/>
        <v>0.4971666666666667</v>
      </c>
      <c r="EK146" s="528">
        <f t="shared" si="414"/>
        <v>6.959729178224453E-3</v>
      </c>
      <c r="EL146" s="528">
        <f t="shared" si="415"/>
        <v>6.7041122449666268E-3</v>
      </c>
      <c r="EM146">
        <f t="shared" si="416"/>
        <v>8.5500000000000003E-3</v>
      </c>
      <c r="EN146" s="460">
        <f t="shared" si="417"/>
        <v>15.509729178224452</v>
      </c>
      <c r="EP146" s="460">
        <f t="shared" si="439"/>
        <v>1018.7239251689049</v>
      </c>
      <c r="EQ146" s="173">
        <f t="shared" si="418"/>
        <v>2.5199999999999996</v>
      </c>
      <c r="ER146" s="173">
        <f t="shared" si="475"/>
        <v>3.9937499999999994E-2</v>
      </c>
      <c r="ES146" s="528"/>
      <c r="EU146" s="460">
        <f t="shared" si="420"/>
        <v>2559.9374999999995</v>
      </c>
      <c r="EV146" s="528">
        <f t="shared" si="421"/>
        <v>0.74901512561857042</v>
      </c>
      <c r="EW146" s="528">
        <f t="shared" si="422"/>
        <v>0.90645142590782457</v>
      </c>
      <c r="EX146" s="528">
        <f t="shared" si="423"/>
        <v>9.1628845099380095E-5</v>
      </c>
      <c r="EY146" s="528">
        <f t="shared" si="424"/>
        <v>0.68679375210278859</v>
      </c>
      <c r="EZ146" s="528"/>
      <c r="FA146" s="625">
        <f t="shared" si="425"/>
        <v>9.2172790897862931E-3</v>
      </c>
      <c r="FB146" s="460">
        <f t="shared" si="426"/>
        <v>2351.5692115640695</v>
      </c>
      <c r="FC146" s="173">
        <f t="shared" si="427"/>
        <v>5.9302306367329729</v>
      </c>
      <c r="FD146" s="5">
        <f t="shared" si="428"/>
        <v>54.719999999999992</v>
      </c>
      <c r="FE146" s="173">
        <f t="shared" si="429"/>
        <v>0.90222245530685063</v>
      </c>
      <c r="FF146" s="5">
        <f t="shared" si="430"/>
        <v>90.222245530685058</v>
      </c>
      <c r="FG146">
        <f t="shared" si="431"/>
        <v>36</v>
      </c>
      <c r="FI146" s="562">
        <f t="shared" si="432"/>
        <v>-50</v>
      </c>
      <c r="FJ146">
        <f t="shared" si="433"/>
        <v>-50</v>
      </c>
    </row>
    <row r="147" spans="5:166">
      <c r="E147" s="170">
        <v>37</v>
      </c>
      <c r="F147" s="217">
        <f t="shared" si="476"/>
        <v>3.7</v>
      </c>
      <c r="G147" s="217">
        <f t="shared" si="444"/>
        <v>9.2499999999999999E-2</v>
      </c>
      <c r="H147" s="217">
        <f t="shared" si="445"/>
        <v>55.5</v>
      </c>
      <c r="I147" s="217">
        <f t="shared" si="446"/>
        <v>0.74</v>
      </c>
      <c r="J147" s="541">
        <f t="shared" si="447"/>
        <v>18.623249170267798</v>
      </c>
      <c r="K147" s="443">
        <f t="shared" si="448"/>
        <v>15.902721052631579</v>
      </c>
      <c r="L147" s="172">
        <f t="shared" si="449"/>
        <v>34.525970222899375</v>
      </c>
      <c r="M147" s="443"/>
      <c r="N147" s="217">
        <f t="shared" si="450"/>
        <v>0.46060171372343034</v>
      </c>
      <c r="O147" s="172">
        <f t="shared" si="451"/>
        <v>211.62583428265955</v>
      </c>
      <c r="P147" s="172">
        <f t="shared" si="452"/>
        <v>2.8593001609746</v>
      </c>
      <c r="Q147" s="217">
        <f t="shared" si="322"/>
        <v>14.108388952177304</v>
      </c>
      <c r="R147" s="217">
        <f t="shared" si="453"/>
        <v>26.453229285332444</v>
      </c>
      <c r="S147" s="217">
        <f t="shared" si="454"/>
        <v>15</v>
      </c>
      <c r="T147" s="217">
        <f t="shared" si="455"/>
        <v>13.112765789707657</v>
      </c>
      <c r="U147" s="217">
        <f t="shared" si="326"/>
        <v>8.4492876639221368</v>
      </c>
      <c r="V147" s="217">
        <f t="shared" si="327"/>
        <v>9.8947336720374093</v>
      </c>
      <c r="W147" s="197">
        <f t="shared" si="328"/>
        <v>71.482504024364999</v>
      </c>
      <c r="X147" s="443">
        <f t="shared" si="435"/>
        <v>53.925736057089999</v>
      </c>
      <c r="Z147" s="217">
        <f t="shared" si="329"/>
        <v>10</v>
      </c>
      <c r="AA147" s="173">
        <f t="shared" si="330"/>
        <v>7.5458784445032077</v>
      </c>
      <c r="AB147" s="173">
        <f t="shared" si="456"/>
        <v>2.661504702022548</v>
      </c>
      <c r="AC147" s="173"/>
      <c r="AD147" s="173">
        <f t="shared" si="332"/>
        <v>7.5458784445032077</v>
      </c>
      <c r="AE147" s="545">
        <f t="shared" si="457"/>
        <v>98.066779824561408</v>
      </c>
      <c r="AF147" s="528">
        <f t="shared" si="458"/>
        <v>2.6969914313828482</v>
      </c>
      <c r="AH147" s="173">
        <f t="shared" si="459"/>
        <v>5.1750316309132236</v>
      </c>
      <c r="AI147" s="173">
        <f t="shared" si="460"/>
        <v>13.112765789707657</v>
      </c>
      <c r="AJ147" s="173">
        <f t="shared" si="461"/>
        <v>3.5057524368204867</v>
      </c>
      <c r="AL147" s="545">
        <f t="shared" si="462"/>
        <v>3700</v>
      </c>
      <c r="AM147" s="460">
        <f t="shared" si="463"/>
        <v>53.925736057089999</v>
      </c>
      <c r="AO147" s="460">
        <f t="shared" si="340"/>
        <v>3700</v>
      </c>
      <c r="AP147" s="460">
        <f t="shared" si="341"/>
        <v>53.925736057089999</v>
      </c>
      <c r="AR147" s="5">
        <f t="shared" si="443"/>
        <v>18.544021335959545</v>
      </c>
      <c r="AS147" s="5">
        <f t="shared" si="440"/>
        <v>8.4492876639221368</v>
      </c>
      <c r="AT147" s="5">
        <f t="shared" si="441"/>
        <v>10.094733672037409</v>
      </c>
      <c r="AU147" s="173">
        <f t="shared" si="442"/>
        <v>0.45563405643509175</v>
      </c>
      <c r="AW147" s="5">
        <f t="shared" si="342"/>
        <v>208.41576237674602</v>
      </c>
      <c r="AX147" s="5">
        <f t="shared" si="343"/>
        <v>9.7694888614099717</v>
      </c>
      <c r="AY147" s="5">
        <f t="shared" si="344"/>
        <v>10.373717016864934</v>
      </c>
      <c r="AZ147" s="5"/>
      <c r="BA147" s="173">
        <f t="shared" si="345"/>
        <v>5.1102455167818341</v>
      </c>
      <c r="BB147" s="173">
        <f t="shared" si="346"/>
        <v>5.5857198560364916</v>
      </c>
      <c r="BC147" s="173">
        <f t="shared" si="347"/>
        <v>0.13756204194474184</v>
      </c>
      <c r="BD147" s="173"/>
      <c r="BE147" s="528">
        <f t="shared" si="348"/>
        <v>0.52229218483577666</v>
      </c>
      <c r="BF147" s="528">
        <f t="shared" si="464"/>
        <v>0.45775969346794515</v>
      </c>
      <c r="BG147" s="528">
        <f t="shared" si="465"/>
        <v>2.5106810482032036E-2</v>
      </c>
      <c r="BH147" s="528">
        <f t="shared" si="351"/>
        <v>6.4281775685891326E-3</v>
      </c>
      <c r="BI147">
        <f t="shared" si="352"/>
        <v>8.3804621266205092E-3</v>
      </c>
      <c r="BJ147" s="460">
        <f t="shared" si="436"/>
        <v>33.487272608652546</v>
      </c>
      <c r="BK147">
        <f t="shared" si="466"/>
        <v>1.2872412363453565</v>
      </c>
      <c r="BL147" s="460">
        <f t="shared" si="437"/>
        <v>1019.9673284809634</v>
      </c>
      <c r="BM147" s="173">
        <f t="shared" si="467"/>
        <v>2.2986249999999999</v>
      </c>
      <c r="BN147" s="173">
        <f t="shared" si="468"/>
        <v>5.7465624999999999E-2</v>
      </c>
      <c r="BO147" s="528"/>
      <c r="BQ147" s="460">
        <f t="shared" si="356"/>
        <v>2356.0906249999998</v>
      </c>
      <c r="BR147" s="528">
        <f t="shared" si="357"/>
        <v>0.78343827725366499</v>
      </c>
      <c r="BS147" s="528">
        <f t="shared" si="358"/>
        <v>0.93600798930360962</v>
      </c>
      <c r="BT147" s="528">
        <f t="shared" si="359"/>
        <v>9.4616576920034562E-5</v>
      </c>
      <c r="BU147" s="528">
        <f t="shared" si="360"/>
        <v>0.66480759016780566</v>
      </c>
      <c r="BV147" s="528"/>
      <c r="BW147" s="625">
        <f t="shared" si="469"/>
        <v>9.2722405534716411E-3</v>
      </c>
      <c r="BX147" s="460">
        <f t="shared" si="362"/>
        <v>2393.6207138554719</v>
      </c>
      <c r="BY147" s="173">
        <f t="shared" si="363"/>
        <v>5.7696786673364349</v>
      </c>
      <c r="BZ147" s="5">
        <f t="shared" si="364"/>
        <v>56.24</v>
      </c>
      <c r="CA147" s="173">
        <f t="shared" si="365"/>
        <v>0.90695519165178951</v>
      </c>
      <c r="CB147" s="5">
        <f t="shared" si="366"/>
        <v>90.695519165178951</v>
      </c>
      <c r="CC147">
        <f t="shared" si="367"/>
        <v>37</v>
      </c>
      <c r="CE147" s="562">
        <f t="shared" si="470"/>
        <v>-50</v>
      </c>
      <c r="CF147">
        <f t="shared" si="471"/>
        <v>-50</v>
      </c>
      <c r="CG147" s="173">
        <f t="shared" si="370"/>
        <v>0.54755043227665701</v>
      </c>
      <c r="CH147" s="173">
        <f t="shared" si="472"/>
        <v>6.4398811101315859E-2</v>
      </c>
      <c r="CI147" s="170">
        <v>37</v>
      </c>
      <c r="CJ147" s="217">
        <f t="shared" si="438"/>
        <v>3.7</v>
      </c>
      <c r="CK147" s="217">
        <f t="shared" si="372"/>
        <v>9.2499999999999999E-2</v>
      </c>
      <c r="CL147" s="217">
        <f t="shared" si="373"/>
        <v>55.5</v>
      </c>
      <c r="CM147" s="217">
        <f t="shared" si="374"/>
        <v>0.74</v>
      </c>
      <c r="CN147" s="541">
        <f t="shared" si="375"/>
        <v>19</v>
      </c>
      <c r="CO147" s="443">
        <f t="shared" si="473"/>
        <v>15.7</v>
      </c>
      <c r="CP147" s="443">
        <f t="shared" si="474"/>
        <v>34.700000000000003</v>
      </c>
      <c r="CQ147" s="443"/>
      <c r="CR147" s="217">
        <f t="shared" si="378"/>
        <v>0.44767441860465118</v>
      </c>
      <c r="CS147" s="172">
        <f t="shared" si="379"/>
        <v>209.84738372093025</v>
      </c>
      <c r="CT147" s="172">
        <f t="shared" si="380"/>
        <v>2.835271317829458</v>
      </c>
      <c r="CU147" s="217">
        <f t="shared" si="381"/>
        <v>13.989825581395349</v>
      </c>
      <c r="CV147" s="217">
        <f t="shared" si="382"/>
        <v>26.230922965116282</v>
      </c>
      <c r="CW147" s="217">
        <f t="shared" si="383"/>
        <v>15</v>
      </c>
      <c r="CX147" s="217">
        <f t="shared" si="384"/>
        <v>13.223896103896104</v>
      </c>
      <c r="CY147" s="217">
        <f t="shared" si="385"/>
        <v>8.351934381408066</v>
      </c>
      <c r="CZ147" s="217">
        <f t="shared" si="386"/>
        <v>10.107436512532054</v>
      </c>
      <c r="DA147" s="197">
        <f t="shared" si="387"/>
        <v>71.63784822286263</v>
      </c>
      <c r="DB147" s="443">
        <f t="shared" si="388"/>
        <v>54.173027116990326</v>
      </c>
      <c r="DD147" s="217">
        <f t="shared" si="389"/>
        <v>10.000000000000002</v>
      </c>
      <c r="DE147" s="173">
        <f t="shared" si="390"/>
        <v>7.6433121019108299</v>
      </c>
      <c r="DF147" s="173">
        <f t="shared" si="391"/>
        <v>2.7017291066282429</v>
      </c>
      <c r="DG147" s="173"/>
      <c r="DH147" s="173">
        <f t="shared" si="392"/>
        <v>7.6433121019108281</v>
      </c>
      <c r="DI147" s="545">
        <f t="shared" si="393"/>
        <v>96.816666666666691</v>
      </c>
      <c r="DJ147" s="528">
        <f t="shared" si="394"/>
        <v>2.7377521613832849</v>
      </c>
      <c r="DL147" s="173">
        <f t="shared" si="395"/>
        <v>5.1750316309132236</v>
      </c>
      <c r="DM147" s="173">
        <f t="shared" si="396"/>
        <v>13.223896103896104</v>
      </c>
      <c r="DN147" s="173">
        <f t="shared" si="397"/>
        <v>3.5880711880711882</v>
      </c>
      <c r="DP147" s="545">
        <f t="shared" si="398"/>
        <v>3700</v>
      </c>
      <c r="DQ147" s="460">
        <f t="shared" si="399"/>
        <v>54.173027116990326</v>
      </c>
      <c r="DS147" s="460">
        <f t="shared" si="400"/>
        <v>3700</v>
      </c>
      <c r="DT147" s="460">
        <f t="shared" si="401"/>
        <v>54.173027116990326</v>
      </c>
      <c r="DV147" s="5">
        <f t="shared" si="402"/>
        <v>18.459370893940118</v>
      </c>
      <c r="DW147" s="5">
        <f t="shared" si="403"/>
        <v>8.351934381408066</v>
      </c>
      <c r="DX147" s="5">
        <f t="shared" si="404"/>
        <v>10.107436512532052</v>
      </c>
      <c r="DY147" s="173">
        <f t="shared" si="405"/>
        <v>0.45244956772334299</v>
      </c>
      <c r="EA147" s="5">
        <f t="shared" si="406"/>
        <v>206.01438140806565</v>
      </c>
      <c r="EB147" s="5">
        <f t="shared" si="407"/>
        <v>9.6569241285030767</v>
      </c>
      <c r="EC147" s="5">
        <f t="shared" si="408"/>
        <v>10.180811732223754</v>
      </c>
      <c r="ED147" s="5"/>
      <c r="EE147" s="173">
        <f t="shared" si="409"/>
        <v>5.1355136737934748</v>
      </c>
      <c r="EF147" s="173">
        <f t="shared" si="410"/>
        <v>5.6495110728120927</v>
      </c>
      <c r="EG147" s="173">
        <f t="shared" si="411"/>
        <v>0.1391330570088625</v>
      </c>
      <c r="EH147" s="173"/>
      <c r="EI147" s="528">
        <f t="shared" si="412"/>
        <v>0.52747001387439507</v>
      </c>
      <c r="EJ147" s="528">
        <f t="shared" si="413"/>
        <v>0.49716666666666681</v>
      </c>
      <c r="EK147" s="528">
        <f t="shared" si="414"/>
        <v>6.7716283896237907E-3</v>
      </c>
      <c r="EL147" s="528">
        <f t="shared" si="415"/>
        <v>6.5229200221296902E-3</v>
      </c>
      <c r="EM147">
        <f t="shared" si="416"/>
        <v>8.5500000000000003E-3</v>
      </c>
      <c r="EN147" s="460">
        <f t="shared" si="417"/>
        <v>15.321628389623791</v>
      </c>
      <c r="EP147" s="460">
        <f t="shared" si="439"/>
        <v>1046.4812289528154</v>
      </c>
      <c r="EQ147" s="173">
        <f t="shared" si="418"/>
        <v>2.59</v>
      </c>
      <c r="ER147" s="173">
        <f t="shared" si="475"/>
        <v>4.1046874999999997E-2</v>
      </c>
      <c r="ES147" s="528"/>
      <c r="EU147" s="460">
        <f t="shared" si="420"/>
        <v>2631.046875</v>
      </c>
      <c r="EV147" s="528">
        <f t="shared" si="421"/>
        <v>0.7912050208115925</v>
      </c>
      <c r="EW147" s="528">
        <f t="shared" si="422"/>
        <v>0.95750926085479326</v>
      </c>
      <c r="EX147" s="528">
        <f t="shared" si="423"/>
        <v>9.6790037763156914E-5</v>
      </c>
      <c r="EY147" s="528">
        <f t="shared" si="424"/>
        <v>0.68679375210278926</v>
      </c>
      <c r="EZ147" s="528"/>
      <c r="FA147" s="625">
        <f t="shared" si="425"/>
        <v>9.4733146200581368E-3</v>
      </c>
      <c r="FB147" s="460">
        <f t="shared" si="426"/>
        <v>2445.0781384269967</v>
      </c>
      <c r="FC147" s="173">
        <f t="shared" si="427"/>
        <v>6.1226062423798115</v>
      </c>
      <c r="FD147" s="5">
        <f t="shared" si="428"/>
        <v>56.24</v>
      </c>
      <c r="FE147" s="173">
        <f t="shared" si="429"/>
        <v>0.90182247645995484</v>
      </c>
      <c r="FF147" s="5">
        <f t="shared" si="430"/>
        <v>90.182247645995488</v>
      </c>
      <c r="FG147">
        <f t="shared" si="431"/>
        <v>37</v>
      </c>
      <c r="FI147" s="562">
        <f t="shared" si="432"/>
        <v>-50</v>
      </c>
      <c r="FJ147">
        <f t="shared" si="433"/>
        <v>-50</v>
      </c>
    </row>
    <row r="148" spans="5:166">
      <c r="E148" s="170">
        <v>38</v>
      </c>
      <c r="F148" s="217">
        <f t="shared" si="476"/>
        <v>3.8</v>
      </c>
      <c r="G148" s="217">
        <f t="shared" si="444"/>
        <v>9.5000000000000001E-2</v>
      </c>
      <c r="H148" s="217">
        <f t="shared" si="445"/>
        <v>57</v>
      </c>
      <c r="I148" s="217">
        <f t="shared" si="446"/>
        <v>0.76</v>
      </c>
      <c r="J148" s="541">
        <f t="shared" si="447"/>
        <v>18.613066715410174</v>
      </c>
      <c r="K148" s="443">
        <f t="shared" si="448"/>
        <v>15.908199999999999</v>
      </c>
      <c r="L148" s="172">
        <f t="shared" si="449"/>
        <v>34.521266715410171</v>
      </c>
      <c r="M148" s="443"/>
      <c r="N148" s="217">
        <f t="shared" si="450"/>
        <v>0.46082318273965989</v>
      </c>
      <c r="O148" s="172">
        <f t="shared" si="451"/>
        <v>211.61182510709565</v>
      </c>
      <c r="P148" s="172">
        <f t="shared" si="452"/>
        <v>2.8591108814469814</v>
      </c>
      <c r="Q148" s="217">
        <f t="shared" si="322"/>
        <v>14.107455007139711</v>
      </c>
      <c r="R148" s="217">
        <f t="shared" si="453"/>
        <v>26.451478138386957</v>
      </c>
      <c r="S148" s="217">
        <f t="shared" si="454"/>
        <v>15</v>
      </c>
      <c r="T148" s="217">
        <f t="shared" si="455"/>
        <v>13.46805642150494</v>
      </c>
      <c r="U148" s="217">
        <f t="shared" si="326"/>
        <v>8.6829687729133429</v>
      </c>
      <c r="V148" s="217">
        <f t="shared" si="327"/>
        <v>10.159331480498063</v>
      </c>
      <c r="W148" s="197">
        <f t="shared" si="328"/>
        <v>71.477772036174514</v>
      </c>
      <c r="X148" s="443">
        <f t="shared" si="435"/>
        <v>52.514664021267663</v>
      </c>
      <c r="Z148" s="217">
        <f t="shared" si="329"/>
        <v>10</v>
      </c>
      <c r="AA148" s="173">
        <f t="shared" si="330"/>
        <v>7.5432795665128687</v>
      </c>
      <c r="AB148" s="173">
        <f t="shared" si="456"/>
        <v>2.6604119272714146</v>
      </c>
      <c r="AC148" s="173"/>
      <c r="AD148" s="173">
        <f t="shared" si="332"/>
        <v>7.5432795665128687</v>
      </c>
      <c r="AE148" s="545">
        <f t="shared" si="457"/>
        <v>100.75193333333333</v>
      </c>
      <c r="AF148" s="528">
        <f t="shared" si="458"/>
        <v>2.6958840863017004</v>
      </c>
      <c r="AH148" s="173">
        <f t="shared" si="459"/>
        <v>5.2444982510018923</v>
      </c>
      <c r="AI148" s="173">
        <f t="shared" si="460"/>
        <v>13.46805642150494</v>
      </c>
      <c r="AJ148" s="173">
        <f t="shared" si="461"/>
        <v>3.7689306825962516</v>
      </c>
      <c r="AL148" s="545">
        <f t="shared" si="462"/>
        <v>3800</v>
      </c>
      <c r="AM148" s="460">
        <f t="shared" si="463"/>
        <v>52.514664021267663</v>
      </c>
      <c r="AO148" s="460">
        <f t="shared" si="340"/>
        <v>3800</v>
      </c>
      <c r="AP148" s="460">
        <f t="shared" si="341"/>
        <v>52.514664021267663</v>
      </c>
      <c r="AR148" s="5">
        <f t="shared" si="443"/>
        <v>19.042300253411405</v>
      </c>
      <c r="AS148" s="5">
        <f t="shared" si="440"/>
        <v>8.6829687729133429</v>
      </c>
      <c r="AT148" s="5">
        <f t="shared" si="441"/>
        <v>10.359331480498062</v>
      </c>
      <c r="AU148" s="173">
        <f t="shared" si="442"/>
        <v>0.45598318781670294</v>
      </c>
      <c r="AW148" s="5">
        <f t="shared" si="342"/>
        <v>219.968542247138</v>
      </c>
      <c r="AX148" s="5">
        <f t="shared" si="343"/>
        <v>10.311025417834594</v>
      </c>
      <c r="AY148" s="5">
        <f t="shared" si="344"/>
        <v>10.939328239351713</v>
      </c>
      <c r="AZ148" s="5"/>
      <c r="BA148" s="173">
        <f t="shared" si="345"/>
        <v>5.2507182500101628</v>
      </c>
      <c r="BB148" s="173">
        <f t="shared" si="346"/>
        <v>5.7352249984887571</v>
      </c>
      <c r="BC148" s="173">
        <f t="shared" si="347"/>
        <v>0.14124397251180157</v>
      </c>
      <c r="BD148" s="173"/>
      <c r="BE148" s="528">
        <f t="shared" si="348"/>
        <v>0.55140084281979573</v>
      </c>
      <c r="BF148" s="528">
        <f t="shared" si="464"/>
        <v>0.4577976022569204</v>
      </c>
      <c r="BG148" s="528">
        <f t="shared" si="465"/>
        <v>2.4436473624130133E-2</v>
      </c>
      <c r="BH148" s="528">
        <f t="shared" si="351"/>
        <v>6.2582662796895625E-3</v>
      </c>
      <c r="BI148">
        <f t="shared" si="352"/>
        <v>8.3758800219345779E-3</v>
      </c>
      <c r="BJ148" s="460">
        <f t="shared" si="436"/>
        <v>32.812353646064714</v>
      </c>
      <c r="BK148">
        <f t="shared" si="466"/>
        <v>1.3398758840787206</v>
      </c>
      <c r="BL148" s="460">
        <f t="shared" si="437"/>
        <v>1048.2690650024704</v>
      </c>
      <c r="BM148" s="173">
        <f t="shared" si="467"/>
        <v>2.3607499999999995</v>
      </c>
      <c r="BN148" s="173">
        <f t="shared" si="468"/>
        <v>5.9018749999999988E-2</v>
      </c>
      <c r="BO148" s="528"/>
      <c r="BQ148" s="460">
        <f t="shared" si="356"/>
        <v>2419.7687499999993</v>
      </c>
      <c r="BR148" s="528">
        <f t="shared" si="357"/>
        <v>0.82710126422969366</v>
      </c>
      <c r="BS148" s="528">
        <f t="shared" si="358"/>
        <v>0.98678417349871084</v>
      </c>
      <c r="BT148" s="528">
        <f t="shared" si="359"/>
        <v>9.9749298854572799E-5</v>
      </c>
      <c r="BU148" s="528">
        <f t="shared" si="360"/>
        <v>0.66517175610173895</v>
      </c>
      <c r="BV148" s="528"/>
      <c r="BW148" s="625">
        <f t="shared" si="469"/>
        <v>9.5255584335377196E-3</v>
      </c>
      <c r="BX148" s="460">
        <f t="shared" si="362"/>
        <v>2488.6825015625359</v>
      </c>
      <c r="BY148" s="173">
        <f t="shared" si="363"/>
        <v>5.956720316565006</v>
      </c>
      <c r="BZ148" s="5">
        <f t="shared" si="364"/>
        <v>57.76</v>
      </c>
      <c r="CA148" s="173">
        <f t="shared" si="365"/>
        <v>0.90651244623122285</v>
      </c>
      <c r="CB148" s="5">
        <f t="shared" si="366"/>
        <v>90.651244623122281</v>
      </c>
      <c r="CC148">
        <f t="shared" si="367"/>
        <v>38</v>
      </c>
      <c r="CE148" s="562">
        <f t="shared" si="470"/>
        <v>-50</v>
      </c>
      <c r="CF148">
        <f t="shared" si="471"/>
        <v>-50</v>
      </c>
      <c r="CG148" s="173">
        <f t="shared" si="370"/>
        <v>0.54755043227665712</v>
      </c>
      <c r="CH148" s="173">
        <f t="shared" si="472"/>
        <v>6.4398811101315859E-2</v>
      </c>
      <c r="CI148" s="170">
        <v>38</v>
      </c>
      <c r="CJ148" s="217">
        <f t="shared" si="438"/>
        <v>3.8</v>
      </c>
      <c r="CK148" s="217">
        <f t="shared" si="372"/>
        <v>9.5000000000000001E-2</v>
      </c>
      <c r="CL148" s="217">
        <f t="shared" si="373"/>
        <v>57</v>
      </c>
      <c r="CM148" s="217">
        <f t="shared" si="374"/>
        <v>0.76</v>
      </c>
      <c r="CN148" s="541">
        <f t="shared" si="375"/>
        <v>19</v>
      </c>
      <c r="CO148" s="443">
        <f t="shared" si="473"/>
        <v>15.7</v>
      </c>
      <c r="CP148" s="443">
        <f t="shared" si="474"/>
        <v>34.700000000000003</v>
      </c>
      <c r="CQ148" s="443"/>
      <c r="CR148" s="217">
        <f t="shared" si="378"/>
        <v>0.44767441860465118</v>
      </c>
      <c r="CS148" s="172">
        <f t="shared" si="379"/>
        <v>209.84738372093025</v>
      </c>
      <c r="CT148" s="172">
        <f t="shared" si="380"/>
        <v>2.835271317829458</v>
      </c>
      <c r="CU148" s="217">
        <f t="shared" si="381"/>
        <v>13.989825581395349</v>
      </c>
      <c r="CV148" s="217">
        <f t="shared" si="382"/>
        <v>26.230922965116282</v>
      </c>
      <c r="CW148" s="217">
        <f t="shared" si="383"/>
        <v>15</v>
      </c>
      <c r="CX148" s="217">
        <f t="shared" si="384"/>
        <v>13.581298701298699</v>
      </c>
      <c r="CY148" s="217">
        <f t="shared" si="385"/>
        <v>8.5776623376623355</v>
      </c>
      <c r="CZ148" s="217">
        <f t="shared" si="386"/>
        <v>10.380610472330217</v>
      </c>
      <c r="DA148" s="197">
        <f t="shared" si="387"/>
        <v>71.63784822286263</v>
      </c>
      <c r="DB148" s="443">
        <f t="shared" si="388"/>
        <v>52.747421140227438</v>
      </c>
      <c r="DD148" s="217">
        <f t="shared" si="389"/>
        <v>10.000000000000002</v>
      </c>
      <c r="DE148" s="173">
        <f t="shared" si="390"/>
        <v>7.6433121019108299</v>
      </c>
      <c r="DF148" s="173">
        <f t="shared" si="391"/>
        <v>2.7017291066282429</v>
      </c>
      <c r="DG148" s="173"/>
      <c r="DH148" s="173">
        <f t="shared" si="392"/>
        <v>7.6433121019108281</v>
      </c>
      <c r="DI148" s="545">
        <f t="shared" si="393"/>
        <v>99.433333333333337</v>
      </c>
      <c r="DJ148" s="528">
        <f t="shared" si="394"/>
        <v>2.7377521613832849</v>
      </c>
      <c r="DL148" s="173">
        <f t="shared" si="395"/>
        <v>5.2444982510018923</v>
      </c>
      <c r="DM148" s="173">
        <f t="shared" si="396"/>
        <v>13.581298701298699</v>
      </c>
      <c r="DN148" s="173">
        <f t="shared" si="397"/>
        <v>3.8528138528138518</v>
      </c>
      <c r="DP148" s="545">
        <f t="shared" si="398"/>
        <v>3800</v>
      </c>
      <c r="DQ148" s="460">
        <f t="shared" si="399"/>
        <v>52.747421140227438</v>
      </c>
      <c r="DS148" s="460">
        <f t="shared" si="400"/>
        <v>3800</v>
      </c>
      <c r="DT148" s="460">
        <f t="shared" si="401"/>
        <v>52.747421140227438</v>
      </c>
      <c r="DV148" s="5">
        <f t="shared" si="402"/>
        <v>18.95827280999255</v>
      </c>
      <c r="DW148" s="5">
        <f t="shared" si="403"/>
        <v>8.5776623376623355</v>
      </c>
      <c r="DX148" s="5">
        <f t="shared" si="404"/>
        <v>10.380610472330215</v>
      </c>
      <c r="DY148" s="173">
        <f t="shared" si="405"/>
        <v>0.45244956772334294</v>
      </c>
      <c r="EA148" s="5">
        <f t="shared" si="406"/>
        <v>217.30077922077913</v>
      </c>
      <c r="EB148" s="5">
        <f t="shared" si="407"/>
        <v>10.185974025974025</v>
      </c>
      <c r="EC148" s="5">
        <f t="shared" si="408"/>
        <v>10.738562557582979</v>
      </c>
      <c r="ED148" s="5"/>
      <c r="EE148" s="173">
        <f t="shared" si="409"/>
        <v>5.2743113406527558</v>
      </c>
      <c r="EF148" s="173">
        <f t="shared" si="410"/>
        <v>5.8022005612664733</v>
      </c>
      <c r="EG148" s="173">
        <f t="shared" si="411"/>
        <v>0.14289340990099395</v>
      </c>
      <c r="EH148" s="173"/>
      <c r="EI148" s="528">
        <f t="shared" si="412"/>
        <v>0.55636720236276538</v>
      </c>
      <c r="EJ148" s="528">
        <f t="shared" si="413"/>
        <v>0.49716666666666681</v>
      </c>
      <c r="EK148" s="528">
        <f t="shared" si="414"/>
        <v>6.5934276425284296E-3</v>
      </c>
      <c r="EL148" s="528">
        <f t="shared" si="415"/>
        <v>6.3512642320736473E-3</v>
      </c>
      <c r="EM148">
        <f t="shared" si="416"/>
        <v>8.5500000000000003E-3</v>
      </c>
      <c r="EN148" s="460">
        <f t="shared" si="417"/>
        <v>15.143427642528431</v>
      </c>
      <c r="EP148" s="460">
        <f t="shared" si="439"/>
        <v>1075.0285609040343</v>
      </c>
      <c r="EQ148" s="173">
        <f t="shared" si="418"/>
        <v>2.6599999999999997</v>
      </c>
      <c r="ER148" s="173">
        <f t="shared" si="475"/>
        <v>4.2156249999999999E-2</v>
      </c>
      <c r="ES148" s="528"/>
      <c r="EU148" s="460">
        <f t="shared" si="420"/>
        <v>2702.15625</v>
      </c>
      <c r="EV148" s="528">
        <f t="shared" si="421"/>
        <v>0.83455080354414801</v>
      </c>
      <c r="EW148" s="528">
        <f t="shared" si="422"/>
        <v>1.0099659405948294</v>
      </c>
      <c r="EX148" s="528">
        <f t="shared" si="423"/>
        <v>1.0209263296566739E-4</v>
      </c>
      <c r="EY148" s="528">
        <f t="shared" si="424"/>
        <v>0.68679375210278815</v>
      </c>
      <c r="EZ148" s="528"/>
      <c r="FA148" s="625">
        <f t="shared" si="425"/>
        <v>9.7293501503299788E-3</v>
      </c>
      <c r="FB148" s="460">
        <f t="shared" si="426"/>
        <v>2541.1419390250612</v>
      </c>
      <c r="FC148" s="173">
        <f t="shared" si="427"/>
        <v>6.3183267499290956</v>
      </c>
      <c r="FD148" s="5">
        <f t="shared" si="428"/>
        <v>57.76</v>
      </c>
      <c r="FE148" s="173">
        <f t="shared" si="429"/>
        <v>0.90139682057262704</v>
      </c>
      <c r="FF148" s="5">
        <f t="shared" si="430"/>
        <v>90.139682057262704</v>
      </c>
      <c r="FG148">
        <f t="shared" si="431"/>
        <v>38</v>
      </c>
      <c r="FI148" s="562">
        <f t="shared" si="432"/>
        <v>-50</v>
      </c>
      <c r="FJ148">
        <f t="shared" si="433"/>
        <v>-50</v>
      </c>
    </row>
    <row r="149" spans="5:166">
      <c r="E149" s="170">
        <v>39</v>
      </c>
      <c r="F149" s="217">
        <f t="shared" si="476"/>
        <v>3.9000000000000004</v>
      </c>
      <c r="G149" s="217">
        <f t="shared" si="444"/>
        <v>9.7500000000000003E-2</v>
      </c>
      <c r="H149" s="217">
        <f t="shared" si="445"/>
        <v>58.500000000000007</v>
      </c>
      <c r="I149" s="217">
        <f t="shared" si="446"/>
        <v>0.78</v>
      </c>
      <c r="J149" s="541">
        <f t="shared" si="447"/>
        <v>18.602884260552546</v>
      </c>
      <c r="K149" s="443">
        <f t="shared" si="448"/>
        <v>15.913678947368421</v>
      </c>
      <c r="L149" s="172">
        <f t="shared" si="449"/>
        <v>34.516563207920967</v>
      </c>
      <c r="M149" s="443"/>
      <c r="N149" s="217">
        <f t="shared" si="450"/>
        <v>0.46104471211422637</v>
      </c>
      <c r="O149" s="172">
        <f t="shared" si="451"/>
        <v>211.59773236185993</v>
      </c>
      <c r="P149" s="172">
        <f t="shared" si="452"/>
        <v>2.8589204728002411</v>
      </c>
      <c r="Q149" s="217">
        <f t="shared" si="322"/>
        <v>14.106515490790661</v>
      </c>
      <c r="R149" s="217">
        <f t="shared" si="453"/>
        <v>26.449716545232491</v>
      </c>
      <c r="S149" s="217">
        <f t="shared" si="454"/>
        <v>15</v>
      </c>
      <c r="T149" s="217">
        <f t="shared" si="455"/>
        <v>13.823399557977618</v>
      </c>
      <c r="U149" s="217">
        <f t="shared" si="326"/>
        <v>8.9169395655211368</v>
      </c>
      <c r="V149" s="217">
        <f t="shared" si="327"/>
        <v>10.423786683415681</v>
      </c>
      <c r="W149" s="197">
        <f t="shared" si="328"/>
        <v>71.473011820006022</v>
      </c>
      <c r="X149" s="443">
        <f t="shared" si="435"/>
        <v>51.17517062879935</v>
      </c>
      <c r="Z149" s="217">
        <f t="shared" si="329"/>
        <v>9.9999999999999982</v>
      </c>
      <c r="AA149" s="173">
        <f t="shared" si="330"/>
        <v>7.5406824780666994</v>
      </c>
      <c r="AB149" s="173">
        <f t="shared" si="456"/>
        <v>2.6593188546995399</v>
      </c>
      <c r="AC149" s="173"/>
      <c r="AD149" s="173">
        <f t="shared" si="332"/>
        <v>7.5406824780667012</v>
      </c>
      <c r="AE149" s="545">
        <f t="shared" si="457"/>
        <v>103.43891315789475</v>
      </c>
      <c r="AF149" s="528">
        <f t="shared" si="458"/>
        <v>2.694776439428868</v>
      </c>
      <c r="AH149" s="173">
        <f t="shared" si="459"/>
        <v>5.3130566935212942</v>
      </c>
      <c r="AI149" s="173">
        <f t="shared" si="460"/>
        <v>13.823399557977618</v>
      </c>
      <c r="AJ149" s="173">
        <f t="shared" si="461"/>
        <v>4.0321478207241617</v>
      </c>
      <c r="AL149" s="545">
        <f t="shared" si="462"/>
        <v>3900.0000000000005</v>
      </c>
      <c r="AM149" s="460">
        <f t="shared" si="463"/>
        <v>51.17517062879935</v>
      </c>
      <c r="AO149" s="460">
        <f t="shared" si="340"/>
        <v>3900.0000000000005</v>
      </c>
      <c r="AP149" s="460">
        <f t="shared" si="341"/>
        <v>51.17517062879935</v>
      </c>
      <c r="AR149" s="5">
        <f t="shared" si="443"/>
        <v>19.540726248936821</v>
      </c>
      <c r="AS149" s="5">
        <f t="shared" si="440"/>
        <v>8.9169395655211368</v>
      </c>
      <c r="AT149" s="5">
        <f t="shared" si="441"/>
        <v>10.623786683415684</v>
      </c>
      <c r="AU149" s="173">
        <f t="shared" si="442"/>
        <v>0.45632590375223608</v>
      </c>
      <c r="AW149" s="5">
        <f t="shared" si="342"/>
        <v>231.84042870354958</v>
      </c>
      <c r="AX149" s="5">
        <f t="shared" si="343"/>
        <v>10.867520095478886</v>
      </c>
      <c r="AY149" s="5">
        <f t="shared" si="344"/>
        <v>11.520117957297762</v>
      </c>
      <c r="AZ149" s="5"/>
      <c r="BA149" s="173">
        <f t="shared" si="345"/>
        <v>5.3912788501905062</v>
      </c>
      <c r="BB149" s="173">
        <f t="shared" si="346"/>
        <v>5.8846895250290929</v>
      </c>
      <c r="BC149" s="173">
        <f t="shared" si="347"/>
        <v>0.14492490281248119</v>
      </c>
      <c r="BD149" s="173"/>
      <c r="BE149" s="528">
        <f t="shared" si="348"/>
        <v>0.58131775281022935</v>
      </c>
      <c r="BF149" s="528">
        <f t="shared" si="464"/>
        <v>0.45782866369018799</v>
      </c>
      <c r="BG149" s="528">
        <f t="shared" si="465"/>
        <v>2.3800144405539559E-2</v>
      </c>
      <c r="BH149" s="528">
        <f t="shared" si="351"/>
        <v>6.0969747004731992E-3</v>
      </c>
      <c r="BI149">
        <f t="shared" si="352"/>
        <v>8.3712979172486449E-3</v>
      </c>
      <c r="BJ149" s="460">
        <f t="shared" si="436"/>
        <v>32.171442322788209</v>
      </c>
      <c r="BK149">
        <f t="shared" si="466"/>
        <v>1.39485858368778</v>
      </c>
      <c r="BL149" s="460">
        <f t="shared" si="437"/>
        <v>1077.4148335236787</v>
      </c>
      <c r="BM149" s="173">
        <f t="shared" si="467"/>
        <v>2.4228749999999999</v>
      </c>
      <c r="BN149" s="173">
        <f t="shared" si="468"/>
        <v>6.057187499999999E-2</v>
      </c>
      <c r="BO149" s="528"/>
      <c r="BQ149" s="460">
        <f t="shared" si="356"/>
        <v>2483.4468749999996</v>
      </c>
      <c r="BR149" s="528">
        <f t="shared" si="357"/>
        <v>0.87197662921534391</v>
      </c>
      <c r="BS149" s="528">
        <f t="shared" si="358"/>
        <v>1.0388871241796138</v>
      </c>
      <c r="BT149" s="528">
        <f t="shared" si="359"/>
        <v>1.0501613727603559E-4</v>
      </c>
      <c r="BU149" s="528">
        <f t="shared" si="360"/>
        <v>0.66551125699552693</v>
      </c>
      <c r="BV149" s="528"/>
      <c r="BW149" s="625">
        <f t="shared" si="469"/>
        <v>9.778877862837496E-3</v>
      </c>
      <c r="BX149" s="460">
        <f t="shared" si="362"/>
        <v>2586.2589043905978</v>
      </c>
      <c r="BY149" s="173">
        <f t="shared" si="363"/>
        <v>6.1471206129142768</v>
      </c>
      <c r="BZ149" s="5">
        <f t="shared" si="364"/>
        <v>59.280000000000008</v>
      </c>
      <c r="CA149" s="173">
        <f t="shared" si="365"/>
        <v>0.90604629157864958</v>
      </c>
      <c r="CB149" s="5">
        <f t="shared" si="366"/>
        <v>90.604629157864963</v>
      </c>
      <c r="CC149">
        <f t="shared" si="367"/>
        <v>39</v>
      </c>
      <c r="CE149" s="562">
        <f t="shared" si="470"/>
        <v>-50</v>
      </c>
      <c r="CF149">
        <f t="shared" si="471"/>
        <v>-50</v>
      </c>
      <c r="CG149" s="173">
        <f t="shared" si="370"/>
        <v>0.54755043227665712</v>
      </c>
      <c r="CH149" s="173">
        <f t="shared" si="472"/>
        <v>6.4398811101315845E-2</v>
      </c>
      <c r="CI149" s="170">
        <v>39</v>
      </c>
      <c r="CJ149" s="217">
        <f t="shared" si="438"/>
        <v>3.9000000000000004</v>
      </c>
      <c r="CK149" s="217">
        <f t="shared" si="372"/>
        <v>9.7500000000000003E-2</v>
      </c>
      <c r="CL149" s="217">
        <f t="shared" si="373"/>
        <v>58.500000000000007</v>
      </c>
      <c r="CM149" s="217">
        <f t="shared" si="374"/>
        <v>0.78</v>
      </c>
      <c r="CN149" s="541">
        <f t="shared" si="375"/>
        <v>19</v>
      </c>
      <c r="CO149" s="443">
        <f t="shared" si="473"/>
        <v>15.7</v>
      </c>
      <c r="CP149" s="443">
        <f t="shared" si="474"/>
        <v>34.700000000000003</v>
      </c>
      <c r="CQ149" s="443"/>
      <c r="CR149" s="217">
        <f t="shared" si="378"/>
        <v>0.44767441860465118</v>
      </c>
      <c r="CS149" s="172">
        <f t="shared" si="379"/>
        <v>209.84738372093025</v>
      </c>
      <c r="CT149" s="172">
        <f t="shared" si="380"/>
        <v>2.835271317829458</v>
      </c>
      <c r="CU149" s="217">
        <f t="shared" si="381"/>
        <v>13.989825581395349</v>
      </c>
      <c r="CV149" s="217">
        <f t="shared" si="382"/>
        <v>26.230922965116282</v>
      </c>
      <c r="CW149" s="217">
        <f t="shared" si="383"/>
        <v>15</v>
      </c>
      <c r="CX149" s="217">
        <f t="shared" si="384"/>
        <v>13.9387012987013</v>
      </c>
      <c r="CY149" s="217">
        <f t="shared" si="385"/>
        <v>8.8033902939166104</v>
      </c>
      <c r="CZ149" s="217">
        <f t="shared" si="386"/>
        <v>10.653784432128383</v>
      </c>
      <c r="DA149" s="197">
        <f t="shared" si="387"/>
        <v>71.63784822286263</v>
      </c>
      <c r="DB149" s="443">
        <f t="shared" si="388"/>
        <v>51.39492316227286</v>
      </c>
      <c r="DD149" s="217">
        <f t="shared" si="389"/>
        <v>10.000000000000002</v>
      </c>
      <c r="DE149" s="173">
        <f t="shared" si="390"/>
        <v>7.6433121019108299</v>
      </c>
      <c r="DF149" s="173">
        <f t="shared" si="391"/>
        <v>2.7017291066282429</v>
      </c>
      <c r="DG149" s="173"/>
      <c r="DH149" s="173">
        <f t="shared" si="392"/>
        <v>7.6433121019108281</v>
      </c>
      <c r="DI149" s="545">
        <f t="shared" si="393"/>
        <v>102.05000000000001</v>
      </c>
      <c r="DJ149" s="528">
        <f t="shared" si="394"/>
        <v>2.7377521613832849</v>
      </c>
      <c r="DL149" s="173">
        <f t="shared" si="395"/>
        <v>5.3130566935212942</v>
      </c>
      <c r="DM149" s="173">
        <f t="shared" si="396"/>
        <v>13.9387012987013</v>
      </c>
      <c r="DN149" s="173">
        <f t="shared" si="397"/>
        <v>4.1175565175565181</v>
      </c>
      <c r="DP149" s="545">
        <f t="shared" si="398"/>
        <v>3900.0000000000005</v>
      </c>
      <c r="DQ149" s="460">
        <f t="shared" si="399"/>
        <v>51.39492316227286</v>
      </c>
      <c r="DS149" s="460">
        <f t="shared" si="400"/>
        <v>3900.0000000000005</v>
      </c>
      <c r="DT149" s="460">
        <f t="shared" si="401"/>
        <v>51.39492316227286</v>
      </c>
      <c r="DV149" s="5">
        <f t="shared" si="402"/>
        <v>19.457174726044997</v>
      </c>
      <c r="DW149" s="5">
        <f t="shared" si="403"/>
        <v>8.8033902939166104</v>
      </c>
      <c r="DX149" s="5">
        <f t="shared" si="404"/>
        <v>10.653784432128386</v>
      </c>
      <c r="DY149" s="173">
        <f t="shared" si="405"/>
        <v>0.45244956772334283</v>
      </c>
      <c r="EA149" s="5">
        <f t="shared" si="406"/>
        <v>228.88814764183192</v>
      </c>
      <c r="EB149" s="5">
        <f t="shared" si="407"/>
        <v>10.729131920710868</v>
      </c>
      <c r="EC149" s="5">
        <f t="shared" si="408"/>
        <v>11.31118673828513</v>
      </c>
      <c r="ED149" s="5"/>
      <c r="EE149" s="173">
        <f t="shared" si="409"/>
        <v>5.4131090075120403</v>
      </c>
      <c r="EF149" s="173">
        <f t="shared" si="410"/>
        <v>5.9548900497208557</v>
      </c>
      <c r="EG149" s="173">
        <f t="shared" si="411"/>
        <v>0.14665376279312539</v>
      </c>
      <c r="EH149" s="173"/>
      <c r="EI149" s="528">
        <f t="shared" si="412"/>
        <v>0.58603498254415975</v>
      </c>
      <c r="EJ149" s="528">
        <f t="shared" si="413"/>
        <v>0.49716666666666665</v>
      </c>
      <c r="EK149" s="528">
        <f t="shared" si="414"/>
        <v>6.4243653952841071E-3</v>
      </c>
      <c r="EL149" s="528">
        <f t="shared" si="415"/>
        <v>6.1884113030461138E-3</v>
      </c>
      <c r="EM149">
        <f t="shared" si="416"/>
        <v>8.5500000000000003E-3</v>
      </c>
      <c r="EN149" s="460">
        <f t="shared" si="417"/>
        <v>14.974365395284108</v>
      </c>
      <c r="EP149" s="460">
        <f t="shared" si="439"/>
        <v>1104.3644259091566</v>
      </c>
      <c r="EQ149" s="173">
        <f t="shared" si="418"/>
        <v>2.73</v>
      </c>
      <c r="ER149" s="173">
        <f t="shared" si="475"/>
        <v>4.3265625000000002E-2</v>
      </c>
      <c r="ES149" s="528"/>
      <c r="EU149" s="460">
        <f t="shared" si="420"/>
        <v>2773.265625</v>
      </c>
      <c r="EV149" s="528">
        <f t="shared" si="421"/>
        <v>0.87905247381623963</v>
      </c>
      <c r="EW149" s="528">
        <f t="shared" si="422"/>
        <v>1.0638214651279336</v>
      </c>
      <c r="EX149" s="528">
        <f t="shared" si="423"/>
        <v>1.0753663070691144E-4</v>
      </c>
      <c r="EY149" s="528">
        <f t="shared" si="424"/>
        <v>0.6867937521027887</v>
      </c>
      <c r="EZ149" s="528"/>
      <c r="FA149" s="625">
        <f t="shared" si="425"/>
        <v>9.9853856806018191E-3</v>
      </c>
      <c r="FB149" s="460">
        <f t="shared" si="426"/>
        <v>2639.7606133582708</v>
      </c>
      <c r="FC149" s="173">
        <f t="shared" si="427"/>
        <v>6.5173906642674266</v>
      </c>
      <c r="FD149" s="5">
        <f t="shared" si="428"/>
        <v>59.280000000000008</v>
      </c>
      <c r="FE149" s="173">
        <f t="shared" si="429"/>
        <v>0.90094758168264522</v>
      </c>
      <c r="FF149" s="5">
        <f t="shared" si="430"/>
        <v>90.094758168264519</v>
      </c>
      <c r="FG149">
        <f t="shared" si="431"/>
        <v>39</v>
      </c>
      <c r="FI149" s="562">
        <f t="shared" si="432"/>
        <v>-50</v>
      </c>
      <c r="FJ149">
        <f t="shared" si="433"/>
        <v>-50</v>
      </c>
    </row>
    <row r="150" spans="5:166">
      <c r="E150" s="170">
        <v>40</v>
      </c>
      <c r="F150" s="217">
        <f t="shared" si="476"/>
        <v>4</v>
      </c>
      <c r="G150" s="217">
        <f t="shared" si="444"/>
        <v>0.1</v>
      </c>
      <c r="H150" s="217">
        <f t="shared" si="445"/>
        <v>60</v>
      </c>
      <c r="I150" s="217">
        <f t="shared" si="446"/>
        <v>0.8</v>
      </c>
      <c r="J150" s="541">
        <f t="shared" si="447"/>
        <v>18.592701805694919</v>
      </c>
      <c r="K150" s="443">
        <f t="shared" si="448"/>
        <v>15.919157894736841</v>
      </c>
      <c r="L150" s="172">
        <f t="shared" si="449"/>
        <v>34.511859700431756</v>
      </c>
      <c r="M150" s="443"/>
      <c r="N150" s="217">
        <f t="shared" si="450"/>
        <v>0.46126630187180806</v>
      </c>
      <c r="O150" s="172">
        <f t="shared" si="451"/>
        <v>211.58355601278413</v>
      </c>
      <c r="P150" s="172">
        <f t="shared" si="452"/>
        <v>2.8587289345727278</v>
      </c>
      <c r="Q150" s="217">
        <f t="shared" si="322"/>
        <v>14.105570400852276</v>
      </c>
      <c r="R150" s="217">
        <f t="shared" si="453"/>
        <v>26.447944501598016</v>
      </c>
      <c r="S150" s="217">
        <f t="shared" si="454"/>
        <v>15</v>
      </c>
      <c r="T150" s="217">
        <f t="shared" si="455"/>
        <v>14.178795632959002</v>
      </c>
      <c r="U150" s="217">
        <f t="shared" si="326"/>
        <v>9.1512007976910965</v>
      </c>
      <c r="V150" s="217">
        <f t="shared" si="327"/>
        <v>10.688099755060611</v>
      </c>
      <c r="W150" s="197">
        <f t="shared" si="328"/>
        <v>71.468223364318177</v>
      </c>
      <c r="X150" s="443">
        <f t="shared" si="435"/>
        <v>49.901941306164225</v>
      </c>
      <c r="Z150" s="217">
        <f t="shared" si="329"/>
        <v>10</v>
      </c>
      <c r="AA150" s="173">
        <f t="shared" si="330"/>
        <v>7.53808717731697</v>
      </c>
      <c r="AB150" s="173">
        <f t="shared" si="456"/>
        <v>2.6582254841851576</v>
      </c>
      <c r="AC150" s="173"/>
      <c r="AD150" s="173">
        <f t="shared" si="332"/>
        <v>7.53808717731697</v>
      </c>
      <c r="AE150" s="545">
        <f t="shared" si="457"/>
        <v>106.12771929824562</v>
      </c>
      <c r="AF150" s="528">
        <f t="shared" si="458"/>
        <v>2.6936684906409596</v>
      </c>
      <c r="AH150" s="173">
        <f t="shared" si="459"/>
        <v>5.3807416730763942</v>
      </c>
      <c r="AI150" s="173">
        <f t="shared" si="460"/>
        <v>14.178795632959002</v>
      </c>
      <c r="AJ150" s="173">
        <f t="shared" si="461"/>
        <v>4.2954041725622236</v>
      </c>
      <c r="AL150" s="545">
        <f t="shared" si="462"/>
        <v>4000</v>
      </c>
      <c r="AM150" s="460">
        <f t="shared" si="463"/>
        <v>49.901941306164225</v>
      </c>
      <c r="AO150" s="460">
        <f t="shared" si="340"/>
        <v>4000</v>
      </c>
      <c r="AP150" s="460">
        <f t="shared" si="341"/>
        <v>49.901941306164225</v>
      </c>
      <c r="AR150" s="5">
        <f t="shared" si="443"/>
        <v>20.039300552751708</v>
      </c>
      <c r="AS150" s="5">
        <f t="shared" si="440"/>
        <v>9.1512007976910965</v>
      </c>
      <c r="AT150" s="5">
        <f t="shared" si="441"/>
        <v>10.888099755060612</v>
      </c>
      <c r="AU150" s="173">
        <f t="shared" si="442"/>
        <v>0.45666268508730429</v>
      </c>
      <c r="AW150" s="5">
        <f t="shared" si="342"/>
        <v>244.03202127176257</v>
      </c>
      <c r="AX150" s="5">
        <f t="shared" si="343"/>
        <v>11.439000997113872</v>
      </c>
      <c r="AY150" s="5">
        <f t="shared" si="344"/>
        <v>12.11609973468444</v>
      </c>
      <c r="AZ150" s="5"/>
      <c r="BA150" s="173">
        <f t="shared" si="345"/>
        <v>5.5319274833006986</v>
      </c>
      <c r="BB150" s="173">
        <f t="shared" si="346"/>
        <v>6.0341135930011687</v>
      </c>
      <c r="BC150" s="173">
        <f t="shared" si="347"/>
        <v>0.14860483672175431</v>
      </c>
      <c r="BD150" s="173"/>
      <c r="BE150" s="528">
        <f t="shared" si="348"/>
        <v>0.61204443360995198</v>
      </c>
      <c r="BF150" s="528">
        <f t="shared" si="464"/>
        <v>0.45785337322306957</v>
      </c>
      <c r="BG150" s="528">
        <f t="shared" si="465"/>
        <v>2.3195297855770035E-2</v>
      </c>
      <c r="BH150" s="528">
        <f t="shared" si="351"/>
        <v>5.9436628381659426E-3</v>
      </c>
      <c r="BI150">
        <f t="shared" si="352"/>
        <v>8.3667158125627136E-3</v>
      </c>
      <c r="BJ150" s="460">
        <f t="shared" si="436"/>
        <v>31.562013668332749</v>
      </c>
      <c r="BK150">
        <f t="shared" si="466"/>
        <v>1.4522876957495268</v>
      </c>
      <c r="BL150" s="460">
        <f t="shared" si="437"/>
        <v>1107.4034833395203</v>
      </c>
      <c r="BM150" s="173">
        <f t="shared" si="467"/>
        <v>2.4849999999999999</v>
      </c>
      <c r="BN150" s="173">
        <f t="shared" si="468"/>
        <v>6.2124999999999993E-2</v>
      </c>
      <c r="BO150" s="528"/>
      <c r="BQ150" s="460">
        <f t="shared" si="356"/>
        <v>2547.125</v>
      </c>
      <c r="BR150" s="528">
        <f t="shared" si="357"/>
        <v>0.91806665041492796</v>
      </c>
      <c r="BS150" s="528">
        <f t="shared" si="358"/>
        <v>1.0923158055972442</v>
      </c>
      <c r="BT150" s="528">
        <f t="shared" si="359"/>
        <v>1.1041698748549629E-4</v>
      </c>
      <c r="BU150" s="528">
        <f t="shared" si="360"/>
        <v>0.66582786123682214</v>
      </c>
      <c r="BV150" s="528"/>
      <c r="BW150" s="625">
        <f t="shared" si="469"/>
        <v>1.0032198732286172E-2</v>
      </c>
      <c r="BX150" s="460">
        <f t="shared" si="362"/>
        <v>2686.3529329687658</v>
      </c>
      <c r="BY150" s="173">
        <f t="shared" si="363"/>
        <v>6.3408814163082869</v>
      </c>
      <c r="BZ150" s="5">
        <f t="shared" si="364"/>
        <v>60.8</v>
      </c>
      <c r="CA150" s="173">
        <f t="shared" si="365"/>
        <v>0.90555856160136561</v>
      </c>
      <c r="CB150" s="5">
        <f t="shared" si="366"/>
        <v>90.555856160136557</v>
      </c>
      <c r="CC150">
        <f t="shared" si="367"/>
        <v>40</v>
      </c>
      <c r="CE150" s="562">
        <f t="shared" si="470"/>
        <v>-50</v>
      </c>
      <c r="CF150">
        <f t="shared" si="471"/>
        <v>-50</v>
      </c>
      <c r="CG150" s="173">
        <f t="shared" si="370"/>
        <v>0.54755043227665701</v>
      </c>
      <c r="CH150" s="173">
        <f t="shared" si="472"/>
        <v>6.4398811101315859E-2</v>
      </c>
      <c r="CI150" s="170">
        <v>40</v>
      </c>
      <c r="CJ150" s="217">
        <f t="shared" si="438"/>
        <v>4</v>
      </c>
      <c r="CK150" s="217">
        <f t="shared" si="372"/>
        <v>0.1</v>
      </c>
      <c r="CL150" s="217">
        <f t="shared" si="373"/>
        <v>60</v>
      </c>
      <c r="CM150" s="217">
        <f t="shared" si="374"/>
        <v>0.8</v>
      </c>
      <c r="CN150" s="541">
        <f t="shared" si="375"/>
        <v>19</v>
      </c>
      <c r="CO150" s="443">
        <f t="shared" si="473"/>
        <v>15.7</v>
      </c>
      <c r="CP150" s="443">
        <f t="shared" si="474"/>
        <v>34.700000000000003</v>
      </c>
      <c r="CQ150" s="443"/>
      <c r="CR150" s="217">
        <f t="shared" si="378"/>
        <v>0.44767441860465118</v>
      </c>
      <c r="CS150" s="172">
        <f t="shared" si="379"/>
        <v>209.84738372093025</v>
      </c>
      <c r="CT150" s="172">
        <f t="shared" si="380"/>
        <v>2.835271317829458</v>
      </c>
      <c r="CU150" s="217">
        <f t="shared" si="381"/>
        <v>13.989825581395349</v>
      </c>
      <c r="CV150" s="217">
        <f t="shared" si="382"/>
        <v>26.230922965116282</v>
      </c>
      <c r="CW150" s="217">
        <f t="shared" si="383"/>
        <v>15</v>
      </c>
      <c r="CX150" s="217">
        <f t="shared" si="384"/>
        <v>14.296103896103896</v>
      </c>
      <c r="CY150" s="217">
        <f t="shared" si="385"/>
        <v>9.0291182501708818</v>
      </c>
      <c r="CZ150" s="217">
        <f t="shared" si="386"/>
        <v>10.926958391926545</v>
      </c>
      <c r="DA150" s="197">
        <f t="shared" si="387"/>
        <v>71.63784822286263</v>
      </c>
      <c r="DB150" s="443">
        <f t="shared" si="388"/>
        <v>50.110050083216045</v>
      </c>
      <c r="DD150" s="217">
        <f t="shared" si="389"/>
        <v>10.000000000000002</v>
      </c>
      <c r="DE150" s="173">
        <f t="shared" si="390"/>
        <v>7.6433121019108299</v>
      </c>
      <c r="DF150" s="173">
        <f t="shared" si="391"/>
        <v>2.7017291066282429</v>
      </c>
      <c r="DG150" s="173"/>
      <c r="DH150" s="173">
        <f t="shared" si="392"/>
        <v>7.6433121019108281</v>
      </c>
      <c r="DI150" s="545">
        <f t="shared" si="393"/>
        <v>104.66666666666667</v>
      </c>
      <c r="DJ150" s="528">
        <f t="shared" si="394"/>
        <v>2.7377521613832849</v>
      </c>
      <c r="DL150" s="173">
        <f t="shared" si="395"/>
        <v>5.3807416730763942</v>
      </c>
      <c r="DM150" s="173">
        <f t="shared" si="396"/>
        <v>14.296103896103896</v>
      </c>
      <c r="DN150" s="173">
        <f t="shared" si="397"/>
        <v>4.3822991822991817</v>
      </c>
      <c r="DP150" s="545">
        <f t="shared" si="398"/>
        <v>4000</v>
      </c>
      <c r="DQ150" s="460">
        <f t="shared" si="399"/>
        <v>50.110050083216045</v>
      </c>
      <c r="DS150" s="460">
        <f t="shared" si="400"/>
        <v>4000</v>
      </c>
      <c r="DT150" s="460">
        <f t="shared" si="401"/>
        <v>50.110050083216045</v>
      </c>
      <c r="DV150" s="5">
        <f t="shared" si="402"/>
        <v>19.956076642097425</v>
      </c>
      <c r="DW150" s="5">
        <f t="shared" si="403"/>
        <v>9.0291182501708818</v>
      </c>
      <c r="DX150" s="5">
        <f t="shared" si="404"/>
        <v>10.926958391926544</v>
      </c>
      <c r="DY150" s="173">
        <f t="shared" si="405"/>
        <v>0.45244956772334299</v>
      </c>
      <c r="EA150" s="5">
        <f t="shared" si="406"/>
        <v>240.77648667122349</v>
      </c>
      <c r="EB150" s="5">
        <f t="shared" si="407"/>
        <v>11.286397812713604</v>
      </c>
      <c r="EC150" s="5">
        <f t="shared" si="408"/>
        <v>11.898684274330172</v>
      </c>
      <c r="ED150" s="5"/>
      <c r="EE150" s="173">
        <f t="shared" si="409"/>
        <v>5.551906674371323</v>
      </c>
      <c r="EF150" s="173">
        <f t="shared" si="410"/>
        <v>6.1075795381752345</v>
      </c>
      <c r="EG150" s="173">
        <f t="shared" si="411"/>
        <v>0.15041411568525678</v>
      </c>
      <c r="EH150" s="173"/>
      <c r="EI150" s="528">
        <f t="shared" si="412"/>
        <v>0.61647335441857687</v>
      </c>
      <c r="EJ150" s="528">
        <f t="shared" si="413"/>
        <v>0.49716666666666665</v>
      </c>
      <c r="EK150" s="528">
        <f t="shared" si="414"/>
        <v>6.2637562604020052E-3</v>
      </c>
      <c r="EL150" s="528">
        <f t="shared" si="415"/>
        <v>6.0337010204699624E-3</v>
      </c>
      <c r="EM150">
        <f t="shared" si="416"/>
        <v>8.5500000000000003E-3</v>
      </c>
      <c r="EN150" s="460">
        <f t="shared" si="417"/>
        <v>14.813756260402007</v>
      </c>
      <c r="EP150" s="460">
        <f t="shared" si="439"/>
        <v>1134.4874783661157</v>
      </c>
      <c r="EQ150" s="173">
        <f t="shared" si="418"/>
        <v>2.8</v>
      </c>
      <c r="ER150" s="173">
        <f t="shared" si="475"/>
        <v>4.4374999999999998E-2</v>
      </c>
      <c r="ES150" s="528"/>
      <c r="EU150" s="460">
        <f t="shared" si="420"/>
        <v>2844.375</v>
      </c>
      <c r="EV150" s="528">
        <f t="shared" si="421"/>
        <v>0.92471003162786525</v>
      </c>
      <c r="EW150" s="528">
        <f t="shared" si="422"/>
        <v>1.1190758344541043</v>
      </c>
      <c r="EX150" s="528">
        <f t="shared" si="423"/>
        <v>1.1312203098688906E-4</v>
      </c>
      <c r="EY150" s="528">
        <f t="shared" si="424"/>
        <v>0.68679375210278926</v>
      </c>
      <c r="EZ150" s="528"/>
      <c r="FA150" s="625">
        <f t="shared" si="425"/>
        <v>1.0241421210873659E-2</v>
      </c>
      <c r="FB150" s="460">
        <f t="shared" si="426"/>
        <v>2740.9341614266191</v>
      </c>
      <c r="FC150" s="173">
        <f t="shared" si="427"/>
        <v>6.7197966397927358</v>
      </c>
      <c r="FD150" s="5">
        <f t="shared" si="428"/>
        <v>60.8</v>
      </c>
      <c r="FE150" s="173">
        <f t="shared" si="429"/>
        <v>0.90047664575114517</v>
      </c>
      <c r="FF150" s="5">
        <f t="shared" si="430"/>
        <v>90.04766457511451</v>
      </c>
      <c r="FG150">
        <f t="shared" si="431"/>
        <v>40</v>
      </c>
      <c r="FI150" s="562">
        <f t="shared" si="432"/>
        <v>-50</v>
      </c>
      <c r="FJ150">
        <f t="shared" si="433"/>
        <v>-50</v>
      </c>
    </row>
    <row r="151" spans="5:166">
      <c r="E151" s="170">
        <v>41</v>
      </c>
      <c r="F151" s="217">
        <f t="shared" si="476"/>
        <v>4.0999999999999996</v>
      </c>
      <c r="G151" s="217">
        <f t="shared" si="444"/>
        <v>0.10249999999999999</v>
      </c>
      <c r="H151" s="217">
        <f t="shared" si="445"/>
        <v>61.499999999999993</v>
      </c>
      <c r="I151" s="217">
        <f t="shared" si="446"/>
        <v>0.82</v>
      </c>
      <c r="J151" s="541">
        <f t="shared" si="447"/>
        <v>18.582519350837291</v>
      </c>
      <c r="K151" s="443">
        <f t="shared" si="448"/>
        <v>15.924636842105262</v>
      </c>
      <c r="L151" s="172">
        <f t="shared" si="449"/>
        <v>34.507156192942553</v>
      </c>
      <c r="M151" s="443"/>
      <c r="N151" s="217">
        <f t="shared" si="450"/>
        <v>0.46148795203709625</v>
      </c>
      <c r="O151" s="172">
        <f t="shared" si="451"/>
        <v>211.56929602568124</v>
      </c>
      <c r="P151" s="172">
        <f t="shared" si="452"/>
        <v>2.8585362663025378</v>
      </c>
      <c r="Q151" s="217">
        <f t="shared" si="322"/>
        <v>14.104619735045416</v>
      </c>
      <c r="R151" s="217">
        <f t="shared" si="453"/>
        <v>26.446162003210155</v>
      </c>
      <c r="S151" s="217">
        <f t="shared" si="454"/>
        <v>15</v>
      </c>
      <c r="T151" s="217">
        <f t="shared" si="455"/>
        <v>14.534245080754735</v>
      </c>
      <c r="U151" s="217">
        <f t="shared" si="326"/>
        <v>9.3857532273307296</v>
      </c>
      <c r="V151" s="217">
        <f t="shared" si="327"/>
        <v>10.952271169406425</v>
      </c>
      <c r="W151" s="197">
        <f t="shared" si="328"/>
        <v>71.463406657563439</v>
      </c>
      <c r="X151" s="443">
        <f t="shared" si="435"/>
        <v>48.690174901090714</v>
      </c>
      <c r="Z151" s="217">
        <f t="shared" si="329"/>
        <v>10</v>
      </c>
      <c r="AA151" s="173">
        <f t="shared" si="330"/>
        <v>7.5354936624184781</v>
      </c>
      <c r="AB151" s="173">
        <f t="shared" si="456"/>
        <v>2.6571318156064327</v>
      </c>
      <c r="AC151" s="173"/>
      <c r="AD151" s="173">
        <f t="shared" si="332"/>
        <v>7.5354936624184781</v>
      </c>
      <c r="AE151" s="545">
        <f t="shared" si="457"/>
        <v>108.81835175438593</v>
      </c>
      <c r="AF151" s="528">
        <f t="shared" si="458"/>
        <v>2.6925602398145192</v>
      </c>
      <c r="AH151" s="173">
        <f t="shared" si="459"/>
        <v>5.4475857474839691</v>
      </c>
      <c r="AI151" s="173">
        <f t="shared" si="460"/>
        <v>14.534245080754735</v>
      </c>
      <c r="AJ151" s="173">
        <f t="shared" si="461"/>
        <v>4.5587000598183218</v>
      </c>
      <c r="AL151" s="545">
        <f t="shared" si="462"/>
        <v>4100</v>
      </c>
      <c r="AM151" s="460">
        <f t="shared" si="463"/>
        <v>48.690174901090714</v>
      </c>
      <c r="AO151" s="460">
        <f t="shared" si="340"/>
        <v>4100</v>
      </c>
      <c r="AP151" s="460">
        <f t="shared" si="341"/>
        <v>48.690174901090714</v>
      </c>
      <c r="AR151" s="5">
        <f t="shared" si="443"/>
        <v>20.538024396737153</v>
      </c>
      <c r="AS151" s="5">
        <f t="shared" si="440"/>
        <v>9.3857532273307296</v>
      </c>
      <c r="AT151" s="5">
        <f t="shared" si="441"/>
        <v>11.152271169406424</v>
      </c>
      <c r="AU151" s="173">
        <f t="shared" si="442"/>
        <v>0.45699396621720983</v>
      </c>
      <c r="AW151" s="5">
        <f t="shared" si="342"/>
        <v>256.54392154703993</v>
      </c>
      <c r="AX151" s="5">
        <f t="shared" si="343"/>
        <v>12.025496322517498</v>
      </c>
      <c r="AY151" s="5">
        <f t="shared" si="344"/>
        <v>12.727287217689408</v>
      </c>
      <c r="AZ151" s="5"/>
      <c r="BA151" s="173">
        <f t="shared" si="345"/>
        <v>5.6726643178410132</v>
      </c>
      <c r="BB151" s="173">
        <f t="shared" si="346"/>
        <v>6.1834973566400446</v>
      </c>
      <c r="BC151" s="173">
        <f t="shared" si="347"/>
        <v>0.15228377803803719</v>
      </c>
      <c r="BD151" s="173"/>
      <c r="BE151" s="528">
        <f t="shared" si="348"/>
        <v>0.64358240925813293</v>
      </c>
      <c r="BF151" s="528">
        <f t="shared" si="464"/>
        <v>0.45787217844677608</v>
      </c>
      <c r="BG151" s="528">
        <f t="shared" si="465"/>
        <v>2.2619652932379261E-2</v>
      </c>
      <c r="BH151" s="528">
        <f t="shared" si="351"/>
        <v>5.7977525273234442E-3</v>
      </c>
      <c r="BI151">
        <f t="shared" si="352"/>
        <v>8.3621337078767805E-3</v>
      </c>
      <c r="BJ151" s="460">
        <f t="shared" si="436"/>
        <v>30.98178664025604</v>
      </c>
      <c r="BK151">
        <f t="shared" si="466"/>
        <v>1.5122683834623807</v>
      </c>
      <c r="BL151" s="460">
        <f t="shared" si="437"/>
        <v>1138.2341268724886</v>
      </c>
      <c r="BM151" s="173">
        <f t="shared" si="467"/>
        <v>2.5471249999999994</v>
      </c>
      <c r="BN151" s="173">
        <f t="shared" si="468"/>
        <v>6.3678124999999988E-2</v>
      </c>
      <c r="BO151" s="528"/>
      <c r="BQ151" s="460">
        <f t="shared" si="356"/>
        <v>2610.8031249999995</v>
      </c>
      <c r="BR151" s="528">
        <f t="shared" si="357"/>
        <v>0.96537361388719933</v>
      </c>
      <c r="BS151" s="528">
        <f t="shared" si="358"/>
        <v>1.1470691867872325</v>
      </c>
      <c r="BT151" s="528">
        <f t="shared" si="359"/>
        <v>1.1595174526769091E-4</v>
      </c>
      <c r="BU151" s="528">
        <f t="shared" si="360"/>
        <v>0.66612316765275303</v>
      </c>
      <c r="BV151" s="528"/>
      <c r="BW151" s="625">
        <f t="shared" si="469"/>
        <v>1.0285520943338801E-2</v>
      </c>
      <c r="BX151" s="460">
        <f t="shared" si="362"/>
        <v>2788.9674410157913</v>
      </c>
      <c r="BY151" s="173">
        <f t="shared" si="363"/>
        <v>6.5380046928882791</v>
      </c>
      <c r="BZ151" s="5">
        <f t="shared" si="364"/>
        <v>62.319999999999993</v>
      </c>
      <c r="CA151" s="173">
        <f t="shared" si="365"/>
        <v>0.90505091278714422</v>
      </c>
      <c r="CB151" s="5">
        <f t="shared" si="366"/>
        <v>90.505091278714417</v>
      </c>
      <c r="CC151">
        <f t="shared" si="367"/>
        <v>41</v>
      </c>
      <c r="CE151" s="562">
        <f t="shared" si="470"/>
        <v>-50</v>
      </c>
      <c r="CF151">
        <f t="shared" si="471"/>
        <v>-50</v>
      </c>
      <c r="CG151" s="173">
        <f t="shared" si="370"/>
        <v>0.54755043227665712</v>
      </c>
      <c r="CH151" s="173">
        <f t="shared" si="472"/>
        <v>6.4398811101315859E-2</v>
      </c>
      <c r="CI151" s="170">
        <v>41</v>
      </c>
      <c r="CJ151" s="217">
        <f t="shared" si="438"/>
        <v>4.0999999999999996</v>
      </c>
      <c r="CK151" s="217">
        <f t="shared" si="372"/>
        <v>0.10249999999999999</v>
      </c>
      <c r="CL151" s="217">
        <f t="shared" si="373"/>
        <v>61.499999999999993</v>
      </c>
      <c r="CM151" s="217">
        <f t="shared" si="374"/>
        <v>0.82</v>
      </c>
      <c r="CN151" s="541">
        <f t="shared" si="375"/>
        <v>19</v>
      </c>
      <c r="CO151" s="443">
        <f t="shared" si="473"/>
        <v>15.7</v>
      </c>
      <c r="CP151" s="443">
        <f t="shared" si="474"/>
        <v>34.700000000000003</v>
      </c>
      <c r="CQ151" s="443"/>
      <c r="CR151" s="217">
        <f t="shared" si="378"/>
        <v>0.44767441860465118</v>
      </c>
      <c r="CS151" s="172">
        <f t="shared" si="379"/>
        <v>209.84738372093025</v>
      </c>
      <c r="CT151" s="172">
        <f t="shared" si="380"/>
        <v>2.835271317829458</v>
      </c>
      <c r="CU151" s="217">
        <f t="shared" si="381"/>
        <v>13.989825581395349</v>
      </c>
      <c r="CV151" s="217">
        <f t="shared" si="382"/>
        <v>26.230922965116282</v>
      </c>
      <c r="CW151" s="217">
        <f t="shared" si="383"/>
        <v>15</v>
      </c>
      <c r="CX151" s="217">
        <f t="shared" si="384"/>
        <v>14.653506493506491</v>
      </c>
      <c r="CY151" s="217">
        <f t="shared" si="385"/>
        <v>9.2548462064251513</v>
      </c>
      <c r="CZ151" s="217">
        <f t="shared" si="386"/>
        <v>11.200132351724708</v>
      </c>
      <c r="DA151" s="197">
        <f t="shared" si="387"/>
        <v>71.63784822286263</v>
      </c>
      <c r="DB151" s="443">
        <f t="shared" si="388"/>
        <v>48.887853739722978</v>
      </c>
      <c r="DD151" s="217">
        <f t="shared" si="389"/>
        <v>10.000000000000002</v>
      </c>
      <c r="DE151" s="173">
        <f t="shared" si="390"/>
        <v>7.6433121019108299</v>
      </c>
      <c r="DF151" s="173">
        <f t="shared" si="391"/>
        <v>2.7017291066282429</v>
      </c>
      <c r="DG151" s="173"/>
      <c r="DH151" s="173">
        <f t="shared" si="392"/>
        <v>7.6433121019108281</v>
      </c>
      <c r="DI151" s="545">
        <f t="shared" si="393"/>
        <v>107.28333333333333</v>
      </c>
      <c r="DJ151" s="528">
        <f t="shared" si="394"/>
        <v>2.7377521613832849</v>
      </c>
      <c r="DL151" s="173">
        <f t="shared" si="395"/>
        <v>5.4475857474839691</v>
      </c>
      <c r="DM151" s="173">
        <f t="shared" si="396"/>
        <v>14.653506493506491</v>
      </c>
      <c r="DN151" s="173">
        <f t="shared" si="397"/>
        <v>4.6470418470418453</v>
      </c>
      <c r="DP151" s="545">
        <f t="shared" si="398"/>
        <v>4100</v>
      </c>
      <c r="DQ151" s="460">
        <f t="shared" si="399"/>
        <v>48.887853739722978</v>
      </c>
      <c r="DS151" s="460">
        <f t="shared" si="400"/>
        <v>4100</v>
      </c>
      <c r="DT151" s="460">
        <f t="shared" si="401"/>
        <v>48.887853739722978</v>
      </c>
      <c r="DV151" s="5">
        <f t="shared" si="402"/>
        <v>20.454978558149861</v>
      </c>
      <c r="DW151" s="5">
        <f t="shared" si="403"/>
        <v>9.2548462064251513</v>
      </c>
      <c r="DX151" s="5">
        <f t="shared" si="404"/>
        <v>11.20013235172471</v>
      </c>
      <c r="DY151" s="173">
        <f t="shared" si="405"/>
        <v>0.45244956772334283</v>
      </c>
      <c r="EA151" s="5">
        <f t="shared" si="406"/>
        <v>252.96579630895411</v>
      </c>
      <c r="EB151" s="5">
        <f t="shared" si="407"/>
        <v>11.857771701982223</v>
      </c>
      <c r="EC151" s="5">
        <f t="shared" si="408"/>
        <v>12.501055165718139</v>
      </c>
      <c r="ED151" s="5"/>
      <c r="EE151" s="173">
        <f t="shared" si="409"/>
        <v>5.6907043412306049</v>
      </c>
      <c r="EF151" s="173">
        <f t="shared" si="410"/>
        <v>6.2602690266296159</v>
      </c>
      <c r="EG151" s="173">
        <f t="shared" si="411"/>
        <v>0.1541744685773882</v>
      </c>
      <c r="EH151" s="173"/>
      <c r="EI151" s="528">
        <f t="shared" si="412"/>
        <v>0.64768231798601705</v>
      </c>
      <c r="EJ151" s="528">
        <f t="shared" si="413"/>
        <v>0.49716666666666665</v>
      </c>
      <c r="EK151" s="528">
        <f t="shared" si="414"/>
        <v>6.1109817174653715E-3</v>
      </c>
      <c r="EL151" s="528">
        <f t="shared" si="415"/>
        <v>5.8865375809463057E-3</v>
      </c>
      <c r="EM151">
        <f t="shared" si="416"/>
        <v>8.5500000000000003E-3</v>
      </c>
      <c r="EN151" s="460">
        <f t="shared" si="417"/>
        <v>14.660981717465372</v>
      </c>
      <c r="EP151" s="460">
        <f t="shared" si="439"/>
        <v>1165.3965039510954</v>
      </c>
      <c r="EQ151" s="173">
        <f t="shared" si="418"/>
        <v>2.8699999999999997</v>
      </c>
      <c r="ER151" s="173">
        <f t="shared" si="475"/>
        <v>4.5484374999999994E-2</v>
      </c>
      <c r="ES151" s="528"/>
      <c r="EU151" s="460">
        <f t="shared" si="420"/>
        <v>2915.4843749999995</v>
      </c>
      <c r="EV151" s="528">
        <f t="shared" si="421"/>
        <v>0.97152347697902552</v>
      </c>
      <c r="EW151" s="528">
        <f t="shared" si="422"/>
        <v>1.1757290485733436</v>
      </c>
      <c r="EX151" s="528">
        <f t="shared" si="423"/>
        <v>1.188488338056003E-4</v>
      </c>
      <c r="EY151" s="528">
        <f t="shared" si="424"/>
        <v>0.68679375210278926</v>
      </c>
      <c r="EZ151" s="528"/>
      <c r="FA151" s="625">
        <f t="shared" si="425"/>
        <v>1.04974567411455E-2</v>
      </c>
      <c r="FB151" s="460">
        <f t="shared" si="426"/>
        <v>2844.6625832301092</v>
      </c>
      <c r="FC151" s="173">
        <f t="shared" si="427"/>
        <v>6.9255434621812038</v>
      </c>
      <c r="FD151" s="5">
        <f t="shared" si="428"/>
        <v>62.319999999999993</v>
      </c>
      <c r="FE151" s="173">
        <f t="shared" si="429"/>
        <v>0.899985715817746</v>
      </c>
      <c r="FF151" s="5">
        <f t="shared" si="430"/>
        <v>89.998571581774598</v>
      </c>
      <c r="FG151">
        <f t="shared" si="431"/>
        <v>41</v>
      </c>
      <c r="FI151" s="562">
        <f t="shared" si="432"/>
        <v>-50</v>
      </c>
      <c r="FJ151">
        <f t="shared" si="433"/>
        <v>-50</v>
      </c>
    </row>
    <row r="152" spans="5:166">
      <c r="E152" s="170">
        <v>42</v>
      </c>
      <c r="F152" s="217">
        <f t="shared" si="476"/>
        <v>4.2</v>
      </c>
      <c r="G152" s="217">
        <f t="shared" si="444"/>
        <v>0.105</v>
      </c>
      <c r="H152" s="217">
        <f t="shared" si="445"/>
        <v>63</v>
      </c>
      <c r="I152" s="217">
        <f t="shared" si="446"/>
        <v>0.84</v>
      </c>
      <c r="J152" s="541">
        <f t="shared" si="447"/>
        <v>18.572336895979664</v>
      </c>
      <c r="K152" s="443">
        <f t="shared" si="448"/>
        <v>15.930115789473684</v>
      </c>
      <c r="L152" s="172">
        <f t="shared" si="449"/>
        <v>34.502452685453349</v>
      </c>
      <c r="M152" s="443"/>
      <c r="N152" s="217">
        <f t="shared" si="450"/>
        <v>0.46170966263479618</v>
      </c>
      <c r="O152" s="172">
        <f t="shared" si="451"/>
        <v>211.55495236634579</v>
      </c>
      <c r="P152" s="172">
        <f t="shared" si="452"/>
        <v>2.8583424675275166</v>
      </c>
      <c r="Q152" s="217">
        <f t="shared" si="322"/>
        <v>14.103663491089719</v>
      </c>
      <c r="R152" s="217">
        <f t="shared" si="453"/>
        <v>26.444369045793223</v>
      </c>
      <c r="S152" s="217">
        <f t="shared" si="454"/>
        <v>15</v>
      </c>
      <c r="T152" s="217">
        <f t="shared" si="455"/>
        <v>14.88974833614485</v>
      </c>
      <c r="U152" s="217">
        <f t="shared" si="326"/>
        <v>9.6205976143161731</v>
      </c>
      <c r="V152" s="217">
        <f t="shared" si="327"/>
        <v>11.216301400131977</v>
      </c>
      <c r="W152" s="197">
        <f t="shared" si="328"/>
        <v>71.458561688187913</v>
      </c>
      <c r="X152" s="443">
        <f t="shared" si="435"/>
        <v>47.535523144984424</v>
      </c>
      <c r="Z152" s="217">
        <f t="shared" si="329"/>
        <v>10</v>
      </c>
      <c r="AA152" s="173">
        <f t="shared" si="330"/>
        <v>7.5329019315285652</v>
      </c>
      <c r="AB152" s="173">
        <f t="shared" si="456"/>
        <v>2.6560378488414664</v>
      </c>
      <c r="AC152" s="173"/>
      <c r="AD152" s="173">
        <f t="shared" si="332"/>
        <v>7.5329019315285652</v>
      </c>
      <c r="AE152" s="545">
        <f t="shared" si="457"/>
        <v>111.51081052631579</v>
      </c>
      <c r="AF152" s="528">
        <f t="shared" si="458"/>
        <v>2.6914516868260194</v>
      </c>
      <c r="AH152" s="173">
        <f t="shared" si="459"/>
        <v>5.5136195008360884</v>
      </c>
      <c r="AI152" s="173">
        <f t="shared" si="460"/>
        <v>14.88974833614485</v>
      </c>
      <c r="AJ152" s="173">
        <f t="shared" si="461"/>
        <v>4.8220358045517404</v>
      </c>
      <c r="AL152" s="545">
        <f t="shared" si="462"/>
        <v>4200</v>
      </c>
      <c r="AM152" s="460">
        <f t="shared" si="463"/>
        <v>47.535523144984424</v>
      </c>
      <c r="AO152" s="460">
        <f t="shared" si="340"/>
        <v>4200</v>
      </c>
      <c r="AP152" s="460">
        <f t="shared" si="341"/>
        <v>47.535523144984424</v>
      </c>
      <c r="AR152" s="5">
        <f t="shared" si="443"/>
        <v>21.036899014448149</v>
      </c>
      <c r="AS152" s="5">
        <f t="shared" si="440"/>
        <v>9.6205976143161731</v>
      </c>
      <c r="AT152" s="5">
        <f t="shared" si="441"/>
        <v>11.416301400131976</v>
      </c>
      <c r="AU152" s="173">
        <f t="shared" si="442"/>
        <v>0.45732014056390835</v>
      </c>
      <c r="AW152" s="5">
        <f t="shared" si="342"/>
        <v>269.37673320085287</v>
      </c>
      <c r="AX152" s="5">
        <f t="shared" si="343"/>
        <v>12.627034368789976</v>
      </c>
      <c r="AY152" s="5">
        <f t="shared" si="344"/>
        <v>13.353694134873004</v>
      </c>
      <c r="AZ152" s="5"/>
      <c r="BA152" s="173">
        <f t="shared" si="345"/>
        <v>5.8134895245799969</v>
      </c>
      <c r="BB152" s="173">
        <f t="shared" si="346"/>
        <v>6.3328409674364483</v>
      </c>
      <c r="BC152" s="173">
        <f t="shared" si="347"/>
        <v>0.15596173049216039</v>
      </c>
      <c r="BD152" s="173"/>
      <c r="BE152" s="528">
        <f t="shared" si="348"/>
        <v>0.67593320904802723</v>
      </c>
      <c r="BF152" s="528">
        <f t="shared" si="464"/>
        <v>0.45788548473207136</v>
      </c>
      <c r="BG152" s="528">
        <f t="shared" si="465"/>
        <v>2.2071143759382236E-2</v>
      </c>
      <c r="BH152" s="528">
        <f t="shared" si="351"/>
        <v>5.658720139761886E-3</v>
      </c>
      <c r="BI152">
        <f t="shared" si="352"/>
        <v>8.3575516031908492E-3</v>
      </c>
      <c r="BJ152" s="460">
        <f t="shared" si="436"/>
        <v>30.428695362573084</v>
      </c>
      <c r="BK152">
        <f t="shared" si="466"/>
        <v>1.5749131590451571</v>
      </c>
      <c r="BL152" s="460">
        <f t="shared" si="437"/>
        <v>1169.9061092824334</v>
      </c>
      <c r="BM152" s="173">
        <f t="shared" si="467"/>
        <v>2.6092499999999998</v>
      </c>
      <c r="BN152" s="173">
        <f t="shared" si="468"/>
        <v>6.5231249999999991E-2</v>
      </c>
      <c r="BO152" s="528"/>
      <c r="BQ152" s="460">
        <f t="shared" si="356"/>
        <v>2674.4812499999998</v>
      </c>
      <c r="BR152" s="528">
        <f t="shared" si="357"/>
        <v>1.0138998135720407</v>
      </c>
      <c r="BS152" s="528">
        <f t="shared" si="358"/>
        <v>1.2031462415652423</v>
      </c>
      <c r="BT152" s="528">
        <f t="shared" si="359"/>
        <v>1.2162030689054636E-4</v>
      </c>
      <c r="BU152" s="528">
        <f t="shared" si="360"/>
        <v>0.66639862535550975</v>
      </c>
      <c r="BV152" s="528"/>
      <c r="BW152" s="625">
        <f t="shared" si="469"/>
        <v>1.0538844406747475E-2</v>
      </c>
      <c r="BX152" s="460">
        <f t="shared" si="362"/>
        <v>2894.1051452064307</v>
      </c>
      <c r="BY152" s="173">
        <f t="shared" si="363"/>
        <v>6.7384925044888648</v>
      </c>
      <c r="BZ152" s="5">
        <f t="shared" si="364"/>
        <v>63.84</v>
      </c>
      <c r="CA152" s="173">
        <f t="shared" si="365"/>
        <v>0.90452484509979747</v>
      </c>
      <c r="CB152" s="5">
        <f t="shared" si="366"/>
        <v>90.45248450997974</v>
      </c>
      <c r="CC152">
        <f t="shared" si="367"/>
        <v>42.000000000000007</v>
      </c>
      <c r="CE152" s="562">
        <f t="shared" si="470"/>
        <v>-50</v>
      </c>
      <c r="CF152">
        <f t="shared" si="471"/>
        <v>-50</v>
      </c>
      <c r="CG152" s="173">
        <f t="shared" si="370"/>
        <v>0.54755043227665712</v>
      </c>
      <c r="CH152" s="173">
        <f t="shared" si="472"/>
        <v>6.4398811101315845E-2</v>
      </c>
      <c r="CI152" s="170">
        <v>42</v>
      </c>
      <c r="CJ152" s="217">
        <f t="shared" si="438"/>
        <v>4.2</v>
      </c>
      <c r="CK152" s="217">
        <f t="shared" si="372"/>
        <v>0.105</v>
      </c>
      <c r="CL152" s="217">
        <f t="shared" si="373"/>
        <v>63</v>
      </c>
      <c r="CM152" s="217">
        <f t="shared" si="374"/>
        <v>0.84</v>
      </c>
      <c r="CN152" s="541">
        <f t="shared" si="375"/>
        <v>19</v>
      </c>
      <c r="CO152" s="443">
        <f t="shared" si="473"/>
        <v>15.7</v>
      </c>
      <c r="CP152" s="443">
        <f t="shared" si="474"/>
        <v>34.700000000000003</v>
      </c>
      <c r="CQ152" s="443"/>
      <c r="CR152" s="217">
        <f t="shared" si="378"/>
        <v>0.44767441860465118</v>
      </c>
      <c r="CS152" s="172">
        <f t="shared" si="379"/>
        <v>209.84738372093025</v>
      </c>
      <c r="CT152" s="172">
        <f t="shared" si="380"/>
        <v>2.835271317829458</v>
      </c>
      <c r="CU152" s="217">
        <f t="shared" si="381"/>
        <v>13.989825581395349</v>
      </c>
      <c r="CV152" s="217">
        <f t="shared" si="382"/>
        <v>26.230922965116282</v>
      </c>
      <c r="CW152" s="217">
        <f t="shared" si="383"/>
        <v>15</v>
      </c>
      <c r="CX152" s="217">
        <f t="shared" si="384"/>
        <v>15.010909090909092</v>
      </c>
      <c r="CY152" s="217">
        <f t="shared" si="385"/>
        <v>9.4805741626794262</v>
      </c>
      <c r="CZ152" s="217">
        <f t="shared" si="386"/>
        <v>11.473306311522874</v>
      </c>
      <c r="DA152" s="197">
        <f t="shared" si="387"/>
        <v>71.63784822286263</v>
      </c>
      <c r="DB152" s="443">
        <f t="shared" si="388"/>
        <v>47.723857222110517</v>
      </c>
      <c r="DD152" s="217">
        <f t="shared" si="389"/>
        <v>10.000000000000002</v>
      </c>
      <c r="DE152" s="173">
        <f t="shared" si="390"/>
        <v>7.6433121019108299</v>
      </c>
      <c r="DF152" s="173">
        <f t="shared" si="391"/>
        <v>2.7017291066282429</v>
      </c>
      <c r="DG152" s="173"/>
      <c r="DH152" s="173">
        <f t="shared" si="392"/>
        <v>7.6433121019108281</v>
      </c>
      <c r="DI152" s="545">
        <f t="shared" si="393"/>
        <v>109.90000000000002</v>
      </c>
      <c r="DJ152" s="528">
        <f t="shared" si="394"/>
        <v>2.7377521613832849</v>
      </c>
      <c r="DL152" s="173">
        <f t="shared" si="395"/>
        <v>5.5136195008360884</v>
      </c>
      <c r="DM152" s="173">
        <f t="shared" si="396"/>
        <v>15.010909090909092</v>
      </c>
      <c r="DN152" s="173">
        <f t="shared" si="397"/>
        <v>4.9117845117845125</v>
      </c>
      <c r="DP152" s="545">
        <f t="shared" si="398"/>
        <v>4200</v>
      </c>
      <c r="DQ152" s="460">
        <f t="shared" si="399"/>
        <v>47.723857222110517</v>
      </c>
      <c r="DS152" s="460">
        <f t="shared" si="400"/>
        <v>4200</v>
      </c>
      <c r="DT152" s="460">
        <f t="shared" si="401"/>
        <v>47.723857222110517</v>
      </c>
      <c r="DV152" s="5">
        <f t="shared" si="402"/>
        <v>20.9538804742023</v>
      </c>
      <c r="DW152" s="5">
        <f t="shared" si="403"/>
        <v>9.4805741626794262</v>
      </c>
      <c r="DX152" s="5">
        <f t="shared" si="404"/>
        <v>11.473306311522874</v>
      </c>
      <c r="DY152" s="173">
        <f t="shared" si="405"/>
        <v>0.45244956772334288</v>
      </c>
      <c r="EA152" s="5">
        <f t="shared" si="406"/>
        <v>265.45607655502397</v>
      </c>
      <c r="EB152" s="5">
        <f t="shared" si="407"/>
        <v>12.443253588516747</v>
      </c>
      <c r="EC152" s="5">
        <f t="shared" si="408"/>
        <v>13.118299412449019</v>
      </c>
      <c r="ED152" s="5"/>
      <c r="EE152" s="173">
        <f t="shared" si="409"/>
        <v>5.8295020080898894</v>
      </c>
      <c r="EF152" s="173">
        <f t="shared" si="410"/>
        <v>6.4129585150839983</v>
      </c>
      <c r="EG152" s="173">
        <f t="shared" si="411"/>
        <v>0.15793482146951965</v>
      </c>
      <c r="EH152" s="173"/>
      <c r="EI152" s="528">
        <f t="shared" si="412"/>
        <v>0.67966187324648109</v>
      </c>
      <c r="EJ152" s="528">
        <f t="shared" si="413"/>
        <v>0.49716666666666665</v>
      </c>
      <c r="EK152" s="528">
        <f t="shared" si="414"/>
        <v>5.965482152763814E-3</v>
      </c>
      <c r="EL152" s="528">
        <f t="shared" si="415"/>
        <v>5.7463819242571067E-3</v>
      </c>
      <c r="EM152">
        <f t="shared" si="416"/>
        <v>8.5500000000000003E-3</v>
      </c>
      <c r="EN152" s="460">
        <f t="shared" si="417"/>
        <v>14.515482152763814</v>
      </c>
      <c r="EP152" s="460">
        <f t="shared" si="439"/>
        <v>1197.0904039901686</v>
      </c>
      <c r="EQ152" s="173">
        <f t="shared" si="418"/>
        <v>2.94</v>
      </c>
      <c r="ER152" s="173">
        <f t="shared" si="475"/>
        <v>4.6593749999999996E-2</v>
      </c>
      <c r="ES152" s="528"/>
      <c r="EU152" s="460">
        <f t="shared" si="420"/>
        <v>2986.59375</v>
      </c>
      <c r="EV152" s="528">
        <f t="shared" si="421"/>
        <v>1.0194928098697216</v>
      </c>
      <c r="EW152" s="528">
        <f t="shared" si="422"/>
        <v>1.2337811074856508</v>
      </c>
      <c r="EX152" s="528">
        <f t="shared" si="423"/>
        <v>1.2471703916304522E-4</v>
      </c>
      <c r="EY152" s="528">
        <f t="shared" si="424"/>
        <v>0.68679375210278804</v>
      </c>
      <c r="EZ152" s="528"/>
      <c r="FA152" s="625">
        <f t="shared" si="425"/>
        <v>1.0753492271417345E-2</v>
      </c>
      <c r="FB152" s="460">
        <f t="shared" si="426"/>
        <v>2950.9458787687408</v>
      </c>
      <c r="FC152" s="173">
        <f t="shared" si="427"/>
        <v>7.1346300327589098</v>
      </c>
      <c r="FD152" s="5">
        <f t="shared" si="428"/>
        <v>63.84</v>
      </c>
      <c r="FE152" s="173">
        <f t="shared" si="429"/>
        <v>0.89947633359320278</v>
      </c>
      <c r="FF152" s="5">
        <f t="shared" si="430"/>
        <v>89.947633359320278</v>
      </c>
      <c r="FG152">
        <f t="shared" si="431"/>
        <v>42.000000000000007</v>
      </c>
      <c r="FI152" s="562">
        <f t="shared" si="432"/>
        <v>-50</v>
      </c>
      <c r="FJ152">
        <f t="shared" si="433"/>
        <v>-50</v>
      </c>
    </row>
    <row r="153" spans="5:166">
      <c r="E153" s="170">
        <v>43</v>
      </c>
      <c r="F153" s="217">
        <f t="shared" si="476"/>
        <v>4.3</v>
      </c>
      <c r="G153" s="217">
        <f t="shared" si="444"/>
        <v>0.1075</v>
      </c>
      <c r="H153" s="217">
        <f t="shared" si="445"/>
        <v>64.5</v>
      </c>
      <c r="I153" s="217">
        <f t="shared" si="446"/>
        <v>0.86</v>
      </c>
      <c r="J153" s="541">
        <f t="shared" si="447"/>
        <v>18.562154441122036</v>
      </c>
      <c r="K153" s="443">
        <f t="shared" si="448"/>
        <v>15.935594736842104</v>
      </c>
      <c r="L153" s="172">
        <f t="shared" si="449"/>
        <v>34.497749177964138</v>
      </c>
      <c r="M153" s="443"/>
      <c r="N153" s="217">
        <f t="shared" si="450"/>
        <v>0.46193143368962636</v>
      </c>
      <c r="O153" s="172">
        <f t="shared" si="451"/>
        <v>211.54052500055346</v>
      </c>
      <c r="P153" s="172">
        <f t="shared" si="452"/>
        <v>2.8581475377852557</v>
      </c>
      <c r="Q153" s="217">
        <f t="shared" si="322"/>
        <v>14.102701666703563</v>
      </c>
      <c r="R153" s="217">
        <f t="shared" si="453"/>
        <v>26.442565625069182</v>
      </c>
      <c r="S153" s="217">
        <f t="shared" si="454"/>
        <v>15</v>
      </c>
      <c r="T153" s="217">
        <f t="shared" si="455"/>
        <v>15.245305834385928</v>
      </c>
      <c r="U153" s="217">
        <f t="shared" si="326"/>
        <v>9.8557347204989973</v>
      </c>
      <c r="V153" s="217">
        <f t="shared" si="327"/>
        <v>11.480190920623549</v>
      </c>
      <c r="W153" s="197">
        <f t="shared" si="328"/>
        <v>71.453688444631396</v>
      </c>
      <c r="X153" s="443">
        <f t="shared" si="435"/>
        <v>46.434038483607793</v>
      </c>
      <c r="Z153" s="217">
        <f t="shared" si="329"/>
        <v>10</v>
      </c>
      <c r="AA153" s="173">
        <f t="shared" si="330"/>
        <v>7.5303119828071097</v>
      </c>
      <c r="AB153" s="173">
        <f t="shared" si="456"/>
        <v>2.6549435837682909</v>
      </c>
      <c r="AC153" s="173"/>
      <c r="AD153" s="173">
        <f t="shared" si="332"/>
        <v>7.5303119828071097</v>
      </c>
      <c r="AE153" s="545">
        <f t="shared" si="457"/>
        <v>114.20509561403506</v>
      </c>
      <c r="AF153" s="528">
        <f t="shared" si="458"/>
        <v>2.6903428315518685</v>
      </c>
      <c r="AH153" s="173">
        <f t="shared" si="459"/>
        <v>5.5788717070577567</v>
      </c>
      <c r="AI153" s="173">
        <f t="shared" si="460"/>
        <v>15.245305834385928</v>
      </c>
      <c r="AJ153" s="173">
        <f t="shared" si="461"/>
        <v>5.0854117291747611</v>
      </c>
      <c r="AL153" s="545">
        <f t="shared" si="462"/>
        <v>4300</v>
      </c>
      <c r="AM153" s="460">
        <f t="shared" si="463"/>
        <v>46.434038483607793</v>
      </c>
      <c r="AO153" s="460">
        <f t="shared" si="340"/>
        <v>4300</v>
      </c>
      <c r="AP153" s="460">
        <f t="shared" si="341"/>
        <v>46.434038483607793</v>
      </c>
      <c r="AR153" s="5">
        <f t="shared" si="443"/>
        <v>21.535925641122542</v>
      </c>
      <c r="AS153" s="5">
        <f t="shared" si="440"/>
        <v>9.8557347204989973</v>
      </c>
      <c r="AT153" s="5">
        <f t="shared" si="441"/>
        <v>11.680190920623545</v>
      </c>
      <c r="AU153" s="173">
        <f t="shared" si="442"/>
        <v>0.45764156529587996</v>
      </c>
      <c r="AW153" s="5">
        <f t="shared" si="342"/>
        <v>282.53106198763794</v>
      </c>
      <c r="AX153" s="5">
        <f t="shared" si="343"/>
        <v>13.243643530670527</v>
      </c>
      <c r="AY153" s="5">
        <f t="shared" si="344"/>
        <v>13.995334297365684</v>
      </c>
      <c r="AZ153" s="5"/>
      <c r="BA153" s="173">
        <f t="shared" si="345"/>
        <v>5.954403276335678</v>
      </c>
      <c r="BB153" s="173">
        <f t="shared" si="346"/>
        <v>6.4821445744509187</v>
      </c>
      <c r="BC153" s="173">
        <f t="shared" si="347"/>
        <v>0.159638697755105</v>
      </c>
      <c r="BD153" s="173"/>
      <c r="BE153" s="528">
        <f t="shared" si="348"/>
        <v>0.7090983675447412</v>
      </c>
      <c r="BF153" s="528">
        <f t="shared" si="464"/>
        <v>0.45789366009280008</v>
      </c>
      <c r="BG153" s="528">
        <f t="shared" si="465"/>
        <v>2.1547894841443295E-2</v>
      </c>
      <c r="BH153" s="528">
        <f t="shared" si="351"/>
        <v>5.5260903022123021E-3</v>
      </c>
      <c r="BI153">
        <f t="shared" si="352"/>
        <v>8.3529694985049162E-3</v>
      </c>
      <c r="BJ153" s="460">
        <f t="shared" si="436"/>
        <v>29.90086433994821</v>
      </c>
      <c r="BK153">
        <f t="shared" si="466"/>
        <v>1.6403424861395002</v>
      </c>
      <c r="BL153" s="460">
        <f t="shared" si="437"/>
        <v>1202.4189822797018</v>
      </c>
      <c r="BM153" s="173">
        <f t="shared" si="467"/>
        <v>2.6713749999999998</v>
      </c>
      <c r="BN153" s="173">
        <f t="shared" si="468"/>
        <v>6.6784374999999993E-2</v>
      </c>
      <c r="BO153" s="528"/>
      <c r="BQ153" s="460">
        <f t="shared" si="356"/>
        <v>2738.1593749999997</v>
      </c>
      <c r="BR153" s="528">
        <f t="shared" si="357"/>
        <v>1.0636475513171118</v>
      </c>
      <c r="BS153" s="528">
        <f t="shared" si="358"/>
        <v>1.2605459485225043</v>
      </c>
      <c r="BT153" s="528">
        <f t="shared" si="359"/>
        <v>1.2742256910472884E-4</v>
      </c>
      <c r="BU153" s="528">
        <f t="shared" si="360"/>
        <v>0.66665555086449368</v>
      </c>
      <c r="BV153" s="528"/>
      <c r="BW153" s="625">
        <f t="shared" si="469"/>
        <v>1.0792169041490383E-2</v>
      </c>
      <c r="BX153" s="460">
        <f t="shared" si="362"/>
        <v>3001.7686423147047</v>
      </c>
      <c r="BY153" s="173">
        <f t="shared" si="363"/>
        <v>6.9423469995944078</v>
      </c>
      <c r="BZ153" s="5">
        <f t="shared" si="364"/>
        <v>65.36</v>
      </c>
      <c r="CA153" s="173">
        <f t="shared" si="365"/>
        <v>0.90398171998990084</v>
      </c>
      <c r="CB153" s="5">
        <f t="shared" si="366"/>
        <v>90.39817199899008</v>
      </c>
      <c r="CC153">
        <f t="shared" si="367"/>
        <v>43</v>
      </c>
      <c r="CE153" s="562">
        <f t="shared" si="470"/>
        <v>-50</v>
      </c>
      <c r="CF153">
        <f t="shared" si="471"/>
        <v>-50</v>
      </c>
      <c r="CG153" s="173">
        <f t="shared" si="370"/>
        <v>0.54755043227665712</v>
      </c>
      <c r="CH153" s="173">
        <f t="shared" si="472"/>
        <v>6.4398811101315845E-2</v>
      </c>
      <c r="CI153" s="170">
        <v>43</v>
      </c>
      <c r="CJ153" s="217">
        <f t="shared" si="438"/>
        <v>4.3</v>
      </c>
      <c r="CK153" s="217">
        <f t="shared" si="372"/>
        <v>0.1075</v>
      </c>
      <c r="CL153" s="217">
        <f t="shared" si="373"/>
        <v>64.5</v>
      </c>
      <c r="CM153" s="217">
        <f t="shared" si="374"/>
        <v>0.86</v>
      </c>
      <c r="CN153" s="541">
        <f t="shared" si="375"/>
        <v>19</v>
      </c>
      <c r="CO153" s="443">
        <f t="shared" si="473"/>
        <v>15.7</v>
      </c>
      <c r="CP153" s="443">
        <f t="shared" si="474"/>
        <v>34.700000000000003</v>
      </c>
      <c r="CQ153" s="443"/>
      <c r="CR153" s="217">
        <f t="shared" si="378"/>
        <v>0.44767441860465118</v>
      </c>
      <c r="CS153" s="172">
        <f t="shared" si="379"/>
        <v>209.84738372093025</v>
      </c>
      <c r="CT153" s="172">
        <f t="shared" si="380"/>
        <v>2.835271317829458</v>
      </c>
      <c r="CU153" s="217">
        <f t="shared" si="381"/>
        <v>13.989825581395349</v>
      </c>
      <c r="CV153" s="217">
        <f t="shared" si="382"/>
        <v>26.230922965116282</v>
      </c>
      <c r="CW153" s="217">
        <f t="shared" si="383"/>
        <v>15</v>
      </c>
      <c r="CX153" s="217">
        <f t="shared" si="384"/>
        <v>15.368311688311687</v>
      </c>
      <c r="CY153" s="217">
        <f t="shared" si="385"/>
        <v>9.7063021189336958</v>
      </c>
      <c r="CZ153" s="217">
        <f t="shared" si="386"/>
        <v>11.746480271321035</v>
      </c>
      <c r="DA153" s="197">
        <f t="shared" si="387"/>
        <v>71.63784822286263</v>
      </c>
      <c r="DB153" s="443">
        <f t="shared" si="388"/>
        <v>46.614000077410282</v>
      </c>
      <c r="DD153" s="217">
        <f t="shared" si="389"/>
        <v>10.000000000000002</v>
      </c>
      <c r="DE153" s="173">
        <f t="shared" si="390"/>
        <v>7.6433121019108299</v>
      </c>
      <c r="DF153" s="173">
        <f t="shared" si="391"/>
        <v>2.7017291066282429</v>
      </c>
      <c r="DG153" s="173"/>
      <c r="DH153" s="173">
        <f t="shared" si="392"/>
        <v>7.6433121019108281</v>
      </c>
      <c r="DI153" s="545">
        <f t="shared" si="393"/>
        <v>112.51666666666667</v>
      </c>
      <c r="DJ153" s="528">
        <f t="shared" si="394"/>
        <v>2.7377521613832849</v>
      </c>
      <c r="DL153" s="173">
        <f t="shared" si="395"/>
        <v>5.5788717070577567</v>
      </c>
      <c r="DM153" s="173">
        <f t="shared" si="396"/>
        <v>15.368311688311687</v>
      </c>
      <c r="DN153" s="173">
        <f t="shared" si="397"/>
        <v>5.1765271765271761</v>
      </c>
      <c r="DP153" s="545">
        <f t="shared" si="398"/>
        <v>4300</v>
      </c>
      <c r="DQ153" s="460">
        <f t="shared" si="399"/>
        <v>46.614000077410282</v>
      </c>
      <c r="DS153" s="460">
        <f t="shared" si="400"/>
        <v>4300</v>
      </c>
      <c r="DT153" s="460">
        <f t="shared" si="401"/>
        <v>46.614000077410282</v>
      </c>
      <c r="DV153" s="5">
        <f t="shared" si="402"/>
        <v>21.452782390254733</v>
      </c>
      <c r="DW153" s="5">
        <f t="shared" si="403"/>
        <v>9.7063021189336958</v>
      </c>
      <c r="DX153" s="5">
        <f t="shared" si="404"/>
        <v>11.746480271321037</v>
      </c>
      <c r="DY153" s="173">
        <f t="shared" si="405"/>
        <v>0.45244956772334288</v>
      </c>
      <c r="EA153" s="5">
        <f t="shared" si="406"/>
        <v>278.24732740943261</v>
      </c>
      <c r="EB153" s="5">
        <f t="shared" si="407"/>
        <v>13.042843472317152</v>
      </c>
      <c r="EC153" s="5">
        <f t="shared" si="408"/>
        <v>13.75041701452281</v>
      </c>
      <c r="ED153" s="5"/>
      <c r="EE153" s="173">
        <f t="shared" si="409"/>
        <v>5.9682996749491712</v>
      </c>
      <c r="EF153" s="173">
        <f t="shared" si="410"/>
        <v>6.565648003538378</v>
      </c>
      <c r="EG153" s="173">
        <f t="shared" si="411"/>
        <v>0.16169517436165107</v>
      </c>
      <c r="EH153" s="173"/>
      <c r="EI153" s="528">
        <f t="shared" si="412"/>
        <v>0.71241202019996763</v>
      </c>
      <c r="EJ153" s="528">
        <f t="shared" si="413"/>
        <v>0.49716666666666665</v>
      </c>
      <c r="EK153" s="528">
        <f t="shared" si="414"/>
        <v>5.8267500096762844E-3</v>
      </c>
      <c r="EL153" s="528">
        <f t="shared" si="415"/>
        <v>5.6127451353208966E-3</v>
      </c>
      <c r="EM153">
        <f t="shared" si="416"/>
        <v>8.5500000000000003E-3</v>
      </c>
      <c r="EN153" s="460">
        <f t="shared" si="417"/>
        <v>14.376750009676284</v>
      </c>
      <c r="EP153" s="460">
        <f t="shared" si="439"/>
        <v>1229.5681820116315</v>
      </c>
      <c r="EQ153" s="173">
        <f t="shared" si="418"/>
        <v>3.01</v>
      </c>
      <c r="ER153" s="173">
        <f t="shared" si="475"/>
        <v>4.7703124999999999E-2</v>
      </c>
      <c r="ES153" s="528"/>
      <c r="EU153" s="460">
        <f t="shared" si="420"/>
        <v>3057.7031249999995</v>
      </c>
      <c r="EV153" s="528">
        <f t="shared" si="421"/>
        <v>1.0686180302999515</v>
      </c>
      <c r="EW153" s="528">
        <f t="shared" si="422"/>
        <v>1.2932320111910247</v>
      </c>
      <c r="EX153" s="528">
        <f t="shared" si="423"/>
        <v>1.307266470592237E-4</v>
      </c>
      <c r="EY153" s="528">
        <f t="shared" si="424"/>
        <v>0.68679375210278926</v>
      </c>
      <c r="EZ153" s="528"/>
      <c r="FA153" s="625">
        <f t="shared" si="425"/>
        <v>1.1009527801689185E-2</v>
      </c>
      <c r="FB153" s="460">
        <f t="shared" si="426"/>
        <v>3059.7840480425139</v>
      </c>
      <c r="FC153" s="173">
        <f t="shared" si="427"/>
        <v>7.3470553550541453</v>
      </c>
      <c r="FD153" s="5">
        <f t="shared" si="428"/>
        <v>65.36</v>
      </c>
      <c r="FE153" s="173">
        <f t="shared" si="429"/>
        <v>0.89894989806455672</v>
      </c>
      <c r="FF153" s="5">
        <f t="shared" si="430"/>
        <v>89.894989806455669</v>
      </c>
      <c r="FG153">
        <f t="shared" si="431"/>
        <v>43</v>
      </c>
      <c r="FI153" s="562">
        <f t="shared" si="432"/>
        <v>-50</v>
      </c>
      <c r="FJ153">
        <f t="shared" si="433"/>
        <v>-50</v>
      </c>
    </row>
    <row r="154" spans="5:166">
      <c r="E154" s="170">
        <v>44</v>
      </c>
      <c r="F154" s="217">
        <f t="shared" si="476"/>
        <v>4.4000000000000004</v>
      </c>
      <c r="G154" s="217">
        <f t="shared" si="444"/>
        <v>0.11</v>
      </c>
      <c r="H154" s="217">
        <f t="shared" si="445"/>
        <v>66</v>
      </c>
      <c r="I154" s="217">
        <f t="shared" si="446"/>
        <v>0.88</v>
      </c>
      <c r="J154" s="541">
        <f t="shared" si="447"/>
        <v>18.551971986264409</v>
      </c>
      <c r="K154" s="443">
        <f t="shared" si="448"/>
        <v>15.941073684210526</v>
      </c>
      <c r="L154" s="172">
        <f t="shared" si="449"/>
        <v>34.493045670474935</v>
      </c>
      <c r="M154" s="443"/>
      <c r="N154" s="217">
        <f t="shared" si="450"/>
        <v>0.46215326522631867</v>
      </c>
      <c r="O154" s="172">
        <f t="shared" si="451"/>
        <v>211.52601389406141</v>
      </c>
      <c r="P154" s="172">
        <f t="shared" si="452"/>
        <v>2.8579514766130965</v>
      </c>
      <c r="Q154" s="217">
        <f t="shared" si="322"/>
        <v>14.101734259604093</v>
      </c>
      <c r="R154" s="217">
        <f t="shared" si="453"/>
        <v>26.440751736757676</v>
      </c>
      <c r="S154" s="217">
        <f t="shared" si="454"/>
        <v>15</v>
      </c>
      <c r="T154" s="217">
        <f t="shared" si="455"/>
        <v>15.600918011213217</v>
      </c>
      <c r="U154" s="217">
        <f t="shared" si="326"/>
        <v>10.091165309712991</v>
      </c>
      <c r="V154" s="217">
        <f t="shared" si="327"/>
        <v>11.743940203976928</v>
      </c>
      <c r="W154" s="197">
        <f t="shared" si="328"/>
        <v>71.448786915327403</v>
      </c>
      <c r="X154" s="443">
        <f t="shared" si="435"/>
        <v>45.382128956846721</v>
      </c>
      <c r="Z154" s="217">
        <f t="shared" si="329"/>
        <v>10</v>
      </c>
      <c r="AA154" s="173">
        <f t="shared" si="330"/>
        <v>7.5277238144165155</v>
      </c>
      <c r="AB154" s="173">
        <f t="shared" si="456"/>
        <v>2.6538490202648743</v>
      </c>
      <c r="AC154" s="173"/>
      <c r="AD154" s="173">
        <f t="shared" si="332"/>
        <v>7.5277238144165155</v>
      </c>
      <c r="AE154" s="545">
        <f t="shared" si="457"/>
        <v>116.90120701754385</v>
      </c>
      <c r="AF154" s="528">
        <f t="shared" si="458"/>
        <v>2.6892336738684066</v>
      </c>
      <c r="AH154" s="173">
        <f t="shared" si="459"/>
        <v>5.6433694764403866</v>
      </c>
      <c r="AI154" s="173">
        <f t="shared" si="460"/>
        <v>15.600918011213217</v>
      </c>
      <c r="AJ154" s="173">
        <f t="shared" si="461"/>
        <v>5.3488281564542355</v>
      </c>
      <c r="AL154" s="545">
        <f t="shared" si="462"/>
        <v>4400</v>
      </c>
      <c r="AM154" s="460">
        <f t="shared" si="463"/>
        <v>45.382128956846721</v>
      </c>
      <c r="AO154" s="460">
        <f t="shared" si="340"/>
        <v>4400</v>
      </c>
      <c r="AP154" s="460">
        <f t="shared" si="341"/>
        <v>45.382128956846721</v>
      </c>
      <c r="AR154" s="5">
        <f t="shared" si="443"/>
        <v>22.035105513689917</v>
      </c>
      <c r="AS154" s="5">
        <f t="shared" si="440"/>
        <v>10.091165309712991</v>
      </c>
      <c r="AT154" s="5">
        <f t="shared" si="441"/>
        <v>11.943940203976926</v>
      </c>
      <c r="AU154" s="173">
        <f t="shared" si="442"/>
        <v>0.45795856541025304</v>
      </c>
      <c r="AW154" s="5">
        <f t="shared" si="342"/>
        <v>296.00751575158108</v>
      </c>
      <c r="AX154" s="5">
        <f t="shared" si="343"/>
        <v>13.875352300855361</v>
      </c>
      <c r="AY154" s="5">
        <f t="shared" si="344"/>
        <v>14.652221599056443</v>
      </c>
      <c r="AZ154" s="5"/>
      <c r="BA154" s="173">
        <f t="shared" si="345"/>
        <v>6.0954057477865033</v>
      </c>
      <c r="BB154" s="173">
        <f t="shared" si="346"/>
        <v>6.6314083245856281</v>
      </c>
      <c r="BC154" s="173">
        <f t="shared" si="347"/>
        <v>0.16331468344469707</v>
      </c>
      <c r="BD154" s="173"/>
      <c r="BE154" s="528">
        <f t="shared" si="348"/>
        <v>0.74307942460297483</v>
      </c>
      <c r="BF154" s="528">
        <f t="shared" si="464"/>
        <v>0.4578970393922569</v>
      </c>
      <c r="BG154" s="528">
        <f t="shared" si="465"/>
        <v>2.1048199627111477E-2</v>
      </c>
      <c r="BH154" s="528">
        <f t="shared" si="351"/>
        <v>5.3994304628416324E-3</v>
      </c>
      <c r="BI154">
        <f t="shared" si="352"/>
        <v>8.3483873938189831E-3</v>
      </c>
      <c r="BJ154" s="460">
        <f t="shared" si="436"/>
        <v>29.396587020930461</v>
      </c>
      <c r="BK154">
        <f t="shared" si="466"/>
        <v>1.7086854448286466</v>
      </c>
      <c r="BL154" s="460">
        <f t="shared" si="437"/>
        <v>1235.7724814790038</v>
      </c>
      <c r="BM154" s="173">
        <f t="shared" si="467"/>
        <v>2.7334999999999998</v>
      </c>
      <c r="BN154" s="173">
        <f t="shared" si="468"/>
        <v>6.8337499999999995E-2</v>
      </c>
      <c r="BO154" s="528"/>
      <c r="BQ154" s="460">
        <f t="shared" si="356"/>
        <v>2801.8375000000001</v>
      </c>
      <c r="BR154" s="528">
        <f t="shared" si="357"/>
        <v>1.1146191369044622</v>
      </c>
      <c r="BS154" s="528">
        <f t="shared" si="358"/>
        <v>1.3192672910215069</v>
      </c>
      <c r="BT154" s="528">
        <f t="shared" si="359"/>
        <v>1.3335842914320806E-4</v>
      </c>
      <c r="BU154" s="528">
        <f t="shared" si="360"/>
        <v>0.66689514293131635</v>
      </c>
      <c r="BV154" s="528"/>
      <c r="BW154" s="625">
        <f t="shared" si="469"/>
        <v>1.1045494773845537E-2</v>
      </c>
      <c r="BX154" s="460">
        <f t="shared" si="362"/>
        <v>3111.9604240602744</v>
      </c>
      <c r="BY154" s="173">
        <f t="shared" si="363"/>
        <v>7.1495704055392766</v>
      </c>
      <c r="BZ154" s="5">
        <f t="shared" si="364"/>
        <v>66.88</v>
      </c>
      <c r="CA154" s="173">
        <f t="shared" si="365"/>
        <v>0.90342277597487841</v>
      </c>
      <c r="CB154" s="5">
        <f t="shared" si="366"/>
        <v>90.342277597487836</v>
      </c>
      <c r="CC154">
        <f t="shared" si="367"/>
        <v>44.000000000000007</v>
      </c>
      <c r="CE154" s="562">
        <f t="shared" si="470"/>
        <v>-50</v>
      </c>
      <c r="CF154">
        <f t="shared" si="471"/>
        <v>-50</v>
      </c>
      <c r="CG154" s="173">
        <f t="shared" si="370"/>
        <v>0.54755043227665712</v>
      </c>
      <c r="CH154" s="173">
        <f t="shared" si="472"/>
        <v>6.4398811101315859E-2</v>
      </c>
      <c r="CI154" s="170">
        <v>44</v>
      </c>
      <c r="CJ154" s="217">
        <f t="shared" si="438"/>
        <v>4.4000000000000004</v>
      </c>
      <c r="CK154" s="217">
        <f t="shared" si="372"/>
        <v>0.11</v>
      </c>
      <c r="CL154" s="217">
        <f t="shared" si="373"/>
        <v>66</v>
      </c>
      <c r="CM154" s="217">
        <f t="shared" si="374"/>
        <v>0.88</v>
      </c>
      <c r="CN154" s="541">
        <f t="shared" si="375"/>
        <v>19</v>
      </c>
      <c r="CO154" s="443">
        <f t="shared" si="473"/>
        <v>15.7</v>
      </c>
      <c r="CP154" s="443">
        <f t="shared" si="474"/>
        <v>34.700000000000003</v>
      </c>
      <c r="CQ154" s="443"/>
      <c r="CR154" s="217">
        <f t="shared" si="378"/>
        <v>0.44767441860465118</v>
      </c>
      <c r="CS154" s="172">
        <f t="shared" si="379"/>
        <v>209.84738372093025</v>
      </c>
      <c r="CT154" s="172">
        <f t="shared" si="380"/>
        <v>2.835271317829458</v>
      </c>
      <c r="CU154" s="217">
        <f t="shared" si="381"/>
        <v>13.989825581395349</v>
      </c>
      <c r="CV154" s="217">
        <f t="shared" si="382"/>
        <v>26.230922965116282</v>
      </c>
      <c r="CW154" s="217">
        <f t="shared" si="383"/>
        <v>15</v>
      </c>
      <c r="CX154" s="217">
        <f t="shared" si="384"/>
        <v>15.725714285714284</v>
      </c>
      <c r="CY154" s="217">
        <f t="shared" si="385"/>
        <v>9.9320300751879707</v>
      </c>
      <c r="CZ154" s="217">
        <f t="shared" si="386"/>
        <v>12.019654231119199</v>
      </c>
      <c r="DA154" s="197">
        <f t="shared" si="387"/>
        <v>71.63784822286263</v>
      </c>
      <c r="DB154" s="443">
        <f t="shared" si="388"/>
        <v>45.554590984741857</v>
      </c>
      <c r="DD154" s="217">
        <f t="shared" si="389"/>
        <v>10.000000000000002</v>
      </c>
      <c r="DE154" s="173">
        <f t="shared" si="390"/>
        <v>7.6433121019108299</v>
      </c>
      <c r="DF154" s="173">
        <f t="shared" si="391"/>
        <v>2.7017291066282429</v>
      </c>
      <c r="DG154" s="173"/>
      <c r="DH154" s="173">
        <f t="shared" si="392"/>
        <v>7.6433121019108281</v>
      </c>
      <c r="DI154" s="545">
        <f t="shared" si="393"/>
        <v>115.13333333333335</v>
      </c>
      <c r="DJ154" s="528">
        <f t="shared" si="394"/>
        <v>2.7377521613832849</v>
      </c>
      <c r="DL154" s="173">
        <f t="shared" si="395"/>
        <v>5.6433694764403866</v>
      </c>
      <c r="DM154" s="173">
        <f t="shared" si="396"/>
        <v>15.725714285714284</v>
      </c>
      <c r="DN154" s="173">
        <f t="shared" si="397"/>
        <v>5.4412698412698397</v>
      </c>
      <c r="DP154" s="545">
        <f t="shared" si="398"/>
        <v>4400</v>
      </c>
      <c r="DQ154" s="460">
        <f t="shared" si="399"/>
        <v>45.554590984741857</v>
      </c>
      <c r="DS154" s="460">
        <f t="shared" si="400"/>
        <v>4400</v>
      </c>
      <c r="DT154" s="460">
        <f t="shared" si="401"/>
        <v>45.554590984741857</v>
      </c>
      <c r="DV154" s="5">
        <f t="shared" si="402"/>
        <v>21.951684306307172</v>
      </c>
      <c r="DW154" s="5">
        <f t="shared" si="403"/>
        <v>9.9320300751879707</v>
      </c>
      <c r="DX154" s="5">
        <f t="shared" si="404"/>
        <v>12.019654231119201</v>
      </c>
      <c r="DY154" s="173">
        <f t="shared" si="405"/>
        <v>0.45244956772334294</v>
      </c>
      <c r="EA154" s="5">
        <f t="shared" si="406"/>
        <v>291.3395488721805</v>
      </c>
      <c r="EB154" s="5">
        <f t="shared" si="407"/>
        <v>13.656541353383458</v>
      </c>
      <c r="EC154" s="5">
        <f t="shared" si="408"/>
        <v>14.397407971939515</v>
      </c>
      <c r="ED154" s="5"/>
      <c r="EE154" s="173">
        <f t="shared" si="409"/>
        <v>6.1070973418084549</v>
      </c>
      <c r="EF154" s="173">
        <f t="shared" si="410"/>
        <v>6.7183374919927585</v>
      </c>
      <c r="EG154" s="173">
        <f t="shared" si="411"/>
        <v>0.16545552725378246</v>
      </c>
      <c r="EH154" s="173"/>
      <c r="EI154" s="528">
        <f t="shared" si="412"/>
        <v>0.74593275884647792</v>
      </c>
      <c r="EJ154" s="528">
        <f t="shared" si="413"/>
        <v>0.49716666666666665</v>
      </c>
      <c r="EK154" s="528">
        <f t="shared" si="414"/>
        <v>5.6943238730927321E-3</v>
      </c>
      <c r="EL154" s="528">
        <f t="shared" si="415"/>
        <v>5.4851827458817833E-3</v>
      </c>
      <c r="EM154">
        <f t="shared" si="416"/>
        <v>8.5500000000000003E-3</v>
      </c>
      <c r="EN154" s="460">
        <f t="shared" si="417"/>
        <v>14.244323873092734</v>
      </c>
      <c r="EP154" s="460">
        <f t="shared" si="439"/>
        <v>1262.828932132119</v>
      </c>
      <c r="EQ154" s="173">
        <f t="shared" si="418"/>
        <v>3.08</v>
      </c>
      <c r="ER154" s="173">
        <f t="shared" si="475"/>
        <v>4.8812499999999995E-2</v>
      </c>
      <c r="ES154" s="528"/>
      <c r="EU154" s="460">
        <f t="shared" si="420"/>
        <v>3128.8125</v>
      </c>
      <c r="EV154" s="528">
        <f t="shared" si="421"/>
        <v>1.1188991382697169</v>
      </c>
      <c r="EW154" s="528">
        <f t="shared" si="422"/>
        <v>1.3540817596894663</v>
      </c>
      <c r="EX154" s="528">
        <f t="shared" si="423"/>
        <v>1.3687765749413575E-4</v>
      </c>
      <c r="EY154" s="528">
        <f t="shared" si="424"/>
        <v>0.6867937521027887</v>
      </c>
      <c r="EZ154" s="528"/>
      <c r="FA154" s="625">
        <f t="shared" si="425"/>
        <v>1.1265563331961022E-2</v>
      </c>
      <c r="FB154" s="460">
        <f t="shared" si="426"/>
        <v>3171.1770910514269</v>
      </c>
      <c r="FC154" s="173">
        <f t="shared" si="427"/>
        <v>7.5628185231835463</v>
      </c>
      <c r="FD154" s="5">
        <f t="shared" si="428"/>
        <v>66.88</v>
      </c>
      <c r="FE154" s="173">
        <f t="shared" si="429"/>
        <v>0.89840768158411033</v>
      </c>
      <c r="FF154" s="5">
        <f t="shared" si="430"/>
        <v>89.840768158411038</v>
      </c>
      <c r="FG154">
        <f t="shared" si="431"/>
        <v>44.000000000000007</v>
      </c>
      <c r="FI154" s="562">
        <f t="shared" si="432"/>
        <v>-50</v>
      </c>
      <c r="FJ154">
        <f t="shared" si="433"/>
        <v>-50</v>
      </c>
    </row>
    <row r="155" spans="5:166">
      <c r="E155" s="170">
        <v>45</v>
      </c>
      <c r="F155" s="217">
        <f t="shared" si="476"/>
        <v>4.5</v>
      </c>
      <c r="G155" s="217">
        <f t="shared" si="444"/>
        <v>0.1125</v>
      </c>
      <c r="H155" s="217">
        <f t="shared" si="445"/>
        <v>67.5</v>
      </c>
      <c r="I155" s="217">
        <f t="shared" si="446"/>
        <v>0.9</v>
      </c>
      <c r="J155" s="541">
        <f t="shared" si="447"/>
        <v>18.541789531406781</v>
      </c>
      <c r="K155" s="443">
        <f t="shared" si="448"/>
        <v>15.946552631578946</v>
      </c>
      <c r="L155" s="172">
        <f t="shared" si="449"/>
        <v>34.488342162985731</v>
      </c>
      <c r="M155" s="443"/>
      <c r="N155" s="217">
        <f t="shared" si="450"/>
        <v>0.46237515726961864</v>
      </c>
      <c r="O155" s="172">
        <f t="shared" si="451"/>
        <v>211.51141901260803</v>
      </c>
      <c r="P155" s="172">
        <f t="shared" si="452"/>
        <v>2.8577542835481267</v>
      </c>
      <c r="Q155" s="217">
        <f t="shared" si="322"/>
        <v>14.100761267507202</v>
      </c>
      <c r="R155" s="217">
        <f t="shared" si="453"/>
        <v>26.438927376576004</v>
      </c>
      <c r="S155" s="217">
        <f t="shared" si="454"/>
        <v>15</v>
      </c>
      <c r="T155" s="217">
        <f t="shared" si="455"/>
        <v>15.95658530284277</v>
      </c>
      <c r="U155" s="217">
        <f t="shared" si="326"/>
        <v>10.326890147780981</v>
      </c>
      <c r="V155" s="217">
        <f t="shared" si="327"/>
        <v>12.007549722999531</v>
      </c>
      <c r="W155" s="197">
        <f t="shared" si="328"/>
        <v>71.443857088703155</v>
      </c>
      <c r="X155" s="443">
        <f t="shared" si="435"/>
        <v>44.37651904082422</v>
      </c>
      <c r="Z155" s="217">
        <f t="shared" si="329"/>
        <v>10</v>
      </c>
      <c r="AA155" s="173">
        <f t="shared" si="330"/>
        <v>7.5251374245217173</v>
      </c>
      <c r="AB155" s="173">
        <f t="shared" si="456"/>
        <v>2.6527541582091181</v>
      </c>
      <c r="AC155" s="173"/>
      <c r="AD155" s="173">
        <f t="shared" si="332"/>
        <v>7.5251374245217173</v>
      </c>
      <c r="AE155" s="545">
        <f t="shared" si="457"/>
        <v>119.59914473684209</v>
      </c>
      <c r="AF155" s="528">
        <f t="shared" si="458"/>
        <v>2.6881242136519066</v>
      </c>
      <c r="AH155" s="173">
        <f t="shared" si="459"/>
        <v>5.707138387268051</v>
      </c>
      <c r="AI155" s="173">
        <f t="shared" si="460"/>
        <v>15.95658530284277</v>
      </c>
      <c r="AJ155" s="173">
        <f t="shared" si="461"/>
        <v>5.6122854095131629</v>
      </c>
      <c r="AL155" s="545">
        <f t="shared" si="462"/>
        <v>4500</v>
      </c>
      <c r="AM155" s="460">
        <f t="shared" si="463"/>
        <v>44.37651904082422</v>
      </c>
      <c r="AO155" s="460">
        <f t="shared" si="340"/>
        <v>4500</v>
      </c>
      <c r="AP155" s="460">
        <f t="shared" si="341"/>
        <v>44.37651904082422</v>
      </c>
      <c r="AR155" s="5">
        <f t="shared" si="443"/>
        <v>22.534439870780513</v>
      </c>
      <c r="AS155" s="5">
        <f t="shared" si="440"/>
        <v>10.326890147780981</v>
      </c>
      <c r="AT155" s="5">
        <f t="shared" si="441"/>
        <v>12.207549722999532</v>
      </c>
      <c r="AU155" s="173">
        <f t="shared" si="442"/>
        <v>0.45827143727550279</v>
      </c>
      <c r="AW155" s="5">
        <f t="shared" si="342"/>
        <v>309.80670443342945</v>
      </c>
      <c r="AX155" s="5">
        <f t="shared" si="343"/>
        <v>14.522189270317005</v>
      </c>
      <c r="AY155" s="5">
        <f t="shared" si="344"/>
        <v>15.324370016782154</v>
      </c>
      <c r="AZ155" s="5"/>
      <c r="BA155" s="173">
        <f t="shared" si="345"/>
        <v>6.2364971153074666</v>
      </c>
      <c r="BB155" s="173">
        <f t="shared" si="346"/>
        <v>6.7806323628204188</v>
      </c>
      <c r="BC155" s="173">
        <f t="shared" si="347"/>
        <v>0.16698969113142051</v>
      </c>
      <c r="BD155" s="173"/>
      <c r="BE155" s="528">
        <f t="shared" si="348"/>
        <v>0.77787792538476708</v>
      </c>
      <c r="BF155" s="528">
        <f t="shared" si="464"/>
        <v>0.45789592799371326</v>
      </c>
      <c r="BG155" s="528">
        <f t="shared" si="465"/>
        <v>2.0570501904785706E-2</v>
      </c>
      <c r="BH155" s="528">
        <f t="shared" si="351"/>
        <v>5.2783461757728665E-3</v>
      </c>
      <c r="BI155">
        <f t="shared" si="352"/>
        <v>8.3438052891330518E-3</v>
      </c>
      <c r="BJ155" s="460">
        <f t="shared" si="436"/>
        <v>28.914307193918756</v>
      </c>
      <c r="BK155">
        <f t="shared" si="466"/>
        <v>1.7800804668179377</v>
      </c>
      <c r="BL155" s="460">
        <f t="shared" si="437"/>
        <v>1269.9665067481719</v>
      </c>
      <c r="BM155" s="173">
        <f t="shared" si="467"/>
        <v>2.7956249999999998</v>
      </c>
      <c r="BN155" s="173">
        <f t="shared" si="468"/>
        <v>6.9890624999999998E-2</v>
      </c>
      <c r="BO155" s="528"/>
      <c r="BQ155" s="460">
        <f t="shared" si="356"/>
        <v>2865.515625</v>
      </c>
      <c r="BR155" s="528">
        <f t="shared" si="357"/>
        <v>1.1668168880771506</v>
      </c>
      <c r="BS155" s="528">
        <f t="shared" si="358"/>
        <v>1.3793092571918284</v>
      </c>
      <c r="BT155" s="528">
        <f t="shared" si="359"/>
        <v>1.3942778472083613E-4</v>
      </c>
      <c r="BU155" s="528">
        <f t="shared" si="360"/>
        <v>0.66711849541932011</v>
      </c>
      <c r="BV155" s="528"/>
      <c r="BW155" s="625">
        <f t="shared" si="469"/>
        <v>1.1298821536586923E-2</v>
      </c>
      <c r="BX155" s="460">
        <f t="shared" si="362"/>
        <v>3224.682890009607</v>
      </c>
      <c r="BY155" s="173">
        <f t="shared" si="363"/>
        <v>7.360165021757779</v>
      </c>
      <c r="BZ155" s="5">
        <f t="shared" si="364"/>
        <v>68.400000000000006</v>
      </c>
      <c r="CA155" s="173">
        <f t="shared" si="365"/>
        <v>0.9028491421627185</v>
      </c>
      <c r="CB155" s="5">
        <f t="shared" si="366"/>
        <v>90.284914216271844</v>
      </c>
      <c r="CC155">
        <f t="shared" si="367"/>
        <v>45</v>
      </c>
      <c r="CE155" s="562">
        <f t="shared" si="470"/>
        <v>-50</v>
      </c>
      <c r="CF155">
        <f t="shared" si="471"/>
        <v>-50</v>
      </c>
      <c r="CG155" s="173">
        <f t="shared" si="370"/>
        <v>0.54755043227665712</v>
      </c>
      <c r="CH155" s="173">
        <f t="shared" si="472"/>
        <v>6.4398811101315845E-2</v>
      </c>
      <c r="CI155" s="170">
        <v>45</v>
      </c>
      <c r="CJ155" s="217">
        <f t="shared" si="438"/>
        <v>4.5</v>
      </c>
      <c r="CK155" s="217">
        <f t="shared" si="372"/>
        <v>0.1125</v>
      </c>
      <c r="CL155" s="217">
        <f t="shared" si="373"/>
        <v>67.5</v>
      </c>
      <c r="CM155" s="217">
        <f t="shared" si="374"/>
        <v>0.9</v>
      </c>
      <c r="CN155" s="541">
        <f t="shared" si="375"/>
        <v>19</v>
      </c>
      <c r="CO155" s="443">
        <f t="shared" si="473"/>
        <v>15.7</v>
      </c>
      <c r="CP155" s="443">
        <f t="shared" si="474"/>
        <v>34.700000000000003</v>
      </c>
      <c r="CQ155" s="443"/>
      <c r="CR155" s="217">
        <f t="shared" si="378"/>
        <v>0.44767441860465118</v>
      </c>
      <c r="CS155" s="172">
        <f t="shared" si="379"/>
        <v>209.84738372093025</v>
      </c>
      <c r="CT155" s="172">
        <f t="shared" si="380"/>
        <v>2.835271317829458</v>
      </c>
      <c r="CU155" s="217">
        <f t="shared" si="381"/>
        <v>13.989825581395349</v>
      </c>
      <c r="CV155" s="217">
        <f t="shared" si="382"/>
        <v>26.230922965116282</v>
      </c>
      <c r="CW155" s="217">
        <f t="shared" si="383"/>
        <v>15</v>
      </c>
      <c r="CX155" s="217">
        <f t="shared" si="384"/>
        <v>16.083116883116883</v>
      </c>
      <c r="CY155" s="217">
        <f t="shared" si="385"/>
        <v>10.157758031442242</v>
      </c>
      <c r="CZ155" s="217">
        <f t="shared" si="386"/>
        <v>12.292828190917364</v>
      </c>
      <c r="DA155" s="197">
        <f t="shared" si="387"/>
        <v>71.63784822286263</v>
      </c>
      <c r="DB155" s="443">
        <f t="shared" si="388"/>
        <v>44.542266740636485</v>
      </c>
      <c r="DD155" s="217">
        <f t="shared" si="389"/>
        <v>10.000000000000002</v>
      </c>
      <c r="DE155" s="173">
        <f t="shared" si="390"/>
        <v>7.6433121019108299</v>
      </c>
      <c r="DF155" s="173">
        <f t="shared" si="391"/>
        <v>2.7017291066282429</v>
      </c>
      <c r="DG155" s="173"/>
      <c r="DH155" s="173">
        <f t="shared" si="392"/>
        <v>7.6433121019108281</v>
      </c>
      <c r="DI155" s="545">
        <f t="shared" si="393"/>
        <v>117.75000000000003</v>
      </c>
      <c r="DJ155" s="528">
        <f t="shared" si="394"/>
        <v>2.7377521613832849</v>
      </c>
      <c r="DL155" s="173">
        <f t="shared" si="395"/>
        <v>5.707138387268051</v>
      </c>
      <c r="DM155" s="173">
        <f t="shared" si="396"/>
        <v>16.083116883116883</v>
      </c>
      <c r="DN155" s="173">
        <f t="shared" si="397"/>
        <v>5.706012506012506</v>
      </c>
      <c r="DP155" s="545">
        <f t="shared" si="398"/>
        <v>4500</v>
      </c>
      <c r="DQ155" s="460">
        <f t="shared" si="399"/>
        <v>44.542266740636485</v>
      </c>
      <c r="DS155" s="460">
        <f t="shared" si="400"/>
        <v>4500</v>
      </c>
      <c r="DT155" s="460">
        <f t="shared" si="401"/>
        <v>44.542266740636485</v>
      </c>
      <c r="DV155" s="5">
        <f t="shared" si="402"/>
        <v>22.450586222359608</v>
      </c>
      <c r="DW155" s="5">
        <f t="shared" si="403"/>
        <v>10.157758031442242</v>
      </c>
      <c r="DX155" s="5">
        <f t="shared" si="404"/>
        <v>12.292828190917366</v>
      </c>
      <c r="DY155" s="173">
        <f t="shared" si="405"/>
        <v>0.45244956772334288</v>
      </c>
      <c r="EA155" s="5">
        <f t="shared" si="406"/>
        <v>304.73274094326723</v>
      </c>
      <c r="EB155" s="5">
        <f t="shared" si="407"/>
        <v>14.284347231715653</v>
      </c>
      <c r="EC155" s="5">
        <f t="shared" si="408"/>
        <v>15.059272284699132</v>
      </c>
      <c r="ED155" s="5"/>
      <c r="EE155" s="173">
        <f t="shared" si="409"/>
        <v>6.2458950086677385</v>
      </c>
      <c r="EF155" s="173">
        <f t="shared" si="410"/>
        <v>6.87102698044714</v>
      </c>
      <c r="EG155" s="173">
        <f t="shared" si="411"/>
        <v>0.16921588014591391</v>
      </c>
      <c r="EH155" s="173"/>
      <c r="EI155" s="528">
        <f t="shared" si="412"/>
        <v>0.78022408918601149</v>
      </c>
      <c r="EJ155" s="528">
        <f t="shared" si="413"/>
        <v>0.4971666666666667</v>
      </c>
      <c r="EK155" s="528">
        <f t="shared" si="414"/>
        <v>5.5677833425795608E-3</v>
      </c>
      <c r="EL155" s="528">
        <f t="shared" si="415"/>
        <v>5.3632897959732997E-3</v>
      </c>
      <c r="EM155">
        <f t="shared" si="416"/>
        <v>8.5500000000000003E-3</v>
      </c>
      <c r="EN155" s="460">
        <f t="shared" si="417"/>
        <v>14.11778334257956</v>
      </c>
      <c r="EP155" s="460">
        <f t="shared" si="439"/>
        <v>1296.871828991231</v>
      </c>
      <c r="EQ155" s="173">
        <f t="shared" si="418"/>
        <v>3.15</v>
      </c>
      <c r="ER155" s="173">
        <f t="shared" si="475"/>
        <v>4.9921874999999998E-2</v>
      </c>
      <c r="ES155" s="528"/>
      <c r="EU155" s="460">
        <f t="shared" si="420"/>
        <v>3199.921875</v>
      </c>
      <c r="EV155" s="528">
        <f t="shared" si="421"/>
        <v>1.170336133779017</v>
      </c>
      <c r="EW155" s="528">
        <f t="shared" si="422"/>
        <v>1.4163303529809761</v>
      </c>
      <c r="EX155" s="528">
        <f t="shared" si="423"/>
        <v>1.4317007046778151E-4</v>
      </c>
      <c r="EY155" s="528">
        <f t="shared" si="424"/>
        <v>0.68679375210278815</v>
      </c>
      <c r="EZ155" s="528"/>
      <c r="FA155" s="625">
        <f t="shared" si="425"/>
        <v>1.1521598862232868E-2</v>
      </c>
      <c r="FB155" s="460">
        <f t="shared" si="426"/>
        <v>3285.1250077954824</v>
      </c>
      <c r="FC155" s="173">
        <f t="shared" si="427"/>
        <v>7.7819187117867124</v>
      </c>
      <c r="FD155" s="5">
        <f t="shared" si="428"/>
        <v>68.400000000000006</v>
      </c>
      <c r="FE155" s="173">
        <f t="shared" si="429"/>
        <v>0.89785084383044411</v>
      </c>
      <c r="FF155" s="5">
        <f t="shared" si="430"/>
        <v>89.785084383044406</v>
      </c>
      <c r="FG155">
        <f t="shared" si="431"/>
        <v>45</v>
      </c>
      <c r="FI155" s="562">
        <f t="shared" si="432"/>
        <v>-50</v>
      </c>
      <c r="FJ155">
        <f t="shared" si="433"/>
        <v>-50</v>
      </c>
    </row>
    <row r="156" spans="5:166" s="76" customFormat="1">
      <c r="E156" s="189">
        <v>46</v>
      </c>
      <c r="F156" s="329">
        <f t="shared" si="476"/>
        <v>4.6000000000000005</v>
      </c>
      <c r="G156" s="217">
        <f t="shared" si="444"/>
        <v>0.115</v>
      </c>
      <c r="H156" s="329">
        <f t="shared" si="445"/>
        <v>69.000000000000014</v>
      </c>
      <c r="I156" s="217">
        <f t="shared" si="446"/>
        <v>0.92</v>
      </c>
      <c r="J156" s="541">
        <f t="shared" si="447"/>
        <v>18.531607076549157</v>
      </c>
      <c r="K156" s="443">
        <f t="shared" si="448"/>
        <v>15.952031578947368</v>
      </c>
      <c r="L156" s="172">
        <f t="shared" si="449"/>
        <v>34.483638655496527</v>
      </c>
      <c r="M156" s="443"/>
      <c r="N156" s="217">
        <f t="shared" si="450"/>
        <v>0.46259710984428526</v>
      </c>
      <c r="O156" s="172">
        <f t="shared" si="451"/>
        <v>211.49674032191311</v>
      </c>
      <c r="P156" s="172">
        <f t="shared" si="452"/>
        <v>2.8575559581271817</v>
      </c>
      <c r="Q156" s="329">
        <f t="shared" si="322"/>
        <v>14.09978268812754</v>
      </c>
      <c r="R156" s="217">
        <f t="shared" si="453"/>
        <v>26.437092540239139</v>
      </c>
      <c r="S156" s="329">
        <f t="shared" si="454"/>
        <v>15</v>
      </c>
      <c r="T156" s="217">
        <f t="shared" si="455"/>
        <v>16.312308145973574</v>
      </c>
      <c r="U156" s="329">
        <f t="shared" si="326"/>
        <v>10.562910002521694</v>
      </c>
      <c r="V156" s="329">
        <f t="shared" si="327"/>
        <v>12.271019950212496</v>
      </c>
      <c r="W156" s="537">
        <f t="shared" si="328"/>
        <v>71.438898953179546</v>
      </c>
      <c r="X156" s="443">
        <f t="shared" si="435"/>
        <v>43.414215552969388</v>
      </c>
      <c r="Z156" s="329">
        <f t="shared" si="329"/>
        <v>10</v>
      </c>
      <c r="AA156" s="538">
        <f t="shared" si="330"/>
        <v>7.5225528112901641</v>
      </c>
      <c r="AB156" s="173">
        <f t="shared" si="456"/>
        <v>2.6516589974788558</v>
      </c>
      <c r="AC156" s="538"/>
      <c r="AD156" s="538">
        <f t="shared" si="332"/>
        <v>7.5225528112901641</v>
      </c>
      <c r="AE156" s="545">
        <f t="shared" si="457"/>
        <v>122.29890877192983</v>
      </c>
      <c r="AF156" s="528">
        <f t="shared" si="458"/>
        <v>2.687014450778574</v>
      </c>
      <c r="AH156" s="173">
        <f t="shared" si="459"/>
        <v>5.7702026043491843</v>
      </c>
      <c r="AI156" s="538">
        <f t="shared" si="460"/>
        <v>16.312308145973574</v>
      </c>
      <c r="AJ156" s="538">
        <f t="shared" si="461"/>
        <v>5.875783811832278</v>
      </c>
      <c r="AL156" s="563">
        <f t="shared" si="462"/>
        <v>4600.0000000000009</v>
      </c>
      <c r="AM156" s="564">
        <f t="shared" si="463"/>
        <v>43.414215552969388</v>
      </c>
      <c r="AO156" s="76">
        <f t="shared" si="340"/>
        <v>4600.0000000000009</v>
      </c>
      <c r="AP156" s="76">
        <f t="shared" si="341"/>
        <v>43.414215552969388</v>
      </c>
      <c r="AR156" s="534">
        <f t="shared" si="443"/>
        <v>23.033929952734187</v>
      </c>
      <c r="AS156" s="5">
        <f t="shared" si="440"/>
        <v>10.562910002521694</v>
      </c>
      <c r="AT156" s="5">
        <f t="shared" si="441"/>
        <v>12.471019950212494</v>
      </c>
      <c r="AU156" s="173">
        <f t="shared" si="442"/>
        <v>0.45858045171609324</v>
      </c>
      <c r="AW156" s="5">
        <f t="shared" si="342"/>
        <v>323.92924007733194</v>
      </c>
      <c r="AX156" s="5">
        <f t="shared" si="343"/>
        <v>15.184183128624934</v>
      </c>
      <c r="AY156" s="5">
        <f t="shared" si="344"/>
        <v>16.011793610517895</v>
      </c>
      <c r="AZ156" s="5"/>
      <c r="BA156" s="173">
        <f t="shared" si="345"/>
        <v>6.3776775568275781</v>
      </c>
      <c r="BB156" s="173">
        <f t="shared" si="346"/>
        <v>6.9298168324184273</v>
      </c>
      <c r="BC156" s="173">
        <f t="shared" si="347"/>
        <v>0.17066372434348129</v>
      </c>
      <c r="BD156" s="173"/>
      <c r="BE156" s="528">
        <f t="shared" si="348"/>
        <v>0.81349542037724376</v>
      </c>
      <c r="BF156" s="528">
        <f t="shared" si="464"/>
        <v>0.45789060493894418</v>
      </c>
      <c r="BG156" s="528">
        <f t="shared" si="465"/>
        <v>2.011337960410595E-2</v>
      </c>
      <c r="BH156" s="528">
        <f t="shared" si="351"/>
        <v>5.162476995297551E-3</v>
      </c>
      <c r="BI156">
        <f t="shared" si="352"/>
        <v>8.3392231844471205E-3</v>
      </c>
      <c r="BJ156" s="460">
        <f t="shared" si="436"/>
        <v>28.452602788553069</v>
      </c>
      <c r="BK156">
        <f t="shared" si="466"/>
        <v>1.8546761494011479</v>
      </c>
      <c r="BL156" s="460">
        <f t="shared" si="437"/>
        <v>1305.0011051000386</v>
      </c>
      <c r="BM156" s="173">
        <f t="shared" si="467"/>
        <v>2.8577500000000002</v>
      </c>
      <c r="BN156" s="173">
        <f t="shared" si="468"/>
        <v>7.144375E-2</v>
      </c>
      <c r="BO156" s="528"/>
      <c r="BP156"/>
      <c r="BQ156" s="460">
        <f t="shared" si="356"/>
        <v>2929.1937499999999</v>
      </c>
      <c r="BR156" s="528">
        <f t="shared" si="357"/>
        <v>1.2202431305658656</v>
      </c>
      <c r="BS156" s="528">
        <f t="shared" si="358"/>
        <v>1.4406708399260928</v>
      </c>
      <c r="BT156" s="528">
        <f t="shared" si="359"/>
        <v>1.4563053403393884E-4</v>
      </c>
      <c r="BU156" s="528">
        <f t="shared" si="360"/>
        <v>0.66732660852909509</v>
      </c>
      <c r="BV156" s="528"/>
      <c r="BW156" s="625">
        <f t="shared" si="469"/>
        <v>1.155214926828455E-2</v>
      </c>
      <c r="BX156" s="460">
        <f t="shared" si="362"/>
        <v>3339.9383588233723</v>
      </c>
      <c r="BY156" s="173">
        <f t="shared" si="363"/>
        <v>7.5741332139234112</v>
      </c>
      <c r="BZ156" s="5">
        <f t="shared" si="364"/>
        <v>69.920000000000016</v>
      </c>
      <c r="CA156" s="173">
        <f t="shared" si="365"/>
        <v>0.90226185002915071</v>
      </c>
      <c r="CB156" s="5">
        <f t="shared" si="366"/>
        <v>90.226185002915074</v>
      </c>
      <c r="CC156">
        <f t="shared" si="367"/>
        <v>46.000000000000007</v>
      </c>
      <c r="CE156" s="562">
        <f t="shared" si="470"/>
        <v>-50</v>
      </c>
      <c r="CF156">
        <f t="shared" si="471"/>
        <v>-50</v>
      </c>
      <c r="CG156" s="173">
        <f t="shared" si="370"/>
        <v>0.54755043227665712</v>
      </c>
      <c r="CH156" s="173">
        <f t="shared" si="472"/>
        <v>6.4398811101315845E-2</v>
      </c>
      <c r="CI156" s="189">
        <v>46</v>
      </c>
      <c r="CJ156" s="329">
        <f t="shared" si="438"/>
        <v>4.6000000000000005</v>
      </c>
      <c r="CK156" s="217">
        <f t="shared" si="372"/>
        <v>0.115</v>
      </c>
      <c r="CL156" s="329">
        <f t="shared" si="373"/>
        <v>69.000000000000014</v>
      </c>
      <c r="CM156" s="217">
        <f t="shared" si="374"/>
        <v>0.92</v>
      </c>
      <c r="CN156" s="541">
        <f t="shared" si="375"/>
        <v>19</v>
      </c>
      <c r="CO156" s="443">
        <f t="shared" si="473"/>
        <v>15.7</v>
      </c>
      <c r="CP156" s="443">
        <f t="shared" si="474"/>
        <v>34.700000000000003</v>
      </c>
      <c r="CQ156" s="535"/>
      <c r="CR156" s="329">
        <f t="shared" si="378"/>
        <v>0.44767441860465118</v>
      </c>
      <c r="CS156" s="172">
        <f t="shared" si="379"/>
        <v>209.84738372093025</v>
      </c>
      <c r="CT156" s="172">
        <f t="shared" si="380"/>
        <v>2.835271317829458</v>
      </c>
      <c r="CU156" s="329">
        <f t="shared" si="381"/>
        <v>13.989825581395349</v>
      </c>
      <c r="CV156" s="217">
        <f t="shared" si="382"/>
        <v>26.230922965116282</v>
      </c>
      <c r="CW156" s="329">
        <f t="shared" si="383"/>
        <v>15</v>
      </c>
      <c r="CX156" s="217">
        <f t="shared" si="384"/>
        <v>16.440519480519484</v>
      </c>
      <c r="CY156" s="329">
        <f t="shared" si="385"/>
        <v>10.383485987696517</v>
      </c>
      <c r="CZ156" s="329">
        <f t="shared" si="386"/>
        <v>12.56600215071553</v>
      </c>
      <c r="DA156" s="537">
        <f t="shared" si="387"/>
        <v>71.63784822286263</v>
      </c>
      <c r="DB156" s="535">
        <f t="shared" si="388"/>
        <v>43.573956594100899</v>
      </c>
      <c r="DD156" s="329">
        <f t="shared" si="389"/>
        <v>10.000000000000002</v>
      </c>
      <c r="DE156" s="538">
        <f t="shared" si="390"/>
        <v>7.6433121019108299</v>
      </c>
      <c r="DF156" s="173">
        <f t="shared" si="391"/>
        <v>2.7017291066282429</v>
      </c>
      <c r="DG156" s="538"/>
      <c r="DH156" s="538">
        <f t="shared" si="392"/>
        <v>7.6433121019108281</v>
      </c>
      <c r="DI156" s="545">
        <f t="shared" si="393"/>
        <v>120.36666666666669</v>
      </c>
      <c r="DJ156" s="528">
        <f t="shared" si="394"/>
        <v>2.7377521613832849</v>
      </c>
      <c r="DL156" s="173">
        <f t="shared" si="395"/>
        <v>5.7702026043491843</v>
      </c>
      <c r="DM156" s="538">
        <f t="shared" si="396"/>
        <v>16.440519480519484</v>
      </c>
      <c r="DN156" s="538">
        <f t="shared" si="397"/>
        <v>5.9707551707551731</v>
      </c>
      <c r="DP156" s="563">
        <f t="shared" si="398"/>
        <v>4600.0000000000009</v>
      </c>
      <c r="DQ156" s="564">
        <f t="shared" si="399"/>
        <v>43.573956594100899</v>
      </c>
      <c r="DS156" s="76">
        <f t="shared" si="400"/>
        <v>4600.0000000000009</v>
      </c>
      <c r="DT156" s="76">
        <f t="shared" si="401"/>
        <v>43.573956594100899</v>
      </c>
      <c r="DV156" s="534">
        <f t="shared" si="402"/>
        <v>22.949488138412047</v>
      </c>
      <c r="DW156" s="5">
        <f t="shared" si="403"/>
        <v>10.383485987696517</v>
      </c>
      <c r="DX156" s="5">
        <f t="shared" si="404"/>
        <v>12.56600215071553</v>
      </c>
      <c r="DY156" s="173">
        <f t="shared" si="405"/>
        <v>0.45244956772334294</v>
      </c>
      <c r="EA156" s="5">
        <f t="shared" si="406"/>
        <v>318.4269036226932</v>
      </c>
      <c r="EB156" s="5">
        <f t="shared" si="407"/>
        <v>14.926261107313742</v>
      </c>
      <c r="EC156" s="5">
        <f t="shared" si="408"/>
        <v>15.736009952801663</v>
      </c>
      <c r="ED156" s="5"/>
      <c r="EE156" s="173">
        <f t="shared" si="409"/>
        <v>6.3846926755270221</v>
      </c>
      <c r="EF156" s="173">
        <f t="shared" si="410"/>
        <v>7.0237164689015223</v>
      </c>
      <c r="EG156" s="173">
        <f t="shared" si="411"/>
        <v>0.17297623303804535</v>
      </c>
      <c r="EH156" s="173"/>
      <c r="EI156" s="528">
        <f t="shared" si="412"/>
        <v>0.81528601121856814</v>
      </c>
      <c r="EJ156" s="528">
        <f t="shared" si="413"/>
        <v>0.49716666666666665</v>
      </c>
      <c r="EK156" s="528">
        <f t="shared" si="414"/>
        <v>5.4467445742626122E-3</v>
      </c>
      <c r="EL156" s="528">
        <f t="shared" si="415"/>
        <v>5.246696539539096E-3</v>
      </c>
      <c r="EM156">
        <f t="shared" si="416"/>
        <v>8.5500000000000003E-3</v>
      </c>
      <c r="EN156" s="460">
        <f t="shared" si="417"/>
        <v>13.996744574262612</v>
      </c>
      <c r="EO156"/>
      <c r="EP156" s="460">
        <f t="shared" si="439"/>
        <v>1331.6961189990363</v>
      </c>
      <c r="EQ156" s="173">
        <f t="shared" si="418"/>
        <v>3.22</v>
      </c>
      <c r="ER156" s="173">
        <f t="shared" si="475"/>
        <v>5.103125E-2</v>
      </c>
      <c r="ES156" s="528"/>
      <c r="ET156"/>
      <c r="EU156" s="460">
        <f t="shared" si="420"/>
        <v>3271.03125</v>
      </c>
      <c r="EV156" s="528">
        <f t="shared" si="421"/>
        <v>1.2229290168278522</v>
      </c>
      <c r="EW156" s="528">
        <f t="shared" si="422"/>
        <v>1.479977791065554</v>
      </c>
      <c r="EX156" s="528">
        <f t="shared" si="423"/>
        <v>1.4960388598016087E-4</v>
      </c>
      <c r="EY156" s="528">
        <f t="shared" si="424"/>
        <v>0.68679375210278804</v>
      </c>
      <c r="EZ156" s="528"/>
      <c r="FA156" s="625">
        <f t="shared" si="425"/>
        <v>1.177763439250471E-2</v>
      </c>
      <c r="FB156" s="460">
        <f t="shared" si="426"/>
        <v>3401.6277982746792</v>
      </c>
      <c r="FC156" s="173">
        <f t="shared" si="427"/>
        <v>8.0043551672737152</v>
      </c>
      <c r="FD156" s="5">
        <f t="shared" si="428"/>
        <v>69.920000000000016</v>
      </c>
      <c r="FE156" s="173">
        <f t="shared" si="429"/>
        <v>0.89728044396271955</v>
      </c>
      <c r="FF156" s="5">
        <f t="shared" si="430"/>
        <v>89.728044396271954</v>
      </c>
      <c r="FG156">
        <f t="shared" si="431"/>
        <v>46.000000000000007</v>
      </c>
      <c r="FI156" s="562">
        <f t="shared" si="432"/>
        <v>-50</v>
      </c>
      <c r="FJ156">
        <f t="shared" si="433"/>
        <v>-50</v>
      </c>
    </row>
    <row r="157" spans="5:166">
      <c r="E157" s="170">
        <v>47</v>
      </c>
      <c r="F157" s="217">
        <f t="shared" si="476"/>
        <v>4.6999999999999993</v>
      </c>
      <c r="G157" s="217">
        <f t="shared" si="444"/>
        <v>0.11749999999999999</v>
      </c>
      <c r="H157" s="217">
        <f t="shared" si="445"/>
        <v>70.499999999999986</v>
      </c>
      <c r="I157" s="217">
        <f t="shared" si="446"/>
        <v>0.94</v>
      </c>
      <c r="J157" s="541">
        <f t="shared" si="447"/>
        <v>18.52142462169153</v>
      </c>
      <c r="K157" s="443">
        <f t="shared" si="448"/>
        <v>15.957510526315788</v>
      </c>
      <c r="L157" s="172">
        <f t="shared" si="449"/>
        <v>34.478935148007317</v>
      </c>
      <c r="M157" s="443"/>
      <c r="N157" s="217">
        <f t="shared" si="450"/>
        <v>0.46281912297509109</v>
      </c>
      <c r="O157" s="172">
        <f t="shared" si="451"/>
        <v>211.48197778767761</v>
      </c>
      <c r="P157" s="172">
        <f t="shared" si="452"/>
        <v>2.8573564998868441</v>
      </c>
      <c r="Q157" s="217">
        <f t="shared" si="322"/>
        <v>14.098798519178507</v>
      </c>
      <c r="R157" s="217">
        <f t="shared" si="453"/>
        <v>26.435247223459701</v>
      </c>
      <c r="S157" s="217">
        <f t="shared" si="454"/>
        <v>15</v>
      </c>
      <c r="T157" s="217">
        <f t="shared" si="455"/>
        <v>16.668086977789699</v>
      </c>
      <c r="U157" s="217">
        <f t="shared" si="326"/>
        <v>10.799225643756619</v>
      </c>
      <c r="V157" s="217">
        <f t="shared" si="327"/>
        <v>12.534351357852785</v>
      </c>
      <c r="W157" s="197">
        <f t="shared" si="328"/>
        <v>71.433912497171107</v>
      </c>
      <c r="X157" s="443">
        <f t="shared" si="435"/>
        <v>42.492477872429355</v>
      </c>
      <c r="Z157" s="217">
        <f t="shared" si="329"/>
        <v>9.9999999999999982</v>
      </c>
      <c r="AA157" s="173">
        <f t="shared" si="330"/>
        <v>7.5199699728918263</v>
      </c>
      <c r="AB157" s="173">
        <f t="shared" si="456"/>
        <v>2.6505635379518524</v>
      </c>
      <c r="AC157" s="173"/>
      <c r="AD157" s="173">
        <f t="shared" si="332"/>
        <v>7.5199699728918281</v>
      </c>
      <c r="AE157" s="545">
        <f t="shared" si="457"/>
        <v>125.00049912280699</v>
      </c>
      <c r="AF157" s="528">
        <f t="shared" si="458"/>
        <v>2.685904385124545</v>
      </c>
      <c r="AH157" s="173">
        <f t="shared" si="459"/>
        <v>5.8325849860115726</v>
      </c>
      <c r="AI157" s="173">
        <f t="shared" si="460"/>
        <v>16.668086977789699</v>
      </c>
      <c r="AJ157" s="173">
        <f t="shared" si="461"/>
        <v>6.139323687251629</v>
      </c>
      <c r="AL157" s="545">
        <f t="shared" si="462"/>
        <v>4699.9999999999991</v>
      </c>
      <c r="AM157" s="460">
        <f t="shared" si="463"/>
        <v>42.492477872429355</v>
      </c>
      <c r="AO157">
        <f t="shared" si="340"/>
        <v>4699.9999999999991</v>
      </c>
      <c r="AP157">
        <f t="shared" si="341"/>
        <v>42.492477872429355</v>
      </c>
      <c r="AR157" s="5">
        <f t="shared" si="443"/>
        <v>23.533577001609405</v>
      </c>
      <c r="AS157" s="5">
        <f t="shared" si="440"/>
        <v>10.799225643756619</v>
      </c>
      <c r="AT157" s="5">
        <f t="shared" si="441"/>
        <v>12.734351357852786</v>
      </c>
      <c r="AU157" s="173">
        <f t="shared" si="442"/>
        <v>0.45888585670669979</v>
      </c>
      <c r="AW157" s="5">
        <f t="shared" si="342"/>
        <v>338.37573683770739</v>
      </c>
      <c r="AX157" s="5">
        <f t="shared" si="343"/>
        <v>15.861362664267533</v>
      </c>
      <c r="AY157" s="5">
        <f t="shared" si="344"/>
        <v>16.714506523568307</v>
      </c>
      <c r="AZ157" s="5"/>
      <c r="BA157" s="173">
        <f t="shared" si="345"/>
        <v>6.518947251705546</v>
      </c>
      <c r="BB157" s="173">
        <f t="shared" si="346"/>
        <v>7.0789618751058088</v>
      </c>
      <c r="BC157" s="173">
        <f t="shared" si="347"/>
        <v>0.17433678657123328</v>
      </c>
      <c r="BD157" s="173"/>
      <c r="BE157" s="528">
        <f t="shared" si="348"/>
        <v>0.84993346541038584</v>
      </c>
      <c r="BF157" s="528">
        <f t="shared" si="464"/>
        <v>0.45788132572445378</v>
      </c>
      <c r="BG157" s="528">
        <f t="shared" si="465"/>
        <v>1.9675530647577391E-2</v>
      </c>
      <c r="BH157" s="528">
        <f t="shared" si="351"/>
        <v>5.0514928897515046E-3</v>
      </c>
      <c r="BI157">
        <f t="shared" si="352"/>
        <v>8.3346410797611875E-3</v>
      </c>
      <c r="BJ157" s="460">
        <f t="shared" si="436"/>
        <v>28.01017172733858</v>
      </c>
      <c r="BK157">
        <f t="shared" si="466"/>
        <v>1.9326321580884693</v>
      </c>
      <c r="BL157" s="460">
        <f t="shared" si="437"/>
        <v>1340.8764557519296</v>
      </c>
      <c r="BM157" s="173">
        <f t="shared" si="467"/>
        <v>2.9198749999999989</v>
      </c>
      <c r="BN157" s="173">
        <f t="shared" si="468"/>
        <v>7.2996874999999989E-2</v>
      </c>
      <c r="BO157" s="528"/>
      <c r="BQ157" s="460">
        <f t="shared" si="356"/>
        <v>2992.8718749999989</v>
      </c>
      <c r="BR157" s="528">
        <f t="shared" si="357"/>
        <v>1.2749001981155785</v>
      </c>
      <c r="BS157" s="528">
        <f t="shared" si="358"/>
        <v>1.5033510368760465</v>
      </c>
      <c r="BT157" s="528">
        <f t="shared" si="359"/>
        <v>1.5196657575991871E-4</v>
      </c>
      <c r="BU157" s="528">
        <f t="shared" si="360"/>
        <v>0.66752039861258838</v>
      </c>
      <c r="BV157" s="528"/>
      <c r="BW157" s="625">
        <f t="shared" si="469"/>
        <v>1.1805477912693116E-2</v>
      </c>
      <c r="BX157" s="460">
        <f t="shared" si="362"/>
        <v>3457.7290780926669</v>
      </c>
      <c r="BY157" s="173">
        <f t="shared" si="363"/>
        <v>7.7914774088445959</v>
      </c>
      <c r="BZ157" s="5">
        <f t="shared" si="364"/>
        <v>71.439999999999984</v>
      </c>
      <c r="CA157" s="173">
        <f t="shared" si="365"/>
        <v>0.90166184370588498</v>
      </c>
      <c r="CB157" s="5">
        <f t="shared" si="366"/>
        <v>90.166184370588496</v>
      </c>
      <c r="CC157">
        <f t="shared" si="367"/>
        <v>46.999999999999993</v>
      </c>
      <c r="CE157" s="562">
        <f t="shared" si="470"/>
        <v>-50</v>
      </c>
      <c r="CF157">
        <f t="shared" si="471"/>
        <v>-50</v>
      </c>
      <c r="CG157" s="173">
        <f t="shared" si="370"/>
        <v>0.54755043227665712</v>
      </c>
      <c r="CH157" s="173">
        <f t="shared" si="472"/>
        <v>6.4398811101315859E-2</v>
      </c>
      <c r="CI157" s="170">
        <v>47</v>
      </c>
      <c r="CJ157" s="217">
        <f t="shared" si="438"/>
        <v>4.6999999999999993</v>
      </c>
      <c r="CK157" s="217">
        <f t="shared" si="372"/>
        <v>0.11749999999999999</v>
      </c>
      <c r="CL157" s="217">
        <f t="shared" si="373"/>
        <v>70.499999999999986</v>
      </c>
      <c r="CM157" s="217">
        <f t="shared" si="374"/>
        <v>0.94</v>
      </c>
      <c r="CN157" s="541">
        <f t="shared" si="375"/>
        <v>19</v>
      </c>
      <c r="CO157" s="443">
        <f t="shared" si="473"/>
        <v>15.7</v>
      </c>
      <c r="CP157" s="443">
        <f t="shared" si="474"/>
        <v>34.700000000000003</v>
      </c>
      <c r="CQ157" s="443"/>
      <c r="CR157" s="217">
        <f t="shared" si="378"/>
        <v>0.44767441860465118</v>
      </c>
      <c r="CS157" s="172">
        <f t="shared" si="379"/>
        <v>209.84738372093025</v>
      </c>
      <c r="CT157" s="172">
        <f t="shared" si="380"/>
        <v>2.835271317829458</v>
      </c>
      <c r="CU157" s="217">
        <f t="shared" si="381"/>
        <v>13.989825581395349</v>
      </c>
      <c r="CV157" s="217">
        <f t="shared" si="382"/>
        <v>26.230922965116282</v>
      </c>
      <c r="CW157" s="217">
        <f t="shared" si="383"/>
        <v>15</v>
      </c>
      <c r="CX157" s="217">
        <f t="shared" si="384"/>
        <v>16.797922077922074</v>
      </c>
      <c r="CY157" s="217">
        <f t="shared" si="385"/>
        <v>10.609213943950785</v>
      </c>
      <c r="CZ157" s="217">
        <f t="shared" si="386"/>
        <v>12.839176110513687</v>
      </c>
      <c r="DA157" s="197">
        <f t="shared" si="387"/>
        <v>71.63784822286263</v>
      </c>
      <c r="DB157" s="443">
        <f t="shared" si="388"/>
        <v>42.646851134651961</v>
      </c>
      <c r="DD157" s="217">
        <f t="shared" si="389"/>
        <v>10.000000000000002</v>
      </c>
      <c r="DE157" s="173">
        <f t="shared" si="390"/>
        <v>7.6433121019108299</v>
      </c>
      <c r="DF157" s="173">
        <f t="shared" si="391"/>
        <v>2.7017291066282429</v>
      </c>
      <c r="DG157" s="173"/>
      <c r="DH157" s="173">
        <f t="shared" si="392"/>
        <v>7.6433121019108281</v>
      </c>
      <c r="DI157" s="545">
        <f t="shared" si="393"/>
        <v>122.98333333333333</v>
      </c>
      <c r="DJ157" s="528">
        <f t="shared" si="394"/>
        <v>2.7377521613832849</v>
      </c>
      <c r="DL157" s="173">
        <f t="shared" si="395"/>
        <v>5.8325849860115726</v>
      </c>
      <c r="DM157" s="173">
        <f t="shared" si="396"/>
        <v>16.797922077922074</v>
      </c>
      <c r="DN157" s="173">
        <f t="shared" si="397"/>
        <v>6.2354978354978323</v>
      </c>
      <c r="DP157" s="545">
        <f t="shared" si="398"/>
        <v>4699.9999999999991</v>
      </c>
      <c r="DQ157" s="460">
        <f t="shared" si="399"/>
        <v>42.646851134651961</v>
      </c>
      <c r="DS157">
        <f t="shared" si="400"/>
        <v>4699.9999999999991</v>
      </c>
      <c r="DT157">
        <f t="shared" si="401"/>
        <v>42.646851134651961</v>
      </c>
      <c r="DV157" s="5">
        <f t="shared" si="402"/>
        <v>23.448390054464475</v>
      </c>
      <c r="DW157" s="5">
        <f t="shared" si="403"/>
        <v>10.609213943950785</v>
      </c>
      <c r="DX157" s="5">
        <f t="shared" si="404"/>
        <v>12.839176110513691</v>
      </c>
      <c r="DY157" s="173">
        <f t="shared" si="405"/>
        <v>0.45244956772334288</v>
      </c>
      <c r="EA157" s="5">
        <f t="shared" si="406"/>
        <v>332.42203691045785</v>
      </c>
      <c r="EB157" s="5">
        <f t="shared" si="407"/>
        <v>15.582282980177714</v>
      </c>
      <c r="EC157" s="5">
        <f t="shared" si="408"/>
        <v>16.427620976247095</v>
      </c>
      <c r="ED157" s="5"/>
      <c r="EE157" s="173">
        <f t="shared" si="409"/>
        <v>6.5234903423863031</v>
      </c>
      <c r="EF157" s="173">
        <f t="shared" si="410"/>
        <v>7.1764059573559003</v>
      </c>
      <c r="EG157" s="173">
        <f t="shared" si="411"/>
        <v>0.17673658593017669</v>
      </c>
      <c r="EH157" s="173"/>
      <c r="EI157" s="528">
        <f t="shared" si="412"/>
        <v>0.8511185249441473</v>
      </c>
      <c r="EJ157" s="528">
        <f t="shared" si="413"/>
        <v>0.49716666666666659</v>
      </c>
      <c r="EK157" s="528">
        <f t="shared" si="414"/>
        <v>5.3308563918314953E-3</v>
      </c>
      <c r="EL157" s="528">
        <f t="shared" si="415"/>
        <v>5.1350646982723088E-3</v>
      </c>
      <c r="EM157">
        <f t="shared" si="416"/>
        <v>8.5500000000000003E-3</v>
      </c>
      <c r="EN157" s="460">
        <f t="shared" si="417"/>
        <v>13.880856391831495</v>
      </c>
      <c r="EP157" s="460">
        <f t="shared" si="439"/>
        <v>1367.3011127009179</v>
      </c>
      <c r="EQ157" s="173">
        <f t="shared" si="418"/>
        <v>3.2899999999999991</v>
      </c>
      <c r="ER157" s="173">
        <f t="shared" si="475"/>
        <v>5.2140624999999996E-2</v>
      </c>
      <c r="ES157" s="528"/>
      <c r="EU157" s="460">
        <f t="shared" si="420"/>
        <v>3342.1406249999991</v>
      </c>
      <c r="EV157" s="528">
        <f t="shared" si="421"/>
        <v>1.276677787416221</v>
      </c>
      <c r="EW157" s="528">
        <f t="shared" si="422"/>
        <v>1.5450240739431977</v>
      </c>
      <c r="EX157" s="528">
        <f t="shared" si="423"/>
        <v>1.5617910403127364E-4</v>
      </c>
      <c r="EY157" s="528">
        <f t="shared" si="424"/>
        <v>0.68679375210278792</v>
      </c>
      <c r="EZ157" s="528"/>
      <c r="FA157" s="625">
        <f t="shared" si="425"/>
        <v>1.2033669922776546E-2</v>
      </c>
      <c r="FB157" s="460">
        <f t="shared" si="426"/>
        <v>3520.6854624890138</v>
      </c>
      <c r="FC157" s="173">
        <f t="shared" si="427"/>
        <v>8.2301272001899335</v>
      </c>
      <c r="FD157" s="5">
        <f t="shared" si="428"/>
        <v>71.439999999999984</v>
      </c>
      <c r="FE157" s="173">
        <f t="shared" si="429"/>
        <v>0.89669745123526912</v>
      </c>
      <c r="FF157" s="5">
        <f t="shared" si="430"/>
        <v>89.669745123526909</v>
      </c>
      <c r="FG157">
        <f t="shared" si="431"/>
        <v>46.999999999999993</v>
      </c>
      <c r="FI157" s="562">
        <f t="shared" si="432"/>
        <v>-50</v>
      </c>
      <c r="FJ157">
        <f t="shared" si="433"/>
        <v>-50</v>
      </c>
    </row>
    <row r="158" spans="5:166">
      <c r="E158" s="170">
        <v>48</v>
      </c>
      <c r="F158" s="217">
        <f t="shared" si="476"/>
        <v>4.8</v>
      </c>
      <c r="G158" s="217">
        <f t="shared" si="444"/>
        <v>0.12</v>
      </c>
      <c r="H158" s="217">
        <f t="shared" si="445"/>
        <v>72</v>
      </c>
      <c r="I158" s="217">
        <f t="shared" si="446"/>
        <v>0.96</v>
      </c>
      <c r="J158" s="541">
        <f t="shared" si="447"/>
        <v>18.511242166833902</v>
      </c>
      <c r="K158" s="443">
        <f t="shared" si="448"/>
        <v>15.96298947368421</v>
      </c>
      <c r="L158" s="172">
        <f t="shared" si="449"/>
        <v>34.474231640518113</v>
      </c>
      <c r="M158" s="443"/>
      <c r="N158" s="217">
        <f t="shared" si="450"/>
        <v>0.46304119668682203</v>
      </c>
      <c r="O158" s="172">
        <f t="shared" si="451"/>
        <v>211.46713137558382</v>
      </c>
      <c r="P158" s="172">
        <f t="shared" si="452"/>
        <v>2.8571559083634437</v>
      </c>
      <c r="Q158" s="217">
        <f t="shared" si="322"/>
        <v>14.097808758372254</v>
      </c>
      <c r="R158" s="217">
        <f t="shared" si="453"/>
        <v>26.433391421947977</v>
      </c>
      <c r="S158" s="217">
        <f t="shared" si="454"/>
        <v>15</v>
      </c>
      <c r="T158" s="217">
        <f t="shared" si="455"/>
        <v>17.023922235962477</v>
      </c>
      <c r="U158" s="217">
        <f t="shared" si="326"/>
        <v>11.035837843316934</v>
      </c>
      <c r="V158" s="217">
        <f t="shared" si="327"/>
        <v>12.797544417875311</v>
      </c>
      <c r="W158" s="197">
        <f t="shared" si="328"/>
        <v>71.428897709086087</v>
      </c>
      <c r="X158" s="443">
        <f t="shared" si="435"/>
        <v>41.608791851771272</v>
      </c>
      <c r="Z158" s="217">
        <f t="shared" si="329"/>
        <v>10</v>
      </c>
      <c r="AA158" s="173">
        <f t="shared" si="330"/>
        <v>7.5173889074991891</v>
      </c>
      <c r="AB158" s="173">
        <f t="shared" si="456"/>
        <v>2.6494677795058124</v>
      </c>
      <c r="AC158" s="173"/>
      <c r="AD158" s="173">
        <f t="shared" si="332"/>
        <v>7.5173889074991891</v>
      </c>
      <c r="AE158" s="545">
        <f t="shared" si="457"/>
        <v>127.70391578947365</v>
      </c>
      <c r="AF158" s="528">
        <f t="shared" si="458"/>
        <v>2.6847940165658901</v>
      </c>
      <c r="AH158" s="173">
        <f t="shared" si="459"/>
        <v>5.8943071809040575</v>
      </c>
      <c r="AI158" s="173">
        <f t="shared" si="460"/>
        <v>17.023922235962477</v>
      </c>
      <c r="AJ158" s="173">
        <f t="shared" si="461"/>
        <v>6.4029053599722054</v>
      </c>
      <c r="AL158" s="545">
        <f t="shared" si="462"/>
        <v>4800</v>
      </c>
      <c r="AM158" s="460">
        <f t="shared" si="463"/>
        <v>41.608791851771272</v>
      </c>
      <c r="AO158">
        <f t="shared" si="340"/>
        <v>4800</v>
      </c>
      <c r="AP158">
        <f t="shared" si="341"/>
        <v>41.608791851771272</v>
      </c>
      <c r="AR158" s="5">
        <f t="shared" si="443"/>
        <v>24.033382261192244</v>
      </c>
      <c r="AS158" s="5">
        <f t="shared" si="440"/>
        <v>11.035837843316934</v>
      </c>
      <c r="AT158" s="5">
        <f t="shared" si="441"/>
        <v>12.997544417875311</v>
      </c>
      <c r="AU158" s="173">
        <f t="shared" si="442"/>
        <v>0.45918787973247466</v>
      </c>
      <c r="AW158" s="5">
        <f t="shared" si="342"/>
        <v>353.14681098614187</v>
      </c>
      <c r="AX158" s="5">
        <f t="shared" si="343"/>
        <v>16.553756764975397</v>
      </c>
      <c r="AY158" s="5">
        <f t="shared" si="344"/>
        <v>17.432522982759906</v>
      </c>
      <c r="AZ158" s="5"/>
      <c r="BA158" s="173">
        <f t="shared" si="345"/>
        <v>6.6603063806210523</v>
      </c>
      <c r="BB158" s="173">
        <f t="shared" si="346"/>
        <v>7.2280676312292753</v>
      </c>
      <c r="BC158" s="173">
        <f t="shared" si="347"/>
        <v>0.17800888127105824</v>
      </c>
      <c r="BD158" s="173"/>
      <c r="BE158" s="528">
        <f t="shared" si="348"/>
        <v>0.88719362167482996</v>
      </c>
      <c r="BF158" s="528">
        <f t="shared" si="464"/>
        <v>0.4578683247335798</v>
      </c>
      <c r="BG158" s="528">
        <f t="shared" si="465"/>
        <v>1.9255760555938081E-2</v>
      </c>
      <c r="BH158" s="528">
        <f t="shared" si="351"/>
        <v>4.9450910999039007E-3</v>
      </c>
      <c r="BI158">
        <f t="shared" si="352"/>
        <v>8.3300589750752562E-3</v>
      </c>
      <c r="BJ158" s="460">
        <f t="shared" si="436"/>
        <v>27.585819531013335</v>
      </c>
      <c r="BK158">
        <f t="shared" si="466"/>
        <v>2.0141202292288853</v>
      </c>
      <c r="BL158" s="460">
        <f t="shared" si="437"/>
        <v>1377.5928570393269</v>
      </c>
      <c r="BM158" s="173">
        <f t="shared" si="467"/>
        <v>2.9819999999999998</v>
      </c>
      <c r="BN158" s="173">
        <f t="shared" si="468"/>
        <v>7.4549999999999991E-2</v>
      </c>
      <c r="BO158" s="528"/>
      <c r="BQ158" s="460">
        <f t="shared" si="356"/>
        <v>3056.5499999999997</v>
      </c>
      <c r="BR158" s="528">
        <f t="shared" si="357"/>
        <v>1.3307904325122448</v>
      </c>
      <c r="BS158" s="528">
        <f t="shared" si="358"/>
        <v>1.5673488504487316</v>
      </c>
      <c r="BT158" s="528">
        <f t="shared" si="359"/>
        <v>1.5843580905686855E-4</v>
      </c>
      <c r="BU158" s="528">
        <f t="shared" si="360"/>
        <v>0.6677007067786096</v>
      </c>
      <c r="BV158" s="528"/>
      <c r="BW158" s="625">
        <f t="shared" si="469"/>
        <v>1.2058807418216496E-2</v>
      </c>
      <c r="BX158" s="460">
        <f t="shared" si="362"/>
        <v>3578.0572329668594</v>
      </c>
      <c r="BY158" s="173">
        <f t="shared" si="363"/>
        <v>8.0122000900061874</v>
      </c>
      <c r="BZ158" s="5">
        <f t="shared" si="364"/>
        <v>72.959999999999994</v>
      </c>
      <c r="CA158" s="173">
        <f t="shared" si="365"/>
        <v>0.90104998899498745</v>
      </c>
      <c r="CB158" s="5">
        <f t="shared" si="366"/>
        <v>90.104998899498739</v>
      </c>
      <c r="CC158">
        <f t="shared" si="367"/>
        <v>48</v>
      </c>
      <c r="CE158" s="562">
        <f t="shared" si="470"/>
        <v>-50</v>
      </c>
      <c r="CF158">
        <f t="shared" si="471"/>
        <v>-50</v>
      </c>
      <c r="CG158" s="173">
        <f t="shared" si="370"/>
        <v>0.54755043227665701</v>
      </c>
      <c r="CH158" s="173">
        <f t="shared" si="472"/>
        <v>6.4398811101315859E-2</v>
      </c>
      <c r="CI158" s="170">
        <v>48</v>
      </c>
      <c r="CJ158" s="217">
        <f t="shared" si="438"/>
        <v>4.8</v>
      </c>
      <c r="CK158" s="217">
        <f t="shared" si="372"/>
        <v>0.12</v>
      </c>
      <c r="CL158" s="217">
        <f t="shared" si="373"/>
        <v>72</v>
      </c>
      <c r="CM158" s="217">
        <f t="shared" si="374"/>
        <v>0.96</v>
      </c>
      <c r="CN158" s="541">
        <f t="shared" si="375"/>
        <v>19</v>
      </c>
      <c r="CO158" s="443">
        <f t="shared" si="473"/>
        <v>15.7</v>
      </c>
      <c r="CP158" s="443">
        <f t="shared" si="474"/>
        <v>34.700000000000003</v>
      </c>
      <c r="CQ158" s="443"/>
      <c r="CR158" s="217">
        <f t="shared" si="378"/>
        <v>0.44767441860465118</v>
      </c>
      <c r="CS158" s="172">
        <f t="shared" si="379"/>
        <v>209.84738372093025</v>
      </c>
      <c r="CT158" s="172">
        <f t="shared" si="380"/>
        <v>2.835271317829458</v>
      </c>
      <c r="CU158" s="217">
        <f t="shared" si="381"/>
        <v>13.989825581395349</v>
      </c>
      <c r="CV158" s="217">
        <f t="shared" si="382"/>
        <v>26.230922965116282</v>
      </c>
      <c r="CW158" s="217">
        <f t="shared" si="383"/>
        <v>15</v>
      </c>
      <c r="CX158" s="217">
        <f t="shared" si="384"/>
        <v>17.155324675324675</v>
      </c>
      <c r="CY158" s="217">
        <f t="shared" si="385"/>
        <v>10.834941900205058</v>
      </c>
      <c r="CZ158" s="217">
        <f t="shared" si="386"/>
        <v>13.112350070311853</v>
      </c>
      <c r="DA158" s="197">
        <f t="shared" si="387"/>
        <v>71.63784822286263</v>
      </c>
      <c r="DB158" s="443">
        <f t="shared" si="388"/>
        <v>41.758375069346712</v>
      </c>
      <c r="DD158" s="217">
        <f t="shared" si="389"/>
        <v>10.000000000000002</v>
      </c>
      <c r="DE158" s="173">
        <f t="shared" si="390"/>
        <v>7.6433121019108299</v>
      </c>
      <c r="DF158" s="173">
        <f t="shared" si="391"/>
        <v>2.7017291066282429</v>
      </c>
      <c r="DG158" s="173"/>
      <c r="DH158" s="173">
        <f t="shared" si="392"/>
        <v>7.6433121019108281</v>
      </c>
      <c r="DI158" s="545">
        <f t="shared" si="393"/>
        <v>125.6</v>
      </c>
      <c r="DJ158" s="528">
        <f t="shared" si="394"/>
        <v>2.7377521613832849</v>
      </c>
      <c r="DL158" s="173">
        <f t="shared" si="395"/>
        <v>5.8943071809040575</v>
      </c>
      <c r="DM158" s="173">
        <f t="shared" si="396"/>
        <v>17.155324675324675</v>
      </c>
      <c r="DN158" s="173">
        <f t="shared" si="397"/>
        <v>6.5002405002404995</v>
      </c>
      <c r="DP158" s="545">
        <f t="shared" si="398"/>
        <v>4800</v>
      </c>
      <c r="DQ158" s="460">
        <f t="shared" si="399"/>
        <v>41.758375069346712</v>
      </c>
      <c r="DS158">
        <f t="shared" si="400"/>
        <v>4800</v>
      </c>
      <c r="DT158">
        <f t="shared" si="401"/>
        <v>41.758375069346712</v>
      </c>
      <c r="DV158" s="5">
        <f t="shared" si="402"/>
        <v>23.947291970516908</v>
      </c>
      <c r="DW158" s="5">
        <f t="shared" si="403"/>
        <v>10.834941900205058</v>
      </c>
      <c r="DX158" s="5">
        <f t="shared" si="404"/>
        <v>13.11235007031185</v>
      </c>
      <c r="DY158" s="173">
        <f t="shared" si="405"/>
        <v>0.45244956772334299</v>
      </c>
      <c r="EA158" s="5">
        <f t="shared" si="406"/>
        <v>346.71814080656191</v>
      </c>
      <c r="EB158" s="5">
        <f t="shared" si="407"/>
        <v>16.252412850307586</v>
      </c>
      <c r="EC158" s="5">
        <f t="shared" si="408"/>
        <v>17.134105355035445</v>
      </c>
      <c r="ED158" s="5"/>
      <c r="EE158" s="173">
        <f t="shared" si="409"/>
        <v>6.6622880092455885</v>
      </c>
      <c r="EF158" s="173">
        <f t="shared" si="410"/>
        <v>7.3290954458102817</v>
      </c>
      <c r="EG158" s="173">
        <f t="shared" si="411"/>
        <v>0.18049693882230813</v>
      </c>
      <c r="EH158" s="173"/>
      <c r="EI158" s="528">
        <f t="shared" si="412"/>
        <v>0.88772163036275087</v>
      </c>
      <c r="EJ158" s="528">
        <f t="shared" si="413"/>
        <v>0.49716666666666681</v>
      </c>
      <c r="EK158" s="528">
        <f t="shared" si="414"/>
        <v>5.2197968836683387E-3</v>
      </c>
      <c r="EL158" s="528">
        <f t="shared" si="415"/>
        <v>5.0280841837249696E-3</v>
      </c>
      <c r="EM158">
        <f t="shared" si="416"/>
        <v>8.5500000000000003E-3</v>
      </c>
      <c r="EN158" s="460">
        <f t="shared" si="417"/>
        <v>13.76979688366834</v>
      </c>
      <c r="EP158" s="460">
        <f t="shared" si="439"/>
        <v>1403.6861780968109</v>
      </c>
      <c r="EQ158" s="173">
        <f t="shared" si="418"/>
        <v>3.36</v>
      </c>
      <c r="ER158" s="173">
        <f t="shared" si="475"/>
        <v>5.3249999999999999E-2</v>
      </c>
      <c r="ES158" s="528"/>
      <c r="EU158" s="460">
        <f t="shared" si="420"/>
        <v>3413.2499999999995</v>
      </c>
      <c r="EV158" s="528">
        <f t="shared" si="421"/>
        <v>1.3315824455441263</v>
      </c>
      <c r="EW158" s="528">
        <f t="shared" si="422"/>
        <v>1.6114692016139103</v>
      </c>
      <c r="EX158" s="528">
        <f t="shared" si="423"/>
        <v>1.6289572462112022E-4</v>
      </c>
      <c r="EY158" s="528">
        <f t="shared" si="424"/>
        <v>0.68679375210278804</v>
      </c>
      <c r="EZ158" s="528"/>
      <c r="FA158" s="625">
        <f t="shared" si="425"/>
        <v>1.2289705453048394E-2</v>
      </c>
      <c r="FB158" s="460">
        <f t="shared" si="426"/>
        <v>3642.2980004384945</v>
      </c>
      <c r="FC158" s="173">
        <f t="shared" si="427"/>
        <v>8.4592341785353042</v>
      </c>
      <c r="FD158" s="5">
        <f t="shared" si="428"/>
        <v>72.959999999999994</v>
      </c>
      <c r="FE158" s="173">
        <f t="shared" si="429"/>
        <v>0.89610275429530584</v>
      </c>
      <c r="FF158" s="5">
        <f t="shared" si="430"/>
        <v>89.610275429530589</v>
      </c>
      <c r="FG158">
        <f t="shared" si="431"/>
        <v>48</v>
      </c>
      <c r="FI158" s="562">
        <f t="shared" si="432"/>
        <v>-50</v>
      </c>
      <c r="FJ158">
        <f t="shared" si="433"/>
        <v>-50</v>
      </c>
    </row>
    <row r="159" spans="5:166">
      <c r="E159" s="170">
        <v>49</v>
      </c>
      <c r="F159" s="217">
        <f t="shared" si="476"/>
        <v>4.9000000000000004</v>
      </c>
      <c r="G159" s="217">
        <f t="shared" si="444"/>
        <v>0.1225</v>
      </c>
      <c r="H159" s="217">
        <f t="shared" si="445"/>
        <v>73.5</v>
      </c>
      <c r="I159" s="217">
        <f t="shared" si="446"/>
        <v>0.98</v>
      </c>
      <c r="J159" s="541">
        <f t="shared" si="447"/>
        <v>18.501059711976275</v>
      </c>
      <c r="K159" s="443">
        <f t="shared" si="448"/>
        <v>15.968468421052631</v>
      </c>
      <c r="L159" s="172">
        <f t="shared" si="449"/>
        <v>34.469528133028902</v>
      </c>
      <c r="M159" s="443"/>
      <c r="N159" s="217">
        <f t="shared" si="450"/>
        <v>0.46326333100427769</v>
      </c>
      <c r="O159" s="172">
        <f t="shared" si="451"/>
        <v>211.45220105129533</v>
      </c>
      <c r="P159" s="172">
        <f t="shared" si="452"/>
        <v>2.8569541830930572</v>
      </c>
      <c r="Q159" s="217">
        <f t="shared" si="322"/>
        <v>14.09681340341969</v>
      </c>
      <c r="R159" s="217">
        <f t="shared" si="453"/>
        <v>26.431525131411917</v>
      </c>
      <c r="S159" s="217">
        <f t="shared" si="454"/>
        <v>15</v>
      </c>
      <c r="T159" s="217">
        <f t="shared" si="455"/>
        <v>17.379814358652606</v>
      </c>
      <c r="U159" s="217">
        <f t="shared" si="326"/>
        <v>11.2727473750504</v>
      </c>
      <c r="V159" s="217">
        <f t="shared" si="327"/>
        <v>13.060599601955019</v>
      </c>
      <c r="W159" s="197">
        <f t="shared" si="328"/>
        <v>71.423854577326438</v>
      </c>
      <c r="X159" s="443">
        <f t="shared" si="435"/>
        <v>40.760846896971643</v>
      </c>
      <c r="Z159" s="217">
        <f t="shared" si="329"/>
        <v>10</v>
      </c>
      <c r="AA159" s="173">
        <f t="shared" si="330"/>
        <v>7.5148096132872384</v>
      </c>
      <c r="AB159" s="173">
        <f t="shared" si="456"/>
        <v>2.6483717220183673</v>
      </c>
      <c r="AC159" s="173"/>
      <c r="AD159" s="173">
        <f t="shared" si="332"/>
        <v>7.5148096132872384</v>
      </c>
      <c r="AE159" s="545">
        <f t="shared" si="457"/>
        <v>130.40915877192981</v>
      </c>
      <c r="AF159" s="528">
        <f t="shared" si="458"/>
        <v>2.6836833449786126</v>
      </c>
      <c r="AH159" s="173">
        <f t="shared" si="459"/>
        <v>5.9553897157672786</v>
      </c>
      <c r="AI159" s="173">
        <f t="shared" si="460"/>
        <v>17.379814358652606</v>
      </c>
      <c r="AJ159" s="173">
        <f t="shared" si="461"/>
        <v>6.6665291545574856</v>
      </c>
      <c r="AL159" s="545">
        <f t="shared" si="462"/>
        <v>4900</v>
      </c>
      <c r="AM159" s="460">
        <f t="shared" si="463"/>
        <v>40.760846896971643</v>
      </c>
      <c r="AO159">
        <f t="shared" si="340"/>
        <v>4900</v>
      </c>
      <c r="AP159">
        <f t="shared" si="341"/>
        <v>40.760846896971643</v>
      </c>
      <c r="AR159" s="5">
        <f t="shared" si="443"/>
        <v>24.533346977005419</v>
      </c>
      <c r="AS159" s="5">
        <f t="shared" si="440"/>
        <v>11.2727473750504</v>
      </c>
      <c r="AT159" s="5">
        <f t="shared" si="441"/>
        <v>13.260599601955018</v>
      </c>
      <c r="AU159" s="173">
        <f t="shared" si="442"/>
        <v>0.45948672986266836</v>
      </c>
      <c r="AW159" s="5">
        <f t="shared" si="342"/>
        <v>368.24308091831313</v>
      </c>
      <c r="AX159" s="5">
        <f t="shared" si="343"/>
        <v>17.261394418045924</v>
      </c>
      <c r="AY159" s="5">
        <f t="shared" si="344"/>
        <v>18.165857298634325</v>
      </c>
      <c r="AZ159" s="5"/>
      <c r="BA159" s="173">
        <f t="shared" si="345"/>
        <v>6.8017551254793363</v>
      </c>
      <c r="BB159" s="173">
        <f t="shared" si="346"/>
        <v>7.3771342398945592</v>
      </c>
      <c r="BC159" s="173">
        <f t="shared" si="347"/>
        <v>0.18168001186877586</v>
      </c>
      <c r="BD159" s="173"/>
      <c r="BE159" s="528">
        <f t="shared" si="348"/>
        <v>0.92527745573968845</v>
      </c>
      <c r="BF159" s="528">
        <f t="shared" si="464"/>
        <v>0.45785181737322789</v>
      </c>
      <c r="BG159" s="528">
        <f t="shared" si="465"/>
        <v>1.8852971558789879E-2</v>
      </c>
      <c r="BH159" s="528">
        <f t="shared" si="351"/>
        <v>4.8429933788785408E-3</v>
      </c>
      <c r="BI159">
        <f t="shared" si="352"/>
        <v>8.3254768703893232E-3</v>
      </c>
      <c r="BJ159" s="460">
        <f t="shared" si="436"/>
        <v>27.178448429179198</v>
      </c>
      <c r="BK159">
        <f t="shared" si="466"/>
        <v>2.0993252856602833</v>
      </c>
      <c r="BL159" s="460">
        <f t="shared" si="437"/>
        <v>1415.150714920974</v>
      </c>
      <c r="BM159" s="173">
        <f t="shared" si="467"/>
        <v>3.0441250000000002</v>
      </c>
      <c r="BN159" s="173">
        <f t="shared" si="468"/>
        <v>7.6103124999999994E-2</v>
      </c>
      <c r="BO159" s="528"/>
      <c r="BQ159" s="460">
        <f t="shared" si="356"/>
        <v>3120.2281250000001</v>
      </c>
      <c r="BR159" s="528">
        <f t="shared" si="357"/>
        <v>1.3879161836095326</v>
      </c>
      <c r="BS159" s="528">
        <f t="shared" si="358"/>
        <v>1.6326632878027403</v>
      </c>
      <c r="BT159" s="528">
        <f t="shared" si="359"/>
        <v>1.6503813356319268E-4</v>
      </c>
      <c r="BU159" s="528">
        <f t="shared" si="360"/>
        <v>0.66786830645984618</v>
      </c>
      <c r="BV159" s="528"/>
      <c r="BW159" s="625">
        <f t="shared" si="469"/>
        <v>1.2312137737437121E-2</v>
      </c>
      <c r="BX159" s="460">
        <f t="shared" si="362"/>
        <v>3700.9249537431197</v>
      </c>
      <c r="BY159" s="173">
        <f t="shared" si="363"/>
        <v>8.2363037936640939</v>
      </c>
      <c r="BZ159" s="5">
        <f t="shared" si="364"/>
        <v>74.48</v>
      </c>
      <c r="CA159" s="173">
        <f t="shared" si="365"/>
        <v>0.90042708128968674</v>
      </c>
      <c r="CB159" s="5">
        <f t="shared" si="366"/>
        <v>90.04270812896867</v>
      </c>
      <c r="CC159">
        <f t="shared" si="367"/>
        <v>49.000000000000007</v>
      </c>
      <c r="CE159" s="562">
        <f t="shared" si="470"/>
        <v>-50</v>
      </c>
      <c r="CF159">
        <f t="shared" si="471"/>
        <v>-50</v>
      </c>
      <c r="CG159" s="173">
        <f t="shared" si="370"/>
        <v>0.54755043227665712</v>
      </c>
      <c r="CH159" s="173">
        <f t="shared" si="472"/>
        <v>6.4398811101315845E-2</v>
      </c>
      <c r="CI159" s="170">
        <v>49</v>
      </c>
      <c r="CJ159" s="217">
        <f t="shared" si="438"/>
        <v>4.9000000000000004</v>
      </c>
      <c r="CK159" s="217">
        <f t="shared" si="372"/>
        <v>0.1225</v>
      </c>
      <c r="CL159" s="217">
        <f t="shared" si="373"/>
        <v>73.5</v>
      </c>
      <c r="CM159" s="217">
        <f t="shared" si="374"/>
        <v>0.98</v>
      </c>
      <c r="CN159" s="541">
        <f t="shared" si="375"/>
        <v>19</v>
      </c>
      <c r="CO159" s="443">
        <f t="shared" si="473"/>
        <v>15.7</v>
      </c>
      <c r="CP159" s="443">
        <f t="shared" si="474"/>
        <v>34.700000000000003</v>
      </c>
      <c r="CQ159" s="443"/>
      <c r="CR159" s="217">
        <f t="shared" si="378"/>
        <v>0.44767441860465118</v>
      </c>
      <c r="CS159" s="172">
        <f t="shared" si="379"/>
        <v>209.84738372093025</v>
      </c>
      <c r="CT159" s="172">
        <f t="shared" si="380"/>
        <v>2.835271317829458</v>
      </c>
      <c r="CU159" s="217">
        <f t="shared" si="381"/>
        <v>13.989825581395349</v>
      </c>
      <c r="CV159" s="217">
        <f t="shared" si="382"/>
        <v>26.230922965116282</v>
      </c>
      <c r="CW159" s="217">
        <f t="shared" si="383"/>
        <v>15</v>
      </c>
      <c r="CX159" s="217">
        <f t="shared" si="384"/>
        <v>17.512727272727272</v>
      </c>
      <c r="CY159" s="217">
        <f t="shared" si="385"/>
        <v>11.060669856459331</v>
      </c>
      <c r="CZ159" s="217">
        <f t="shared" si="386"/>
        <v>13.38552403011002</v>
      </c>
      <c r="DA159" s="197">
        <f t="shared" si="387"/>
        <v>71.63784822286263</v>
      </c>
      <c r="DB159" s="443">
        <f t="shared" si="388"/>
        <v>40.906163333237586</v>
      </c>
      <c r="DD159" s="217">
        <f t="shared" si="389"/>
        <v>10.000000000000002</v>
      </c>
      <c r="DE159" s="173">
        <f t="shared" si="390"/>
        <v>7.6433121019108299</v>
      </c>
      <c r="DF159" s="173">
        <f t="shared" si="391"/>
        <v>2.7017291066282429</v>
      </c>
      <c r="DG159" s="173"/>
      <c r="DH159" s="173">
        <f t="shared" si="392"/>
        <v>7.6433121019108281</v>
      </c>
      <c r="DI159" s="545">
        <f t="shared" si="393"/>
        <v>128.2166666666667</v>
      </c>
      <c r="DJ159" s="528">
        <f t="shared" si="394"/>
        <v>2.7377521613832849</v>
      </c>
      <c r="DL159" s="173">
        <f t="shared" si="395"/>
        <v>5.9553897157672786</v>
      </c>
      <c r="DM159" s="173">
        <f t="shared" si="396"/>
        <v>17.512727272727272</v>
      </c>
      <c r="DN159" s="173">
        <f t="shared" si="397"/>
        <v>6.7649831649831649</v>
      </c>
      <c r="DP159" s="545">
        <f t="shared" si="398"/>
        <v>4900</v>
      </c>
      <c r="DQ159" s="460">
        <f t="shared" si="399"/>
        <v>40.906163333237586</v>
      </c>
      <c r="DS159">
        <f t="shared" si="400"/>
        <v>4900</v>
      </c>
      <c r="DT159">
        <f t="shared" si="401"/>
        <v>40.906163333237586</v>
      </c>
      <c r="DV159" s="5">
        <f t="shared" si="402"/>
        <v>24.44619388656935</v>
      </c>
      <c r="DW159" s="5">
        <f t="shared" si="403"/>
        <v>11.060669856459331</v>
      </c>
      <c r="DX159" s="5">
        <f t="shared" si="404"/>
        <v>13.38552403011002</v>
      </c>
      <c r="DY159" s="173">
        <f t="shared" si="405"/>
        <v>0.45244956772334294</v>
      </c>
      <c r="EA159" s="5">
        <f t="shared" si="406"/>
        <v>361.31521531100486</v>
      </c>
      <c r="EB159" s="5">
        <f t="shared" si="407"/>
        <v>16.936650717703348</v>
      </c>
      <c r="EC159" s="5">
        <f t="shared" si="408"/>
        <v>17.855463089166719</v>
      </c>
      <c r="ED159" s="5"/>
      <c r="EE159" s="173">
        <f t="shared" si="409"/>
        <v>6.8010856761048704</v>
      </c>
      <c r="EF159" s="173">
        <f t="shared" si="410"/>
        <v>7.4817849342646632</v>
      </c>
      <c r="EG159" s="173">
        <f t="shared" si="411"/>
        <v>0.18425729171443958</v>
      </c>
      <c r="EH159" s="173"/>
      <c r="EI159" s="528">
        <f t="shared" si="412"/>
        <v>0.92509532747437695</v>
      </c>
      <c r="EJ159" s="528">
        <f t="shared" si="413"/>
        <v>0.49716666666666659</v>
      </c>
      <c r="EK159" s="528">
        <f t="shared" si="414"/>
        <v>5.1132704166546982E-3</v>
      </c>
      <c r="EL159" s="528">
        <f t="shared" si="415"/>
        <v>4.9254702207918062E-3</v>
      </c>
      <c r="EM159">
        <f t="shared" si="416"/>
        <v>8.5500000000000003E-3</v>
      </c>
      <c r="EN159" s="460">
        <f t="shared" si="417"/>
        <v>13.663270416654699</v>
      </c>
      <c r="EP159" s="460">
        <f t="shared" si="439"/>
        <v>1440.8507347784901</v>
      </c>
      <c r="EQ159" s="173">
        <f t="shared" si="418"/>
        <v>3.43</v>
      </c>
      <c r="ER159" s="173">
        <f t="shared" si="475"/>
        <v>5.4359374999999995E-2</v>
      </c>
      <c r="ES159" s="528"/>
      <c r="EU159" s="460">
        <f t="shared" si="420"/>
        <v>3484.3593750000005</v>
      </c>
      <c r="EV159" s="528">
        <f t="shared" si="421"/>
        <v>1.3876429912115653</v>
      </c>
      <c r="EW159" s="528">
        <f t="shared" si="422"/>
        <v>1.6793131740776908</v>
      </c>
      <c r="EX159" s="528">
        <f t="shared" si="423"/>
        <v>1.697537477497004E-4</v>
      </c>
      <c r="EY159" s="528">
        <f t="shared" si="424"/>
        <v>0.68679375210278804</v>
      </c>
      <c r="EZ159" s="528"/>
      <c r="FA159" s="625">
        <f t="shared" si="425"/>
        <v>1.2545740983320234E-2</v>
      </c>
      <c r="FB159" s="460">
        <f t="shared" si="426"/>
        <v>3766.4654121231147</v>
      </c>
      <c r="FC159" s="173">
        <f t="shared" si="427"/>
        <v>8.6916755219016046</v>
      </c>
      <c r="FD159" s="5">
        <f t="shared" si="428"/>
        <v>74.48</v>
      </c>
      <c r="FE159" s="173">
        <f t="shared" si="429"/>
        <v>0.89549716935048618</v>
      </c>
      <c r="FF159" s="5">
        <f t="shared" si="430"/>
        <v>89.549716935048622</v>
      </c>
      <c r="FG159">
        <f t="shared" si="431"/>
        <v>49.000000000000007</v>
      </c>
      <c r="FI159" s="562">
        <f t="shared" si="432"/>
        <v>-50</v>
      </c>
      <c r="FJ159">
        <f t="shared" si="433"/>
        <v>-50</v>
      </c>
    </row>
    <row r="160" spans="5:166">
      <c r="E160" s="170">
        <v>50</v>
      </c>
      <c r="F160" s="217">
        <f t="shared" si="476"/>
        <v>5</v>
      </c>
      <c r="G160" s="217">
        <f t="shared" si="444"/>
        <v>0.125</v>
      </c>
      <c r="H160" s="217">
        <f t="shared" si="445"/>
        <v>75</v>
      </c>
      <c r="I160" s="217">
        <f t="shared" si="446"/>
        <v>1</v>
      </c>
      <c r="J160" s="541">
        <f t="shared" si="447"/>
        <v>18.490877257118647</v>
      </c>
      <c r="K160" s="443">
        <f t="shared" si="448"/>
        <v>15.973947368421053</v>
      </c>
      <c r="L160" s="172">
        <f t="shared" si="449"/>
        <v>34.464824625539698</v>
      </c>
      <c r="M160" s="443"/>
      <c r="N160" s="217">
        <f t="shared" si="450"/>
        <v>0.4634855259522711</v>
      </c>
      <c r="O160" s="172">
        <f t="shared" si="451"/>
        <v>211.43718678045701</v>
      </c>
      <c r="P160" s="172">
        <f t="shared" si="452"/>
        <v>2.8567513236115087</v>
      </c>
      <c r="Q160" s="217">
        <f t="shared" si="322"/>
        <v>14.095812452030467</v>
      </c>
      <c r="R160" s="217">
        <f t="shared" si="453"/>
        <v>26.429648347557126</v>
      </c>
      <c r="S160" s="217">
        <f t="shared" si="454"/>
        <v>15</v>
      </c>
      <c r="T160" s="217">
        <f t="shared" si="455"/>
        <v>17.735763784512336</v>
      </c>
      <c r="U160" s="217">
        <f t="shared" si="326"/>
        <v>11.509955014828339</v>
      </c>
      <c r="V160" s="217">
        <f t="shared" si="327"/>
        <v>13.323517381488982</v>
      </c>
      <c r="W160" s="197">
        <f t="shared" si="328"/>
        <v>71.418783090287704</v>
      </c>
      <c r="X160" s="443">
        <f t="shared" si="435"/>
        <v>39.946515775698387</v>
      </c>
      <c r="Z160" s="217">
        <f t="shared" si="329"/>
        <v>10</v>
      </c>
      <c r="AA160" s="173">
        <f t="shared" si="330"/>
        <v>7.5122320884334695</v>
      </c>
      <c r="AB160" s="173">
        <f t="shared" si="456"/>
        <v>2.6472753653670837</v>
      </c>
      <c r="AC160" s="173"/>
      <c r="AD160" s="173">
        <f t="shared" si="332"/>
        <v>7.5122320884334695</v>
      </c>
      <c r="AE160" s="545">
        <f t="shared" si="457"/>
        <v>133.11622807017545</v>
      </c>
      <c r="AF160" s="528">
        <f t="shared" si="458"/>
        <v>2.6825723702386446</v>
      </c>
      <c r="AH160" s="173">
        <f t="shared" si="459"/>
        <v>6.0158520751823836</v>
      </c>
      <c r="AI160" s="173">
        <f t="shared" si="460"/>
        <v>17.735763784512336</v>
      </c>
      <c r="AJ160" s="173">
        <f t="shared" si="461"/>
        <v>6.9301953959350637</v>
      </c>
      <c r="AL160" s="545">
        <f t="shared" si="462"/>
        <v>5000</v>
      </c>
      <c r="AM160" s="460">
        <f t="shared" si="463"/>
        <v>39.946515775698387</v>
      </c>
      <c r="AO160">
        <f t="shared" si="340"/>
        <v>5000</v>
      </c>
      <c r="AP160">
        <f t="shared" si="341"/>
        <v>39.946515775698387</v>
      </c>
      <c r="AR160" s="5">
        <f t="shared" si="443"/>
        <v>25.033472396317322</v>
      </c>
      <c r="AS160" s="5">
        <f t="shared" si="440"/>
        <v>11.509955014828339</v>
      </c>
      <c r="AT160" s="5">
        <f t="shared" si="441"/>
        <v>13.523517381488983</v>
      </c>
      <c r="AU160" s="173">
        <f t="shared" si="442"/>
        <v>0.45978259957741902</v>
      </c>
      <c r="AW160" s="5">
        <f t="shared" si="342"/>
        <v>383.66516716094463</v>
      </c>
      <c r="AX160" s="5">
        <f t="shared" si="343"/>
        <v>17.984304710669281</v>
      </c>
      <c r="AY160" s="5">
        <f t="shared" si="344"/>
        <v>18.914523865642629</v>
      </c>
      <c r="AZ160" s="5"/>
      <c r="BA160" s="173">
        <f t="shared" si="345"/>
        <v>6.9432936693273266</v>
      </c>
      <c r="BB160" s="173">
        <f t="shared" si="346"/>
        <v>7.5261618390885126</v>
      </c>
      <c r="BC160" s="173">
        <f t="shared" si="347"/>
        <v>0.18535018176265045</v>
      </c>
      <c r="BD160" s="173"/>
      <c r="BE160" s="528">
        <f t="shared" si="348"/>
        <v>0.96418653957041867</v>
      </c>
      <c r="BF160" s="528">
        <f t="shared" si="464"/>
        <v>0.45783200195626256</v>
      </c>
      <c r="BG160" s="528">
        <f t="shared" si="465"/>
        <v>1.8466153001449812E-2</v>
      </c>
      <c r="BH160" s="528">
        <f t="shared" si="351"/>
        <v>4.7449435606222523E-3</v>
      </c>
      <c r="BI160">
        <f t="shared" si="352"/>
        <v>8.3208947657033919E-3</v>
      </c>
      <c r="BJ160" s="460">
        <f t="shared" si="436"/>
        <v>26.787047767153204</v>
      </c>
      <c r="BK160">
        <f t="shared" si="466"/>
        <v>2.1884466804119254</v>
      </c>
      <c r="BL160" s="460">
        <f t="shared" si="437"/>
        <v>1453.5505328544566</v>
      </c>
      <c r="BM160" s="173">
        <f t="shared" si="467"/>
        <v>3.1062499999999997</v>
      </c>
      <c r="BN160" s="173">
        <f t="shared" si="468"/>
        <v>7.7656249999999996E-2</v>
      </c>
      <c r="BO160" s="528"/>
      <c r="BQ160" s="460">
        <f t="shared" si="356"/>
        <v>3183.9062499999995</v>
      </c>
      <c r="BR160" s="528">
        <f t="shared" si="357"/>
        <v>1.4462798093556279</v>
      </c>
      <c r="BS160" s="528">
        <f t="shared" si="358"/>
        <v>1.6992933608445653</v>
      </c>
      <c r="BT160" s="528">
        <f t="shared" si="359"/>
        <v>1.7177344939723778E-4</v>
      </c>
      <c r="BU160" s="528">
        <f t="shared" si="360"/>
        <v>0.66802391008474837</v>
      </c>
      <c r="BV160" s="528"/>
      <c r="BW160" s="625">
        <f t="shared" si="469"/>
        <v>1.2565468826701565E-2</v>
      </c>
      <c r="BX160" s="460">
        <f t="shared" si="362"/>
        <v>3826.3343225610402</v>
      </c>
      <c r="BY160" s="173">
        <f t="shared" si="363"/>
        <v>8.4637911054154991</v>
      </c>
      <c r="BZ160" s="5">
        <f t="shared" si="364"/>
        <v>76</v>
      </c>
      <c r="CA160" s="173">
        <f t="shared" si="365"/>
        <v>0.89979385255331223</v>
      </c>
      <c r="CB160" s="5">
        <f t="shared" si="366"/>
        <v>89.979385255331223</v>
      </c>
      <c r="CC160">
        <f t="shared" si="367"/>
        <v>50</v>
      </c>
      <c r="CE160" s="562">
        <f t="shared" si="470"/>
        <v>-50</v>
      </c>
      <c r="CF160">
        <f t="shared" si="471"/>
        <v>-50</v>
      </c>
      <c r="CG160" s="173">
        <f t="shared" si="370"/>
        <v>0.54755043227665712</v>
      </c>
      <c r="CH160" s="173">
        <f t="shared" si="472"/>
        <v>6.4398811101315845E-2</v>
      </c>
      <c r="CI160" s="170">
        <v>50</v>
      </c>
      <c r="CJ160" s="217">
        <f t="shared" si="438"/>
        <v>5</v>
      </c>
      <c r="CK160" s="217">
        <f t="shared" si="372"/>
        <v>0.125</v>
      </c>
      <c r="CL160" s="217">
        <f t="shared" si="373"/>
        <v>75</v>
      </c>
      <c r="CM160" s="217">
        <f t="shared" si="374"/>
        <v>1</v>
      </c>
      <c r="CN160" s="541">
        <f t="shared" si="375"/>
        <v>19</v>
      </c>
      <c r="CO160" s="443">
        <f t="shared" si="473"/>
        <v>15.7</v>
      </c>
      <c r="CP160" s="443">
        <f t="shared" si="474"/>
        <v>34.700000000000003</v>
      </c>
      <c r="CQ160" s="443"/>
      <c r="CR160" s="217">
        <f t="shared" si="378"/>
        <v>0.44767441860465118</v>
      </c>
      <c r="CS160" s="172">
        <f t="shared" si="379"/>
        <v>209.84738372093025</v>
      </c>
      <c r="CT160" s="172">
        <f t="shared" si="380"/>
        <v>2.835271317829458</v>
      </c>
      <c r="CU160" s="217">
        <f t="shared" si="381"/>
        <v>13.989825581395349</v>
      </c>
      <c r="CV160" s="217">
        <f t="shared" si="382"/>
        <v>26.230922965116282</v>
      </c>
      <c r="CW160" s="217">
        <f t="shared" si="383"/>
        <v>15</v>
      </c>
      <c r="CX160" s="217">
        <f t="shared" si="384"/>
        <v>17.870129870129869</v>
      </c>
      <c r="CY160" s="217">
        <f t="shared" si="385"/>
        <v>11.286397812713602</v>
      </c>
      <c r="CZ160" s="217">
        <f t="shared" si="386"/>
        <v>13.658697989908182</v>
      </c>
      <c r="DA160" s="197">
        <f t="shared" si="387"/>
        <v>71.63784822286263</v>
      </c>
      <c r="DB160" s="443">
        <f t="shared" si="388"/>
        <v>40.088040066572837</v>
      </c>
      <c r="DD160" s="217">
        <f t="shared" si="389"/>
        <v>10.000000000000002</v>
      </c>
      <c r="DE160" s="173">
        <f t="shared" si="390"/>
        <v>7.6433121019108299</v>
      </c>
      <c r="DF160" s="173">
        <f t="shared" si="391"/>
        <v>2.7017291066282429</v>
      </c>
      <c r="DG160" s="173"/>
      <c r="DH160" s="173">
        <f t="shared" si="392"/>
        <v>7.6433121019108281</v>
      </c>
      <c r="DI160" s="545">
        <f t="shared" si="393"/>
        <v>130.83333333333334</v>
      </c>
      <c r="DJ160" s="528">
        <f t="shared" si="394"/>
        <v>2.7377521613832849</v>
      </c>
      <c r="DL160" s="173">
        <f t="shared" si="395"/>
        <v>6.0158520751823836</v>
      </c>
      <c r="DM160" s="173">
        <f t="shared" si="396"/>
        <v>17.870129870129869</v>
      </c>
      <c r="DN160" s="173">
        <f t="shared" si="397"/>
        <v>7.0297258297258285</v>
      </c>
      <c r="DP160" s="545">
        <f t="shared" si="398"/>
        <v>5000</v>
      </c>
      <c r="DQ160" s="460">
        <f t="shared" si="399"/>
        <v>40.088040066572837</v>
      </c>
      <c r="DS160">
        <f t="shared" si="400"/>
        <v>5000</v>
      </c>
      <c r="DT160">
        <f t="shared" si="401"/>
        <v>40.088040066572837</v>
      </c>
      <c r="DV160" s="5">
        <f t="shared" si="402"/>
        <v>24.945095802621786</v>
      </c>
      <c r="DW160" s="5">
        <f t="shared" si="403"/>
        <v>11.286397812713602</v>
      </c>
      <c r="DX160" s="5">
        <f t="shared" si="404"/>
        <v>13.658697989908184</v>
      </c>
      <c r="DY160" s="173">
        <f t="shared" si="405"/>
        <v>0.45244956772334288</v>
      </c>
      <c r="EA160" s="5">
        <f t="shared" si="406"/>
        <v>376.21326042378672</v>
      </c>
      <c r="EB160" s="5">
        <f t="shared" si="407"/>
        <v>17.634996582365005</v>
      </c>
      <c r="EC160" s="5">
        <f t="shared" si="408"/>
        <v>18.5916941786409</v>
      </c>
      <c r="ED160" s="5"/>
      <c r="EE160" s="173">
        <f t="shared" si="409"/>
        <v>6.9398833429641531</v>
      </c>
      <c r="EF160" s="173">
        <f t="shared" si="410"/>
        <v>7.6344744227190446</v>
      </c>
      <c r="EG160" s="173">
        <f t="shared" si="411"/>
        <v>0.188017644606571</v>
      </c>
      <c r="EH160" s="173"/>
      <c r="EI160" s="528">
        <f t="shared" si="412"/>
        <v>0.96323961627902621</v>
      </c>
      <c r="EJ160" s="528">
        <f t="shared" si="413"/>
        <v>0.4971666666666667</v>
      </c>
      <c r="EK160" s="528">
        <f t="shared" si="414"/>
        <v>5.0110050083216045E-3</v>
      </c>
      <c r="EL160" s="528">
        <f t="shared" si="415"/>
        <v>4.8269608163759702E-3</v>
      </c>
      <c r="EM160">
        <f t="shared" si="416"/>
        <v>8.5500000000000003E-3</v>
      </c>
      <c r="EN160" s="460">
        <f t="shared" si="417"/>
        <v>13.561005008321604</v>
      </c>
      <c r="EP160" s="460">
        <f t="shared" si="439"/>
        <v>1478.7942487703906</v>
      </c>
      <c r="EQ160" s="173">
        <f t="shared" si="418"/>
        <v>3.5</v>
      </c>
      <c r="ER160" s="173">
        <f t="shared" si="475"/>
        <v>5.5468749999999997E-2</v>
      </c>
      <c r="ES160" s="528"/>
      <c r="EU160" s="460">
        <f t="shared" si="420"/>
        <v>3555.46875</v>
      </c>
      <c r="EV160" s="528">
        <f t="shared" si="421"/>
        <v>1.4448594244185393</v>
      </c>
      <c r="EW160" s="528">
        <f t="shared" si="422"/>
        <v>1.7485559913345388</v>
      </c>
      <c r="EX160" s="528">
        <f t="shared" si="423"/>
        <v>1.7675317341701421E-4</v>
      </c>
      <c r="EY160" s="528">
        <f t="shared" si="424"/>
        <v>0.68679375210278804</v>
      </c>
      <c r="EZ160" s="528"/>
      <c r="FA160" s="625">
        <f t="shared" si="425"/>
        <v>1.2801776513592074E-2</v>
      </c>
      <c r="FB160" s="460">
        <f t="shared" si="426"/>
        <v>3893.1876975428754</v>
      </c>
      <c r="FC160" s="173">
        <f t="shared" si="427"/>
        <v>8.9274506963132669</v>
      </c>
      <c r="FD160" s="5">
        <f t="shared" si="428"/>
        <v>76</v>
      </c>
      <c r="FE160" s="173">
        <f t="shared" si="429"/>
        <v>0.89488144736339281</v>
      </c>
      <c r="FF160" s="5">
        <f t="shared" si="430"/>
        <v>89.488144736339279</v>
      </c>
      <c r="FG160">
        <f t="shared" si="431"/>
        <v>50</v>
      </c>
      <c r="FI160" s="562">
        <f t="shared" si="432"/>
        <v>-50</v>
      </c>
      <c r="FJ160">
        <f t="shared" si="433"/>
        <v>-50</v>
      </c>
    </row>
    <row r="161" spans="5:166">
      <c r="E161" s="170">
        <v>51</v>
      </c>
      <c r="F161" s="217">
        <f t="shared" si="476"/>
        <v>5.0999999999999996</v>
      </c>
      <c r="G161" s="217">
        <f t="shared" si="444"/>
        <v>0.1275</v>
      </c>
      <c r="H161" s="217">
        <f t="shared" si="445"/>
        <v>76.5</v>
      </c>
      <c r="I161" s="217">
        <f t="shared" si="446"/>
        <v>1.02</v>
      </c>
      <c r="J161" s="541">
        <f t="shared" si="447"/>
        <v>18.48069480226102</v>
      </c>
      <c r="K161" s="443">
        <f t="shared" si="448"/>
        <v>15.979426315789473</v>
      </c>
      <c r="L161" s="172">
        <f t="shared" si="449"/>
        <v>34.460121118050495</v>
      </c>
      <c r="M161" s="443"/>
      <c r="N161" s="217">
        <f t="shared" si="450"/>
        <v>0.46370778155562892</v>
      </c>
      <c r="O161" s="172">
        <f t="shared" si="451"/>
        <v>211.4220885286949</v>
      </c>
      <c r="P161" s="172">
        <f t="shared" si="452"/>
        <v>2.8565473294543668</v>
      </c>
      <c r="Q161" s="217">
        <f t="shared" si="322"/>
        <v>14.094805901912993</v>
      </c>
      <c r="R161" s="217">
        <f t="shared" si="453"/>
        <v>26.427761066086862</v>
      </c>
      <c r="S161" s="217">
        <f t="shared" si="454"/>
        <v>15</v>
      </c>
      <c r="T161" s="217">
        <f t="shared" si="455"/>
        <v>18.09177095268765</v>
      </c>
      <c r="U161" s="217">
        <f t="shared" si="326"/>
        <v>11.747461540552607</v>
      </c>
      <c r="V161" s="217">
        <f t="shared" si="327"/>
        <v>13.58629822759853</v>
      </c>
      <c r="W161" s="197">
        <f t="shared" si="328"/>
        <v>71.413683236359162</v>
      </c>
      <c r="X161" s="443">
        <f t="shared" si="435"/>
        <v>39.163836782365429</v>
      </c>
      <c r="Z161" s="217">
        <f t="shared" si="329"/>
        <v>10</v>
      </c>
      <c r="AA161" s="173">
        <f t="shared" si="330"/>
        <v>7.509656331117875</v>
      </c>
      <c r="AB161" s="173">
        <f t="shared" si="456"/>
        <v>2.6461787094294622</v>
      </c>
      <c r="AC161" s="173"/>
      <c r="AD161" s="173">
        <f t="shared" si="332"/>
        <v>7.509656331117875</v>
      </c>
      <c r="AE161" s="545">
        <f t="shared" si="457"/>
        <v>135.82512368421052</v>
      </c>
      <c r="AF161" s="528">
        <f t="shared" si="458"/>
        <v>2.6814610922218551</v>
      </c>
      <c r="AH161" s="173">
        <f t="shared" si="459"/>
        <v>6.0757127741760231</v>
      </c>
      <c r="AI161" s="173">
        <f t="shared" si="460"/>
        <v>18.09177095268765</v>
      </c>
      <c r="AJ161" s="173">
        <f t="shared" si="461"/>
        <v>7.1939044093982591</v>
      </c>
      <c r="AL161" s="545">
        <f t="shared" si="462"/>
        <v>5100</v>
      </c>
      <c r="AM161" s="460">
        <f t="shared" si="463"/>
        <v>39.163836782365429</v>
      </c>
      <c r="AO161">
        <f t="shared" si="340"/>
        <v>5100</v>
      </c>
      <c r="AP161">
        <f t="shared" si="341"/>
        <v>39.163836782365429</v>
      </c>
      <c r="AR161" s="5">
        <f t="shared" si="443"/>
        <v>25.533759768151135</v>
      </c>
      <c r="AS161" s="5">
        <f t="shared" si="440"/>
        <v>11.747461540552607</v>
      </c>
      <c r="AT161" s="5">
        <f t="shared" si="441"/>
        <v>13.786298227598529</v>
      </c>
      <c r="AU161" s="173">
        <f t="shared" si="442"/>
        <v>0.46007566638131742</v>
      </c>
      <c r="AW161" s="5">
        <f t="shared" si="342"/>
        <v>399.4136923787886</v>
      </c>
      <c r="AX161" s="5">
        <f t="shared" si="343"/>
        <v>18.722516830255717</v>
      </c>
      <c r="AY161" s="5">
        <f t="shared" si="344"/>
        <v>19.678537162340589</v>
      </c>
      <c r="AZ161" s="5"/>
      <c r="BA161" s="173">
        <f t="shared" si="345"/>
        <v>7.0849221962797007</v>
      </c>
      <c r="BB161" s="173">
        <f t="shared" si="346"/>
        <v>7.6751505657870158</v>
      </c>
      <c r="BC161" s="173">
        <f t="shared" si="347"/>
        <v>0.18901939432604889</v>
      </c>
      <c r="BD161" s="173"/>
      <c r="BE161" s="528">
        <f t="shared" si="348"/>
        <v>1.0039224505467355</v>
      </c>
      <c r="BF161" s="528">
        <f t="shared" si="464"/>
        <v>0.45780906136418376</v>
      </c>
      <c r="BG161" s="528">
        <f t="shared" si="465"/>
        <v>1.8094372871511492E-2</v>
      </c>
      <c r="BH161" s="528">
        <f t="shared" si="351"/>
        <v>4.6507054121810399E-3</v>
      </c>
      <c r="BI161">
        <f t="shared" si="352"/>
        <v>8.3163126610174588E-3</v>
      </c>
      <c r="BJ161" s="460">
        <f t="shared" si="436"/>
        <v>26.410685532528952</v>
      </c>
      <c r="BK161">
        <f t="shared" si="466"/>
        <v>2.2816995858220386</v>
      </c>
      <c r="BL161" s="460">
        <f t="shared" si="437"/>
        <v>1492.7929028556293</v>
      </c>
      <c r="BM161" s="173">
        <f t="shared" si="467"/>
        <v>3.1683749999999993</v>
      </c>
      <c r="BN161" s="173">
        <f t="shared" si="468"/>
        <v>7.9209374999999999E-2</v>
      </c>
      <c r="BO161" s="528"/>
      <c r="BQ161" s="460">
        <f t="shared" si="356"/>
        <v>3247.5843749999995</v>
      </c>
      <c r="BR161" s="528">
        <f t="shared" si="357"/>
        <v>1.5058836758201033</v>
      </c>
      <c r="BS161" s="528">
        <f t="shared" si="358"/>
        <v>1.7672380862250223</v>
      </c>
      <c r="BT161" s="528">
        <f t="shared" si="359"/>
        <v>1.7864165715693184E-4</v>
      </c>
      <c r="BU161" s="528">
        <f t="shared" si="360"/>
        <v>0.66816817497539982</v>
      </c>
      <c r="BV161" s="528"/>
      <c r="BW161" s="625">
        <f t="shared" si="469"/>
        <v>1.2818800645754365E-2</v>
      </c>
      <c r="BX161" s="460">
        <f t="shared" si="362"/>
        <v>3954.2873793234367</v>
      </c>
      <c r="BY161" s="173">
        <f t="shared" si="363"/>
        <v>8.6946646571790662</v>
      </c>
      <c r="BZ161" s="5">
        <f t="shared" si="364"/>
        <v>77.52</v>
      </c>
      <c r="CA161" s="173">
        <f t="shared" si="365"/>
        <v>0.89915097748448924</v>
      </c>
      <c r="CB161" s="5">
        <f t="shared" si="366"/>
        <v>89.915097748448929</v>
      </c>
      <c r="CC161">
        <f t="shared" si="367"/>
        <v>51</v>
      </c>
      <c r="CE161" s="562">
        <f t="shared" si="470"/>
        <v>-50</v>
      </c>
      <c r="CF161">
        <f t="shared" si="471"/>
        <v>-50</v>
      </c>
      <c r="CG161" s="173">
        <f t="shared" si="370"/>
        <v>0.54755043227665712</v>
      </c>
      <c r="CH161" s="173">
        <f t="shared" si="472"/>
        <v>6.4398811101315859E-2</v>
      </c>
      <c r="CI161" s="170">
        <v>51</v>
      </c>
      <c r="CJ161" s="217">
        <f t="shared" si="438"/>
        <v>5.0999999999999996</v>
      </c>
      <c r="CK161" s="217">
        <f t="shared" si="372"/>
        <v>0.1275</v>
      </c>
      <c r="CL161" s="217">
        <f t="shared" si="373"/>
        <v>76.5</v>
      </c>
      <c r="CM161" s="217">
        <f t="shared" si="374"/>
        <v>1.02</v>
      </c>
      <c r="CN161" s="541">
        <f t="shared" si="375"/>
        <v>19</v>
      </c>
      <c r="CO161" s="443">
        <f t="shared" si="473"/>
        <v>15.7</v>
      </c>
      <c r="CP161" s="443">
        <f t="shared" si="474"/>
        <v>34.700000000000003</v>
      </c>
      <c r="CQ161" s="443"/>
      <c r="CR161" s="217">
        <f t="shared" si="378"/>
        <v>0.44767441860465118</v>
      </c>
      <c r="CS161" s="172">
        <f t="shared" si="379"/>
        <v>209.84738372093025</v>
      </c>
      <c r="CT161" s="172">
        <f t="shared" si="380"/>
        <v>2.835271317829458</v>
      </c>
      <c r="CU161" s="217">
        <f t="shared" si="381"/>
        <v>13.989825581395349</v>
      </c>
      <c r="CV161" s="217">
        <f t="shared" si="382"/>
        <v>26.230922965116282</v>
      </c>
      <c r="CW161" s="217">
        <f t="shared" si="383"/>
        <v>15</v>
      </c>
      <c r="CX161" s="217">
        <f t="shared" si="384"/>
        <v>18.227532467532466</v>
      </c>
      <c r="CY161" s="217">
        <f t="shared" si="385"/>
        <v>11.512125768967874</v>
      </c>
      <c r="CZ161" s="217">
        <f t="shared" si="386"/>
        <v>13.931871949706345</v>
      </c>
      <c r="DA161" s="197">
        <f t="shared" si="387"/>
        <v>71.63784822286263</v>
      </c>
      <c r="DB161" s="443">
        <f t="shared" si="388"/>
        <v>39.302000065267492</v>
      </c>
      <c r="DD161" s="217">
        <f t="shared" si="389"/>
        <v>10.000000000000002</v>
      </c>
      <c r="DE161" s="173">
        <f t="shared" si="390"/>
        <v>7.6433121019108299</v>
      </c>
      <c r="DF161" s="173">
        <f t="shared" si="391"/>
        <v>2.7017291066282429</v>
      </c>
      <c r="DG161" s="173"/>
      <c r="DH161" s="173">
        <f t="shared" si="392"/>
        <v>7.6433121019108281</v>
      </c>
      <c r="DI161" s="545">
        <f t="shared" si="393"/>
        <v>133.44999999999999</v>
      </c>
      <c r="DJ161" s="528">
        <f t="shared" si="394"/>
        <v>2.7377521613832849</v>
      </c>
      <c r="DL161" s="173">
        <f t="shared" si="395"/>
        <v>6.0757127741760231</v>
      </c>
      <c r="DM161" s="173">
        <f t="shared" si="396"/>
        <v>18.227532467532466</v>
      </c>
      <c r="DN161" s="173">
        <f t="shared" si="397"/>
        <v>7.2944684944684939</v>
      </c>
      <c r="DP161" s="545">
        <f t="shared" si="398"/>
        <v>5100</v>
      </c>
      <c r="DQ161" s="460">
        <f t="shared" si="399"/>
        <v>39.302000065267492</v>
      </c>
      <c r="DS161">
        <f t="shared" si="400"/>
        <v>5100</v>
      </c>
      <c r="DT161">
        <f t="shared" si="401"/>
        <v>39.302000065267492</v>
      </c>
      <c r="DV161" s="5">
        <f t="shared" si="402"/>
        <v>25.443997718674218</v>
      </c>
      <c r="DW161" s="5">
        <f t="shared" si="403"/>
        <v>11.512125768967874</v>
      </c>
      <c r="DX161" s="5">
        <f t="shared" si="404"/>
        <v>13.931871949706345</v>
      </c>
      <c r="DY161" s="173">
        <f t="shared" si="405"/>
        <v>0.45244956772334294</v>
      </c>
      <c r="EA161" s="5">
        <f t="shared" si="406"/>
        <v>391.41227614490771</v>
      </c>
      <c r="EB161" s="5">
        <f t="shared" si="407"/>
        <v>18.347450444292548</v>
      </c>
      <c r="EC161" s="5">
        <f t="shared" si="408"/>
        <v>19.342798623457988</v>
      </c>
      <c r="ED161" s="5"/>
      <c r="EE161" s="173">
        <f t="shared" si="409"/>
        <v>7.0786810098234358</v>
      </c>
      <c r="EF161" s="173">
        <f t="shared" si="410"/>
        <v>7.7871639111734252</v>
      </c>
      <c r="EG161" s="173">
        <f t="shared" si="411"/>
        <v>0.19177799749870239</v>
      </c>
      <c r="EH161" s="173"/>
      <c r="EI161" s="528">
        <f t="shared" si="412"/>
        <v>1.0021544967766989</v>
      </c>
      <c r="EJ161" s="528">
        <f t="shared" si="413"/>
        <v>0.4971666666666667</v>
      </c>
      <c r="EK161" s="528">
        <f t="shared" si="414"/>
        <v>4.9127500081584362E-3</v>
      </c>
      <c r="EL161" s="528">
        <f t="shared" si="415"/>
        <v>4.7323145258587945E-3</v>
      </c>
      <c r="EM161">
        <f t="shared" si="416"/>
        <v>8.5500000000000003E-3</v>
      </c>
      <c r="EN161" s="460">
        <f t="shared" si="417"/>
        <v>13.462750008158437</v>
      </c>
      <c r="EP161" s="460">
        <f t="shared" si="439"/>
        <v>1517.5162279773831</v>
      </c>
      <c r="EQ161" s="173">
        <f t="shared" si="418"/>
        <v>3.5699999999999994</v>
      </c>
      <c r="ER161" s="173">
        <f t="shared" si="475"/>
        <v>5.6578125E-2</v>
      </c>
      <c r="ES161" s="528"/>
      <c r="EU161" s="460">
        <f t="shared" si="420"/>
        <v>3626.5781249999995</v>
      </c>
      <c r="EV161" s="528">
        <f t="shared" si="421"/>
        <v>1.5032317451650481</v>
      </c>
      <c r="EW161" s="528">
        <f t="shared" si="422"/>
        <v>1.8191976533844538</v>
      </c>
      <c r="EX161" s="528">
        <f t="shared" si="423"/>
        <v>1.8389400162306151E-4</v>
      </c>
      <c r="EY161" s="528">
        <f t="shared" si="424"/>
        <v>0.6867937521027887</v>
      </c>
      <c r="EZ161" s="528"/>
      <c r="FA161" s="625">
        <f t="shared" si="425"/>
        <v>1.3057812043863916E-2</v>
      </c>
      <c r="FB161" s="460">
        <f t="shared" si="426"/>
        <v>4022.464856697778</v>
      </c>
      <c r="FC161" s="173">
        <f t="shared" si="427"/>
        <v>9.1665592096751585</v>
      </c>
      <c r="FD161" s="5">
        <f t="shared" si="428"/>
        <v>77.52</v>
      </c>
      <c r="FE161" s="173">
        <f t="shared" si="429"/>
        <v>0.89425628040555483</v>
      </c>
      <c r="FF161" s="5">
        <f t="shared" si="430"/>
        <v>89.42562804055548</v>
      </c>
      <c r="FG161">
        <f t="shared" si="431"/>
        <v>51</v>
      </c>
      <c r="FI161" s="562">
        <f t="shared" si="432"/>
        <v>-50</v>
      </c>
      <c r="FJ161">
        <f t="shared" si="433"/>
        <v>-50</v>
      </c>
    </row>
    <row r="162" spans="5:166">
      <c r="E162" s="170">
        <v>52</v>
      </c>
      <c r="F162" s="217">
        <f t="shared" si="476"/>
        <v>5.2</v>
      </c>
      <c r="G162" s="217">
        <f t="shared" si="444"/>
        <v>0.13</v>
      </c>
      <c r="H162" s="217">
        <f t="shared" si="445"/>
        <v>78</v>
      </c>
      <c r="I162" s="217">
        <f t="shared" si="446"/>
        <v>1.04</v>
      </c>
      <c r="J162" s="541">
        <f t="shared" si="447"/>
        <v>18.470512347403393</v>
      </c>
      <c r="K162" s="443">
        <f t="shared" si="448"/>
        <v>15.984905263157895</v>
      </c>
      <c r="L162" s="172">
        <f t="shared" si="449"/>
        <v>34.455417610561284</v>
      </c>
      <c r="M162" s="443"/>
      <c r="N162" s="217">
        <f t="shared" si="450"/>
        <v>0.46393009783919142</v>
      </c>
      <c r="O162" s="172">
        <f t="shared" si="451"/>
        <v>211.40690626161637</v>
      </c>
      <c r="P162" s="172">
        <f t="shared" si="452"/>
        <v>2.8563422001569503</v>
      </c>
      <c r="Q162" s="217">
        <f t="shared" si="322"/>
        <v>14.093793750774426</v>
      </c>
      <c r="R162" s="217">
        <f t="shared" si="453"/>
        <v>26.425863282702046</v>
      </c>
      <c r="S162" s="217">
        <f t="shared" si="454"/>
        <v>15</v>
      </c>
      <c r="T162" s="217">
        <f t="shared" si="455"/>
        <v>18.447836302820424</v>
      </c>
      <c r="U162" s="217">
        <f t="shared" si="326"/>
        <v>11.985267732162619</v>
      </c>
      <c r="V162" s="217">
        <f t="shared" si="327"/>
        <v>13.848942611131346</v>
      </c>
      <c r="W162" s="197">
        <f t="shared" si="328"/>
        <v>71.408555003923738</v>
      </c>
      <c r="X162" s="443">
        <f t="shared" si="435"/>
        <v>38.410997945155096</v>
      </c>
      <c r="Z162" s="217">
        <f t="shared" si="329"/>
        <v>10</v>
      </c>
      <c r="AA162" s="173">
        <f t="shared" si="330"/>
        <v>7.5070823395229445</v>
      </c>
      <c r="AB162" s="173">
        <f t="shared" si="456"/>
        <v>2.6450817540829372</v>
      </c>
      <c r="AC162" s="173"/>
      <c r="AD162" s="173">
        <f t="shared" si="332"/>
        <v>7.5070823395229445</v>
      </c>
      <c r="AE162" s="545">
        <f t="shared" si="457"/>
        <v>138.53584561403508</v>
      </c>
      <c r="AF162" s="528">
        <f t="shared" si="458"/>
        <v>2.6803495108040436</v>
      </c>
      <c r="AH162" s="173">
        <f t="shared" si="459"/>
        <v>6.1349894244485244</v>
      </c>
      <c r="AI162" s="173">
        <f t="shared" si="460"/>
        <v>18.447836302820424</v>
      </c>
      <c r="AJ162" s="173">
        <f t="shared" si="461"/>
        <v>7.4576565206077214</v>
      </c>
      <c r="AL162" s="545">
        <f t="shared" si="462"/>
        <v>5200</v>
      </c>
      <c r="AM162" s="460">
        <f t="shared" si="463"/>
        <v>38.410997945155096</v>
      </c>
      <c r="AO162">
        <f t="shared" si="340"/>
        <v>5200</v>
      </c>
      <c r="AP162">
        <f t="shared" si="341"/>
        <v>38.410997945155096</v>
      </c>
      <c r="AR162" s="5">
        <f t="shared" si="443"/>
        <v>26.034210343293964</v>
      </c>
      <c r="AS162" s="5">
        <f t="shared" si="440"/>
        <v>11.985267732162619</v>
      </c>
      <c r="AT162" s="5">
        <f t="shared" si="441"/>
        <v>14.048942611131345</v>
      </c>
      <c r="AU162" s="173">
        <f t="shared" si="442"/>
        <v>0.46036609423223201</v>
      </c>
      <c r="AW162" s="5">
        <f t="shared" si="342"/>
        <v>415.48928138163745</v>
      </c>
      <c r="AX162" s="5">
        <f t="shared" si="343"/>
        <v>19.476060064764255</v>
      </c>
      <c r="AY162" s="5">
        <f t="shared" si="344"/>
        <v>20.457911751584991</v>
      </c>
      <c r="AZ162" s="5"/>
      <c r="BA162" s="173">
        <f t="shared" si="345"/>
        <v>7.2266408914535347</v>
      </c>
      <c r="BB162" s="173">
        <f t="shared" si="346"/>
        <v>7.8241005560506034</v>
      </c>
      <c r="BC162" s="173">
        <f t="shared" si="347"/>
        <v>0.19268765290979528</v>
      </c>
      <c r="BD162" s="173"/>
      <c r="BE162" s="528">
        <f t="shared" si="348"/>
        <v>1.0444867714805668</v>
      </c>
      <c r="BF162" s="528">
        <f t="shared" si="464"/>
        <v>0.45778316451943912</v>
      </c>
      <c r="BG162" s="528">
        <f t="shared" si="465"/>
        <v>1.7736770295551839E-2</v>
      </c>
      <c r="BH162" s="528">
        <f t="shared" si="351"/>
        <v>4.5600607318745734E-3</v>
      </c>
      <c r="BI162">
        <f t="shared" si="352"/>
        <v>8.3117305563315258E-3</v>
      </c>
      <c r="BJ162" s="460">
        <f t="shared" si="436"/>
        <v>26.048500851883365</v>
      </c>
      <c r="BK162">
        <f t="shared" si="466"/>
        <v>2.3793165481874161</v>
      </c>
      <c r="BL162" s="460">
        <f t="shared" si="437"/>
        <v>1532.8784975837639</v>
      </c>
      <c r="BM162" s="173">
        <f t="shared" si="467"/>
        <v>3.2304999999999997</v>
      </c>
      <c r="BN162" s="173">
        <f t="shared" si="468"/>
        <v>8.0762499999999987E-2</v>
      </c>
      <c r="BO162" s="528"/>
      <c r="BQ162" s="460">
        <f t="shared" si="356"/>
        <v>3311.2624999999998</v>
      </c>
      <c r="BR162" s="528">
        <f t="shared" si="357"/>
        <v>1.5667301572208501</v>
      </c>
      <c r="BS162" s="528">
        <f t="shared" si="358"/>
        <v>1.8364964853357408</v>
      </c>
      <c r="BT162" s="528">
        <f t="shared" si="359"/>
        <v>1.856426579194287E-4</v>
      </c>
      <c r="BU162" s="528">
        <f t="shared" si="360"/>
        <v>0.66830170857415694</v>
      </c>
      <c r="BV162" s="528"/>
      <c r="BW162" s="625">
        <f t="shared" si="469"/>
        <v>1.307213315741383E-2</v>
      </c>
      <c r="BX162" s="460">
        <f t="shared" si="362"/>
        <v>4084.7861269460814</v>
      </c>
      <c r="BY162" s="173">
        <f t="shared" si="363"/>
        <v>8.9289271245298441</v>
      </c>
      <c r="BZ162" s="5">
        <f t="shared" si="364"/>
        <v>79.040000000000006</v>
      </c>
      <c r="CA162" s="173">
        <f t="shared" si="365"/>
        <v>0.89849907897717163</v>
      </c>
      <c r="CB162" s="5">
        <f t="shared" si="366"/>
        <v>89.849907897717159</v>
      </c>
      <c r="CC162">
        <f t="shared" si="367"/>
        <v>52</v>
      </c>
      <c r="CE162" s="562">
        <f t="shared" si="470"/>
        <v>-50</v>
      </c>
      <c r="CF162">
        <f t="shared" si="471"/>
        <v>-50</v>
      </c>
      <c r="CG162" s="173">
        <f t="shared" si="370"/>
        <v>0.54755043227665701</v>
      </c>
      <c r="CH162" s="173">
        <f t="shared" si="472"/>
        <v>6.4398811101315845E-2</v>
      </c>
      <c r="CI162" s="170">
        <v>52</v>
      </c>
      <c r="CJ162" s="217">
        <f t="shared" si="438"/>
        <v>5.2</v>
      </c>
      <c r="CK162" s="217">
        <f t="shared" si="372"/>
        <v>0.13</v>
      </c>
      <c r="CL162" s="217">
        <f t="shared" si="373"/>
        <v>78</v>
      </c>
      <c r="CM162" s="217">
        <f t="shared" si="374"/>
        <v>1.04</v>
      </c>
      <c r="CN162" s="541">
        <f t="shared" si="375"/>
        <v>19</v>
      </c>
      <c r="CO162" s="443">
        <f t="shared" si="473"/>
        <v>15.7</v>
      </c>
      <c r="CP162" s="443">
        <f t="shared" si="474"/>
        <v>34.700000000000003</v>
      </c>
      <c r="CQ162" s="443"/>
      <c r="CR162" s="217">
        <f t="shared" si="378"/>
        <v>0.44767441860465118</v>
      </c>
      <c r="CS162" s="172">
        <f t="shared" si="379"/>
        <v>209.84738372093025</v>
      </c>
      <c r="CT162" s="172">
        <f t="shared" si="380"/>
        <v>2.835271317829458</v>
      </c>
      <c r="CU162" s="217">
        <f t="shared" si="381"/>
        <v>13.989825581395349</v>
      </c>
      <c r="CV162" s="217">
        <f t="shared" si="382"/>
        <v>26.230922965116282</v>
      </c>
      <c r="CW162" s="217">
        <f t="shared" si="383"/>
        <v>15</v>
      </c>
      <c r="CX162" s="217">
        <f t="shared" si="384"/>
        <v>18.584935064935067</v>
      </c>
      <c r="CY162" s="217">
        <f t="shared" si="385"/>
        <v>11.737853725222148</v>
      </c>
      <c r="CZ162" s="217">
        <f t="shared" si="386"/>
        <v>14.205045909504511</v>
      </c>
      <c r="DA162" s="197">
        <f t="shared" si="387"/>
        <v>71.63784822286263</v>
      </c>
      <c r="DB162" s="443">
        <f t="shared" si="388"/>
        <v>38.546192371704649</v>
      </c>
      <c r="DD162" s="217">
        <f t="shared" si="389"/>
        <v>10.000000000000002</v>
      </c>
      <c r="DE162" s="173">
        <f t="shared" si="390"/>
        <v>7.6433121019108299</v>
      </c>
      <c r="DF162" s="173">
        <f t="shared" si="391"/>
        <v>2.7017291066282429</v>
      </c>
      <c r="DG162" s="173"/>
      <c r="DH162" s="173">
        <f t="shared" si="392"/>
        <v>7.6433121019108281</v>
      </c>
      <c r="DI162" s="545">
        <f t="shared" si="393"/>
        <v>136.06666666666669</v>
      </c>
      <c r="DJ162" s="528">
        <f t="shared" si="394"/>
        <v>2.7377521613832849</v>
      </c>
      <c r="DL162" s="173">
        <f t="shared" si="395"/>
        <v>6.1349894244485244</v>
      </c>
      <c r="DM162" s="173">
        <f t="shared" si="396"/>
        <v>18.584935064935067</v>
      </c>
      <c r="DN162" s="173">
        <f t="shared" si="397"/>
        <v>7.5592111592111602</v>
      </c>
      <c r="DP162" s="545">
        <f t="shared" si="398"/>
        <v>5200</v>
      </c>
      <c r="DQ162" s="460">
        <f t="shared" si="399"/>
        <v>38.546192371704649</v>
      </c>
      <c r="DS162">
        <f t="shared" si="400"/>
        <v>5200</v>
      </c>
      <c r="DT162">
        <f t="shared" si="401"/>
        <v>38.546192371704649</v>
      </c>
      <c r="DV162" s="5">
        <f t="shared" si="402"/>
        <v>25.942899634726658</v>
      </c>
      <c r="DW162" s="5">
        <f t="shared" si="403"/>
        <v>11.737853725222148</v>
      </c>
      <c r="DX162" s="5">
        <f t="shared" si="404"/>
        <v>14.205045909504509</v>
      </c>
      <c r="DY162" s="173">
        <f t="shared" si="405"/>
        <v>0.45244956772334299</v>
      </c>
      <c r="EA162" s="5">
        <f t="shared" si="406"/>
        <v>406.91226247436782</v>
      </c>
      <c r="EB162" s="5">
        <f t="shared" si="407"/>
        <v>19.074012303485993</v>
      </c>
      <c r="EC162" s="5">
        <f t="shared" si="408"/>
        <v>20.108776423617996</v>
      </c>
      <c r="ED162" s="5"/>
      <c r="EE162" s="173">
        <f t="shared" si="409"/>
        <v>7.2174786766827213</v>
      </c>
      <c r="EF162" s="173">
        <f t="shared" si="410"/>
        <v>7.9398533996278067</v>
      </c>
      <c r="EG162" s="173">
        <f t="shared" si="411"/>
        <v>0.19553835039083384</v>
      </c>
      <c r="EH162" s="173"/>
      <c r="EI162" s="528">
        <f t="shared" si="412"/>
        <v>1.0418399689673954</v>
      </c>
      <c r="EJ162" s="528">
        <f t="shared" si="413"/>
        <v>0.4971666666666667</v>
      </c>
      <c r="EK162" s="528">
        <f t="shared" si="414"/>
        <v>4.8182740464630808E-3</v>
      </c>
      <c r="EL162" s="528">
        <f t="shared" si="415"/>
        <v>4.6413084772845862E-3</v>
      </c>
      <c r="EM162">
        <f t="shared" si="416"/>
        <v>8.5500000000000003E-3</v>
      </c>
      <c r="EN162" s="460">
        <f t="shared" si="417"/>
        <v>13.368274046463082</v>
      </c>
      <c r="EP162" s="460">
        <f t="shared" si="439"/>
        <v>1557.0162181578098</v>
      </c>
      <c r="EQ162" s="173">
        <f t="shared" si="418"/>
        <v>3.6399999999999997</v>
      </c>
      <c r="ER162" s="173">
        <f t="shared" si="475"/>
        <v>5.7687499999999996E-2</v>
      </c>
      <c r="ES162" s="528"/>
      <c r="EU162" s="460">
        <f t="shared" si="420"/>
        <v>3697.6875</v>
      </c>
      <c r="EV162" s="528">
        <f t="shared" si="421"/>
        <v>1.562759953451093</v>
      </c>
      <c r="EW162" s="528">
        <f t="shared" si="422"/>
        <v>1.8912381602274371</v>
      </c>
      <c r="EX162" s="528">
        <f t="shared" si="423"/>
        <v>1.9117623236784254E-4</v>
      </c>
      <c r="EY162" s="528">
        <f t="shared" si="424"/>
        <v>0.68679375210278926</v>
      </c>
      <c r="EZ162" s="528"/>
      <c r="FA162" s="625">
        <f t="shared" si="425"/>
        <v>1.3313847574135758E-2</v>
      </c>
      <c r="FB162" s="460">
        <f t="shared" si="426"/>
        <v>4154.2968895878221</v>
      </c>
      <c r="FC162" s="173">
        <f t="shared" si="427"/>
        <v>9.4090006077456323</v>
      </c>
      <c r="FD162" s="5">
        <f t="shared" si="428"/>
        <v>79.040000000000006</v>
      </c>
      <c r="FE162" s="173">
        <f t="shared" si="429"/>
        <v>0.89362230728334924</v>
      </c>
      <c r="FF162" s="5">
        <f t="shared" si="430"/>
        <v>89.362230728334922</v>
      </c>
      <c r="FG162">
        <f t="shared" si="431"/>
        <v>52</v>
      </c>
      <c r="FI162" s="562">
        <f t="shared" si="432"/>
        <v>-50</v>
      </c>
      <c r="FJ162">
        <f t="shared" si="433"/>
        <v>-50</v>
      </c>
    </row>
    <row r="163" spans="5:166">
      <c r="E163" s="170">
        <v>53</v>
      </c>
      <c r="F163" s="217">
        <f t="shared" si="476"/>
        <v>5.3000000000000007</v>
      </c>
      <c r="G163" s="217">
        <f t="shared" si="444"/>
        <v>0.13250000000000001</v>
      </c>
      <c r="H163" s="217">
        <f t="shared" si="445"/>
        <v>79.500000000000014</v>
      </c>
      <c r="I163" s="217">
        <f t="shared" si="446"/>
        <v>1.06</v>
      </c>
      <c r="J163" s="541">
        <f t="shared" si="447"/>
        <v>18.460329892545765</v>
      </c>
      <c r="K163" s="443">
        <f t="shared" si="448"/>
        <v>15.990384210526315</v>
      </c>
      <c r="L163" s="172">
        <f t="shared" si="449"/>
        <v>34.45071410307208</v>
      </c>
      <c r="M163" s="443"/>
      <c r="N163" s="217">
        <f t="shared" si="450"/>
        <v>0.46415247482781208</v>
      </c>
      <c r="O163" s="172">
        <f t="shared" si="451"/>
        <v>211.39163994480975</v>
      </c>
      <c r="P163" s="172">
        <f t="shared" si="452"/>
        <v>2.8561359352543185</v>
      </c>
      <c r="Q163" s="217">
        <f t="shared" si="322"/>
        <v>14.09277599632065</v>
      </c>
      <c r="R163" s="217">
        <f t="shared" si="453"/>
        <v>26.423954993101219</v>
      </c>
      <c r="S163" s="217">
        <f t="shared" si="454"/>
        <v>15</v>
      </c>
      <c r="T163" s="217">
        <f t="shared" si="455"/>
        <v>18.803960275050592</v>
      </c>
      <c r="U163" s="217">
        <f t="shared" si="326"/>
        <v>12.22337437164235</v>
      </c>
      <c r="V163" s="217">
        <f t="shared" si="327"/>
        <v>14.111451002663557</v>
      </c>
      <c r="W163" s="197">
        <f t="shared" si="328"/>
        <v>71.40339838135796</v>
      </c>
      <c r="X163" s="443">
        <f t="shared" si="435"/>
        <v>37.686323007360578</v>
      </c>
      <c r="Z163" s="217">
        <f t="shared" si="329"/>
        <v>10.000000000000002</v>
      </c>
      <c r="AA163" s="173">
        <f t="shared" si="330"/>
        <v>7.5045101118336595</v>
      </c>
      <c r="AB163" s="173">
        <f t="shared" si="456"/>
        <v>2.6439844992048749</v>
      </c>
      <c r="AC163" s="173"/>
      <c r="AD163" s="173">
        <f t="shared" si="332"/>
        <v>7.5045101118336586</v>
      </c>
      <c r="AE163" s="545">
        <f t="shared" si="457"/>
        <v>141.24839385964913</v>
      </c>
      <c r="AF163" s="528">
        <f t="shared" si="458"/>
        <v>2.6792376258609396</v>
      </c>
      <c r="AH163" s="173">
        <f t="shared" si="459"/>
        <v>6.1936987948966946</v>
      </c>
      <c r="AI163" s="173">
        <f t="shared" si="460"/>
        <v>18.803960275050592</v>
      </c>
      <c r="AJ163" s="173">
        <f t="shared" si="461"/>
        <v>7.7214520555930308</v>
      </c>
      <c r="AL163" s="545">
        <f t="shared" si="462"/>
        <v>5300.0000000000009</v>
      </c>
      <c r="AM163" s="460">
        <f t="shared" si="463"/>
        <v>37.686323007360578</v>
      </c>
      <c r="AO163">
        <f t="shared" si="340"/>
        <v>5300.0000000000009</v>
      </c>
      <c r="AP163">
        <f t="shared" si="341"/>
        <v>37.686323007360578</v>
      </c>
      <c r="AR163" s="5">
        <f t="shared" si="443"/>
        <v>26.534825374305907</v>
      </c>
      <c r="AS163" s="5">
        <f t="shared" si="440"/>
        <v>12.22337437164235</v>
      </c>
      <c r="AT163" s="5">
        <f t="shared" si="441"/>
        <v>14.311451002663556</v>
      </c>
      <c r="AU163" s="173">
        <f t="shared" si="442"/>
        <v>0.46065403480960676</v>
      </c>
      <c r="AW163" s="5">
        <f t="shared" si="342"/>
        <v>431.8925611313631</v>
      </c>
      <c r="AX163" s="5">
        <f t="shared" si="343"/>
        <v>20.244963803032647</v>
      </c>
      <c r="AY163" s="5">
        <f t="shared" si="344"/>
        <v>21.252662280730885</v>
      </c>
      <c r="AZ163" s="5"/>
      <c r="BA163" s="173">
        <f t="shared" si="345"/>
        <v>7.3684499409104411</v>
      </c>
      <c r="BB163" s="173">
        <f t="shared" si="346"/>
        <v>7.9730119451093993</v>
      </c>
      <c r="BC163" s="173">
        <f t="shared" si="347"/>
        <v>0.19635496084426285</v>
      </c>
      <c r="BD163" s="173"/>
      <c r="BE163" s="528">
        <f t="shared" si="348"/>
        <v>1.0858810906340617</v>
      </c>
      <c r="BF163" s="528">
        <f t="shared" si="464"/>
        <v>0.45775446769232642</v>
      </c>
      <c r="BG163" s="528">
        <f t="shared" si="465"/>
        <v>1.7392548878822845E-2</v>
      </c>
      <c r="BH163" s="528">
        <f t="shared" si="351"/>
        <v>4.4728076611382445E-3</v>
      </c>
      <c r="BI163">
        <f t="shared" si="352"/>
        <v>8.3071484516455945E-3</v>
      </c>
      <c r="BJ163" s="460">
        <f t="shared" si="436"/>
        <v>25.699697330468439</v>
      </c>
      <c r="BK163">
        <f t="shared" si="466"/>
        <v>2.4815492313161873</v>
      </c>
      <c r="BL163" s="460">
        <f t="shared" si="437"/>
        <v>1573.8080633179948</v>
      </c>
      <c r="BM163" s="173">
        <f t="shared" si="467"/>
        <v>3.2926250000000001</v>
      </c>
      <c r="BN163" s="173">
        <f t="shared" si="468"/>
        <v>8.2315624999999989E-2</v>
      </c>
      <c r="BO163" s="528"/>
      <c r="BQ163" s="460">
        <f t="shared" si="356"/>
        <v>3374.9406250000002</v>
      </c>
      <c r="BR163" s="528">
        <f t="shared" si="357"/>
        <v>1.6288216359510923</v>
      </c>
      <c r="BS163" s="528">
        <f t="shared" si="358"/>
        <v>1.907067584305715</v>
      </c>
      <c r="BT163" s="528">
        <f t="shared" si="359"/>
        <v>1.9277635324075999E-4</v>
      </c>
      <c r="BU163" s="528">
        <f t="shared" si="360"/>
        <v>0.66842507308651844</v>
      </c>
      <c r="BV163" s="528"/>
      <c r="BW163" s="625">
        <f t="shared" si="469"/>
        <v>1.3325466327284237E-2</v>
      </c>
      <c r="BX163" s="460">
        <f t="shared" si="362"/>
        <v>4217.8325360238505</v>
      </c>
      <c r="BY163" s="173">
        <f t="shared" si="363"/>
        <v>9.1665812243418472</v>
      </c>
      <c r="BZ163" s="5">
        <f t="shared" si="364"/>
        <v>80.560000000000016</v>
      </c>
      <c r="CA163" s="173">
        <f t="shared" si="365"/>
        <v>0.89783873296785055</v>
      </c>
      <c r="CB163" s="5">
        <f t="shared" si="366"/>
        <v>89.78387329678506</v>
      </c>
      <c r="CC163">
        <f t="shared" si="367"/>
        <v>53</v>
      </c>
      <c r="CE163" s="562">
        <f t="shared" si="470"/>
        <v>-50</v>
      </c>
      <c r="CF163">
        <f t="shared" si="471"/>
        <v>-50</v>
      </c>
      <c r="CG163" s="173">
        <f t="shared" si="370"/>
        <v>0.54755043227665712</v>
      </c>
      <c r="CH163" s="173">
        <f t="shared" si="472"/>
        <v>6.4398811101315845E-2</v>
      </c>
      <c r="CI163" s="170">
        <v>53</v>
      </c>
      <c r="CJ163" s="217">
        <f t="shared" si="438"/>
        <v>5.3000000000000007</v>
      </c>
      <c r="CK163" s="217">
        <f t="shared" si="372"/>
        <v>0.13250000000000001</v>
      </c>
      <c r="CL163" s="217">
        <f t="shared" si="373"/>
        <v>79.500000000000014</v>
      </c>
      <c r="CM163" s="217">
        <f t="shared" si="374"/>
        <v>1.06</v>
      </c>
      <c r="CN163" s="541">
        <f t="shared" si="375"/>
        <v>19</v>
      </c>
      <c r="CO163" s="443">
        <f t="shared" si="473"/>
        <v>15.7</v>
      </c>
      <c r="CP163" s="443">
        <f t="shared" si="474"/>
        <v>34.700000000000003</v>
      </c>
      <c r="CQ163" s="443"/>
      <c r="CR163" s="217">
        <f t="shared" si="378"/>
        <v>0.44767441860465118</v>
      </c>
      <c r="CS163" s="172">
        <f t="shared" si="379"/>
        <v>209.84738372093025</v>
      </c>
      <c r="CT163" s="172">
        <f t="shared" si="380"/>
        <v>2.835271317829458</v>
      </c>
      <c r="CU163" s="217">
        <f t="shared" si="381"/>
        <v>13.989825581395349</v>
      </c>
      <c r="CV163" s="217">
        <f t="shared" si="382"/>
        <v>26.230922965116282</v>
      </c>
      <c r="CW163" s="217">
        <f t="shared" si="383"/>
        <v>15</v>
      </c>
      <c r="CX163" s="217">
        <f t="shared" si="384"/>
        <v>18.942337662337664</v>
      </c>
      <c r="CY163" s="217">
        <f t="shared" si="385"/>
        <v>11.963581681476418</v>
      </c>
      <c r="CZ163" s="217">
        <f t="shared" si="386"/>
        <v>14.478219869302674</v>
      </c>
      <c r="DA163" s="197">
        <f t="shared" si="387"/>
        <v>71.63784822286263</v>
      </c>
      <c r="DB163" s="443">
        <f t="shared" si="388"/>
        <v>37.818905723181921</v>
      </c>
      <c r="DD163" s="217">
        <f t="shared" si="389"/>
        <v>10.000000000000002</v>
      </c>
      <c r="DE163" s="173">
        <f t="shared" si="390"/>
        <v>7.6433121019108299</v>
      </c>
      <c r="DF163" s="173">
        <f t="shared" si="391"/>
        <v>2.7017291066282429</v>
      </c>
      <c r="DG163" s="173"/>
      <c r="DH163" s="173">
        <f t="shared" si="392"/>
        <v>7.6433121019108281</v>
      </c>
      <c r="DI163" s="545">
        <f t="shared" si="393"/>
        <v>138.68333333333337</v>
      </c>
      <c r="DJ163" s="528">
        <f t="shared" si="394"/>
        <v>2.7377521613832849</v>
      </c>
      <c r="DL163" s="173">
        <f t="shared" si="395"/>
        <v>6.1936987948966946</v>
      </c>
      <c r="DM163" s="173">
        <f t="shared" si="396"/>
        <v>18.942337662337664</v>
      </c>
      <c r="DN163" s="173">
        <f t="shared" si="397"/>
        <v>7.8239538239538255</v>
      </c>
      <c r="DP163" s="545">
        <f t="shared" si="398"/>
        <v>5300.0000000000009</v>
      </c>
      <c r="DQ163" s="460">
        <f t="shared" si="399"/>
        <v>37.818905723181921</v>
      </c>
      <c r="DS163">
        <f t="shared" si="400"/>
        <v>5300.0000000000009</v>
      </c>
      <c r="DT163">
        <f t="shared" si="401"/>
        <v>37.818905723181921</v>
      </c>
      <c r="DV163" s="5">
        <f t="shared" si="402"/>
        <v>26.441801550779093</v>
      </c>
      <c r="DW163" s="5">
        <f t="shared" si="403"/>
        <v>11.963581681476418</v>
      </c>
      <c r="DX163" s="5">
        <f t="shared" si="404"/>
        <v>14.478219869302675</v>
      </c>
      <c r="DY163" s="173">
        <f t="shared" si="405"/>
        <v>0.45244956772334288</v>
      </c>
      <c r="EA163" s="5">
        <f t="shared" si="406"/>
        <v>422.71321941216684</v>
      </c>
      <c r="EB163" s="5">
        <f t="shared" si="407"/>
        <v>19.814682159945317</v>
      </c>
      <c r="EC163" s="5">
        <f t="shared" si="408"/>
        <v>20.889627579120923</v>
      </c>
      <c r="ED163" s="5"/>
      <c r="EE163" s="173">
        <f t="shared" si="409"/>
        <v>7.3562763435420031</v>
      </c>
      <c r="EF163" s="173">
        <f t="shared" si="410"/>
        <v>8.092542888082189</v>
      </c>
      <c r="EG163" s="173">
        <f t="shared" si="411"/>
        <v>0.19929870328296528</v>
      </c>
      <c r="EH163" s="173"/>
      <c r="EI163" s="528">
        <f t="shared" si="412"/>
        <v>1.0822960328511142</v>
      </c>
      <c r="EJ163" s="528">
        <f t="shared" si="413"/>
        <v>0.4971666666666667</v>
      </c>
      <c r="EK163" s="528">
        <f t="shared" si="414"/>
        <v>4.7273632153977396E-3</v>
      </c>
      <c r="EL163" s="528">
        <f t="shared" si="415"/>
        <v>4.5537366192226134E-3</v>
      </c>
      <c r="EM163">
        <f t="shared" si="416"/>
        <v>8.5500000000000003E-3</v>
      </c>
      <c r="EN163" s="460">
        <f t="shared" si="417"/>
        <v>13.27736321539774</v>
      </c>
      <c r="EP163" s="460">
        <f t="shared" si="439"/>
        <v>1597.2937993524013</v>
      </c>
      <c r="EQ163" s="173">
        <f t="shared" si="418"/>
        <v>3.7100000000000004</v>
      </c>
      <c r="ER163" s="173">
        <f t="shared" si="475"/>
        <v>5.8796874999999998E-2</v>
      </c>
      <c r="ES163" s="528"/>
      <c r="EU163" s="460">
        <f t="shared" si="420"/>
        <v>3768.7968750000005</v>
      </c>
      <c r="EV163" s="528">
        <f t="shared" si="421"/>
        <v>1.6234440492766711</v>
      </c>
      <c r="EW163" s="528">
        <f t="shared" si="422"/>
        <v>1.9646775118634885</v>
      </c>
      <c r="EX163" s="528">
        <f t="shared" si="423"/>
        <v>1.985998656513572E-4</v>
      </c>
      <c r="EY163" s="528">
        <f t="shared" si="424"/>
        <v>0.68679375210278804</v>
      </c>
      <c r="EZ163" s="528"/>
      <c r="FA163" s="625">
        <f t="shared" si="425"/>
        <v>1.3569883104407602E-2</v>
      </c>
      <c r="FB163" s="460">
        <f t="shared" si="426"/>
        <v>4288.6837962130066</v>
      </c>
      <c r="FC163" s="173">
        <f t="shared" si="427"/>
        <v>9.6547744705654086</v>
      </c>
      <c r="FD163" s="5">
        <f t="shared" si="428"/>
        <v>80.560000000000016</v>
      </c>
      <c r="FE163" s="173">
        <f t="shared" si="429"/>
        <v>0.89298011853129999</v>
      </c>
      <c r="FF163" s="5">
        <f t="shared" si="430"/>
        <v>89.298011853129992</v>
      </c>
      <c r="FG163">
        <f t="shared" si="431"/>
        <v>53</v>
      </c>
      <c r="FI163" s="562">
        <f t="shared" si="432"/>
        <v>-50</v>
      </c>
      <c r="FJ163">
        <f t="shared" si="433"/>
        <v>-50</v>
      </c>
    </row>
    <row r="164" spans="5:166">
      <c r="E164" s="170">
        <v>54</v>
      </c>
      <c r="F164" s="217">
        <f t="shared" si="476"/>
        <v>5.4</v>
      </c>
      <c r="G164" s="217">
        <f t="shared" si="444"/>
        <v>0.13500000000000001</v>
      </c>
      <c r="H164" s="217">
        <f t="shared" si="445"/>
        <v>81</v>
      </c>
      <c r="I164" s="217">
        <f t="shared" si="446"/>
        <v>1.08</v>
      </c>
      <c r="J164" s="541">
        <f t="shared" si="447"/>
        <v>18.450147437688138</v>
      </c>
      <c r="K164" s="443">
        <f t="shared" si="448"/>
        <v>15.995863157894735</v>
      </c>
      <c r="L164" s="172">
        <f t="shared" si="449"/>
        <v>34.446010595582877</v>
      </c>
      <c r="M164" s="443"/>
      <c r="N164" s="217">
        <f t="shared" si="450"/>
        <v>0.46437491254635849</v>
      </c>
      <c r="O164" s="172">
        <f t="shared" si="451"/>
        <v>211.37628954384496</v>
      </c>
      <c r="P164" s="172">
        <f t="shared" si="452"/>
        <v>2.8559285342812832</v>
      </c>
      <c r="Q164" s="217">
        <f t="shared" si="322"/>
        <v>14.091752636256331</v>
      </c>
      <c r="R164" s="217">
        <f t="shared" si="453"/>
        <v>26.42203619298062</v>
      </c>
      <c r="S164" s="217">
        <f t="shared" si="454"/>
        <v>15</v>
      </c>
      <c r="T164" s="217">
        <f t="shared" si="455"/>
        <v>19.160143310018338</v>
      </c>
      <c r="U164" s="217">
        <f t="shared" si="326"/>
        <v>12.461782243027429</v>
      </c>
      <c r="V164" s="217">
        <f t="shared" si="327"/>
        <v>14.373823872501843</v>
      </c>
      <c r="W164" s="197">
        <f t="shared" si="328"/>
        <v>71.398213357032077</v>
      </c>
      <c r="X164" s="443">
        <f t="shared" si="435"/>
        <v>36.988258954756681</v>
      </c>
      <c r="Z164" s="217">
        <f t="shared" si="329"/>
        <v>10</v>
      </c>
      <c r="AA164" s="173">
        <f t="shared" si="330"/>
        <v>7.5019396462374823</v>
      </c>
      <c r="AB164" s="173">
        <f t="shared" si="456"/>
        <v>2.6428869446725733</v>
      </c>
      <c r="AC164" s="173"/>
      <c r="AD164" s="173">
        <f t="shared" si="332"/>
        <v>7.5019396462374823</v>
      </c>
      <c r="AE164" s="545">
        <f t="shared" si="457"/>
        <v>143.96276842105263</v>
      </c>
      <c r="AF164" s="528">
        <f t="shared" si="458"/>
        <v>2.6781254372682071</v>
      </c>
      <c r="AH164" s="173">
        <f t="shared" si="459"/>
        <v>6.2518568670207317</v>
      </c>
      <c r="AI164" s="173">
        <f t="shared" si="460"/>
        <v>19.160143310018338</v>
      </c>
      <c r="AJ164" s="173">
        <f t="shared" si="461"/>
        <v>7.9852913407543245</v>
      </c>
      <c r="AL164" s="545">
        <f t="shared" si="462"/>
        <v>5400</v>
      </c>
      <c r="AM164" s="460">
        <f t="shared" si="463"/>
        <v>36.988258954756681</v>
      </c>
      <c r="AO164">
        <f t="shared" si="340"/>
        <v>5400</v>
      </c>
      <c r="AP164">
        <f t="shared" si="341"/>
        <v>36.988258954756681</v>
      </c>
      <c r="AR164" s="5">
        <f t="shared" si="443"/>
        <v>27.035606115529269</v>
      </c>
      <c r="AS164" s="5">
        <f t="shared" si="440"/>
        <v>12.461782243027429</v>
      </c>
      <c r="AT164" s="5">
        <f t="shared" si="441"/>
        <v>14.573823872501841</v>
      </c>
      <c r="AU164" s="173">
        <f t="shared" si="442"/>
        <v>0.46093962864288712</v>
      </c>
      <c r="AW164" s="5">
        <f t="shared" si="342"/>
        <v>448.62416074898755</v>
      </c>
      <c r="AX164" s="5">
        <f t="shared" si="343"/>
        <v>21.029257535108787</v>
      </c>
      <c r="AY164" s="5">
        <f t="shared" si="344"/>
        <v>22.062803481829832</v>
      </c>
      <c r="AZ164" s="5"/>
      <c r="BA164" s="173">
        <f t="shared" si="345"/>
        <v>7.5103495316052218</v>
      </c>
      <c r="BB164" s="173">
        <f t="shared" si="346"/>
        <v>8.1218848674387605</v>
      </c>
      <c r="BC164" s="173">
        <f t="shared" si="347"/>
        <v>0.20002132144123694</v>
      </c>
      <c r="BD164" s="173"/>
      <c r="BE164" s="528">
        <f t="shared" si="348"/>
        <v>1.1281070017376555</v>
      </c>
      <c r="BF164" s="528">
        <f t="shared" si="464"/>
        <v>0.45772311566376278</v>
      </c>
      <c r="BG164" s="528">
        <f t="shared" si="465"/>
        <v>1.7060970779466229E-2</v>
      </c>
      <c r="BH164" s="528">
        <f t="shared" si="351"/>
        <v>4.3887591825413734E-3</v>
      </c>
      <c r="BI164">
        <f t="shared" si="352"/>
        <v>8.3025663469596615E-3</v>
      </c>
      <c r="BJ164" s="460">
        <f t="shared" si="436"/>
        <v>25.363537126425889</v>
      </c>
      <c r="BK164">
        <f t="shared" si="466"/>
        <v>2.588670376212332</v>
      </c>
      <c r="BL164" s="460">
        <f t="shared" si="437"/>
        <v>1615.5824137103855</v>
      </c>
      <c r="BM164" s="173">
        <f t="shared" si="467"/>
        <v>3.3547499999999997</v>
      </c>
      <c r="BN164" s="173">
        <f t="shared" si="468"/>
        <v>8.3868749999999992E-2</v>
      </c>
      <c r="BO164" s="528"/>
      <c r="BQ164" s="460">
        <f t="shared" si="356"/>
        <v>3438.6187499999996</v>
      </c>
      <c r="BR164" s="528">
        <f t="shared" si="357"/>
        <v>1.6921605026064832</v>
      </c>
      <c r="BS164" s="528">
        <f t="shared" si="358"/>
        <v>1.9789504139979219</v>
      </c>
      <c r="BT164" s="528">
        <f t="shared" si="359"/>
        <v>2.0004264515549315E-4</v>
      </c>
      <c r="BU164" s="528">
        <f t="shared" si="360"/>
        <v>0.66853878961489221</v>
      </c>
      <c r="BV164" s="528"/>
      <c r="BW164" s="625">
        <f t="shared" si="469"/>
        <v>1.3578800123499789E-2</v>
      </c>
      <c r="BX164" s="460">
        <f t="shared" si="362"/>
        <v>4353.428548987953</v>
      </c>
      <c r="BY164" s="173">
        <f t="shared" si="363"/>
        <v>9.4076297126983395</v>
      </c>
      <c r="BZ164" s="5">
        <f t="shared" si="364"/>
        <v>82.08</v>
      </c>
      <c r="CA164" s="173">
        <f t="shared" si="365"/>
        <v>0.89717047274870454</v>
      </c>
      <c r="CB164" s="5">
        <f t="shared" si="366"/>
        <v>89.717047274870453</v>
      </c>
      <c r="CC164">
        <f t="shared" si="367"/>
        <v>54</v>
      </c>
      <c r="CE164" s="562">
        <f t="shared" si="470"/>
        <v>-50</v>
      </c>
      <c r="CF164">
        <f t="shared" si="471"/>
        <v>-50</v>
      </c>
      <c r="CG164" s="173">
        <f t="shared" si="370"/>
        <v>0.54755043227665712</v>
      </c>
      <c r="CH164" s="173">
        <f t="shared" si="472"/>
        <v>6.4398811101315845E-2</v>
      </c>
      <c r="CI164" s="170">
        <v>54</v>
      </c>
      <c r="CJ164" s="217">
        <f t="shared" si="438"/>
        <v>5.4</v>
      </c>
      <c r="CK164" s="217">
        <f t="shared" si="372"/>
        <v>0.13500000000000001</v>
      </c>
      <c r="CL164" s="217">
        <f t="shared" si="373"/>
        <v>81</v>
      </c>
      <c r="CM164" s="217">
        <f t="shared" si="374"/>
        <v>1.08</v>
      </c>
      <c r="CN164" s="541">
        <f t="shared" si="375"/>
        <v>19</v>
      </c>
      <c r="CO164" s="443">
        <f t="shared" si="473"/>
        <v>15.7</v>
      </c>
      <c r="CP164" s="443">
        <f t="shared" si="474"/>
        <v>34.700000000000003</v>
      </c>
      <c r="CQ164" s="443"/>
      <c r="CR164" s="217">
        <f t="shared" si="378"/>
        <v>0.44767441860465118</v>
      </c>
      <c r="CS164" s="172">
        <f t="shared" si="379"/>
        <v>209.84738372093025</v>
      </c>
      <c r="CT164" s="172">
        <f t="shared" si="380"/>
        <v>2.835271317829458</v>
      </c>
      <c r="CU164" s="217">
        <f t="shared" si="381"/>
        <v>13.989825581395349</v>
      </c>
      <c r="CV164" s="217">
        <f t="shared" si="382"/>
        <v>26.230922965116282</v>
      </c>
      <c r="CW164" s="217">
        <f t="shared" si="383"/>
        <v>15</v>
      </c>
      <c r="CX164" s="217">
        <f t="shared" si="384"/>
        <v>19.299740259740258</v>
      </c>
      <c r="CY164" s="217">
        <f t="shared" si="385"/>
        <v>12.189309637730689</v>
      </c>
      <c r="CZ164" s="217">
        <f t="shared" si="386"/>
        <v>14.751393829100834</v>
      </c>
      <c r="DA164" s="197">
        <f t="shared" si="387"/>
        <v>71.63784822286263</v>
      </c>
      <c r="DB164" s="443">
        <f t="shared" si="388"/>
        <v>37.118555617197075</v>
      </c>
      <c r="DD164" s="217">
        <f t="shared" si="389"/>
        <v>10.000000000000002</v>
      </c>
      <c r="DE164" s="173">
        <f t="shared" si="390"/>
        <v>7.6433121019108299</v>
      </c>
      <c r="DF164" s="173">
        <f t="shared" si="391"/>
        <v>2.7017291066282429</v>
      </c>
      <c r="DG164" s="173"/>
      <c r="DH164" s="173">
        <f t="shared" si="392"/>
        <v>7.6433121019108281</v>
      </c>
      <c r="DI164" s="545">
        <f t="shared" si="393"/>
        <v>141.30000000000004</v>
      </c>
      <c r="DJ164" s="528">
        <f t="shared" si="394"/>
        <v>2.7377521613832849</v>
      </c>
      <c r="DL164" s="173">
        <f t="shared" si="395"/>
        <v>6.2518568670207317</v>
      </c>
      <c r="DM164" s="173">
        <f t="shared" si="396"/>
        <v>19.299740259740258</v>
      </c>
      <c r="DN164" s="173">
        <f t="shared" si="397"/>
        <v>8.0886964886964865</v>
      </c>
      <c r="DP164" s="545">
        <f t="shared" si="398"/>
        <v>5400</v>
      </c>
      <c r="DQ164" s="460">
        <f t="shared" si="399"/>
        <v>37.118555617197075</v>
      </c>
      <c r="DS164">
        <f t="shared" si="400"/>
        <v>5400</v>
      </c>
      <c r="DT164">
        <f t="shared" si="401"/>
        <v>37.118555617197075</v>
      </c>
      <c r="DV164" s="5">
        <f t="shared" si="402"/>
        <v>26.940703466831526</v>
      </c>
      <c r="DW164" s="5">
        <f t="shared" si="403"/>
        <v>12.189309637730689</v>
      </c>
      <c r="DX164" s="5">
        <f t="shared" si="404"/>
        <v>14.751393829100836</v>
      </c>
      <c r="DY164" s="173">
        <f t="shared" si="405"/>
        <v>0.45244956772334288</v>
      </c>
      <c r="EA164" s="5">
        <f t="shared" si="406"/>
        <v>438.81514695830487</v>
      </c>
      <c r="EB164" s="5">
        <f t="shared" si="407"/>
        <v>20.569460013670543</v>
      </c>
      <c r="EC164" s="5">
        <f t="shared" si="408"/>
        <v>21.685352089966745</v>
      </c>
      <c r="ED164" s="5"/>
      <c r="EE164" s="173">
        <f t="shared" si="409"/>
        <v>7.495074010401285</v>
      </c>
      <c r="EF164" s="173">
        <f t="shared" si="410"/>
        <v>8.2452323765365669</v>
      </c>
      <c r="EG164" s="173">
        <f t="shared" si="411"/>
        <v>0.2030590561750967</v>
      </c>
      <c r="EH164" s="173"/>
      <c r="EI164" s="528">
        <f t="shared" si="412"/>
        <v>1.1235226884278562</v>
      </c>
      <c r="EJ164" s="528">
        <f t="shared" si="413"/>
        <v>0.49716666666666665</v>
      </c>
      <c r="EK164" s="528">
        <f t="shared" si="414"/>
        <v>4.6398194521496345E-3</v>
      </c>
      <c r="EL164" s="528">
        <f t="shared" si="415"/>
        <v>4.4694081633110836E-3</v>
      </c>
      <c r="EM164">
        <f t="shared" si="416"/>
        <v>8.5500000000000003E-3</v>
      </c>
      <c r="EN164" s="460">
        <f t="shared" si="417"/>
        <v>13.189819452149635</v>
      </c>
      <c r="EP164" s="460">
        <f t="shared" si="439"/>
        <v>1638.3485827099832</v>
      </c>
      <c r="EQ164" s="173">
        <f t="shared" si="418"/>
        <v>3.78</v>
      </c>
      <c r="ER164" s="173">
        <f t="shared" si="475"/>
        <v>5.9906250000000001E-2</v>
      </c>
      <c r="ES164" s="528"/>
      <c r="EU164" s="460">
        <f t="shared" si="420"/>
        <v>3839.90625</v>
      </c>
      <c r="EV164" s="528">
        <f t="shared" si="421"/>
        <v>1.6852840326417839</v>
      </c>
      <c r="EW164" s="528">
        <f t="shared" si="422"/>
        <v>2.0395157082926052</v>
      </c>
      <c r="EX164" s="528">
        <f t="shared" si="423"/>
        <v>2.061649014736054E-4</v>
      </c>
      <c r="EY164" s="528">
        <f t="shared" si="424"/>
        <v>0.6867937521027887</v>
      </c>
      <c r="EZ164" s="528"/>
      <c r="FA164" s="625">
        <f t="shared" si="425"/>
        <v>1.3825918634679439E-2</v>
      </c>
      <c r="FB164" s="460">
        <f t="shared" si="426"/>
        <v>4425.6255765733304</v>
      </c>
      <c r="FC164" s="173">
        <f t="shared" si="427"/>
        <v>9.9038804092833157</v>
      </c>
      <c r="FD164" s="5">
        <f t="shared" si="428"/>
        <v>82.08</v>
      </c>
      <c r="FE164" s="173">
        <f t="shared" si="429"/>
        <v>0.89233026085422917</v>
      </c>
      <c r="FF164" s="5">
        <f t="shared" si="430"/>
        <v>89.233026085422921</v>
      </c>
      <c r="FG164">
        <f t="shared" si="431"/>
        <v>54</v>
      </c>
      <c r="FI164" s="562">
        <f t="shared" si="432"/>
        <v>-50</v>
      </c>
      <c r="FJ164">
        <f t="shared" si="433"/>
        <v>-50</v>
      </c>
    </row>
    <row r="165" spans="5:166">
      <c r="E165" s="170">
        <v>55</v>
      </c>
      <c r="F165" s="217">
        <f t="shared" si="476"/>
        <v>5.5</v>
      </c>
      <c r="G165" s="217">
        <f t="shared" si="444"/>
        <v>0.13750000000000001</v>
      </c>
      <c r="H165" s="217">
        <f t="shared" si="445"/>
        <v>82.5</v>
      </c>
      <c r="I165" s="217">
        <f t="shared" si="446"/>
        <v>1.1000000000000001</v>
      </c>
      <c r="J165" s="541">
        <f t="shared" si="447"/>
        <v>18.439964982830514</v>
      </c>
      <c r="K165" s="443">
        <f t="shared" si="448"/>
        <v>16.001342105263156</v>
      </c>
      <c r="L165" s="172">
        <f t="shared" si="449"/>
        <v>34.441307088093666</v>
      </c>
      <c r="M165" s="443"/>
      <c r="N165" s="217">
        <f t="shared" si="450"/>
        <v>0.46459741101971147</v>
      </c>
      <c r="O165" s="172">
        <f t="shared" si="451"/>
        <v>211.36085502427292</v>
      </c>
      <c r="P165" s="172">
        <f t="shared" si="452"/>
        <v>2.8557199967723985</v>
      </c>
      <c r="Q165" s="217">
        <f t="shared" si="322"/>
        <v>14.090723668284861</v>
      </c>
      <c r="R165" s="217">
        <f t="shared" si="453"/>
        <v>26.420106878034115</v>
      </c>
      <c r="S165" s="217">
        <f t="shared" si="454"/>
        <v>15</v>
      </c>
      <c r="T165" s="217">
        <f t="shared" si="455"/>
        <v>19.516385848866292</v>
      </c>
      <c r="U165" s="217">
        <f t="shared" si="326"/>
        <v>12.700492132412206</v>
      </c>
      <c r="V165" s="217">
        <f t="shared" si="327"/>
        <v>14.636061690685535</v>
      </c>
      <c r="W165" s="197">
        <f t="shared" si="328"/>
        <v>71.392999919309943</v>
      </c>
      <c r="X165" s="443">
        <f t="shared" si="435"/>
        <v>36.31536489367079</v>
      </c>
      <c r="Z165" s="217">
        <f t="shared" si="329"/>
        <v>10</v>
      </c>
      <c r="AA165" s="173">
        <f t="shared" si="330"/>
        <v>7.4993709409243641</v>
      </c>
      <c r="AB165" s="173">
        <f t="shared" si="456"/>
        <v>2.641789090363265</v>
      </c>
      <c r="AC165" s="173"/>
      <c r="AD165" s="173">
        <f t="shared" si="332"/>
        <v>7.4993709409243641</v>
      </c>
      <c r="AE165" s="545">
        <f t="shared" si="457"/>
        <v>146.67896929824559</v>
      </c>
      <c r="AF165" s="528">
        <f t="shared" si="458"/>
        <v>2.6770129449014424</v>
      </c>
      <c r="AH165" s="173">
        <f t="shared" si="459"/>
        <v>6.3094788857340509</v>
      </c>
      <c r="AI165" s="173">
        <f t="shared" si="460"/>
        <v>19.516385848866292</v>
      </c>
      <c r="AJ165" s="173">
        <f t="shared" si="461"/>
        <v>8.24917470286392</v>
      </c>
      <c r="AL165" s="545">
        <f t="shared" si="462"/>
        <v>5500</v>
      </c>
      <c r="AM165" s="460">
        <f t="shared" si="463"/>
        <v>36.31536489367079</v>
      </c>
      <c r="AO165">
        <f t="shared" si="340"/>
        <v>5500</v>
      </c>
      <c r="AP165">
        <f t="shared" si="341"/>
        <v>36.31536489367079</v>
      </c>
      <c r="AR165" s="5">
        <f t="shared" si="443"/>
        <v>27.536553823097744</v>
      </c>
      <c r="AS165" s="5">
        <f t="shared" si="440"/>
        <v>12.700492132412206</v>
      </c>
      <c r="AT165" s="5">
        <f t="shared" si="441"/>
        <v>14.836061690685538</v>
      </c>
      <c r="AU165" s="173">
        <f t="shared" si="442"/>
        <v>0.46122300611774431</v>
      </c>
      <c r="AW165" s="5">
        <f t="shared" si="342"/>
        <v>465.68471152178091</v>
      </c>
      <c r="AX165" s="5">
        <f t="shared" si="343"/>
        <v>21.828970852583481</v>
      </c>
      <c r="AY165" s="5">
        <f t="shared" si="344"/>
        <v>22.888350171829316</v>
      </c>
      <c r="AZ165" s="5"/>
      <c r="BA165" s="173">
        <f t="shared" si="345"/>
        <v>7.6523398513402112</v>
      </c>
      <c r="BB165" s="173">
        <f t="shared" si="346"/>
        <v>8.2707194568267948</v>
      </c>
      <c r="BC165" s="173">
        <f t="shared" si="347"/>
        <v>0.20368673799557754</v>
      </c>
      <c r="BD165" s="173"/>
      <c r="BE165" s="528">
        <f t="shared" si="348"/>
        <v>1.1711661040081907</v>
      </c>
      <c r="BF165" s="528">
        <f t="shared" si="464"/>
        <v>0.45768924276213674</v>
      </c>
      <c r="BG165" s="528">
        <f t="shared" si="465"/>
        <v>1.6741351424450046E-2</v>
      </c>
      <c r="BH165" s="528">
        <f t="shared" si="351"/>
        <v>4.3077417804597605E-3</v>
      </c>
      <c r="BI165">
        <f t="shared" si="352"/>
        <v>8.2979842422737302E-3</v>
      </c>
      <c r="BJ165" s="460">
        <f t="shared" si="436"/>
        <v>25.039335666723776</v>
      </c>
      <c r="BK165">
        <f t="shared" si="466"/>
        <v>2.7009760087083063</v>
      </c>
      <c r="BL165" s="460">
        <f t="shared" si="437"/>
        <v>1658.202424217511</v>
      </c>
      <c r="BM165" s="173">
        <f t="shared" si="467"/>
        <v>3.4168749999999997</v>
      </c>
      <c r="BN165" s="173">
        <f t="shared" si="468"/>
        <v>8.5421874999999994E-2</v>
      </c>
      <c r="BO165" s="528"/>
      <c r="BQ165" s="460">
        <f t="shared" si="356"/>
        <v>3502.296875</v>
      </c>
      <c r="BR165" s="528">
        <f t="shared" si="357"/>
        <v>1.7567491560122859</v>
      </c>
      <c r="BS165" s="528">
        <f t="shared" si="358"/>
        <v>2.0521440100059993</v>
      </c>
      <c r="BT165" s="528">
        <f t="shared" si="359"/>
        <v>2.0744143617639526E-4</v>
      </c>
      <c r="BU165" s="528">
        <f t="shared" si="360"/>
        <v>0.66864334184724261</v>
      </c>
      <c r="BV165" s="528"/>
      <c r="BW165" s="625">
        <f t="shared" si="469"/>
        <v>1.38321345164963E-2</v>
      </c>
      <c r="BX165" s="460">
        <f t="shared" si="362"/>
        <v>4491.5760838182005</v>
      </c>
      <c r="BY165" s="173">
        <f t="shared" si="363"/>
        <v>9.6520753830357116</v>
      </c>
      <c r="BZ165" s="5">
        <f t="shared" si="364"/>
        <v>83.6</v>
      </c>
      <c r="CA165" s="173">
        <f t="shared" si="365"/>
        <v>0.89649479281410605</v>
      </c>
      <c r="CB165" s="5">
        <f t="shared" si="366"/>
        <v>89.649479281410606</v>
      </c>
      <c r="CC165">
        <f t="shared" si="367"/>
        <v>55.000000000000007</v>
      </c>
      <c r="CE165" s="562">
        <f t="shared" si="470"/>
        <v>-50</v>
      </c>
      <c r="CF165">
        <f t="shared" si="471"/>
        <v>-50</v>
      </c>
      <c r="CG165" s="173">
        <f t="shared" si="370"/>
        <v>0.54755043227665712</v>
      </c>
      <c r="CH165" s="173">
        <f t="shared" si="472"/>
        <v>6.4398811101315859E-2</v>
      </c>
      <c r="CI165" s="170">
        <v>55</v>
      </c>
      <c r="CJ165" s="217">
        <f t="shared" si="438"/>
        <v>5.5</v>
      </c>
      <c r="CK165" s="217">
        <f t="shared" si="372"/>
        <v>0.13750000000000001</v>
      </c>
      <c r="CL165" s="217">
        <f t="shared" si="373"/>
        <v>82.5</v>
      </c>
      <c r="CM165" s="217">
        <f t="shared" si="374"/>
        <v>1.1000000000000001</v>
      </c>
      <c r="CN165" s="541">
        <f t="shared" si="375"/>
        <v>19</v>
      </c>
      <c r="CO165" s="443">
        <f t="shared" si="473"/>
        <v>15.7</v>
      </c>
      <c r="CP165" s="443">
        <f t="shared" si="474"/>
        <v>34.700000000000003</v>
      </c>
      <c r="CQ165" s="443"/>
      <c r="CR165" s="217">
        <f t="shared" si="378"/>
        <v>0.44767441860465118</v>
      </c>
      <c r="CS165" s="172">
        <f t="shared" si="379"/>
        <v>209.84738372093025</v>
      </c>
      <c r="CT165" s="172">
        <f t="shared" si="380"/>
        <v>2.835271317829458</v>
      </c>
      <c r="CU165" s="217">
        <f t="shared" si="381"/>
        <v>13.989825581395349</v>
      </c>
      <c r="CV165" s="217">
        <f t="shared" si="382"/>
        <v>26.230922965116282</v>
      </c>
      <c r="CW165" s="217">
        <f t="shared" si="383"/>
        <v>15</v>
      </c>
      <c r="CX165" s="217">
        <f t="shared" si="384"/>
        <v>19.657142857142855</v>
      </c>
      <c r="CY165" s="217">
        <f t="shared" si="385"/>
        <v>12.415037593984961</v>
      </c>
      <c r="CZ165" s="217">
        <f t="shared" si="386"/>
        <v>15.024567788898997</v>
      </c>
      <c r="DA165" s="197">
        <f t="shared" si="387"/>
        <v>71.63784822286263</v>
      </c>
      <c r="DB165" s="443">
        <f t="shared" si="388"/>
        <v>36.443672787793496</v>
      </c>
      <c r="DD165" s="217">
        <f t="shared" si="389"/>
        <v>10.000000000000002</v>
      </c>
      <c r="DE165" s="173">
        <f t="shared" si="390"/>
        <v>7.6433121019108299</v>
      </c>
      <c r="DF165" s="173">
        <f t="shared" si="391"/>
        <v>2.7017291066282429</v>
      </c>
      <c r="DG165" s="173"/>
      <c r="DH165" s="173">
        <f t="shared" si="392"/>
        <v>7.6433121019108281</v>
      </c>
      <c r="DI165" s="545">
        <f t="shared" si="393"/>
        <v>143.91666666666669</v>
      </c>
      <c r="DJ165" s="528">
        <f t="shared" si="394"/>
        <v>2.7377521613832849</v>
      </c>
      <c r="DL165" s="173">
        <f t="shared" si="395"/>
        <v>6.3094788857340509</v>
      </c>
      <c r="DM165" s="173">
        <f t="shared" si="396"/>
        <v>19.657142857142855</v>
      </c>
      <c r="DN165" s="173">
        <f t="shared" si="397"/>
        <v>8.353439153439151</v>
      </c>
      <c r="DP165" s="545">
        <f t="shared" si="398"/>
        <v>5500</v>
      </c>
      <c r="DQ165" s="460">
        <f t="shared" si="399"/>
        <v>36.443672787793496</v>
      </c>
      <c r="DS165">
        <f t="shared" si="400"/>
        <v>5500</v>
      </c>
      <c r="DT165">
        <f t="shared" si="401"/>
        <v>36.443672787793496</v>
      </c>
      <c r="DV165" s="5">
        <f t="shared" si="402"/>
        <v>27.439605382883958</v>
      </c>
      <c r="DW165" s="5">
        <f t="shared" si="403"/>
        <v>12.415037593984961</v>
      </c>
      <c r="DX165" s="5">
        <f t="shared" si="404"/>
        <v>15.024567788898997</v>
      </c>
      <c r="DY165" s="173">
        <f t="shared" si="405"/>
        <v>0.45244956772334294</v>
      </c>
      <c r="EA165" s="5">
        <f t="shared" si="406"/>
        <v>455.21804511278191</v>
      </c>
      <c r="EB165" s="5">
        <f t="shared" si="407"/>
        <v>21.338345864661655</v>
      </c>
      <c r="EC165" s="5">
        <f t="shared" si="408"/>
        <v>22.495949956155481</v>
      </c>
      <c r="ED165" s="5"/>
      <c r="EE165" s="173">
        <f t="shared" si="409"/>
        <v>7.6338716772605677</v>
      </c>
      <c r="EF165" s="173">
        <f t="shared" si="410"/>
        <v>8.3979218649909484</v>
      </c>
      <c r="EG165" s="173">
        <f t="shared" si="411"/>
        <v>0.20681940906722807</v>
      </c>
      <c r="EH165" s="173"/>
      <c r="EI165" s="528">
        <f t="shared" si="412"/>
        <v>1.1655199356976216</v>
      </c>
      <c r="EJ165" s="528">
        <f t="shared" si="413"/>
        <v>0.4971666666666667</v>
      </c>
      <c r="EK165" s="528">
        <f t="shared" si="414"/>
        <v>4.5554590984741876E-3</v>
      </c>
      <c r="EL165" s="528">
        <f t="shared" si="415"/>
        <v>4.3881461967054287E-3</v>
      </c>
      <c r="EM165">
        <f t="shared" si="416"/>
        <v>8.5500000000000003E-3</v>
      </c>
      <c r="EN165" s="460">
        <f t="shared" si="417"/>
        <v>13.105459098474187</v>
      </c>
      <c r="EP165" s="460">
        <f t="shared" si="439"/>
        <v>1680.1802076594681</v>
      </c>
      <c r="EQ165" s="173">
        <f t="shared" si="418"/>
        <v>3.8499999999999996</v>
      </c>
      <c r="ER165" s="173">
        <f t="shared" si="475"/>
        <v>6.1015625000000004E-2</v>
      </c>
      <c r="ES165" s="528"/>
      <c r="EU165" s="460">
        <f t="shared" si="420"/>
        <v>3911.0156249999995</v>
      </c>
      <c r="EV165" s="528">
        <f t="shared" si="421"/>
        <v>1.748279903546432</v>
      </c>
      <c r="EW165" s="528">
        <f t="shared" si="422"/>
        <v>2.1157527495147916</v>
      </c>
      <c r="EX165" s="528">
        <f t="shared" si="423"/>
        <v>2.1387133983458709E-4</v>
      </c>
      <c r="EY165" s="528">
        <f t="shared" si="424"/>
        <v>0.68679375210278937</v>
      </c>
      <c r="EZ165" s="528"/>
      <c r="FA165" s="625">
        <f t="shared" si="425"/>
        <v>1.4081954164951282E-2</v>
      </c>
      <c r="FB165" s="460">
        <f t="shared" si="426"/>
        <v>4565.1222306687996</v>
      </c>
      <c r="FC165" s="173">
        <f t="shared" si="427"/>
        <v>10.156318063328266</v>
      </c>
      <c r="FD165" s="5">
        <f t="shared" si="428"/>
        <v>83.6</v>
      </c>
      <c r="FE165" s="173">
        <f t="shared" si="429"/>
        <v>0.89167324108794321</v>
      </c>
      <c r="FF165" s="5">
        <f t="shared" si="430"/>
        <v>89.167324108794318</v>
      </c>
      <c r="FG165">
        <f t="shared" si="431"/>
        <v>55.000000000000007</v>
      </c>
      <c r="FI165" s="562">
        <f t="shared" si="432"/>
        <v>-50</v>
      </c>
      <c r="FJ165">
        <f t="shared" si="433"/>
        <v>-50</v>
      </c>
    </row>
    <row r="166" spans="5:166">
      <c r="E166" s="170">
        <v>56</v>
      </c>
      <c r="F166" s="217">
        <f t="shared" si="476"/>
        <v>5.6000000000000005</v>
      </c>
      <c r="G166" s="217">
        <f t="shared" si="444"/>
        <v>0.14000000000000001</v>
      </c>
      <c r="H166" s="217">
        <f t="shared" si="445"/>
        <v>84.000000000000014</v>
      </c>
      <c r="I166" s="217">
        <f t="shared" si="446"/>
        <v>1.1200000000000001</v>
      </c>
      <c r="J166" s="541">
        <f t="shared" si="447"/>
        <v>18.429782527972886</v>
      </c>
      <c r="K166" s="443">
        <f t="shared" si="448"/>
        <v>16.00682105263158</v>
      </c>
      <c r="L166" s="172">
        <f t="shared" si="449"/>
        <v>34.436603580604469</v>
      </c>
      <c r="M166" s="443"/>
      <c r="N166" s="217">
        <f t="shared" si="450"/>
        <v>0.4648199702727655</v>
      </c>
      <c r="O166" s="172">
        <f t="shared" si="451"/>
        <v>211.34533635162558</v>
      </c>
      <c r="P166" s="172">
        <f t="shared" si="452"/>
        <v>2.8555103222619636</v>
      </c>
      <c r="Q166" s="217">
        <f t="shared" si="322"/>
        <v>14.089689090108372</v>
      </c>
      <c r="R166" s="217">
        <f t="shared" si="453"/>
        <v>26.418167043953197</v>
      </c>
      <c r="S166" s="217">
        <f t="shared" si="454"/>
        <v>15</v>
      </c>
      <c r="T166" s="217">
        <f t="shared" si="455"/>
        <v>19.872688333241737</v>
      </c>
      <c r="U166" s="217">
        <f t="shared" si="326"/>
        <v>12.939504827956897</v>
      </c>
      <c r="V166" s="217">
        <f t="shared" si="327"/>
        <v>14.898164926988743</v>
      </c>
      <c r="W166" s="197">
        <f t="shared" si="328"/>
        <v>71.387758056549089</v>
      </c>
      <c r="X166" s="443">
        <f t="shared" si="435"/>
        <v>35.666302112129245</v>
      </c>
      <c r="Z166" s="217">
        <f t="shared" si="329"/>
        <v>10</v>
      </c>
      <c r="AA166" s="173">
        <f t="shared" si="330"/>
        <v>7.4968039940867319</v>
      </c>
      <c r="AB166" s="173">
        <f t="shared" si="456"/>
        <v>2.6406909361541171</v>
      </c>
      <c r="AC166" s="173"/>
      <c r="AD166" s="173">
        <f t="shared" si="332"/>
        <v>7.4968039940867319</v>
      </c>
      <c r="AE166" s="545">
        <f t="shared" si="457"/>
        <v>149.39699649122807</v>
      </c>
      <c r="AF166" s="528">
        <f t="shared" si="458"/>
        <v>2.6759001486361726</v>
      </c>
      <c r="AH166" s="173">
        <f t="shared" si="459"/>
        <v>6.3665794060337717</v>
      </c>
      <c r="AI166" s="173">
        <f t="shared" si="460"/>
        <v>19.872688333241737</v>
      </c>
      <c r="AJ166" s="173">
        <f t="shared" si="461"/>
        <v>8.5131024690679524</v>
      </c>
      <c r="AL166" s="545">
        <f t="shared" si="462"/>
        <v>5600.0000000000009</v>
      </c>
      <c r="AM166" s="460">
        <f t="shared" si="463"/>
        <v>35.666302112129245</v>
      </c>
      <c r="AO166">
        <f t="shared" si="340"/>
        <v>5600.0000000000009</v>
      </c>
      <c r="AP166">
        <f t="shared" si="341"/>
        <v>35.666302112129245</v>
      </c>
      <c r="AR166" s="5">
        <f t="shared" si="443"/>
        <v>28.037669754945643</v>
      </c>
      <c r="AS166" s="5">
        <f t="shared" si="440"/>
        <v>12.939504827956897</v>
      </c>
      <c r="AT166" s="5">
        <f t="shared" si="441"/>
        <v>15.098164926988746</v>
      </c>
      <c r="AU166" s="173">
        <f t="shared" si="442"/>
        <v>0.46150428837526564</v>
      </c>
      <c r="AW166" s="5">
        <f t="shared" si="342"/>
        <v>483.07484691039082</v>
      </c>
      <c r="AX166" s="5">
        <f t="shared" si="343"/>
        <v>22.64413344892457</v>
      </c>
      <c r="AY166" s="5">
        <f t="shared" si="344"/>
        <v>23.729317252772976</v>
      </c>
      <c r="AZ166" s="5"/>
      <c r="BA166" s="173">
        <f t="shared" si="345"/>
        <v>7.7944210887246168</v>
      </c>
      <c r="BB166" s="173">
        <f t="shared" si="346"/>
        <v>8.4195158464347415</v>
      </c>
      <c r="BC166" s="173">
        <f t="shared" si="347"/>
        <v>0.20735121378670662</v>
      </c>
      <c r="BD166" s="173"/>
      <c r="BE166" s="528">
        <f t="shared" si="348"/>
        <v>1.2150600021671008</v>
      </c>
      <c r="BF166" s="528">
        <f t="shared" si="464"/>
        <v>0.45765297378986552</v>
      </c>
      <c r="BG166" s="528">
        <f t="shared" si="465"/>
        <v>1.6433054787588046E-2</v>
      </c>
      <c r="BH166" s="528">
        <f t="shared" si="351"/>
        <v>4.2295942442168184E-3</v>
      </c>
      <c r="BI166">
        <f t="shared" si="352"/>
        <v>8.2934021375877989E-3</v>
      </c>
      <c r="BJ166" s="460">
        <f t="shared" si="436"/>
        <v>24.726456925175846</v>
      </c>
      <c r="BK166">
        <f t="shared" si="466"/>
        <v>2.8187879323373384</v>
      </c>
      <c r="BL166" s="460">
        <f t="shared" si="437"/>
        <v>1701.6690271263587</v>
      </c>
      <c r="BM166" s="173">
        <f t="shared" si="467"/>
        <v>3.4789999999999996</v>
      </c>
      <c r="BN166" s="173">
        <f t="shared" si="468"/>
        <v>8.6974999999999997E-2</v>
      </c>
      <c r="BO166" s="528"/>
      <c r="BQ166" s="460">
        <f t="shared" si="356"/>
        <v>3565.9749999999995</v>
      </c>
      <c r="BR166" s="528">
        <f t="shared" si="357"/>
        <v>1.822590003250651</v>
      </c>
      <c r="BS166" s="528">
        <f t="shared" si="358"/>
        <v>2.1266474126509713</v>
      </c>
      <c r="BT166" s="528">
        <f t="shared" si="359"/>
        <v>2.1497262929410257E-4</v>
      </c>
      <c r="BU166" s="528">
        <f t="shared" si="360"/>
        <v>0.66873917935551752</v>
      </c>
      <c r="BV166" s="528"/>
      <c r="BW166" s="625">
        <f t="shared" si="469"/>
        <v>1.408546947880719E-2</v>
      </c>
      <c r="BX166" s="460">
        <f t="shared" si="362"/>
        <v>4632.277037365242</v>
      </c>
      <c r="BY166" s="173">
        <f t="shared" si="363"/>
        <v>9.8999210644915987</v>
      </c>
      <c r="BZ166" s="5">
        <f t="shared" si="364"/>
        <v>85.120000000000019</v>
      </c>
      <c r="CA166" s="173">
        <f t="shared" si="365"/>
        <v>0.89581215229833377</v>
      </c>
      <c r="CB166" s="5">
        <f t="shared" si="366"/>
        <v>89.581215229833376</v>
      </c>
      <c r="CC166">
        <f t="shared" si="367"/>
        <v>56.000000000000007</v>
      </c>
      <c r="CE166" s="562">
        <f t="shared" si="470"/>
        <v>-50</v>
      </c>
      <c r="CF166">
        <f t="shared" si="471"/>
        <v>-50</v>
      </c>
      <c r="CG166" s="173">
        <f t="shared" si="370"/>
        <v>0.54755043227665712</v>
      </c>
      <c r="CH166" s="173">
        <f t="shared" si="472"/>
        <v>6.4398811101315845E-2</v>
      </c>
      <c r="CI166" s="170">
        <v>56</v>
      </c>
      <c r="CJ166" s="217">
        <f t="shared" si="438"/>
        <v>5.6000000000000005</v>
      </c>
      <c r="CK166" s="217">
        <f t="shared" si="372"/>
        <v>0.14000000000000001</v>
      </c>
      <c r="CL166" s="217">
        <f t="shared" si="373"/>
        <v>84.000000000000014</v>
      </c>
      <c r="CM166" s="217">
        <f t="shared" si="374"/>
        <v>1.1200000000000001</v>
      </c>
      <c r="CN166" s="541">
        <f t="shared" si="375"/>
        <v>19</v>
      </c>
      <c r="CO166" s="443">
        <f t="shared" si="473"/>
        <v>15.7</v>
      </c>
      <c r="CP166" s="443">
        <f t="shared" si="474"/>
        <v>34.700000000000003</v>
      </c>
      <c r="CQ166" s="443"/>
      <c r="CR166" s="217">
        <f t="shared" si="378"/>
        <v>0.44767441860465118</v>
      </c>
      <c r="CS166" s="172">
        <f t="shared" si="379"/>
        <v>209.84738372093025</v>
      </c>
      <c r="CT166" s="172">
        <f t="shared" si="380"/>
        <v>2.835271317829458</v>
      </c>
      <c r="CU166" s="217">
        <f t="shared" si="381"/>
        <v>13.989825581395349</v>
      </c>
      <c r="CV166" s="217">
        <f t="shared" si="382"/>
        <v>26.230922965116282</v>
      </c>
      <c r="CW166" s="217">
        <f t="shared" si="383"/>
        <v>15</v>
      </c>
      <c r="CX166" s="217">
        <f t="shared" si="384"/>
        <v>20.014545454545459</v>
      </c>
      <c r="CY166" s="217">
        <f t="shared" si="385"/>
        <v>12.640765550239239</v>
      </c>
      <c r="CZ166" s="217">
        <f t="shared" si="386"/>
        <v>15.297741748697169</v>
      </c>
      <c r="DA166" s="197">
        <f t="shared" si="387"/>
        <v>71.63784822286263</v>
      </c>
      <c r="DB166" s="443">
        <f t="shared" si="388"/>
        <v>35.792892916582879</v>
      </c>
      <c r="DD166" s="217">
        <f t="shared" si="389"/>
        <v>10.000000000000002</v>
      </c>
      <c r="DE166" s="173">
        <f t="shared" si="390"/>
        <v>7.6433121019108299</v>
      </c>
      <c r="DF166" s="173">
        <f t="shared" si="391"/>
        <v>2.7017291066282429</v>
      </c>
      <c r="DG166" s="173"/>
      <c r="DH166" s="173">
        <f t="shared" si="392"/>
        <v>7.6433121019108281</v>
      </c>
      <c r="DI166" s="545">
        <f t="shared" si="393"/>
        <v>146.53333333333336</v>
      </c>
      <c r="DJ166" s="528">
        <f t="shared" si="394"/>
        <v>2.7377521613832849</v>
      </c>
      <c r="DL166" s="173">
        <f t="shared" si="395"/>
        <v>6.3665794060337717</v>
      </c>
      <c r="DM166" s="173">
        <f t="shared" si="396"/>
        <v>20.014545454545459</v>
      </c>
      <c r="DN166" s="173">
        <f t="shared" si="397"/>
        <v>8.6181818181818208</v>
      </c>
      <c r="DP166" s="545">
        <f t="shared" si="398"/>
        <v>5600.0000000000009</v>
      </c>
      <c r="DQ166" s="460">
        <f t="shared" si="399"/>
        <v>35.792892916582879</v>
      </c>
      <c r="DS166">
        <f t="shared" si="400"/>
        <v>5600.0000000000009</v>
      </c>
      <c r="DT166">
        <f t="shared" si="401"/>
        <v>35.792892916582879</v>
      </c>
      <c r="DV166" s="5">
        <f t="shared" si="402"/>
        <v>27.938507298936408</v>
      </c>
      <c r="DW166" s="5">
        <f t="shared" si="403"/>
        <v>12.640765550239239</v>
      </c>
      <c r="DX166" s="5">
        <f t="shared" si="404"/>
        <v>15.297741748697169</v>
      </c>
      <c r="DY166" s="173">
        <f t="shared" si="405"/>
        <v>0.45244956772334294</v>
      </c>
      <c r="EA166" s="5">
        <f t="shared" si="406"/>
        <v>471.92191387559831</v>
      </c>
      <c r="EB166" s="5">
        <f t="shared" si="407"/>
        <v>22.121339712918669</v>
      </c>
      <c r="EC166" s="5">
        <f t="shared" si="408"/>
        <v>23.321421177687157</v>
      </c>
      <c r="ED166" s="5"/>
      <c r="EE166" s="173">
        <f t="shared" si="409"/>
        <v>7.772669344119854</v>
      </c>
      <c r="EF166" s="173">
        <f t="shared" si="410"/>
        <v>8.5506113534453316</v>
      </c>
      <c r="EG166" s="173">
        <f t="shared" si="411"/>
        <v>0.2105797619593596</v>
      </c>
      <c r="EH166" s="173"/>
      <c r="EI166" s="528">
        <f t="shared" si="412"/>
        <v>1.2082877746604113</v>
      </c>
      <c r="EJ166" s="528">
        <f t="shared" si="413"/>
        <v>0.49716666666666665</v>
      </c>
      <c r="EK166" s="528">
        <f t="shared" si="414"/>
        <v>4.4741116145728599E-3</v>
      </c>
      <c r="EL166" s="528">
        <f t="shared" si="415"/>
        <v>4.3097864431928283E-3</v>
      </c>
      <c r="EM166">
        <f t="shared" si="416"/>
        <v>8.5500000000000003E-3</v>
      </c>
      <c r="EN166" s="460">
        <f t="shared" si="417"/>
        <v>13.02411161457286</v>
      </c>
      <c r="EP166" s="460">
        <f t="shared" si="439"/>
        <v>1722.7883393848438</v>
      </c>
      <c r="EQ166" s="173">
        <f t="shared" si="418"/>
        <v>3.92</v>
      </c>
      <c r="ER166" s="173">
        <f t="shared" si="475"/>
        <v>6.2125E-2</v>
      </c>
      <c r="ES166" s="528"/>
      <c r="EU166" s="460">
        <f t="shared" si="420"/>
        <v>3982.125</v>
      </c>
      <c r="EV166" s="528">
        <f t="shared" si="421"/>
        <v>1.8124316619906167</v>
      </c>
      <c r="EW166" s="528">
        <f t="shared" si="422"/>
        <v>2.193388635530046</v>
      </c>
      <c r="EX166" s="528">
        <f t="shared" si="423"/>
        <v>2.2171918073430274E-4</v>
      </c>
      <c r="EY166" s="528">
        <f t="shared" si="424"/>
        <v>0.68679375210278804</v>
      </c>
      <c r="EZ166" s="528"/>
      <c r="FA166" s="625">
        <f t="shared" si="425"/>
        <v>1.4337989695223128E-2</v>
      </c>
      <c r="FB166" s="460">
        <f t="shared" si="426"/>
        <v>4707.1737584994071</v>
      </c>
      <c r="FC166" s="173">
        <f t="shared" si="427"/>
        <v>10.412087097884251</v>
      </c>
      <c r="FD166" s="5">
        <f t="shared" si="428"/>
        <v>85.120000000000019</v>
      </c>
      <c r="FE166" s="173">
        <f t="shared" si="429"/>
        <v>0.89100952973825642</v>
      </c>
      <c r="FF166" s="5">
        <f t="shared" si="430"/>
        <v>89.100952973825642</v>
      </c>
      <c r="FG166">
        <f t="shared" si="431"/>
        <v>56.000000000000007</v>
      </c>
      <c r="FI166" s="562">
        <f t="shared" si="432"/>
        <v>-50</v>
      </c>
      <c r="FJ166">
        <f t="shared" si="433"/>
        <v>-50</v>
      </c>
    </row>
    <row r="167" spans="5:166">
      <c r="E167" s="170">
        <v>57</v>
      </c>
      <c r="F167" s="217">
        <f t="shared" si="476"/>
        <v>5.6999999999999993</v>
      </c>
      <c r="G167" s="217">
        <f t="shared" si="444"/>
        <v>0.14249999999999999</v>
      </c>
      <c r="H167" s="217">
        <f t="shared" si="445"/>
        <v>85.499999999999986</v>
      </c>
      <c r="I167" s="217">
        <f t="shared" si="446"/>
        <v>1.1399999999999999</v>
      </c>
      <c r="J167" s="541">
        <f t="shared" si="447"/>
        <v>18.419600073115259</v>
      </c>
      <c r="K167" s="443">
        <f t="shared" si="448"/>
        <v>16.0123</v>
      </c>
      <c r="L167" s="172">
        <f t="shared" si="449"/>
        <v>34.431900073115258</v>
      </c>
      <c r="M167" s="443"/>
      <c r="N167" s="217">
        <f t="shared" si="450"/>
        <v>0.46504259033042877</v>
      </c>
      <c r="O167" s="172">
        <f t="shared" si="451"/>
        <v>211.32973349141633</v>
      </c>
      <c r="P167" s="172">
        <f t="shared" si="452"/>
        <v>2.8552995102840253</v>
      </c>
      <c r="Q167" s="217">
        <f t="shared" si="322"/>
        <v>14.088648899427756</v>
      </c>
      <c r="R167" s="217">
        <f t="shared" si="453"/>
        <v>26.416216686427042</v>
      </c>
      <c r="S167" s="217">
        <f t="shared" si="454"/>
        <v>15</v>
      </c>
      <c r="T167" s="217">
        <f t="shared" si="455"/>
        <v>20.229051205298749</v>
      </c>
      <c r="U167" s="217">
        <f t="shared" si="326"/>
        <v>13.17882111989468</v>
      </c>
      <c r="V167" s="217">
        <f t="shared" si="327"/>
        <v>15.160134050922416</v>
      </c>
      <c r="W167" s="197">
        <f t="shared" si="328"/>
        <v>71.382487757100634</v>
      </c>
      <c r="X167" s="443">
        <f t="shared" si="435"/>
        <v>35.039825179814706</v>
      </c>
      <c r="Z167" s="217">
        <f t="shared" si="329"/>
        <v>9.9999999999999982</v>
      </c>
      <c r="AA167" s="173">
        <f t="shared" si="330"/>
        <v>7.4942388039194849</v>
      </c>
      <c r="AB167" s="173">
        <f t="shared" si="456"/>
        <v>2.6395924819222256</v>
      </c>
      <c r="AC167" s="173"/>
      <c r="AD167" s="173">
        <f t="shared" si="332"/>
        <v>7.4942388039194867</v>
      </c>
      <c r="AE167" s="545">
        <f t="shared" si="457"/>
        <v>152.11684999999997</v>
      </c>
      <c r="AF167" s="528">
        <f t="shared" si="458"/>
        <v>2.6747870483478562</v>
      </c>
      <c r="AH167" s="173">
        <f t="shared" si="459"/>
        <v>6.4231723359367248</v>
      </c>
      <c r="AI167" s="173">
        <f t="shared" si="460"/>
        <v>20.229051205298749</v>
      </c>
      <c r="AJ167" s="173">
        <f t="shared" si="461"/>
        <v>8.7770749668879624</v>
      </c>
      <c r="AL167" s="545">
        <f t="shared" si="462"/>
        <v>5699.9999999999991</v>
      </c>
      <c r="AM167" s="460">
        <f t="shared" si="463"/>
        <v>35.039825179814706</v>
      </c>
      <c r="AO167">
        <f t="shared" si="340"/>
        <v>5699.9999999999991</v>
      </c>
      <c r="AP167">
        <f t="shared" si="341"/>
        <v>35.039825179814706</v>
      </c>
      <c r="AR167" s="5">
        <f t="shared" si="443"/>
        <v>28.538955170817097</v>
      </c>
      <c r="AS167" s="5">
        <f t="shared" si="440"/>
        <v>13.17882111989468</v>
      </c>
      <c r="AT167" s="5">
        <f t="shared" si="441"/>
        <v>15.360134050922417</v>
      </c>
      <c r="AU167" s="173">
        <f t="shared" si="442"/>
        <v>0.46178358811715947</v>
      </c>
      <c r="AW167" s="5">
        <f t="shared" si="342"/>
        <v>500.79520255599772</v>
      </c>
      <c r="AX167" s="5">
        <f t="shared" si="343"/>
        <v>23.474775119812396</v>
      </c>
      <c r="AY167" s="5">
        <f t="shared" si="344"/>
        <v>24.585719712001904</v>
      </c>
      <c r="AZ167" s="5"/>
      <c r="BA167" s="173">
        <f t="shared" si="345"/>
        <v>7.9365934331381904</v>
      </c>
      <c r="BB167" s="173">
        <f t="shared" si="346"/>
        <v>8.5682741688510795</v>
      </c>
      <c r="BC167" s="173">
        <f t="shared" si="347"/>
        <v>0.2110147520799403</v>
      </c>
      <c r="BD167" s="173"/>
      <c r="BE167" s="528">
        <f t="shared" si="348"/>
        <v>1.2597903064586451</v>
      </c>
      <c r="BF167" s="528">
        <f t="shared" si="464"/>
        <v>0.45761442485310783</v>
      </c>
      <c r="BG167" s="528">
        <f t="shared" si="465"/>
        <v>1.613548916110152E-2</v>
      </c>
      <c r="BH167" s="528">
        <f t="shared" si="351"/>
        <v>4.1541665963206005E-3</v>
      </c>
      <c r="BI167">
        <f t="shared" si="352"/>
        <v>8.2888200329018658E-3</v>
      </c>
      <c r="BJ167" s="460">
        <f t="shared" si="436"/>
        <v>24.424309194003389</v>
      </c>
      <c r="BK167">
        <f t="shared" si="466"/>
        <v>2.9424565502945872</v>
      </c>
      <c r="BL167" s="460">
        <f t="shared" si="437"/>
        <v>1745.9832071020767</v>
      </c>
      <c r="BM167" s="173">
        <f t="shared" si="467"/>
        <v>3.5411249999999992</v>
      </c>
      <c r="BN167" s="173">
        <f t="shared" si="468"/>
        <v>8.8528124999999985E-2</v>
      </c>
      <c r="BO167" s="528"/>
      <c r="BQ167" s="460">
        <f t="shared" si="356"/>
        <v>3629.6531249999989</v>
      </c>
      <c r="BR167" s="528">
        <f t="shared" si="357"/>
        <v>1.8896854596879673</v>
      </c>
      <c r="BS167" s="528">
        <f t="shared" si="358"/>
        <v>2.2024596669780196</v>
      </c>
      <c r="BT167" s="528">
        <f t="shared" si="359"/>
        <v>2.2263612797679335E-4</v>
      </c>
      <c r="BU167" s="528">
        <f t="shared" si="360"/>
        <v>0.66882672055120018</v>
      </c>
      <c r="BV167" s="528"/>
      <c r="BW167" s="625">
        <f t="shared" si="469"/>
        <v>1.4338804984880691E-2</v>
      </c>
      <c r="BX167" s="460">
        <f t="shared" si="362"/>
        <v>4775.5332883300443</v>
      </c>
      <c r="BY167" s="173">
        <f t="shared" si="363"/>
        <v>10.151169620432119</v>
      </c>
      <c r="BZ167" s="5">
        <f t="shared" si="364"/>
        <v>86.639999999999986</v>
      </c>
      <c r="CA167" s="173">
        <f t="shared" si="365"/>
        <v>0.89512297805429908</v>
      </c>
      <c r="CB167" s="5">
        <f t="shared" si="366"/>
        <v>89.51229780542991</v>
      </c>
      <c r="CC167">
        <f t="shared" si="367"/>
        <v>56.999999999999993</v>
      </c>
      <c r="CE167" s="562">
        <f t="shared" si="470"/>
        <v>-50</v>
      </c>
      <c r="CF167">
        <f t="shared" si="471"/>
        <v>-50</v>
      </c>
      <c r="CG167" s="173">
        <f t="shared" si="370"/>
        <v>0.54755043227665701</v>
      </c>
      <c r="CH167" s="173">
        <f t="shared" si="472"/>
        <v>6.4398811101315859E-2</v>
      </c>
      <c r="CI167" s="170">
        <v>57</v>
      </c>
      <c r="CJ167" s="217">
        <f t="shared" si="438"/>
        <v>5.6999999999999993</v>
      </c>
      <c r="CK167" s="217">
        <f t="shared" si="372"/>
        <v>0.14249999999999999</v>
      </c>
      <c r="CL167" s="217">
        <f t="shared" si="373"/>
        <v>85.499999999999986</v>
      </c>
      <c r="CM167" s="217">
        <f t="shared" si="374"/>
        <v>1.1399999999999999</v>
      </c>
      <c r="CN167" s="541">
        <f t="shared" si="375"/>
        <v>19</v>
      </c>
      <c r="CO167" s="443">
        <f t="shared" si="473"/>
        <v>15.7</v>
      </c>
      <c r="CP167" s="443">
        <f t="shared" si="474"/>
        <v>34.700000000000003</v>
      </c>
      <c r="CQ167" s="443"/>
      <c r="CR167" s="217">
        <f t="shared" si="378"/>
        <v>0.44767441860465118</v>
      </c>
      <c r="CS167" s="172">
        <f t="shared" si="379"/>
        <v>209.84738372093025</v>
      </c>
      <c r="CT167" s="172">
        <f t="shared" si="380"/>
        <v>2.835271317829458</v>
      </c>
      <c r="CU167" s="217">
        <f t="shared" si="381"/>
        <v>13.989825581395349</v>
      </c>
      <c r="CV167" s="217">
        <f t="shared" si="382"/>
        <v>26.230922965116282</v>
      </c>
      <c r="CW167" s="217">
        <f t="shared" si="383"/>
        <v>15</v>
      </c>
      <c r="CX167" s="217">
        <f t="shared" si="384"/>
        <v>20.371948051948049</v>
      </c>
      <c r="CY167" s="217">
        <f t="shared" si="385"/>
        <v>12.866493506493503</v>
      </c>
      <c r="CZ167" s="217">
        <f t="shared" si="386"/>
        <v>15.570915708495322</v>
      </c>
      <c r="DA167" s="197">
        <f t="shared" si="387"/>
        <v>71.63784822286263</v>
      </c>
      <c r="DB167" s="443">
        <f t="shared" si="388"/>
        <v>35.164947426818294</v>
      </c>
      <c r="DD167" s="217">
        <f t="shared" si="389"/>
        <v>10.000000000000002</v>
      </c>
      <c r="DE167" s="173">
        <f t="shared" si="390"/>
        <v>7.6433121019108299</v>
      </c>
      <c r="DF167" s="173">
        <f t="shared" si="391"/>
        <v>2.7017291066282429</v>
      </c>
      <c r="DG167" s="173"/>
      <c r="DH167" s="173">
        <f t="shared" si="392"/>
        <v>7.6433121019108281</v>
      </c>
      <c r="DI167" s="545">
        <f t="shared" si="393"/>
        <v>149.15</v>
      </c>
      <c r="DJ167" s="528">
        <f t="shared" si="394"/>
        <v>2.7377521613832849</v>
      </c>
      <c r="DL167" s="173">
        <f t="shared" si="395"/>
        <v>6.4231723359367248</v>
      </c>
      <c r="DM167" s="173">
        <f t="shared" si="396"/>
        <v>20.371948051948049</v>
      </c>
      <c r="DN167" s="173">
        <f t="shared" si="397"/>
        <v>8.88292448292448</v>
      </c>
      <c r="DP167" s="545">
        <f t="shared" si="398"/>
        <v>5699.9999999999991</v>
      </c>
      <c r="DQ167" s="460">
        <f t="shared" si="399"/>
        <v>35.164947426818294</v>
      </c>
      <c r="DS167">
        <f t="shared" si="400"/>
        <v>5699.9999999999991</v>
      </c>
      <c r="DT167">
        <f t="shared" si="401"/>
        <v>35.164947426818294</v>
      </c>
      <c r="DV167" s="5">
        <f t="shared" si="402"/>
        <v>28.437409214988822</v>
      </c>
      <c r="DW167" s="5">
        <f t="shared" si="403"/>
        <v>12.866493506493503</v>
      </c>
      <c r="DX167" s="5">
        <f t="shared" si="404"/>
        <v>15.570915708495319</v>
      </c>
      <c r="DY167" s="173">
        <f t="shared" si="405"/>
        <v>0.45244956772334299</v>
      </c>
      <c r="EA167" s="5">
        <f t="shared" si="406"/>
        <v>488.92675324675309</v>
      </c>
      <c r="EB167" s="5">
        <f t="shared" si="407"/>
        <v>22.91844155844155</v>
      </c>
      <c r="EC167" s="5">
        <f t="shared" si="408"/>
        <v>24.161765754561692</v>
      </c>
      <c r="ED167" s="5"/>
      <c r="EE167" s="173">
        <f t="shared" si="409"/>
        <v>7.911467010979135</v>
      </c>
      <c r="EF167" s="173">
        <f t="shared" si="410"/>
        <v>8.7033008418997095</v>
      </c>
      <c r="EG167" s="173">
        <f t="shared" si="411"/>
        <v>0.2143401148514909</v>
      </c>
      <c r="EH167" s="173"/>
      <c r="EI167" s="528">
        <f t="shared" si="412"/>
        <v>1.2518262053162226</v>
      </c>
      <c r="EJ167" s="528">
        <f t="shared" si="413"/>
        <v>0.49716666666666687</v>
      </c>
      <c r="EK167" s="528">
        <f t="shared" si="414"/>
        <v>4.3956184283522864E-3</v>
      </c>
      <c r="EL167" s="528">
        <f t="shared" si="415"/>
        <v>4.2341761547157655E-3</v>
      </c>
      <c r="EM167">
        <f t="shared" si="416"/>
        <v>8.5500000000000003E-3</v>
      </c>
      <c r="EN167" s="460">
        <f t="shared" si="417"/>
        <v>12.945618428352287</v>
      </c>
      <c r="EP167" s="460">
        <f t="shared" si="439"/>
        <v>1766.1726665659573</v>
      </c>
      <c r="EQ167" s="173">
        <f t="shared" si="418"/>
        <v>3.9899999999999993</v>
      </c>
      <c r="ER167" s="173">
        <f t="shared" si="475"/>
        <v>6.3234374999999995E-2</v>
      </c>
      <c r="ES167" s="528"/>
      <c r="EU167" s="460">
        <f t="shared" si="420"/>
        <v>4053.2343749999995</v>
      </c>
      <c r="EV167" s="528">
        <f t="shared" si="421"/>
        <v>1.8777393079743339</v>
      </c>
      <c r="EW167" s="528">
        <f t="shared" si="422"/>
        <v>2.2724233663383657</v>
      </c>
      <c r="EX167" s="528">
        <f t="shared" si="423"/>
        <v>2.2970842417275157E-4</v>
      </c>
      <c r="EY167" s="528">
        <f t="shared" si="424"/>
        <v>0.68679375210278981</v>
      </c>
      <c r="EZ167" s="528"/>
      <c r="FA167" s="625">
        <f t="shared" si="425"/>
        <v>1.4594025225494968E-2</v>
      </c>
      <c r="FB167" s="460">
        <f t="shared" si="426"/>
        <v>4851.7801600651574</v>
      </c>
      <c r="FC167" s="173">
        <f t="shared" si="427"/>
        <v>10.671187201631115</v>
      </c>
      <c r="FD167" s="5">
        <f t="shared" si="428"/>
        <v>86.639999999999986</v>
      </c>
      <c r="FE167" s="173">
        <f t="shared" si="429"/>
        <v>0.89033956414980164</v>
      </c>
      <c r="FF167" s="5">
        <f t="shared" si="430"/>
        <v>89.033956414980167</v>
      </c>
      <c r="FG167">
        <f t="shared" si="431"/>
        <v>56.999999999999993</v>
      </c>
      <c r="FI167" s="562">
        <f t="shared" si="432"/>
        <v>-50</v>
      </c>
      <c r="FJ167">
        <f t="shared" si="433"/>
        <v>-50</v>
      </c>
    </row>
    <row r="168" spans="5:166">
      <c r="E168" s="170">
        <v>58</v>
      </c>
      <c r="F168" s="217">
        <f t="shared" si="476"/>
        <v>5.8</v>
      </c>
      <c r="G168" s="217">
        <f t="shared" si="444"/>
        <v>0.14499999999999999</v>
      </c>
      <c r="H168" s="217">
        <f t="shared" si="445"/>
        <v>87</v>
      </c>
      <c r="I168" s="217">
        <f t="shared" si="446"/>
        <v>1.1599999999999999</v>
      </c>
      <c r="J168" s="541">
        <f t="shared" si="447"/>
        <v>18.409417618257631</v>
      </c>
      <c r="K168" s="443">
        <f t="shared" si="448"/>
        <v>16.01777894736842</v>
      </c>
      <c r="L168" s="172">
        <f t="shared" si="449"/>
        <v>34.427196565626048</v>
      </c>
      <c r="M168" s="443"/>
      <c r="N168" s="217">
        <f t="shared" si="450"/>
        <v>0.46526527121762296</v>
      </c>
      <c r="O168" s="172">
        <f t="shared" si="451"/>
        <v>211.31404640913956</v>
      </c>
      <c r="P168" s="172">
        <f t="shared" si="452"/>
        <v>2.8550875603723744</v>
      </c>
      <c r="Q168" s="217">
        <f t="shared" si="322"/>
        <v>14.087603093942638</v>
      </c>
      <c r="R168" s="217">
        <f t="shared" si="453"/>
        <v>26.414255801142446</v>
      </c>
      <c r="S168" s="217">
        <f t="shared" si="454"/>
        <v>15</v>
      </c>
      <c r="T168" s="217">
        <f t="shared" si="455"/>
        <v>20.585474907700494</v>
      </c>
      <c r="U168" s="217">
        <f t="shared" si="326"/>
        <v>13.418441800538924</v>
      </c>
      <c r="V168" s="217">
        <f t="shared" si="327"/>
        <v>15.421969531736487</v>
      </c>
      <c r="W168" s="197">
        <f t="shared" si="328"/>
        <v>71.377189009309362</v>
      </c>
      <c r="X168" s="443">
        <f t="shared" si="435"/>
        <v>34.434773962330333</v>
      </c>
      <c r="Z168" s="217">
        <f t="shared" si="329"/>
        <v>9.9999999999999982</v>
      </c>
      <c r="AA168" s="173">
        <f t="shared" si="330"/>
        <v>7.4916753686199993</v>
      </c>
      <c r="AB168" s="173">
        <f t="shared" si="456"/>
        <v>2.6384937275446232</v>
      </c>
      <c r="AC168" s="173"/>
      <c r="AD168" s="173">
        <f t="shared" si="332"/>
        <v>7.4916753686200011</v>
      </c>
      <c r="AE168" s="545">
        <f t="shared" si="457"/>
        <v>154.83852982456139</v>
      </c>
      <c r="AF168" s="528">
        <f t="shared" si="458"/>
        <v>2.673673643911886</v>
      </c>
      <c r="AH168" s="173">
        <f t="shared" si="459"/>
        <v>6.4792709760398495</v>
      </c>
      <c r="AI168" s="173">
        <f t="shared" si="460"/>
        <v>20.585474907700494</v>
      </c>
      <c r="AJ168" s="173">
        <f t="shared" si="461"/>
        <v>9.0410925242225879</v>
      </c>
      <c r="AL168" s="545">
        <f t="shared" si="462"/>
        <v>5800</v>
      </c>
      <c r="AM168" s="460">
        <f t="shared" si="463"/>
        <v>34.434773962330333</v>
      </c>
      <c r="AO168">
        <f t="shared" si="340"/>
        <v>5800</v>
      </c>
      <c r="AP168">
        <f t="shared" si="341"/>
        <v>34.434773962330333</v>
      </c>
      <c r="AR168" s="5">
        <f t="shared" si="443"/>
        <v>29.040411332275411</v>
      </c>
      <c r="AS168" s="5">
        <f t="shared" si="440"/>
        <v>13.418441800538924</v>
      </c>
      <c r="AT168" s="5">
        <f t="shared" si="441"/>
        <v>15.621969531736488</v>
      </c>
      <c r="AU168" s="173">
        <f t="shared" si="442"/>
        <v>0.46206101032824265</v>
      </c>
      <c r="AW168" s="5">
        <f t="shared" si="342"/>
        <v>518.84641628750501</v>
      </c>
      <c r="AX168" s="5">
        <f t="shared" si="343"/>
        <v>24.320925763476797</v>
      </c>
      <c r="AY168" s="5">
        <f t="shared" si="344"/>
        <v>25.457572622357137</v>
      </c>
      <c r="AZ168" s="5"/>
      <c r="BA168" s="173">
        <f t="shared" si="345"/>
        <v>8.0788570746988277</v>
      </c>
      <c r="BB168" s="173">
        <f t="shared" si="346"/>
        <v>8.7169945561401825</v>
      </c>
      <c r="BC168" s="173">
        <f t="shared" si="347"/>
        <v>0.21467735612768765</v>
      </c>
      <c r="BD168" s="173"/>
      <c r="BE168" s="528">
        <f t="shared" si="348"/>
        <v>1.3053586326682258</v>
      </c>
      <c r="BF168" s="528">
        <f t="shared" si="464"/>
        <v>0.45757370410624193</v>
      </c>
      <c r="BG168" s="528">
        <f t="shared" si="465"/>
        <v>1.5848103361571081E-2</v>
      </c>
      <c r="BH168" s="528">
        <f t="shared" si="351"/>
        <v>4.0813191308037419E-3</v>
      </c>
      <c r="BI168">
        <f t="shared" si="352"/>
        <v>8.2842379282159345E-3</v>
      </c>
      <c r="BJ168" s="460">
        <f t="shared" si="436"/>
        <v>24.132341289787014</v>
      </c>
      <c r="BK168">
        <f t="shared" si="466"/>
        <v>3.072364068219835</v>
      </c>
      <c r="BL168" s="460">
        <f t="shared" si="437"/>
        <v>1791.1459971950587</v>
      </c>
      <c r="BM168" s="173">
        <f t="shared" si="467"/>
        <v>3.6032499999999996</v>
      </c>
      <c r="BN168" s="173">
        <f t="shared" si="468"/>
        <v>9.0081249999999988E-2</v>
      </c>
      <c r="BO168" s="528"/>
      <c r="BQ168" s="460">
        <f t="shared" si="356"/>
        <v>3693.3312499999997</v>
      </c>
      <c r="BR168" s="528">
        <f t="shared" si="357"/>
        <v>1.9580379490023387</v>
      </c>
      <c r="BS168" s="528">
        <f t="shared" si="358"/>
        <v>2.2795798227533268</v>
      </c>
      <c r="BT168" s="528">
        <f t="shared" si="359"/>
        <v>2.3043183616987015E-4</v>
      </c>
      <c r="BU168" s="528">
        <f t="shared" si="360"/>
        <v>0.66890635533885878</v>
      </c>
      <c r="BV168" s="528"/>
      <c r="BW168" s="625">
        <f t="shared" si="469"/>
        <v>1.4592141010916031E-2</v>
      </c>
      <c r="BX168" s="460">
        <f t="shared" si="362"/>
        <v>4921.3466999416105</v>
      </c>
      <c r="BY168" s="173">
        <f t="shared" si="363"/>
        <v>10.405823947136669</v>
      </c>
      <c r="BZ168" s="5">
        <f t="shared" si="364"/>
        <v>88.16</v>
      </c>
      <c r="CA168" s="173">
        <f t="shared" si="365"/>
        <v>0.89442766741626822</v>
      </c>
      <c r="CB168" s="5">
        <f t="shared" si="366"/>
        <v>89.442766741626826</v>
      </c>
      <c r="CC168">
        <f t="shared" si="367"/>
        <v>57.999999999999993</v>
      </c>
      <c r="CE168" s="562">
        <f t="shared" si="470"/>
        <v>-50</v>
      </c>
      <c r="CF168">
        <f t="shared" si="471"/>
        <v>-50</v>
      </c>
      <c r="CG168" s="173">
        <f t="shared" si="370"/>
        <v>0.54755043227665712</v>
      </c>
      <c r="CH168" s="173">
        <f t="shared" si="472"/>
        <v>6.4398811101315859E-2</v>
      </c>
      <c r="CI168" s="170">
        <v>58</v>
      </c>
      <c r="CJ168" s="217">
        <f t="shared" si="438"/>
        <v>5.8</v>
      </c>
      <c r="CK168" s="217">
        <f t="shared" si="372"/>
        <v>0.14499999999999999</v>
      </c>
      <c r="CL168" s="217">
        <f t="shared" si="373"/>
        <v>87</v>
      </c>
      <c r="CM168" s="217">
        <f t="shared" si="374"/>
        <v>1.1599999999999999</v>
      </c>
      <c r="CN168" s="541">
        <f t="shared" si="375"/>
        <v>19</v>
      </c>
      <c r="CO168" s="443">
        <f t="shared" si="473"/>
        <v>15.7</v>
      </c>
      <c r="CP168" s="443">
        <f t="shared" si="474"/>
        <v>34.700000000000003</v>
      </c>
      <c r="CQ168" s="443"/>
      <c r="CR168" s="217">
        <f t="shared" si="378"/>
        <v>0.44767441860465118</v>
      </c>
      <c r="CS168" s="172">
        <f t="shared" si="379"/>
        <v>209.84738372093025</v>
      </c>
      <c r="CT168" s="172">
        <f t="shared" si="380"/>
        <v>2.835271317829458</v>
      </c>
      <c r="CU168" s="217">
        <f t="shared" si="381"/>
        <v>13.989825581395349</v>
      </c>
      <c r="CV168" s="217">
        <f t="shared" si="382"/>
        <v>26.230922965116282</v>
      </c>
      <c r="CW168" s="217">
        <f t="shared" si="383"/>
        <v>15</v>
      </c>
      <c r="CX168" s="217">
        <f t="shared" si="384"/>
        <v>20.729350649350646</v>
      </c>
      <c r="CY168" s="217">
        <f t="shared" si="385"/>
        <v>13.092221462747776</v>
      </c>
      <c r="CZ168" s="217">
        <f t="shared" si="386"/>
        <v>15.844089668293487</v>
      </c>
      <c r="DA168" s="197">
        <f t="shared" si="387"/>
        <v>71.63784822286263</v>
      </c>
      <c r="DB168" s="443">
        <f t="shared" si="388"/>
        <v>34.558655229804174</v>
      </c>
      <c r="DD168" s="217">
        <f t="shared" si="389"/>
        <v>10.000000000000002</v>
      </c>
      <c r="DE168" s="173">
        <f t="shared" si="390"/>
        <v>7.6433121019108299</v>
      </c>
      <c r="DF168" s="173">
        <f t="shared" si="391"/>
        <v>2.7017291066282429</v>
      </c>
      <c r="DG168" s="173"/>
      <c r="DH168" s="173">
        <f t="shared" si="392"/>
        <v>7.6433121019108281</v>
      </c>
      <c r="DI168" s="545">
        <f t="shared" si="393"/>
        <v>151.76666666666668</v>
      </c>
      <c r="DJ168" s="528">
        <f t="shared" si="394"/>
        <v>2.7377521613832849</v>
      </c>
      <c r="DL168" s="173">
        <f t="shared" si="395"/>
        <v>6.4792709760398495</v>
      </c>
      <c r="DM168" s="173">
        <f t="shared" si="396"/>
        <v>20.729350649350646</v>
      </c>
      <c r="DN168" s="173">
        <f t="shared" si="397"/>
        <v>9.1476671476671463</v>
      </c>
      <c r="DP168" s="545">
        <f t="shared" si="398"/>
        <v>5800</v>
      </c>
      <c r="DQ168" s="460">
        <f t="shared" si="399"/>
        <v>34.558655229804174</v>
      </c>
      <c r="DS168">
        <f t="shared" si="400"/>
        <v>5800</v>
      </c>
      <c r="DT168">
        <f t="shared" si="401"/>
        <v>34.558655229804174</v>
      </c>
      <c r="DV168" s="5">
        <f t="shared" si="402"/>
        <v>28.936311131041268</v>
      </c>
      <c r="DW168" s="5">
        <f t="shared" si="403"/>
        <v>13.092221462747776</v>
      </c>
      <c r="DX168" s="5">
        <f t="shared" si="404"/>
        <v>15.844089668293492</v>
      </c>
      <c r="DY168" s="173">
        <f t="shared" si="405"/>
        <v>0.45244956772334288</v>
      </c>
      <c r="EA168" s="5">
        <f t="shared" si="406"/>
        <v>506.23256322624735</v>
      </c>
      <c r="EB168" s="5">
        <f t="shared" si="407"/>
        <v>23.729651401230342</v>
      </c>
      <c r="EC168" s="5">
        <f t="shared" si="408"/>
        <v>25.016983686779191</v>
      </c>
      <c r="ED168" s="5"/>
      <c r="EE168" s="173">
        <f t="shared" si="409"/>
        <v>8.0502646778384168</v>
      </c>
      <c r="EF168" s="173">
        <f t="shared" si="410"/>
        <v>8.855990330354091</v>
      </c>
      <c r="EG168" s="173">
        <f t="shared" si="411"/>
        <v>0.21810046774362232</v>
      </c>
      <c r="EH168" s="173"/>
      <c r="EI168" s="528">
        <f t="shared" si="412"/>
        <v>1.2961352276650573</v>
      </c>
      <c r="EJ168" s="528">
        <f t="shared" si="413"/>
        <v>0.49716666666666665</v>
      </c>
      <c r="EK168" s="528">
        <f t="shared" si="414"/>
        <v>4.319831903725522E-3</v>
      </c>
      <c r="EL168" s="528">
        <f t="shared" si="415"/>
        <v>4.1611731175654918E-3</v>
      </c>
      <c r="EM168">
        <f t="shared" si="416"/>
        <v>8.5500000000000003E-3</v>
      </c>
      <c r="EN168" s="460">
        <f t="shared" si="417"/>
        <v>12.869831903725522</v>
      </c>
      <c r="EP168" s="460">
        <f t="shared" si="439"/>
        <v>1810.3328993530147</v>
      </c>
      <c r="EQ168" s="173">
        <f t="shared" si="418"/>
        <v>4.0599999999999996</v>
      </c>
      <c r="ER168" s="173">
        <f t="shared" si="475"/>
        <v>6.4343749999999991E-2</v>
      </c>
      <c r="ES168" s="528"/>
      <c r="EU168" s="460">
        <f t="shared" si="420"/>
        <v>4124.3437499999991</v>
      </c>
      <c r="EV168" s="528">
        <f t="shared" si="421"/>
        <v>1.9442028414975858</v>
      </c>
      <c r="EW168" s="528">
        <f t="shared" si="422"/>
        <v>2.3528569419397551</v>
      </c>
      <c r="EX168" s="528">
        <f t="shared" si="423"/>
        <v>2.378390701499342E-4</v>
      </c>
      <c r="EY168" s="528">
        <f t="shared" si="424"/>
        <v>0.68679375210278804</v>
      </c>
      <c r="EZ168" s="528"/>
      <c r="FA168" s="625">
        <f t="shared" si="425"/>
        <v>1.4850060755766805E-2</v>
      </c>
      <c r="FB168" s="460">
        <f t="shared" si="426"/>
        <v>4998.941435366045</v>
      </c>
      <c r="FC168" s="173">
        <f t="shared" si="427"/>
        <v>10.933618084719063</v>
      </c>
      <c r="FD168" s="5">
        <f t="shared" si="428"/>
        <v>88.16</v>
      </c>
      <c r="FE168" s="173">
        <f t="shared" si="429"/>
        <v>0.88966375134903763</v>
      </c>
      <c r="FF168" s="5">
        <f t="shared" si="430"/>
        <v>88.966375134903757</v>
      </c>
      <c r="FG168">
        <f t="shared" si="431"/>
        <v>57.999999999999993</v>
      </c>
      <c r="FI168" s="562">
        <f t="shared" si="432"/>
        <v>-50</v>
      </c>
      <c r="FJ168">
        <f t="shared" si="433"/>
        <v>-50</v>
      </c>
    </row>
    <row r="169" spans="5:166">
      <c r="E169" s="170">
        <v>59</v>
      </c>
      <c r="F169" s="217">
        <f t="shared" si="476"/>
        <v>5.8999999999999995</v>
      </c>
      <c r="G169" s="217">
        <f t="shared" si="444"/>
        <v>0.14749999999999999</v>
      </c>
      <c r="H169" s="217">
        <f t="shared" si="445"/>
        <v>88.499999999999986</v>
      </c>
      <c r="I169" s="217">
        <f t="shared" si="446"/>
        <v>1.18</v>
      </c>
      <c r="J169" s="541">
        <f t="shared" si="447"/>
        <v>18.399235163400004</v>
      </c>
      <c r="K169" s="443">
        <f t="shared" si="448"/>
        <v>16.02325789473684</v>
      </c>
      <c r="L169" s="172">
        <f t="shared" si="449"/>
        <v>34.422493058136844</v>
      </c>
      <c r="M169" s="443"/>
      <c r="N169" s="217">
        <f t="shared" si="450"/>
        <v>0.46548801295928321</v>
      </c>
      <c r="O169" s="172">
        <f t="shared" si="451"/>
        <v>211.29827507027076</v>
      </c>
      <c r="P169" s="172">
        <f t="shared" si="452"/>
        <v>2.8548744720605472</v>
      </c>
      <c r="Q169" s="217">
        <f t="shared" si="322"/>
        <v>14.086551671351383</v>
      </c>
      <c r="R169" s="217">
        <f t="shared" si="453"/>
        <v>26.412284383783845</v>
      </c>
      <c r="S169" s="217">
        <f t="shared" si="454"/>
        <v>15</v>
      </c>
      <c r="T169" s="217">
        <f t="shared" si="455"/>
        <v>20.941959883621351</v>
      </c>
      <c r="U169" s="217">
        <f t="shared" si="326"/>
        <v>13.65836766429033</v>
      </c>
      <c r="V169" s="217">
        <f t="shared" si="327"/>
        <v>15.68367183842194</v>
      </c>
      <c r="W169" s="197">
        <f t="shared" si="328"/>
        <v>71.371861801513674</v>
      </c>
      <c r="X169" s="443">
        <f t="shared" si="435"/>
        <v>33.850066442033885</v>
      </c>
      <c r="Z169" s="217">
        <f t="shared" si="329"/>
        <v>10</v>
      </c>
      <c r="AA169" s="173">
        <f t="shared" si="330"/>
        <v>7.4891136863881096</v>
      </c>
      <c r="AB169" s="173">
        <f t="shared" si="456"/>
        <v>2.6373946728982736</v>
      </c>
      <c r="AC169" s="173"/>
      <c r="AD169" s="173">
        <f t="shared" si="332"/>
        <v>7.4891136863881096</v>
      </c>
      <c r="AE169" s="545">
        <f t="shared" si="457"/>
        <v>157.56203596491227</v>
      </c>
      <c r="AF169" s="528">
        <f t="shared" si="458"/>
        <v>2.672559935203584</v>
      </c>
      <c r="AH169" s="173">
        <f t="shared" si="459"/>
        <v>6.5348880560237523</v>
      </c>
      <c r="AI169" s="173">
        <f t="shared" si="460"/>
        <v>20.941959883621351</v>
      </c>
      <c r="AJ169" s="173">
        <f t="shared" si="461"/>
        <v>9.3051554693491472</v>
      </c>
      <c r="AL169" s="545">
        <f t="shared" si="462"/>
        <v>5899.9999999999991</v>
      </c>
      <c r="AM169" s="460">
        <f t="shared" si="463"/>
        <v>33.850066442033885</v>
      </c>
      <c r="AO169">
        <f t="shared" si="340"/>
        <v>5899.9999999999991</v>
      </c>
      <c r="AP169">
        <f t="shared" si="341"/>
        <v>33.850066442033885</v>
      </c>
      <c r="AR169" s="5">
        <f t="shared" si="443"/>
        <v>29.542039502712271</v>
      </c>
      <c r="AS169" s="5">
        <f t="shared" si="440"/>
        <v>13.65836766429033</v>
      </c>
      <c r="AT169" s="5">
        <f t="shared" si="441"/>
        <v>15.883671838421941</v>
      </c>
      <c r="AU169" s="173">
        <f t="shared" si="442"/>
        <v>0.46233665292595483</v>
      </c>
      <c r="AW169" s="5">
        <f t="shared" si="342"/>
        <v>537.2291281287529</v>
      </c>
      <c r="AX169" s="5">
        <f t="shared" si="343"/>
        <v>25.182615381035294</v>
      </c>
      <c r="AY169" s="5">
        <f t="shared" si="344"/>
        <v>26.344891142382878</v>
      </c>
      <c r="AZ169" s="5"/>
      <c r="BA169" s="173">
        <f t="shared" si="345"/>
        <v>8.2212122042334848</v>
      </c>
      <c r="BB169" s="173">
        <f t="shared" si="346"/>
        <v>8.8656771398860297</v>
      </c>
      <c r="BC169" s="173">
        <f t="shared" si="347"/>
        <v>0.21833902917052656</v>
      </c>
      <c r="BD169" s="173"/>
      <c r="BE169" s="528">
        <f t="shared" si="348"/>
        <v>1.3517666021407519</v>
      </c>
      <c r="BF169" s="528">
        <f t="shared" si="464"/>
        <v>0.45753091242114835</v>
      </c>
      <c r="BG169" s="528">
        <f t="shared" si="465"/>
        <v>1.5570383319092409E-2</v>
      </c>
      <c r="BH169" s="528">
        <f t="shared" si="351"/>
        <v>4.010921548692304E-3</v>
      </c>
      <c r="BI169">
        <f t="shared" si="352"/>
        <v>8.2796558235300015E-3</v>
      </c>
      <c r="BJ169" s="460">
        <f t="shared" si="436"/>
        <v>23.850039142622411</v>
      </c>
      <c r="BK169">
        <f t="shared" si="466"/>
        <v>3.2089281390480808</v>
      </c>
      <c r="BL169" s="460">
        <f t="shared" si="437"/>
        <v>1837.1584752532151</v>
      </c>
      <c r="BM169" s="173">
        <f t="shared" si="467"/>
        <v>3.6653749999999987</v>
      </c>
      <c r="BN169" s="173">
        <f t="shared" si="468"/>
        <v>9.163437499999999E-2</v>
      </c>
      <c r="BO169" s="528"/>
      <c r="BQ169" s="460">
        <f t="shared" si="356"/>
        <v>3757.0093749999987</v>
      </c>
      <c r="BR169" s="528">
        <f t="shared" si="357"/>
        <v>2.0276499032111275</v>
      </c>
      <c r="BS169" s="528">
        <f t="shared" si="358"/>
        <v>2.3580069344609318</v>
      </c>
      <c r="BT169" s="528">
        <f t="shared" si="359"/>
        <v>2.3835965829564022E-4</v>
      </c>
      <c r="BU169" s="528">
        <f t="shared" si="360"/>
        <v>0.66897844750308555</v>
      </c>
      <c r="BV169" s="528"/>
      <c r="BW169" s="625">
        <f t="shared" si="469"/>
        <v>1.4845477534715946E-2</v>
      </c>
      <c r="BX169" s="460">
        <f t="shared" si="362"/>
        <v>5069.7191223681557</v>
      </c>
      <c r="BY169" s="173">
        <f t="shared" si="363"/>
        <v>10.66388697262137</v>
      </c>
      <c r="BZ169" s="5">
        <f t="shared" si="364"/>
        <v>89.679999999999993</v>
      </c>
      <c r="CA169" s="173">
        <f t="shared" si="365"/>
        <v>0.89372659068378535</v>
      </c>
      <c r="CB169" s="5">
        <f t="shared" si="366"/>
        <v>89.372659068378539</v>
      </c>
      <c r="CC169">
        <f t="shared" si="367"/>
        <v>59</v>
      </c>
      <c r="CE169" s="562">
        <f t="shared" si="470"/>
        <v>-50</v>
      </c>
      <c r="CF169">
        <f t="shared" si="471"/>
        <v>-50</v>
      </c>
      <c r="CG169" s="173">
        <f t="shared" si="370"/>
        <v>0.54755043227665712</v>
      </c>
      <c r="CH169" s="173">
        <f t="shared" si="472"/>
        <v>6.4398811101315845E-2</v>
      </c>
      <c r="CI169" s="170">
        <v>59</v>
      </c>
      <c r="CJ169" s="217">
        <f t="shared" si="438"/>
        <v>5.8999999999999995</v>
      </c>
      <c r="CK169" s="217">
        <f t="shared" si="372"/>
        <v>0.14749999999999999</v>
      </c>
      <c r="CL169" s="217">
        <f t="shared" si="373"/>
        <v>88.499999999999986</v>
      </c>
      <c r="CM169" s="217">
        <f t="shared" si="374"/>
        <v>1.18</v>
      </c>
      <c r="CN169" s="541">
        <f t="shared" si="375"/>
        <v>19</v>
      </c>
      <c r="CO169" s="443">
        <f t="shared" si="473"/>
        <v>15.7</v>
      </c>
      <c r="CP169" s="443">
        <f t="shared" si="474"/>
        <v>34.700000000000003</v>
      </c>
      <c r="CQ169" s="443"/>
      <c r="CR169" s="217">
        <f t="shared" si="378"/>
        <v>0.44767441860465118</v>
      </c>
      <c r="CS169" s="172">
        <f t="shared" si="379"/>
        <v>209.84738372093025</v>
      </c>
      <c r="CT169" s="172">
        <f t="shared" si="380"/>
        <v>2.835271317829458</v>
      </c>
      <c r="CU169" s="217">
        <f t="shared" si="381"/>
        <v>13.989825581395349</v>
      </c>
      <c r="CV169" s="217">
        <f t="shared" si="382"/>
        <v>26.230922965116282</v>
      </c>
      <c r="CW169" s="217">
        <f t="shared" si="383"/>
        <v>15</v>
      </c>
      <c r="CX169" s="217">
        <f t="shared" si="384"/>
        <v>21.086753246753243</v>
      </c>
      <c r="CY169" s="217">
        <f t="shared" si="385"/>
        <v>13.31794941900205</v>
      </c>
      <c r="CZ169" s="217">
        <f t="shared" si="386"/>
        <v>16.117263628091653</v>
      </c>
      <c r="DA169" s="197">
        <f t="shared" si="387"/>
        <v>71.63784822286263</v>
      </c>
      <c r="DB169" s="443">
        <f t="shared" si="388"/>
        <v>33.972915310654948</v>
      </c>
      <c r="DD169" s="217">
        <f t="shared" si="389"/>
        <v>10.000000000000002</v>
      </c>
      <c r="DE169" s="173">
        <f t="shared" si="390"/>
        <v>7.6433121019108299</v>
      </c>
      <c r="DF169" s="173">
        <f t="shared" si="391"/>
        <v>2.7017291066282429</v>
      </c>
      <c r="DG169" s="173"/>
      <c r="DH169" s="173">
        <f t="shared" si="392"/>
        <v>7.6433121019108281</v>
      </c>
      <c r="DI169" s="545">
        <f t="shared" si="393"/>
        <v>154.38333333333335</v>
      </c>
      <c r="DJ169" s="528">
        <f t="shared" si="394"/>
        <v>2.7377521613832849</v>
      </c>
      <c r="DL169" s="173">
        <f t="shared" si="395"/>
        <v>6.5348880560237523</v>
      </c>
      <c r="DM169" s="173">
        <f t="shared" si="396"/>
        <v>21.086753246753243</v>
      </c>
      <c r="DN169" s="173">
        <f t="shared" si="397"/>
        <v>9.412409812409809</v>
      </c>
      <c r="DP169" s="545">
        <f t="shared" si="398"/>
        <v>5899.9999999999991</v>
      </c>
      <c r="DQ169" s="460">
        <f t="shared" si="399"/>
        <v>33.972915310654948</v>
      </c>
      <c r="DS169">
        <f t="shared" si="400"/>
        <v>5899.9999999999991</v>
      </c>
      <c r="DT169">
        <f t="shared" si="401"/>
        <v>33.972915310654948</v>
      </c>
      <c r="DV169" s="5">
        <f t="shared" si="402"/>
        <v>29.435213047093704</v>
      </c>
      <c r="DW169" s="5">
        <f t="shared" si="403"/>
        <v>13.31794941900205</v>
      </c>
      <c r="DX169" s="5">
        <f t="shared" si="404"/>
        <v>16.117263628091656</v>
      </c>
      <c r="DY169" s="173">
        <f t="shared" si="405"/>
        <v>0.45244956772334288</v>
      </c>
      <c r="EA169" s="5">
        <f t="shared" si="406"/>
        <v>523.83934381408062</v>
      </c>
      <c r="EB169" s="5">
        <f t="shared" si="407"/>
        <v>24.554969241285026</v>
      </c>
      <c r="EC169" s="5">
        <f t="shared" si="408"/>
        <v>25.887074974339583</v>
      </c>
      <c r="ED169" s="5"/>
      <c r="EE169" s="173">
        <f t="shared" si="409"/>
        <v>8.1890623446976996</v>
      </c>
      <c r="EF169" s="173">
        <f t="shared" si="410"/>
        <v>9.0086798188084707</v>
      </c>
      <c r="EG169" s="173">
        <f t="shared" si="411"/>
        <v>0.22186082063575377</v>
      </c>
      <c r="EH169" s="173"/>
      <c r="EI169" s="528">
        <f t="shared" si="412"/>
        <v>1.3412148417069156</v>
      </c>
      <c r="EJ169" s="528">
        <f t="shared" si="413"/>
        <v>0.49716666666666659</v>
      </c>
      <c r="EK169" s="528">
        <f t="shared" si="414"/>
        <v>4.2466144138318682E-3</v>
      </c>
      <c r="EL169" s="528">
        <f t="shared" si="415"/>
        <v>4.0906447596406525E-3</v>
      </c>
      <c r="EM169">
        <f t="shared" si="416"/>
        <v>8.5500000000000003E-3</v>
      </c>
      <c r="EN169" s="460">
        <f t="shared" si="417"/>
        <v>12.79661441383187</v>
      </c>
      <c r="EP169" s="460">
        <f t="shared" si="439"/>
        <v>1855.2687675470547</v>
      </c>
      <c r="EQ169" s="173">
        <f t="shared" si="418"/>
        <v>4.129999999999999</v>
      </c>
      <c r="ER169" s="173">
        <f t="shared" si="475"/>
        <v>6.5453124999999987E-2</v>
      </c>
      <c r="ES169" s="528"/>
      <c r="EU169" s="460">
        <f t="shared" si="420"/>
        <v>4195.4531249999991</v>
      </c>
      <c r="EV169" s="528">
        <f t="shared" si="421"/>
        <v>2.0118222625603734</v>
      </c>
      <c r="EW169" s="528">
        <f t="shared" si="422"/>
        <v>2.4346893623342103</v>
      </c>
      <c r="EX169" s="528">
        <f t="shared" si="423"/>
        <v>2.461111186658505E-4</v>
      </c>
      <c r="EY169" s="528">
        <f t="shared" si="424"/>
        <v>0.6867937521027887</v>
      </c>
      <c r="EZ169" s="528"/>
      <c r="FA169" s="625">
        <f t="shared" si="425"/>
        <v>1.5106096286038644E-2</v>
      </c>
      <c r="FB169" s="460">
        <f t="shared" si="426"/>
        <v>5148.6575844020772</v>
      </c>
      <c r="FC169" s="173">
        <f t="shared" si="427"/>
        <v>11.199379476949131</v>
      </c>
      <c r="FD169" s="5">
        <f t="shared" si="428"/>
        <v>89.679999999999993</v>
      </c>
      <c r="FE169" s="173">
        <f t="shared" si="429"/>
        <v>0.88898247059986935</v>
      </c>
      <c r="FF169" s="5">
        <f t="shared" si="430"/>
        <v>88.898247059986929</v>
      </c>
      <c r="FG169">
        <f t="shared" si="431"/>
        <v>59</v>
      </c>
      <c r="FI169" s="562">
        <f t="shared" si="432"/>
        <v>-50</v>
      </c>
      <c r="FJ169">
        <f t="shared" si="433"/>
        <v>-50</v>
      </c>
    </row>
    <row r="170" spans="5:166">
      <c r="E170" s="170">
        <v>60</v>
      </c>
      <c r="F170" s="217">
        <f t="shared" si="476"/>
        <v>6</v>
      </c>
      <c r="G170" s="217">
        <f t="shared" si="444"/>
        <v>0.15</v>
      </c>
      <c r="H170" s="217">
        <f t="shared" si="445"/>
        <v>90</v>
      </c>
      <c r="I170" s="217">
        <f t="shared" si="446"/>
        <v>1.2</v>
      </c>
      <c r="J170" s="541">
        <f t="shared" si="447"/>
        <v>18.389052708542376</v>
      </c>
      <c r="K170" s="443">
        <f t="shared" si="448"/>
        <v>16.028736842105264</v>
      </c>
      <c r="L170" s="172">
        <f t="shared" si="449"/>
        <v>34.41778955064764</v>
      </c>
      <c r="M170" s="443"/>
      <c r="N170" s="217">
        <f t="shared" si="450"/>
        <v>0.46571081558035882</v>
      </c>
      <c r="O170" s="172">
        <f t="shared" si="451"/>
        <v>211.28241944026666</v>
      </c>
      <c r="P170" s="172">
        <f t="shared" si="452"/>
        <v>2.8546602448818255</v>
      </c>
      <c r="Q170" s="217">
        <f t="shared" si="322"/>
        <v>14.085494629351111</v>
      </c>
      <c r="R170" s="217">
        <f t="shared" si="453"/>
        <v>26.410302430033333</v>
      </c>
      <c r="S170" s="217">
        <f t="shared" si="454"/>
        <v>15</v>
      </c>
      <c r="T170" s="217">
        <f t="shared" si="455"/>
        <v>21.298506576749187</v>
      </c>
      <c r="U170" s="217">
        <f t="shared" si="326"/>
        <v>13.898599507644198</v>
      </c>
      <c r="V170" s="217">
        <f t="shared" si="327"/>
        <v>15.945241439712932</v>
      </c>
      <c r="W170" s="197">
        <f t="shared" si="328"/>
        <v>71.366506122045635</v>
      </c>
      <c r="X170" s="443">
        <f t="shared" si="435"/>
        <v>33.284692251972764</v>
      </c>
      <c r="Z170" s="217">
        <f t="shared" si="329"/>
        <v>10</v>
      </c>
      <c r="AA170" s="173">
        <f t="shared" si="330"/>
        <v>7.4865537554261099</v>
      </c>
      <c r="AB170" s="173">
        <f t="shared" si="456"/>
        <v>2.6362953178600712</v>
      </c>
      <c r="AC170" s="173"/>
      <c r="AD170" s="173">
        <f t="shared" si="332"/>
        <v>7.4865537554261099</v>
      </c>
      <c r="AE170" s="545">
        <f t="shared" si="457"/>
        <v>160.28736842105263</v>
      </c>
      <c r="AF170" s="528">
        <f t="shared" si="458"/>
        <v>2.6714459220982061</v>
      </c>
      <c r="AH170" s="173">
        <f t="shared" si="459"/>
        <v>6.590035768383312</v>
      </c>
      <c r="AI170" s="173">
        <f t="shared" si="460"/>
        <v>21.298506576749187</v>
      </c>
      <c r="AJ170" s="173">
        <f t="shared" si="461"/>
        <v>9.5692641309253226</v>
      </c>
      <c r="AL170" s="545">
        <f t="shared" si="462"/>
        <v>6000</v>
      </c>
      <c r="AM170" s="460">
        <f t="shared" si="463"/>
        <v>33.284692251972764</v>
      </c>
      <c r="AO170">
        <f t="shared" si="340"/>
        <v>6000</v>
      </c>
      <c r="AP170">
        <f t="shared" si="341"/>
        <v>33.284692251972764</v>
      </c>
      <c r="AR170" s="5">
        <f t="shared" si="443"/>
        <v>30.043840947357133</v>
      </c>
      <c r="AS170" s="5">
        <f t="shared" si="440"/>
        <v>13.898599507644198</v>
      </c>
      <c r="AT170" s="5">
        <f t="shared" si="441"/>
        <v>16.145241439712933</v>
      </c>
      <c r="AU170" s="173">
        <f t="shared" si="442"/>
        <v>0.46261060734535731</v>
      </c>
      <c r="AW170" s="5">
        <f t="shared" ref="AW170:AW210" si="477">F170*AS170/Vout_ripple*1000</f>
        <v>555.94398030576781</v>
      </c>
      <c r="AX170" s="5">
        <f t="shared" ref="AX170:AX210" si="478">G170*AS170/Vout_ripple2*1000</f>
        <v>26.059874076832866</v>
      </c>
      <c r="AY170" s="5">
        <f t="shared" ref="AY170:AY210" si="479">H170/Efficiency/J170*AT170/Vinripple1</f>
        <v>27.247690516531019</v>
      </c>
      <c r="AZ170" s="5"/>
      <c r="BA170" s="173">
        <f t="shared" ref="BA170:BA209" si="480">AI170*SQRT(AU170/3)</f>
        <v>8.3636590132521516</v>
      </c>
      <c r="BB170" s="173">
        <f t="shared" ref="BB170:BB210" si="481">AI170*Npri_sec1*SQRT((1-AU170)/3)*(Pout/Pout_total)</f>
        <v>9.0143220512317033</v>
      </c>
      <c r="BC170" s="173">
        <f t="shared" ref="BC170:BC210" si="482">AI170*Npri_sec2*SQRT((1-AU170)/3)*(Pout2/Pout_total)</f>
        <v>0.22199977443817689</v>
      </c>
      <c r="BD170" s="173"/>
      <c r="BE170" s="528">
        <f t="shared" ref="BE170:BE210" si="483">Rdson*BA170^2</f>
        <v>1.399015841799079</v>
      </c>
      <c r="BF170" s="528">
        <f t="shared" si="464"/>
        <v>0.45748614399001436</v>
      </c>
      <c r="BG170" s="528">
        <f t="shared" si="465"/>
        <v>1.530184900522848E-2</v>
      </c>
      <c r="BH170" s="528">
        <f t="shared" ref="BH170:BH210" si="484">0.5*(Coss+Csw)*L170^2*AM170*1000</f>
        <v>3.9428521793478423E-3</v>
      </c>
      <c r="BI170">
        <f t="shared" ref="BI170:BI210" si="485">J170*IQ</f>
        <v>8.2750737188440684E-3</v>
      </c>
      <c r="BJ170" s="460">
        <f t="shared" si="436"/>
        <v>23.576922724072549</v>
      </c>
      <c r="BK170">
        <f t="shared" si="466"/>
        <v>3.3526060227024281</v>
      </c>
      <c r="BL170" s="460">
        <f t="shared" si="437"/>
        <v>1884.0217606925141</v>
      </c>
      <c r="BM170" s="173">
        <f t="shared" si="467"/>
        <v>3.7274999999999991</v>
      </c>
      <c r="BN170" s="173">
        <f t="shared" si="468"/>
        <v>9.3187499999999993E-2</v>
      </c>
      <c r="BO170" s="528"/>
      <c r="BQ170" s="460">
        <f t="shared" ref="BQ170:BQ210" si="486">SUM(BM170:BP170)*1000</f>
        <v>3820.6874999999991</v>
      </c>
      <c r="BR170" s="528">
        <f t="shared" ref="BR170:BR210" si="487">Rdcr_pri*BA170^2</f>
        <v>2.0985237626986186</v>
      </c>
      <c r="BS170" s="528">
        <f t="shared" ref="BS170:BS210" si="488">Rdcr_sec*BB170^2</f>
        <v>2.4377400612996638</v>
      </c>
      <c r="BT170" s="528">
        <f t="shared" ref="BT170:BT210" si="489">Rdcr_sec2*BC170^2</f>
        <v>2.464194992530071E-4</v>
      </c>
      <c r="BU170" s="528">
        <f t="shared" ref="BU170:BU210" si="490">AI170^2.5*AM170^2.5*k_core</f>
        <v>0.66904333685957051</v>
      </c>
      <c r="BV170" s="528"/>
      <c r="BW170" s="625">
        <f t="shared" si="469"/>
        <v>1.5098814535554001E-2</v>
      </c>
      <c r="BX170" s="460">
        <f t="shared" ref="BX170:BX192" si="491">SUM(BR170:BW170)*1000</f>
        <v>5220.6523948926606</v>
      </c>
      <c r="BY170" s="173">
        <f t="shared" ref="BY170:BY192" si="492">SUM(BE170:BI170,BM170:BP170,BR170:BW170)</f>
        <v>10.925361655585172</v>
      </c>
      <c r="BZ170" s="5">
        <f t="shared" ref="BZ170:BZ192" si="493">MIN(H170+I170,O170+P170)</f>
        <v>91.2</v>
      </c>
      <c r="CA170" s="173">
        <f t="shared" ref="CA170:CA192" si="494">BZ170/(BZ170+BY170)</f>
        <v>0.89302009335907528</v>
      </c>
      <c r="CB170" s="5">
        <f t="shared" ref="CB170:CB192" si="495">CA170*100</f>
        <v>89.302009335907528</v>
      </c>
      <c r="CC170">
        <f t="shared" ref="CC170:CC192" si="496">F170/Iout*100</f>
        <v>60</v>
      </c>
      <c r="CE170" s="562">
        <f t="shared" si="470"/>
        <v>-50</v>
      </c>
      <c r="CF170">
        <f t="shared" si="471"/>
        <v>-50</v>
      </c>
      <c r="CG170" s="173">
        <f t="shared" si="370"/>
        <v>0.54755043227665701</v>
      </c>
      <c r="CH170" s="173">
        <f t="shared" si="472"/>
        <v>6.4398811101315845E-2</v>
      </c>
      <c r="CI170" s="170">
        <v>60</v>
      </c>
      <c r="CJ170" s="217">
        <f t="shared" si="438"/>
        <v>6</v>
      </c>
      <c r="CK170" s="217">
        <f t="shared" si="372"/>
        <v>0.15</v>
      </c>
      <c r="CL170" s="217">
        <f t="shared" si="373"/>
        <v>90</v>
      </c>
      <c r="CM170" s="217">
        <f t="shared" si="374"/>
        <v>1.2</v>
      </c>
      <c r="CN170" s="541">
        <f t="shared" si="375"/>
        <v>19</v>
      </c>
      <c r="CO170" s="443">
        <f t="shared" si="473"/>
        <v>15.7</v>
      </c>
      <c r="CP170" s="443">
        <f t="shared" si="474"/>
        <v>34.700000000000003</v>
      </c>
      <c r="CQ170" s="443"/>
      <c r="CR170" s="217">
        <f t="shared" si="378"/>
        <v>0.44767441860465118</v>
      </c>
      <c r="CS170" s="172">
        <f t="shared" si="379"/>
        <v>209.84738372093025</v>
      </c>
      <c r="CT170" s="172">
        <f t="shared" si="380"/>
        <v>2.835271317829458</v>
      </c>
      <c r="CU170" s="217">
        <f t="shared" si="381"/>
        <v>13.989825581395349</v>
      </c>
      <c r="CV170" s="217">
        <f t="shared" si="382"/>
        <v>26.230922965116282</v>
      </c>
      <c r="CW170" s="217">
        <f t="shared" si="383"/>
        <v>15</v>
      </c>
      <c r="CX170" s="217">
        <f t="shared" si="384"/>
        <v>21.444155844155844</v>
      </c>
      <c r="CY170" s="217">
        <f t="shared" si="385"/>
        <v>13.543677375256324</v>
      </c>
      <c r="CZ170" s="217">
        <f t="shared" si="386"/>
        <v>16.390437587889821</v>
      </c>
      <c r="DA170" s="197">
        <f t="shared" si="387"/>
        <v>71.63784822286263</v>
      </c>
      <c r="DB170" s="443">
        <f t="shared" si="388"/>
        <v>33.406700055477366</v>
      </c>
      <c r="DD170" s="217">
        <f t="shared" si="389"/>
        <v>10.000000000000002</v>
      </c>
      <c r="DE170" s="173">
        <f t="shared" si="390"/>
        <v>7.6433121019108299</v>
      </c>
      <c r="DF170" s="173">
        <f t="shared" si="391"/>
        <v>2.7017291066282429</v>
      </c>
      <c r="DG170" s="173"/>
      <c r="DH170" s="173">
        <f t="shared" si="392"/>
        <v>7.6433121019108281</v>
      </c>
      <c r="DI170" s="545">
        <f t="shared" si="393"/>
        <v>157.00000000000003</v>
      </c>
      <c r="DJ170" s="528">
        <f t="shared" si="394"/>
        <v>2.7377521613832849</v>
      </c>
      <c r="DL170" s="173">
        <f t="shared" si="395"/>
        <v>6.590035768383312</v>
      </c>
      <c r="DM170" s="173">
        <f t="shared" si="396"/>
        <v>21.444155844155844</v>
      </c>
      <c r="DN170" s="173">
        <f t="shared" si="397"/>
        <v>9.6771524771524771</v>
      </c>
      <c r="DP170" s="545">
        <f t="shared" si="398"/>
        <v>6000</v>
      </c>
      <c r="DQ170" s="460">
        <f t="shared" si="399"/>
        <v>33.406700055477366</v>
      </c>
      <c r="DS170">
        <f t="shared" si="400"/>
        <v>6000</v>
      </c>
      <c r="DT170">
        <f t="shared" si="401"/>
        <v>33.406700055477366</v>
      </c>
      <c r="DV170" s="5">
        <f t="shared" si="402"/>
        <v>29.93411496314614</v>
      </c>
      <c r="DW170" s="5">
        <f t="shared" si="403"/>
        <v>13.543677375256324</v>
      </c>
      <c r="DX170" s="5">
        <f t="shared" si="404"/>
        <v>16.390437587889814</v>
      </c>
      <c r="DY170" s="173">
        <f t="shared" si="405"/>
        <v>0.45244956772334299</v>
      </c>
      <c r="EA170" s="5">
        <f t="shared" si="406"/>
        <v>541.74709501025302</v>
      </c>
      <c r="EB170" s="5">
        <f t="shared" si="407"/>
        <v>25.394395078605609</v>
      </c>
      <c r="EC170" s="5">
        <f t="shared" si="408"/>
        <v>26.772039617242882</v>
      </c>
      <c r="ED170" s="5"/>
      <c r="EE170" s="173">
        <f t="shared" si="409"/>
        <v>8.3278600115569859</v>
      </c>
      <c r="EF170" s="173">
        <f t="shared" si="410"/>
        <v>9.1613693072628521</v>
      </c>
      <c r="EG170" s="173">
        <f t="shared" si="411"/>
        <v>0.22562117352788522</v>
      </c>
      <c r="EH170" s="173"/>
      <c r="EI170" s="528">
        <f t="shared" si="412"/>
        <v>1.3870650474417985</v>
      </c>
      <c r="EJ170" s="528">
        <f t="shared" si="413"/>
        <v>0.4971666666666667</v>
      </c>
      <c r="EK170" s="528">
        <f t="shared" si="414"/>
        <v>4.1758375069346704E-3</v>
      </c>
      <c r="EL170" s="528">
        <f t="shared" si="415"/>
        <v>4.0224673469799743E-3</v>
      </c>
      <c r="EM170">
        <f t="shared" si="416"/>
        <v>8.5500000000000003E-3</v>
      </c>
      <c r="EN170" s="460">
        <f t="shared" si="417"/>
        <v>12.725837506934672</v>
      </c>
      <c r="EP170" s="460">
        <f t="shared" si="439"/>
        <v>1900.98001896238</v>
      </c>
      <c r="EQ170" s="173">
        <f t="shared" si="418"/>
        <v>4.1999999999999993</v>
      </c>
      <c r="ER170" s="173">
        <f t="shared" si="475"/>
        <v>6.6562499999999997E-2</v>
      </c>
      <c r="ES170" s="528"/>
      <c r="EU170" s="460">
        <f t="shared" ref="EU170:EU210" si="497">SUM(EQ170:ET170)*1000</f>
        <v>4266.5624999999991</v>
      </c>
      <c r="EV170" s="528">
        <f t="shared" si="421"/>
        <v>2.0805975711626976</v>
      </c>
      <c r="EW170" s="528">
        <f t="shared" si="422"/>
        <v>2.5179206275217352</v>
      </c>
      <c r="EX170" s="528">
        <f t="shared" si="423"/>
        <v>2.5452456972050049E-4</v>
      </c>
      <c r="EY170" s="528">
        <f t="shared" si="424"/>
        <v>0.68679375210278859</v>
      </c>
      <c r="EZ170" s="528"/>
      <c r="FA170" s="625">
        <f t="shared" si="425"/>
        <v>1.5362131816310491E-2</v>
      </c>
      <c r="FB170" s="460">
        <f t="shared" ref="FB170:FB192" si="498">SUM(EV170:FA170)*1000</f>
        <v>5300.9286071732522</v>
      </c>
      <c r="FC170" s="173">
        <f t="shared" si="427"/>
        <v>11.468471126135633</v>
      </c>
      <c r="FD170" s="5">
        <f t="shared" si="428"/>
        <v>91.2</v>
      </c>
      <c r="FE170" s="173">
        <f t="shared" si="429"/>
        <v>0.88829607570521052</v>
      </c>
      <c r="FF170" s="5">
        <f t="shared" si="430"/>
        <v>88.829607570521048</v>
      </c>
      <c r="FG170">
        <f t="shared" si="431"/>
        <v>60</v>
      </c>
      <c r="FI170" s="562">
        <f t="shared" si="432"/>
        <v>-50</v>
      </c>
      <c r="FJ170">
        <f t="shared" si="433"/>
        <v>-50</v>
      </c>
    </row>
    <row r="171" spans="5:166">
      <c r="E171" s="170">
        <v>61</v>
      </c>
      <c r="F171" s="217">
        <f t="shared" si="476"/>
        <v>6.1</v>
      </c>
      <c r="G171" s="217">
        <f t="shared" si="444"/>
        <v>0.1525</v>
      </c>
      <c r="H171" s="217">
        <f t="shared" si="445"/>
        <v>91.5</v>
      </c>
      <c r="I171" s="217">
        <f t="shared" si="446"/>
        <v>1.22</v>
      </c>
      <c r="J171" s="541">
        <f t="shared" si="447"/>
        <v>18.378870253684749</v>
      </c>
      <c r="K171" s="443">
        <f t="shared" si="448"/>
        <v>16.034215789473684</v>
      </c>
      <c r="L171" s="172">
        <f t="shared" si="449"/>
        <v>34.41308604315843</v>
      </c>
      <c r="M171" s="443"/>
      <c r="N171" s="217">
        <f t="shared" si="450"/>
        <v>0.46593367910581218</v>
      </c>
      <c r="O171" s="172">
        <f t="shared" si="451"/>
        <v>211.26647948456511</v>
      </c>
      <c r="P171" s="172">
        <f t="shared" si="452"/>
        <v>2.8544448783692355</v>
      </c>
      <c r="Q171" s="217">
        <f t="shared" si="322"/>
        <v>14.084431965637673</v>
      </c>
      <c r="R171" s="217">
        <f t="shared" si="453"/>
        <v>26.408309935570639</v>
      </c>
      <c r="S171" s="217">
        <f t="shared" si="454"/>
        <v>15</v>
      </c>
      <c r="T171" s="217">
        <f t="shared" si="455"/>
        <v>21.655115431287545</v>
      </c>
      <c r="U171" s="217">
        <f t="shared" si="326"/>
        <v>14.139138129197649</v>
      </c>
      <c r="V171" s="217">
        <f t="shared" si="327"/>
        <v>16.206678804088888</v>
      </c>
      <c r="W171" s="197">
        <f t="shared" si="328"/>
        <v>71.361121959230886</v>
      </c>
      <c r="X171" s="443">
        <f t="shared" si="435"/>
        <v>32.737706841628949</v>
      </c>
      <c r="Z171" s="217">
        <f t="shared" si="329"/>
        <v>9.9999999999999982</v>
      </c>
      <c r="AA171" s="173">
        <f t="shared" si="330"/>
        <v>7.4839955739387563</v>
      </c>
      <c r="AB171" s="173">
        <f t="shared" si="456"/>
        <v>2.6351956623068467</v>
      </c>
      <c r="AC171" s="173"/>
      <c r="AD171" s="173">
        <f t="shared" si="332"/>
        <v>7.483995573938758</v>
      </c>
      <c r="AE171" s="545">
        <f t="shared" si="457"/>
        <v>163.01452719298243</v>
      </c>
      <c r="AF171" s="528">
        <f t="shared" si="458"/>
        <v>2.6703316044709391</v>
      </c>
      <c r="AH171" s="173">
        <f t="shared" si="459"/>
        <v>6.6447257996384588</v>
      </c>
      <c r="AI171" s="173">
        <f t="shared" si="460"/>
        <v>21.655115431287545</v>
      </c>
      <c r="AJ171" s="173">
        <f t="shared" si="461"/>
        <v>9.8334188379907719</v>
      </c>
      <c r="AL171" s="545">
        <f t="shared" si="462"/>
        <v>6100</v>
      </c>
      <c r="AM171" s="460">
        <f t="shared" si="463"/>
        <v>32.737706841628949</v>
      </c>
      <c r="AO171">
        <f t="shared" si="340"/>
        <v>6100</v>
      </c>
      <c r="AP171">
        <f t="shared" si="341"/>
        <v>32.737706841628949</v>
      </c>
      <c r="AR171" s="5">
        <f t="shared" si="443"/>
        <v>30.545816933286535</v>
      </c>
      <c r="AS171" s="5">
        <f t="shared" si="440"/>
        <v>14.139138129197649</v>
      </c>
      <c r="AT171" s="5">
        <f t="shared" si="441"/>
        <v>16.406678804088884</v>
      </c>
      <c r="AU171" s="173">
        <f t="shared" si="442"/>
        <v>0.46288295906697063</v>
      </c>
      <c r="AW171" s="5">
        <f t="shared" si="477"/>
        <v>574.99161725403769</v>
      </c>
      <c r="AX171" s="5">
        <f t="shared" si="478"/>
        <v>26.95273205878302</v>
      </c>
      <c r="AY171" s="5">
        <f t="shared" si="479"/>
        <v>28.165986075366526</v>
      </c>
      <c r="AZ171" s="5"/>
      <c r="BA171" s="173">
        <f t="shared" si="480"/>
        <v>8.5061976939244719</v>
      </c>
      <c r="BB171" s="173">
        <f t="shared" si="481"/>
        <v>9.1629294209150149</v>
      </c>
      <c r="BC171" s="173">
        <f t="shared" si="482"/>
        <v>0.22565959515037762</v>
      </c>
      <c r="BD171" s="173"/>
      <c r="BE171" s="528">
        <f t="shared" si="483"/>
        <v>1.4471079841625201</v>
      </c>
      <c r="BF171" s="528">
        <f t="shared" si="464"/>
        <v>0.45743948686923686</v>
      </c>
      <c r="BG171" s="528">
        <f t="shared" si="465"/>
        <v>1.504205166113665E-2</v>
      </c>
      <c r="BH171" s="528">
        <f t="shared" si="484"/>
        <v>3.8769972778934171E-3</v>
      </c>
      <c r="BI171">
        <f t="shared" si="485"/>
        <v>8.2704916141581371E-3</v>
      </c>
      <c r="BJ171" s="460">
        <f t="shared" si="436"/>
        <v>23.312543275294786</v>
      </c>
      <c r="BK171">
        <f t="shared" si="466"/>
        <v>3.5038993474307913</v>
      </c>
      <c r="BL171" s="460">
        <f t="shared" si="437"/>
        <v>1931.7370115849451</v>
      </c>
      <c r="BM171" s="173">
        <f t="shared" si="467"/>
        <v>3.7896249999999996</v>
      </c>
      <c r="BN171" s="173">
        <f t="shared" si="468"/>
        <v>9.4740624999999995E-2</v>
      </c>
      <c r="BO171" s="528"/>
      <c r="BQ171" s="460">
        <f t="shared" si="486"/>
        <v>3884.3656249999995</v>
      </c>
      <c r="BR171" s="528">
        <f t="shared" si="487"/>
        <v>2.17066197624378</v>
      </c>
      <c r="BS171" s="528">
        <f t="shared" si="488"/>
        <v>2.5187782671800991</v>
      </c>
      <c r="BT171" s="528">
        <f t="shared" si="489"/>
        <v>2.5461126441716163E-4</v>
      </c>
      <c r="BU171" s="528">
        <f t="shared" si="490"/>
        <v>0.66910134119704545</v>
      </c>
      <c r="BV171" s="528"/>
      <c r="BW171" s="625">
        <f t="shared" si="469"/>
        <v>1.5352151994054809E-2</v>
      </c>
      <c r="BX171" s="460">
        <f t="shared" si="491"/>
        <v>5374.1483478793962</v>
      </c>
      <c r="BY171" s="173">
        <f t="shared" si="492"/>
        <v>11.19025098446434</v>
      </c>
      <c r="BZ171" s="5">
        <f t="shared" si="493"/>
        <v>92.72</v>
      </c>
      <c r="CA171" s="173">
        <f t="shared" si="494"/>
        <v>0.89230849816600477</v>
      </c>
      <c r="CB171" s="5">
        <f t="shared" si="495"/>
        <v>89.230849816600482</v>
      </c>
      <c r="CC171">
        <f t="shared" si="496"/>
        <v>61</v>
      </c>
      <c r="CE171" s="562">
        <f t="shared" si="470"/>
        <v>-50</v>
      </c>
      <c r="CF171">
        <f t="shared" si="471"/>
        <v>-50</v>
      </c>
      <c r="CG171" s="173">
        <f t="shared" si="370"/>
        <v>0.54755043227665712</v>
      </c>
      <c r="CH171" s="173">
        <f t="shared" si="472"/>
        <v>6.4398811101315845E-2</v>
      </c>
      <c r="CI171" s="170">
        <v>61</v>
      </c>
      <c r="CJ171" s="217">
        <f t="shared" si="438"/>
        <v>6.1</v>
      </c>
      <c r="CK171" s="217">
        <f t="shared" si="372"/>
        <v>0.1525</v>
      </c>
      <c r="CL171" s="217">
        <f t="shared" si="373"/>
        <v>91.5</v>
      </c>
      <c r="CM171" s="217">
        <f t="shared" si="374"/>
        <v>1.22</v>
      </c>
      <c r="CN171" s="541">
        <f t="shared" si="375"/>
        <v>19</v>
      </c>
      <c r="CO171" s="443">
        <f t="shared" si="473"/>
        <v>15.7</v>
      </c>
      <c r="CP171" s="443">
        <f t="shared" si="474"/>
        <v>34.700000000000003</v>
      </c>
      <c r="CQ171" s="443"/>
      <c r="CR171" s="217">
        <f t="shared" si="378"/>
        <v>0.44767441860465118</v>
      </c>
      <c r="CS171" s="172">
        <f t="shared" si="379"/>
        <v>209.84738372093025</v>
      </c>
      <c r="CT171" s="172">
        <f t="shared" si="380"/>
        <v>2.835271317829458</v>
      </c>
      <c r="CU171" s="217">
        <f t="shared" si="381"/>
        <v>13.989825581395349</v>
      </c>
      <c r="CV171" s="217">
        <f t="shared" si="382"/>
        <v>26.230922965116282</v>
      </c>
      <c r="CW171" s="217">
        <f t="shared" si="383"/>
        <v>15</v>
      </c>
      <c r="CX171" s="217">
        <f t="shared" si="384"/>
        <v>21.801558441558441</v>
      </c>
      <c r="CY171" s="217">
        <f t="shared" si="385"/>
        <v>13.769405331510596</v>
      </c>
      <c r="CZ171" s="217">
        <f t="shared" si="386"/>
        <v>16.663611547687985</v>
      </c>
      <c r="DA171" s="197">
        <f t="shared" si="387"/>
        <v>71.63784822286263</v>
      </c>
      <c r="DB171" s="443">
        <f t="shared" si="388"/>
        <v>32.859049234895764</v>
      </c>
      <c r="DD171" s="217">
        <f t="shared" si="389"/>
        <v>10.000000000000002</v>
      </c>
      <c r="DE171" s="173">
        <f t="shared" si="390"/>
        <v>7.6433121019108299</v>
      </c>
      <c r="DF171" s="173">
        <f t="shared" si="391"/>
        <v>2.7017291066282429</v>
      </c>
      <c r="DG171" s="173"/>
      <c r="DH171" s="173">
        <f t="shared" si="392"/>
        <v>7.6433121019108281</v>
      </c>
      <c r="DI171" s="545">
        <f t="shared" si="393"/>
        <v>159.61666666666667</v>
      </c>
      <c r="DJ171" s="528">
        <f t="shared" si="394"/>
        <v>2.7377521613832849</v>
      </c>
      <c r="DL171" s="173">
        <f t="shared" si="395"/>
        <v>6.6447257996384588</v>
      </c>
      <c r="DM171" s="173">
        <f t="shared" si="396"/>
        <v>21.801558441558441</v>
      </c>
      <c r="DN171" s="173">
        <f t="shared" si="397"/>
        <v>9.9418951418951398</v>
      </c>
      <c r="DP171" s="545">
        <f t="shared" si="398"/>
        <v>6100</v>
      </c>
      <c r="DQ171" s="460">
        <f t="shared" si="399"/>
        <v>32.859049234895764</v>
      </c>
      <c r="DS171">
        <f t="shared" si="400"/>
        <v>6100</v>
      </c>
      <c r="DT171">
        <f t="shared" si="401"/>
        <v>32.859049234895764</v>
      </c>
      <c r="DV171" s="5">
        <f t="shared" si="402"/>
        <v>30.433016879198583</v>
      </c>
      <c r="DW171" s="5">
        <f t="shared" si="403"/>
        <v>13.769405331510596</v>
      </c>
      <c r="DX171" s="5">
        <f t="shared" si="404"/>
        <v>16.663611547687985</v>
      </c>
      <c r="DY171" s="173">
        <f t="shared" si="405"/>
        <v>0.45244956772334288</v>
      </c>
      <c r="EA171" s="5">
        <f t="shared" si="406"/>
        <v>559.95581681476415</v>
      </c>
      <c r="EB171" s="5">
        <f t="shared" si="407"/>
        <v>26.247928913192069</v>
      </c>
      <c r="EC171" s="5">
        <f t="shared" si="408"/>
        <v>27.67187761548912</v>
      </c>
      <c r="ED171" s="5"/>
      <c r="EE171" s="173">
        <f t="shared" si="409"/>
        <v>8.4666576784162668</v>
      </c>
      <c r="EF171" s="173">
        <f t="shared" si="410"/>
        <v>9.3140587957172354</v>
      </c>
      <c r="EG171" s="173">
        <f t="shared" si="411"/>
        <v>0.22938152642001661</v>
      </c>
      <c r="EH171" s="173"/>
      <c r="EI171" s="528">
        <f t="shared" si="412"/>
        <v>1.4336858448697027</v>
      </c>
      <c r="EJ171" s="528">
        <f t="shared" si="413"/>
        <v>0.49716666666666659</v>
      </c>
      <c r="EK171" s="528">
        <f t="shared" si="414"/>
        <v>4.1073811543619705E-3</v>
      </c>
      <c r="EL171" s="528">
        <f t="shared" si="415"/>
        <v>3.9565252593245651E-3</v>
      </c>
      <c r="EM171">
        <f t="shared" si="416"/>
        <v>8.5500000000000003E-3</v>
      </c>
      <c r="EN171" s="460">
        <f t="shared" si="417"/>
        <v>12.657381154361969</v>
      </c>
      <c r="EP171" s="460">
        <f t="shared" si="439"/>
        <v>1947.4664179500558</v>
      </c>
      <c r="EQ171" s="173">
        <f t="shared" si="418"/>
        <v>4.2699999999999996</v>
      </c>
      <c r="ER171" s="173">
        <f t="shared" si="475"/>
        <v>6.7671874999999992E-2</v>
      </c>
      <c r="ES171" s="528"/>
      <c r="EU171" s="460">
        <f t="shared" si="497"/>
        <v>4337.671875</v>
      </c>
      <c r="EV171" s="528">
        <f t="shared" si="421"/>
        <v>2.1505287673045537</v>
      </c>
      <c r="EW171" s="528">
        <f t="shared" si="422"/>
        <v>2.602550737502328</v>
      </c>
      <c r="EX171" s="528">
        <f t="shared" si="423"/>
        <v>2.6307942331388388E-4</v>
      </c>
      <c r="EY171" s="528">
        <f t="shared" si="424"/>
        <v>0.68679375210278748</v>
      </c>
      <c r="EZ171" s="528"/>
      <c r="FA171" s="625">
        <f t="shared" si="425"/>
        <v>1.5618167346582329E-2</v>
      </c>
      <c r="FB171" s="460">
        <f t="shared" si="498"/>
        <v>5455.7545036795664</v>
      </c>
      <c r="FC171" s="173">
        <f t="shared" si="427"/>
        <v>11.740892796629621</v>
      </c>
      <c r="FD171" s="5">
        <f t="shared" si="428"/>
        <v>92.72</v>
      </c>
      <c r="FE171" s="173">
        <f t="shared" si="429"/>
        <v>0.88760489708347168</v>
      </c>
      <c r="FF171" s="5">
        <f t="shared" si="430"/>
        <v>88.760489708347166</v>
      </c>
      <c r="FG171">
        <f t="shared" si="431"/>
        <v>61</v>
      </c>
      <c r="FI171" s="562">
        <f t="shared" si="432"/>
        <v>-50</v>
      </c>
      <c r="FJ171">
        <f t="shared" si="433"/>
        <v>-50</v>
      </c>
    </row>
    <row r="172" spans="5:166">
      <c r="E172" s="170">
        <v>62</v>
      </c>
      <c r="F172" s="217">
        <f t="shared" si="476"/>
        <v>6.2</v>
      </c>
      <c r="G172" s="217">
        <f t="shared" si="444"/>
        <v>0.155</v>
      </c>
      <c r="H172" s="217">
        <f t="shared" si="445"/>
        <v>93</v>
      </c>
      <c r="I172" s="217">
        <f t="shared" si="446"/>
        <v>1.24</v>
      </c>
      <c r="J172" s="541">
        <f t="shared" si="447"/>
        <v>18.368687798827121</v>
      </c>
      <c r="K172" s="443">
        <f t="shared" si="448"/>
        <v>16.039694736842105</v>
      </c>
      <c r="L172" s="172">
        <f t="shared" si="449"/>
        <v>34.408382535669226</v>
      </c>
      <c r="M172" s="443"/>
      <c r="N172" s="217">
        <f t="shared" si="450"/>
        <v>0.46615660356061955</v>
      </c>
      <c r="O172" s="172">
        <f t="shared" si="451"/>
        <v>211.25045516858498</v>
      </c>
      <c r="P172" s="172">
        <f t="shared" si="452"/>
        <v>2.8542283720555486</v>
      </c>
      <c r="Q172" s="217">
        <f t="shared" si="322"/>
        <v>14.083363677905664</v>
      </c>
      <c r="R172" s="217">
        <f t="shared" si="453"/>
        <v>26.406306896073122</v>
      </c>
      <c r="S172" s="217">
        <f t="shared" si="454"/>
        <v>15</v>
      </c>
      <c r="T172" s="217">
        <f t="shared" si="455"/>
        <v>22.011786891957904</v>
      </c>
      <c r="U172" s="217">
        <f t="shared" si="326"/>
        <v>14.379984329656951</v>
      </c>
      <c r="V172" s="217">
        <f t="shared" si="327"/>
        <v>16.467984399776615</v>
      </c>
      <c r="W172" s="197">
        <f t="shared" si="328"/>
        <v>71.3557093013887</v>
      </c>
      <c r="X172" s="443">
        <f t="shared" si="435"/>
        <v>32.20822620360336</v>
      </c>
      <c r="Z172" s="217">
        <f t="shared" si="329"/>
        <v>9.9999999999999982</v>
      </c>
      <c r="AA172" s="173">
        <f t="shared" si="330"/>
        <v>7.4814391401332605</v>
      </c>
      <c r="AB172" s="173">
        <f t="shared" si="456"/>
        <v>2.6340957061153629</v>
      </c>
      <c r="AC172" s="173"/>
      <c r="AD172" s="173">
        <f t="shared" si="332"/>
        <v>7.4814391401332623</v>
      </c>
      <c r="AE172" s="545">
        <f t="shared" si="457"/>
        <v>165.74351228070171</v>
      </c>
      <c r="AF172" s="528">
        <f t="shared" si="458"/>
        <v>2.6692169821969025</v>
      </c>
      <c r="AH172" s="173">
        <f t="shared" si="459"/>
        <v>6.6989693592515014</v>
      </c>
      <c r="AI172" s="173">
        <f t="shared" si="460"/>
        <v>22.011786891957904</v>
      </c>
      <c r="AJ172" s="173">
        <f t="shared" si="461"/>
        <v>10.097619919968816</v>
      </c>
      <c r="AL172" s="545">
        <f t="shared" si="462"/>
        <v>6200</v>
      </c>
      <c r="AM172" s="460">
        <f t="shared" si="463"/>
        <v>32.20822620360336</v>
      </c>
      <c r="AO172">
        <f t="shared" si="340"/>
        <v>6200</v>
      </c>
      <c r="AP172">
        <f t="shared" si="341"/>
        <v>32.20822620360336</v>
      </c>
      <c r="AR172" s="5">
        <f t="shared" si="443"/>
        <v>31.047968729433567</v>
      </c>
      <c r="AS172" s="5">
        <f t="shared" si="440"/>
        <v>14.379984329656951</v>
      </c>
      <c r="AT172" s="5">
        <f t="shared" si="441"/>
        <v>16.667984399776614</v>
      </c>
      <c r="AU172" s="173">
        <f t="shared" si="442"/>
        <v>0.46315378809386276</v>
      </c>
      <c r="AW172" s="5">
        <f t="shared" si="477"/>
        <v>594.37268562582062</v>
      </c>
      <c r="AX172" s="5">
        <f t="shared" si="478"/>
        <v>27.861219638710345</v>
      </c>
      <c r="AY172" s="5">
        <f t="shared" si="479"/>
        <v>29.099793235773976</v>
      </c>
      <c r="AZ172" s="5"/>
      <c r="BA172" s="173">
        <f t="shared" si="480"/>
        <v>8.6488284390587253</v>
      </c>
      <c r="BB172" s="173">
        <f t="shared" si="481"/>
        <v>9.3114993793007876</v>
      </c>
      <c r="BC172" s="173">
        <f t="shared" si="482"/>
        <v>0.22931849451768216</v>
      </c>
      <c r="BD172" s="173"/>
      <c r="BE172" s="528">
        <f t="shared" si="483"/>
        <v>1.4960446673654197</v>
      </c>
      <c r="BF172" s="528">
        <f t="shared" si="464"/>
        <v>0.45739102347103133</v>
      </c>
      <c r="BG172" s="528">
        <f t="shared" si="465"/>
        <v>1.4790571292199824E-2</v>
      </c>
      <c r="BH172" s="528">
        <f t="shared" si="484"/>
        <v>3.8132503901892019E-3</v>
      </c>
      <c r="BI172">
        <f t="shared" si="485"/>
        <v>8.2659095094722041E-3</v>
      </c>
      <c r="BJ172" s="460">
        <f t="shared" si="436"/>
        <v>23.056480801672027</v>
      </c>
      <c r="BK172">
        <f t="shared" si="466"/>
        <v>3.6633595767313527</v>
      </c>
      <c r="BL172" s="460">
        <f t="shared" si="437"/>
        <v>1980.305422028312</v>
      </c>
      <c r="BM172" s="173">
        <f t="shared" si="467"/>
        <v>3.8517499999999996</v>
      </c>
      <c r="BN172" s="173">
        <f t="shared" si="468"/>
        <v>9.6293749999999997E-2</v>
      </c>
      <c r="BO172" s="528"/>
      <c r="BQ172" s="460">
        <f t="shared" si="486"/>
        <v>3948.0437499999998</v>
      </c>
      <c r="BR172" s="528">
        <f t="shared" si="487"/>
        <v>2.2440670010481294</v>
      </c>
      <c r="BS172" s="528">
        <f t="shared" si="488"/>
        <v>2.6011206207215682</v>
      </c>
      <c r="BT172" s="528">
        <f t="shared" si="489"/>
        <v>2.6293485963928113E-4</v>
      </c>
      <c r="BU172" s="528">
        <f t="shared" si="490"/>
        <v>0.66915275803345564</v>
      </c>
      <c r="BV172" s="528"/>
      <c r="BW172" s="625">
        <f t="shared" si="469"/>
        <v>1.5605489892085744E-2</v>
      </c>
      <c r="BX172" s="460">
        <f t="shared" si="491"/>
        <v>5530.2088045548799</v>
      </c>
      <c r="BY172" s="173">
        <f t="shared" si="492"/>
        <v>11.458557976583188</v>
      </c>
      <c r="BZ172" s="5">
        <f t="shared" si="493"/>
        <v>94.24</v>
      </c>
      <c r="CA172" s="173">
        <f t="shared" si="494"/>
        <v>0.89159210687508372</v>
      </c>
      <c r="CB172" s="5">
        <f t="shared" si="495"/>
        <v>89.159210687508377</v>
      </c>
      <c r="CC172">
        <f t="shared" si="496"/>
        <v>62</v>
      </c>
      <c r="CE172" s="562">
        <f t="shared" si="470"/>
        <v>-50</v>
      </c>
      <c r="CF172">
        <f t="shared" si="471"/>
        <v>-50</v>
      </c>
      <c r="CG172" s="173">
        <f t="shared" si="370"/>
        <v>0.54755043227665712</v>
      </c>
      <c r="CH172" s="173">
        <f t="shared" si="472"/>
        <v>6.4398811101315859E-2</v>
      </c>
      <c r="CI172" s="170">
        <v>62</v>
      </c>
      <c r="CJ172" s="217">
        <f t="shared" si="438"/>
        <v>6.2</v>
      </c>
      <c r="CK172" s="217">
        <f t="shared" si="372"/>
        <v>0.155</v>
      </c>
      <c r="CL172" s="217">
        <f t="shared" si="373"/>
        <v>93</v>
      </c>
      <c r="CM172" s="217">
        <f t="shared" si="374"/>
        <v>1.24</v>
      </c>
      <c r="CN172" s="541">
        <f t="shared" si="375"/>
        <v>19</v>
      </c>
      <c r="CO172" s="443">
        <f t="shared" si="473"/>
        <v>15.7</v>
      </c>
      <c r="CP172" s="443">
        <f t="shared" si="474"/>
        <v>34.700000000000003</v>
      </c>
      <c r="CQ172" s="443"/>
      <c r="CR172" s="217">
        <f t="shared" si="378"/>
        <v>0.44767441860465118</v>
      </c>
      <c r="CS172" s="172">
        <f t="shared" si="379"/>
        <v>209.84738372093025</v>
      </c>
      <c r="CT172" s="172">
        <f t="shared" si="380"/>
        <v>2.835271317829458</v>
      </c>
      <c r="CU172" s="217">
        <f t="shared" si="381"/>
        <v>13.989825581395349</v>
      </c>
      <c r="CV172" s="217">
        <f t="shared" si="382"/>
        <v>26.230922965116282</v>
      </c>
      <c r="CW172" s="217">
        <f t="shared" si="383"/>
        <v>15</v>
      </c>
      <c r="CX172" s="217">
        <f t="shared" si="384"/>
        <v>22.158961038961035</v>
      </c>
      <c r="CY172" s="217">
        <f t="shared" si="385"/>
        <v>13.995133287764864</v>
      </c>
      <c r="CZ172" s="217">
        <f t="shared" si="386"/>
        <v>16.936785507486142</v>
      </c>
      <c r="DA172" s="197">
        <f t="shared" si="387"/>
        <v>71.63784822286263</v>
      </c>
      <c r="DB172" s="443">
        <f t="shared" si="388"/>
        <v>32.329064569816808</v>
      </c>
      <c r="DD172" s="217">
        <f t="shared" si="389"/>
        <v>10.000000000000002</v>
      </c>
      <c r="DE172" s="173">
        <f t="shared" si="390"/>
        <v>7.6433121019108299</v>
      </c>
      <c r="DF172" s="173">
        <f t="shared" si="391"/>
        <v>2.7017291066282429</v>
      </c>
      <c r="DG172" s="173"/>
      <c r="DH172" s="173">
        <f t="shared" si="392"/>
        <v>7.6433121019108281</v>
      </c>
      <c r="DI172" s="545">
        <f t="shared" si="393"/>
        <v>162.23333333333335</v>
      </c>
      <c r="DJ172" s="528">
        <f t="shared" si="394"/>
        <v>2.7377521613832849</v>
      </c>
      <c r="DL172" s="173">
        <f t="shared" si="395"/>
        <v>6.6989693592515014</v>
      </c>
      <c r="DM172" s="173">
        <f t="shared" si="396"/>
        <v>22.158961038961035</v>
      </c>
      <c r="DN172" s="173">
        <f t="shared" si="397"/>
        <v>10.206637806637803</v>
      </c>
      <c r="DP172" s="545">
        <f t="shared" si="398"/>
        <v>6200</v>
      </c>
      <c r="DQ172" s="460">
        <f t="shared" si="399"/>
        <v>32.329064569816808</v>
      </c>
      <c r="DS172">
        <f t="shared" si="400"/>
        <v>6200</v>
      </c>
      <c r="DT172">
        <f t="shared" si="401"/>
        <v>32.329064569816808</v>
      </c>
      <c r="DV172" s="5">
        <f t="shared" si="402"/>
        <v>30.931918795251011</v>
      </c>
      <c r="DW172" s="5">
        <f t="shared" si="403"/>
        <v>13.995133287764864</v>
      </c>
      <c r="DX172" s="5">
        <f t="shared" si="404"/>
        <v>16.93678550748615</v>
      </c>
      <c r="DY172" s="173">
        <f t="shared" si="405"/>
        <v>0.45244956772334283</v>
      </c>
      <c r="EA172" s="5">
        <f t="shared" si="406"/>
        <v>578.46550922761446</v>
      </c>
      <c r="EB172" s="5">
        <f t="shared" si="407"/>
        <v>27.115570745044419</v>
      </c>
      <c r="EC172" s="5">
        <f t="shared" si="408"/>
        <v>28.58658896907825</v>
      </c>
      <c r="ED172" s="5"/>
      <c r="EE172" s="173">
        <f t="shared" si="409"/>
        <v>8.6054553452755496</v>
      </c>
      <c r="EF172" s="173">
        <f t="shared" si="410"/>
        <v>9.4667482841716133</v>
      </c>
      <c r="EG172" s="173">
        <f t="shared" si="411"/>
        <v>0.233141879312148</v>
      </c>
      <c r="EH172" s="173"/>
      <c r="EI172" s="528">
        <f t="shared" si="412"/>
        <v>1.4810772339906304</v>
      </c>
      <c r="EJ172" s="528">
        <f t="shared" si="413"/>
        <v>0.49716666666666665</v>
      </c>
      <c r="EK172" s="528">
        <f t="shared" si="414"/>
        <v>4.0411330712271012E-3</v>
      </c>
      <c r="EL172" s="528">
        <f t="shared" si="415"/>
        <v>3.8927103357870732E-3</v>
      </c>
      <c r="EM172">
        <f t="shared" si="416"/>
        <v>8.5500000000000003E-3</v>
      </c>
      <c r="EN172" s="460">
        <f t="shared" si="417"/>
        <v>12.591133071227102</v>
      </c>
      <c r="EP172" s="460">
        <f t="shared" si="439"/>
        <v>1994.7277440643113</v>
      </c>
      <c r="EQ172" s="173">
        <f t="shared" si="418"/>
        <v>4.34</v>
      </c>
      <c r="ER172" s="173">
        <f t="shared" si="475"/>
        <v>6.8781250000000002E-2</v>
      </c>
      <c r="ES172" s="528"/>
      <c r="EU172" s="460">
        <f t="shared" si="497"/>
        <v>4408.78125</v>
      </c>
      <c r="EV172" s="528">
        <f t="shared" si="421"/>
        <v>2.2216158509859456</v>
      </c>
      <c r="EW172" s="528">
        <f t="shared" si="422"/>
        <v>2.6885796922759857</v>
      </c>
      <c r="EX172" s="528">
        <f t="shared" si="423"/>
        <v>2.7177567944600091E-4</v>
      </c>
      <c r="EY172" s="528">
        <f t="shared" si="424"/>
        <v>0.68679375210278804</v>
      </c>
      <c r="EZ172" s="528"/>
      <c r="FA172" s="625">
        <f t="shared" si="425"/>
        <v>1.5874202876854173E-2</v>
      </c>
      <c r="FB172" s="460">
        <f t="shared" si="498"/>
        <v>5613.1352739210188</v>
      </c>
      <c r="FC172" s="173">
        <f t="shared" si="427"/>
        <v>12.016644267985331</v>
      </c>
      <c r="FD172" s="5">
        <f t="shared" si="428"/>
        <v>94.24</v>
      </c>
      <c r="FE172" s="173">
        <f t="shared" si="429"/>
        <v>0.88690924364523815</v>
      </c>
      <c r="FF172" s="5">
        <f t="shared" si="430"/>
        <v>88.690924364523809</v>
      </c>
      <c r="FG172">
        <f t="shared" si="431"/>
        <v>62</v>
      </c>
      <c r="FI172" s="562">
        <f t="shared" si="432"/>
        <v>-50</v>
      </c>
      <c r="FJ172">
        <f t="shared" si="433"/>
        <v>-50</v>
      </c>
    </row>
    <row r="173" spans="5:166">
      <c r="E173" s="170">
        <v>63</v>
      </c>
      <c r="F173" s="217">
        <f t="shared" si="476"/>
        <v>6.3</v>
      </c>
      <c r="G173" s="217">
        <f t="shared" si="444"/>
        <v>0.1575</v>
      </c>
      <c r="H173" s="217">
        <f t="shared" si="445"/>
        <v>94.5</v>
      </c>
      <c r="I173" s="217">
        <f t="shared" si="446"/>
        <v>1.26</v>
      </c>
      <c r="J173" s="541">
        <f t="shared" si="447"/>
        <v>18.358505343969497</v>
      </c>
      <c r="K173" s="443">
        <f t="shared" si="448"/>
        <v>16.045173684210525</v>
      </c>
      <c r="L173" s="172">
        <f t="shared" si="449"/>
        <v>34.403679028180022</v>
      </c>
      <c r="M173" s="443"/>
      <c r="N173" s="217">
        <f t="shared" si="450"/>
        <v>0.46637958896977089</v>
      </c>
      <c r="O173" s="172">
        <f t="shared" si="451"/>
        <v>211.23434645772625</v>
      </c>
      <c r="P173" s="172">
        <f t="shared" si="452"/>
        <v>2.8540107254732794</v>
      </c>
      <c r="Q173" s="217">
        <f t="shared" si="322"/>
        <v>14.082289763848417</v>
      </c>
      <c r="R173" s="217">
        <f t="shared" si="453"/>
        <v>26.404293307215781</v>
      </c>
      <c r="S173" s="217">
        <f t="shared" si="454"/>
        <v>15</v>
      </c>
      <c r="T173" s="217">
        <f t="shared" si="455"/>
        <v>22.368521404001889</v>
      </c>
      <c r="U173" s="217">
        <f t="shared" si="326"/>
        <v>14.621138911844774</v>
      </c>
      <c r="V173" s="217">
        <f t="shared" si="327"/>
        <v>16.729158694752385</v>
      </c>
      <c r="W173" s="197">
        <f t="shared" si="328"/>
        <v>71.350268136831971</v>
      </c>
      <c r="X173" s="443">
        <f t="shared" si="435"/>
        <v>31.695422099311678</v>
      </c>
      <c r="Z173" s="217">
        <f t="shared" si="329"/>
        <v>9.9999999999999982</v>
      </c>
      <c r="AA173" s="173">
        <f t="shared" si="330"/>
        <v>7.4788844522192761</v>
      </c>
      <c r="AB173" s="173">
        <f t="shared" si="456"/>
        <v>2.6329954491623138</v>
      </c>
      <c r="AC173" s="173"/>
      <c r="AD173" s="173">
        <f t="shared" si="332"/>
        <v>7.4788844522192779</v>
      </c>
      <c r="AE173" s="545">
        <f t="shared" si="457"/>
        <v>168.47432368421047</v>
      </c>
      <c r="AF173" s="528">
        <f t="shared" si="458"/>
        <v>2.6681020551511461</v>
      </c>
      <c r="AH173" s="173">
        <f t="shared" si="459"/>
        <v>6.7527772064536533</v>
      </c>
      <c r="AI173" s="173">
        <f t="shared" si="460"/>
        <v>22.368521404001889</v>
      </c>
      <c r="AJ173" s="173">
        <f t="shared" si="461"/>
        <v>10.361867706668066</v>
      </c>
      <c r="AL173" s="545">
        <f t="shared" si="462"/>
        <v>6300</v>
      </c>
      <c r="AM173" s="460">
        <f t="shared" si="463"/>
        <v>31.695422099311678</v>
      </c>
      <c r="AO173">
        <f t="shared" si="340"/>
        <v>6300</v>
      </c>
      <c r="AP173">
        <f t="shared" si="341"/>
        <v>31.695422099311678</v>
      </c>
      <c r="AR173" s="5">
        <f t="shared" si="443"/>
        <v>31.550297606597159</v>
      </c>
      <c r="AS173" s="5">
        <f t="shared" si="440"/>
        <v>14.621138911844774</v>
      </c>
      <c r="AT173" s="5">
        <f t="shared" si="441"/>
        <v>16.929158694752385</v>
      </c>
      <c r="AU173" s="173">
        <f t="shared" si="442"/>
        <v>0.46342316938359079</v>
      </c>
      <c r="AW173" s="5">
        <f t="shared" si="477"/>
        <v>614.08783429748053</v>
      </c>
      <c r="AX173" s="5">
        <f t="shared" si="478"/>
        <v>28.785367232694398</v>
      </c>
      <c r="AY173" s="5">
        <f t="shared" si="479"/>
        <v>30.049127501165007</v>
      </c>
      <c r="AZ173" s="5"/>
      <c r="BA173" s="173">
        <f t="shared" si="480"/>
        <v>8.7915514420829073</v>
      </c>
      <c r="BB173" s="173">
        <f t="shared" si="481"/>
        <v>9.4600320564101068</v>
      </c>
      <c r="BC173" s="173">
        <f t="shared" si="482"/>
        <v>0.23297647574217831</v>
      </c>
      <c r="BD173" s="173"/>
      <c r="BE173" s="528">
        <f t="shared" si="483"/>
        <v>1.5458275351758011</v>
      </c>
      <c r="BF173" s="528">
        <f t="shared" si="464"/>
        <v>0.45734083100852091</v>
      </c>
      <c r="BG173" s="528">
        <f t="shared" si="465"/>
        <v>1.454701439973956E-2</v>
      </c>
      <c r="BH173" s="528">
        <f t="shared" si="484"/>
        <v>3.7515117779001262E-3</v>
      </c>
      <c r="BI173">
        <f t="shared" si="485"/>
        <v>8.2613274047862728E-3</v>
      </c>
      <c r="BJ173" s="460">
        <f t="shared" si="436"/>
        <v>22.808341804525831</v>
      </c>
      <c r="BK173">
        <f t="shared" si="466"/>
        <v>3.831594306860274</v>
      </c>
      <c r="BL173" s="460">
        <f t="shared" si="437"/>
        <v>2029.7282197667482</v>
      </c>
      <c r="BM173" s="173">
        <f t="shared" si="467"/>
        <v>3.9138749999999991</v>
      </c>
      <c r="BN173" s="173">
        <f t="shared" si="468"/>
        <v>9.7846874999999986E-2</v>
      </c>
      <c r="BO173" s="528"/>
      <c r="BQ173" s="460">
        <f t="shared" si="486"/>
        <v>4011.7218749999993</v>
      </c>
      <c r="BR173" s="528">
        <f t="shared" si="487"/>
        <v>2.3187413027637014</v>
      </c>
      <c r="BS173" s="528">
        <f t="shared" si="488"/>
        <v>2.684766195249205</v>
      </c>
      <c r="BT173" s="528">
        <f t="shared" si="489"/>
        <v>2.7139019124622902E-4</v>
      </c>
      <c r="BU173" s="528">
        <f t="shared" si="490"/>
        <v>0.66919786620676813</v>
      </c>
      <c r="BV173" s="528"/>
      <c r="BW173" s="625">
        <f t="shared" si="469"/>
        <v>1.5858828212658996E-2</v>
      </c>
      <c r="BX173" s="460">
        <f t="shared" si="491"/>
        <v>5688.8355826235793</v>
      </c>
      <c r="BY173" s="173">
        <f t="shared" si="492"/>
        <v>11.730285677390329</v>
      </c>
      <c r="BZ173" s="5">
        <f t="shared" si="493"/>
        <v>95.76</v>
      </c>
      <c r="CA173" s="173">
        <f t="shared" si="494"/>
        <v>0.89087120195590197</v>
      </c>
      <c r="CB173" s="5">
        <f t="shared" si="495"/>
        <v>89.087120195590202</v>
      </c>
      <c r="CC173">
        <f t="shared" si="496"/>
        <v>63</v>
      </c>
      <c r="CE173" s="562">
        <f t="shared" si="470"/>
        <v>-50</v>
      </c>
      <c r="CF173">
        <f t="shared" si="471"/>
        <v>-50</v>
      </c>
      <c r="CG173" s="173">
        <f t="shared" si="370"/>
        <v>0.54755043227665712</v>
      </c>
      <c r="CH173" s="173">
        <f t="shared" si="472"/>
        <v>6.4398811101315845E-2</v>
      </c>
      <c r="CI173" s="170">
        <v>63</v>
      </c>
      <c r="CJ173" s="217">
        <f t="shared" si="438"/>
        <v>6.3</v>
      </c>
      <c r="CK173" s="217">
        <f t="shared" si="372"/>
        <v>0.1575</v>
      </c>
      <c r="CL173" s="217">
        <f t="shared" si="373"/>
        <v>94.5</v>
      </c>
      <c r="CM173" s="217">
        <f t="shared" si="374"/>
        <v>1.26</v>
      </c>
      <c r="CN173" s="541">
        <f t="shared" si="375"/>
        <v>19</v>
      </c>
      <c r="CO173" s="443">
        <f t="shared" si="473"/>
        <v>15.7</v>
      </c>
      <c r="CP173" s="443">
        <f t="shared" si="474"/>
        <v>34.700000000000003</v>
      </c>
      <c r="CQ173" s="443"/>
      <c r="CR173" s="217">
        <f t="shared" si="378"/>
        <v>0.44767441860465118</v>
      </c>
      <c r="CS173" s="172">
        <f t="shared" si="379"/>
        <v>209.84738372093025</v>
      </c>
      <c r="CT173" s="172">
        <f t="shared" si="380"/>
        <v>2.835271317829458</v>
      </c>
      <c r="CU173" s="217">
        <f t="shared" si="381"/>
        <v>13.989825581395349</v>
      </c>
      <c r="CV173" s="217">
        <f t="shared" si="382"/>
        <v>26.230922965116282</v>
      </c>
      <c r="CW173" s="217">
        <f t="shared" si="383"/>
        <v>15</v>
      </c>
      <c r="CX173" s="217">
        <f t="shared" si="384"/>
        <v>22.516363636363636</v>
      </c>
      <c r="CY173" s="217">
        <f t="shared" si="385"/>
        <v>14.22086124401914</v>
      </c>
      <c r="CZ173" s="217">
        <f t="shared" si="386"/>
        <v>17.20995946728431</v>
      </c>
      <c r="DA173" s="197">
        <f t="shared" si="387"/>
        <v>71.63784822286263</v>
      </c>
      <c r="DB173" s="443">
        <f t="shared" si="388"/>
        <v>31.815904814740342</v>
      </c>
      <c r="DD173" s="217">
        <f t="shared" si="389"/>
        <v>10.000000000000002</v>
      </c>
      <c r="DE173" s="173">
        <f t="shared" si="390"/>
        <v>7.6433121019108299</v>
      </c>
      <c r="DF173" s="173">
        <f t="shared" si="391"/>
        <v>2.7017291066282429</v>
      </c>
      <c r="DG173" s="173"/>
      <c r="DH173" s="173">
        <f t="shared" si="392"/>
        <v>7.6433121019108281</v>
      </c>
      <c r="DI173" s="545">
        <f t="shared" si="393"/>
        <v>164.85</v>
      </c>
      <c r="DJ173" s="528">
        <f t="shared" si="394"/>
        <v>2.7377521613832849</v>
      </c>
      <c r="DL173" s="173">
        <f t="shared" si="395"/>
        <v>6.7527772064536533</v>
      </c>
      <c r="DM173" s="173">
        <f t="shared" si="396"/>
        <v>22.516363636363636</v>
      </c>
      <c r="DN173" s="173">
        <f t="shared" si="397"/>
        <v>10.471380471380471</v>
      </c>
      <c r="DP173" s="545">
        <f t="shared" si="398"/>
        <v>6300</v>
      </c>
      <c r="DQ173" s="460">
        <f t="shared" si="399"/>
        <v>31.815904814740342</v>
      </c>
      <c r="DS173">
        <f t="shared" si="400"/>
        <v>6300</v>
      </c>
      <c r="DT173">
        <f t="shared" si="401"/>
        <v>31.815904814740342</v>
      </c>
      <c r="DV173" s="5">
        <f t="shared" si="402"/>
        <v>31.430820711303451</v>
      </c>
      <c r="DW173" s="5">
        <f t="shared" si="403"/>
        <v>14.22086124401914</v>
      </c>
      <c r="DX173" s="5">
        <f t="shared" si="404"/>
        <v>17.20995946728431</v>
      </c>
      <c r="DY173" s="173">
        <f t="shared" si="405"/>
        <v>0.45244956772334294</v>
      </c>
      <c r="EA173" s="5">
        <f t="shared" si="406"/>
        <v>597.27617224880396</v>
      </c>
      <c r="EB173" s="5">
        <f t="shared" si="407"/>
        <v>27.997320574162682</v>
      </c>
      <c r="EC173" s="5">
        <f t="shared" si="408"/>
        <v>29.516173678010293</v>
      </c>
      <c r="ED173" s="5"/>
      <c r="EE173" s="173">
        <f t="shared" si="409"/>
        <v>8.7442530121348341</v>
      </c>
      <c r="EF173" s="173">
        <f t="shared" si="410"/>
        <v>9.6194377726259965</v>
      </c>
      <c r="EG173" s="173">
        <f t="shared" si="411"/>
        <v>0.2369022322042795</v>
      </c>
      <c r="EH173" s="173"/>
      <c r="EI173" s="528">
        <f t="shared" si="412"/>
        <v>1.5292392148045824</v>
      </c>
      <c r="EJ173" s="528">
        <f t="shared" si="413"/>
        <v>0.49716666666666659</v>
      </c>
      <c r="EK173" s="528">
        <f t="shared" si="414"/>
        <v>3.976988101842543E-3</v>
      </c>
      <c r="EL173" s="528">
        <f t="shared" si="415"/>
        <v>3.8309212828380704E-3</v>
      </c>
      <c r="EM173">
        <f t="shared" si="416"/>
        <v>8.5500000000000003E-3</v>
      </c>
      <c r="EN173" s="460">
        <f t="shared" si="417"/>
        <v>12.526988101842544</v>
      </c>
      <c r="EP173" s="460">
        <f t="shared" si="439"/>
        <v>2042.7637908559295</v>
      </c>
      <c r="EQ173" s="173">
        <f t="shared" si="418"/>
        <v>4.4099999999999993</v>
      </c>
      <c r="ER173" s="173">
        <f t="shared" si="475"/>
        <v>6.9890624999999998E-2</v>
      </c>
      <c r="ES173" s="528"/>
      <c r="EU173" s="460">
        <f t="shared" si="497"/>
        <v>4479.8906249999991</v>
      </c>
      <c r="EV173" s="528">
        <f t="shared" si="421"/>
        <v>2.2938588222068734</v>
      </c>
      <c r="EW173" s="528">
        <f t="shared" si="422"/>
        <v>2.776007491842714</v>
      </c>
      <c r="EX173" s="528">
        <f t="shared" si="423"/>
        <v>2.8061333811685182E-4</v>
      </c>
      <c r="EY173" s="528">
        <f t="shared" si="424"/>
        <v>0.68679375210278859</v>
      </c>
      <c r="EZ173" s="528"/>
      <c r="FA173" s="625">
        <f t="shared" si="425"/>
        <v>1.6130238407126015E-2</v>
      </c>
      <c r="FB173" s="460">
        <f t="shared" si="498"/>
        <v>5773.0709178976185</v>
      </c>
      <c r="FC173" s="173">
        <f t="shared" si="427"/>
        <v>12.295725333753548</v>
      </c>
      <c r="FD173" s="5">
        <f t="shared" si="428"/>
        <v>95.76</v>
      </c>
      <c r="FE173" s="173">
        <f t="shared" si="429"/>
        <v>0.88620940449221419</v>
      </c>
      <c r="FF173" s="5">
        <f t="shared" si="430"/>
        <v>88.620940449221422</v>
      </c>
      <c r="FG173">
        <f t="shared" si="431"/>
        <v>63</v>
      </c>
      <c r="FI173" s="562">
        <f t="shared" si="432"/>
        <v>-50</v>
      </c>
      <c r="FJ173">
        <f t="shared" si="433"/>
        <v>-50</v>
      </c>
    </row>
    <row r="174" spans="5:166">
      <c r="E174" s="170">
        <v>64</v>
      </c>
      <c r="F174" s="217">
        <f t="shared" si="476"/>
        <v>6.4</v>
      </c>
      <c r="G174" s="217">
        <f t="shared" ref="G174:G210" si="499">IF(PLOT_TYPE=1, E174/100*Iout2, min_I*EXP(Q174*rr/100))</f>
        <v>0.16</v>
      </c>
      <c r="H174" s="217">
        <f t="shared" ref="H174:H210" si="500">F174*Vout</f>
        <v>96</v>
      </c>
      <c r="I174" s="217">
        <f t="shared" ref="I174:I210" si="501">Vout2*G174</f>
        <v>1.28</v>
      </c>
      <c r="J174" s="541">
        <f t="shared" ref="J174:J210" si="502">VIN_min-(F174/CG174/Nps+G174/CH174/(Nps/Nsec1sec2))*(Rdcr_pri+RON/1000)</f>
        <v>18.34832288911187</v>
      </c>
      <c r="K174" s="443">
        <f t="shared" ref="K174:K210" si="503">MAX((S174+Vfwd2+Rdcr_sec*F174/CG174)*Nps,(Vout2+Vfwd22+Rdcr_sec2*G174/CH174)*Nps/Nsec1sec2)</f>
        <v>16.050652631578945</v>
      </c>
      <c r="L174" s="172">
        <f t="shared" ref="L174:L210" si="504">MAX((Vout+Vfwd2+F174/CG174*Rdcr_sec)*Nps+J174, (Vout2+Vfwd22+G174/CH174*Rdcr_sec2)*Nps/Nsec1sec2+J174)</f>
        <v>34.398975520690811</v>
      </c>
      <c r="M174" s="443"/>
      <c r="N174" s="217">
        <f t="shared" ref="N174:N210" si="505">MAX((Vout+Vfwd2+F174/CG174*Rdcr_sec)*Nps/((Vout+Vfwd2+F174/CG174*Rdcr_sec)*Nps+J174), (Vout2+Vfwd22+G174/CH174*Rdcr_sec2)*Nps/Nsec1sec2/((Vout2+Vfwd22+G174/CH174*Rdcr_sec2)*Nps/Nsec1sec2+J174))</f>
        <v>0.46660263535826985</v>
      </c>
      <c r="O174" s="172">
        <f t="shared" ref="O174:O205" si="506">N174*J174*Isw_max*0.5*Efficiency*Pout/(Pout+Pout2)</f>
        <v>211.21815331736997</v>
      </c>
      <c r="P174" s="172">
        <f t="shared" ref="P174:P210" si="507">N174*J174*Isw_max*0.5*Efficiency*(Pout2/Pout_total)</f>
        <v>2.8537919381546875</v>
      </c>
      <c r="Q174" s="217">
        <f t="shared" ref="Q174:Q210" si="508">O174/Vout</f>
        <v>14.081210221157997</v>
      </c>
      <c r="R174" s="217">
        <f t="shared" ref="R174:R210" si="509">O174/Vout2</f>
        <v>26.402269164671246</v>
      </c>
      <c r="S174" s="217">
        <f t="shared" ref="S174:S210" si="510">MIN(Vout,O174/F174)</f>
        <v>15</v>
      </c>
      <c r="T174" s="217">
        <f t="shared" ref="T174:T210" si="511">MIN(2*(Vout*F174+Vout2*G174)/(Efficiency*J174*N174), Isw_max)</f>
        <v>22.725319413183517</v>
      </c>
      <c r="U174" s="217">
        <f t="shared" ref="U174:U210" si="512">L*T174/J174*1000000</f>
        <v>14.862602680707573</v>
      </c>
      <c r="V174" s="217">
        <f t="shared" ref="V174:V210" si="513">L*T174/K174*1000000</f>
        <v>16.990202156744054</v>
      </c>
      <c r="W174" s="197">
        <f t="shared" ref="W174:W210" si="514">IF(1/((350000*L)*(1/J174+1/K174))&gt;Isw_min, 350, 0.001/((Isw_min*L)*(1/J174+1/K174)))</f>
        <v>71.34479845386717</v>
      </c>
      <c r="X174" s="443">
        <f t="shared" si="435"/>
        <v>31.198517729455133</v>
      </c>
      <c r="Z174" s="217">
        <f t="shared" ref="Z174:Z210" si="515">1/((W174*1000*L)*(1/J174+1/K174))</f>
        <v>10</v>
      </c>
      <c r="AA174" s="173">
        <f t="shared" ref="AA174:AA210" si="516">L*Z174/K174*1000000</f>
        <v>7.476331508408907</v>
      </c>
      <c r="AB174" s="173">
        <f t="shared" ref="AB174:AB205" si="517">0.5*AA174*Z174*Nps*W174/1000*(Pout/(Pout+Pout2))</f>
        <v>2.6318948913243267</v>
      </c>
      <c r="AC174" s="173"/>
      <c r="AD174" s="173">
        <f t="shared" ref="AD174:AD210" si="518">L*Isw_min/K174*1000000</f>
        <v>7.476331508408907</v>
      </c>
      <c r="AE174" s="545">
        <f t="shared" ref="AE174:AE205" si="519">MAX(10, F174/(0.5*AD174/1000000*Isw_min*Nps)/1000*Pout_total/Pout)</f>
        <v>171.20696140350876</v>
      </c>
      <c r="AF174" s="528">
        <f t="shared" ref="AF174:AF210" si="520">0.5*AD174/1000000*Isw_min*Nps*W174*1000*(Pout/Pout_total)</f>
        <v>2.6669868232086511</v>
      </c>
      <c r="AH174" s="173">
        <f t="shared" ref="AH174:AH210" si="521">SQRT((H174+I174)/(0.5*L*Fsw_DCM))</f>
        <v>6.8061596751626041</v>
      </c>
      <c r="AI174" s="173">
        <f t="shared" ref="AI174:AI205" si="522">MAX(IF(F174&gt;AB174,T174,AH174),Isw_min)</f>
        <v>22.725319413183517</v>
      </c>
      <c r="AJ174" s="173">
        <f t="shared" ref="AJ174:AJ205" si="523">IF(F174&gt;AF174, (AI174-Isw_min)/1.08*0.8+1.2, AE174*0.2/350+1)</f>
        <v>10.626162528284086</v>
      </c>
      <c r="AL174" s="545">
        <f t="shared" ref="AL174:AL210" si="524">F174*1000</f>
        <v>6400</v>
      </c>
      <c r="AM174" s="460">
        <f t="shared" ref="AM174:AM210" si="525">IF(F174&gt;AF174, X174, AE174)</f>
        <v>31.198517729455133</v>
      </c>
      <c r="AO174">
        <f t="shared" ref="AO174:AO210" si="526">IF(H174&gt;O174, "",AL174)</f>
        <v>6400</v>
      </c>
      <c r="AP174">
        <f t="shared" ref="AP174:AP210" si="527">IF(H174&gt;O174, "",AM174)</f>
        <v>31.198517729455133</v>
      </c>
      <c r="AR174" s="5">
        <f t="shared" si="443"/>
        <v>32.052804837451632</v>
      </c>
      <c r="AS174" s="5">
        <f t="shared" si="440"/>
        <v>14.862602680707573</v>
      </c>
      <c r="AT174" s="5">
        <f t="shared" si="441"/>
        <v>17.190202156744057</v>
      </c>
      <c r="AU174" s="173">
        <f t="shared" si="442"/>
        <v>0.46369117323990261</v>
      </c>
      <c r="AW174" s="5">
        <f t="shared" si="477"/>
        <v>634.13771437685637</v>
      </c>
      <c r="AX174" s="5">
        <f t="shared" si="478"/>
        <v>29.725205361415146</v>
      </c>
      <c r="AY174" s="5">
        <f t="shared" si="479"/>
        <v>31.014004461687012</v>
      </c>
      <c r="AZ174" s="5"/>
      <c r="BA174" s="173">
        <f t="shared" si="480"/>
        <v>8.9343668970276937</v>
      </c>
      <c r="BB174" s="173">
        <f t="shared" si="481"/>
        <v>9.6085275819468965</v>
      </c>
      <c r="BC174" s="173">
        <f t="shared" si="482"/>
        <v>0.23663354201814327</v>
      </c>
      <c r="BD174" s="173"/>
      <c r="BE174" s="528">
        <f t="shared" si="483"/>
        <v>1.5964582370140852</v>
      </c>
      <c r="BF174" s="528">
        <f t="shared" ref="BF174:BF210" si="528">0.5*L174*AI174*AM174*1000*Tfall</f>
        <v>0.45728898189935924</v>
      </c>
      <c r="BG174" s="528">
        <f t="shared" ref="BG174:BG210" si="529">Qg*Vdd*AM174*1000*0+Qg*J174*AM174*1000</f>
        <v>1.4311011924043101E-2</v>
      </c>
      <c r="BH174" s="528">
        <f t="shared" si="484"/>
        <v>3.6916878971243361E-3</v>
      </c>
      <c r="BI174">
        <f t="shared" si="485"/>
        <v>8.2567453001003415E-3</v>
      </c>
      <c r="BJ174" s="460">
        <f t="shared" si="436"/>
        <v>22.567757224143442</v>
      </c>
      <c r="BK174">
        <f t="shared" ref="BK174:BK210" si="530">(BF174+BG174*0+BH174+BI174*0+BE174*(1+RdsonTC*(Ta-25)))/(1-BE174*RdsonTC*ThetaJA)</f>
        <v>4.0092745458827208</v>
      </c>
      <c r="BL174" s="460">
        <f t="shared" si="437"/>
        <v>2080.0066640347122</v>
      </c>
      <c r="BM174" s="173">
        <f t="shared" ref="BM174:BM210" si="531">Vfwd2*F174*(1+Diode_TC/1000*(Ta-25))</f>
        <v>3.9759999999999995</v>
      </c>
      <c r="BN174" s="173">
        <f t="shared" ref="BN174:BN210" si="532">Vfwd2*G174*(1+Diode_TC/1000*(Ta-25))</f>
        <v>9.9399999999999988E-2</v>
      </c>
      <c r="BO174" s="528"/>
      <c r="BQ174" s="460">
        <f t="shared" si="486"/>
        <v>4075.3999999999992</v>
      </c>
      <c r="BR174" s="528">
        <f t="shared" si="487"/>
        <v>2.3946873555211279</v>
      </c>
      <c r="BS174" s="528">
        <f t="shared" si="488"/>
        <v>2.769714068791028</v>
      </c>
      <c r="BT174" s="528">
        <f t="shared" si="489"/>
        <v>2.7997716604026188E-4</v>
      </c>
      <c r="BU174" s="528">
        <f t="shared" si="490"/>
        <v>0.66923692731827322</v>
      </c>
      <c r="BV174" s="528"/>
      <c r="BW174" s="625">
        <f t="shared" ref="BW174:BW210" si="533">0.5*Lleak*0.000000001*AI174^2*AM174*1000</f>
        <v>1.6112166939842618E-2</v>
      </c>
      <c r="BX174" s="460">
        <f t="shared" si="491"/>
        <v>5850.0304957363123</v>
      </c>
      <c r="BY174" s="173">
        <f t="shared" si="492"/>
        <v>12.005437159771024</v>
      </c>
      <c r="BZ174" s="5">
        <f t="shared" si="493"/>
        <v>97.28</v>
      </c>
      <c r="CA174" s="173">
        <f t="shared" si="494"/>
        <v>0.89014604807574182</v>
      </c>
      <c r="CB174" s="5">
        <f t="shared" si="495"/>
        <v>89.014604807574187</v>
      </c>
      <c r="CC174">
        <f t="shared" si="496"/>
        <v>64</v>
      </c>
      <c r="CE174" s="562">
        <f t="shared" ref="CE174:CE210" si="534">IF(ABS(F174-Ioutmax_Vinmin)&lt;Iout/200, AM174, -50)</f>
        <v>-50</v>
      </c>
      <c r="CF174">
        <f t="shared" ref="CF174:CF210" si="535">IF(ABS(F174-Ioutmax_Vinmin)&lt;Iout/200, (O174+P174)*CA174, -50)</f>
        <v>-50</v>
      </c>
      <c r="CG174" s="173">
        <f t="shared" ref="CG174:CG210" si="536">MIN(SQRT(2*DT174*1000*Ls1_*(CL174+CJ174*Vfwd1))/(CW174+Vfwd1), 1-DY174)</f>
        <v>0.54755043227665712</v>
      </c>
      <c r="CH174" s="173">
        <f t="shared" ref="CH174:CH210" si="537">MIN(SQRT(2*DT174*1000*Ls2_*(CM174+CK174*Vfwd22))/(Vout2+Vfwd22), 1-DY174)</f>
        <v>6.4398811101315859E-2</v>
      </c>
      <c r="CI174" s="170">
        <v>64</v>
      </c>
      <c r="CJ174" s="217">
        <f t="shared" si="438"/>
        <v>6.4</v>
      </c>
      <c r="CK174" s="217">
        <f t="shared" ref="CK174:CK210" si="538">IF(PLOT_TYPE=1, CI174/100*Iout2, min_I*EXP(CU174*rr/100))</f>
        <v>0.16</v>
      </c>
      <c r="CL174" s="217">
        <f t="shared" ref="CL174:CL210" si="539">CJ174*Vout</f>
        <v>96</v>
      </c>
      <c r="CM174" s="217">
        <f t="shared" ref="CM174:CM210" si="540">Vout2*CK174</f>
        <v>1.28</v>
      </c>
      <c r="CN174" s="541">
        <f t="shared" ref="CN174:CN212" si="541">VIN_min</f>
        <v>19</v>
      </c>
      <c r="CO174" s="443">
        <f t="shared" ref="CO174:CO210" si="542">(CW174+Vfwd2)*Nps</f>
        <v>15.7</v>
      </c>
      <c r="CP174" s="443">
        <f t="shared" ref="CP174:CP210" si="543">(Vout+Vfwd2)*Nps+CN174</f>
        <v>34.700000000000003</v>
      </c>
      <c r="CQ174" s="443"/>
      <c r="CR174" s="217">
        <f t="shared" ref="CR174:CR210" si="544">(Vout+Vfwd1)*Nps/((Vout+Vfwd1)*Nps+CN174)</f>
        <v>0.44767441860465118</v>
      </c>
      <c r="CS174" s="172">
        <f t="shared" ref="CS174:CS210" si="545">CR174*CN174*Isw_max*0.5*Efficiency*Pout/(Pout+Pout2)</f>
        <v>209.84738372093025</v>
      </c>
      <c r="CT174" s="172">
        <f t="shared" ref="CT174:CT210" si="546">CR174*CN174*Isw_max*0.5*Efficiency*(Pout2/Pout_total)</f>
        <v>2.835271317829458</v>
      </c>
      <c r="CU174" s="217">
        <f t="shared" ref="CU174:CU210" si="547">CS174/Vout</f>
        <v>13.989825581395349</v>
      </c>
      <c r="CV174" s="217">
        <f t="shared" ref="CV174:CV210" si="548">CS174/Vout2</f>
        <v>26.230922965116282</v>
      </c>
      <c r="CW174" s="217">
        <f t="shared" ref="CW174:CW210" si="549">MIN(Vout,CS174/CJ174)</f>
        <v>15</v>
      </c>
      <c r="CX174" s="217">
        <f t="shared" ref="CX174:CX210" si="550">MIN(2*(Vout*CJ174+Vout2*CK174)/(Efficiency*CN174*CR174), Isw_max)</f>
        <v>22.873766233766233</v>
      </c>
      <c r="CY174" s="217">
        <f t="shared" ref="CY174:CY210" si="551">L*CX174/CN174*1000000</f>
        <v>14.44658920027341</v>
      </c>
      <c r="CZ174" s="217">
        <f t="shared" ref="CZ174:CZ210" si="552">L*CX174/CO174*1000000</f>
        <v>17.483133427082471</v>
      </c>
      <c r="DA174" s="197">
        <f t="shared" ref="DA174:DA210" si="553">IF(1/((350000*L)*(1/CN174+1/CO174))&gt;Isw_min, 350, 0.001/((Isw_min*L)*(1/CN174+1/CO174)))</f>
        <v>71.63784822286263</v>
      </c>
      <c r="DB174" s="443">
        <f t="shared" ref="DB174:DB210" si="554">MIN(1/(CY174+CZ174)*1000, 350)</f>
        <v>31.318781302010031</v>
      </c>
      <c r="DD174" s="217">
        <f t="shared" ref="DD174:DD210" si="555">1/((DA174*1000*L)*(1/CN174+1/CO174))</f>
        <v>10.000000000000002</v>
      </c>
      <c r="DE174" s="173">
        <f t="shared" ref="DE174:DE210" si="556">L*DD174/CO174*1000000</f>
        <v>7.6433121019108299</v>
      </c>
      <c r="DF174" s="173">
        <f t="shared" ref="DF174:DF210" si="557">0.5*DE174*DD174*Nps*DA174/1000*(Pout/(Pout+Pout2))</f>
        <v>2.7017291066282429</v>
      </c>
      <c r="DG174" s="173"/>
      <c r="DH174" s="173">
        <f t="shared" ref="DH174:DH210" si="558">L*Isw_min/CO174*1000000</f>
        <v>7.6433121019108281</v>
      </c>
      <c r="DI174" s="545">
        <f t="shared" ref="DI174:DI210" si="559">MAX(10, CJ174/(0.5*DH174/1000000*Isw_min*Nps)/1000*Pout_total/Pout)</f>
        <v>167.4666666666667</v>
      </c>
      <c r="DJ174" s="528">
        <f t="shared" ref="DJ174:DJ210" si="560">0.5*DH174/1000000*Isw_min*Nps*DA174*1000*(Pout/Pout_total)</f>
        <v>2.7377521613832849</v>
      </c>
      <c r="DL174" s="173">
        <f t="shared" ref="DL174:DL210" si="561">SQRT((CL174+CM174)/(0.5*L*Fsw_DCM))</f>
        <v>6.8061596751626041</v>
      </c>
      <c r="DM174" s="173">
        <f t="shared" ref="DM174:DM210" si="562">MAX(IF(CJ174&gt;DF174,CX174,DL174),Isw_min)</f>
        <v>22.873766233766233</v>
      </c>
      <c r="DN174" s="173">
        <f t="shared" ref="DN174:DN210" si="563">IF(CJ174&gt;DJ174, (DM174-Isw_min)/1.08*0.8+1.2, DI174*0.2/350+1)</f>
        <v>10.736123136123135</v>
      </c>
      <c r="DP174" s="545">
        <f t="shared" ref="DP174:DP210" si="564">CJ174*1000</f>
        <v>6400</v>
      </c>
      <c r="DQ174" s="460">
        <f t="shared" ref="DQ174:DQ210" si="565">IF(CJ174&gt;DJ174, DB174, DI174)</f>
        <v>31.318781302010031</v>
      </c>
      <c r="DS174">
        <f t="shared" ref="DS174:DS192" si="566">IF(CL174&gt;CS174, "",DP174)</f>
        <v>6400</v>
      </c>
      <c r="DT174">
        <f t="shared" ref="DT174:DT193" si="567">IF(CL174&gt;CS174, "",DQ174)</f>
        <v>31.318781302010031</v>
      </c>
      <c r="DV174" s="5">
        <f t="shared" ref="DV174:DV210" si="568">1/DQ174*1000</f>
        <v>31.929722627355883</v>
      </c>
      <c r="DW174" s="5">
        <f t="shared" ref="DW174:DW210" si="569">L*DM174/CN174*1000000</f>
        <v>14.44658920027341</v>
      </c>
      <c r="DX174" s="5">
        <f t="shared" ref="DX174:DX210" si="570">DV174-DW174</f>
        <v>17.483133427082471</v>
      </c>
      <c r="DY174" s="173">
        <f t="shared" ref="DY174:DY210" si="571">DW174/DV174</f>
        <v>0.45244956772334288</v>
      </c>
      <c r="EA174" s="5">
        <f t="shared" ref="EA174:EA210" si="572">CJ174*DW174/Vout_ripple*1000</f>
        <v>616.38780587833219</v>
      </c>
      <c r="EB174" s="5">
        <f t="shared" ref="EB174:EB210" si="573">CK174*DW174/Vout_ripple2*1000</f>
        <v>28.89317840054682</v>
      </c>
      <c r="EC174" s="5">
        <f t="shared" ref="EC174:EC210" si="574">CL174/Efficiency/CN174*DX174/Vinripple1</f>
        <v>30.460631742285241</v>
      </c>
      <c r="ED174" s="5"/>
      <c r="EE174" s="173">
        <f t="shared" ref="EE174:EE210" si="575">DM174*SQRT(DY174/3)</f>
        <v>8.8830506789941168</v>
      </c>
      <c r="EF174" s="173">
        <f t="shared" ref="EF174:EF210" si="576">DM174*Npri_sec1*SQRT((1-DY174)/3)*(Pout/Pout_total)</f>
        <v>9.7721272610803762</v>
      </c>
      <c r="EG174" s="173">
        <f t="shared" ref="EG174:EG210" si="577">DM174*Npri_sec2*SQRT((1-DY174)/3)*(Pout2/Pout_total)</f>
        <v>0.24066258509641084</v>
      </c>
      <c r="EH174" s="173"/>
      <c r="EI174" s="528">
        <f t="shared" ref="EI174:EI210" si="578">Rdson*EE174^2</f>
        <v>1.5781717873115568</v>
      </c>
      <c r="EJ174" s="528">
        <f t="shared" ref="EJ174:EJ210" si="579">0.5*CP174*DM174*DQ174*1000*Trise</f>
        <v>0.4971666666666667</v>
      </c>
      <c r="EK174" s="528">
        <f t="shared" ref="EK174:EK210" si="580">Qg*Vdd*DQ174*1000</f>
        <v>3.9148476627512531E-3</v>
      </c>
      <c r="EL174" s="528">
        <f t="shared" ref="EL174:EL210" si="581">0.5*(Coss+Csw)*CP174^2*DQ174*1000</f>
        <v>3.7710631377937268E-3</v>
      </c>
      <c r="EM174">
        <f t="shared" ref="EM174:EM210" si="582">CN174*IQ</f>
        <v>8.5500000000000003E-3</v>
      </c>
      <c r="EN174" s="460">
        <f t="shared" ref="EN174:EN210" si="583">(EK174+EM174)*1000</f>
        <v>12.464847662751254</v>
      </c>
      <c r="EP174" s="460">
        <f t="shared" si="439"/>
        <v>2091.5743647787681</v>
      </c>
      <c r="EQ174" s="173">
        <f t="shared" ref="EQ174:EQ210" si="584">Vfwd2*CJ174</f>
        <v>4.4799999999999995</v>
      </c>
      <c r="ER174" s="173">
        <f t="shared" ref="ER174:ER210" si="585">Vfwd22*CK174*(1+Diode_TC/1000*(Ta-25))</f>
        <v>7.0999999999999994E-2</v>
      </c>
      <c r="ES174" s="528"/>
      <c r="EU174" s="460">
        <f t="shared" si="497"/>
        <v>4550.9999999999991</v>
      </c>
      <c r="EV174" s="528">
        <f t="shared" ref="EV174:EV210" si="586">Rdcr_pri*EE174^2</f>
        <v>2.3672576809673349</v>
      </c>
      <c r="EW174" s="528">
        <f t="shared" ref="EW174:EW210" si="587">Rdcr_sec*EF174^2</f>
        <v>2.8648341362025076</v>
      </c>
      <c r="EX174" s="528">
        <f t="shared" ref="EX174:EX210" si="588">Rdcr_sec2*EG174^2</f>
        <v>2.8959239932643593E-4</v>
      </c>
      <c r="EY174" s="528">
        <f t="shared" ref="EY174:EY210" si="589">DM174^2.5*DQ174^2.5*k_core</f>
        <v>0.6867937521027887</v>
      </c>
      <c r="EZ174" s="528"/>
      <c r="FA174" s="625">
        <f t="shared" ref="FA174:FA210" si="590">0.5*Lleak*0.000000001*DM174^2*DQ174*1000</f>
        <v>1.6386273937397861E-2</v>
      </c>
      <c r="FB174" s="460">
        <f t="shared" si="498"/>
        <v>5935.5614356093556</v>
      </c>
      <c r="FC174" s="173">
        <f t="shared" ref="FC174:FC210" si="591">SUM(EI174:EM174,EQ174:ET174,EV174:FA174)</f>
        <v>12.578135800388122</v>
      </c>
      <c r="FD174" s="5">
        <f t="shared" ref="FD174:FD210" si="592">MIN(CL174+CM174,CS174+CT174)</f>
        <v>97.28</v>
      </c>
      <c r="FE174" s="173">
        <f t="shared" ref="FE174:FE210" si="593">FD174/(FD174+FC174)</f>
        <v>0.88550565045776353</v>
      </c>
      <c r="FF174" s="5">
        <f t="shared" ref="FF174:FF210" si="594">FE174*100</f>
        <v>88.550565045776352</v>
      </c>
      <c r="FG174">
        <f t="shared" ref="FG174:FG210" si="595">CJ174/Iout*100</f>
        <v>64</v>
      </c>
      <c r="FI174" s="562">
        <f t="shared" ref="FI174:FI210" si="596">IF(ABS(CJ174-Ioutmax_Vinmin)&lt;Iout/200, DQ174, -50)</f>
        <v>-50</v>
      </c>
      <c r="FJ174">
        <f t="shared" ref="FJ174:FJ210" si="597">IF(ABS(CJ174-Ioutmax_Vinmin)&lt;Iout/200, (CS174+CT174)*FE174, -50)</f>
        <v>-50</v>
      </c>
    </row>
    <row r="175" spans="5:166">
      <c r="E175" s="170">
        <v>65</v>
      </c>
      <c r="F175" s="217">
        <f t="shared" ref="F175:F206" si="598">IF(PLOT_TYPE=1, E175/100*Iout_max, min_I*EXP(O175*rr/100))</f>
        <v>6.5</v>
      </c>
      <c r="G175" s="217">
        <f t="shared" si="499"/>
        <v>0.16250000000000001</v>
      </c>
      <c r="H175" s="217">
        <f t="shared" si="500"/>
        <v>97.5</v>
      </c>
      <c r="I175" s="217">
        <f t="shared" si="501"/>
        <v>1.3</v>
      </c>
      <c r="J175" s="541">
        <f t="shared" si="502"/>
        <v>18.338140434254242</v>
      </c>
      <c r="K175" s="443">
        <f t="shared" si="503"/>
        <v>16.056131578947369</v>
      </c>
      <c r="L175" s="172">
        <f t="shared" si="504"/>
        <v>34.394272013201615</v>
      </c>
      <c r="M175" s="443"/>
      <c r="N175" s="217">
        <f t="shared" si="505"/>
        <v>0.46682574275113353</v>
      </c>
      <c r="O175" s="172">
        <f t="shared" si="506"/>
        <v>211.20187571287826</v>
      </c>
      <c r="P175" s="172">
        <f t="shared" si="507"/>
        <v>2.8535720096317774</v>
      </c>
      <c r="Q175" s="217">
        <f t="shared" si="508"/>
        <v>14.080125047525218</v>
      </c>
      <c r="R175" s="217">
        <f t="shared" si="509"/>
        <v>26.400234464109783</v>
      </c>
      <c r="S175" s="217">
        <f t="shared" si="510"/>
        <v>15</v>
      </c>
      <c r="T175" s="217">
        <f t="shared" si="511"/>
        <v>23.082181365791449</v>
      </c>
      <c r="U175" s="217">
        <f t="shared" si="512"/>
        <v>15.104376443322925</v>
      </c>
      <c r="V175" s="217">
        <f t="shared" si="513"/>
        <v>17.251115253233149</v>
      </c>
      <c r="W175" s="197">
        <f t="shared" si="514"/>
        <v>71.339300240794429</v>
      </c>
      <c r="X175" s="443">
        <f t="shared" ref="X175:X210" si="599">MIN(1/(U175+V175+0.2)*1000, 350)</f>
        <v>30.716783801664601</v>
      </c>
      <c r="Z175" s="217">
        <f t="shared" si="515"/>
        <v>10</v>
      </c>
      <c r="AA175" s="173">
        <f t="shared" si="516"/>
        <v>7.4737803069166882</v>
      </c>
      <c r="AB175" s="173">
        <f t="shared" si="517"/>
        <v>2.6307940324779593</v>
      </c>
      <c r="AC175" s="173"/>
      <c r="AD175" s="173">
        <f t="shared" si="518"/>
        <v>7.4737803069166882</v>
      </c>
      <c r="AE175" s="545">
        <f t="shared" si="519"/>
        <v>173.9414254385965</v>
      </c>
      <c r="AF175" s="528">
        <f t="shared" si="520"/>
        <v>2.6658712862443319</v>
      </c>
      <c r="AH175" s="173">
        <f t="shared" si="521"/>
        <v>6.859126697154605</v>
      </c>
      <c r="AI175" s="173">
        <f t="shared" si="522"/>
        <v>23.082181365791449</v>
      </c>
      <c r="AJ175" s="173">
        <f t="shared" si="523"/>
        <v>10.890504715401073</v>
      </c>
      <c r="AL175" s="545">
        <f t="shared" si="524"/>
        <v>6500</v>
      </c>
      <c r="AM175" s="460">
        <f t="shared" si="525"/>
        <v>30.716783801664601</v>
      </c>
      <c r="AO175">
        <f t="shared" si="526"/>
        <v>6500</v>
      </c>
      <c r="AP175">
        <f t="shared" si="527"/>
        <v>30.716783801664601</v>
      </c>
      <c r="AR175" s="5">
        <f t="shared" si="443"/>
        <v>32.555491696556075</v>
      </c>
      <c r="AS175" s="5">
        <f t="shared" si="440"/>
        <v>15.104376443322925</v>
      </c>
      <c r="AT175" s="5">
        <f t="shared" si="441"/>
        <v>17.451115253233148</v>
      </c>
      <c r="AU175" s="173">
        <f t="shared" si="442"/>
        <v>0.463957865668506</v>
      </c>
      <c r="AW175" s="5">
        <f t="shared" si="477"/>
        <v>654.52297921066008</v>
      </c>
      <c r="AX175" s="5">
        <f t="shared" si="478"/>
        <v>30.680764650499693</v>
      </c>
      <c r="AY175" s="5">
        <f t="shared" si="479"/>
        <v>31.994439794432587</v>
      </c>
      <c r="AZ175" s="5"/>
      <c r="BA175" s="173">
        <f t="shared" si="480"/>
        <v>9.0772749985110721</v>
      </c>
      <c r="BB175" s="173">
        <f t="shared" si="481"/>
        <v>9.7569860853221044</v>
      </c>
      <c r="BC175" s="173">
        <f t="shared" si="482"/>
        <v>0.24028969653263849</v>
      </c>
      <c r="BD175" s="173"/>
      <c r="BE175" s="528">
        <f t="shared" si="483"/>
        <v>1.6479384279718838</v>
      </c>
      <c r="BF175" s="528">
        <f t="shared" si="528"/>
        <v>0.45723554413232909</v>
      </c>
      <c r="BG175" s="528">
        <f t="shared" si="529"/>
        <v>1.4082217376088783E-2</v>
      </c>
      <c r="BH175" s="528">
        <f t="shared" si="484"/>
        <v>3.6336909248501554E-3</v>
      </c>
      <c r="BI175">
        <f t="shared" si="485"/>
        <v>8.2521631954144085E-3</v>
      </c>
      <c r="BJ175" s="460">
        <f t="shared" ref="BJ175:BJ210" si="600">(BG175+BI175)*1000</f>
        <v>22.334380571503193</v>
      </c>
      <c r="BK175">
        <f t="shared" si="530"/>
        <v>4.1971431574264475</v>
      </c>
      <c r="BL175" s="460">
        <f t="shared" ref="BL175:BL210" si="601">SUM(BE175:BI175)*1000</f>
        <v>2131.142043600566</v>
      </c>
      <c r="BM175" s="173">
        <f t="shared" si="531"/>
        <v>4.038125</v>
      </c>
      <c r="BN175" s="173">
        <f t="shared" si="532"/>
        <v>0.10095312499999999</v>
      </c>
      <c r="BO175" s="528"/>
      <c r="BQ175" s="460">
        <f t="shared" si="486"/>
        <v>4139.078125</v>
      </c>
      <c r="BR175" s="528">
        <f t="shared" si="487"/>
        <v>2.4719076419578254</v>
      </c>
      <c r="BS175" s="528">
        <f t="shared" si="488"/>
        <v>2.8559633240750748</v>
      </c>
      <c r="BT175" s="528">
        <f t="shared" si="489"/>
        <v>2.8869569129873749E-4</v>
      </c>
      <c r="BU175" s="528">
        <f t="shared" si="490"/>
        <v>0.66927018704413754</v>
      </c>
      <c r="BV175" s="528"/>
      <c r="BW175" s="625">
        <f t="shared" si="533"/>
        <v>1.6365506058679855E-2</v>
      </c>
      <c r="BX175" s="460">
        <f t="shared" si="491"/>
        <v>6013.795354827017</v>
      </c>
      <c r="BY175" s="173">
        <f t="shared" si="492"/>
        <v>12.284015523427584</v>
      </c>
      <c r="BZ175" s="5">
        <f t="shared" si="493"/>
        <v>98.8</v>
      </c>
      <c r="CA175" s="173">
        <f t="shared" si="494"/>
        <v>0.88941689346081576</v>
      </c>
      <c r="CB175" s="5">
        <f t="shared" si="495"/>
        <v>88.941689346081574</v>
      </c>
      <c r="CC175">
        <f t="shared" si="496"/>
        <v>65</v>
      </c>
      <c r="CE175" s="562">
        <f t="shared" si="534"/>
        <v>-50</v>
      </c>
      <c r="CF175">
        <f t="shared" si="535"/>
        <v>-50</v>
      </c>
      <c r="CG175" s="173">
        <f t="shared" si="536"/>
        <v>0.54755043227665712</v>
      </c>
      <c r="CH175" s="173">
        <f t="shared" si="537"/>
        <v>6.4398811101315845E-2</v>
      </c>
      <c r="CI175" s="170">
        <v>65</v>
      </c>
      <c r="CJ175" s="217">
        <f t="shared" ref="CJ175:CJ210" si="602">IF(PLOT_TYPE=1, CI175/100*Iout_max, min_I*EXP(CS175*rr/100))</f>
        <v>6.5</v>
      </c>
      <c r="CK175" s="217">
        <f t="shared" si="538"/>
        <v>0.16250000000000001</v>
      </c>
      <c r="CL175" s="217">
        <f t="shared" si="539"/>
        <v>97.5</v>
      </c>
      <c r="CM175" s="217">
        <f t="shared" si="540"/>
        <v>1.3</v>
      </c>
      <c r="CN175" s="541">
        <f t="shared" si="541"/>
        <v>19</v>
      </c>
      <c r="CO175" s="443">
        <f t="shared" si="542"/>
        <v>15.7</v>
      </c>
      <c r="CP175" s="443">
        <f t="shared" si="543"/>
        <v>34.700000000000003</v>
      </c>
      <c r="CQ175" s="443"/>
      <c r="CR175" s="217">
        <f t="shared" si="544"/>
        <v>0.44767441860465118</v>
      </c>
      <c r="CS175" s="172">
        <f t="shared" si="545"/>
        <v>209.84738372093025</v>
      </c>
      <c r="CT175" s="172">
        <f t="shared" si="546"/>
        <v>2.835271317829458</v>
      </c>
      <c r="CU175" s="217">
        <f t="shared" si="547"/>
        <v>13.989825581395349</v>
      </c>
      <c r="CV175" s="217">
        <f t="shared" si="548"/>
        <v>26.230922965116282</v>
      </c>
      <c r="CW175" s="217">
        <f t="shared" si="549"/>
        <v>15</v>
      </c>
      <c r="CX175" s="217">
        <f t="shared" si="550"/>
        <v>23.23116883116883</v>
      </c>
      <c r="CY175" s="217">
        <f t="shared" si="551"/>
        <v>14.672317156527683</v>
      </c>
      <c r="CZ175" s="217">
        <f t="shared" si="552"/>
        <v>17.756307386880636</v>
      </c>
      <c r="DA175" s="197">
        <f t="shared" si="553"/>
        <v>71.63784822286263</v>
      </c>
      <c r="DB175" s="443">
        <f t="shared" si="554"/>
        <v>30.836953897363721</v>
      </c>
      <c r="DD175" s="217">
        <f t="shared" si="555"/>
        <v>10.000000000000002</v>
      </c>
      <c r="DE175" s="173">
        <f t="shared" si="556"/>
        <v>7.6433121019108299</v>
      </c>
      <c r="DF175" s="173">
        <f t="shared" si="557"/>
        <v>2.7017291066282429</v>
      </c>
      <c r="DG175" s="173"/>
      <c r="DH175" s="173">
        <f t="shared" si="558"/>
        <v>7.6433121019108281</v>
      </c>
      <c r="DI175" s="545">
        <f t="shared" si="559"/>
        <v>170.08333333333334</v>
      </c>
      <c r="DJ175" s="528">
        <f t="shared" si="560"/>
        <v>2.7377521613832849</v>
      </c>
      <c r="DL175" s="173">
        <f t="shared" si="561"/>
        <v>6.859126697154605</v>
      </c>
      <c r="DM175" s="173">
        <f t="shared" si="562"/>
        <v>23.23116883116883</v>
      </c>
      <c r="DN175" s="173">
        <f t="shared" si="563"/>
        <v>11.0008658008658</v>
      </c>
      <c r="DP175" s="545">
        <f t="shared" si="564"/>
        <v>6500</v>
      </c>
      <c r="DQ175" s="460">
        <f t="shared" si="565"/>
        <v>30.836953897363721</v>
      </c>
      <c r="DS175">
        <f t="shared" si="566"/>
        <v>6500</v>
      </c>
      <c r="DT175">
        <f t="shared" si="567"/>
        <v>30.836953897363721</v>
      </c>
      <c r="DV175" s="5">
        <f t="shared" si="568"/>
        <v>32.428624543408318</v>
      </c>
      <c r="DW175" s="5">
        <f t="shared" si="569"/>
        <v>14.672317156527683</v>
      </c>
      <c r="DX175" s="5">
        <f t="shared" si="570"/>
        <v>17.756307386880636</v>
      </c>
      <c r="DY175" s="173">
        <f t="shared" si="571"/>
        <v>0.45244956772334294</v>
      </c>
      <c r="EA175" s="5">
        <f t="shared" si="572"/>
        <v>635.8004101161996</v>
      </c>
      <c r="EB175" s="5">
        <f t="shared" si="573"/>
        <v>29.80314422419686</v>
      </c>
      <c r="EC175" s="5">
        <f t="shared" si="574"/>
        <v>31.419963161903116</v>
      </c>
      <c r="ED175" s="5"/>
      <c r="EE175" s="173">
        <f t="shared" si="575"/>
        <v>9.0218483458533996</v>
      </c>
      <c r="EF175" s="173">
        <f t="shared" si="576"/>
        <v>9.9248167495347577</v>
      </c>
      <c r="EG175" s="173">
        <f t="shared" si="577"/>
        <v>0.24442293798854228</v>
      </c>
      <c r="EH175" s="173"/>
      <c r="EI175" s="528">
        <f t="shared" si="578"/>
        <v>1.6278749515115545</v>
      </c>
      <c r="EJ175" s="528">
        <f t="shared" si="579"/>
        <v>0.49716666666666665</v>
      </c>
      <c r="EK175" s="528">
        <f t="shared" si="580"/>
        <v>3.8546192371704652E-3</v>
      </c>
      <c r="EL175" s="528">
        <f t="shared" si="581"/>
        <v>3.7130467818276688E-3</v>
      </c>
      <c r="EM175">
        <f t="shared" si="582"/>
        <v>8.5500000000000003E-3</v>
      </c>
      <c r="EN175" s="460">
        <f t="shared" si="583"/>
        <v>12.404619237170467</v>
      </c>
      <c r="EP175" s="460">
        <f t="shared" ref="EP175:EP210" si="603">SUM(EI175:EM175)*1000</f>
        <v>2141.1592841972192</v>
      </c>
      <c r="EQ175" s="173">
        <f t="shared" si="584"/>
        <v>4.55</v>
      </c>
      <c r="ER175" s="173">
        <f t="shared" si="585"/>
        <v>7.2109375000000003E-2</v>
      </c>
      <c r="ES175" s="528"/>
      <c r="EU175" s="460">
        <f t="shared" si="497"/>
        <v>4622.109375</v>
      </c>
      <c r="EV175" s="528">
        <f t="shared" si="586"/>
        <v>2.4418124272673314</v>
      </c>
      <c r="EW175" s="528">
        <f t="shared" si="587"/>
        <v>2.95505962535537</v>
      </c>
      <c r="EX175" s="528">
        <f t="shared" si="588"/>
        <v>2.9871286307475394E-4</v>
      </c>
      <c r="EY175" s="528">
        <f t="shared" si="589"/>
        <v>0.68679375210278792</v>
      </c>
      <c r="EZ175" s="528"/>
      <c r="FA175" s="625">
        <f t="shared" si="590"/>
        <v>1.6642309467669696E-2</v>
      </c>
      <c r="FB175" s="460">
        <f t="shared" si="498"/>
        <v>6100.6068270562337</v>
      </c>
      <c r="FC175" s="173">
        <f t="shared" si="591"/>
        <v>12.863875486253454</v>
      </c>
      <c r="FD175" s="5">
        <f t="shared" si="592"/>
        <v>98.8</v>
      </c>
      <c r="FE175" s="173">
        <f t="shared" si="593"/>
        <v>0.88479823550601133</v>
      </c>
      <c r="FF175" s="5">
        <f t="shared" si="594"/>
        <v>88.479823550601139</v>
      </c>
      <c r="FG175">
        <f t="shared" si="595"/>
        <v>65</v>
      </c>
      <c r="FI175" s="562">
        <f t="shared" si="596"/>
        <v>-50</v>
      </c>
      <c r="FJ175">
        <f t="shared" si="597"/>
        <v>-50</v>
      </c>
    </row>
    <row r="176" spans="5:166">
      <c r="E176" s="170">
        <v>66</v>
      </c>
      <c r="F176" s="217">
        <f t="shared" si="598"/>
        <v>6.6000000000000005</v>
      </c>
      <c r="G176" s="217">
        <f t="shared" si="499"/>
        <v>0.16500000000000001</v>
      </c>
      <c r="H176" s="217">
        <f t="shared" si="500"/>
        <v>99.000000000000014</v>
      </c>
      <c r="I176" s="217">
        <f t="shared" si="501"/>
        <v>1.32</v>
      </c>
      <c r="J176" s="541">
        <f t="shared" si="502"/>
        <v>18.327957979396615</v>
      </c>
      <c r="K176" s="443">
        <f t="shared" si="503"/>
        <v>16.061610526315789</v>
      </c>
      <c r="L176" s="172">
        <f t="shared" si="504"/>
        <v>34.389568505712404</v>
      </c>
      <c r="M176" s="443"/>
      <c r="N176" s="217">
        <f t="shared" si="505"/>
        <v>0.46704891117339309</v>
      </c>
      <c r="O176" s="172">
        <f t="shared" si="506"/>
        <v>211.18551360959438</v>
      </c>
      <c r="P176" s="172">
        <f t="shared" si="507"/>
        <v>2.8533509394362975</v>
      </c>
      <c r="Q176" s="217">
        <f t="shared" si="508"/>
        <v>14.079034240639626</v>
      </c>
      <c r="R176" s="217">
        <f t="shared" si="509"/>
        <v>26.398189201199298</v>
      </c>
      <c r="S176" s="217">
        <f t="shared" si="510"/>
        <v>15</v>
      </c>
      <c r="T176" s="217">
        <f t="shared" si="511"/>
        <v>23.439107708641227</v>
      </c>
      <c r="U176" s="217">
        <f t="shared" si="512"/>
        <v>15.346461008906926</v>
      </c>
      <c r="V176" s="217">
        <f t="shared" si="513"/>
        <v>17.51189845145699</v>
      </c>
      <c r="W176" s="197">
        <f t="shared" si="514"/>
        <v>71.333773485907429</v>
      </c>
      <c r="X176" s="443">
        <f t="shared" si="599"/>
        <v>30.249534953450219</v>
      </c>
      <c r="Z176" s="217">
        <f t="shared" si="515"/>
        <v>10</v>
      </c>
      <c r="AA176" s="173">
        <f t="shared" si="516"/>
        <v>7.471230845959604</v>
      </c>
      <c r="AB176" s="173">
        <f t="shared" si="517"/>
        <v>2.6296928724997053</v>
      </c>
      <c r="AC176" s="173"/>
      <c r="AD176" s="173">
        <f t="shared" si="518"/>
        <v>7.471230845959604</v>
      </c>
      <c r="AE176" s="545">
        <f t="shared" si="519"/>
        <v>176.67771578947369</v>
      </c>
      <c r="AF176" s="528">
        <f t="shared" si="520"/>
        <v>2.6647554441330348</v>
      </c>
      <c r="AH176" s="173">
        <f t="shared" si="521"/>
        <v>6.9116878236382009</v>
      </c>
      <c r="AI176" s="173">
        <f t="shared" si="522"/>
        <v>23.439107708641227</v>
      </c>
      <c r="AJ176" s="173">
        <f t="shared" si="523"/>
        <v>11.154894598993501</v>
      </c>
      <c r="AL176" s="545">
        <f t="shared" si="524"/>
        <v>6600.0000000000009</v>
      </c>
      <c r="AM176" s="460">
        <f t="shared" si="525"/>
        <v>30.249534953450219</v>
      </c>
      <c r="AO176">
        <f t="shared" si="526"/>
        <v>6600.0000000000009</v>
      </c>
      <c r="AP176">
        <f t="shared" si="527"/>
        <v>30.249534953450219</v>
      </c>
      <c r="AR176" s="5">
        <f t="shared" si="443"/>
        <v>33.058359460363917</v>
      </c>
      <c r="AS176" s="5">
        <f t="shared" si="440"/>
        <v>15.346461008906926</v>
      </c>
      <c r="AT176" s="5">
        <f t="shared" si="441"/>
        <v>17.711898451456989</v>
      </c>
      <c r="AU176" s="173">
        <f t="shared" si="442"/>
        <v>0.46422330870069095</v>
      </c>
      <c r="AW176" s="5">
        <f t="shared" si="477"/>
        <v>675.2442843919049</v>
      </c>
      <c r="AX176" s="5">
        <f t="shared" si="478"/>
        <v>31.652075830870533</v>
      </c>
      <c r="AY176" s="5">
        <f t="shared" si="479"/>
        <v>32.990449263650412</v>
      </c>
      <c r="AZ176" s="5"/>
      <c r="BA176" s="173">
        <f t="shared" si="480"/>
        <v>9.2202759417244611</v>
      </c>
      <c r="BB176" s="173">
        <f t="shared" si="481"/>
        <v>9.9054076956757307</v>
      </c>
      <c r="BC176" s="173">
        <f t="shared" si="482"/>
        <v>0.24394494246605336</v>
      </c>
      <c r="BD176" s="173"/>
      <c r="BE176" s="528">
        <f t="shared" si="483"/>
        <v>1.7002697688308581</v>
      </c>
      <c r="BF176" s="528">
        <f t="shared" si="528"/>
        <v>0.45718058160081326</v>
      </c>
      <c r="BG176" s="528">
        <f t="shared" si="529"/>
        <v>1.386030513807812E-2</v>
      </c>
      <c r="BH176" s="528">
        <f t="shared" si="484"/>
        <v>3.5774383281996884E-3</v>
      </c>
      <c r="BI176">
        <f t="shared" si="485"/>
        <v>8.2475810907284772E-3</v>
      </c>
      <c r="BJ176" s="460">
        <f t="shared" si="600"/>
        <v>22.107886228806599</v>
      </c>
      <c r="BK176">
        <f t="shared" si="530"/>
        <v>4.3960246924324764</v>
      </c>
      <c r="BL176" s="460">
        <f t="shared" si="601"/>
        <v>2183.1356749886777</v>
      </c>
      <c r="BM176" s="173">
        <f t="shared" si="531"/>
        <v>4.10025</v>
      </c>
      <c r="BN176" s="173">
        <f t="shared" si="532"/>
        <v>0.10250624999999999</v>
      </c>
      <c r="BO176" s="528"/>
      <c r="BQ176" s="460">
        <f t="shared" si="486"/>
        <v>4202.7562500000004</v>
      </c>
      <c r="BR176" s="528">
        <f t="shared" si="487"/>
        <v>2.5504046532462872</v>
      </c>
      <c r="BS176" s="528">
        <f t="shared" si="488"/>
        <v>2.9435130485265599</v>
      </c>
      <c r="BT176" s="528">
        <f t="shared" si="489"/>
        <v>2.9754567477383042E-4</v>
      </c>
      <c r="BU176" s="528">
        <f t="shared" si="490"/>
        <v>0.66929787632899151</v>
      </c>
      <c r="BV176" s="528"/>
      <c r="BW176" s="625">
        <f t="shared" si="533"/>
        <v>1.6618845555115658E-2</v>
      </c>
      <c r="BX176" s="460">
        <f t="shared" si="491"/>
        <v>6180.1319693317291</v>
      </c>
      <c r="BY176" s="173">
        <f t="shared" si="492"/>
        <v>12.566023894320406</v>
      </c>
      <c r="BZ176" s="5">
        <f t="shared" si="493"/>
        <v>100.32000000000001</v>
      </c>
      <c r="CA176" s="173">
        <f t="shared" si="494"/>
        <v>0.88868397113459996</v>
      </c>
      <c r="CB176" s="5">
        <f t="shared" si="495"/>
        <v>88.868397113459991</v>
      </c>
      <c r="CC176">
        <f t="shared" si="496"/>
        <v>66</v>
      </c>
      <c r="CE176" s="562">
        <f t="shared" si="534"/>
        <v>-50</v>
      </c>
      <c r="CF176">
        <f t="shared" si="535"/>
        <v>-50</v>
      </c>
      <c r="CG176" s="173">
        <f t="shared" si="536"/>
        <v>0.54755043227665712</v>
      </c>
      <c r="CH176" s="173">
        <f t="shared" si="537"/>
        <v>6.4398811101315845E-2</v>
      </c>
      <c r="CI176" s="170">
        <v>66</v>
      </c>
      <c r="CJ176" s="217">
        <f t="shared" si="602"/>
        <v>6.6000000000000005</v>
      </c>
      <c r="CK176" s="217">
        <f t="shared" si="538"/>
        <v>0.16500000000000001</v>
      </c>
      <c r="CL176" s="217">
        <f t="shared" si="539"/>
        <v>99.000000000000014</v>
      </c>
      <c r="CM176" s="217">
        <f t="shared" si="540"/>
        <v>1.32</v>
      </c>
      <c r="CN176" s="541">
        <f t="shared" si="541"/>
        <v>19</v>
      </c>
      <c r="CO176" s="443">
        <f t="shared" si="542"/>
        <v>15.7</v>
      </c>
      <c r="CP176" s="443">
        <f t="shared" si="543"/>
        <v>34.700000000000003</v>
      </c>
      <c r="CQ176" s="443"/>
      <c r="CR176" s="217">
        <f t="shared" si="544"/>
        <v>0.44767441860465118</v>
      </c>
      <c r="CS176" s="172">
        <f t="shared" si="545"/>
        <v>209.84738372093025</v>
      </c>
      <c r="CT176" s="172">
        <f t="shared" si="546"/>
        <v>2.835271317829458</v>
      </c>
      <c r="CU176" s="217">
        <f t="shared" si="547"/>
        <v>13.989825581395349</v>
      </c>
      <c r="CV176" s="217">
        <f t="shared" si="548"/>
        <v>26.230922965116282</v>
      </c>
      <c r="CW176" s="217">
        <f t="shared" si="549"/>
        <v>15</v>
      </c>
      <c r="CX176" s="217">
        <f t="shared" si="550"/>
        <v>23.588571428571431</v>
      </c>
      <c r="CY176" s="217">
        <f t="shared" si="551"/>
        <v>14.898045112781956</v>
      </c>
      <c r="CZ176" s="217">
        <f t="shared" si="552"/>
        <v>18.0294813466788</v>
      </c>
      <c r="DA176" s="197">
        <f t="shared" si="553"/>
        <v>71.63784822286263</v>
      </c>
      <c r="DB176" s="443">
        <f t="shared" si="554"/>
        <v>30.369727323161236</v>
      </c>
      <c r="DD176" s="217">
        <f t="shared" si="555"/>
        <v>10.000000000000002</v>
      </c>
      <c r="DE176" s="173">
        <f t="shared" si="556"/>
        <v>7.6433121019108299</v>
      </c>
      <c r="DF176" s="173">
        <f t="shared" si="557"/>
        <v>2.7017291066282429</v>
      </c>
      <c r="DG176" s="173"/>
      <c r="DH176" s="173">
        <f t="shared" si="558"/>
        <v>7.6433121019108281</v>
      </c>
      <c r="DI176" s="545">
        <f t="shared" si="559"/>
        <v>172.70000000000002</v>
      </c>
      <c r="DJ176" s="528">
        <f t="shared" si="560"/>
        <v>2.7377521613832849</v>
      </c>
      <c r="DL176" s="173">
        <f t="shared" si="561"/>
        <v>6.9116878236382009</v>
      </c>
      <c r="DM176" s="173">
        <f t="shared" si="562"/>
        <v>23.588571428571431</v>
      </c>
      <c r="DN176" s="173">
        <f t="shared" si="563"/>
        <v>11.265608465608466</v>
      </c>
      <c r="DP176" s="545">
        <f t="shared" si="564"/>
        <v>6600.0000000000009</v>
      </c>
      <c r="DQ176" s="460">
        <f t="shared" si="565"/>
        <v>30.369727323161236</v>
      </c>
      <c r="DS176">
        <f t="shared" si="566"/>
        <v>6600.0000000000009</v>
      </c>
      <c r="DT176">
        <f t="shared" si="567"/>
        <v>30.369727323161236</v>
      </c>
      <c r="DV176" s="5">
        <f t="shared" si="568"/>
        <v>32.927526459460758</v>
      </c>
      <c r="DW176" s="5">
        <f t="shared" si="569"/>
        <v>14.898045112781956</v>
      </c>
      <c r="DX176" s="5">
        <f t="shared" si="570"/>
        <v>18.0294813466788</v>
      </c>
      <c r="DY176" s="173">
        <f t="shared" si="571"/>
        <v>0.45244956772334294</v>
      </c>
      <c r="EA176" s="5">
        <f t="shared" si="572"/>
        <v>655.51398496240608</v>
      </c>
      <c r="EB176" s="5">
        <f t="shared" si="573"/>
        <v>30.727218045112785</v>
      </c>
      <c r="EC176" s="5">
        <f t="shared" si="574"/>
        <v>32.394167936863909</v>
      </c>
      <c r="ED176" s="5"/>
      <c r="EE176" s="173">
        <f t="shared" si="575"/>
        <v>9.1606460127126841</v>
      </c>
      <c r="EF176" s="173">
        <f t="shared" si="576"/>
        <v>10.077506237989141</v>
      </c>
      <c r="EG176" s="173">
        <f t="shared" si="577"/>
        <v>0.24818329088067378</v>
      </c>
      <c r="EH176" s="173"/>
      <c r="EI176" s="528">
        <f t="shared" si="578"/>
        <v>1.678348707404576</v>
      </c>
      <c r="EJ176" s="528">
        <f t="shared" si="579"/>
        <v>0.49716666666666665</v>
      </c>
      <c r="EK176" s="528">
        <f t="shared" si="580"/>
        <v>3.7962159153951546E-3</v>
      </c>
      <c r="EL176" s="528">
        <f t="shared" si="581"/>
        <v>3.6567884972545221E-3</v>
      </c>
      <c r="EM176">
        <f t="shared" si="582"/>
        <v>8.5500000000000003E-3</v>
      </c>
      <c r="EN176" s="460">
        <f t="shared" si="583"/>
        <v>12.346215915395154</v>
      </c>
      <c r="EP176" s="460">
        <f t="shared" si="603"/>
        <v>2191.5183784838923</v>
      </c>
      <c r="EQ176" s="173">
        <f t="shared" si="584"/>
        <v>4.62</v>
      </c>
      <c r="ER176" s="173">
        <f t="shared" si="585"/>
        <v>7.3218749999999999E-2</v>
      </c>
      <c r="ES176" s="528"/>
      <c r="EU176" s="460">
        <f t="shared" si="497"/>
        <v>4693.21875</v>
      </c>
      <c r="EV176" s="528">
        <f t="shared" si="586"/>
        <v>2.5175230611068637</v>
      </c>
      <c r="EW176" s="528">
        <f t="shared" si="587"/>
        <v>3.0466839593013013</v>
      </c>
      <c r="EX176" s="528">
        <f t="shared" si="588"/>
        <v>3.0797472936180568E-4</v>
      </c>
      <c r="EY176" s="528">
        <f t="shared" si="589"/>
        <v>0.68679375210278926</v>
      </c>
      <c r="EZ176" s="528"/>
      <c r="FA176" s="625">
        <f t="shared" si="590"/>
        <v>1.6898344997941538E-2</v>
      </c>
      <c r="FB176" s="460">
        <f t="shared" si="498"/>
        <v>6268.2070922382582</v>
      </c>
      <c r="FC176" s="173">
        <f t="shared" si="591"/>
        <v>13.152944220722148</v>
      </c>
      <c r="FD176" s="5">
        <f t="shared" si="592"/>
        <v>100.32000000000001</v>
      </c>
      <c r="FE176" s="173">
        <f t="shared" si="593"/>
        <v>0.88408739800442937</v>
      </c>
      <c r="FF176" s="5">
        <f t="shared" si="594"/>
        <v>88.40873980044293</v>
      </c>
      <c r="FG176">
        <f t="shared" si="595"/>
        <v>66</v>
      </c>
      <c r="FI176" s="562">
        <f t="shared" si="596"/>
        <v>-50</v>
      </c>
      <c r="FJ176">
        <f t="shared" si="597"/>
        <v>-50</v>
      </c>
    </row>
    <row r="177" spans="5:166">
      <c r="E177" s="170">
        <v>67</v>
      </c>
      <c r="F177" s="217">
        <f t="shared" si="598"/>
        <v>6.7</v>
      </c>
      <c r="G177" s="217">
        <f t="shared" si="499"/>
        <v>0.16750000000000001</v>
      </c>
      <c r="H177" s="217">
        <f t="shared" si="500"/>
        <v>100.5</v>
      </c>
      <c r="I177" s="217">
        <f t="shared" si="501"/>
        <v>1.34</v>
      </c>
      <c r="J177" s="541">
        <f t="shared" si="502"/>
        <v>18.317775524538987</v>
      </c>
      <c r="K177" s="443">
        <f t="shared" si="503"/>
        <v>16.067089473684209</v>
      </c>
      <c r="L177" s="172">
        <f t="shared" si="504"/>
        <v>34.384864998223193</v>
      </c>
      <c r="M177" s="443"/>
      <c r="N177" s="217">
        <f t="shared" si="505"/>
        <v>0.46727214065009304</v>
      </c>
      <c r="O177" s="172">
        <f t="shared" si="506"/>
        <v>211.16906697284244</v>
      </c>
      <c r="P177" s="172">
        <f t="shared" si="507"/>
        <v>2.8531287270997381</v>
      </c>
      <c r="Q177" s="217">
        <f t="shared" si="508"/>
        <v>14.077937798189497</v>
      </c>
      <c r="R177" s="217">
        <f t="shared" si="509"/>
        <v>26.396133371605305</v>
      </c>
      <c r="S177" s="217">
        <f t="shared" si="510"/>
        <v>15</v>
      </c>
      <c r="T177" s="217">
        <f t="shared" si="511"/>
        <v>23.796098889077555</v>
      </c>
      <c r="U177" s="217">
        <f t="shared" si="512"/>
        <v>15.58885718882164</v>
      </c>
      <c r="V177" s="217">
        <f t="shared" si="513"/>
        <v>17.77255221841077</v>
      </c>
      <c r="W177" s="197">
        <f t="shared" si="514"/>
        <v>71.32821817749344</v>
      </c>
      <c r="X177" s="443">
        <f t="shared" si="599"/>
        <v>29.796126493558468</v>
      </c>
      <c r="Z177" s="217">
        <f t="shared" si="515"/>
        <v>10</v>
      </c>
      <c r="AA177" s="173">
        <f t="shared" si="516"/>
        <v>7.4686831237570628</v>
      </c>
      <c r="AB177" s="173">
        <f t="shared" si="517"/>
        <v>2.6285914112659889</v>
      </c>
      <c r="AC177" s="173"/>
      <c r="AD177" s="173">
        <f t="shared" si="518"/>
        <v>7.4686831237570628</v>
      </c>
      <c r="AE177" s="545">
        <f t="shared" si="519"/>
        <v>179.41583245614032</v>
      </c>
      <c r="AF177" s="528">
        <f t="shared" si="520"/>
        <v>2.6636392967495355</v>
      </c>
      <c r="AH177" s="173">
        <f t="shared" si="521"/>
        <v>6.9638522453623395</v>
      </c>
      <c r="AI177" s="173">
        <f t="shared" si="522"/>
        <v>23.796098889077555</v>
      </c>
      <c r="AJ177" s="173">
        <f t="shared" si="523"/>
        <v>11.419332510427818</v>
      </c>
      <c r="AL177" s="545">
        <f t="shared" si="524"/>
        <v>6700</v>
      </c>
      <c r="AM177" s="460">
        <f t="shared" si="525"/>
        <v>29.796126493558468</v>
      </c>
      <c r="AO177">
        <f t="shared" si="526"/>
        <v>6700</v>
      </c>
      <c r="AP177">
        <f t="shared" si="527"/>
        <v>29.796126493558468</v>
      </c>
      <c r="AR177" s="5">
        <f t="shared" si="443"/>
        <v>33.561409407232411</v>
      </c>
      <c r="AS177" s="5">
        <f t="shared" si="440"/>
        <v>15.58885718882164</v>
      </c>
      <c r="AT177" s="5">
        <f t="shared" si="441"/>
        <v>17.972552218410769</v>
      </c>
      <c r="AU177" s="173">
        <f t="shared" si="442"/>
        <v>0.46448756068814784</v>
      </c>
      <c r="AW177" s="5">
        <f t="shared" si="477"/>
        <v>696.30228776736658</v>
      </c>
      <c r="AX177" s="5">
        <f t="shared" si="478"/>
        <v>32.639169739095308</v>
      </c>
      <c r="AY177" s="5">
        <f t="shared" si="479"/>
        <v>34.002048720956815</v>
      </c>
      <c r="AZ177" s="5"/>
      <c r="BA177" s="173">
        <f t="shared" si="480"/>
        <v>9.3633699224202012</v>
      </c>
      <c r="BB177" s="173">
        <f t="shared" si="481"/>
        <v>10.05379254189695</v>
      </c>
      <c r="BC177" s="173">
        <f t="shared" si="482"/>
        <v>0.24759928299259942</v>
      </c>
      <c r="BD177" s="173"/>
      <c r="BE177" s="528">
        <f t="shared" si="483"/>
        <v>1.7534539260816657</v>
      </c>
      <c r="BF177" s="528">
        <f t="shared" si="528"/>
        <v>0.45712415440658688</v>
      </c>
      <c r="BG177" s="528">
        <f t="shared" si="529"/>
        <v>1.3644968915244323E-2</v>
      </c>
      <c r="BH177" s="528">
        <f t="shared" si="484"/>
        <v>3.5228524720158131E-3</v>
      </c>
      <c r="BI177">
        <f t="shared" si="485"/>
        <v>8.2429989860425441E-3</v>
      </c>
      <c r="BJ177" s="460">
        <f t="shared" si="600"/>
        <v>21.887967901286867</v>
      </c>
      <c r="BK177">
        <f t="shared" si="530"/>
        <v>4.6068368825052373</v>
      </c>
      <c r="BL177" s="460">
        <f t="shared" si="601"/>
        <v>2235.9889008615551</v>
      </c>
      <c r="BM177" s="173">
        <f t="shared" si="531"/>
        <v>4.162374999999999</v>
      </c>
      <c r="BN177" s="173">
        <f t="shared" si="532"/>
        <v>0.10405937499999998</v>
      </c>
      <c r="BO177" s="528"/>
      <c r="BQ177" s="460">
        <f t="shared" si="486"/>
        <v>4266.4343749999989</v>
      </c>
      <c r="BR177" s="528">
        <f t="shared" si="487"/>
        <v>2.6301808891224985</v>
      </c>
      <c r="BS177" s="528">
        <f t="shared" si="488"/>
        <v>3.0323623342650818</v>
      </c>
      <c r="BT177" s="528">
        <f t="shared" si="489"/>
        <v>3.0652702469224669E-4</v>
      </c>
      <c r="BU177" s="528">
        <f t="shared" si="490"/>
        <v>0.66932021247376661</v>
      </c>
      <c r="BV177" s="528"/>
      <c r="BW177" s="625">
        <f t="shared" si="533"/>
        <v>1.6872185415929865E-2</v>
      </c>
      <c r="BX177" s="460">
        <f t="shared" si="491"/>
        <v>6349.0421483019691</v>
      </c>
      <c r="BY177" s="173">
        <f t="shared" si="492"/>
        <v>12.851465424163523</v>
      </c>
      <c r="BZ177" s="5">
        <f t="shared" si="493"/>
        <v>101.84</v>
      </c>
      <c r="CA177" s="173">
        <f t="shared" si="494"/>
        <v>0.8879475000460153</v>
      </c>
      <c r="CB177" s="5">
        <f t="shared" si="495"/>
        <v>88.794750004601525</v>
      </c>
      <c r="CC177">
        <f t="shared" si="496"/>
        <v>67</v>
      </c>
      <c r="CE177" s="562">
        <f t="shared" si="534"/>
        <v>-50</v>
      </c>
      <c r="CF177">
        <f t="shared" si="535"/>
        <v>-50</v>
      </c>
      <c r="CG177" s="173">
        <f t="shared" si="536"/>
        <v>0.54755043227665712</v>
      </c>
      <c r="CH177" s="173">
        <f t="shared" si="537"/>
        <v>6.4398811101315859E-2</v>
      </c>
      <c r="CI177" s="170">
        <v>67</v>
      </c>
      <c r="CJ177" s="217">
        <f t="shared" si="602"/>
        <v>6.7</v>
      </c>
      <c r="CK177" s="217">
        <f t="shared" si="538"/>
        <v>0.16750000000000001</v>
      </c>
      <c r="CL177" s="217">
        <f t="shared" si="539"/>
        <v>100.5</v>
      </c>
      <c r="CM177" s="217">
        <f t="shared" si="540"/>
        <v>1.34</v>
      </c>
      <c r="CN177" s="541">
        <f t="shared" si="541"/>
        <v>19</v>
      </c>
      <c r="CO177" s="443">
        <f t="shared" si="542"/>
        <v>15.7</v>
      </c>
      <c r="CP177" s="443">
        <f t="shared" si="543"/>
        <v>34.700000000000003</v>
      </c>
      <c r="CQ177" s="443"/>
      <c r="CR177" s="217">
        <f t="shared" si="544"/>
        <v>0.44767441860465118</v>
      </c>
      <c r="CS177" s="172">
        <f t="shared" si="545"/>
        <v>209.84738372093025</v>
      </c>
      <c r="CT177" s="172">
        <f t="shared" si="546"/>
        <v>2.835271317829458</v>
      </c>
      <c r="CU177" s="217">
        <f t="shared" si="547"/>
        <v>13.989825581395349</v>
      </c>
      <c r="CV177" s="217">
        <f t="shared" si="548"/>
        <v>26.230922965116282</v>
      </c>
      <c r="CW177" s="217">
        <f t="shared" si="549"/>
        <v>15</v>
      </c>
      <c r="CX177" s="217">
        <f t="shared" si="550"/>
        <v>23.945974025974024</v>
      </c>
      <c r="CY177" s="217">
        <f t="shared" si="551"/>
        <v>15.123773069036224</v>
      </c>
      <c r="CZ177" s="217">
        <f t="shared" si="552"/>
        <v>18.302655306476961</v>
      </c>
      <c r="DA177" s="197">
        <f t="shared" si="553"/>
        <v>71.63784822286263</v>
      </c>
      <c r="DB177" s="443">
        <f t="shared" si="554"/>
        <v>29.916447810875258</v>
      </c>
      <c r="DD177" s="217">
        <f t="shared" si="555"/>
        <v>10.000000000000002</v>
      </c>
      <c r="DE177" s="173">
        <f t="shared" si="556"/>
        <v>7.6433121019108299</v>
      </c>
      <c r="DF177" s="173">
        <f t="shared" si="557"/>
        <v>2.7017291066282429</v>
      </c>
      <c r="DG177" s="173"/>
      <c r="DH177" s="173">
        <f t="shared" si="558"/>
        <v>7.6433121019108281</v>
      </c>
      <c r="DI177" s="545">
        <f t="shared" si="559"/>
        <v>175.31666666666669</v>
      </c>
      <c r="DJ177" s="528">
        <f t="shared" si="560"/>
        <v>2.7377521613832849</v>
      </c>
      <c r="DL177" s="173">
        <f t="shared" si="561"/>
        <v>6.9638522453623395</v>
      </c>
      <c r="DM177" s="173">
        <f t="shared" si="562"/>
        <v>23.945974025974024</v>
      </c>
      <c r="DN177" s="173">
        <f t="shared" si="563"/>
        <v>11.530351130351129</v>
      </c>
      <c r="DP177" s="545">
        <f t="shared" si="564"/>
        <v>6700</v>
      </c>
      <c r="DQ177" s="460">
        <f t="shared" si="565"/>
        <v>29.916447810875258</v>
      </c>
      <c r="DS177">
        <f t="shared" si="566"/>
        <v>6700</v>
      </c>
      <c r="DT177">
        <f t="shared" si="567"/>
        <v>29.916447810875258</v>
      </c>
      <c r="DV177" s="5">
        <f t="shared" si="568"/>
        <v>33.426428375513183</v>
      </c>
      <c r="DW177" s="5">
        <f t="shared" si="569"/>
        <v>15.123773069036224</v>
      </c>
      <c r="DX177" s="5">
        <f t="shared" si="570"/>
        <v>18.302655306476957</v>
      </c>
      <c r="DY177" s="173">
        <f t="shared" si="571"/>
        <v>0.45244956772334294</v>
      </c>
      <c r="EA177" s="5">
        <f t="shared" si="572"/>
        <v>675.52853041695141</v>
      </c>
      <c r="EB177" s="5">
        <f t="shared" si="573"/>
        <v>31.665399863294599</v>
      </c>
      <c r="EC177" s="5">
        <f t="shared" si="574"/>
        <v>33.38324606716759</v>
      </c>
      <c r="ED177" s="5"/>
      <c r="EE177" s="173">
        <f t="shared" si="575"/>
        <v>9.299443679571965</v>
      </c>
      <c r="EF177" s="173">
        <f t="shared" si="576"/>
        <v>10.230195726443519</v>
      </c>
      <c r="EG177" s="173">
        <f t="shared" si="577"/>
        <v>0.25194364377280515</v>
      </c>
      <c r="EH177" s="173"/>
      <c r="EI177" s="528">
        <f t="shared" si="578"/>
        <v>1.7295930549906195</v>
      </c>
      <c r="EJ177" s="528">
        <f t="shared" si="579"/>
        <v>0.49716666666666681</v>
      </c>
      <c r="EK177" s="528">
        <f t="shared" si="580"/>
        <v>3.7395559763594073E-3</v>
      </c>
      <c r="EL177" s="528">
        <f t="shared" si="581"/>
        <v>3.6022095644596798E-3</v>
      </c>
      <c r="EM177">
        <f t="shared" si="582"/>
        <v>8.5500000000000003E-3</v>
      </c>
      <c r="EN177" s="460">
        <f t="shared" si="583"/>
        <v>12.289555976359408</v>
      </c>
      <c r="EP177" s="460">
        <f t="shared" si="603"/>
        <v>2242.6514871981058</v>
      </c>
      <c r="EQ177" s="173">
        <f t="shared" si="584"/>
        <v>4.6899999999999995</v>
      </c>
      <c r="ER177" s="173">
        <f t="shared" si="585"/>
        <v>7.4328124999999995E-2</v>
      </c>
      <c r="ES177" s="528"/>
      <c r="EU177" s="460">
        <f t="shared" si="497"/>
        <v>4764.328125</v>
      </c>
      <c r="EV177" s="528">
        <f t="shared" si="586"/>
        <v>2.5943895824859289</v>
      </c>
      <c r="EW177" s="528">
        <f t="shared" si="587"/>
        <v>3.139707138040297</v>
      </c>
      <c r="EX177" s="528">
        <f t="shared" si="588"/>
        <v>3.1737799818759072E-4</v>
      </c>
      <c r="EY177" s="528">
        <f t="shared" si="589"/>
        <v>0.68679375210278804</v>
      </c>
      <c r="EZ177" s="528"/>
      <c r="FA177" s="625">
        <f t="shared" si="590"/>
        <v>1.715438052821338E-2</v>
      </c>
      <c r="FB177" s="460">
        <f t="shared" si="498"/>
        <v>6438.3622311554145</v>
      </c>
      <c r="FC177" s="173">
        <f t="shared" si="591"/>
        <v>13.445341843353521</v>
      </c>
      <c r="FD177" s="5">
        <f t="shared" si="592"/>
        <v>101.84</v>
      </c>
      <c r="FE177" s="173">
        <f t="shared" si="593"/>
        <v>0.88337336188305127</v>
      </c>
      <c r="FF177" s="5">
        <f t="shared" si="594"/>
        <v>88.33733618830513</v>
      </c>
      <c r="FG177">
        <f t="shared" si="595"/>
        <v>67</v>
      </c>
      <c r="FI177" s="562">
        <f t="shared" si="596"/>
        <v>-50</v>
      </c>
      <c r="FJ177">
        <f t="shared" si="597"/>
        <v>-50</v>
      </c>
    </row>
    <row r="178" spans="5:166">
      <c r="E178" s="170">
        <v>68</v>
      </c>
      <c r="F178" s="217">
        <f t="shared" si="598"/>
        <v>6.8000000000000007</v>
      </c>
      <c r="G178" s="217">
        <f t="shared" si="499"/>
        <v>0.17</v>
      </c>
      <c r="H178" s="217">
        <f t="shared" si="500"/>
        <v>102.00000000000001</v>
      </c>
      <c r="I178" s="217">
        <f t="shared" si="501"/>
        <v>1.36</v>
      </c>
      <c r="J178" s="541">
        <f t="shared" si="502"/>
        <v>18.30759306968136</v>
      </c>
      <c r="K178" s="443">
        <f t="shared" si="503"/>
        <v>16.07256842105263</v>
      </c>
      <c r="L178" s="172">
        <f t="shared" si="504"/>
        <v>34.38016149073399</v>
      </c>
      <c r="M178" s="443"/>
      <c r="N178" s="217">
        <f t="shared" si="505"/>
        <v>0.46749543120629167</v>
      </c>
      <c r="O178" s="172">
        <f t="shared" si="506"/>
        <v>211.15253576792773</v>
      </c>
      <c r="P178" s="172">
        <f t="shared" si="507"/>
        <v>2.8529053721533351</v>
      </c>
      <c r="Q178" s="217">
        <f t="shared" si="508"/>
        <v>14.076835717861849</v>
      </c>
      <c r="R178" s="217">
        <f t="shared" si="509"/>
        <v>26.394066970990966</v>
      </c>
      <c r="S178" s="217">
        <f t="shared" si="510"/>
        <v>15</v>
      </c>
      <c r="T178" s="217">
        <f t="shared" si="511"/>
        <v>24.153155354976544</v>
      </c>
      <c r="U178" s="217">
        <f t="shared" si="512"/>
        <v>15.831565796582517</v>
      </c>
      <c r="V178" s="217">
        <f t="shared" si="513"/>
        <v>18.033077020849689</v>
      </c>
      <c r="W178" s="197">
        <f t="shared" si="514"/>
        <v>71.322634303833368</v>
      </c>
      <c r="X178" s="443">
        <f t="shared" si="599"/>
        <v>29.355951429153425</v>
      </c>
      <c r="Z178" s="217">
        <f t="shared" si="515"/>
        <v>10</v>
      </c>
      <c r="AA178" s="173">
        <f t="shared" si="516"/>
        <v>7.4661371385309012</v>
      </c>
      <c r="AB178" s="173">
        <f t="shared" si="517"/>
        <v>2.627489648653166</v>
      </c>
      <c r="AC178" s="173"/>
      <c r="AD178" s="173">
        <f t="shared" si="518"/>
        <v>7.4661371385309012</v>
      </c>
      <c r="AE178" s="545">
        <f t="shared" si="519"/>
        <v>182.15577543859646</v>
      </c>
      <c r="AF178" s="528">
        <f t="shared" si="520"/>
        <v>2.6625228439685418</v>
      </c>
      <c r="AH178" s="173">
        <f t="shared" si="521"/>
        <v>7.0156288113787504</v>
      </c>
      <c r="AI178" s="173">
        <f t="shared" si="522"/>
        <v>24.153155354976544</v>
      </c>
      <c r="AJ178" s="173">
        <f t="shared" si="523"/>
        <v>11.683818781464106</v>
      </c>
      <c r="AL178" s="545">
        <f t="shared" si="524"/>
        <v>6800.0000000000009</v>
      </c>
      <c r="AM178" s="460">
        <f t="shared" si="525"/>
        <v>29.355951429153425</v>
      </c>
      <c r="AO178">
        <f t="shared" si="526"/>
        <v>6800.0000000000009</v>
      </c>
      <c r="AP178">
        <f t="shared" si="527"/>
        <v>29.355951429153425</v>
      </c>
      <c r="AR178" s="5">
        <f t="shared" si="443"/>
        <v>34.064642817432208</v>
      </c>
      <c r="AS178" s="5">
        <f t="shared" si="440"/>
        <v>15.831565796582517</v>
      </c>
      <c r="AT178" s="5">
        <f t="shared" si="441"/>
        <v>18.233077020849692</v>
      </c>
      <c r="AU178" s="173">
        <f t="shared" si="442"/>
        <v>0.46475067657192304</v>
      </c>
      <c r="AW178" s="5">
        <f t="shared" si="477"/>
        <v>717.69764944507415</v>
      </c>
      <c r="AX178" s="5">
        <f t="shared" si="478"/>
        <v>33.642077317737851</v>
      </c>
      <c r="AY178" s="5">
        <f t="shared" si="479"/>
        <v>35.029254105548731</v>
      </c>
      <c r="AZ178" s="5"/>
      <c r="BA178" s="173">
        <f t="shared" si="480"/>
        <v>9.5065571369002217</v>
      </c>
      <c r="BB178" s="173">
        <f t="shared" si="481"/>
        <v>10.202140752642498</v>
      </c>
      <c r="BC178" s="173">
        <f t="shared" si="482"/>
        <v>0.25125272128076426</v>
      </c>
      <c r="BD178" s="173"/>
      <c r="BE178" s="528">
        <f t="shared" si="483"/>
        <v>1.8074925719429709</v>
      </c>
      <c r="BF178" s="528">
        <f t="shared" si="528"/>
        <v>0.45706631913695933</v>
      </c>
      <c r="BG178" s="528">
        <f t="shared" si="529"/>
        <v>1.3435920323456797E-2</v>
      </c>
      <c r="BH178" s="528">
        <f t="shared" si="484"/>
        <v>3.4698602608687124E-3</v>
      </c>
      <c r="BI178">
        <f t="shared" si="485"/>
        <v>8.2384168813566111E-3</v>
      </c>
      <c r="BJ178" s="460">
        <f t="shared" si="600"/>
        <v>21.674337204813408</v>
      </c>
      <c r="BK178">
        <f t="shared" si="530"/>
        <v>4.8306041318921675</v>
      </c>
      <c r="BL178" s="460">
        <f t="shared" si="601"/>
        <v>2289.7030885456124</v>
      </c>
      <c r="BM178" s="173">
        <f t="shared" si="531"/>
        <v>4.2244999999999999</v>
      </c>
      <c r="BN178" s="173">
        <f t="shared" si="532"/>
        <v>0.10561249999999998</v>
      </c>
      <c r="BO178" s="528"/>
      <c r="BQ178" s="460">
        <f t="shared" si="486"/>
        <v>4330.1125000000002</v>
      </c>
      <c r="BR178" s="528">
        <f t="shared" si="487"/>
        <v>2.7112388579144562</v>
      </c>
      <c r="BS178" s="528">
        <f t="shared" si="488"/>
        <v>3.1225102781018648</v>
      </c>
      <c r="BT178" s="528">
        <f t="shared" si="489"/>
        <v>3.1563964975494705E-4</v>
      </c>
      <c r="BU178" s="528">
        <f t="shared" si="490"/>
        <v>0.66933740012854326</v>
      </c>
      <c r="BV178" s="528"/>
      <c r="BW178" s="625">
        <f t="shared" si="533"/>
        <v>1.7125525628676089E-2</v>
      </c>
      <c r="BX178" s="460">
        <f t="shared" si="491"/>
        <v>6520.5277014232952</v>
      </c>
      <c r="BY178" s="173">
        <f t="shared" si="492"/>
        <v>13.140343289968909</v>
      </c>
      <c r="BZ178" s="5">
        <f t="shared" si="493"/>
        <v>103.36000000000001</v>
      </c>
      <c r="CA178" s="173">
        <f t="shared" si="494"/>
        <v>0.88720768609872125</v>
      </c>
      <c r="CB178" s="5">
        <f t="shared" si="495"/>
        <v>88.720768609872124</v>
      </c>
      <c r="CC178">
        <f t="shared" si="496"/>
        <v>68</v>
      </c>
      <c r="CE178" s="562">
        <f t="shared" si="534"/>
        <v>-50</v>
      </c>
      <c r="CF178">
        <f t="shared" si="535"/>
        <v>-50</v>
      </c>
      <c r="CG178" s="173">
        <f t="shared" si="536"/>
        <v>0.54755043227665712</v>
      </c>
      <c r="CH178" s="173">
        <f t="shared" si="537"/>
        <v>6.4398811101315845E-2</v>
      </c>
      <c r="CI178" s="170">
        <v>68</v>
      </c>
      <c r="CJ178" s="217">
        <f t="shared" si="602"/>
        <v>6.8000000000000007</v>
      </c>
      <c r="CK178" s="217">
        <f t="shared" si="538"/>
        <v>0.17</v>
      </c>
      <c r="CL178" s="217">
        <f t="shared" si="539"/>
        <v>102.00000000000001</v>
      </c>
      <c r="CM178" s="217">
        <f t="shared" si="540"/>
        <v>1.36</v>
      </c>
      <c r="CN178" s="541">
        <f t="shared" si="541"/>
        <v>19</v>
      </c>
      <c r="CO178" s="443">
        <f t="shared" si="542"/>
        <v>15.7</v>
      </c>
      <c r="CP178" s="443">
        <f t="shared" si="543"/>
        <v>34.700000000000003</v>
      </c>
      <c r="CQ178" s="443"/>
      <c r="CR178" s="217">
        <f t="shared" si="544"/>
        <v>0.44767441860465118</v>
      </c>
      <c r="CS178" s="172">
        <f t="shared" si="545"/>
        <v>209.84738372093025</v>
      </c>
      <c r="CT178" s="172">
        <f t="shared" si="546"/>
        <v>2.835271317829458</v>
      </c>
      <c r="CU178" s="217">
        <f t="shared" si="547"/>
        <v>13.989825581395349</v>
      </c>
      <c r="CV178" s="217">
        <f t="shared" si="548"/>
        <v>26.230922965116282</v>
      </c>
      <c r="CW178" s="217">
        <f t="shared" si="549"/>
        <v>15</v>
      </c>
      <c r="CX178" s="217">
        <f t="shared" si="550"/>
        <v>24.303376623376625</v>
      </c>
      <c r="CY178" s="217">
        <f t="shared" si="551"/>
        <v>15.349501025290499</v>
      </c>
      <c r="CZ178" s="217">
        <f t="shared" si="552"/>
        <v>18.575829266275129</v>
      </c>
      <c r="DA178" s="197">
        <f t="shared" si="553"/>
        <v>71.63784822286263</v>
      </c>
      <c r="DB178" s="443">
        <f t="shared" si="554"/>
        <v>29.476500048950612</v>
      </c>
      <c r="DD178" s="217">
        <f t="shared" si="555"/>
        <v>10.000000000000002</v>
      </c>
      <c r="DE178" s="173">
        <f t="shared" si="556"/>
        <v>7.6433121019108299</v>
      </c>
      <c r="DF178" s="173">
        <f t="shared" si="557"/>
        <v>2.7017291066282429</v>
      </c>
      <c r="DG178" s="173"/>
      <c r="DH178" s="173">
        <f t="shared" si="558"/>
        <v>7.6433121019108281</v>
      </c>
      <c r="DI178" s="545">
        <f t="shared" si="559"/>
        <v>177.93333333333337</v>
      </c>
      <c r="DJ178" s="528">
        <f t="shared" si="560"/>
        <v>2.7377521613832849</v>
      </c>
      <c r="DL178" s="173">
        <f t="shared" si="561"/>
        <v>7.0156288113787504</v>
      </c>
      <c r="DM178" s="173">
        <f t="shared" si="562"/>
        <v>24.303376623376625</v>
      </c>
      <c r="DN178" s="173">
        <f t="shared" si="563"/>
        <v>11.795093795093795</v>
      </c>
      <c r="DP178" s="545">
        <f t="shared" si="564"/>
        <v>6800.0000000000009</v>
      </c>
      <c r="DQ178" s="460">
        <f t="shared" si="565"/>
        <v>29.476500048950612</v>
      </c>
      <c r="DS178">
        <f t="shared" si="566"/>
        <v>6800.0000000000009</v>
      </c>
      <c r="DT178">
        <f t="shared" si="567"/>
        <v>29.476500048950612</v>
      </c>
      <c r="DV178" s="5">
        <f t="shared" si="568"/>
        <v>33.925330291565629</v>
      </c>
      <c r="DW178" s="5">
        <f t="shared" si="569"/>
        <v>15.349501025290499</v>
      </c>
      <c r="DX178" s="5">
        <f t="shared" si="570"/>
        <v>18.575829266275129</v>
      </c>
      <c r="DY178" s="173">
        <f t="shared" si="571"/>
        <v>0.45244956772334288</v>
      </c>
      <c r="EA178" s="5">
        <f t="shared" si="572"/>
        <v>695.84404647983604</v>
      </c>
      <c r="EB178" s="5">
        <f t="shared" si="573"/>
        <v>32.617689678742309</v>
      </c>
      <c r="EC178" s="5">
        <f t="shared" si="574"/>
        <v>34.387197552814214</v>
      </c>
      <c r="ED178" s="5"/>
      <c r="EE178" s="173">
        <f t="shared" si="575"/>
        <v>9.4382413464312496</v>
      </c>
      <c r="EF178" s="173">
        <f t="shared" si="576"/>
        <v>10.382885214897902</v>
      </c>
      <c r="EG178" s="173">
        <f t="shared" si="577"/>
        <v>0.25570399666493659</v>
      </c>
      <c r="EH178" s="173"/>
      <c r="EI178" s="528">
        <f t="shared" si="578"/>
        <v>1.7816079942696874</v>
      </c>
      <c r="EJ178" s="528">
        <f t="shared" si="579"/>
        <v>0.49716666666666665</v>
      </c>
      <c r="EK178" s="528">
        <f t="shared" si="580"/>
        <v>3.6845625061188263E-3</v>
      </c>
      <c r="EL178" s="528">
        <f t="shared" si="581"/>
        <v>3.5492358943940952E-3</v>
      </c>
      <c r="EM178">
        <f t="shared" si="582"/>
        <v>8.5500000000000003E-3</v>
      </c>
      <c r="EN178" s="460">
        <f t="shared" si="583"/>
        <v>12.234562506118827</v>
      </c>
      <c r="EP178" s="460">
        <f t="shared" si="603"/>
        <v>2294.5584593368671</v>
      </c>
      <c r="EQ178" s="173">
        <f t="shared" si="584"/>
        <v>4.76</v>
      </c>
      <c r="ER178" s="173">
        <f t="shared" si="585"/>
        <v>7.5437500000000005E-2</v>
      </c>
      <c r="ES178" s="528"/>
      <c r="EU178" s="460">
        <f t="shared" si="497"/>
        <v>4835.4374999999991</v>
      </c>
      <c r="EV178" s="528">
        <f t="shared" si="586"/>
        <v>2.6724119914045308</v>
      </c>
      <c r="EW178" s="528">
        <f t="shared" si="587"/>
        <v>3.2341291615723633</v>
      </c>
      <c r="EX178" s="528">
        <f t="shared" si="588"/>
        <v>3.269226695521095E-4</v>
      </c>
      <c r="EY178" s="528">
        <f t="shared" si="589"/>
        <v>0.68679375210278859</v>
      </c>
      <c r="EZ178" s="528"/>
      <c r="FA178" s="625">
        <f t="shared" si="590"/>
        <v>1.7410416058485222E-2</v>
      </c>
      <c r="FB178" s="460">
        <f t="shared" si="498"/>
        <v>6611.07224380772</v>
      </c>
      <c r="FC178" s="173">
        <f t="shared" si="591"/>
        <v>13.741068203144588</v>
      </c>
      <c r="FD178" s="5">
        <f t="shared" si="592"/>
        <v>103.36000000000001</v>
      </c>
      <c r="FE178" s="173">
        <f t="shared" si="593"/>
        <v>0.88265633769192553</v>
      </c>
      <c r="FF178" s="5">
        <f t="shared" si="594"/>
        <v>88.265633769192547</v>
      </c>
      <c r="FG178">
        <f t="shared" si="595"/>
        <v>68</v>
      </c>
      <c r="FI178" s="562">
        <f t="shared" si="596"/>
        <v>-50</v>
      </c>
      <c r="FJ178">
        <f t="shared" si="597"/>
        <v>-50</v>
      </c>
    </row>
    <row r="179" spans="5:166">
      <c r="E179" s="170">
        <v>69</v>
      </c>
      <c r="F179" s="217">
        <f t="shared" si="598"/>
        <v>6.8999999999999995</v>
      </c>
      <c r="G179" s="217">
        <f t="shared" si="499"/>
        <v>0.17249999999999999</v>
      </c>
      <c r="H179" s="217">
        <f t="shared" si="500"/>
        <v>103.49999999999999</v>
      </c>
      <c r="I179" s="217">
        <f t="shared" si="501"/>
        <v>1.38</v>
      </c>
      <c r="J179" s="541">
        <f t="shared" si="502"/>
        <v>18.297410614823733</v>
      </c>
      <c r="K179" s="443">
        <f t="shared" si="503"/>
        <v>16.078047368421053</v>
      </c>
      <c r="L179" s="172">
        <f t="shared" si="504"/>
        <v>34.375457983244786</v>
      </c>
      <c r="M179" s="443"/>
      <c r="N179" s="217">
        <f t="shared" si="505"/>
        <v>0.4677187828670612</v>
      </c>
      <c r="O179" s="172">
        <f t="shared" si="506"/>
        <v>211.13591996013656</v>
      </c>
      <c r="P179" s="172">
        <f t="shared" si="507"/>
        <v>2.8526808741280676</v>
      </c>
      <c r="Q179" s="217">
        <f t="shared" si="508"/>
        <v>14.075727997342437</v>
      </c>
      <c r="R179" s="217">
        <f t="shared" si="509"/>
        <v>26.39198999501707</v>
      </c>
      <c r="S179" s="217">
        <f t="shared" si="510"/>
        <v>15</v>
      </c>
      <c r="T179" s="217">
        <f t="shared" si="511"/>
        <v>24.510277554747972</v>
      </c>
      <c r="U179" s="217">
        <f t="shared" si="512"/>
        <v>16.074587647865883</v>
      </c>
      <c r="V179" s="217">
        <f t="shared" si="513"/>
        <v>18.293473325291</v>
      </c>
      <c r="W179" s="197">
        <f t="shared" si="514"/>
        <v>71.317021853201695</v>
      </c>
      <c r="X179" s="443">
        <f t="shared" si="599"/>
        <v>28.928437749994981</v>
      </c>
      <c r="Z179" s="217">
        <f t="shared" si="515"/>
        <v>10</v>
      </c>
      <c r="AA179" s="173">
        <f t="shared" si="516"/>
        <v>7.4635928885053797</v>
      </c>
      <c r="AB179" s="173">
        <f t="shared" si="517"/>
        <v>2.6263875845375275</v>
      </c>
      <c r="AC179" s="173"/>
      <c r="AD179" s="173">
        <f t="shared" si="518"/>
        <v>7.4635928885053797</v>
      </c>
      <c r="AE179" s="545">
        <f t="shared" si="519"/>
        <v>184.89754473684206</v>
      </c>
      <c r="AF179" s="528">
        <f t="shared" si="520"/>
        <v>2.6614060856646948</v>
      </c>
      <c r="AH179" s="173">
        <f t="shared" si="521"/>
        <v>7.0670260465670518</v>
      </c>
      <c r="AI179" s="173">
        <f t="shared" si="522"/>
        <v>24.510277554747972</v>
      </c>
      <c r="AJ179" s="173">
        <f t="shared" si="523"/>
        <v>11.948353744257757</v>
      </c>
      <c r="AL179" s="545">
        <f t="shared" si="524"/>
        <v>6899.9999999999991</v>
      </c>
      <c r="AM179" s="460">
        <f t="shared" si="525"/>
        <v>28.928437749994981</v>
      </c>
      <c r="AO179">
        <f t="shared" si="526"/>
        <v>6899.9999999999991</v>
      </c>
      <c r="AP179">
        <f t="shared" si="527"/>
        <v>28.928437749994981</v>
      </c>
      <c r="AR179" s="5">
        <f t="shared" si="443"/>
        <v>34.568060973156896</v>
      </c>
      <c r="AS179" s="5">
        <f t="shared" ref="AS179:AS242" si="604">L*AI179/J179*1000000</f>
        <v>16.074587647865883</v>
      </c>
      <c r="AT179" s="5">
        <f t="shared" ref="AT179:AT242" si="605">AR179-AS179</f>
        <v>18.493473325291014</v>
      </c>
      <c r="AU179" s="173">
        <f t="shared" ref="AU179:AU242" si="606">AS179/AR179</f>
        <v>0.46501270812812634</v>
      </c>
      <c r="AW179" s="5">
        <f t="shared" si="477"/>
        <v>739.43103180183061</v>
      </c>
      <c r="AX179" s="5">
        <f t="shared" si="478"/>
        <v>34.660829615710803</v>
      </c>
      <c r="AY179" s="5">
        <f t="shared" si="479"/>
        <v>36.072081444417378</v>
      </c>
      <c r="AZ179" s="5"/>
      <c r="BA179" s="173">
        <f t="shared" si="480"/>
        <v>9.649837782005795</v>
      </c>
      <c r="BB179" s="173">
        <f t="shared" si="481"/>
        <v>10.350452456353501</v>
      </c>
      <c r="BC179" s="173">
        <f t="shared" si="482"/>
        <v>0.25490526049372547</v>
      </c>
      <c r="BD179" s="173"/>
      <c r="BE179" s="528">
        <f t="shared" si="483"/>
        <v>1.8623873843805305</v>
      </c>
      <c r="BF179" s="528">
        <f t="shared" si="528"/>
        <v>0.45700712911795927</v>
      </c>
      <c r="BG179" s="528">
        <f t="shared" si="529"/>
        <v>1.3232887598925642E-2</v>
      </c>
      <c r="BH179" s="528">
        <f t="shared" si="484"/>
        <v>3.4183928120105748E-3</v>
      </c>
      <c r="BI179">
        <f t="shared" si="485"/>
        <v>8.2338347766706798E-3</v>
      </c>
      <c r="BJ179" s="460">
        <f t="shared" si="600"/>
        <v>21.466722375596323</v>
      </c>
      <c r="BK179">
        <f t="shared" si="530"/>
        <v>5.0684734255863129</v>
      </c>
      <c r="BL179" s="460">
        <f t="shared" si="601"/>
        <v>2344.2796286860967</v>
      </c>
      <c r="BM179" s="173">
        <f t="shared" si="531"/>
        <v>4.286624999999999</v>
      </c>
      <c r="BN179" s="173">
        <f t="shared" si="532"/>
        <v>0.10716562499999997</v>
      </c>
      <c r="BO179" s="528"/>
      <c r="BQ179" s="460">
        <f t="shared" si="486"/>
        <v>4393.7906249999996</v>
      </c>
      <c r="BR179" s="528">
        <f t="shared" si="487"/>
        <v>2.7935810765707956</v>
      </c>
      <c r="BS179" s="528">
        <f t="shared" si="488"/>
        <v>3.2139559815370267</v>
      </c>
      <c r="BT179" s="528">
        <f t="shared" si="489"/>
        <v>3.2488345913687017E-4</v>
      </c>
      <c r="BU179" s="528">
        <f t="shared" si="490"/>
        <v>0.66934963219995602</v>
      </c>
      <c r="BV179" s="528"/>
      <c r="BW179" s="625">
        <f t="shared" si="533"/>
        <v>1.7378866181626013E-2</v>
      </c>
      <c r="BX179" s="460">
        <f t="shared" si="491"/>
        <v>6694.5904399485407</v>
      </c>
      <c r="BY179" s="173">
        <f t="shared" si="492"/>
        <v>13.432660693634638</v>
      </c>
      <c r="BZ179" s="5">
        <f t="shared" si="493"/>
        <v>104.87999999999998</v>
      </c>
      <c r="CA179" s="173">
        <f t="shared" si="494"/>
        <v>0.88646472309148783</v>
      </c>
      <c r="CB179" s="5">
        <f t="shared" si="495"/>
        <v>88.646472309148777</v>
      </c>
      <c r="CC179">
        <f t="shared" si="496"/>
        <v>69</v>
      </c>
      <c r="CE179" s="562">
        <f t="shared" si="534"/>
        <v>-50</v>
      </c>
      <c r="CF179">
        <f t="shared" si="535"/>
        <v>-50</v>
      </c>
      <c r="CG179" s="173">
        <f t="shared" si="536"/>
        <v>0.54755043227665712</v>
      </c>
      <c r="CH179" s="173">
        <f t="shared" si="537"/>
        <v>6.4398811101315859E-2</v>
      </c>
      <c r="CI179" s="170">
        <v>69</v>
      </c>
      <c r="CJ179" s="217">
        <f t="shared" si="602"/>
        <v>6.8999999999999995</v>
      </c>
      <c r="CK179" s="217">
        <f t="shared" si="538"/>
        <v>0.17249999999999999</v>
      </c>
      <c r="CL179" s="217">
        <f t="shared" si="539"/>
        <v>103.49999999999999</v>
      </c>
      <c r="CM179" s="217">
        <f t="shared" si="540"/>
        <v>1.38</v>
      </c>
      <c r="CN179" s="541">
        <f t="shared" si="541"/>
        <v>19</v>
      </c>
      <c r="CO179" s="443">
        <f t="shared" si="542"/>
        <v>15.7</v>
      </c>
      <c r="CP179" s="443">
        <f t="shared" si="543"/>
        <v>34.700000000000003</v>
      </c>
      <c r="CQ179" s="443"/>
      <c r="CR179" s="217">
        <f t="shared" si="544"/>
        <v>0.44767441860465118</v>
      </c>
      <c r="CS179" s="172">
        <f t="shared" si="545"/>
        <v>209.84738372093025</v>
      </c>
      <c r="CT179" s="172">
        <f t="shared" si="546"/>
        <v>2.835271317829458</v>
      </c>
      <c r="CU179" s="217">
        <f t="shared" si="547"/>
        <v>13.989825581395349</v>
      </c>
      <c r="CV179" s="217">
        <f t="shared" si="548"/>
        <v>26.230922965116282</v>
      </c>
      <c r="CW179" s="217">
        <f t="shared" si="549"/>
        <v>15</v>
      </c>
      <c r="CX179" s="217">
        <f t="shared" si="550"/>
        <v>24.660779220779215</v>
      </c>
      <c r="CY179" s="217">
        <f t="shared" si="551"/>
        <v>15.575228981544766</v>
      </c>
      <c r="CZ179" s="217">
        <f t="shared" si="552"/>
        <v>18.849003226073286</v>
      </c>
      <c r="DA179" s="197">
        <f t="shared" si="553"/>
        <v>71.63784822286263</v>
      </c>
      <c r="DB179" s="443">
        <f t="shared" si="554"/>
        <v>29.049304396067281</v>
      </c>
      <c r="DD179" s="217">
        <f t="shared" si="555"/>
        <v>10.000000000000002</v>
      </c>
      <c r="DE179" s="173">
        <f t="shared" si="556"/>
        <v>7.6433121019108299</v>
      </c>
      <c r="DF179" s="173">
        <f t="shared" si="557"/>
        <v>2.7017291066282429</v>
      </c>
      <c r="DG179" s="173"/>
      <c r="DH179" s="173">
        <f t="shared" si="558"/>
        <v>7.6433121019108281</v>
      </c>
      <c r="DI179" s="545">
        <f t="shared" si="559"/>
        <v>180.55</v>
      </c>
      <c r="DJ179" s="528">
        <f t="shared" si="560"/>
        <v>2.7377521613832849</v>
      </c>
      <c r="DL179" s="173">
        <f t="shared" si="561"/>
        <v>7.0670260465670518</v>
      </c>
      <c r="DM179" s="173">
        <f t="shared" si="562"/>
        <v>24.660779220779215</v>
      </c>
      <c r="DN179" s="173">
        <f t="shared" si="563"/>
        <v>12.059836459836456</v>
      </c>
      <c r="DP179" s="545">
        <f t="shared" si="564"/>
        <v>6899.9999999999991</v>
      </c>
      <c r="DQ179" s="460">
        <f t="shared" si="565"/>
        <v>29.049304396067281</v>
      </c>
      <c r="DS179">
        <f t="shared" si="566"/>
        <v>6899.9999999999991</v>
      </c>
      <c r="DT179">
        <f t="shared" si="567"/>
        <v>29.049304396067281</v>
      </c>
      <c r="DV179" s="5">
        <f t="shared" si="568"/>
        <v>34.424232207618054</v>
      </c>
      <c r="DW179" s="5">
        <f t="shared" si="569"/>
        <v>15.575228981544766</v>
      </c>
      <c r="DX179" s="5">
        <f t="shared" si="570"/>
        <v>18.849003226073286</v>
      </c>
      <c r="DY179" s="173">
        <f t="shared" si="571"/>
        <v>0.45244956772334288</v>
      </c>
      <c r="EA179" s="5">
        <f t="shared" si="572"/>
        <v>716.46053315105917</v>
      </c>
      <c r="EB179" s="5">
        <f t="shared" si="573"/>
        <v>33.584087491455904</v>
      </c>
      <c r="EC179" s="5">
        <f t="shared" si="574"/>
        <v>35.40602239380371</v>
      </c>
      <c r="ED179" s="5"/>
      <c r="EE179" s="173">
        <f t="shared" si="575"/>
        <v>9.5770390132905305</v>
      </c>
      <c r="EF179" s="173">
        <f t="shared" si="576"/>
        <v>10.53557470335228</v>
      </c>
      <c r="EG179" s="173">
        <f t="shared" si="577"/>
        <v>0.25946434955706793</v>
      </c>
      <c r="EH179" s="173"/>
      <c r="EI179" s="528">
        <f t="shared" si="578"/>
        <v>1.8343935252417771</v>
      </c>
      <c r="EJ179" s="528">
        <f t="shared" si="579"/>
        <v>0.49716666666666665</v>
      </c>
      <c r="EK179" s="528">
        <f t="shared" si="580"/>
        <v>3.6311630495084101E-3</v>
      </c>
      <c r="EL179" s="528">
        <f t="shared" si="581"/>
        <v>3.4977976930260658E-3</v>
      </c>
      <c r="EM179">
        <f t="shared" si="582"/>
        <v>8.5500000000000003E-3</v>
      </c>
      <c r="EN179" s="460">
        <f t="shared" si="583"/>
        <v>12.18116304950841</v>
      </c>
      <c r="EP179" s="460">
        <f t="shared" si="603"/>
        <v>2347.2391526509787</v>
      </c>
      <c r="EQ179" s="173">
        <f t="shared" si="584"/>
        <v>4.8299999999999992</v>
      </c>
      <c r="ER179" s="173">
        <f t="shared" si="585"/>
        <v>7.6546874999999986E-2</v>
      </c>
      <c r="ES179" s="528"/>
      <c r="EU179" s="460">
        <f t="shared" si="497"/>
        <v>4906.5468749999991</v>
      </c>
      <c r="EV179" s="528">
        <f t="shared" si="586"/>
        <v>2.7515902878626655</v>
      </c>
      <c r="EW179" s="528">
        <f t="shared" si="587"/>
        <v>3.3299500298974944</v>
      </c>
      <c r="EX179" s="528">
        <f t="shared" si="588"/>
        <v>3.3660874345536169E-4</v>
      </c>
      <c r="EY179" s="528">
        <f t="shared" si="589"/>
        <v>0.68679375210278804</v>
      </c>
      <c r="EZ179" s="528"/>
      <c r="FA179" s="625">
        <f t="shared" si="590"/>
        <v>1.766645158875706E-2</v>
      </c>
      <c r="FB179" s="460">
        <f t="shared" si="498"/>
        <v>6786.3371301951602</v>
      </c>
      <c r="FC179" s="173">
        <f t="shared" si="591"/>
        <v>14.040123157846139</v>
      </c>
      <c r="FD179" s="5">
        <f t="shared" si="592"/>
        <v>104.87999999999998</v>
      </c>
      <c r="FE179" s="173">
        <f t="shared" si="593"/>
        <v>0.88193652356708141</v>
      </c>
      <c r="FF179" s="5">
        <f t="shared" si="594"/>
        <v>88.193652356708142</v>
      </c>
      <c r="FG179">
        <f t="shared" si="595"/>
        <v>69</v>
      </c>
      <c r="FI179" s="562">
        <f t="shared" si="596"/>
        <v>-50</v>
      </c>
      <c r="FJ179">
        <f t="shared" si="597"/>
        <v>-50</v>
      </c>
    </row>
    <row r="180" spans="5:166">
      <c r="E180" s="170">
        <v>70</v>
      </c>
      <c r="F180" s="217">
        <f t="shared" si="598"/>
        <v>7</v>
      </c>
      <c r="G180" s="217">
        <f t="shared" si="499"/>
        <v>0.17499999999999999</v>
      </c>
      <c r="H180" s="217">
        <f t="shared" si="500"/>
        <v>105</v>
      </c>
      <c r="I180" s="217">
        <f t="shared" si="501"/>
        <v>1.4</v>
      </c>
      <c r="J180" s="541">
        <f t="shared" si="502"/>
        <v>18.287228159966105</v>
      </c>
      <c r="K180" s="443">
        <f t="shared" si="503"/>
        <v>16.083526315789474</v>
      </c>
      <c r="L180" s="172">
        <f t="shared" si="504"/>
        <v>34.370754475755575</v>
      </c>
      <c r="M180" s="443"/>
      <c r="N180" s="217">
        <f t="shared" si="505"/>
        <v>0.46794219565748735</v>
      </c>
      <c r="O180" s="172">
        <f t="shared" si="506"/>
        <v>211.11921951473616</v>
      </c>
      <c r="P180" s="172">
        <f t="shared" si="507"/>
        <v>2.8524552325546577</v>
      </c>
      <c r="Q180" s="217">
        <f t="shared" si="508"/>
        <v>14.074614634315743</v>
      </c>
      <c r="R180" s="217">
        <f t="shared" si="509"/>
        <v>26.38990243934202</v>
      </c>
      <c r="S180" s="217">
        <f t="shared" si="510"/>
        <v>15</v>
      </c>
      <c r="T180" s="217">
        <f t="shared" si="511"/>
        <v>24.867465937337599</v>
      </c>
      <c r="U180" s="217">
        <f t="shared" si="512"/>
        <v>16.317923560516473</v>
      </c>
      <c r="V180" s="217">
        <f t="shared" si="513"/>
        <v>18.553741598016188</v>
      </c>
      <c r="W180" s="197">
        <f t="shared" si="514"/>
        <v>71.311380813866421</v>
      </c>
      <c r="X180" s="443">
        <f t="shared" si="599"/>
        <v>28.513045944061989</v>
      </c>
      <c r="Z180" s="217">
        <f t="shared" si="515"/>
        <v>10</v>
      </c>
      <c r="AA180" s="173">
        <f t="shared" si="516"/>
        <v>7.4610503719071817</v>
      </c>
      <c r="AB180" s="173">
        <f t="shared" si="517"/>
        <v>2.6252852187952933</v>
      </c>
      <c r="AC180" s="173"/>
      <c r="AD180" s="173">
        <f t="shared" si="518"/>
        <v>7.4610503719071817</v>
      </c>
      <c r="AE180" s="545">
        <f t="shared" si="519"/>
        <v>187.64114035087718</v>
      </c>
      <c r="AF180" s="528">
        <f t="shared" si="520"/>
        <v>2.6602890217125639</v>
      </c>
      <c r="AH180" s="173">
        <f t="shared" si="521"/>
        <v>7.1180521680208741</v>
      </c>
      <c r="AI180" s="173">
        <f t="shared" si="522"/>
        <v>24.867465937337599</v>
      </c>
      <c r="AJ180" s="173">
        <f t="shared" si="523"/>
        <v>12.212937731361183</v>
      </c>
      <c r="AL180" s="545">
        <f t="shared" si="524"/>
        <v>7000</v>
      </c>
      <c r="AM180" s="460">
        <f t="shared" si="525"/>
        <v>28.513045944061989</v>
      </c>
      <c r="AO180">
        <f t="shared" si="526"/>
        <v>7000</v>
      </c>
      <c r="AP180">
        <f t="shared" si="527"/>
        <v>28.513045944061989</v>
      </c>
      <c r="AR180" s="5">
        <f t="shared" si="443"/>
        <v>35.071665158532667</v>
      </c>
      <c r="AS180" s="5">
        <f t="shared" si="604"/>
        <v>16.317923560516473</v>
      </c>
      <c r="AT180" s="5">
        <f t="shared" si="605"/>
        <v>18.753741598016195</v>
      </c>
      <c r="AU180" s="173">
        <f t="shared" si="606"/>
        <v>0.46527370419269776</v>
      </c>
      <c r="AW180" s="5">
        <f t="shared" si="477"/>
        <v>761.5030994907687</v>
      </c>
      <c r="AX180" s="5">
        <f t="shared" si="478"/>
        <v>35.695457788629781</v>
      </c>
      <c r="AY180" s="5">
        <f t="shared" si="479"/>
        <v>37.130546852563391</v>
      </c>
      <c r="AZ180" s="5"/>
      <c r="BA180" s="173">
        <f t="shared" si="480"/>
        <v>9.7932120551082935</v>
      </c>
      <c r="BB180" s="173">
        <f t="shared" si="481"/>
        <v>10.498727781270937</v>
      </c>
      <c r="BC180" s="173">
        <f t="shared" si="482"/>
        <v>0.25855690378973134</v>
      </c>
      <c r="BD180" s="173"/>
      <c r="BE180" s="528">
        <f t="shared" si="483"/>
        <v>1.9181400471263681</v>
      </c>
      <c r="BF180" s="528">
        <f t="shared" si="528"/>
        <v>0.45694663464594243</v>
      </c>
      <c r="BG180" s="528">
        <f t="shared" si="529"/>
        <v>1.3035614417866445E-2</v>
      </c>
      <c r="BH180" s="528">
        <f t="shared" si="484"/>
        <v>3.3683851562013984E-3</v>
      </c>
      <c r="BI180">
        <f t="shared" si="485"/>
        <v>8.2292526719847468E-3</v>
      </c>
      <c r="BJ180" s="460">
        <f t="shared" si="600"/>
        <v>21.264867089851194</v>
      </c>
      <c r="BK180">
        <f t="shared" si="530"/>
        <v>5.3217331737844704</v>
      </c>
      <c r="BL180" s="460">
        <f t="shared" si="601"/>
        <v>2399.7199340183629</v>
      </c>
      <c r="BM180" s="173">
        <f t="shared" si="531"/>
        <v>4.348749999999999</v>
      </c>
      <c r="BN180" s="173">
        <f t="shared" si="532"/>
        <v>0.10871874999999998</v>
      </c>
      <c r="BO180" s="528"/>
      <c r="BQ180" s="460">
        <f t="shared" si="486"/>
        <v>4457.4687499999982</v>
      </c>
      <c r="BR180" s="528">
        <f t="shared" si="487"/>
        <v>2.8772100706895518</v>
      </c>
      <c r="BS180" s="528">
        <f t="shared" si="488"/>
        <v>3.3066985507569049</v>
      </c>
      <c r="BT180" s="528">
        <f t="shared" si="489"/>
        <v>3.3425836248666193E-4</v>
      </c>
      <c r="BU180" s="528">
        <f t="shared" si="490"/>
        <v>0.66935709068161275</v>
      </c>
      <c r="BV180" s="528"/>
      <c r="BW180" s="625">
        <f t="shared" si="533"/>
        <v>1.7632207063718389E-2</v>
      </c>
      <c r="BX180" s="460">
        <f t="shared" si="491"/>
        <v>6871.2321775542741</v>
      </c>
      <c r="BY180" s="173">
        <f t="shared" si="492"/>
        <v>13.728420861572635</v>
      </c>
      <c r="BZ180" s="5">
        <f t="shared" si="493"/>
        <v>106.4</v>
      </c>
      <c r="CA180" s="173">
        <f t="shared" si="494"/>
        <v>0.88571879357847982</v>
      </c>
      <c r="CB180" s="5">
        <f t="shared" si="495"/>
        <v>88.571879357847976</v>
      </c>
      <c r="CC180">
        <f t="shared" si="496"/>
        <v>70</v>
      </c>
      <c r="CE180" s="562">
        <f t="shared" si="534"/>
        <v>-50</v>
      </c>
      <c r="CF180">
        <f t="shared" si="535"/>
        <v>-50</v>
      </c>
      <c r="CG180" s="173">
        <f t="shared" si="536"/>
        <v>0.54755043227665712</v>
      </c>
      <c r="CH180" s="173">
        <f t="shared" si="537"/>
        <v>6.4398811101315831E-2</v>
      </c>
      <c r="CI180" s="170">
        <v>70</v>
      </c>
      <c r="CJ180" s="217">
        <f t="shared" si="602"/>
        <v>7</v>
      </c>
      <c r="CK180" s="217">
        <f t="shared" si="538"/>
        <v>0.17499999999999999</v>
      </c>
      <c r="CL180" s="217">
        <f t="shared" si="539"/>
        <v>105</v>
      </c>
      <c r="CM180" s="217">
        <f t="shared" si="540"/>
        <v>1.4</v>
      </c>
      <c r="CN180" s="541">
        <f t="shared" si="541"/>
        <v>19</v>
      </c>
      <c r="CO180" s="443">
        <f t="shared" si="542"/>
        <v>15.7</v>
      </c>
      <c r="CP180" s="443">
        <f t="shared" si="543"/>
        <v>34.700000000000003</v>
      </c>
      <c r="CQ180" s="443"/>
      <c r="CR180" s="217">
        <f t="shared" si="544"/>
        <v>0.44767441860465118</v>
      </c>
      <c r="CS180" s="172">
        <f t="shared" si="545"/>
        <v>209.84738372093025</v>
      </c>
      <c r="CT180" s="172">
        <f t="shared" si="546"/>
        <v>2.835271317829458</v>
      </c>
      <c r="CU180" s="217">
        <f t="shared" si="547"/>
        <v>13.989825581395349</v>
      </c>
      <c r="CV180" s="217">
        <f t="shared" si="548"/>
        <v>26.230922965116282</v>
      </c>
      <c r="CW180" s="217">
        <f t="shared" si="549"/>
        <v>15</v>
      </c>
      <c r="CX180" s="217">
        <f t="shared" si="550"/>
        <v>25.018181818181819</v>
      </c>
      <c r="CY180" s="217">
        <f t="shared" si="551"/>
        <v>15.800956937799047</v>
      </c>
      <c r="CZ180" s="217">
        <f t="shared" si="552"/>
        <v>19.122177185871458</v>
      </c>
      <c r="DA180" s="197">
        <f t="shared" si="553"/>
        <v>71.63784822286263</v>
      </c>
      <c r="DB180" s="443">
        <f t="shared" si="554"/>
        <v>28.634314333266303</v>
      </c>
      <c r="DD180" s="217">
        <f t="shared" si="555"/>
        <v>10.000000000000002</v>
      </c>
      <c r="DE180" s="173">
        <f t="shared" si="556"/>
        <v>7.6433121019108299</v>
      </c>
      <c r="DF180" s="173">
        <f t="shared" si="557"/>
        <v>2.7017291066282429</v>
      </c>
      <c r="DG180" s="173"/>
      <c r="DH180" s="173">
        <f t="shared" si="558"/>
        <v>7.6433121019108281</v>
      </c>
      <c r="DI180" s="545">
        <f t="shared" si="559"/>
        <v>183.16666666666669</v>
      </c>
      <c r="DJ180" s="528">
        <f t="shared" si="560"/>
        <v>2.7377521613832849</v>
      </c>
      <c r="DL180" s="173">
        <f t="shared" si="561"/>
        <v>7.1180521680208741</v>
      </c>
      <c r="DM180" s="173">
        <f t="shared" si="562"/>
        <v>25.018181818181819</v>
      </c>
      <c r="DN180" s="173">
        <f t="shared" si="563"/>
        <v>12.324579124579126</v>
      </c>
      <c r="DP180" s="545">
        <f t="shared" si="564"/>
        <v>7000</v>
      </c>
      <c r="DQ180" s="460">
        <f t="shared" si="565"/>
        <v>28.634314333266303</v>
      </c>
      <c r="DS180">
        <f t="shared" si="566"/>
        <v>7000</v>
      </c>
      <c r="DT180">
        <f t="shared" si="567"/>
        <v>28.634314333266303</v>
      </c>
      <c r="DV180" s="5">
        <f t="shared" si="568"/>
        <v>34.923134123670508</v>
      </c>
      <c r="DW180" s="5">
        <f t="shared" si="569"/>
        <v>15.800956937799047</v>
      </c>
      <c r="DX180" s="5">
        <f t="shared" si="570"/>
        <v>19.122177185871461</v>
      </c>
      <c r="DY180" s="173">
        <f t="shared" si="571"/>
        <v>0.45244956772334288</v>
      </c>
      <c r="EA180" s="5">
        <f t="shared" si="572"/>
        <v>737.37799043062228</v>
      </c>
      <c r="EB180" s="5">
        <f t="shared" si="573"/>
        <v>34.564593301435416</v>
      </c>
      <c r="EC180" s="5">
        <f t="shared" si="574"/>
        <v>36.439720590136169</v>
      </c>
      <c r="ED180" s="5"/>
      <c r="EE180" s="173">
        <f t="shared" si="575"/>
        <v>9.7158366801498151</v>
      </c>
      <c r="EF180" s="173">
        <f t="shared" si="576"/>
        <v>10.688264191806663</v>
      </c>
      <c r="EG180" s="173">
        <f t="shared" si="577"/>
        <v>0.26322470244919943</v>
      </c>
      <c r="EH180" s="173"/>
      <c r="EI180" s="528">
        <f t="shared" si="578"/>
        <v>1.8879496479068916</v>
      </c>
      <c r="EJ180" s="528">
        <f t="shared" si="579"/>
        <v>0.49716666666666659</v>
      </c>
      <c r="EK180" s="528">
        <f t="shared" si="580"/>
        <v>3.5792892916582876E-3</v>
      </c>
      <c r="EL180" s="528">
        <f t="shared" si="581"/>
        <v>3.447829154554263E-3</v>
      </c>
      <c r="EM180">
        <f t="shared" si="582"/>
        <v>8.5500000000000003E-3</v>
      </c>
      <c r="EN180" s="460">
        <f t="shared" si="583"/>
        <v>12.129289291658287</v>
      </c>
      <c r="EP180" s="460">
        <f t="shared" si="603"/>
        <v>2400.693433019771</v>
      </c>
      <c r="EQ180" s="173">
        <f t="shared" si="584"/>
        <v>4.8999999999999995</v>
      </c>
      <c r="ER180" s="173">
        <f t="shared" si="585"/>
        <v>7.7656249999999996E-2</v>
      </c>
      <c r="ES180" s="528"/>
      <c r="EU180" s="460">
        <f t="shared" si="497"/>
        <v>4977.65625</v>
      </c>
      <c r="EV180" s="528">
        <f t="shared" si="586"/>
        <v>2.8319244718603374</v>
      </c>
      <c r="EW180" s="528">
        <f t="shared" si="587"/>
        <v>3.4271697430156962</v>
      </c>
      <c r="EX180" s="528">
        <f t="shared" si="588"/>
        <v>3.4643621989734788E-4</v>
      </c>
      <c r="EY180" s="528">
        <f t="shared" si="589"/>
        <v>0.68679375210278804</v>
      </c>
      <c r="EZ180" s="528"/>
      <c r="FA180" s="625">
        <f t="shared" si="590"/>
        <v>1.7922487119028902E-2</v>
      </c>
      <c r="FB180" s="460">
        <f t="shared" si="498"/>
        <v>6964.1568903177476</v>
      </c>
      <c r="FC180" s="173">
        <f t="shared" si="591"/>
        <v>14.342506573337518</v>
      </c>
      <c r="FD180" s="5">
        <f t="shared" si="592"/>
        <v>106.4</v>
      </c>
      <c r="FE180" s="173">
        <f t="shared" si="593"/>
        <v>0.88121410611410445</v>
      </c>
      <c r="FF180" s="5">
        <f t="shared" si="594"/>
        <v>88.12141061141044</v>
      </c>
      <c r="FG180">
        <f t="shared" si="595"/>
        <v>70</v>
      </c>
      <c r="FI180" s="562">
        <f t="shared" si="596"/>
        <v>-50</v>
      </c>
      <c r="FJ180">
        <f t="shared" si="597"/>
        <v>-50</v>
      </c>
    </row>
    <row r="181" spans="5:166">
      <c r="E181" s="170">
        <v>71</v>
      </c>
      <c r="F181" s="217">
        <f t="shared" si="598"/>
        <v>7.1</v>
      </c>
      <c r="G181" s="217">
        <f t="shared" si="499"/>
        <v>0.17749999999999999</v>
      </c>
      <c r="H181" s="217">
        <f t="shared" si="500"/>
        <v>106.5</v>
      </c>
      <c r="I181" s="217">
        <f t="shared" si="501"/>
        <v>1.42</v>
      </c>
      <c r="J181" s="541">
        <f t="shared" si="502"/>
        <v>18.277045705108478</v>
      </c>
      <c r="K181" s="443">
        <f t="shared" si="503"/>
        <v>16.089005263157894</v>
      </c>
      <c r="L181" s="172">
        <f t="shared" si="504"/>
        <v>34.366050968266372</v>
      </c>
      <c r="M181" s="443"/>
      <c r="N181" s="217">
        <f t="shared" si="505"/>
        <v>0.46816566960266948</v>
      </c>
      <c r="O181" s="172">
        <f t="shared" si="506"/>
        <v>211.10243439697459</v>
      </c>
      <c r="P181" s="172">
        <f t="shared" si="507"/>
        <v>2.8522284469635681</v>
      </c>
      <c r="Q181" s="217">
        <f t="shared" si="508"/>
        <v>14.073495626464972</v>
      </c>
      <c r="R181" s="217">
        <f t="shared" si="509"/>
        <v>26.387804299621823</v>
      </c>
      <c r="S181" s="217">
        <f t="shared" si="510"/>
        <v>15</v>
      </c>
      <c r="T181" s="217">
        <f t="shared" si="511"/>
        <v>25.224720952229411</v>
      </c>
      <c r="U181" s="217">
        <f t="shared" si="512"/>
        <v>16.561574354554935</v>
      </c>
      <c r="V181" s="217">
        <f t="shared" si="513"/>
        <v>18.813882305073019</v>
      </c>
      <c r="W181" s="197">
        <f t="shared" si="514"/>
        <v>71.305711174089211</v>
      </c>
      <c r="X181" s="443">
        <f t="shared" si="599"/>
        <v>28.109266721931593</v>
      </c>
      <c r="Z181" s="217">
        <f t="shared" si="515"/>
        <v>9.9999999999999982</v>
      </c>
      <c r="AA181" s="173">
        <f t="shared" si="516"/>
        <v>7.4585095869654028</v>
      </c>
      <c r="AB181" s="173">
        <f t="shared" si="517"/>
        <v>2.6241825513026171</v>
      </c>
      <c r="AC181" s="173"/>
      <c r="AD181" s="173">
        <f t="shared" si="518"/>
        <v>7.4585095869654046</v>
      </c>
      <c r="AE181" s="545">
        <f t="shared" si="519"/>
        <v>190.38656228070172</v>
      </c>
      <c r="AF181" s="528">
        <f t="shared" si="520"/>
        <v>2.6591716519866528</v>
      </c>
      <c r="AH181" s="173">
        <f t="shared" si="521"/>
        <v>7.1687151003841816</v>
      </c>
      <c r="AI181" s="173">
        <f t="shared" si="522"/>
        <v>25.224720952229411</v>
      </c>
      <c r="AJ181" s="173">
        <f t="shared" si="523"/>
        <v>12.477571075725489</v>
      </c>
      <c r="AL181" s="545">
        <f t="shared" si="524"/>
        <v>7100</v>
      </c>
      <c r="AM181" s="460">
        <f t="shared" si="525"/>
        <v>28.109266721931593</v>
      </c>
      <c r="AO181">
        <f t="shared" si="526"/>
        <v>7100</v>
      </c>
      <c r="AP181">
        <f t="shared" si="527"/>
        <v>28.109266721931593</v>
      </c>
      <c r="AR181" s="5">
        <f t="shared" si="443"/>
        <v>35.57545665962796</v>
      </c>
      <c r="AS181" s="5">
        <f t="shared" si="604"/>
        <v>16.561574354554935</v>
      </c>
      <c r="AT181" s="5">
        <f t="shared" si="605"/>
        <v>19.013882305073025</v>
      </c>
      <c r="AU181" s="173">
        <f t="shared" si="606"/>
        <v>0.46553371086728679</v>
      </c>
      <c r="AW181" s="5">
        <f t="shared" si="477"/>
        <v>783.91451944893356</v>
      </c>
      <c r="AX181" s="5">
        <f t="shared" si="478"/>
        <v>36.745993099168764</v>
      </c>
      <c r="AY181" s="5">
        <f t="shared" si="479"/>
        <v>38.204666533212745</v>
      </c>
      <c r="AZ181" s="5"/>
      <c r="BA181" s="173">
        <f t="shared" si="480"/>
        <v>9.9366801541007899</v>
      </c>
      <c r="BB181" s="173">
        <f t="shared" si="481"/>
        <v>10.646966855449802</v>
      </c>
      <c r="BC181" s="173">
        <f t="shared" si="482"/>
        <v>0.26220765432245002</v>
      </c>
      <c r="BD181" s="173"/>
      <c r="BE181" s="528">
        <f t="shared" si="483"/>
        <v>1.9747522496980099</v>
      </c>
      <c r="BF181" s="528">
        <f t="shared" si="528"/>
        <v>0.45688488319973858</v>
      </c>
      <c r="BG181" s="528">
        <f t="shared" si="529"/>
        <v>1.2843858815345711E-2</v>
      </c>
      <c r="BH181" s="528">
        <f t="shared" si="484"/>
        <v>3.3197759636736956E-3</v>
      </c>
      <c r="BI181">
        <f t="shared" si="485"/>
        <v>8.2246705672988155E-3</v>
      </c>
      <c r="BJ181" s="460">
        <f t="shared" si="600"/>
        <v>21.068529382644527</v>
      </c>
      <c r="BK181">
        <f t="shared" si="530"/>
        <v>5.5918356450176665</v>
      </c>
      <c r="BL181" s="460">
        <f t="shared" si="601"/>
        <v>2456.0254382440667</v>
      </c>
      <c r="BM181" s="173">
        <f t="shared" si="531"/>
        <v>4.4108749999999999</v>
      </c>
      <c r="BN181" s="173">
        <f t="shared" si="532"/>
        <v>0.11027187499999998</v>
      </c>
      <c r="BO181" s="528"/>
      <c r="BQ181" s="460">
        <f t="shared" si="486"/>
        <v>4521.1468749999995</v>
      </c>
      <c r="BR181" s="528">
        <f t="shared" si="487"/>
        <v>2.9621283745470146</v>
      </c>
      <c r="BS181" s="528">
        <f t="shared" si="488"/>
        <v>3.4007370966313997</v>
      </c>
      <c r="BT181" s="528">
        <f t="shared" si="489"/>
        <v>3.4376426992640722E-4</v>
      </c>
      <c r="BU181" s="528">
        <f t="shared" si="490"/>
        <v>0.66935994741502935</v>
      </c>
      <c r="BV181" s="528"/>
      <c r="BW181" s="625">
        <f t="shared" si="533"/>
        <v>1.7885548264512302E-2</v>
      </c>
      <c r="BX181" s="460">
        <f t="shared" si="491"/>
        <v>7050.454731127883</v>
      </c>
      <c r="BY181" s="173">
        <f t="shared" si="492"/>
        <v>14.027627044371949</v>
      </c>
      <c r="BZ181" s="5">
        <f t="shared" si="493"/>
        <v>107.92</v>
      </c>
      <c r="CA181" s="173">
        <f t="shared" si="494"/>
        <v>0.88497006965729763</v>
      </c>
      <c r="CB181" s="5">
        <f t="shared" si="495"/>
        <v>88.497006965729767</v>
      </c>
      <c r="CC181">
        <f t="shared" si="496"/>
        <v>71</v>
      </c>
      <c r="CE181" s="562">
        <f t="shared" si="534"/>
        <v>-50</v>
      </c>
      <c r="CF181">
        <f t="shared" si="535"/>
        <v>-50</v>
      </c>
      <c r="CG181" s="173">
        <f t="shared" si="536"/>
        <v>0.54755043227665701</v>
      </c>
      <c r="CH181" s="173">
        <f t="shared" si="537"/>
        <v>6.4398811101315859E-2</v>
      </c>
      <c r="CI181" s="170">
        <v>71</v>
      </c>
      <c r="CJ181" s="217">
        <f t="shared" si="602"/>
        <v>7.1</v>
      </c>
      <c r="CK181" s="217">
        <f t="shared" si="538"/>
        <v>0.17749999999999999</v>
      </c>
      <c r="CL181" s="217">
        <f t="shared" si="539"/>
        <v>106.5</v>
      </c>
      <c r="CM181" s="217">
        <f t="shared" si="540"/>
        <v>1.42</v>
      </c>
      <c r="CN181" s="541">
        <f t="shared" si="541"/>
        <v>19</v>
      </c>
      <c r="CO181" s="443">
        <f t="shared" si="542"/>
        <v>15.7</v>
      </c>
      <c r="CP181" s="443">
        <f t="shared" si="543"/>
        <v>34.700000000000003</v>
      </c>
      <c r="CQ181" s="443"/>
      <c r="CR181" s="217">
        <f t="shared" si="544"/>
        <v>0.44767441860465118</v>
      </c>
      <c r="CS181" s="172">
        <f t="shared" si="545"/>
        <v>209.84738372093025</v>
      </c>
      <c r="CT181" s="172">
        <f t="shared" si="546"/>
        <v>2.835271317829458</v>
      </c>
      <c r="CU181" s="217">
        <f t="shared" si="547"/>
        <v>13.989825581395349</v>
      </c>
      <c r="CV181" s="217">
        <f t="shared" si="548"/>
        <v>26.230922965116282</v>
      </c>
      <c r="CW181" s="217">
        <f t="shared" si="549"/>
        <v>15</v>
      </c>
      <c r="CX181" s="217">
        <f t="shared" si="550"/>
        <v>25.375584415584413</v>
      </c>
      <c r="CY181" s="217">
        <f t="shared" si="551"/>
        <v>16.026684894053314</v>
      </c>
      <c r="CZ181" s="217">
        <f t="shared" si="552"/>
        <v>19.395351145669615</v>
      </c>
      <c r="DA181" s="197">
        <f t="shared" si="553"/>
        <v>71.63784822286263</v>
      </c>
      <c r="DB181" s="443">
        <f t="shared" si="554"/>
        <v>28.23101413138933</v>
      </c>
      <c r="DD181" s="217">
        <f t="shared" si="555"/>
        <v>10.000000000000002</v>
      </c>
      <c r="DE181" s="173">
        <f t="shared" si="556"/>
        <v>7.6433121019108299</v>
      </c>
      <c r="DF181" s="173">
        <f t="shared" si="557"/>
        <v>2.7017291066282429</v>
      </c>
      <c r="DG181" s="173"/>
      <c r="DH181" s="173">
        <f t="shared" si="558"/>
        <v>7.6433121019108281</v>
      </c>
      <c r="DI181" s="545">
        <f t="shared" si="559"/>
        <v>185.78333333333333</v>
      </c>
      <c r="DJ181" s="528">
        <f t="shared" si="560"/>
        <v>2.7377521613832849</v>
      </c>
      <c r="DL181" s="173">
        <f t="shared" si="561"/>
        <v>7.1687151003841816</v>
      </c>
      <c r="DM181" s="173">
        <f t="shared" si="562"/>
        <v>25.375584415584413</v>
      </c>
      <c r="DN181" s="173">
        <f t="shared" si="563"/>
        <v>12.589321789321787</v>
      </c>
      <c r="DP181" s="545">
        <f t="shared" si="564"/>
        <v>7100</v>
      </c>
      <c r="DQ181" s="460">
        <f t="shared" si="565"/>
        <v>28.23101413138933</v>
      </c>
      <c r="DS181">
        <f t="shared" si="566"/>
        <v>7100</v>
      </c>
      <c r="DT181">
        <f t="shared" si="567"/>
        <v>28.23101413138933</v>
      </c>
      <c r="DV181" s="5">
        <f t="shared" si="568"/>
        <v>35.422036039722926</v>
      </c>
      <c r="DW181" s="5">
        <f t="shared" si="569"/>
        <v>16.026684894053314</v>
      </c>
      <c r="DX181" s="5">
        <f t="shared" si="570"/>
        <v>19.395351145669611</v>
      </c>
      <c r="DY181" s="173">
        <f t="shared" si="571"/>
        <v>0.45244956772334299</v>
      </c>
      <c r="EA181" s="5">
        <f t="shared" si="572"/>
        <v>758.59641831852355</v>
      </c>
      <c r="EB181" s="5">
        <f t="shared" si="573"/>
        <v>35.559207108680788</v>
      </c>
      <c r="EC181" s="5">
        <f t="shared" si="574"/>
        <v>37.488292141811499</v>
      </c>
      <c r="ED181" s="5"/>
      <c r="EE181" s="173">
        <f t="shared" si="575"/>
        <v>9.8546343470090978</v>
      </c>
      <c r="EF181" s="173">
        <f t="shared" si="576"/>
        <v>10.840953680261041</v>
      </c>
      <c r="EG181" s="173">
        <f t="shared" si="577"/>
        <v>0.26698505534133077</v>
      </c>
      <c r="EH181" s="173"/>
      <c r="EI181" s="528">
        <f t="shared" si="578"/>
        <v>1.9422763622650285</v>
      </c>
      <c r="EJ181" s="528">
        <f t="shared" si="579"/>
        <v>0.4971666666666667</v>
      </c>
      <c r="EK181" s="528">
        <f t="shared" si="580"/>
        <v>3.5288767664236661E-3</v>
      </c>
      <c r="EL181" s="528">
        <f t="shared" si="581"/>
        <v>3.3992681805464584E-3</v>
      </c>
      <c r="EM181">
        <f t="shared" si="582"/>
        <v>8.5500000000000003E-3</v>
      </c>
      <c r="EN181" s="460">
        <f t="shared" si="583"/>
        <v>12.078876766423667</v>
      </c>
      <c r="EP181" s="460">
        <f t="shared" si="603"/>
        <v>2454.9211738786653</v>
      </c>
      <c r="EQ181" s="173">
        <f t="shared" si="584"/>
        <v>4.97</v>
      </c>
      <c r="ER181" s="173">
        <f t="shared" si="585"/>
        <v>7.8765624999999992E-2</v>
      </c>
      <c r="ES181" s="528"/>
      <c r="EU181" s="460">
        <f t="shared" si="497"/>
        <v>5048.765625</v>
      </c>
      <c r="EV181" s="528">
        <f t="shared" si="586"/>
        <v>2.9134145433975425</v>
      </c>
      <c r="EW181" s="528">
        <f t="shared" si="587"/>
        <v>3.5257883009269619</v>
      </c>
      <c r="EX181" s="528">
        <f t="shared" si="588"/>
        <v>3.5640509887806726E-4</v>
      </c>
      <c r="EY181" s="528">
        <f t="shared" si="589"/>
        <v>0.68679375210278804</v>
      </c>
      <c r="EZ181" s="528"/>
      <c r="FA181" s="625">
        <f t="shared" si="590"/>
        <v>1.8178522649300751E-2</v>
      </c>
      <c r="FB181" s="460">
        <f t="shared" si="498"/>
        <v>7144.5315241754706</v>
      </c>
      <c r="FC181" s="173">
        <f t="shared" si="591"/>
        <v>14.648218323054138</v>
      </c>
      <c r="FD181" s="5">
        <f t="shared" si="592"/>
        <v>107.92</v>
      </c>
      <c r="FE181" s="173">
        <f t="shared" si="593"/>
        <v>0.88048926121740878</v>
      </c>
      <c r="FF181" s="5">
        <f t="shared" si="594"/>
        <v>88.048926121740877</v>
      </c>
      <c r="FG181">
        <f t="shared" si="595"/>
        <v>71</v>
      </c>
      <c r="FI181" s="562">
        <f t="shared" si="596"/>
        <v>-50</v>
      </c>
      <c r="FJ181">
        <f t="shared" si="597"/>
        <v>-50</v>
      </c>
    </row>
    <row r="182" spans="5:166">
      <c r="E182" s="170">
        <v>72</v>
      </c>
      <c r="F182" s="217">
        <f t="shared" si="598"/>
        <v>7.1999999999999993</v>
      </c>
      <c r="G182" s="217">
        <f t="shared" si="499"/>
        <v>0.18</v>
      </c>
      <c r="H182" s="217">
        <f t="shared" si="500"/>
        <v>107.99999999999999</v>
      </c>
      <c r="I182" s="217">
        <f t="shared" si="501"/>
        <v>1.44</v>
      </c>
      <c r="J182" s="541">
        <f t="shared" si="502"/>
        <v>18.266863250250854</v>
      </c>
      <c r="K182" s="443">
        <f t="shared" si="503"/>
        <v>16.094484210526314</v>
      </c>
      <c r="L182" s="172">
        <f t="shared" si="504"/>
        <v>34.361347460777168</v>
      </c>
      <c r="M182" s="443"/>
      <c r="N182" s="217">
        <f t="shared" si="505"/>
        <v>0.46838920472772105</v>
      </c>
      <c r="O182" s="172">
        <f t="shared" si="506"/>
        <v>211.08556457208135</v>
      </c>
      <c r="P182" s="172">
        <f t="shared" si="507"/>
        <v>2.8520005168850107</v>
      </c>
      <c r="Q182" s="217">
        <f t="shared" si="508"/>
        <v>14.07237097147209</v>
      </c>
      <c r="R182" s="217">
        <f t="shared" si="509"/>
        <v>26.385695571510169</v>
      </c>
      <c r="S182" s="217">
        <f t="shared" si="510"/>
        <v>15</v>
      </c>
      <c r="T182" s="217">
        <f t="shared" si="511"/>
        <v>25.582043049447897</v>
      </c>
      <c r="U182" s="217">
        <f t="shared" si="512"/>
        <v>16.805540852185395</v>
      </c>
      <c r="V182" s="217">
        <f t="shared" si="513"/>
        <v>19.073895912277635</v>
      </c>
      <c r="W182" s="197">
        <f t="shared" si="514"/>
        <v>71.300012922125262</v>
      </c>
      <c r="X182" s="443">
        <f t="shared" si="599"/>
        <v>27.716618929732423</v>
      </c>
      <c r="Z182" s="217">
        <f t="shared" si="515"/>
        <v>10</v>
      </c>
      <c r="AA182" s="173">
        <f t="shared" si="516"/>
        <v>7.4559705319115555</v>
      </c>
      <c r="AB182" s="173">
        <f t="shared" si="517"/>
        <v>2.623079581935587</v>
      </c>
      <c r="AC182" s="173"/>
      <c r="AD182" s="173">
        <f t="shared" si="518"/>
        <v>7.4559705319115555</v>
      </c>
      <c r="AE182" s="545">
        <f t="shared" si="519"/>
        <v>193.13381052631576</v>
      </c>
      <c r="AF182" s="528">
        <f t="shared" si="520"/>
        <v>2.6580539763613951</v>
      </c>
      <c r="AH182" s="173">
        <f t="shared" si="521"/>
        <v>7.21902249021886</v>
      </c>
      <c r="AI182" s="173">
        <f t="shared" si="522"/>
        <v>25.582043049447897</v>
      </c>
      <c r="AJ182" s="173">
        <f t="shared" si="523"/>
        <v>12.742254110702145</v>
      </c>
      <c r="AL182" s="545">
        <f t="shared" si="524"/>
        <v>7199.9999999999991</v>
      </c>
      <c r="AM182" s="460">
        <f t="shared" si="525"/>
        <v>27.716618929732423</v>
      </c>
      <c r="AO182">
        <f t="shared" si="526"/>
        <v>7199.9999999999991</v>
      </c>
      <c r="AP182">
        <f t="shared" si="527"/>
        <v>27.716618929732423</v>
      </c>
      <c r="AR182" s="5">
        <f t="shared" si="443"/>
        <v>36.079436764463033</v>
      </c>
      <c r="AS182" s="5">
        <f t="shared" si="604"/>
        <v>16.805540852185395</v>
      </c>
      <c r="AT182" s="5">
        <f t="shared" si="605"/>
        <v>19.273895912277638</v>
      </c>
      <c r="AU182" s="173">
        <f t="shared" si="606"/>
        <v>0.46579277170807326</v>
      </c>
      <c r="AW182" s="5">
        <f t="shared" si="477"/>
        <v>806.66596090489895</v>
      </c>
      <c r="AX182" s="5">
        <f t="shared" si="478"/>
        <v>37.81246691741714</v>
      </c>
      <c r="AY182" s="5">
        <f t="shared" si="479"/>
        <v>39.294456778033791</v>
      </c>
      <c r="AZ182" s="5"/>
      <c r="BA182" s="173">
        <f t="shared" si="480"/>
        <v>10.080242277390466</v>
      </c>
      <c r="BB182" s="173">
        <f t="shared" si="481"/>
        <v>10.795169806772149</v>
      </c>
      <c r="BC182" s="173">
        <f t="shared" si="482"/>
        <v>0.26585751524129059</v>
      </c>
      <c r="BD182" s="173"/>
      <c r="BE182" s="528">
        <f t="shared" si="483"/>
        <v>2.0322256874178026</v>
      </c>
      <c r="BF182" s="528">
        <f t="shared" si="528"/>
        <v>0.4568219196352184</v>
      </c>
      <c r="BG182" s="528">
        <f t="shared" si="529"/>
        <v>1.2657392193718409E-2</v>
      </c>
      <c r="BH182" s="528">
        <f t="shared" si="484"/>
        <v>3.2725072928056556E-3</v>
      </c>
      <c r="BI182">
        <f t="shared" si="485"/>
        <v>8.2200884626128842E-3</v>
      </c>
      <c r="BJ182" s="460">
        <f t="shared" si="600"/>
        <v>20.87748065633129</v>
      </c>
      <c r="BK182">
        <f t="shared" si="530"/>
        <v>5.8804238113189617</v>
      </c>
      <c r="BL182" s="460">
        <f t="shared" si="601"/>
        <v>2513.1975950021579</v>
      </c>
      <c r="BM182" s="173">
        <f t="shared" si="531"/>
        <v>4.472999999999999</v>
      </c>
      <c r="BN182" s="173">
        <f t="shared" si="532"/>
        <v>0.11182499999999999</v>
      </c>
      <c r="BO182" s="528"/>
      <c r="BQ182" s="460">
        <f t="shared" si="486"/>
        <v>4584.8249999999989</v>
      </c>
      <c r="BR182" s="528">
        <f t="shared" si="487"/>
        <v>3.0483385311267037</v>
      </c>
      <c r="BS182" s="528">
        <f t="shared" si="488"/>
        <v>3.4960707347113509</v>
      </c>
      <c r="BT182" s="528">
        <f t="shared" si="489"/>
        <v>3.5340109205136527E-4</v>
      </c>
      <c r="BU182" s="528">
        <f t="shared" si="490"/>
        <v>0.66935836478778954</v>
      </c>
      <c r="BV182" s="528"/>
      <c r="BW182" s="625">
        <f t="shared" si="533"/>
        <v>1.813888977414433E-2</v>
      </c>
      <c r="BX182" s="460">
        <f t="shared" si="491"/>
        <v>7232.2599214920401</v>
      </c>
      <c r="BY182" s="173">
        <f t="shared" si="492"/>
        <v>14.330282516494195</v>
      </c>
      <c r="BZ182" s="5">
        <f t="shared" si="493"/>
        <v>109.43999999999998</v>
      </c>
      <c r="CA182" s="173">
        <f t="shared" si="494"/>
        <v>0.8842187136917582</v>
      </c>
      <c r="CB182" s="5">
        <f t="shared" si="495"/>
        <v>88.421871369175818</v>
      </c>
      <c r="CC182">
        <f t="shared" si="496"/>
        <v>72</v>
      </c>
      <c r="CE182" s="562">
        <f t="shared" si="534"/>
        <v>-50</v>
      </c>
      <c r="CF182">
        <f t="shared" si="535"/>
        <v>-50</v>
      </c>
      <c r="CG182" s="173">
        <f t="shared" si="536"/>
        <v>0.54755043227665712</v>
      </c>
      <c r="CH182" s="173">
        <f t="shared" si="537"/>
        <v>6.4398811101315859E-2</v>
      </c>
      <c r="CI182" s="170">
        <v>72</v>
      </c>
      <c r="CJ182" s="217">
        <f t="shared" si="602"/>
        <v>7.1999999999999993</v>
      </c>
      <c r="CK182" s="217">
        <f t="shared" si="538"/>
        <v>0.18</v>
      </c>
      <c r="CL182" s="217">
        <f t="shared" si="539"/>
        <v>107.99999999999999</v>
      </c>
      <c r="CM182" s="217">
        <f t="shared" si="540"/>
        <v>1.44</v>
      </c>
      <c r="CN182" s="541">
        <f t="shared" si="541"/>
        <v>19</v>
      </c>
      <c r="CO182" s="443">
        <f t="shared" si="542"/>
        <v>15.7</v>
      </c>
      <c r="CP182" s="443">
        <f t="shared" si="543"/>
        <v>34.700000000000003</v>
      </c>
      <c r="CQ182" s="443"/>
      <c r="CR182" s="217">
        <f t="shared" si="544"/>
        <v>0.44767441860465118</v>
      </c>
      <c r="CS182" s="172">
        <f t="shared" si="545"/>
        <v>209.84738372093025</v>
      </c>
      <c r="CT182" s="172">
        <f t="shared" si="546"/>
        <v>2.835271317829458</v>
      </c>
      <c r="CU182" s="217">
        <f t="shared" si="547"/>
        <v>13.989825581395349</v>
      </c>
      <c r="CV182" s="217">
        <f t="shared" si="548"/>
        <v>26.230922965116282</v>
      </c>
      <c r="CW182" s="217">
        <f t="shared" si="549"/>
        <v>15</v>
      </c>
      <c r="CX182" s="217">
        <f t="shared" si="550"/>
        <v>25.732987012987007</v>
      </c>
      <c r="CY182" s="217">
        <f t="shared" si="551"/>
        <v>16.252412850307582</v>
      </c>
      <c r="CZ182" s="217">
        <f t="shared" si="552"/>
        <v>19.668525105467776</v>
      </c>
      <c r="DA182" s="197">
        <f t="shared" si="553"/>
        <v>71.63784822286263</v>
      </c>
      <c r="DB182" s="443">
        <f t="shared" si="554"/>
        <v>27.838916712897813</v>
      </c>
      <c r="DD182" s="217">
        <f t="shared" si="555"/>
        <v>10.000000000000002</v>
      </c>
      <c r="DE182" s="173">
        <f t="shared" si="556"/>
        <v>7.6433121019108299</v>
      </c>
      <c r="DF182" s="173">
        <f t="shared" si="557"/>
        <v>2.7017291066282429</v>
      </c>
      <c r="DG182" s="173"/>
      <c r="DH182" s="173">
        <f t="shared" si="558"/>
        <v>7.6433121019108281</v>
      </c>
      <c r="DI182" s="545">
        <f t="shared" si="559"/>
        <v>188.4</v>
      </c>
      <c r="DJ182" s="528">
        <f t="shared" si="560"/>
        <v>2.7377521613832849</v>
      </c>
      <c r="DL182" s="173">
        <f t="shared" si="561"/>
        <v>7.21902249021886</v>
      </c>
      <c r="DM182" s="173">
        <f t="shared" si="562"/>
        <v>25.732987012987007</v>
      </c>
      <c r="DN182" s="173">
        <f t="shared" si="563"/>
        <v>12.854064454064448</v>
      </c>
      <c r="DP182" s="545">
        <f t="shared" si="564"/>
        <v>7199.9999999999991</v>
      </c>
      <c r="DQ182" s="460">
        <f t="shared" si="565"/>
        <v>27.838916712897813</v>
      </c>
      <c r="DS182">
        <f t="shared" si="566"/>
        <v>7199.9999999999991</v>
      </c>
      <c r="DT182">
        <f t="shared" si="567"/>
        <v>27.838916712897813</v>
      </c>
      <c r="DV182" s="5">
        <f t="shared" si="568"/>
        <v>35.920937955775358</v>
      </c>
      <c r="DW182" s="5">
        <f t="shared" si="569"/>
        <v>16.252412850307582</v>
      </c>
      <c r="DX182" s="5">
        <f t="shared" si="570"/>
        <v>19.668525105467776</v>
      </c>
      <c r="DY182" s="173">
        <f t="shared" si="571"/>
        <v>0.45244956772334294</v>
      </c>
      <c r="EA182" s="5">
        <f t="shared" si="572"/>
        <v>780.11581681476389</v>
      </c>
      <c r="EB182" s="5">
        <f t="shared" si="573"/>
        <v>36.567928913192063</v>
      </c>
      <c r="EC182" s="5">
        <f t="shared" si="574"/>
        <v>38.551737048829743</v>
      </c>
      <c r="ED182" s="5"/>
      <c r="EE182" s="173">
        <f t="shared" si="575"/>
        <v>9.9934320138683788</v>
      </c>
      <c r="EF182" s="173">
        <f t="shared" si="576"/>
        <v>10.993643168715423</v>
      </c>
      <c r="EG182" s="173">
        <f t="shared" si="577"/>
        <v>0.27074540823346216</v>
      </c>
      <c r="EH182" s="173"/>
      <c r="EI182" s="528">
        <f t="shared" si="578"/>
        <v>1.997373668316188</v>
      </c>
      <c r="EJ182" s="528">
        <f t="shared" si="579"/>
        <v>0.4971666666666667</v>
      </c>
      <c r="EK182" s="528">
        <f t="shared" si="580"/>
        <v>3.4798645891122265E-3</v>
      </c>
      <c r="EL182" s="528">
        <f t="shared" si="581"/>
        <v>3.3520561224833134E-3</v>
      </c>
      <c r="EM182">
        <f t="shared" si="582"/>
        <v>8.5500000000000003E-3</v>
      </c>
      <c r="EN182" s="460">
        <f t="shared" si="583"/>
        <v>12.029864589112227</v>
      </c>
      <c r="EP182" s="460">
        <f t="shared" si="603"/>
        <v>2509.9222556944501</v>
      </c>
      <c r="EQ182" s="173">
        <f t="shared" si="584"/>
        <v>5.0399999999999991</v>
      </c>
      <c r="ER182" s="173">
        <f t="shared" si="585"/>
        <v>7.9874999999999988E-2</v>
      </c>
      <c r="ES182" s="528"/>
      <c r="EU182" s="460">
        <f t="shared" si="497"/>
        <v>5119.8749999999991</v>
      </c>
      <c r="EV182" s="528">
        <f t="shared" si="586"/>
        <v>2.9960605024742817</v>
      </c>
      <c r="EW182" s="528">
        <f t="shared" si="587"/>
        <v>3.6258057036312983</v>
      </c>
      <c r="EX182" s="528">
        <f t="shared" si="588"/>
        <v>3.6651538039752038E-4</v>
      </c>
      <c r="EY182" s="528">
        <f t="shared" si="589"/>
        <v>0.68679375210278926</v>
      </c>
      <c r="EZ182" s="528"/>
      <c r="FA182" s="625">
        <f t="shared" si="590"/>
        <v>1.8434558179572586E-2</v>
      </c>
      <c r="FB182" s="460">
        <f t="shared" si="498"/>
        <v>7327.4610317683391</v>
      </c>
      <c r="FC182" s="173">
        <f t="shared" si="591"/>
        <v>14.957258287462789</v>
      </c>
      <c r="FD182" s="5">
        <f t="shared" si="592"/>
        <v>109.43999999999998</v>
      </c>
      <c r="FE182" s="173">
        <f t="shared" si="593"/>
        <v>0.87976215478239173</v>
      </c>
      <c r="FF182" s="5">
        <f t="shared" si="594"/>
        <v>87.976215478239169</v>
      </c>
      <c r="FG182">
        <f t="shared" si="595"/>
        <v>72</v>
      </c>
      <c r="FI182" s="562">
        <f t="shared" si="596"/>
        <v>-50</v>
      </c>
      <c r="FJ182">
        <f t="shared" si="597"/>
        <v>-50</v>
      </c>
    </row>
    <row r="183" spans="5:166">
      <c r="E183" s="170">
        <v>73</v>
      </c>
      <c r="F183" s="217">
        <f t="shared" si="598"/>
        <v>7.3</v>
      </c>
      <c r="G183" s="217">
        <f t="shared" si="499"/>
        <v>0.1825</v>
      </c>
      <c r="H183" s="217">
        <f t="shared" si="500"/>
        <v>109.5</v>
      </c>
      <c r="I183" s="217">
        <f t="shared" si="501"/>
        <v>1.46</v>
      </c>
      <c r="J183" s="541">
        <f t="shared" si="502"/>
        <v>18.256680795393226</v>
      </c>
      <c r="K183" s="443">
        <f t="shared" si="503"/>
        <v>16.099963157894738</v>
      </c>
      <c r="L183" s="172">
        <f t="shared" si="504"/>
        <v>34.356643953287957</v>
      </c>
      <c r="M183" s="443"/>
      <c r="N183" s="217">
        <f t="shared" si="505"/>
        <v>0.46861280105776909</v>
      </c>
      <c r="O183" s="172">
        <f t="shared" si="506"/>
        <v>211.06861000526644</v>
      </c>
      <c r="P183" s="172">
        <f t="shared" si="507"/>
        <v>2.8517714418489333</v>
      </c>
      <c r="Q183" s="217">
        <f t="shared" si="508"/>
        <v>14.071240667017763</v>
      </c>
      <c r="R183" s="217">
        <f t="shared" si="509"/>
        <v>26.383576250658304</v>
      </c>
      <c r="S183" s="217">
        <f t="shared" si="510"/>
        <v>15</v>
      </c>
      <c r="T183" s="217">
        <f t="shared" si="511"/>
        <v>25.939432679560412</v>
      </c>
      <c r="U183" s="217">
        <f t="shared" si="512"/>
        <v>17.049823877803114</v>
      </c>
      <c r="V183" s="217">
        <f t="shared" si="513"/>
        <v>19.333782885216717</v>
      </c>
      <c r="W183" s="197">
        <f t="shared" si="514"/>
        <v>71.294286046223334</v>
      </c>
      <c r="X183" s="443">
        <f t="shared" si="599"/>
        <v>27.334647632688856</v>
      </c>
      <c r="Z183" s="217">
        <f t="shared" si="515"/>
        <v>10</v>
      </c>
      <c r="AA183" s="173">
        <f t="shared" si="516"/>
        <v>7.4534332049795475</v>
      </c>
      <c r="AB183" s="173">
        <f t="shared" si="517"/>
        <v>2.6219763105702185</v>
      </c>
      <c r="AC183" s="173"/>
      <c r="AD183" s="173">
        <f t="shared" si="518"/>
        <v>7.4534332049795475</v>
      </c>
      <c r="AE183" s="545">
        <f t="shared" si="519"/>
        <v>195.8828850877193</v>
      </c>
      <c r="AF183" s="528">
        <f t="shared" si="520"/>
        <v>2.656935994711155</v>
      </c>
      <c r="AH183" s="173">
        <f t="shared" si="521"/>
        <v>7.2689817194773045</v>
      </c>
      <c r="AI183" s="173">
        <f t="shared" si="522"/>
        <v>25.939432679560412</v>
      </c>
      <c r="AJ183" s="173">
        <f t="shared" si="523"/>
        <v>13.006987170044749</v>
      </c>
      <c r="AL183" s="545">
        <f t="shared" si="524"/>
        <v>7300</v>
      </c>
      <c r="AM183" s="460">
        <f t="shared" si="525"/>
        <v>27.334647632688856</v>
      </c>
      <c r="AO183">
        <f t="shared" si="526"/>
        <v>7300</v>
      </c>
      <c r="AP183">
        <f t="shared" si="527"/>
        <v>27.334647632688856</v>
      </c>
      <c r="AR183" s="5">
        <f t="shared" si="443"/>
        <v>36.583606763019823</v>
      </c>
      <c r="AS183" s="5">
        <f t="shared" si="604"/>
        <v>17.049823877803114</v>
      </c>
      <c r="AT183" s="5">
        <f t="shared" si="605"/>
        <v>19.533782885216709</v>
      </c>
      <c r="AU183" s="173">
        <f t="shared" si="606"/>
        <v>0.46605092789915287</v>
      </c>
      <c r="AW183" s="5">
        <f t="shared" si="477"/>
        <v>829.75809538641818</v>
      </c>
      <c r="AX183" s="5">
        <f t="shared" si="478"/>
        <v>38.894910721238354</v>
      </c>
      <c r="AY183" s="5">
        <f t="shared" si="479"/>
        <v>40.399933967355608</v>
      </c>
      <c r="AZ183" s="5"/>
      <c r="BA183" s="173">
        <f t="shared" si="480"/>
        <v>10.22389862389179</v>
      </c>
      <c r="BB183" s="173">
        <f t="shared" si="481"/>
        <v>10.943336762959113</v>
      </c>
      <c r="BC183" s="173">
        <f t="shared" si="482"/>
        <v>0.26950648969169899</v>
      </c>
      <c r="BD183" s="173"/>
      <c r="BE183" s="528">
        <f t="shared" si="483"/>
        <v>2.0905620614323288</v>
      </c>
      <c r="BF183" s="528">
        <f t="shared" si="528"/>
        <v>0.45675778636395531</v>
      </c>
      <c r="BG183" s="528">
        <f t="shared" si="529"/>
        <v>1.2475998412113788E-2</v>
      </c>
      <c r="BH183" s="528">
        <f t="shared" si="484"/>
        <v>3.2265243593372875E-3</v>
      </c>
      <c r="BI183">
        <f t="shared" si="485"/>
        <v>8.2155063579269511E-3</v>
      </c>
      <c r="BJ183" s="460">
        <f t="shared" si="600"/>
        <v>20.691504770040741</v>
      </c>
      <c r="BK183">
        <f t="shared" si="530"/>
        <v>6.1893636520094315</v>
      </c>
      <c r="BL183" s="460">
        <f t="shared" si="601"/>
        <v>2571.2378769256625</v>
      </c>
      <c r="BM183" s="173">
        <f t="shared" si="531"/>
        <v>4.535124999999999</v>
      </c>
      <c r="BN183" s="173">
        <f t="shared" si="532"/>
        <v>0.113378125</v>
      </c>
      <c r="BO183" s="528"/>
      <c r="BQ183" s="460">
        <f t="shared" si="486"/>
        <v>4648.5031249999984</v>
      </c>
      <c r="BR183" s="528">
        <f t="shared" si="487"/>
        <v>3.1358430921484932</v>
      </c>
      <c r="BS183" s="528">
        <f t="shared" si="488"/>
        <v>3.592698585225973</v>
      </c>
      <c r="BT183" s="528">
        <f t="shared" si="489"/>
        <v>3.6316873992970928E-4</v>
      </c>
      <c r="BU183" s="528">
        <f t="shared" si="490"/>
        <v>0.66935249637486693</v>
      </c>
      <c r="BV183" s="528"/>
      <c r="BW183" s="625">
        <f t="shared" si="533"/>
        <v>1.8392231583289228E-2</v>
      </c>
      <c r="BX183" s="460">
        <f t="shared" si="491"/>
        <v>7416.6495740725513</v>
      </c>
      <c r="BY183" s="173">
        <f t="shared" si="492"/>
        <v>14.636390575998215</v>
      </c>
      <c r="BZ183" s="5">
        <f t="shared" si="493"/>
        <v>110.96</v>
      </c>
      <c r="CA183" s="173">
        <f t="shared" si="494"/>
        <v>0.8834648789756282</v>
      </c>
      <c r="CB183" s="5">
        <f t="shared" si="495"/>
        <v>88.346487897562824</v>
      </c>
      <c r="CC183">
        <f t="shared" si="496"/>
        <v>73</v>
      </c>
      <c r="CE183" s="562">
        <f t="shared" si="534"/>
        <v>-50</v>
      </c>
      <c r="CF183">
        <f t="shared" si="535"/>
        <v>-50</v>
      </c>
      <c r="CG183" s="173">
        <f t="shared" si="536"/>
        <v>0.5475504322766569</v>
      </c>
      <c r="CH183" s="173">
        <f t="shared" si="537"/>
        <v>6.4398811101315859E-2</v>
      </c>
      <c r="CI183" s="170">
        <v>73</v>
      </c>
      <c r="CJ183" s="217">
        <f t="shared" si="602"/>
        <v>7.3</v>
      </c>
      <c r="CK183" s="217">
        <f t="shared" si="538"/>
        <v>0.1825</v>
      </c>
      <c r="CL183" s="217">
        <f t="shared" si="539"/>
        <v>109.5</v>
      </c>
      <c r="CM183" s="217">
        <f t="shared" si="540"/>
        <v>1.46</v>
      </c>
      <c r="CN183" s="541">
        <f t="shared" si="541"/>
        <v>19</v>
      </c>
      <c r="CO183" s="443">
        <f t="shared" si="542"/>
        <v>15.7</v>
      </c>
      <c r="CP183" s="443">
        <f t="shared" si="543"/>
        <v>34.700000000000003</v>
      </c>
      <c r="CQ183" s="443"/>
      <c r="CR183" s="217">
        <f t="shared" si="544"/>
        <v>0.44767441860465118</v>
      </c>
      <c r="CS183" s="172">
        <f t="shared" si="545"/>
        <v>209.84738372093025</v>
      </c>
      <c r="CT183" s="172">
        <f t="shared" si="546"/>
        <v>2.835271317829458</v>
      </c>
      <c r="CU183" s="217">
        <f t="shared" si="547"/>
        <v>13.989825581395349</v>
      </c>
      <c r="CV183" s="217">
        <f t="shared" si="548"/>
        <v>26.230922965116282</v>
      </c>
      <c r="CW183" s="217">
        <f t="shared" si="549"/>
        <v>15</v>
      </c>
      <c r="CX183" s="217">
        <f t="shared" si="550"/>
        <v>26.090389610389607</v>
      </c>
      <c r="CY183" s="217">
        <f t="shared" si="551"/>
        <v>16.478140806561857</v>
      </c>
      <c r="CZ183" s="217">
        <f t="shared" si="552"/>
        <v>19.94169906526594</v>
      </c>
      <c r="DA183" s="197">
        <f t="shared" si="553"/>
        <v>71.63784822286263</v>
      </c>
      <c r="DB183" s="443">
        <f t="shared" si="554"/>
        <v>27.457561689433458</v>
      </c>
      <c r="DD183" s="217">
        <f t="shared" si="555"/>
        <v>10.000000000000002</v>
      </c>
      <c r="DE183" s="173">
        <f t="shared" si="556"/>
        <v>7.6433121019108299</v>
      </c>
      <c r="DF183" s="173">
        <f t="shared" si="557"/>
        <v>2.7017291066282429</v>
      </c>
      <c r="DG183" s="173"/>
      <c r="DH183" s="173">
        <f t="shared" si="558"/>
        <v>7.6433121019108281</v>
      </c>
      <c r="DI183" s="545">
        <f t="shared" si="559"/>
        <v>191.01666666666668</v>
      </c>
      <c r="DJ183" s="528">
        <f t="shared" si="560"/>
        <v>2.7377521613832849</v>
      </c>
      <c r="DL183" s="173">
        <f t="shared" si="561"/>
        <v>7.2689817194773045</v>
      </c>
      <c r="DM183" s="173">
        <f t="shared" si="562"/>
        <v>26.090389610389607</v>
      </c>
      <c r="DN183" s="173">
        <f t="shared" si="563"/>
        <v>13.118807118807116</v>
      </c>
      <c r="DP183" s="545">
        <f t="shared" si="564"/>
        <v>7300</v>
      </c>
      <c r="DQ183" s="460">
        <f t="shared" si="565"/>
        <v>27.457561689433458</v>
      </c>
      <c r="DS183">
        <f t="shared" si="566"/>
        <v>7300</v>
      </c>
      <c r="DT183">
        <f t="shared" si="567"/>
        <v>27.457561689433458</v>
      </c>
      <c r="DV183" s="5">
        <f t="shared" si="568"/>
        <v>36.41983987182779</v>
      </c>
      <c r="DW183" s="5">
        <f t="shared" si="569"/>
        <v>16.478140806561857</v>
      </c>
      <c r="DX183" s="5">
        <f t="shared" si="570"/>
        <v>19.941699065265933</v>
      </c>
      <c r="DY183" s="173">
        <f t="shared" si="571"/>
        <v>0.45244956772334305</v>
      </c>
      <c r="EA183" s="5">
        <f t="shared" si="572"/>
        <v>801.93618591934364</v>
      </c>
      <c r="EB183" s="5">
        <f t="shared" si="573"/>
        <v>37.59075871496924</v>
      </c>
      <c r="EC183" s="5">
        <f t="shared" si="574"/>
        <v>39.630055311190922</v>
      </c>
      <c r="ED183" s="5"/>
      <c r="EE183" s="173">
        <f t="shared" si="575"/>
        <v>10.132229680727665</v>
      </c>
      <c r="EF183" s="173">
        <f t="shared" si="576"/>
        <v>11.1463326571698</v>
      </c>
      <c r="EG183" s="173">
        <f t="shared" si="577"/>
        <v>0.27450576112559361</v>
      </c>
      <c r="EH183" s="173"/>
      <c r="EI183" s="528">
        <f t="shared" si="578"/>
        <v>2.0532415660603731</v>
      </c>
      <c r="EJ183" s="528">
        <f t="shared" si="579"/>
        <v>0.49716666666666681</v>
      </c>
      <c r="EK183" s="528">
        <f t="shared" si="580"/>
        <v>3.4321952111791821E-3</v>
      </c>
      <c r="EL183" s="528">
        <f t="shared" si="581"/>
        <v>3.306137545462994E-3</v>
      </c>
      <c r="EM183">
        <f t="shared" si="582"/>
        <v>8.5500000000000003E-3</v>
      </c>
      <c r="EN183" s="460">
        <f t="shared" si="583"/>
        <v>11.982195211179183</v>
      </c>
      <c r="EP183" s="460">
        <f t="shared" si="603"/>
        <v>2565.6965654836822</v>
      </c>
      <c r="EQ183" s="173">
        <f t="shared" si="584"/>
        <v>5.1099999999999994</v>
      </c>
      <c r="ER183" s="173">
        <f t="shared" si="585"/>
        <v>8.0984374999999997E-2</v>
      </c>
      <c r="ES183" s="528"/>
      <c r="EU183" s="460">
        <f t="shared" si="497"/>
        <v>5190.9843749999991</v>
      </c>
      <c r="EV183" s="528">
        <f t="shared" si="586"/>
        <v>3.0798623490905594</v>
      </c>
      <c r="EW183" s="528">
        <f t="shared" si="587"/>
        <v>3.7272219511286995</v>
      </c>
      <c r="EX183" s="528">
        <f t="shared" si="588"/>
        <v>3.7676706445570734E-4</v>
      </c>
      <c r="EY183" s="528">
        <f t="shared" si="589"/>
        <v>0.68679375210278926</v>
      </c>
      <c r="EZ183" s="528"/>
      <c r="FA183" s="625">
        <f t="shared" si="590"/>
        <v>1.8690593709844432E-2</v>
      </c>
      <c r="FB183" s="460">
        <f t="shared" si="498"/>
        <v>7512.9454130963486</v>
      </c>
      <c r="FC183" s="173">
        <f t="shared" si="591"/>
        <v>15.26962635358003</v>
      </c>
      <c r="FD183" s="5">
        <f t="shared" si="592"/>
        <v>110.96</v>
      </c>
      <c r="FE183" s="173">
        <f t="shared" si="593"/>
        <v>0.87903294341687677</v>
      </c>
      <c r="FF183" s="5">
        <f t="shared" si="594"/>
        <v>87.903294341687683</v>
      </c>
      <c r="FG183">
        <f t="shared" si="595"/>
        <v>73</v>
      </c>
      <c r="FI183" s="562">
        <f t="shared" si="596"/>
        <v>-50</v>
      </c>
      <c r="FJ183">
        <f t="shared" si="597"/>
        <v>-50</v>
      </c>
    </row>
    <row r="184" spans="5:166">
      <c r="E184" s="170">
        <v>74</v>
      </c>
      <c r="F184" s="217">
        <f t="shared" si="598"/>
        <v>7.4</v>
      </c>
      <c r="G184" s="217">
        <f t="shared" si="499"/>
        <v>0.185</v>
      </c>
      <c r="H184" s="217">
        <f t="shared" si="500"/>
        <v>111</v>
      </c>
      <c r="I184" s="217">
        <f t="shared" si="501"/>
        <v>1.48</v>
      </c>
      <c r="J184" s="541">
        <f t="shared" si="502"/>
        <v>18.246498340535599</v>
      </c>
      <c r="K184" s="443">
        <f t="shared" si="503"/>
        <v>16.105442105263158</v>
      </c>
      <c r="L184" s="172">
        <f t="shared" si="504"/>
        <v>34.35194044579876</v>
      </c>
      <c r="M184" s="443"/>
      <c r="N184" s="217">
        <f t="shared" si="505"/>
        <v>0.4688364586179542</v>
      </c>
      <c r="O184" s="172">
        <f t="shared" si="506"/>
        <v>211.05157066172092</v>
      </c>
      <c r="P184" s="172">
        <f t="shared" si="507"/>
        <v>2.8515412213850295</v>
      </c>
      <c r="Q184" s="217">
        <f t="shared" si="508"/>
        <v>14.070104710781395</v>
      </c>
      <c r="R184" s="217">
        <f t="shared" si="509"/>
        <v>26.381446332715115</v>
      </c>
      <c r="S184" s="217">
        <f t="shared" si="510"/>
        <v>15</v>
      </c>
      <c r="T184" s="217">
        <f t="shared" si="511"/>
        <v>26.296890293679397</v>
      </c>
      <c r="U184" s="217">
        <f t="shared" si="512"/>
        <v>17.294424258002039</v>
      </c>
      <c r="V184" s="217">
        <f t="shared" si="513"/>
        <v>19.59354368924954</v>
      </c>
      <c r="W184" s="197">
        <f t="shared" si="514"/>
        <v>71.288530534625735</v>
      </c>
      <c r="X184" s="443">
        <f t="shared" si="599"/>
        <v>26.962922353207688</v>
      </c>
      <c r="Z184" s="217">
        <f t="shared" si="515"/>
        <v>10</v>
      </c>
      <c r="AA184" s="173">
        <f t="shared" si="516"/>
        <v>7.4508976044057027</v>
      </c>
      <c r="AB184" s="173">
        <f t="shared" si="517"/>
        <v>2.6208727370824616</v>
      </c>
      <c r="AC184" s="173"/>
      <c r="AD184" s="173">
        <f t="shared" si="518"/>
        <v>7.4508976044057027</v>
      </c>
      <c r="AE184" s="545">
        <f t="shared" si="519"/>
        <v>198.63378596491228</v>
      </c>
      <c r="AF184" s="528">
        <f t="shared" si="520"/>
        <v>2.6558177069102289</v>
      </c>
      <c r="AH184" s="173">
        <f t="shared" si="521"/>
        <v>7.3185999181472381</v>
      </c>
      <c r="AI184" s="173">
        <f t="shared" si="522"/>
        <v>26.296890293679397</v>
      </c>
      <c r="AJ184" s="173">
        <f t="shared" si="523"/>
        <v>13.271770587910662</v>
      </c>
      <c r="AL184" s="545">
        <f t="shared" si="524"/>
        <v>7400</v>
      </c>
      <c r="AM184" s="460">
        <f t="shared" si="525"/>
        <v>26.962922353207688</v>
      </c>
      <c r="AO184">
        <f t="shared" si="526"/>
        <v>7400</v>
      </c>
      <c r="AP184">
        <f t="shared" si="527"/>
        <v>26.962922353207688</v>
      </c>
      <c r="AR184" s="5">
        <f t="shared" si="443"/>
        <v>37.087967947251585</v>
      </c>
      <c r="AS184" s="5">
        <f t="shared" si="604"/>
        <v>17.294424258002039</v>
      </c>
      <c r="AT184" s="5">
        <f t="shared" si="605"/>
        <v>19.793543689249546</v>
      </c>
      <c r="AU184" s="173">
        <f t="shared" si="606"/>
        <v>0.46630821841194042</v>
      </c>
      <c r="AW184" s="5">
        <f t="shared" si="477"/>
        <v>853.19159672810065</v>
      </c>
      <c r="AX184" s="5">
        <f t="shared" si="478"/>
        <v>39.993356096629711</v>
      </c>
      <c r="AY184" s="5">
        <f t="shared" si="479"/>
        <v>41.521114570387198</v>
      </c>
      <c r="AZ184" s="5"/>
      <c r="BA184" s="173">
        <f t="shared" si="480"/>
        <v>10.367649393020242</v>
      </c>
      <c r="BB184" s="173">
        <f t="shared" si="481"/>
        <v>11.091467851581992</v>
      </c>
      <c r="BC184" s="173">
        <f t="shared" si="482"/>
        <v>0.27315458081543104</v>
      </c>
      <c r="BD184" s="173"/>
      <c r="BE184" s="528">
        <f t="shared" si="483"/>
        <v>2.1497630787318598</v>
      </c>
      <c r="BF184" s="528">
        <f t="shared" si="528"/>
        <v>0.45669252351748274</v>
      </c>
      <c r="BG184" s="528">
        <f t="shared" si="529"/>
        <v>1.2299472949344855E-2</v>
      </c>
      <c r="BH184" s="528">
        <f t="shared" si="484"/>
        <v>3.181775324196895E-3</v>
      </c>
      <c r="BI184">
        <f t="shared" si="485"/>
        <v>8.2109242532410198E-3</v>
      </c>
      <c r="BJ184" s="460">
        <f t="shared" si="600"/>
        <v>20.510397202585875</v>
      </c>
      <c r="BK184">
        <f t="shared" si="530"/>
        <v>6.5207832563645942</v>
      </c>
      <c r="BL184" s="460">
        <f t="shared" si="601"/>
        <v>2630.1477747761251</v>
      </c>
      <c r="BM184" s="173">
        <f t="shared" si="531"/>
        <v>4.5972499999999998</v>
      </c>
      <c r="BN184" s="173">
        <f t="shared" si="532"/>
        <v>0.11493125</v>
      </c>
      <c r="BO184" s="528"/>
      <c r="BQ184" s="460">
        <f t="shared" si="486"/>
        <v>4712.1812499999996</v>
      </c>
      <c r="BR184" s="528">
        <f t="shared" si="487"/>
        <v>3.2246446180977899</v>
      </c>
      <c r="BS184" s="528">
        <f t="shared" si="488"/>
        <v>3.6906197730803054</v>
      </c>
      <c r="BT184" s="528">
        <f t="shared" si="489"/>
        <v>3.7306712510226924E-4</v>
      </c>
      <c r="BU184" s="528">
        <f t="shared" si="490"/>
        <v>0.66934248752845427</v>
      </c>
      <c r="BV184" s="528"/>
      <c r="BW184" s="625">
        <f t="shared" si="533"/>
        <v>1.8645573683123706E-2</v>
      </c>
      <c r="BX184" s="460">
        <f t="shared" si="491"/>
        <v>7603.6255195147751</v>
      </c>
      <c r="BY184" s="173">
        <f t="shared" si="492"/>
        <v>14.945954544290899</v>
      </c>
      <c r="BZ184" s="5">
        <f t="shared" si="493"/>
        <v>112.48</v>
      </c>
      <c r="CA184" s="173">
        <f t="shared" si="494"/>
        <v>0.88270871034286846</v>
      </c>
      <c r="CB184" s="5">
        <f t="shared" si="495"/>
        <v>88.270871034286841</v>
      </c>
      <c r="CC184">
        <f t="shared" si="496"/>
        <v>74</v>
      </c>
      <c r="CE184" s="562">
        <f t="shared" si="534"/>
        <v>-50</v>
      </c>
      <c r="CF184">
        <f t="shared" si="535"/>
        <v>-50</v>
      </c>
      <c r="CG184" s="173">
        <f t="shared" si="536"/>
        <v>0.54755043227665701</v>
      </c>
      <c r="CH184" s="173">
        <f t="shared" si="537"/>
        <v>6.4398811101315859E-2</v>
      </c>
      <c r="CI184" s="170">
        <v>74</v>
      </c>
      <c r="CJ184" s="217">
        <f t="shared" si="602"/>
        <v>7.4</v>
      </c>
      <c r="CK184" s="217">
        <f t="shared" si="538"/>
        <v>0.185</v>
      </c>
      <c r="CL184" s="217">
        <f t="shared" si="539"/>
        <v>111</v>
      </c>
      <c r="CM184" s="217">
        <f t="shared" si="540"/>
        <v>1.48</v>
      </c>
      <c r="CN184" s="541">
        <f t="shared" si="541"/>
        <v>19</v>
      </c>
      <c r="CO184" s="443">
        <f t="shared" si="542"/>
        <v>15.7</v>
      </c>
      <c r="CP184" s="443">
        <f t="shared" si="543"/>
        <v>34.700000000000003</v>
      </c>
      <c r="CQ184" s="443"/>
      <c r="CR184" s="217">
        <f t="shared" si="544"/>
        <v>0.44767441860465118</v>
      </c>
      <c r="CS184" s="172">
        <f t="shared" si="545"/>
        <v>209.84738372093025</v>
      </c>
      <c r="CT184" s="172">
        <f t="shared" si="546"/>
        <v>2.835271317829458</v>
      </c>
      <c r="CU184" s="217">
        <f t="shared" si="547"/>
        <v>13.989825581395349</v>
      </c>
      <c r="CV184" s="217">
        <f t="shared" si="548"/>
        <v>26.230922965116282</v>
      </c>
      <c r="CW184" s="217">
        <f t="shared" si="549"/>
        <v>15</v>
      </c>
      <c r="CX184" s="217">
        <f t="shared" si="550"/>
        <v>26.447792207792208</v>
      </c>
      <c r="CY184" s="217">
        <f t="shared" si="551"/>
        <v>16.703868762816132</v>
      </c>
      <c r="CZ184" s="217">
        <f t="shared" si="552"/>
        <v>20.214873025064108</v>
      </c>
      <c r="DA184" s="197">
        <f t="shared" si="553"/>
        <v>71.63784822286263</v>
      </c>
      <c r="DB184" s="443">
        <f t="shared" si="554"/>
        <v>27.086513558495163</v>
      </c>
      <c r="DD184" s="217">
        <f t="shared" si="555"/>
        <v>10.000000000000002</v>
      </c>
      <c r="DE184" s="173">
        <f t="shared" si="556"/>
        <v>7.6433121019108299</v>
      </c>
      <c r="DF184" s="173">
        <f t="shared" si="557"/>
        <v>2.7017291066282429</v>
      </c>
      <c r="DG184" s="173"/>
      <c r="DH184" s="173">
        <f t="shared" si="558"/>
        <v>7.6433121019108281</v>
      </c>
      <c r="DI184" s="545">
        <f t="shared" si="559"/>
        <v>193.63333333333338</v>
      </c>
      <c r="DJ184" s="528">
        <f t="shared" si="560"/>
        <v>2.7377521613832849</v>
      </c>
      <c r="DL184" s="173">
        <f t="shared" si="561"/>
        <v>7.3185999181472381</v>
      </c>
      <c r="DM184" s="173">
        <f t="shared" si="562"/>
        <v>26.447792207792208</v>
      </c>
      <c r="DN184" s="173">
        <f t="shared" si="563"/>
        <v>13.383549783549784</v>
      </c>
      <c r="DP184" s="545">
        <f t="shared" si="564"/>
        <v>7400</v>
      </c>
      <c r="DQ184" s="460">
        <f t="shared" si="565"/>
        <v>27.086513558495163</v>
      </c>
      <c r="DS184">
        <f t="shared" si="566"/>
        <v>7400</v>
      </c>
      <c r="DT184">
        <f t="shared" si="567"/>
        <v>27.086513558495163</v>
      </c>
      <c r="DV184" s="5">
        <f t="shared" si="568"/>
        <v>36.918741787880236</v>
      </c>
      <c r="DW184" s="5">
        <f t="shared" si="569"/>
        <v>16.703868762816132</v>
      </c>
      <c r="DX184" s="5">
        <f t="shared" si="570"/>
        <v>20.214873025064104</v>
      </c>
      <c r="DY184" s="173">
        <f t="shared" si="571"/>
        <v>0.45244956772334299</v>
      </c>
      <c r="EA184" s="5">
        <f t="shared" si="572"/>
        <v>824.05752563226258</v>
      </c>
      <c r="EB184" s="5">
        <f t="shared" si="573"/>
        <v>38.627696514012307</v>
      </c>
      <c r="EC184" s="5">
        <f t="shared" si="574"/>
        <v>40.723246928895016</v>
      </c>
      <c r="ED184" s="5"/>
      <c r="EE184" s="173">
        <f t="shared" si="575"/>
        <v>10.27102734758695</v>
      </c>
      <c r="EF184" s="173">
        <f t="shared" si="576"/>
        <v>11.299022145624185</v>
      </c>
      <c r="EG184" s="173">
        <f t="shared" si="577"/>
        <v>0.278266114017725</v>
      </c>
      <c r="EH184" s="173"/>
      <c r="EI184" s="528">
        <f t="shared" si="578"/>
        <v>2.1098800554975803</v>
      </c>
      <c r="EJ184" s="528">
        <f t="shared" si="579"/>
        <v>0.49716666666666681</v>
      </c>
      <c r="EK184" s="528">
        <f t="shared" si="580"/>
        <v>3.3858141948118954E-3</v>
      </c>
      <c r="EL184" s="528">
        <f t="shared" si="581"/>
        <v>3.2614600110648451E-3</v>
      </c>
      <c r="EM184">
        <f t="shared" si="582"/>
        <v>8.5500000000000003E-3</v>
      </c>
      <c r="EN184" s="460">
        <f t="shared" si="583"/>
        <v>11.935814194811895</v>
      </c>
      <c r="EP184" s="460">
        <f t="shared" si="603"/>
        <v>2622.243996370124</v>
      </c>
      <c r="EQ184" s="173">
        <f t="shared" si="584"/>
        <v>5.18</v>
      </c>
      <c r="ER184" s="173">
        <f t="shared" si="585"/>
        <v>8.2093749999999993E-2</v>
      </c>
      <c r="ES184" s="528"/>
      <c r="EU184" s="460">
        <f t="shared" si="497"/>
        <v>5262.09375</v>
      </c>
      <c r="EV184" s="528">
        <f t="shared" si="586"/>
        <v>3.16482008324637</v>
      </c>
      <c r="EW184" s="528">
        <f t="shared" si="587"/>
        <v>3.8300370434191731</v>
      </c>
      <c r="EX184" s="528">
        <f t="shared" si="588"/>
        <v>3.8716015105262765E-4</v>
      </c>
      <c r="EY184" s="528">
        <f t="shared" si="589"/>
        <v>0.68679375210278926</v>
      </c>
      <c r="EZ184" s="528"/>
      <c r="FA184" s="625">
        <f t="shared" si="590"/>
        <v>1.8946629240116274E-2</v>
      </c>
      <c r="FB184" s="460">
        <f t="shared" si="498"/>
        <v>7700.9846681595018</v>
      </c>
      <c r="FC184" s="173">
        <f t="shared" si="591"/>
        <v>15.585322414529625</v>
      </c>
      <c r="FD184" s="5">
        <f t="shared" si="592"/>
        <v>112.48</v>
      </c>
      <c r="FE184" s="173">
        <f t="shared" si="593"/>
        <v>0.87830177505755935</v>
      </c>
      <c r="FF184" s="5">
        <f t="shared" si="594"/>
        <v>87.830177505755941</v>
      </c>
      <c r="FG184">
        <f t="shared" si="595"/>
        <v>74</v>
      </c>
      <c r="FI184" s="562">
        <f t="shared" si="596"/>
        <v>-50</v>
      </c>
      <c r="FJ184">
        <f t="shared" si="597"/>
        <v>-50</v>
      </c>
    </row>
    <row r="185" spans="5:166">
      <c r="E185" s="170">
        <v>75</v>
      </c>
      <c r="F185" s="217">
        <f t="shared" si="598"/>
        <v>7.5</v>
      </c>
      <c r="G185" s="217">
        <f t="shared" si="499"/>
        <v>0.1875</v>
      </c>
      <c r="H185" s="217">
        <f t="shared" si="500"/>
        <v>112.5</v>
      </c>
      <c r="I185" s="217">
        <f t="shared" si="501"/>
        <v>1.5</v>
      </c>
      <c r="J185" s="541">
        <f t="shared" si="502"/>
        <v>18.236315885677971</v>
      </c>
      <c r="K185" s="443">
        <f t="shared" si="503"/>
        <v>16.110921052631578</v>
      </c>
      <c r="L185" s="172">
        <f t="shared" si="504"/>
        <v>34.34723693830955</v>
      </c>
      <c r="M185" s="443"/>
      <c r="N185" s="217">
        <f t="shared" si="505"/>
        <v>0.46906017743343115</v>
      </c>
      <c r="O185" s="172">
        <f t="shared" si="506"/>
        <v>211.03444650661694</v>
      </c>
      <c r="P185" s="172">
        <f t="shared" si="507"/>
        <v>2.8513098550227358</v>
      </c>
      <c r="Q185" s="217">
        <f t="shared" si="508"/>
        <v>14.068963100441129</v>
      </c>
      <c r="R185" s="217">
        <f t="shared" si="509"/>
        <v>26.379305813327118</v>
      </c>
      <c r="S185" s="217">
        <f t="shared" si="510"/>
        <v>15</v>
      </c>
      <c r="T185" s="217">
        <f t="shared" si="511"/>
        <v>26.65441634346471</v>
      </c>
      <c r="U185" s="217">
        <f t="shared" si="512"/>
        <v>17.539342821582483</v>
      </c>
      <c r="V185" s="217">
        <f t="shared" si="513"/>
        <v>19.853178789510071</v>
      </c>
      <c r="W185" s="197">
        <f t="shared" si="514"/>
        <v>71.282746375568394</v>
      </c>
      <c r="X185" s="443">
        <f t="shared" si="599"/>
        <v>26.60103544916036</v>
      </c>
      <c r="Z185" s="217">
        <f t="shared" si="515"/>
        <v>10</v>
      </c>
      <c r="AA185" s="173">
        <f t="shared" si="516"/>
        <v>7.4483637284287383</v>
      </c>
      <c r="AB185" s="173">
        <f t="shared" si="517"/>
        <v>2.6197688613482009</v>
      </c>
      <c r="AC185" s="173"/>
      <c r="AD185" s="173">
        <f t="shared" si="518"/>
        <v>7.4483637284287383</v>
      </c>
      <c r="AE185" s="545">
        <f t="shared" si="519"/>
        <v>201.38651315789471</v>
      </c>
      <c r="AF185" s="528">
        <f t="shared" si="520"/>
        <v>2.6546991128328443</v>
      </c>
      <c r="AH185" s="173">
        <f t="shared" si="521"/>
        <v>7.3678839761300727</v>
      </c>
      <c r="AI185" s="173">
        <f t="shared" si="522"/>
        <v>26.65441634346471</v>
      </c>
      <c r="AJ185" s="173">
        <f t="shared" si="523"/>
        <v>13.536604698862748</v>
      </c>
      <c r="AL185" s="545">
        <f t="shared" si="524"/>
        <v>7500</v>
      </c>
      <c r="AM185" s="460">
        <f t="shared" si="525"/>
        <v>26.60103544916036</v>
      </c>
      <c r="AO185">
        <f t="shared" si="526"/>
        <v>7500</v>
      </c>
      <c r="AP185">
        <f t="shared" si="527"/>
        <v>26.60103544916036</v>
      </c>
      <c r="AR185" s="5">
        <f t="shared" si="443"/>
        <v>37.592521611092558</v>
      </c>
      <c r="AS185" s="5">
        <f t="shared" si="604"/>
        <v>17.539342821582483</v>
      </c>
      <c r="AT185" s="5">
        <f t="shared" si="605"/>
        <v>20.053178789510074</v>
      </c>
      <c r="AU185" s="173">
        <f t="shared" si="606"/>
        <v>0.4665646801518919</v>
      </c>
      <c r="AW185" s="5">
        <f t="shared" si="477"/>
        <v>876.96714107912419</v>
      </c>
      <c r="AX185" s="5">
        <f t="shared" si="478"/>
        <v>41.107834738083952</v>
      </c>
      <c r="AY185" s="5">
        <f t="shared" si="479"/>
        <v>42.658015145437616</v>
      </c>
      <c r="AZ185" s="5"/>
      <c r="BA185" s="173">
        <f t="shared" si="480"/>
        <v>10.511494784686747</v>
      </c>
      <c r="BB185" s="173">
        <f t="shared" si="481"/>
        <v>11.239563200072451</v>
      </c>
      <c r="BC185" s="173">
        <f t="shared" si="482"/>
        <v>0.27680179175080394</v>
      </c>
      <c r="BD185" s="173"/>
      <c r="BE185" s="528">
        <f t="shared" si="483"/>
        <v>2.2098304521699332</v>
      </c>
      <c r="BF185" s="528">
        <f t="shared" si="528"/>
        <v>0.45662616909847936</v>
      </c>
      <c r="BG185" s="528">
        <f t="shared" si="529"/>
        <v>1.2127622133425147E-2</v>
      </c>
      <c r="BH185" s="528">
        <f t="shared" si="484"/>
        <v>3.1382110982102044E-3</v>
      </c>
      <c r="BI185">
        <f t="shared" si="485"/>
        <v>8.2063421485550868E-3</v>
      </c>
      <c r="BJ185" s="460">
        <f t="shared" si="600"/>
        <v>20.333964281980233</v>
      </c>
      <c r="BK185">
        <f t="shared" si="530"/>
        <v>6.8771204551877378</v>
      </c>
      <c r="BL185" s="460">
        <f t="shared" si="601"/>
        <v>2689.9287966486031</v>
      </c>
      <c r="BM185" s="173">
        <f t="shared" si="531"/>
        <v>4.6593749999999998</v>
      </c>
      <c r="BN185" s="173">
        <f t="shared" si="532"/>
        <v>0.11648437499999997</v>
      </c>
      <c r="BO185" s="528"/>
      <c r="BQ185" s="460">
        <f t="shared" si="486"/>
        <v>4775.859375</v>
      </c>
      <c r="BR185" s="528">
        <f t="shared" si="487"/>
        <v>3.3147456782549001</v>
      </c>
      <c r="BS185" s="528">
        <f t="shared" si="488"/>
        <v>3.7898334278526864</v>
      </c>
      <c r="BT185" s="528">
        <f t="shared" si="489"/>
        <v>3.8309615958227717E-4</v>
      </c>
      <c r="BU185" s="528">
        <f t="shared" si="490"/>
        <v>0.66932847592106159</v>
      </c>
      <c r="BV185" s="528"/>
      <c r="BW185" s="625">
        <f t="shared" si="533"/>
        <v>1.8898916065293193E-2</v>
      </c>
      <c r="BX185" s="460">
        <f t="shared" si="491"/>
        <v>7793.189594253523</v>
      </c>
      <c r="BY185" s="173">
        <f t="shared" si="492"/>
        <v>15.258977765902126</v>
      </c>
      <c r="BZ185" s="5">
        <f t="shared" si="493"/>
        <v>114</v>
      </c>
      <c r="CA185" s="173">
        <f t="shared" si="494"/>
        <v>0.88195034472934408</v>
      </c>
      <c r="CB185" s="5">
        <f t="shared" si="495"/>
        <v>88.19503447293441</v>
      </c>
      <c r="CC185">
        <f t="shared" si="496"/>
        <v>75</v>
      </c>
      <c r="CE185" s="562">
        <f t="shared" si="534"/>
        <v>-50</v>
      </c>
      <c r="CF185">
        <f t="shared" si="535"/>
        <v>-50</v>
      </c>
      <c r="CG185" s="173">
        <f t="shared" si="536"/>
        <v>0.54755043227665712</v>
      </c>
      <c r="CH185" s="173">
        <f t="shared" si="537"/>
        <v>6.4398811101315845E-2</v>
      </c>
      <c r="CI185" s="170">
        <v>75</v>
      </c>
      <c r="CJ185" s="217">
        <f t="shared" si="602"/>
        <v>7.5</v>
      </c>
      <c r="CK185" s="217">
        <f t="shared" si="538"/>
        <v>0.1875</v>
      </c>
      <c r="CL185" s="217">
        <f t="shared" si="539"/>
        <v>112.5</v>
      </c>
      <c r="CM185" s="217">
        <f t="shared" si="540"/>
        <v>1.5</v>
      </c>
      <c r="CN185" s="541">
        <f t="shared" si="541"/>
        <v>19</v>
      </c>
      <c r="CO185" s="443">
        <f t="shared" si="542"/>
        <v>15.7</v>
      </c>
      <c r="CP185" s="443">
        <f t="shared" si="543"/>
        <v>34.700000000000003</v>
      </c>
      <c r="CQ185" s="443"/>
      <c r="CR185" s="217">
        <f t="shared" si="544"/>
        <v>0.44767441860465118</v>
      </c>
      <c r="CS185" s="172">
        <f t="shared" si="545"/>
        <v>209.84738372093025</v>
      </c>
      <c r="CT185" s="172">
        <f t="shared" si="546"/>
        <v>2.835271317829458</v>
      </c>
      <c r="CU185" s="217">
        <f t="shared" si="547"/>
        <v>13.989825581395349</v>
      </c>
      <c r="CV185" s="217">
        <f t="shared" si="548"/>
        <v>26.230922965116282</v>
      </c>
      <c r="CW185" s="217">
        <f t="shared" si="549"/>
        <v>15</v>
      </c>
      <c r="CX185" s="217">
        <f t="shared" si="550"/>
        <v>26.805194805194805</v>
      </c>
      <c r="CY185" s="217">
        <f t="shared" si="551"/>
        <v>16.929596719070403</v>
      </c>
      <c r="CZ185" s="217">
        <f t="shared" si="552"/>
        <v>20.488046984862272</v>
      </c>
      <c r="DA185" s="197">
        <f t="shared" si="553"/>
        <v>71.63784822286263</v>
      </c>
      <c r="DB185" s="443">
        <f t="shared" si="554"/>
        <v>26.72536004438189</v>
      </c>
      <c r="DD185" s="217">
        <f t="shared" si="555"/>
        <v>10.000000000000002</v>
      </c>
      <c r="DE185" s="173">
        <f t="shared" si="556"/>
        <v>7.6433121019108299</v>
      </c>
      <c r="DF185" s="173">
        <f t="shared" si="557"/>
        <v>2.7017291066282429</v>
      </c>
      <c r="DG185" s="173"/>
      <c r="DH185" s="173">
        <f t="shared" si="558"/>
        <v>7.6433121019108281</v>
      </c>
      <c r="DI185" s="545">
        <f t="shared" si="559"/>
        <v>196.25000000000003</v>
      </c>
      <c r="DJ185" s="528">
        <f t="shared" si="560"/>
        <v>2.7377521613832849</v>
      </c>
      <c r="DL185" s="173">
        <f t="shared" si="561"/>
        <v>7.3678839761300727</v>
      </c>
      <c r="DM185" s="173">
        <f t="shared" si="562"/>
        <v>26.805194805194805</v>
      </c>
      <c r="DN185" s="173">
        <f t="shared" si="563"/>
        <v>13.648292448292448</v>
      </c>
      <c r="DP185" s="545">
        <f t="shared" si="564"/>
        <v>7500</v>
      </c>
      <c r="DQ185" s="460">
        <f t="shared" si="565"/>
        <v>26.72536004438189</v>
      </c>
      <c r="DS185">
        <f t="shared" si="566"/>
        <v>7500</v>
      </c>
      <c r="DT185">
        <f t="shared" si="567"/>
        <v>26.72536004438189</v>
      </c>
      <c r="DV185" s="5">
        <f t="shared" si="568"/>
        <v>37.417643703932676</v>
      </c>
      <c r="DW185" s="5">
        <f t="shared" si="569"/>
        <v>16.929596719070403</v>
      </c>
      <c r="DX185" s="5">
        <f t="shared" si="570"/>
        <v>20.488046984862272</v>
      </c>
      <c r="DY185" s="173">
        <f t="shared" si="571"/>
        <v>0.45244956772334294</v>
      </c>
      <c r="EA185" s="5">
        <f t="shared" si="572"/>
        <v>846.47983595352014</v>
      </c>
      <c r="EB185" s="5">
        <f t="shared" si="573"/>
        <v>39.678742310321255</v>
      </c>
      <c r="EC185" s="5">
        <f t="shared" si="574"/>
        <v>41.831311901942023</v>
      </c>
      <c r="ED185" s="5"/>
      <c r="EE185" s="173">
        <f t="shared" si="575"/>
        <v>10.409825014446231</v>
      </c>
      <c r="EF185" s="173">
        <f t="shared" si="576"/>
        <v>11.451711634078567</v>
      </c>
      <c r="EG185" s="173">
        <f t="shared" si="577"/>
        <v>0.2820264669098565</v>
      </c>
      <c r="EH185" s="173"/>
      <c r="EI185" s="528">
        <f t="shared" si="578"/>
        <v>2.1672891366278093</v>
      </c>
      <c r="EJ185" s="528">
        <f t="shared" si="579"/>
        <v>0.49716666666666665</v>
      </c>
      <c r="EK185" s="528">
        <f t="shared" si="580"/>
        <v>3.3406700055477359E-3</v>
      </c>
      <c r="EL185" s="528">
        <f t="shared" si="581"/>
        <v>3.2179738775839802E-3</v>
      </c>
      <c r="EM185">
        <f t="shared" si="582"/>
        <v>8.5500000000000003E-3</v>
      </c>
      <c r="EN185" s="460">
        <f t="shared" si="583"/>
        <v>11.890670005547737</v>
      </c>
      <c r="EP185" s="460">
        <f t="shared" si="603"/>
        <v>2679.5644471776077</v>
      </c>
      <c r="EQ185" s="173">
        <f t="shared" si="584"/>
        <v>5.25</v>
      </c>
      <c r="ER185" s="173">
        <f t="shared" si="585"/>
        <v>8.3203124999999989E-2</v>
      </c>
      <c r="ES185" s="528"/>
      <c r="EU185" s="460">
        <f t="shared" si="497"/>
        <v>5333.203125</v>
      </c>
      <c r="EV185" s="528">
        <f t="shared" si="586"/>
        <v>3.2509337049417142</v>
      </c>
      <c r="EW185" s="528">
        <f t="shared" si="587"/>
        <v>3.9342509805027115</v>
      </c>
      <c r="EX185" s="528">
        <f t="shared" si="588"/>
        <v>3.9769464018828192E-4</v>
      </c>
      <c r="EY185" s="528">
        <f t="shared" si="589"/>
        <v>0.68679375210278926</v>
      </c>
      <c r="EZ185" s="528"/>
      <c r="FA185" s="625">
        <f t="shared" si="590"/>
        <v>1.9202664770388112E-2</v>
      </c>
      <c r="FB185" s="460">
        <f t="shared" si="498"/>
        <v>7891.5787969577923</v>
      </c>
      <c r="FC185" s="173">
        <f t="shared" si="591"/>
        <v>15.9043463691354</v>
      </c>
      <c r="FD185" s="5">
        <f t="shared" si="592"/>
        <v>114</v>
      </c>
      <c r="FE185" s="173">
        <f t="shared" si="593"/>
        <v>0.87756878954656603</v>
      </c>
      <c r="FF185" s="5">
        <f t="shared" si="594"/>
        <v>87.756878954656599</v>
      </c>
      <c r="FG185">
        <f t="shared" si="595"/>
        <v>75</v>
      </c>
      <c r="FI185" s="562">
        <f t="shared" si="596"/>
        <v>-50</v>
      </c>
      <c r="FJ185">
        <f t="shared" si="597"/>
        <v>-50</v>
      </c>
    </row>
    <row r="186" spans="5:166">
      <c r="E186" s="170">
        <v>76</v>
      </c>
      <c r="F186" s="217">
        <f t="shared" si="598"/>
        <v>7.6</v>
      </c>
      <c r="G186" s="217">
        <f t="shared" si="499"/>
        <v>0.19</v>
      </c>
      <c r="H186" s="217">
        <f t="shared" si="500"/>
        <v>114</v>
      </c>
      <c r="I186" s="217">
        <f t="shared" si="501"/>
        <v>1.52</v>
      </c>
      <c r="J186" s="541">
        <f t="shared" si="502"/>
        <v>18.226133430820344</v>
      </c>
      <c r="K186" s="443">
        <f t="shared" si="503"/>
        <v>16.116399999999999</v>
      </c>
      <c r="L186" s="172">
        <f t="shared" si="504"/>
        <v>34.342533430820339</v>
      </c>
      <c r="M186" s="443"/>
      <c r="N186" s="217">
        <f t="shared" si="505"/>
        <v>0.46928395752936819</v>
      </c>
      <c r="O186" s="172">
        <f t="shared" si="506"/>
        <v>211.01723750510754</v>
      </c>
      <c r="P186" s="172">
        <f t="shared" si="507"/>
        <v>2.851077342291231</v>
      </c>
      <c r="Q186" s="217">
        <f t="shared" si="508"/>
        <v>14.067815833673837</v>
      </c>
      <c r="R186" s="217">
        <f t="shared" si="509"/>
        <v>26.377154688138443</v>
      </c>
      <c r="S186" s="217">
        <f t="shared" si="510"/>
        <v>15</v>
      </c>
      <c r="T186" s="217">
        <f t="shared" si="511"/>
        <v>27.012011281125954</v>
      </c>
      <c r="U186" s="217">
        <f t="shared" si="512"/>
        <v>17.784580399558831</v>
      </c>
      <c r="V186" s="217">
        <f t="shared" si="513"/>
        <v>20.112688650909103</v>
      </c>
      <c r="W186" s="197">
        <f t="shared" si="514"/>
        <v>71.276933557280756</v>
      </c>
      <c r="X186" s="443">
        <f t="shared" si="599"/>
        <v>26.248600619516516</v>
      </c>
      <c r="Z186" s="217">
        <f t="shared" si="515"/>
        <v>10</v>
      </c>
      <c r="AA186" s="173">
        <f t="shared" si="516"/>
        <v>7.4458315752897679</v>
      </c>
      <c r="AB186" s="173">
        <f t="shared" si="517"/>
        <v>2.6186646832432494</v>
      </c>
      <c r="AC186" s="173"/>
      <c r="AD186" s="173">
        <f t="shared" si="518"/>
        <v>7.4458315752897679</v>
      </c>
      <c r="AE186" s="545">
        <f t="shared" si="519"/>
        <v>204.14106666666666</v>
      </c>
      <c r="AF186" s="528">
        <f t="shared" si="520"/>
        <v>2.6535802123531593</v>
      </c>
      <c r="AH186" s="173">
        <f t="shared" si="521"/>
        <v>7.4168405544088518</v>
      </c>
      <c r="AI186" s="173">
        <f t="shared" si="522"/>
        <v>27.012011281125954</v>
      </c>
      <c r="AJ186" s="173">
        <f t="shared" si="523"/>
        <v>13.801489837871076</v>
      </c>
      <c r="AL186" s="545">
        <f t="shared" si="524"/>
        <v>7600</v>
      </c>
      <c r="AM186" s="460">
        <f t="shared" si="525"/>
        <v>26.248600619516516</v>
      </c>
      <c r="AO186">
        <f t="shared" si="526"/>
        <v>7600</v>
      </c>
      <c r="AP186">
        <f t="shared" si="527"/>
        <v>26.248600619516516</v>
      </c>
      <c r="AR186" s="5">
        <f t="shared" si="443"/>
        <v>38.097269050467929</v>
      </c>
      <c r="AS186" s="5">
        <f t="shared" si="604"/>
        <v>17.784580399558831</v>
      </c>
      <c r="AT186" s="5">
        <f t="shared" si="605"/>
        <v>20.312688650909099</v>
      </c>
      <c r="AU186" s="173">
        <f t="shared" si="606"/>
        <v>0.46682034809370127</v>
      </c>
      <c r="AW186" s="5">
        <f t="shared" si="477"/>
        <v>901.08540691098074</v>
      </c>
      <c r="AX186" s="5">
        <f t="shared" si="478"/>
        <v>42.238378448952226</v>
      </c>
      <c r="AY186" s="5">
        <f t="shared" si="479"/>
        <v>43.810652340137821</v>
      </c>
      <c r="AZ186" s="5"/>
      <c r="BA186" s="173">
        <f t="shared" si="480"/>
        <v>10.655434999292559</v>
      </c>
      <c r="BB186" s="173">
        <f t="shared" si="481"/>
        <v>11.387622935732013</v>
      </c>
      <c r="BC186" s="173">
        <f t="shared" si="482"/>
        <v>0.28044812563292959</v>
      </c>
      <c r="BD186" s="173"/>
      <c r="BE186" s="528">
        <f t="shared" si="483"/>
        <v>2.2707659004829766</v>
      </c>
      <c r="BF186" s="528">
        <f t="shared" si="528"/>
        <v>0.45655875912008292</v>
      </c>
      <c r="BG186" s="528">
        <f t="shared" si="529"/>
        <v>1.1960262431590539E-2</v>
      </c>
      <c r="BH186" s="528">
        <f t="shared" si="484"/>
        <v>3.0957851621454379E-3</v>
      </c>
      <c r="BI186">
        <f t="shared" si="485"/>
        <v>8.2017600438691537E-3</v>
      </c>
      <c r="BJ186" s="460">
        <f t="shared" si="600"/>
        <v>20.162022475459693</v>
      </c>
      <c r="BK186">
        <f t="shared" si="530"/>
        <v>7.2611812334050505</v>
      </c>
      <c r="BL186" s="460">
        <f t="shared" si="601"/>
        <v>2750.5824672406648</v>
      </c>
      <c r="BM186" s="173">
        <f t="shared" si="531"/>
        <v>4.7214999999999989</v>
      </c>
      <c r="BN186" s="173">
        <f t="shared" si="532"/>
        <v>0.11803749999999998</v>
      </c>
      <c r="BO186" s="528"/>
      <c r="BQ186" s="460">
        <f t="shared" si="486"/>
        <v>4839.5374999999985</v>
      </c>
      <c r="BR186" s="528">
        <f t="shared" si="487"/>
        <v>3.4061488507244646</v>
      </c>
      <c r="BS186" s="528">
        <f t="shared" si="488"/>
        <v>3.8903386837922933</v>
      </c>
      <c r="BT186" s="528">
        <f t="shared" si="489"/>
        <v>3.9325575585511733E-4</v>
      </c>
      <c r="BU186" s="528">
        <f t="shared" si="490"/>
        <v>0.66931059204611532</v>
      </c>
      <c r="BV186" s="528"/>
      <c r="BW186" s="625">
        <f t="shared" si="533"/>
        <v>1.9152258721881112E-2</v>
      </c>
      <c r="BX186" s="460">
        <f t="shared" si="491"/>
        <v>7985.3436410406102</v>
      </c>
      <c r="BY186" s="173">
        <f t="shared" si="492"/>
        <v>15.575463608281273</v>
      </c>
      <c r="BZ186" s="5">
        <f t="shared" si="493"/>
        <v>115.52</v>
      </c>
      <c r="CA186" s="173">
        <f t="shared" si="494"/>
        <v>0.88118991169045013</v>
      </c>
      <c r="CB186" s="5">
        <f t="shared" si="495"/>
        <v>88.118991169045017</v>
      </c>
      <c r="CC186">
        <f t="shared" si="496"/>
        <v>76</v>
      </c>
      <c r="CE186" s="562">
        <f t="shared" si="534"/>
        <v>-50</v>
      </c>
      <c r="CF186">
        <f t="shared" si="535"/>
        <v>-50</v>
      </c>
      <c r="CG186" s="173">
        <f t="shared" si="536"/>
        <v>0.54755043227665712</v>
      </c>
      <c r="CH186" s="173">
        <f t="shared" si="537"/>
        <v>6.4398811101315859E-2</v>
      </c>
      <c r="CI186" s="170">
        <v>76</v>
      </c>
      <c r="CJ186" s="217">
        <f t="shared" si="602"/>
        <v>7.6</v>
      </c>
      <c r="CK186" s="217">
        <f t="shared" si="538"/>
        <v>0.19</v>
      </c>
      <c r="CL186" s="217">
        <f t="shared" si="539"/>
        <v>114</v>
      </c>
      <c r="CM186" s="217">
        <f t="shared" si="540"/>
        <v>1.52</v>
      </c>
      <c r="CN186" s="541">
        <f t="shared" si="541"/>
        <v>19</v>
      </c>
      <c r="CO186" s="443">
        <f t="shared" si="542"/>
        <v>15.7</v>
      </c>
      <c r="CP186" s="443">
        <f t="shared" si="543"/>
        <v>34.700000000000003</v>
      </c>
      <c r="CQ186" s="443"/>
      <c r="CR186" s="217">
        <f t="shared" si="544"/>
        <v>0.44767441860465118</v>
      </c>
      <c r="CS186" s="172">
        <f t="shared" si="545"/>
        <v>209.84738372093025</v>
      </c>
      <c r="CT186" s="172">
        <f t="shared" si="546"/>
        <v>2.835271317829458</v>
      </c>
      <c r="CU186" s="217">
        <f t="shared" si="547"/>
        <v>13.989825581395349</v>
      </c>
      <c r="CV186" s="217">
        <f t="shared" si="548"/>
        <v>26.230922965116282</v>
      </c>
      <c r="CW186" s="217">
        <f t="shared" si="549"/>
        <v>15</v>
      </c>
      <c r="CX186" s="217">
        <f t="shared" si="550"/>
        <v>27.162597402597399</v>
      </c>
      <c r="CY186" s="217">
        <f t="shared" si="551"/>
        <v>17.155324675324671</v>
      </c>
      <c r="CZ186" s="217">
        <f t="shared" si="552"/>
        <v>20.761220944660433</v>
      </c>
      <c r="DA186" s="197">
        <f t="shared" si="553"/>
        <v>71.63784822286263</v>
      </c>
      <c r="DB186" s="443">
        <f t="shared" si="554"/>
        <v>26.373710570113719</v>
      </c>
      <c r="DD186" s="217">
        <f t="shared" si="555"/>
        <v>10.000000000000002</v>
      </c>
      <c r="DE186" s="173">
        <f t="shared" si="556"/>
        <v>7.6433121019108299</v>
      </c>
      <c r="DF186" s="173">
        <f t="shared" si="557"/>
        <v>2.7017291066282429</v>
      </c>
      <c r="DG186" s="173"/>
      <c r="DH186" s="173">
        <f t="shared" si="558"/>
        <v>7.6433121019108281</v>
      </c>
      <c r="DI186" s="545">
        <f t="shared" si="559"/>
        <v>198.86666666666667</v>
      </c>
      <c r="DJ186" s="528">
        <f t="shared" si="560"/>
        <v>2.7377521613832849</v>
      </c>
      <c r="DL186" s="173">
        <f t="shared" si="561"/>
        <v>7.4168405544088518</v>
      </c>
      <c r="DM186" s="173">
        <f t="shared" si="562"/>
        <v>27.162597402597399</v>
      </c>
      <c r="DN186" s="173">
        <f t="shared" si="563"/>
        <v>13.913035113035109</v>
      </c>
      <c r="DP186" s="545">
        <f t="shared" si="564"/>
        <v>7600</v>
      </c>
      <c r="DQ186" s="460">
        <f t="shared" si="565"/>
        <v>26.373710570113719</v>
      </c>
      <c r="DS186">
        <f t="shared" si="566"/>
        <v>7600</v>
      </c>
      <c r="DT186">
        <f t="shared" si="567"/>
        <v>26.373710570113719</v>
      </c>
      <c r="DV186" s="5">
        <f t="shared" si="568"/>
        <v>37.916545619985101</v>
      </c>
      <c r="DW186" s="5">
        <f t="shared" si="569"/>
        <v>17.155324675324671</v>
      </c>
      <c r="DX186" s="5">
        <f t="shared" si="570"/>
        <v>20.76122094466043</v>
      </c>
      <c r="DY186" s="173">
        <f t="shared" si="571"/>
        <v>0.45244956772334294</v>
      </c>
      <c r="EA186" s="5">
        <f t="shared" si="572"/>
        <v>869.20311688311654</v>
      </c>
      <c r="EB186" s="5">
        <f t="shared" si="573"/>
        <v>40.743896103896098</v>
      </c>
      <c r="EC186" s="5">
        <f t="shared" si="574"/>
        <v>42.954250230331915</v>
      </c>
      <c r="ED186" s="5"/>
      <c r="EE186" s="173">
        <f t="shared" si="575"/>
        <v>10.548622681305512</v>
      </c>
      <c r="EF186" s="173">
        <f t="shared" si="576"/>
        <v>11.604401122532947</v>
      </c>
      <c r="EG186" s="173">
        <f t="shared" si="577"/>
        <v>0.28578681980198789</v>
      </c>
      <c r="EH186" s="173"/>
      <c r="EI186" s="528">
        <f t="shared" si="578"/>
        <v>2.2254688094510615</v>
      </c>
      <c r="EJ186" s="528">
        <f t="shared" si="579"/>
        <v>0.49716666666666681</v>
      </c>
      <c r="EK186" s="528">
        <f t="shared" si="580"/>
        <v>3.2967138212642148E-3</v>
      </c>
      <c r="EL186" s="528">
        <f t="shared" si="581"/>
        <v>3.1756321160368237E-3</v>
      </c>
      <c r="EM186">
        <f t="shared" si="582"/>
        <v>8.5500000000000003E-3</v>
      </c>
      <c r="EN186" s="460">
        <f t="shared" si="583"/>
        <v>11.846713821264215</v>
      </c>
      <c r="EP186" s="460">
        <f t="shared" si="603"/>
        <v>2737.6578220550296</v>
      </c>
      <c r="EQ186" s="173">
        <f t="shared" si="584"/>
        <v>5.3199999999999994</v>
      </c>
      <c r="ER186" s="173">
        <f t="shared" si="585"/>
        <v>8.4312499999999999E-2</v>
      </c>
      <c r="ES186" s="528"/>
      <c r="EU186" s="460">
        <f t="shared" si="497"/>
        <v>5404.3125</v>
      </c>
      <c r="EV186" s="528">
        <f t="shared" si="586"/>
        <v>3.338203214176592</v>
      </c>
      <c r="EW186" s="528">
        <f t="shared" si="587"/>
        <v>4.0398637623793174</v>
      </c>
      <c r="EX186" s="528">
        <f t="shared" si="588"/>
        <v>4.0837053186266954E-4</v>
      </c>
      <c r="EY186" s="528">
        <f t="shared" si="589"/>
        <v>0.68679375210278926</v>
      </c>
      <c r="EZ186" s="528"/>
      <c r="FA186" s="625">
        <f t="shared" si="590"/>
        <v>1.9458700300659958E-2</v>
      </c>
      <c r="FB186" s="460">
        <f t="shared" si="498"/>
        <v>8084.727799491221</v>
      </c>
      <c r="FC186" s="173">
        <f t="shared" si="591"/>
        <v>16.226698121546253</v>
      </c>
      <c r="FD186" s="5">
        <f t="shared" si="592"/>
        <v>115.52</v>
      </c>
      <c r="FE186" s="173">
        <f t="shared" si="593"/>
        <v>0.87683411916269882</v>
      </c>
      <c r="FF186" s="5">
        <f t="shared" si="594"/>
        <v>87.683411916269876</v>
      </c>
      <c r="FG186">
        <f t="shared" si="595"/>
        <v>76</v>
      </c>
      <c r="FI186" s="562">
        <f t="shared" si="596"/>
        <v>-50</v>
      </c>
      <c r="FJ186">
        <f t="shared" si="597"/>
        <v>-50</v>
      </c>
    </row>
    <row r="187" spans="5:166">
      <c r="E187" s="170">
        <v>77</v>
      </c>
      <c r="F187" s="217">
        <f t="shared" si="598"/>
        <v>7.7</v>
      </c>
      <c r="G187" s="217">
        <f t="shared" si="499"/>
        <v>0.1925</v>
      </c>
      <c r="H187" s="217">
        <f t="shared" si="500"/>
        <v>115.5</v>
      </c>
      <c r="I187" s="217">
        <f t="shared" si="501"/>
        <v>1.54</v>
      </c>
      <c r="J187" s="541">
        <f t="shared" si="502"/>
        <v>18.215950975962716</v>
      </c>
      <c r="K187" s="443">
        <f t="shared" si="503"/>
        <v>16.121878947368419</v>
      </c>
      <c r="L187" s="172">
        <f t="shared" si="504"/>
        <v>34.337829923331135</v>
      </c>
      <c r="M187" s="443"/>
      <c r="N187" s="217">
        <f t="shared" si="505"/>
        <v>0.46950779893094724</v>
      </c>
      <c r="O187" s="172">
        <f t="shared" si="506"/>
        <v>210.99994362232636</v>
      </c>
      <c r="P187" s="172">
        <f t="shared" si="507"/>
        <v>2.8508436827194319</v>
      </c>
      <c r="Q187" s="217">
        <f t="shared" si="508"/>
        <v>14.06666290815509</v>
      </c>
      <c r="R187" s="217">
        <f t="shared" si="509"/>
        <v>26.374992952790794</v>
      </c>
      <c r="S187" s="217">
        <f t="shared" si="510"/>
        <v>15</v>
      </c>
      <c r="T187" s="217">
        <f t="shared" si="511"/>
        <v>27.369675559424817</v>
      </c>
      <c r="U187" s="217">
        <f t="shared" si="512"/>
        <v>18.030137825167259</v>
      </c>
      <c r="V187" s="217">
        <f t="shared" si="513"/>
        <v>20.372073738136372</v>
      </c>
      <c r="W187" s="197">
        <f t="shared" si="514"/>
        <v>71.271092067985791</v>
      </c>
      <c r="X187" s="443">
        <f t="shared" si="599"/>
        <v>25.905251525812282</v>
      </c>
      <c r="Z187" s="217">
        <f t="shared" si="515"/>
        <v>10</v>
      </c>
      <c r="AA187" s="173">
        <f t="shared" si="516"/>
        <v>7.4433011432322935</v>
      </c>
      <c r="AB187" s="173">
        <f t="shared" si="517"/>
        <v>2.6175602026433515</v>
      </c>
      <c r="AC187" s="173"/>
      <c r="AD187" s="173">
        <f t="shared" si="518"/>
        <v>7.4433011432322935</v>
      </c>
      <c r="AE187" s="545">
        <f t="shared" si="519"/>
        <v>206.89744649122804</v>
      </c>
      <c r="AF187" s="528">
        <f t="shared" si="520"/>
        <v>2.652461005345264</v>
      </c>
      <c r="AH187" s="173">
        <f t="shared" si="521"/>
        <v>7.4654760955570234</v>
      </c>
      <c r="AI187" s="173">
        <f t="shared" si="522"/>
        <v>27.369675559424817</v>
      </c>
      <c r="AJ187" s="173">
        <f t="shared" si="523"/>
        <v>14.066426340314678</v>
      </c>
      <c r="AL187" s="545">
        <f t="shared" si="524"/>
        <v>7700</v>
      </c>
      <c r="AM187" s="460">
        <f t="shared" si="525"/>
        <v>25.905251525812282</v>
      </c>
      <c r="AO187">
        <f t="shared" si="526"/>
        <v>7700</v>
      </c>
      <c r="AP187">
        <f t="shared" si="527"/>
        <v>25.905251525812282</v>
      </c>
      <c r="AR187" s="5">
        <f t="shared" si="443"/>
        <v>38.602211563303641</v>
      </c>
      <c r="AS187" s="5">
        <f t="shared" si="604"/>
        <v>18.030137825167259</v>
      </c>
      <c r="AT187" s="5">
        <f t="shared" si="605"/>
        <v>20.572073738136382</v>
      </c>
      <c r="AU187" s="173">
        <f t="shared" si="606"/>
        <v>0.4670752554060198</v>
      </c>
      <c r="AW187" s="5">
        <f t="shared" si="477"/>
        <v>925.54707502525252</v>
      </c>
      <c r="AX187" s="5">
        <f t="shared" si="478"/>
        <v>43.385019141808712</v>
      </c>
      <c r="AY187" s="5">
        <f t="shared" si="479"/>
        <v>44.979042891663099</v>
      </c>
      <c r="AZ187" s="5"/>
      <c r="BA187" s="173">
        <f t="shared" si="480"/>
        <v>10.799470237724707</v>
      </c>
      <c r="BB187" s="173">
        <f t="shared" si="481"/>
        <v>11.535647185740828</v>
      </c>
      <c r="BC187" s="173">
        <f t="shared" si="482"/>
        <v>0.28409358559393105</v>
      </c>
      <c r="BD187" s="173"/>
      <c r="BE187" s="528">
        <f t="shared" si="483"/>
        <v>2.3325711483100346</v>
      </c>
      <c r="BF187" s="528">
        <f t="shared" si="528"/>
        <v>0.45649032773440446</v>
      </c>
      <c r="BG187" s="528">
        <f t="shared" si="529"/>
        <v>1.1797219795354497E-2</v>
      </c>
      <c r="BH187" s="528">
        <f t="shared" si="484"/>
        <v>3.0544534007074572E-3</v>
      </c>
      <c r="BI187">
        <f t="shared" si="485"/>
        <v>8.1971779391832224E-3</v>
      </c>
      <c r="BJ187" s="460">
        <f t="shared" si="600"/>
        <v>19.994397734537721</v>
      </c>
      <c r="BK187">
        <f t="shared" si="530"/>
        <v>7.6762118820872667</v>
      </c>
      <c r="BL187" s="460">
        <f t="shared" si="601"/>
        <v>2812.1103271796842</v>
      </c>
      <c r="BM187" s="173">
        <f t="shared" si="531"/>
        <v>4.7836249999999998</v>
      </c>
      <c r="BN187" s="173">
        <f t="shared" si="532"/>
        <v>0.11959062499999998</v>
      </c>
      <c r="BO187" s="528"/>
      <c r="BQ187" s="460">
        <f t="shared" si="486"/>
        <v>4903.2156249999998</v>
      </c>
      <c r="BR187" s="528">
        <f t="shared" si="487"/>
        <v>3.4988567224650517</v>
      </c>
      <c r="BS187" s="528">
        <f t="shared" si="488"/>
        <v>3.9921346798167079</v>
      </c>
      <c r="BT187" s="528">
        <f t="shared" si="489"/>
        <v>4.0354582687808114E-4</v>
      </c>
      <c r="BU187" s="528">
        <f t="shared" si="490"/>
        <v>0.6692889596799273</v>
      </c>
      <c r="BV187" s="528"/>
      <c r="BW187" s="625">
        <f t="shared" si="533"/>
        <v>1.9405601645380629E-2</v>
      </c>
      <c r="BX187" s="460">
        <f t="shared" si="491"/>
        <v>8180.0895094339467</v>
      </c>
      <c r="BY187" s="173">
        <f t="shared" si="492"/>
        <v>15.895415461613629</v>
      </c>
      <c r="BZ187" s="5">
        <f t="shared" si="493"/>
        <v>117.04</v>
      </c>
      <c r="CA187" s="173">
        <f t="shared" si="494"/>
        <v>0.88042753387863304</v>
      </c>
      <c r="CB187" s="5">
        <f t="shared" si="495"/>
        <v>88.0427533878633</v>
      </c>
      <c r="CC187">
        <f t="shared" si="496"/>
        <v>77</v>
      </c>
      <c r="CE187" s="562">
        <f t="shared" si="534"/>
        <v>-50</v>
      </c>
      <c r="CF187">
        <f t="shared" si="535"/>
        <v>-50</v>
      </c>
      <c r="CG187" s="173">
        <f t="shared" si="536"/>
        <v>0.54755043227665712</v>
      </c>
      <c r="CH187" s="173">
        <f t="shared" si="537"/>
        <v>6.4398811101315859E-2</v>
      </c>
      <c r="CI187" s="170">
        <v>77</v>
      </c>
      <c r="CJ187" s="217">
        <f t="shared" si="602"/>
        <v>7.7</v>
      </c>
      <c r="CK187" s="217">
        <f t="shared" si="538"/>
        <v>0.1925</v>
      </c>
      <c r="CL187" s="217">
        <f t="shared" si="539"/>
        <v>115.5</v>
      </c>
      <c r="CM187" s="217">
        <f t="shared" si="540"/>
        <v>1.54</v>
      </c>
      <c r="CN187" s="541">
        <f t="shared" si="541"/>
        <v>19</v>
      </c>
      <c r="CO187" s="443">
        <f t="shared" si="542"/>
        <v>15.7</v>
      </c>
      <c r="CP187" s="443">
        <f t="shared" si="543"/>
        <v>34.700000000000003</v>
      </c>
      <c r="CQ187" s="443"/>
      <c r="CR187" s="217">
        <f t="shared" si="544"/>
        <v>0.44767441860465118</v>
      </c>
      <c r="CS187" s="172">
        <f t="shared" si="545"/>
        <v>209.84738372093025</v>
      </c>
      <c r="CT187" s="172">
        <f t="shared" si="546"/>
        <v>2.835271317829458</v>
      </c>
      <c r="CU187" s="217">
        <f t="shared" si="547"/>
        <v>13.989825581395349</v>
      </c>
      <c r="CV187" s="217">
        <f t="shared" si="548"/>
        <v>26.230922965116282</v>
      </c>
      <c r="CW187" s="217">
        <f t="shared" si="549"/>
        <v>15</v>
      </c>
      <c r="CX187" s="217">
        <f t="shared" si="550"/>
        <v>27.52</v>
      </c>
      <c r="CY187" s="217">
        <f t="shared" si="551"/>
        <v>17.381052631578946</v>
      </c>
      <c r="CZ187" s="217">
        <f t="shared" si="552"/>
        <v>21.034394904458601</v>
      </c>
      <c r="DA187" s="197">
        <f t="shared" si="553"/>
        <v>71.63784822286263</v>
      </c>
      <c r="DB187" s="443">
        <f t="shared" si="554"/>
        <v>26.031194848423922</v>
      </c>
      <c r="DD187" s="217">
        <f t="shared" si="555"/>
        <v>10.000000000000002</v>
      </c>
      <c r="DE187" s="173">
        <f t="shared" si="556"/>
        <v>7.6433121019108299</v>
      </c>
      <c r="DF187" s="173">
        <f t="shared" si="557"/>
        <v>2.7017291066282429</v>
      </c>
      <c r="DG187" s="173"/>
      <c r="DH187" s="173">
        <f t="shared" si="558"/>
        <v>7.6433121019108281</v>
      </c>
      <c r="DI187" s="545">
        <f t="shared" si="559"/>
        <v>201.48333333333335</v>
      </c>
      <c r="DJ187" s="528">
        <f t="shared" si="560"/>
        <v>2.7377521613832849</v>
      </c>
      <c r="DL187" s="173">
        <f t="shared" si="561"/>
        <v>7.4654760955570234</v>
      </c>
      <c r="DM187" s="173">
        <f t="shared" si="562"/>
        <v>27.52</v>
      </c>
      <c r="DN187" s="173">
        <f t="shared" si="563"/>
        <v>14.177777777777777</v>
      </c>
      <c r="DP187" s="545">
        <f t="shared" si="564"/>
        <v>7700</v>
      </c>
      <c r="DQ187" s="460">
        <f t="shared" si="565"/>
        <v>26.031194848423922</v>
      </c>
      <c r="DS187">
        <f t="shared" si="566"/>
        <v>7700</v>
      </c>
      <c r="DT187">
        <f t="shared" si="567"/>
        <v>26.031194848423922</v>
      </c>
      <c r="DV187" s="5">
        <f t="shared" si="568"/>
        <v>38.415447536037547</v>
      </c>
      <c r="DW187" s="5">
        <f t="shared" si="569"/>
        <v>17.381052631578946</v>
      </c>
      <c r="DX187" s="5">
        <f t="shared" si="570"/>
        <v>21.034394904458601</v>
      </c>
      <c r="DY187" s="173">
        <f t="shared" si="571"/>
        <v>0.45244956772334288</v>
      </c>
      <c r="EA187" s="5">
        <f t="shared" si="572"/>
        <v>892.22736842105257</v>
      </c>
      <c r="EB187" s="5">
        <f t="shared" si="573"/>
        <v>41.823157894736838</v>
      </c>
      <c r="EC187" s="5">
        <f t="shared" si="574"/>
        <v>44.092061914064757</v>
      </c>
      <c r="ED187" s="5"/>
      <c r="EE187" s="173">
        <f t="shared" si="575"/>
        <v>10.687420348164796</v>
      </c>
      <c r="EF187" s="173">
        <f t="shared" si="576"/>
        <v>11.757090610987328</v>
      </c>
      <c r="EG187" s="173">
        <f t="shared" si="577"/>
        <v>0.28954717269411934</v>
      </c>
      <c r="EH187" s="173"/>
      <c r="EI187" s="528">
        <f t="shared" si="578"/>
        <v>2.2844190739673387</v>
      </c>
      <c r="EJ187" s="528">
        <f t="shared" si="579"/>
        <v>0.4971666666666667</v>
      </c>
      <c r="EK187" s="528">
        <f t="shared" si="580"/>
        <v>3.2538993560529902E-3</v>
      </c>
      <c r="EL187" s="528">
        <f t="shared" si="581"/>
        <v>3.1343901405038767E-3</v>
      </c>
      <c r="EM187">
        <f t="shared" si="582"/>
        <v>8.5500000000000003E-3</v>
      </c>
      <c r="EN187" s="460">
        <f t="shared" si="583"/>
        <v>11.803899356052991</v>
      </c>
      <c r="EP187" s="460">
        <f t="shared" si="603"/>
        <v>2796.5240301305626</v>
      </c>
      <c r="EQ187" s="173">
        <f t="shared" si="584"/>
        <v>5.39</v>
      </c>
      <c r="ER187" s="173">
        <f t="shared" si="585"/>
        <v>8.5421874999999994E-2</v>
      </c>
      <c r="ES187" s="528"/>
      <c r="EU187" s="460">
        <f t="shared" si="497"/>
        <v>5475.4218749999991</v>
      </c>
      <c r="EV187" s="528">
        <f t="shared" si="586"/>
        <v>3.4266286109510076</v>
      </c>
      <c r="EW187" s="528">
        <f t="shared" si="587"/>
        <v>4.1468753890489918</v>
      </c>
      <c r="EX187" s="528">
        <f t="shared" si="588"/>
        <v>4.1918782607579084E-4</v>
      </c>
      <c r="EY187" s="528">
        <f t="shared" si="589"/>
        <v>0.68679375210278804</v>
      </c>
      <c r="EZ187" s="528"/>
      <c r="FA187" s="625">
        <f t="shared" si="590"/>
        <v>1.97147358309318E-2</v>
      </c>
      <c r="FB187" s="460">
        <f t="shared" si="498"/>
        <v>8280.4316757597971</v>
      </c>
      <c r="FC187" s="173">
        <f t="shared" si="591"/>
        <v>16.552377580890358</v>
      </c>
      <c r="FD187" s="5">
        <f t="shared" si="592"/>
        <v>117.04</v>
      </c>
      <c r="FE187" s="173">
        <f t="shared" si="593"/>
        <v>0.87609788911146613</v>
      </c>
      <c r="FF187" s="5">
        <f t="shared" si="594"/>
        <v>87.609788911146609</v>
      </c>
      <c r="FG187">
        <f t="shared" si="595"/>
        <v>77</v>
      </c>
      <c r="FI187" s="562">
        <f t="shared" si="596"/>
        <v>-50</v>
      </c>
      <c r="FJ187">
        <f t="shared" si="597"/>
        <v>-50</v>
      </c>
    </row>
    <row r="188" spans="5:166">
      <c r="E188" s="170">
        <v>78</v>
      </c>
      <c r="F188" s="217">
        <f t="shared" si="598"/>
        <v>7.8000000000000007</v>
      </c>
      <c r="G188" s="217">
        <f t="shared" si="499"/>
        <v>0.19500000000000001</v>
      </c>
      <c r="H188" s="217">
        <f t="shared" si="500"/>
        <v>117.00000000000001</v>
      </c>
      <c r="I188" s="217">
        <f t="shared" si="501"/>
        <v>1.56</v>
      </c>
      <c r="J188" s="541">
        <f t="shared" si="502"/>
        <v>18.205768521105089</v>
      </c>
      <c r="K188" s="443">
        <f t="shared" si="503"/>
        <v>16.127357894736843</v>
      </c>
      <c r="L188" s="172">
        <f t="shared" si="504"/>
        <v>34.333126415841932</v>
      </c>
      <c r="M188" s="443"/>
      <c r="N188" s="217">
        <f t="shared" si="505"/>
        <v>0.46973170166336453</v>
      </c>
      <c r="O188" s="172">
        <f t="shared" si="506"/>
        <v>210.98256482338837</v>
      </c>
      <c r="P188" s="172">
        <f t="shared" si="507"/>
        <v>2.8506088758360031</v>
      </c>
      <c r="Q188" s="217">
        <f t="shared" si="508"/>
        <v>14.065504321559224</v>
      </c>
      <c r="R188" s="217">
        <f t="shared" si="509"/>
        <v>26.372820602923547</v>
      </c>
      <c r="S188" s="217">
        <f t="shared" si="510"/>
        <v>15</v>
      </c>
      <c r="T188" s="217">
        <f t="shared" si="511"/>
        <v>27.727409631677311</v>
      </c>
      <c r="U188" s="217">
        <f t="shared" si="512"/>
        <v>18.27601593387342</v>
      </c>
      <c r="V188" s="217">
        <f t="shared" si="513"/>
        <v>20.631334515662587</v>
      </c>
      <c r="W188" s="197">
        <f t="shared" si="514"/>
        <v>71.265221895900069</v>
      </c>
      <c r="X188" s="443">
        <f t="shared" si="599"/>
        <v>25.570640519111528</v>
      </c>
      <c r="Z188" s="217">
        <f t="shared" si="515"/>
        <v>10</v>
      </c>
      <c r="AA188" s="173">
        <f t="shared" si="516"/>
        <v>7.4407724305022063</v>
      </c>
      <c r="AB188" s="173">
        <f t="shared" si="517"/>
        <v>2.6164554194241876</v>
      </c>
      <c r="AC188" s="173"/>
      <c r="AD188" s="173">
        <f t="shared" si="518"/>
        <v>7.4407724305022063</v>
      </c>
      <c r="AE188" s="545">
        <f t="shared" si="519"/>
        <v>209.65565263157899</v>
      </c>
      <c r="AF188" s="528">
        <f t="shared" si="520"/>
        <v>2.6513414916831768</v>
      </c>
      <c r="AH188" s="173">
        <f t="shared" si="521"/>
        <v>7.5137968336349674</v>
      </c>
      <c r="AI188" s="173">
        <f t="shared" si="522"/>
        <v>27.727409631677311</v>
      </c>
      <c r="AJ188" s="173">
        <f t="shared" si="523"/>
        <v>14.331414541983193</v>
      </c>
      <c r="AL188" s="545">
        <f t="shared" si="524"/>
        <v>7800.0000000000009</v>
      </c>
      <c r="AM188" s="460">
        <f t="shared" si="525"/>
        <v>25.570640519111528</v>
      </c>
      <c r="AO188">
        <f t="shared" si="526"/>
        <v>7800.0000000000009</v>
      </c>
      <c r="AP188">
        <f t="shared" si="527"/>
        <v>25.570640519111528</v>
      </c>
      <c r="AR188" s="5">
        <f t="shared" si="443"/>
        <v>39.107350449536014</v>
      </c>
      <c r="AS188" s="5">
        <f t="shared" si="604"/>
        <v>18.27601593387342</v>
      </c>
      <c r="AT188" s="5">
        <f t="shared" si="605"/>
        <v>20.831334515662594</v>
      </c>
      <c r="AU188" s="173">
        <f t="shared" si="606"/>
        <v>0.46732943356663159</v>
      </c>
      <c r="AW188" s="5">
        <f t="shared" si="477"/>
        <v>950.35282856141794</v>
      </c>
      <c r="AX188" s="5">
        <f t="shared" si="478"/>
        <v>44.547788838816466</v>
      </c>
      <c r="AY188" s="5">
        <f t="shared" si="479"/>
        <v>46.163203626956459</v>
      </c>
      <c r="AZ188" s="5"/>
      <c r="BA188" s="173">
        <f t="shared" si="480"/>
        <v>10.94360070135181</v>
      </c>
      <c r="BB188" s="173">
        <f t="shared" si="481"/>
        <v>11.683636077165765</v>
      </c>
      <c r="BC188" s="173">
        <f t="shared" si="482"/>
        <v>0.28773817476314123</v>
      </c>
      <c r="BD188" s="173"/>
      <c r="BE188" s="528">
        <f t="shared" si="483"/>
        <v>2.3952479262125568</v>
      </c>
      <c r="BF188" s="528">
        <f t="shared" si="528"/>
        <v>0.4564209073512091</v>
      </c>
      <c r="BG188" s="528">
        <f t="shared" si="529"/>
        <v>1.1638329055683372E-2</v>
      </c>
      <c r="BH188" s="528">
        <f t="shared" si="484"/>
        <v>3.0141739492355931E-3</v>
      </c>
      <c r="BI188">
        <f t="shared" si="485"/>
        <v>8.1925958344972894E-3</v>
      </c>
      <c r="BJ188" s="460">
        <f t="shared" si="600"/>
        <v>19.830924890180661</v>
      </c>
      <c r="BK188">
        <f t="shared" si="530"/>
        <v>8.1259888139452094</v>
      </c>
      <c r="BL188" s="460">
        <f t="shared" si="601"/>
        <v>2874.513932403182</v>
      </c>
      <c r="BM188" s="173">
        <f t="shared" si="531"/>
        <v>4.8457499999999998</v>
      </c>
      <c r="BN188" s="173">
        <f t="shared" si="532"/>
        <v>0.12114374999999998</v>
      </c>
      <c r="BO188" s="528"/>
      <c r="BQ188" s="460">
        <f t="shared" si="486"/>
        <v>4966.8937499999993</v>
      </c>
      <c r="BR188" s="528">
        <f t="shared" si="487"/>
        <v>3.5928718893188347</v>
      </c>
      <c r="BS188" s="528">
        <f t="shared" si="488"/>
        <v>4.0952205595094835</v>
      </c>
      <c r="BT188" s="528">
        <f t="shared" si="489"/>
        <v>4.1396628608012003E-4</v>
      </c>
      <c r="BU188" s="528">
        <f t="shared" si="490"/>
        <v>0.66926369630845117</v>
      </c>
      <c r="BV188" s="528"/>
      <c r="BW188" s="625">
        <f t="shared" si="533"/>
        <v>1.9658944828668475E-2</v>
      </c>
      <c r="BX188" s="460">
        <f t="shared" si="491"/>
        <v>8377.429056251518</v>
      </c>
      <c r="BY188" s="173">
        <f t="shared" si="492"/>
        <v>16.218836738654701</v>
      </c>
      <c r="BZ188" s="5">
        <f t="shared" si="493"/>
        <v>118.56000000000002</v>
      </c>
      <c r="CA188" s="173">
        <f t="shared" si="494"/>
        <v>0.87966332748438747</v>
      </c>
      <c r="CB188" s="5">
        <f t="shared" si="495"/>
        <v>87.966332748438745</v>
      </c>
      <c r="CC188">
        <f t="shared" si="496"/>
        <v>78</v>
      </c>
      <c r="CE188" s="562">
        <f t="shared" si="534"/>
        <v>-50</v>
      </c>
      <c r="CF188">
        <f t="shared" si="535"/>
        <v>-50</v>
      </c>
      <c r="CG188" s="173">
        <f t="shared" si="536"/>
        <v>0.54755043227665712</v>
      </c>
      <c r="CH188" s="173">
        <f t="shared" si="537"/>
        <v>6.4398811101315845E-2</v>
      </c>
      <c r="CI188" s="170">
        <v>78</v>
      </c>
      <c r="CJ188" s="217">
        <f t="shared" si="602"/>
        <v>7.8000000000000007</v>
      </c>
      <c r="CK188" s="217">
        <f t="shared" si="538"/>
        <v>0.19500000000000001</v>
      </c>
      <c r="CL188" s="217">
        <f t="shared" si="539"/>
        <v>117.00000000000001</v>
      </c>
      <c r="CM188" s="217">
        <f t="shared" si="540"/>
        <v>1.56</v>
      </c>
      <c r="CN188" s="541">
        <f t="shared" si="541"/>
        <v>19</v>
      </c>
      <c r="CO188" s="443">
        <f t="shared" si="542"/>
        <v>15.7</v>
      </c>
      <c r="CP188" s="443">
        <f t="shared" si="543"/>
        <v>34.700000000000003</v>
      </c>
      <c r="CQ188" s="443"/>
      <c r="CR188" s="217">
        <f t="shared" si="544"/>
        <v>0.44767441860465118</v>
      </c>
      <c r="CS188" s="172">
        <f t="shared" si="545"/>
        <v>209.84738372093025</v>
      </c>
      <c r="CT188" s="172">
        <f t="shared" si="546"/>
        <v>2.835271317829458</v>
      </c>
      <c r="CU188" s="217">
        <f t="shared" si="547"/>
        <v>13.989825581395349</v>
      </c>
      <c r="CV188" s="217">
        <f t="shared" si="548"/>
        <v>26.230922965116282</v>
      </c>
      <c r="CW188" s="217">
        <f t="shared" si="549"/>
        <v>15</v>
      </c>
      <c r="CX188" s="217">
        <f t="shared" si="550"/>
        <v>27.8774025974026</v>
      </c>
      <c r="CY188" s="217">
        <f t="shared" si="551"/>
        <v>17.606780587833221</v>
      </c>
      <c r="CZ188" s="217">
        <f t="shared" si="552"/>
        <v>21.307568864256766</v>
      </c>
      <c r="DA188" s="197">
        <f t="shared" si="553"/>
        <v>71.63784822286263</v>
      </c>
      <c r="DB188" s="443">
        <f t="shared" si="554"/>
        <v>25.69746158113643</v>
      </c>
      <c r="DD188" s="217">
        <f t="shared" si="555"/>
        <v>10.000000000000002</v>
      </c>
      <c r="DE188" s="173">
        <f t="shared" si="556"/>
        <v>7.6433121019108299</v>
      </c>
      <c r="DF188" s="173">
        <f t="shared" si="557"/>
        <v>2.7017291066282429</v>
      </c>
      <c r="DG188" s="173"/>
      <c r="DH188" s="173">
        <f t="shared" si="558"/>
        <v>7.6433121019108281</v>
      </c>
      <c r="DI188" s="545">
        <f t="shared" si="559"/>
        <v>204.10000000000002</v>
      </c>
      <c r="DJ188" s="528">
        <f t="shared" si="560"/>
        <v>2.7377521613832849</v>
      </c>
      <c r="DL188" s="173">
        <f t="shared" si="561"/>
        <v>7.5137968336349674</v>
      </c>
      <c r="DM188" s="173">
        <f t="shared" si="562"/>
        <v>27.8774025974026</v>
      </c>
      <c r="DN188" s="173">
        <f t="shared" si="563"/>
        <v>14.442520442520443</v>
      </c>
      <c r="DP188" s="545">
        <f t="shared" si="564"/>
        <v>7800.0000000000009</v>
      </c>
      <c r="DQ188" s="460">
        <f t="shared" si="565"/>
        <v>25.69746158113643</v>
      </c>
      <c r="DS188">
        <f t="shared" si="566"/>
        <v>7800.0000000000009</v>
      </c>
      <c r="DT188">
        <f t="shared" si="567"/>
        <v>25.69746158113643</v>
      </c>
      <c r="DV188" s="5">
        <f t="shared" si="568"/>
        <v>38.914349452089994</v>
      </c>
      <c r="DW188" s="5">
        <f t="shared" si="569"/>
        <v>17.606780587833221</v>
      </c>
      <c r="DX188" s="5">
        <f t="shared" si="570"/>
        <v>21.307568864256773</v>
      </c>
      <c r="DY188" s="173">
        <f t="shared" si="571"/>
        <v>0.45244956772334283</v>
      </c>
      <c r="EA188" s="5">
        <f t="shared" si="572"/>
        <v>915.55259056732768</v>
      </c>
      <c r="EB188" s="5">
        <f t="shared" si="573"/>
        <v>42.916527682843473</v>
      </c>
      <c r="EC188" s="5">
        <f t="shared" si="574"/>
        <v>45.24474695314052</v>
      </c>
      <c r="ED188" s="5"/>
      <c r="EE188" s="173">
        <f t="shared" si="575"/>
        <v>10.826218015024081</v>
      </c>
      <c r="EF188" s="173">
        <f t="shared" si="576"/>
        <v>11.909780099441711</v>
      </c>
      <c r="EG188" s="173">
        <f t="shared" si="577"/>
        <v>0.29330752558625078</v>
      </c>
      <c r="EH188" s="173"/>
      <c r="EI188" s="528">
        <f t="shared" si="578"/>
        <v>2.344139930176639</v>
      </c>
      <c r="EJ188" s="528">
        <f t="shared" si="579"/>
        <v>0.49716666666666665</v>
      </c>
      <c r="EK188" s="528">
        <f t="shared" si="580"/>
        <v>3.2121826976420536E-3</v>
      </c>
      <c r="EL188" s="528">
        <f t="shared" si="581"/>
        <v>3.0942056515230569E-3</v>
      </c>
      <c r="EM188">
        <f t="shared" si="582"/>
        <v>8.5500000000000003E-3</v>
      </c>
      <c r="EN188" s="460">
        <f t="shared" si="583"/>
        <v>11.762182697642055</v>
      </c>
      <c r="EP188" s="460">
        <f t="shared" si="603"/>
        <v>2856.1629851924704</v>
      </c>
      <c r="EQ188" s="173">
        <f t="shared" si="584"/>
        <v>5.46</v>
      </c>
      <c r="ER188" s="173">
        <f t="shared" si="585"/>
        <v>8.6531250000000004E-2</v>
      </c>
      <c r="ES188" s="528"/>
      <c r="EU188" s="460">
        <f t="shared" si="497"/>
        <v>5546.53125</v>
      </c>
      <c r="EV188" s="528">
        <f t="shared" si="586"/>
        <v>3.5162098952649585</v>
      </c>
      <c r="EW188" s="528">
        <f t="shared" si="587"/>
        <v>4.2552858605117345</v>
      </c>
      <c r="EX188" s="528">
        <f t="shared" si="588"/>
        <v>4.3014652282764577E-4</v>
      </c>
      <c r="EY188" s="528">
        <f t="shared" si="589"/>
        <v>0.68679375210278804</v>
      </c>
      <c r="EZ188" s="528"/>
      <c r="FA188" s="625">
        <f t="shared" si="590"/>
        <v>1.9970771361203638E-2</v>
      </c>
      <c r="FB188" s="460">
        <f t="shared" si="498"/>
        <v>8478.6904257635124</v>
      </c>
      <c r="FC188" s="173">
        <f t="shared" si="591"/>
        <v>16.881384660955984</v>
      </c>
      <c r="FD188" s="5">
        <f t="shared" si="592"/>
        <v>118.56000000000002</v>
      </c>
      <c r="FE188" s="173">
        <f t="shared" si="593"/>
        <v>0.87536021797758223</v>
      </c>
      <c r="FF188" s="5">
        <f t="shared" si="594"/>
        <v>87.536021797758224</v>
      </c>
      <c r="FG188">
        <f t="shared" si="595"/>
        <v>78</v>
      </c>
      <c r="FI188" s="562">
        <f t="shared" si="596"/>
        <v>-50</v>
      </c>
      <c r="FJ188">
        <f t="shared" si="597"/>
        <v>-50</v>
      </c>
    </row>
    <row r="189" spans="5:166">
      <c r="E189" s="170">
        <v>79</v>
      </c>
      <c r="F189" s="217">
        <f t="shared" si="598"/>
        <v>7.9</v>
      </c>
      <c r="G189" s="217">
        <f t="shared" si="499"/>
        <v>0.19750000000000001</v>
      </c>
      <c r="H189" s="217">
        <f t="shared" si="500"/>
        <v>118.5</v>
      </c>
      <c r="I189" s="217">
        <f t="shared" si="501"/>
        <v>1.58</v>
      </c>
      <c r="J189" s="541">
        <f t="shared" si="502"/>
        <v>18.195586066247465</v>
      </c>
      <c r="K189" s="443">
        <f t="shared" si="503"/>
        <v>16.132836842105263</v>
      </c>
      <c r="L189" s="172">
        <f t="shared" si="504"/>
        <v>34.328422908352728</v>
      </c>
      <c r="M189" s="443"/>
      <c r="N189" s="217">
        <f t="shared" si="505"/>
        <v>0.46995566575182957</v>
      </c>
      <c r="O189" s="172">
        <f t="shared" si="506"/>
        <v>210.96510107338918</v>
      </c>
      <c r="P189" s="172">
        <f t="shared" si="507"/>
        <v>2.8503729211693472</v>
      </c>
      <c r="Q189" s="217">
        <f t="shared" si="508"/>
        <v>14.064340071559279</v>
      </c>
      <c r="R189" s="217">
        <f t="shared" si="509"/>
        <v>26.370637634173647</v>
      </c>
      <c r="S189" s="217">
        <f t="shared" si="510"/>
        <v>15</v>
      </c>
      <c r="T189" s="217">
        <f t="shared" si="511"/>
        <v>28.085213951756167</v>
      </c>
      <c r="U189" s="217">
        <f t="shared" si="512"/>
        <v>18.522215563380271</v>
      </c>
      <c r="V189" s="217">
        <f t="shared" si="513"/>
        <v>20.890471447741614</v>
      </c>
      <c r="W189" s="197">
        <f t="shared" si="514"/>
        <v>71.25932302923367</v>
      </c>
      <c r="X189" s="443">
        <f t="shared" si="599"/>
        <v>25.244437463160075</v>
      </c>
      <c r="Z189" s="217">
        <f t="shared" si="515"/>
        <v>10.000000000000002</v>
      </c>
      <c r="AA189" s="173">
        <f t="shared" si="516"/>
        <v>7.4382454353477838</v>
      </c>
      <c r="AB189" s="173">
        <f t="shared" si="517"/>
        <v>2.6153503334613686</v>
      </c>
      <c r="AC189" s="173"/>
      <c r="AD189" s="173">
        <f t="shared" si="518"/>
        <v>7.438245435347782</v>
      </c>
      <c r="AE189" s="545">
        <f t="shared" si="519"/>
        <v>212.41568508771928</v>
      </c>
      <c r="AF189" s="528">
        <f t="shared" si="520"/>
        <v>2.6502216712408524</v>
      </c>
      <c r="AH189" s="173">
        <f t="shared" si="521"/>
        <v>7.5618088035173425</v>
      </c>
      <c r="AI189" s="173">
        <f t="shared" si="522"/>
        <v>28.085213951756167</v>
      </c>
      <c r="AJ189" s="173">
        <f t="shared" si="523"/>
        <v>14.596454779078641</v>
      </c>
      <c r="AL189" s="545">
        <f t="shared" si="524"/>
        <v>7900</v>
      </c>
      <c r="AM189" s="460">
        <f t="shared" si="525"/>
        <v>25.244437463160075</v>
      </c>
      <c r="AO189">
        <f t="shared" si="526"/>
        <v>7900</v>
      </c>
      <c r="AP189">
        <f t="shared" si="527"/>
        <v>25.244437463160075</v>
      </c>
      <c r="AR189" s="5">
        <f t="shared" si="443"/>
        <v>39.612687011121892</v>
      </c>
      <c r="AS189" s="5">
        <f t="shared" si="604"/>
        <v>18.522215563380271</v>
      </c>
      <c r="AT189" s="5">
        <f t="shared" si="605"/>
        <v>21.090471447741621</v>
      </c>
      <c r="AU189" s="173">
        <f t="shared" si="606"/>
        <v>0.46758291246892353</v>
      </c>
      <c r="AW189" s="5">
        <f t="shared" si="477"/>
        <v>975.50335300469442</v>
      </c>
      <c r="AX189" s="5">
        <f t="shared" si="478"/>
        <v>45.726719672095044</v>
      </c>
      <c r="AY189" s="5">
        <f t="shared" si="479"/>
        <v>47.363151462953795</v>
      </c>
      <c r="AZ189" s="5"/>
      <c r="BA189" s="173">
        <f t="shared" si="480"/>
        <v>11.08782659202036</v>
      </c>
      <c r="BB189" s="173">
        <f t="shared" si="481"/>
        <v>11.831589736967976</v>
      </c>
      <c r="BC189" s="173">
        <f t="shared" si="482"/>
        <v>0.29138189626728977</v>
      </c>
      <c r="BD189" s="173"/>
      <c r="BE189" s="528">
        <f t="shared" si="483"/>
        <v>2.4587979706942766</v>
      </c>
      <c r="BF189" s="528">
        <f t="shared" si="528"/>
        <v>0.45635052874762777</v>
      </c>
      <c r="BG189" s="528">
        <f t="shared" si="529"/>
        <v>1.1483433363873273E-2</v>
      </c>
      <c r="BH189" s="528">
        <f t="shared" si="484"/>
        <v>2.9749070519852652E-3</v>
      </c>
      <c r="BI189">
        <f t="shared" si="485"/>
        <v>8.1880137298113581E-3</v>
      </c>
      <c r="BJ189" s="460">
        <f t="shared" si="600"/>
        <v>19.67144709368463</v>
      </c>
      <c r="BK189">
        <f t="shared" si="530"/>
        <v>8.6149313016653224</v>
      </c>
      <c r="BL189" s="460">
        <f t="shared" si="601"/>
        <v>2937.7948535875744</v>
      </c>
      <c r="BM189" s="173">
        <f t="shared" si="531"/>
        <v>4.9078749999999998</v>
      </c>
      <c r="BN189" s="173">
        <f t="shared" si="532"/>
        <v>0.12269687499999998</v>
      </c>
      <c r="BO189" s="528"/>
      <c r="BQ189" s="460">
        <f t="shared" si="486"/>
        <v>5030.5718749999996</v>
      </c>
      <c r="BR189" s="528">
        <f t="shared" si="487"/>
        <v>3.6881969560414145</v>
      </c>
      <c r="BS189" s="528">
        <f t="shared" si="488"/>
        <v>4.1995954711177781</v>
      </c>
      <c r="BT189" s="528">
        <f t="shared" si="489"/>
        <v>4.2451704736160814E-4</v>
      </c>
      <c r="BU189" s="528">
        <f t="shared" si="490"/>
        <v>0.66923491352190878</v>
      </c>
      <c r="BV189" s="528"/>
      <c r="BW189" s="625">
        <f t="shared" si="533"/>
        <v>1.9912288264980788E-2</v>
      </c>
      <c r="BX189" s="460">
        <f t="shared" si="491"/>
        <v>8577.3641459934443</v>
      </c>
      <c r="BY189" s="173">
        <f t="shared" si="492"/>
        <v>16.545730874581018</v>
      </c>
      <c r="BZ189" s="5">
        <f t="shared" si="493"/>
        <v>120.08</v>
      </c>
      <c r="CA189" s="173">
        <f t="shared" si="494"/>
        <v>0.87889740264394567</v>
      </c>
      <c r="CB189" s="5">
        <f t="shared" si="495"/>
        <v>87.889740264394561</v>
      </c>
      <c r="CC189">
        <f t="shared" si="496"/>
        <v>79</v>
      </c>
      <c r="CE189" s="562">
        <f t="shared" si="534"/>
        <v>-50</v>
      </c>
      <c r="CF189">
        <f t="shared" si="535"/>
        <v>-50</v>
      </c>
      <c r="CG189" s="173">
        <f t="shared" si="536"/>
        <v>0.54755043227665712</v>
      </c>
      <c r="CH189" s="173">
        <f t="shared" si="537"/>
        <v>6.4398811101315845E-2</v>
      </c>
      <c r="CI189" s="170">
        <v>79</v>
      </c>
      <c r="CJ189" s="217">
        <f t="shared" si="602"/>
        <v>7.9</v>
      </c>
      <c r="CK189" s="217">
        <f t="shared" si="538"/>
        <v>0.19750000000000001</v>
      </c>
      <c r="CL189" s="217">
        <f t="shared" si="539"/>
        <v>118.5</v>
      </c>
      <c r="CM189" s="217">
        <f t="shared" si="540"/>
        <v>1.58</v>
      </c>
      <c r="CN189" s="541">
        <f t="shared" si="541"/>
        <v>19</v>
      </c>
      <c r="CO189" s="443">
        <f t="shared" si="542"/>
        <v>15.7</v>
      </c>
      <c r="CP189" s="443">
        <f t="shared" si="543"/>
        <v>34.700000000000003</v>
      </c>
      <c r="CQ189" s="443"/>
      <c r="CR189" s="217">
        <f t="shared" si="544"/>
        <v>0.44767441860465118</v>
      </c>
      <c r="CS189" s="172">
        <f t="shared" si="545"/>
        <v>209.84738372093025</v>
      </c>
      <c r="CT189" s="172">
        <f t="shared" si="546"/>
        <v>2.835271317829458</v>
      </c>
      <c r="CU189" s="217">
        <f t="shared" si="547"/>
        <v>13.989825581395349</v>
      </c>
      <c r="CV189" s="217">
        <f t="shared" si="548"/>
        <v>26.230922965116282</v>
      </c>
      <c r="CW189" s="217">
        <f t="shared" si="549"/>
        <v>15</v>
      </c>
      <c r="CX189" s="217">
        <f t="shared" si="550"/>
        <v>28.234805194805194</v>
      </c>
      <c r="CY189" s="217">
        <f t="shared" si="551"/>
        <v>17.832508544087492</v>
      </c>
      <c r="CZ189" s="217">
        <f t="shared" si="552"/>
        <v>21.58074282405493</v>
      </c>
      <c r="DA189" s="197">
        <f t="shared" si="553"/>
        <v>71.63784822286263</v>
      </c>
      <c r="DB189" s="443">
        <f t="shared" si="554"/>
        <v>25.372177257324577</v>
      </c>
      <c r="DD189" s="217">
        <f t="shared" si="555"/>
        <v>10.000000000000002</v>
      </c>
      <c r="DE189" s="173">
        <f t="shared" si="556"/>
        <v>7.6433121019108299</v>
      </c>
      <c r="DF189" s="173">
        <f t="shared" si="557"/>
        <v>2.7017291066282429</v>
      </c>
      <c r="DG189" s="173"/>
      <c r="DH189" s="173">
        <f t="shared" si="558"/>
        <v>7.6433121019108281</v>
      </c>
      <c r="DI189" s="545">
        <f t="shared" si="559"/>
        <v>206.7166666666667</v>
      </c>
      <c r="DJ189" s="528">
        <f t="shared" si="560"/>
        <v>2.7377521613832849</v>
      </c>
      <c r="DL189" s="173">
        <f t="shared" si="561"/>
        <v>7.5618088035173425</v>
      </c>
      <c r="DM189" s="173">
        <f t="shared" si="562"/>
        <v>28.234805194805194</v>
      </c>
      <c r="DN189" s="173">
        <f t="shared" si="563"/>
        <v>14.707263107263106</v>
      </c>
      <c r="DP189" s="545">
        <f t="shared" si="564"/>
        <v>7900</v>
      </c>
      <c r="DQ189" s="460">
        <f t="shared" si="565"/>
        <v>25.372177257324577</v>
      </c>
      <c r="DS189">
        <f t="shared" si="566"/>
        <v>7900</v>
      </c>
      <c r="DT189">
        <f t="shared" si="567"/>
        <v>25.372177257324577</v>
      </c>
      <c r="DV189" s="5">
        <f t="shared" si="568"/>
        <v>39.413251368142426</v>
      </c>
      <c r="DW189" s="5">
        <f t="shared" si="569"/>
        <v>17.832508544087492</v>
      </c>
      <c r="DX189" s="5">
        <f t="shared" si="570"/>
        <v>21.580742824054933</v>
      </c>
      <c r="DY189" s="173">
        <f t="shared" si="571"/>
        <v>0.45244956772334288</v>
      </c>
      <c r="EA189" s="5">
        <f t="shared" si="572"/>
        <v>939.1787833219413</v>
      </c>
      <c r="EB189" s="5">
        <f t="shared" si="573"/>
        <v>44.024005468215996</v>
      </c>
      <c r="EC189" s="5">
        <f t="shared" si="574"/>
        <v>46.412305347559155</v>
      </c>
      <c r="ED189" s="5"/>
      <c r="EE189" s="173">
        <f t="shared" si="575"/>
        <v>10.965015681883362</v>
      </c>
      <c r="EF189" s="173">
        <f t="shared" si="576"/>
        <v>12.062469587896091</v>
      </c>
      <c r="EG189" s="173">
        <f t="shared" si="577"/>
        <v>0.29706787847838223</v>
      </c>
      <c r="EH189" s="173"/>
      <c r="EI189" s="528">
        <f t="shared" si="578"/>
        <v>2.4046313780789608</v>
      </c>
      <c r="EJ189" s="528">
        <f t="shared" si="579"/>
        <v>0.49716666666666659</v>
      </c>
      <c r="EK189" s="528">
        <f t="shared" si="580"/>
        <v>3.1715221571655718E-3</v>
      </c>
      <c r="EL189" s="528">
        <f t="shared" si="581"/>
        <v>3.0550384913771954E-3</v>
      </c>
      <c r="EM189">
        <f t="shared" si="582"/>
        <v>8.5500000000000003E-3</v>
      </c>
      <c r="EN189" s="460">
        <f t="shared" si="583"/>
        <v>11.721522157165571</v>
      </c>
      <c r="EP189" s="460">
        <f t="shared" si="603"/>
        <v>2916.5746053941702</v>
      </c>
      <c r="EQ189" s="173">
        <f t="shared" si="584"/>
        <v>5.53</v>
      </c>
      <c r="ER189" s="173">
        <f t="shared" si="585"/>
        <v>8.7640625E-2</v>
      </c>
      <c r="ES189" s="528"/>
      <c r="EU189" s="460">
        <f t="shared" si="497"/>
        <v>5617.640625</v>
      </c>
      <c r="EV189" s="528">
        <f t="shared" si="586"/>
        <v>3.6069470671184414</v>
      </c>
      <c r="EW189" s="528">
        <f t="shared" si="587"/>
        <v>4.365095176767543</v>
      </c>
      <c r="EX189" s="528">
        <f t="shared" si="588"/>
        <v>4.4124662211823438E-4</v>
      </c>
      <c r="EY189" s="528">
        <f t="shared" si="589"/>
        <v>0.68679375210278804</v>
      </c>
      <c r="EZ189" s="528"/>
      <c r="FA189" s="625">
        <f t="shared" si="590"/>
        <v>2.0226806891475477E-2</v>
      </c>
      <c r="FB189" s="460">
        <f t="shared" si="498"/>
        <v>8679.5040495023659</v>
      </c>
      <c r="FC189" s="173">
        <f t="shared" si="591"/>
        <v>17.213719279896534</v>
      </c>
      <c r="FD189" s="5">
        <f t="shared" si="592"/>
        <v>120.08</v>
      </c>
      <c r="FE189" s="173">
        <f t="shared" si="593"/>
        <v>0.87462121814324634</v>
      </c>
      <c r="FF189" s="5">
        <f t="shared" si="594"/>
        <v>87.462121814324632</v>
      </c>
      <c r="FG189">
        <f t="shared" si="595"/>
        <v>79</v>
      </c>
      <c r="FI189" s="562">
        <f t="shared" si="596"/>
        <v>-50</v>
      </c>
      <c r="FJ189">
        <f t="shared" si="597"/>
        <v>-50</v>
      </c>
    </row>
    <row r="190" spans="5:166">
      <c r="E190" s="170">
        <v>80</v>
      </c>
      <c r="F190" s="217">
        <f t="shared" si="598"/>
        <v>8</v>
      </c>
      <c r="G190" s="217">
        <f t="shared" si="499"/>
        <v>0.2</v>
      </c>
      <c r="H190" s="217">
        <f t="shared" si="500"/>
        <v>120</v>
      </c>
      <c r="I190" s="217">
        <f t="shared" si="501"/>
        <v>1.6</v>
      </c>
      <c r="J190" s="541">
        <f t="shared" si="502"/>
        <v>18.185403611389837</v>
      </c>
      <c r="K190" s="443">
        <f t="shared" si="503"/>
        <v>16.138315789473683</v>
      </c>
      <c r="L190" s="172">
        <f t="shared" si="504"/>
        <v>34.323719400863524</v>
      </c>
      <c r="M190" s="443"/>
      <c r="N190" s="217">
        <f t="shared" si="505"/>
        <v>0.47017969122156594</v>
      </c>
      <c r="O190" s="172">
        <f t="shared" si="506"/>
        <v>210.9475523374052</v>
      </c>
      <c r="P190" s="172">
        <f t="shared" si="507"/>
        <v>2.8501358182476082</v>
      </c>
      <c r="Q190" s="217">
        <f t="shared" si="508"/>
        <v>14.063170155827013</v>
      </c>
      <c r="R190" s="217">
        <f t="shared" si="509"/>
        <v>26.36844404217565</v>
      </c>
      <c r="S190" s="217">
        <f t="shared" si="510"/>
        <v>15</v>
      </c>
      <c r="T190" s="217">
        <f t="shared" si="511"/>
        <v>28.443088974093207</v>
      </c>
      <c r="U190" s="217">
        <f t="shared" si="512"/>
        <v>18.768737553635908</v>
      </c>
      <c r="V190" s="217">
        <f t="shared" si="513"/>
        <v>21.149484998412579</v>
      </c>
      <c r="W190" s="197">
        <f t="shared" si="514"/>
        <v>71.253395456190205</v>
      </c>
      <c r="X190" s="443">
        <f t="shared" si="599"/>
        <v>24.926328645358655</v>
      </c>
      <c r="Z190" s="217">
        <f t="shared" si="515"/>
        <v>9.9999999999999982</v>
      </c>
      <c r="AA190" s="173">
        <f t="shared" si="516"/>
        <v>7.4357201560196708</v>
      </c>
      <c r="AB190" s="173">
        <f t="shared" si="517"/>
        <v>2.6142449446304301</v>
      </c>
      <c r="AC190" s="173"/>
      <c r="AD190" s="173">
        <f t="shared" si="518"/>
        <v>7.4357201560196726</v>
      </c>
      <c r="AE190" s="545">
        <f t="shared" si="519"/>
        <v>215.17754385964912</v>
      </c>
      <c r="AF190" s="528">
        <f t="shared" si="520"/>
        <v>2.6491015438921699</v>
      </c>
      <c r="AH190" s="173">
        <f t="shared" si="521"/>
        <v>7.6095178496907341</v>
      </c>
      <c r="AI190" s="173">
        <f t="shared" si="522"/>
        <v>28.443088974093207</v>
      </c>
      <c r="AJ190" s="173">
        <f t="shared" si="523"/>
        <v>14.86154738821719</v>
      </c>
      <c r="AL190" s="545">
        <f t="shared" si="524"/>
        <v>8000</v>
      </c>
      <c r="AM190" s="460">
        <f t="shared" si="525"/>
        <v>24.926328645358655</v>
      </c>
      <c r="AO190">
        <f t="shared" si="526"/>
        <v>8000</v>
      </c>
      <c r="AP190">
        <f t="shared" si="527"/>
        <v>24.926328645358655</v>
      </c>
      <c r="AR190" s="5">
        <f t="shared" si="443"/>
        <v>40.118222552048493</v>
      </c>
      <c r="AS190" s="5">
        <f t="shared" si="604"/>
        <v>18.768737553635908</v>
      </c>
      <c r="AT190" s="5">
        <f t="shared" si="605"/>
        <v>21.349484998412585</v>
      </c>
      <c r="AU190" s="173">
        <f t="shared" si="606"/>
        <v>0.4678357205204135</v>
      </c>
      <c r="AW190" s="5">
        <f t="shared" si="477"/>
        <v>1000.9993361939152</v>
      </c>
      <c r="AX190" s="5">
        <f t="shared" si="478"/>
        <v>46.921843884089782</v>
      </c>
      <c r="AY190" s="5">
        <f t="shared" si="479"/>
        <v>48.578903406809694</v>
      </c>
      <c r="AZ190" s="5"/>
      <c r="BA190" s="173">
        <f t="shared" si="480"/>
        <v>11.23214811205138</v>
      </c>
      <c r="BB190" s="173">
        <f t="shared" si="481"/>
        <v>11.979508292009934</v>
      </c>
      <c r="BC190" s="173">
        <f t="shared" si="482"/>
        <v>0.29502475323067601</v>
      </c>
      <c r="BD190" s="173"/>
      <c r="BE190" s="528">
        <f t="shared" si="483"/>
        <v>2.5232230242211879</v>
      </c>
      <c r="BF190" s="528">
        <f t="shared" si="528"/>
        <v>0.45627922116968295</v>
      </c>
      <c r="BG190" s="528">
        <f t="shared" si="529"/>
        <v>1.1332383674149881E-2</v>
      </c>
      <c r="BH190" s="528">
        <f t="shared" si="484"/>
        <v>2.9366149309849191E-3</v>
      </c>
      <c r="BI190">
        <f t="shared" si="485"/>
        <v>8.1834316251254268E-3</v>
      </c>
      <c r="BJ190" s="460">
        <f t="shared" si="600"/>
        <v>19.515815299275307</v>
      </c>
      <c r="BK190">
        <f t="shared" si="530"/>
        <v>9.1482442676752953</v>
      </c>
      <c r="BL190" s="460">
        <f t="shared" si="601"/>
        <v>3001.9546756211307</v>
      </c>
      <c r="BM190" s="173">
        <f t="shared" si="531"/>
        <v>4.97</v>
      </c>
      <c r="BN190" s="173">
        <f t="shared" si="532"/>
        <v>0.12424999999999999</v>
      </c>
      <c r="BO190" s="528"/>
      <c r="BQ190" s="460">
        <f t="shared" si="486"/>
        <v>5094.25</v>
      </c>
      <c r="BR190" s="528">
        <f t="shared" si="487"/>
        <v>3.7848345363317817</v>
      </c>
      <c r="BS190" s="528">
        <f t="shared" si="488"/>
        <v>4.3052585675500419</v>
      </c>
      <c r="BT190" s="528">
        <f t="shared" si="489"/>
        <v>4.3519802509410635E-4</v>
      </c>
      <c r="BU190" s="528">
        <f t="shared" si="490"/>
        <v>0.66920271738008197</v>
      </c>
      <c r="BV190" s="528"/>
      <c r="BW190" s="625">
        <f t="shared" si="533"/>
        <v>2.0165631947890807E-2</v>
      </c>
      <c r="BX190" s="460">
        <f t="shared" si="491"/>
        <v>8779.8966512348907</v>
      </c>
      <c r="BY190" s="173">
        <f t="shared" si="492"/>
        <v>16.87610132685602</v>
      </c>
      <c r="BZ190" s="5">
        <f t="shared" si="493"/>
        <v>121.6</v>
      </c>
      <c r="CA190" s="173">
        <f t="shared" si="494"/>
        <v>0.87812986381655822</v>
      </c>
      <c r="CB190" s="5">
        <f t="shared" si="495"/>
        <v>87.812986381655818</v>
      </c>
      <c r="CC190">
        <f t="shared" si="496"/>
        <v>80</v>
      </c>
      <c r="CE190" s="562">
        <f t="shared" si="534"/>
        <v>-50</v>
      </c>
      <c r="CF190">
        <f t="shared" si="535"/>
        <v>-50</v>
      </c>
      <c r="CG190" s="173">
        <f t="shared" si="536"/>
        <v>0.54755043227665701</v>
      </c>
      <c r="CH190" s="173">
        <f t="shared" si="537"/>
        <v>6.4398811101315859E-2</v>
      </c>
      <c r="CI190" s="170">
        <v>80</v>
      </c>
      <c r="CJ190" s="217">
        <f t="shared" si="602"/>
        <v>8</v>
      </c>
      <c r="CK190" s="217">
        <f t="shared" si="538"/>
        <v>0.2</v>
      </c>
      <c r="CL190" s="217">
        <f t="shared" si="539"/>
        <v>120</v>
      </c>
      <c r="CM190" s="217">
        <f t="shared" si="540"/>
        <v>1.6</v>
      </c>
      <c r="CN190" s="541">
        <f t="shared" si="541"/>
        <v>19</v>
      </c>
      <c r="CO190" s="443">
        <f t="shared" si="542"/>
        <v>15.7</v>
      </c>
      <c r="CP190" s="443">
        <f t="shared" si="543"/>
        <v>34.700000000000003</v>
      </c>
      <c r="CQ190" s="443"/>
      <c r="CR190" s="217">
        <f t="shared" si="544"/>
        <v>0.44767441860465118</v>
      </c>
      <c r="CS190" s="172">
        <f t="shared" si="545"/>
        <v>209.84738372093025</v>
      </c>
      <c r="CT190" s="172">
        <f t="shared" si="546"/>
        <v>2.835271317829458</v>
      </c>
      <c r="CU190" s="217">
        <f t="shared" si="547"/>
        <v>13.989825581395349</v>
      </c>
      <c r="CV190" s="217">
        <f t="shared" si="548"/>
        <v>26.230922965116282</v>
      </c>
      <c r="CW190" s="217">
        <f t="shared" si="549"/>
        <v>15</v>
      </c>
      <c r="CX190" s="217">
        <f t="shared" si="550"/>
        <v>28.592207792207791</v>
      </c>
      <c r="CY190" s="217">
        <f t="shared" si="551"/>
        <v>18.058236500341764</v>
      </c>
      <c r="CZ190" s="217">
        <f t="shared" si="552"/>
        <v>21.853916783853091</v>
      </c>
      <c r="DA190" s="197">
        <f t="shared" si="553"/>
        <v>71.63784822286263</v>
      </c>
      <c r="DB190" s="443">
        <f t="shared" si="554"/>
        <v>25.055025041608022</v>
      </c>
      <c r="DD190" s="217">
        <f t="shared" si="555"/>
        <v>10.000000000000002</v>
      </c>
      <c r="DE190" s="173">
        <f t="shared" si="556"/>
        <v>7.6433121019108299</v>
      </c>
      <c r="DF190" s="173">
        <f t="shared" si="557"/>
        <v>2.7017291066282429</v>
      </c>
      <c r="DG190" s="173"/>
      <c r="DH190" s="173">
        <f t="shared" si="558"/>
        <v>7.6433121019108281</v>
      </c>
      <c r="DI190" s="545">
        <f t="shared" si="559"/>
        <v>209.33333333333334</v>
      </c>
      <c r="DJ190" s="528">
        <f t="shared" si="560"/>
        <v>2.7377521613832849</v>
      </c>
      <c r="DL190" s="173">
        <f t="shared" si="561"/>
        <v>7.6095178496907341</v>
      </c>
      <c r="DM190" s="173">
        <f t="shared" si="562"/>
        <v>28.592207792207791</v>
      </c>
      <c r="DN190" s="173">
        <f t="shared" si="563"/>
        <v>14.972005772005769</v>
      </c>
      <c r="DP190" s="545">
        <f t="shared" si="564"/>
        <v>8000</v>
      </c>
      <c r="DQ190" s="460">
        <f t="shared" si="565"/>
        <v>25.055025041608022</v>
      </c>
      <c r="DS190">
        <f t="shared" si="566"/>
        <v>8000</v>
      </c>
      <c r="DT190">
        <f t="shared" si="567"/>
        <v>25.055025041608022</v>
      </c>
      <c r="DV190" s="5">
        <f t="shared" si="568"/>
        <v>39.912153284194851</v>
      </c>
      <c r="DW190" s="5">
        <f t="shared" si="569"/>
        <v>18.058236500341764</v>
      </c>
      <c r="DX190" s="5">
        <f t="shared" si="570"/>
        <v>21.853916783853087</v>
      </c>
      <c r="DY190" s="173">
        <f t="shared" si="571"/>
        <v>0.45244956772334299</v>
      </c>
      <c r="EA190" s="5">
        <f t="shared" si="572"/>
        <v>963.10594668489398</v>
      </c>
      <c r="EB190" s="5">
        <f t="shared" si="573"/>
        <v>45.145591250854416</v>
      </c>
      <c r="EC190" s="5">
        <f t="shared" si="574"/>
        <v>47.594737097320689</v>
      </c>
      <c r="ED190" s="5"/>
      <c r="EE190" s="173">
        <f t="shared" si="575"/>
        <v>11.103813348742646</v>
      </c>
      <c r="EF190" s="173">
        <f t="shared" si="576"/>
        <v>12.215159076350469</v>
      </c>
      <c r="EG190" s="173">
        <f t="shared" si="577"/>
        <v>0.30082823137051357</v>
      </c>
      <c r="EH190" s="173"/>
      <c r="EI190" s="528">
        <f t="shared" si="578"/>
        <v>2.4658934176743075</v>
      </c>
      <c r="EJ190" s="528">
        <f t="shared" si="579"/>
        <v>0.49716666666666665</v>
      </c>
      <c r="EK190" s="528">
        <f t="shared" si="580"/>
        <v>3.1318781302010026E-3</v>
      </c>
      <c r="EL190" s="528">
        <f t="shared" si="581"/>
        <v>3.0168505102349812E-3</v>
      </c>
      <c r="EM190">
        <f t="shared" si="582"/>
        <v>8.5500000000000003E-3</v>
      </c>
      <c r="EN190" s="460">
        <f t="shared" si="583"/>
        <v>11.681878130201003</v>
      </c>
      <c r="EP190" s="460">
        <f t="shared" si="603"/>
        <v>2977.7588129814103</v>
      </c>
      <c r="EQ190" s="173">
        <f t="shared" si="584"/>
        <v>5.6</v>
      </c>
      <c r="ER190" s="173">
        <f t="shared" si="585"/>
        <v>8.8749999999999996E-2</v>
      </c>
      <c r="ES190" s="528"/>
      <c r="EU190" s="460">
        <f t="shared" si="497"/>
        <v>5688.75</v>
      </c>
      <c r="EV190" s="528">
        <f t="shared" si="586"/>
        <v>3.698840126511461</v>
      </c>
      <c r="EW190" s="528">
        <f t="shared" si="587"/>
        <v>4.4763033378164172</v>
      </c>
      <c r="EX190" s="528">
        <f t="shared" si="588"/>
        <v>4.5248812394755623E-4</v>
      </c>
      <c r="EY190" s="528">
        <f t="shared" si="589"/>
        <v>0.68679375210278915</v>
      </c>
      <c r="EZ190" s="528"/>
      <c r="FA190" s="625">
        <f t="shared" si="590"/>
        <v>2.0482842421747319E-2</v>
      </c>
      <c r="FB190" s="460">
        <f t="shared" si="498"/>
        <v>8882.8725469763613</v>
      </c>
      <c r="FC190" s="173">
        <f t="shared" si="591"/>
        <v>17.549381359957771</v>
      </c>
      <c r="FD190" s="5">
        <f t="shared" si="592"/>
        <v>121.6</v>
      </c>
      <c r="FE190" s="173">
        <f t="shared" si="593"/>
        <v>0.87388099617518056</v>
      </c>
      <c r="FF190" s="5">
        <f t="shared" si="594"/>
        <v>87.388099617518051</v>
      </c>
      <c r="FG190">
        <f t="shared" si="595"/>
        <v>80</v>
      </c>
      <c r="FI190" s="562">
        <f t="shared" si="596"/>
        <v>-50</v>
      </c>
      <c r="FJ190">
        <f t="shared" si="597"/>
        <v>-50</v>
      </c>
    </row>
    <row r="191" spans="5:166">
      <c r="E191" s="170">
        <v>81</v>
      </c>
      <c r="F191" s="217">
        <f t="shared" si="598"/>
        <v>8.1000000000000014</v>
      </c>
      <c r="G191" s="217">
        <f t="shared" si="499"/>
        <v>0.20250000000000001</v>
      </c>
      <c r="H191" s="217">
        <f t="shared" si="500"/>
        <v>121.50000000000003</v>
      </c>
      <c r="I191" s="217">
        <f t="shared" si="501"/>
        <v>1.62</v>
      </c>
      <c r="J191" s="541">
        <f t="shared" si="502"/>
        <v>18.17522115653221</v>
      </c>
      <c r="K191" s="443">
        <f t="shared" si="503"/>
        <v>16.143794736842104</v>
      </c>
      <c r="L191" s="172">
        <f t="shared" si="504"/>
        <v>34.319015893374313</v>
      </c>
      <c r="M191" s="443"/>
      <c r="N191" s="217">
        <f t="shared" si="505"/>
        <v>0.47040377809781114</v>
      </c>
      <c r="O191" s="172">
        <f t="shared" si="506"/>
        <v>210.92991858049393</v>
      </c>
      <c r="P191" s="172">
        <f t="shared" si="507"/>
        <v>2.8498975665986737</v>
      </c>
      <c r="Q191" s="217">
        <f t="shared" si="508"/>
        <v>14.061994572032928</v>
      </c>
      <c r="R191" s="217">
        <f t="shared" si="509"/>
        <v>26.366239822561742</v>
      </c>
      <c r="S191" s="217">
        <f t="shared" si="510"/>
        <v>15</v>
      </c>
      <c r="T191" s="217">
        <f t="shared" si="511"/>
        <v>28.801035153681593</v>
      </c>
      <c r="U191" s="217">
        <f t="shared" si="512"/>
        <v>19.015582746841314</v>
      </c>
      <c r="V191" s="217">
        <f t="shared" si="513"/>
        <v>21.408375631501901</v>
      </c>
      <c r="W191" s="197">
        <f t="shared" si="514"/>
        <v>71.247439164966835</v>
      </c>
      <c r="X191" s="443">
        <f t="shared" si="599"/>
        <v>24.616015768003141</v>
      </c>
      <c r="Z191" s="217">
        <f t="shared" si="515"/>
        <v>9.9999999999999982</v>
      </c>
      <c r="AA191" s="173">
        <f t="shared" si="516"/>
        <v>7.433196590770903</v>
      </c>
      <c r="AB191" s="173">
        <f t="shared" si="517"/>
        <v>2.6131392528068522</v>
      </c>
      <c r="AC191" s="173"/>
      <c r="AD191" s="173">
        <f t="shared" si="518"/>
        <v>7.4331965907709048</v>
      </c>
      <c r="AE191" s="545">
        <f t="shared" si="519"/>
        <v>217.94122894736844</v>
      </c>
      <c r="AF191" s="528">
        <f t="shared" si="520"/>
        <v>2.6479811095109445</v>
      </c>
      <c r="AH191" s="173">
        <f t="shared" si="521"/>
        <v>7.6569296345579305</v>
      </c>
      <c r="AI191" s="173">
        <f t="shared" si="522"/>
        <v>28.801035153681593</v>
      </c>
      <c r="AJ191" s="173">
        <f t="shared" si="523"/>
        <v>15.126692706430807</v>
      </c>
      <c r="AL191" s="545">
        <f t="shared" si="524"/>
        <v>8100.0000000000018</v>
      </c>
      <c r="AM191" s="460">
        <f t="shared" si="525"/>
        <v>24.616015768003141</v>
      </c>
      <c r="AO191">
        <f t="shared" si="526"/>
        <v>8100.0000000000018</v>
      </c>
      <c r="AP191">
        <f t="shared" si="527"/>
        <v>24.616015768003141</v>
      </c>
      <c r="AR191" s="5">
        <f t="shared" si="443"/>
        <v>40.623958378343218</v>
      </c>
      <c r="AS191" s="5">
        <f t="shared" si="604"/>
        <v>19.015582746841314</v>
      </c>
      <c r="AT191" s="5">
        <f t="shared" si="605"/>
        <v>21.608375631501904</v>
      </c>
      <c r="AU191" s="173">
        <f t="shared" si="606"/>
        <v>0.4680878847340143</v>
      </c>
      <c r="AW191" s="5">
        <f t="shared" si="477"/>
        <v>1026.8414683294311</v>
      </c>
      <c r="AX191" s="5">
        <f t="shared" si="478"/>
        <v>48.13319382794208</v>
      </c>
      <c r="AY191" s="5">
        <f t="shared" si="479"/>
        <v>49.810476556124257</v>
      </c>
      <c r="AZ191" s="5"/>
      <c r="BA191" s="173">
        <f t="shared" si="480"/>
        <v>11.37656546423737</v>
      </c>
      <c r="BB191" s="173">
        <f t="shared" si="481"/>
        <v>12.127391869061919</v>
      </c>
      <c r="BC191" s="173">
        <f t="shared" si="482"/>
        <v>0.29866674877532884</v>
      </c>
      <c r="BD191" s="173"/>
      <c r="BE191" s="528">
        <f t="shared" si="483"/>
        <v>2.5885248352415688</v>
      </c>
      <c r="BF191" s="528">
        <f t="shared" si="528"/>
        <v>0.45620701242633099</v>
      </c>
      <c r="BG191" s="528">
        <f t="shared" si="529"/>
        <v>1.1185038264403528E-2</v>
      </c>
      <c r="BH191" s="528">
        <f t="shared" si="484"/>
        <v>2.8992616645589254E-3</v>
      </c>
      <c r="BI191">
        <f t="shared" si="485"/>
        <v>8.1788495204394938E-3</v>
      </c>
      <c r="BJ191" s="460">
        <f t="shared" si="600"/>
        <v>19.363887784843019</v>
      </c>
      <c r="BK191">
        <f t="shared" si="530"/>
        <v>9.7321009052814347</v>
      </c>
      <c r="BL191" s="460">
        <f t="shared" si="601"/>
        <v>3066.9949971173019</v>
      </c>
      <c r="BM191" s="173">
        <f t="shared" si="531"/>
        <v>5.0321250000000006</v>
      </c>
      <c r="BN191" s="173">
        <f t="shared" si="532"/>
        <v>0.12580312499999999</v>
      </c>
      <c r="BO191" s="528"/>
      <c r="BQ191" s="460">
        <f t="shared" si="486"/>
        <v>5157.9281250000004</v>
      </c>
      <c r="BR191" s="528">
        <f t="shared" si="487"/>
        <v>3.8827872528623528</v>
      </c>
      <c r="BS191" s="528">
        <f t="shared" si="488"/>
        <v>4.4122090063736739</v>
      </c>
      <c r="BT191" s="528">
        <f t="shared" si="489"/>
        <v>4.4600913412012693E-4</v>
      </c>
      <c r="BU191" s="528">
        <f t="shared" si="490"/>
        <v>0.66916720875079605</v>
      </c>
      <c r="BV191" s="528"/>
      <c r="BW191" s="625">
        <f t="shared" si="533"/>
        <v>2.0418975871288117E-2</v>
      </c>
      <c r="BX191" s="460">
        <f t="shared" si="491"/>
        <v>8985.0284529922301</v>
      </c>
      <c r="BY191" s="173">
        <f t="shared" si="492"/>
        <v>17.209951575109528</v>
      </c>
      <c r="BZ191" s="5">
        <f t="shared" si="493"/>
        <v>123.12000000000003</v>
      </c>
      <c r="CA191" s="173">
        <f t="shared" si="494"/>
        <v>0.87736081013397804</v>
      </c>
      <c r="CB191" s="5">
        <f t="shared" si="495"/>
        <v>87.736081013397808</v>
      </c>
      <c r="CC191">
        <f t="shared" si="496"/>
        <v>81.000000000000014</v>
      </c>
      <c r="CE191" s="562">
        <f t="shared" si="534"/>
        <v>-50</v>
      </c>
      <c r="CF191">
        <f t="shared" si="535"/>
        <v>-50</v>
      </c>
      <c r="CG191" s="173">
        <f t="shared" si="536"/>
        <v>0.54755043227665712</v>
      </c>
      <c r="CH191" s="173">
        <f t="shared" si="537"/>
        <v>6.4398811101315845E-2</v>
      </c>
      <c r="CI191" s="170">
        <v>81</v>
      </c>
      <c r="CJ191" s="217">
        <f t="shared" si="602"/>
        <v>8.1000000000000014</v>
      </c>
      <c r="CK191" s="217">
        <f t="shared" si="538"/>
        <v>0.20250000000000001</v>
      </c>
      <c r="CL191" s="217">
        <f t="shared" si="539"/>
        <v>121.50000000000003</v>
      </c>
      <c r="CM191" s="217">
        <f t="shared" si="540"/>
        <v>1.62</v>
      </c>
      <c r="CN191" s="541">
        <f t="shared" si="541"/>
        <v>19</v>
      </c>
      <c r="CO191" s="443">
        <f t="shared" si="542"/>
        <v>15.7</v>
      </c>
      <c r="CP191" s="443">
        <f t="shared" si="543"/>
        <v>34.700000000000003</v>
      </c>
      <c r="CQ191" s="443"/>
      <c r="CR191" s="217">
        <f t="shared" si="544"/>
        <v>0.44767441860465118</v>
      </c>
      <c r="CS191" s="172">
        <f t="shared" si="545"/>
        <v>209.84738372093025</v>
      </c>
      <c r="CT191" s="172">
        <f t="shared" si="546"/>
        <v>2.835271317829458</v>
      </c>
      <c r="CU191" s="217">
        <f t="shared" si="547"/>
        <v>13.989825581395349</v>
      </c>
      <c r="CV191" s="217">
        <f t="shared" si="548"/>
        <v>26.230922965116282</v>
      </c>
      <c r="CW191" s="217">
        <f t="shared" si="549"/>
        <v>15</v>
      </c>
      <c r="CX191" s="217">
        <f t="shared" si="550"/>
        <v>28.949610389610395</v>
      </c>
      <c r="CY191" s="217">
        <f t="shared" si="551"/>
        <v>18.283964456596038</v>
      </c>
      <c r="CZ191" s="217">
        <f t="shared" si="552"/>
        <v>22.127090743651259</v>
      </c>
      <c r="DA191" s="197">
        <f t="shared" si="553"/>
        <v>71.63784822286263</v>
      </c>
      <c r="DB191" s="443">
        <f t="shared" si="554"/>
        <v>24.745703744798043</v>
      </c>
      <c r="DD191" s="217">
        <f t="shared" si="555"/>
        <v>10.000000000000002</v>
      </c>
      <c r="DE191" s="173">
        <f t="shared" si="556"/>
        <v>7.6433121019108299</v>
      </c>
      <c r="DF191" s="173">
        <f t="shared" si="557"/>
        <v>2.7017291066282429</v>
      </c>
      <c r="DG191" s="173"/>
      <c r="DH191" s="173">
        <f t="shared" si="558"/>
        <v>7.6433121019108281</v>
      </c>
      <c r="DI191" s="545">
        <f t="shared" si="559"/>
        <v>211.95000000000005</v>
      </c>
      <c r="DJ191" s="528">
        <f t="shared" si="560"/>
        <v>2.7377521613832849</v>
      </c>
      <c r="DL191" s="173">
        <f t="shared" si="561"/>
        <v>7.6569296345579305</v>
      </c>
      <c r="DM191" s="173">
        <f t="shared" si="562"/>
        <v>28.949610389610395</v>
      </c>
      <c r="DN191" s="173">
        <f t="shared" si="563"/>
        <v>15.236748436748439</v>
      </c>
      <c r="DP191" s="545">
        <f t="shared" si="564"/>
        <v>8100.0000000000018</v>
      </c>
      <c r="DQ191" s="460">
        <f t="shared" si="565"/>
        <v>24.745703744798043</v>
      </c>
      <c r="DS191">
        <f t="shared" si="566"/>
        <v>8100.0000000000018</v>
      </c>
      <c r="DT191">
        <f t="shared" si="567"/>
        <v>24.745703744798043</v>
      </c>
      <c r="DV191" s="5">
        <f t="shared" si="568"/>
        <v>40.411055200247297</v>
      </c>
      <c r="DW191" s="5">
        <f t="shared" si="569"/>
        <v>18.283964456596038</v>
      </c>
      <c r="DX191" s="5">
        <f t="shared" si="570"/>
        <v>22.127090743651259</v>
      </c>
      <c r="DY191" s="173">
        <f t="shared" si="571"/>
        <v>0.45244956772334294</v>
      </c>
      <c r="EA191" s="5">
        <f t="shared" si="572"/>
        <v>987.33408065618619</v>
      </c>
      <c r="EB191" s="5">
        <f t="shared" si="573"/>
        <v>46.281285030758717</v>
      </c>
      <c r="EC191" s="5">
        <f t="shared" si="574"/>
        <v>48.792042202425201</v>
      </c>
      <c r="ED191" s="5"/>
      <c r="EE191" s="173">
        <f t="shared" si="575"/>
        <v>11.242611015601931</v>
      </c>
      <c r="EF191" s="173">
        <f t="shared" si="576"/>
        <v>12.367848564804856</v>
      </c>
      <c r="EG191" s="173">
        <f t="shared" si="577"/>
        <v>0.30458858426264512</v>
      </c>
      <c r="EH191" s="173"/>
      <c r="EI191" s="528">
        <f t="shared" si="578"/>
        <v>2.5279260489626774</v>
      </c>
      <c r="EJ191" s="528">
        <f t="shared" si="579"/>
        <v>0.4971666666666667</v>
      </c>
      <c r="EK191" s="528">
        <f t="shared" si="580"/>
        <v>3.093212968099755E-3</v>
      </c>
      <c r="EL191" s="528">
        <f t="shared" si="581"/>
        <v>2.9796054422073881E-3</v>
      </c>
      <c r="EM191">
        <f t="shared" si="582"/>
        <v>8.5500000000000003E-3</v>
      </c>
      <c r="EN191" s="460">
        <f t="shared" si="583"/>
        <v>11.643212968099755</v>
      </c>
      <c r="EP191" s="460">
        <f t="shared" si="603"/>
        <v>3039.7155340396512</v>
      </c>
      <c r="EQ191" s="173">
        <f t="shared" si="584"/>
        <v>5.6700000000000008</v>
      </c>
      <c r="ER191" s="173">
        <f t="shared" si="585"/>
        <v>8.9859375000000005E-2</v>
      </c>
      <c r="ES191" s="528"/>
      <c r="EU191" s="460">
        <f t="shared" si="497"/>
        <v>5759.859375</v>
      </c>
      <c r="EV191" s="528">
        <f t="shared" si="586"/>
        <v>3.791889073444016</v>
      </c>
      <c r="EW191" s="528">
        <f t="shared" si="587"/>
        <v>4.5889103436583651</v>
      </c>
      <c r="EX191" s="528">
        <f t="shared" si="588"/>
        <v>4.6387102831561236E-4</v>
      </c>
      <c r="EY191" s="528">
        <f t="shared" si="589"/>
        <v>0.68679375210278804</v>
      </c>
      <c r="EZ191" s="528"/>
      <c r="FA191" s="625">
        <f t="shared" si="590"/>
        <v>2.0738877952019168E-2</v>
      </c>
      <c r="FB191" s="460">
        <f t="shared" si="498"/>
        <v>9088.795918185504</v>
      </c>
      <c r="FC191" s="173">
        <f t="shared" si="591"/>
        <v>17.888370827225156</v>
      </c>
      <c r="FD191" s="5">
        <f t="shared" si="592"/>
        <v>123.12000000000003</v>
      </c>
      <c r="FE191" s="173">
        <f t="shared" si="593"/>
        <v>0.87313965318311904</v>
      </c>
      <c r="FF191" s="5">
        <f t="shared" si="594"/>
        <v>87.313965318311901</v>
      </c>
      <c r="FG191">
        <f t="shared" si="595"/>
        <v>81.000000000000014</v>
      </c>
      <c r="FI191" s="562">
        <f t="shared" si="596"/>
        <v>-50</v>
      </c>
      <c r="FJ191">
        <f t="shared" si="597"/>
        <v>-50</v>
      </c>
    </row>
    <row r="192" spans="5:166">
      <c r="E192" s="170">
        <v>82</v>
      </c>
      <c r="F192" s="217">
        <f t="shared" si="598"/>
        <v>8.1999999999999993</v>
      </c>
      <c r="G192" s="217">
        <f t="shared" si="499"/>
        <v>0.20499999999999999</v>
      </c>
      <c r="H192" s="217">
        <f t="shared" si="500"/>
        <v>122.99999999999999</v>
      </c>
      <c r="I192" s="217">
        <f t="shared" si="501"/>
        <v>1.64</v>
      </c>
      <c r="J192" s="541">
        <f t="shared" si="502"/>
        <v>18.165038701674582</v>
      </c>
      <c r="K192" s="443">
        <f t="shared" si="503"/>
        <v>16.149273684210524</v>
      </c>
      <c r="L192" s="172">
        <f t="shared" si="504"/>
        <v>34.314312385885103</v>
      </c>
      <c r="M192" s="443"/>
      <c r="N192" s="217">
        <f t="shared" si="505"/>
        <v>0.47062792640581624</v>
      </c>
      <c r="O192" s="172">
        <f t="shared" si="506"/>
        <v>210.91219976769347</v>
      </c>
      <c r="P192" s="172">
        <f t="shared" si="507"/>
        <v>2.8496581657501694</v>
      </c>
      <c r="Q192" s="217">
        <f t="shared" si="508"/>
        <v>14.060813317846231</v>
      </c>
      <c r="R192" s="217">
        <f t="shared" si="509"/>
        <v>26.364024970961683</v>
      </c>
      <c r="S192" s="217">
        <f t="shared" si="510"/>
        <v>15</v>
      </c>
      <c r="T192" s="217">
        <f t="shared" si="511"/>
        <v>29.159052946078216</v>
      </c>
      <c r="U192" s="217">
        <f t="shared" si="512"/>
        <v>19.262751987458277</v>
      </c>
      <c r="V192" s="217">
        <f t="shared" si="513"/>
        <v>21.667143810625458</v>
      </c>
      <c r="W192" s="197">
        <f t="shared" si="514"/>
        <v>71.24145414375424</v>
      </c>
      <c r="X192" s="443">
        <f t="shared" si="599"/>
        <v>24.313215012973377</v>
      </c>
      <c r="Z192" s="217">
        <f t="shared" si="515"/>
        <v>10</v>
      </c>
      <c r="AA192" s="173">
        <f t="shared" si="516"/>
        <v>7.4306747378568776</v>
      </c>
      <c r="AB192" s="173">
        <f t="shared" si="517"/>
        <v>2.6120332578660381</v>
      </c>
      <c r="AC192" s="173"/>
      <c r="AD192" s="173">
        <f t="shared" si="518"/>
        <v>7.4306747378568776</v>
      </c>
      <c r="AE192" s="545">
        <f t="shared" si="519"/>
        <v>220.70674035087714</v>
      </c>
      <c r="AF192" s="528">
        <f t="shared" si="520"/>
        <v>2.6468603679709193</v>
      </c>
      <c r="AH192" s="173">
        <f t="shared" si="521"/>
        <v>7.7040496462822032</v>
      </c>
      <c r="AI192" s="173">
        <f t="shared" si="522"/>
        <v>29.159052946078216</v>
      </c>
      <c r="AJ192" s="173">
        <f t="shared" si="523"/>
        <v>15.391891071169047</v>
      </c>
      <c r="AL192" s="545">
        <f t="shared" si="524"/>
        <v>8200</v>
      </c>
      <c r="AM192" s="460">
        <f t="shared" si="525"/>
        <v>24.313215012973377</v>
      </c>
      <c r="AO192">
        <f t="shared" si="526"/>
        <v>8200</v>
      </c>
      <c r="AP192">
        <f t="shared" si="527"/>
        <v>24.313215012973377</v>
      </c>
      <c r="AR192" s="5">
        <f t="shared" si="443"/>
        <v>41.12989579808373</v>
      </c>
      <c r="AS192" s="5">
        <f t="shared" si="604"/>
        <v>19.262751987458277</v>
      </c>
      <c r="AT192" s="5">
        <f t="shared" si="605"/>
        <v>21.867143810625453</v>
      </c>
      <c r="AU192" s="173">
        <f t="shared" si="606"/>
        <v>0.46833943081265333</v>
      </c>
      <c r="AW192" s="5">
        <f t="shared" si="477"/>
        <v>1053.0304419810525</v>
      </c>
      <c r="AX192" s="5">
        <f t="shared" si="478"/>
        <v>49.360801967861832</v>
      </c>
      <c r="AY192" s="5">
        <f t="shared" si="479"/>
        <v>51.057888099171329</v>
      </c>
      <c r="AZ192" s="5"/>
      <c r="BA192" s="173">
        <f t="shared" si="480"/>
        <v>11.521078851839599</v>
      </c>
      <c r="BB192" s="173">
        <f t="shared" si="481"/>
        <v>12.275240594808121</v>
      </c>
      <c r="BC192" s="173">
        <f t="shared" si="482"/>
        <v>0.30230788602115688</v>
      </c>
      <c r="BD192" s="173"/>
      <c r="BE192" s="528">
        <f t="shared" si="483"/>
        <v>2.654705158206113</v>
      </c>
      <c r="BF192" s="528">
        <f t="shared" si="528"/>
        <v>0.45613392897665778</v>
      </c>
      <c r="BG192" s="528">
        <f t="shared" si="529"/>
        <v>1.1041262291819922E-2</v>
      </c>
      <c r="BH192" s="528">
        <f t="shared" si="484"/>
        <v>2.8628130746953333E-3</v>
      </c>
      <c r="BI192">
        <f t="shared" si="485"/>
        <v>8.1742674157535625E-3</v>
      </c>
      <c r="BJ192" s="460">
        <f t="shared" si="600"/>
        <v>19.215529707573484</v>
      </c>
      <c r="BK192">
        <f t="shared" si="530"/>
        <v>10.373878725952123</v>
      </c>
      <c r="BL192" s="460">
        <f t="shared" si="601"/>
        <v>3132.9174299650394</v>
      </c>
      <c r="BM192" s="173">
        <f t="shared" si="531"/>
        <v>5.0942499999999988</v>
      </c>
      <c r="BN192" s="173">
        <f t="shared" si="532"/>
        <v>0.12735624999999998</v>
      </c>
      <c r="BO192" s="528"/>
      <c r="BQ192" s="460">
        <f t="shared" si="486"/>
        <v>5221.6062499999989</v>
      </c>
      <c r="BR192" s="528">
        <f t="shared" si="487"/>
        <v>3.9820577373091695</v>
      </c>
      <c r="BS192" s="528">
        <f t="shared" si="488"/>
        <v>4.5204459498127569</v>
      </c>
      <c r="BT192" s="528">
        <f t="shared" si="489"/>
        <v>4.5695028975290387E-4</v>
      </c>
      <c r="BU192" s="528">
        <f t="shared" si="490"/>
        <v>0.66912848362383426</v>
      </c>
      <c r="BV192" s="528"/>
      <c r="BW192" s="625">
        <f t="shared" si="533"/>
        <v>2.0672320029359433E-2</v>
      </c>
      <c r="BX192" s="460">
        <f t="shared" si="491"/>
        <v>9192.761441064873</v>
      </c>
      <c r="BY192" s="173">
        <f t="shared" si="492"/>
        <v>17.547285121029908</v>
      </c>
      <c r="BZ192" s="5">
        <f t="shared" si="493"/>
        <v>124.63999999999999</v>
      </c>
      <c r="CA192" s="173">
        <f t="shared" si="494"/>
        <v>0.87659033572450828</v>
      </c>
      <c r="CB192" s="5">
        <f t="shared" si="495"/>
        <v>87.659033572450824</v>
      </c>
      <c r="CC192">
        <f t="shared" si="496"/>
        <v>82</v>
      </c>
      <c r="CE192" s="562">
        <f t="shared" si="534"/>
        <v>-50</v>
      </c>
      <c r="CF192">
        <f t="shared" si="535"/>
        <v>-50</v>
      </c>
      <c r="CG192" s="173">
        <f t="shared" si="536"/>
        <v>0.54755043227665712</v>
      </c>
      <c r="CH192" s="173">
        <f t="shared" si="537"/>
        <v>6.4398811101315859E-2</v>
      </c>
      <c r="CI192" s="170">
        <v>82</v>
      </c>
      <c r="CJ192" s="217">
        <f t="shared" si="602"/>
        <v>8.1999999999999993</v>
      </c>
      <c r="CK192" s="217">
        <f t="shared" si="538"/>
        <v>0.20499999999999999</v>
      </c>
      <c r="CL192" s="217">
        <f t="shared" si="539"/>
        <v>122.99999999999999</v>
      </c>
      <c r="CM192" s="217">
        <f t="shared" si="540"/>
        <v>1.64</v>
      </c>
      <c r="CN192" s="541">
        <f t="shared" si="541"/>
        <v>19</v>
      </c>
      <c r="CO192" s="443">
        <f t="shared" si="542"/>
        <v>15.7</v>
      </c>
      <c r="CP192" s="443">
        <f t="shared" si="543"/>
        <v>34.700000000000003</v>
      </c>
      <c r="CQ192" s="443"/>
      <c r="CR192" s="217">
        <f t="shared" si="544"/>
        <v>0.44767441860465118</v>
      </c>
      <c r="CS192" s="172">
        <f t="shared" si="545"/>
        <v>209.84738372093025</v>
      </c>
      <c r="CT192" s="172">
        <f t="shared" si="546"/>
        <v>2.835271317829458</v>
      </c>
      <c r="CU192" s="217">
        <f t="shared" si="547"/>
        <v>13.989825581395349</v>
      </c>
      <c r="CV192" s="217">
        <f t="shared" si="548"/>
        <v>26.230922965116282</v>
      </c>
      <c r="CW192" s="217">
        <f t="shared" si="549"/>
        <v>15</v>
      </c>
      <c r="CX192" s="217">
        <f t="shared" si="550"/>
        <v>29.307012987012982</v>
      </c>
      <c r="CY192" s="217">
        <f t="shared" si="551"/>
        <v>18.509692412850303</v>
      </c>
      <c r="CZ192" s="217">
        <f t="shared" si="552"/>
        <v>22.400264703449416</v>
      </c>
      <c r="DA192" s="197">
        <f t="shared" si="553"/>
        <v>71.63784822286263</v>
      </c>
      <c r="DB192" s="443">
        <f t="shared" si="554"/>
        <v>24.443926869861489</v>
      </c>
      <c r="DD192" s="217">
        <f t="shared" si="555"/>
        <v>10.000000000000002</v>
      </c>
      <c r="DE192" s="173">
        <f t="shared" si="556"/>
        <v>7.6433121019108299</v>
      </c>
      <c r="DF192" s="173">
        <f t="shared" si="557"/>
        <v>2.7017291066282429</v>
      </c>
      <c r="DG192" s="173"/>
      <c r="DH192" s="173">
        <f t="shared" si="558"/>
        <v>7.6433121019108281</v>
      </c>
      <c r="DI192" s="545">
        <f t="shared" si="559"/>
        <v>214.56666666666666</v>
      </c>
      <c r="DJ192" s="528">
        <f t="shared" si="560"/>
        <v>2.7377521613832849</v>
      </c>
      <c r="DL192" s="173">
        <f t="shared" si="561"/>
        <v>7.7040496462822032</v>
      </c>
      <c r="DM192" s="173">
        <f t="shared" si="562"/>
        <v>29.307012987012982</v>
      </c>
      <c r="DN192" s="173">
        <f t="shared" si="563"/>
        <v>15.501491101491098</v>
      </c>
      <c r="DP192" s="545">
        <f t="shared" si="564"/>
        <v>8200</v>
      </c>
      <c r="DQ192" s="460">
        <f t="shared" si="565"/>
        <v>24.443926869861489</v>
      </c>
      <c r="DS192">
        <f t="shared" si="566"/>
        <v>8200</v>
      </c>
      <c r="DT192">
        <f t="shared" si="567"/>
        <v>24.443926869861489</v>
      </c>
      <c r="DV192" s="5">
        <f t="shared" si="568"/>
        <v>40.909957116299722</v>
      </c>
      <c r="DW192" s="5">
        <f t="shared" si="569"/>
        <v>18.509692412850303</v>
      </c>
      <c r="DX192" s="5">
        <f t="shared" si="570"/>
        <v>22.40026470344942</v>
      </c>
      <c r="DY192" s="173">
        <f t="shared" si="571"/>
        <v>0.45244956772334283</v>
      </c>
      <c r="EA192" s="5">
        <f t="shared" si="572"/>
        <v>1011.8631852358164</v>
      </c>
      <c r="EB192" s="5">
        <f t="shared" si="573"/>
        <v>47.431086807928892</v>
      </c>
      <c r="EC192" s="5">
        <f t="shared" si="574"/>
        <v>50.004220662872555</v>
      </c>
      <c r="ED192" s="5"/>
      <c r="EE192" s="173">
        <f t="shared" si="575"/>
        <v>11.38140868246121</v>
      </c>
      <c r="EF192" s="173">
        <f t="shared" si="576"/>
        <v>12.520538053259232</v>
      </c>
      <c r="EG192" s="173">
        <f t="shared" si="577"/>
        <v>0.3083489371547764</v>
      </c>
      <c r="EH192" s="173"/>
      <c r="EI192" s="528">
        <f t="shared" si="578"/>
        <v>2.5907292719440682</v>
      </c>
      <c r="EJ192" s="528">
        <f t="shared" si="579"/>
        <v>0.49716666666666665</v>
      </c>
      <c r="EK192" s="528">
        <f t="shared" si="580"/>
        <v>3.0554908587326858E-3</v>
      </c>
      <c r="EL192" s="528">
        <f t="shared" si="581"/>
        <v>2.9432687904731528E-3</v>
      </c>
      <c r="EM192">
        <f t="shared" si="582"/>
        <v>8.5500000000000003E-3</v>
      </c>
      <c r="EN192" s="460">
        <f t="shared" si="583"/>
        <v>11.605490858732685</v>
      </c>
      <c r="EP192" s="460">
        <f t="shared" si="603"/>
        <v>3102.4446982599407</v>
      </c>
      <c r="EQ192" s="173">
        <f t="shared" si="584"/>
        <v>5.7399999999999993</v>
      </c>
      <c r="ER192" s="173">
        <f t="shared" si="585"/>
        <v>9.0968749999999987E-2</v>
      </c>
      <c r="ES192" s="528"/>
      <c r="EU192" s="460">
        <f t="shared" si="497"/>
        <v>5830.9687499999991</v>
      </c>
      <c r="EV192" s="528">
        <f t="shared" si="586"/>
        <v>3.8860939079161021</v>
      </c>
      <c r="EW192" s="528">
        <f t="shared" si="587"/>
        <v>4.7029161942933744</v>
      </c>
      <c r="EX192" s="528">
        <f t="shared" si="588"/>
        <v>4.753953352224012E-4</v>
      </c>
      <c r="EY192" s="528">
        <f t="shared" si="589"/>
        <v>0.68679375210278792</v>
      </c>
      <c r="EZ192" s="528"/>
      <c r="FA192" s="625">
        <f t="shared" si="590"/>
        <v>2.0994913482290999E-2</v>
      </c>
      <c r="FB192" s="460">
        <f t="shared" si="498"/>
        <v>9297.2741631297777</v>
      </c>
      <c r="FC192" s="173">
        <f t="shared" si="591"/>
        <v>18.230687611389715</v>
      </c>
      <c r="FD192" s="5">
        <f t="shared" si="592"/>
        <v>124.63999999999999</v>
      </c>
      <c r="FE192" s="173">
        <f t="shared" si="593"/>
        <v>0.87239728515216886</v>
      </c>
      <c r="FF192" s="5">
        <f t="shared" si="594"/>
        <v>87.239728515216882</v>
      </c>
      <c r="FG192">
        <f t="shared" si="595"/>
        <v>82</v>
      </c>
      <c r="FI192" s="562">
        <f t="shared" si="596"/>
        <v>-50</v>
      </c>
      <c r="FJ192">
        <f t="shared" si="597"/>
        <v>-50</v>
      </c>
    </row>
    <row r="193" spans="5:166">
      <c r="E193" s="170">
        <v>83</v>
      </c>
      <c r="F193" s="217">
        <f t="shared" si="598"/>
        <v>8.2999999999999989</v>
      </c>
      <c r="G193" s="217">
        <f t="shared" si="499"/>
        <v>0.20749999999999999</v>
      </c>
      <c r="H193" s="217">
        <f t="shared" si="500"/>
        <v>124.49999999999999</v>
      </c>
      <c r="I193" s="217">
        <f t="shared" si="501"/>
        <v>1.66</v>
      </c>
      <c r="J193" s="541">
        <f t="shared" si="502"/>
        <v>18.154856246816955</v>
      </c>
      <c r="K193" s="443">
        <f t="shared" si="503"/>
        <v>16.154752631578948</v>
      </c>
      <c r="L193" s="172">
        <f t="shared" si="504"/>
        <v>34.309608878395906</v>
      </c>
      <c r="M193" s="443"/>
      <c r="N193" s="217">
        <f t="shared" si="505"/>
        <v>0.47085213617084631</v>
      </c>
      <c r="O193" s="172">
        <f t="shared" si="506"/>
        <v>210.89439586402295</v>
      </c>
      <c r="P193" s="172">
        <f t="shared" si="507"/>
        <v>2.8494176152294659</v>
      </c>
      <c r="Q193" s="217">
        <f t="shared" si="508"/>
        <v>14.059626390934863</v>
      </c>
      <c r="R193" s="217">
        <f t="shared" si="509"/>
        <v>26.361799483002869</v>
      </c>
      <c r="S193" s="217">
        <f t="shared" si="510"/>
        <v>15</v>
      </c>
      <c r="T193" s="217">
        <f t="shared" si="511"/>
        <v>29.517142807406096</v>
      </c>
      <c r="U193" s="217">
        <f t="shared" si="512"/>
        <v>19.510246122217307</v>
      </c>
      <c r="V193" s="217">
        <f t="shared" si="513"/>
        <v>21.925789999190687</v>
      </c>
      <c r="W193" s="197">
        <f t="shared" si="514"/>
        <v>71.235440380736648</v>
      </c>
      <c r="X193" s="443">
        <f t="shared" si="599"/>
        <v>24.01765617370646</v>
      </c>
      <c r="Z193" s="217">
        <f t="shared" si="515"/>
        <v>10</v>
      </c>
      <c r="AA193" s="173">
        <f t="shared" si="516"/>
        <v>7.4281545955353536</v>
      </c>
      <c r="AB193" s="173">
        <f t="shared" si="517"/>
        <v>2.610926959683324</v>
      </c>
      <c r="AC193" s="173"/>
      <c r="AD193" s="173">
        <f t="shared" si="518"/>
        <v>7.4281545955353536</v>
      </c>
      <c r="AE193" s="545">
        <f t="shared" si="519"/>
        <v>223.47407807017541</v>
      </c>
      <c r="AF193" s="528">
        <f t="shared" si="520"/>
        <v>2.6457393191457683</v>
      </c>
      <c r="AH193" s="173">
        <f t="shared" si="521"/>
        <v>7.7508832062024045</v>
      </c>
      <c r="AI193" s="173">
        <f t="shared" si="522"/>
        <v>29.517142807406096</v>
      </c>
      <c r="AJ193" s="173">
        <f t="shared" si="523"/>
        <v>15.657142820300811</v>
      </c>
      <c r="AL193" s="545">
        <f t="shared" si="524"/>
        <v>8299.9999999999982</v>
      </c>
      <c r="AM193" s="460">
        <f t="shared" si="525"/>
        <v>24.01765617370646</v>
      </c>
      <c r="AO193">
        <f t="shared" si="526"/>
        <v>8299.9999999999982</v>
      </c>
      <c r="AP193">
        <f t="shared" si="527"/>
        <v>24.01765617370646</v>
      </c>
      <c r="AR193" s="5">
        <f t="shared" si="443"/>
        <v>41.636036121408004</v>
      </c>
      <c r="AS193" s="5">
        <f t="shared" si="604"/>
        <v>19.510246122217307</v>
      </c>
      <c r="AT193" s="5">
        <f t="shared" si="605"/>
        <v>22.125789999190697</v>
      </c>
      <c r="AU193" s="173">
        <f t="shared" si="606"/>
        <v>0.46859038322780494</v>
      </c>
      <c r="AW193" s="5">
        <f t="shared" si="477"/>
        <v>1079.5669520960244</v>
      </c>
      <c r="AX193" s="5">
        <f t="shared" si="478"/>
        <v>50.604700879501138</v>
      </c>
      <c r="AY193" s="5">
        <f t="shared" si="479"/>
        <v>52.321155315127989</v>
      </c>
      <c r="AZ193" s="5"/>
      <c r="BA193" s="173">
        <f t="shared" si="480"/>
        <v>11.665688478585704</v>
      </c>
      <c r="BB193" s="173">
        <f t="shared" si="481"/>
        <v>12.423054595852339</v>
      </c>
      <c r="BC193" s="173">
        <f t="shared" si="482"/>
        <v>0.30594816808608899</v>
      </c>
      <c r="BD193" s="173"/>
      <c r="BE193" s="528">
        <f t="shared" si="483"/>
        <v>2.7217657535881448</v>
      </c>
      <c r="BF193" s="528">
        <f t="shared" si="528"/>
        <v>0.45605999601080044</v>
      </c>
      <c r="BG193" s="528">
        <f t="shared" si="529"/>
        <v>1.0900927380477913E-2</v>
      </c>
      <c r="BH193" s="528">
        <f t="shared" si="484"/>
        <v>2.8272366225161583E-3</v>
      </c>
      <c r="BI193">
        <f t="shared" si="485"/>
        <v>8.1696853110676294E-3</v>
      </c>
      <c r="BJ193" s="460">
        <f t="shared" si="600"/>
        <v>19.070612691545545</v>
      </c>
      <c r="BK193">
        <f t="shared" si="530"/>
        <v>11.082468202204875</v>
      </c>
      <c r="BL193" s="460">
        <f t="shared" si="601"/>
        <v>3199.7235989130068</v>
      </c>
      <c r="BM193" s="173">
        <f t="shared" si="531"/>
        <v>5.1563749999999988</v>
      </c>
      <c r="BN193" s="173">
        <f t="shared" si="532"/>
        <v>0.12890937499999999</v>
      </c>
      <c r="BO193" s="528"/>
      <c r="BQ193" s="460">
        <f t="shared" si="486"/>
        <v>5285.2843749999993</v>
      </c>
      <c r="BR193" s="528">
        <f t="shared" si="487"/>
        <v>4.0826486303822174</v>
      </c>
      <c r="BS193" s="528">
        <f t="shared" si="488"/>
        <v>4.6299685647458375</v>
      </c>
      <c r="BT193" s="528">
        <f t="shared" si="489"/>
        <v>4.6802140777616879E-4</v>
      </c>
      <c r="BU193" s="528">
        <f t="shared" si="490"/>
        <v>0.66908663340236763</v>
      </c>
      <c r="BV193" s="528"/>
      <c r="BW193" s="625">
        <f t="shared" si="533"/>
        <v>2.0925664416570837E-2</v>
      </c>
      <c r="BX193" s="460">
        <f t="shared" ref="BX193:BX210" si="607">SUM(BR193:BW193)*1000</f>
        <v>9403.0975143547694</v>
      </c>
      <c r="BY193" s="173">
        <f t="shared" ref="BY193:BY210" si="608">SUM(BE193:BI193,BM193:BP193,BR193:BW193)</f>
        <v>17.888105488267776</v>
      </c>
      <c r="BZ193" s="5">
        <f t="shared" ref="BZ193:BZ210" si="609">MIN(H193+I193,O193+P193)</f>
        <v>126.15999999999998</v>
      </c>
      <c r="CA193" s="173">
        <f t="shared" ref="CA193:CA210" si="610">BZ193/(BZ193+BY193)</f>
        <v>0.87581853001374799</v>
      </c>
      <c r="CB193" s="5">
        <f t="shared" ref="CB193:CB210" si="611">CA193*100</f>
        <v>87.581853001374796</v>
      </c>
      <c r="CC193">
        <f t="shared" ref="CC193:CC210" si="612">F193/Iout*100</f>
        <v>82.999999999999986</v>
      </c>
      <c r="CE193" s="562">
        <f t="shared" si="534"/>
        <v>-50</v>
      </c>
      <c r="CF193">
        <f t="shared" si="535"/>
        <v>-50</v>
      </c>
      <c r="CG193" s="173">
        <f t="shared" si="536"/>
        <v>0.54755043227665712</v>
      </c>
      <c r="CH193" s="173">
        <f t="shared" si="537"/>
        <v>6.4398811101315859E-2</v>
      </c>
      <c r="CI193" s="170">
        <v>83</v>
      </c>
      <c r="CJ193" s="217">
        <f t="shared" si="602"/>
        <v>8.2999999999999989</v>
      </c>
      <c r="CK193" s="217">
        <f t="shared" si="538"/>
        <v>0.20749999999999999</v>
      </c>
      <c r="CL193" s="217">
        <f t="shared" si="539"/>
        <v>124.49999999999999</v>
      </c>
      <c r="CM193" s="217">
        <f t="shared" si="540"/>
        <v>1.66</v>
      </c>
      <c r="CN193" s="541">
        <f t="shared" si="541"/>
        <v>19</v>
      </c>
      <c r="CO193" s="443">
        <f t="shared" si="542"/>
        <v>15.7</v>
      </c>
      <c r="CP193" s="443">
        <f t="shared" si="543"/>
        <v>34.700000000000003</v>
      </c>
      <c r="CQ193" s="443"/>
      <c r="CR193" s="217">
        <f t="shared" si="544"/>
        <v>0.44767441860465118</v>
      </c>
      <c r="CS193" s="172">
        <f t="shared" si="545"/>
        <v>209.84738372093025</v>
      </c>
      <c r="CT193" s="172">
        <f t="shared" si="546"/>
        <v>2.835271317829458</v>
      </c>
      <c r="CU193" s="217">
        <f t="shared" si="547"/>
        <v>13.989825581395349</v>
      </c>
      <c r="CV193" s="217">
        <f t="shared" si="548"/>
        <v>26.230922965116282</v>
      </c>
      <c r="CW193" s="217">
        <f t="shared" si="549"/>
        <v>15</v>
      </c>
      <c r="CX193" s="217">
        <f t="shared" si="550"/>
        <v>29.664415584415579</v>
      </c>
      <c r="CY193" s="217">
        <f t="shared" si="551"/>
        <v>18.735420369104578</v>
      </c>
      <c r="CZ193" s="217">
        <f t="shared" si="552"/>
        <v>22.673438663247577</v>
      </c>
      <c r="DA193" s="197">
        <f t="shared" si="553"/>
        <v>71.63784822286263</v>
      </c>
      <c r="DB193" s="443">
        <f t="shared" si="554"/>
        <v>24.149421726851113</v>
      </c>
      <c r="DD193" s="217">
        <f t="shared" si="555"/>
        <v>10.000000000000002</v>
      </c>
      <c r="DE193" s="173">
        <f t="shared" si="556"/>
        <v>7.6433121019108299</v>
      </c>
      <c r="DF193" s="173">
        <f t="shared" si="557"/>
        <v>2.7017291066282429</v>
      </c>
      <c r="DG193" s="173"/>
      <c r="DH193" s="173">
        <f t="shared" si="558"/>
        <v>7.6433121019108281</v>
      </c>
      <c r="DI193" s="545">
        <f t="shared" si="559"/>
        <v>217.18333333333331</v>
      </c>
      <c r="DJ193" s="528">
        <f t="shared" si="560"/>
        <v>2.7377521613832849</v>
      </c>
      <c r="DL193" s="173">
        <f t="shared" si="561"/>
        <v>7.7508832062024045</v>
      </c>
      <c r="DM193" s="173">
        <f t="shared" si="562"/>
        <v>29.664415584415579</v>
      </c>
      <c r="DN193" s="173">
        <f t="shared" si="563"/>
        <v>15.766233766233762</v>
      </c>
      <c r="DP193" s="545">
        <f t="shared" si="564"/>
        <v>8299.9999999999982</v>
      </c>
      <c r="DQ193" s="460">
        <f t="shared" si="565"/>
        <v>24.149421726851113</v>
      </c>
      <c r="DS193">
        <f>IF(CL193&gt;CS193, "",DP193)</f>
        <v>8299.9999999999982</v>
      </c>
      <c r="DT193">
        <f t="shared" si="567"/>
        <v>24.149421726851113</v>
      </c>
      <c r="DV193" s="5">
        <f t="shared" si="568"/>
        <v>41.408859032352154</v>
      </c>
      <c r="DW193" s="5">
        <f t="shared" si="569"/>
        <v>18.735420369104578</v>
      </c>
      <c r="DX193" s="5">
        <f t="shared" si="570"/>
        <v>22.673438663247577</v>
      </c>
      <c r="DY193" s="173">
        <f t="shared" si="571"/>
        <v>0.45244956772334294</v>
      </c>
      <c r="EA193" s="5">
        <f t="shared" si="572"/>
        <v>1036.6932604237866</v>
      </c>
      <c r="EB193" s="5">
        <f t="shared" si="573"/>
        <v>48.594996582364999</v>
      </c>
      <c r="EC193" s="5">
        <f t="shared" si="574"/>
        <v>51.231272478662838</v>
      </c>
      <c r="ED193" s="5"/>
      <c r="EE193" s="173">
        <f t="shared" si="575"/>
        <v>11.520206349320492</v>
      </c>
      <c r="EF193" s="173">
        <f t="shared" si="576"/>
        <v>12.673227541713612</v>
      </c>
      <c r="EG193" s="173">
        <f t="shared" si="577"/>
        <v>0.31210929004690785</v>
      </c>
      <c r="EH193" s="173"/>
      <c r="EI193" s="528">
        <f t="shared" si="578"/>
        <v>2.6543030866184836</v>
      </c>
      <c r="EJ193" s="528">
        <f t="shared" si="579"/>
        <v>0.4971666666666667</v>
      </c>
      <c r="EK193" s="528">
        <f t="shared" si="580"/>
        <v>3.0186777158563889E-3</v>
      </c>
      <c r="EL193" s="528">
        <f t="shared" si="581"/>
        <v>2.9078077207084162E-3</v>
      </c>
      <c r="EM193">
        <f t="shared" si="582"/>
        <v>8.5500000000000003E-3</v>
      </c>
      <c r="EN193" s="460">
        <f t="shared" si="583"/>
        <v>11.568677715856388</v>
      </c>
      <c r="EP193" s="460">
        <f t="shared" si="603"/>
        <v>3165.9462387217154</v>
      </c>
      <c r="EQ193" s="173">
        <f t="shared" si="584"/>
        <v>5.8099999999999987</v>
      </c>
      <c r="ER193" s="173">
        <f t="shared" si="585"/>
        <v>9.2078124999999997E-2</v>
      </c>
      <c r="ES193" s="528"/>
      <c r="EU193" s="460">
        <f t="shared" si="497"/>
        <v>5902.0781249999982</v>
      </c>
      <c r="EV193" s="528">
        <f t="shared" si="586"/>
        <v>3.9814546299277254</v>
      </c>
      <c r="EW193" s="528">
        <f t="shared" si="587"/>
        <v>4.8183208897214529</v>
      </c>
      <c r="EX193" s="528">
        <f t="shared" si="588"/>
        <v>4.8706104466792426E-4</v>
      </c>
      <c r="EY193" s="528">
        <f t="shared" si="589"/>
        <v>0.68679375210278859</v>
      </c>
      <c r="EZ193" s="528"/>
      <c r="FA193" s="625">
        <f t="shared" si="590"/>
        <v>2.1250949012562845E-2</v>
      </c>
      <c r="FB193" s="460">
        <f t="shared" ref="FB193:FB210" si="613">SUM(EV193:FA193)*1000</f>
        <v>9508.3072818091969</v>
      </c>
      <c r="FC193" s="173">
        <f t="shared" si="591"/>
        <v>18.57633164553091</v>
      </c>
      <c r="FD193" s="5">
        <f t="shared" si="592"/>
        <v>126.15999999999998</v>
      </c>
      <c r="FE193" s="173">
        <f t="shared" si="593"/>
        <v>0.87165398325124333</v>
      </c>
      <c r="FF193" s="5">
        <f t="shared" si="594"/>
        <v>87.165398325124329</v>
      </c>
      <c r="FG193">
        <f t="shared" si="595"/>
        <v>82.999999999999986</v>
      </c>
      <c r="FI193" s="562">
        <f t="shared" si="596"/>
        <v>-50</v>
      </c>
      <c r="FJ193">
        <f t="shared" si="597"/>
        <v>-50</v>
      </c>
    </row>
    <row r="194" spans="5:166">
      <c r="E194" s="170">
        <v>84</v>
      </c>
      <c r="F194" s="217">
        <f t="shared" si="598"/>
        <v>8.4</v>
      </c>
      <c r="G194" s="217">
        <f t="shared" si="499"/>
        <v>0.21</v>
      </c>
      <c r="H194" s="217">
        <f t="shared" si="500"/>
        <v>126</v>
      </c>
      <c r="I194" s="217">
        <f t="shared" si="501"/>
        <v>1.68</v>
      </c>
      <c r="J194" s="541">
        <f t="shared" si="502"/>
        <v>18.144673791959328</v>
      </c>
      <c r="K194" s="443">
        <f t="shared" si="503"/>
        <v>16.160231578947368</v>
      </c>
      <c r="L194" s="172">
        <f t="shared" si="504"/>
        <v>34.304905370906695</v>
      </c>
      <c r="M194" s="443"/>
      <c r="N194" s="217">
        <f t="shared" si="505"/>
        <v>0.47107640741818041</v>
      </c>
      <c r="O194" s="172">
        <f t="shared" si="506"/>
        <v>210.87650683448223</v>
      </c>
      <c r="P194" s="172">
        <f t="shared" si="507"/>
        <v>2.8491759145636713</v>
      </c>
      <c r="Q194" s="217">
        <f t="shared" si="508"/>
        <v>14.058433788965482</v>
      </c>
      <c r="R194" s="217">
        <f t="shared" si="509"/>
        <v>26.359563354310279</v>
      </c>
      <c r="S194" s="217">
        <f t="shared" si="510"/>
        <v>15</v>
      </c>
      <c r="T194" s="217">
        <f t="shared" si="511"/>
        <v>29.875305194356685</v>
      </c>
      <c r="U194" s="217">
        <f t="shared" si="512"/>
        <v>19.75806600012552</v>
      </c>
      <c r="V194" s="217">
        <f t="shared" si="513"/>
        <v>22.184314660398705</v>
      </c>
      <c r="W194" s="197">
        <f t="shared" si="514"/>
        <v>71.22939786409178</v>
      </c>
      <c r="X194" s="443">
        <f t="shared" si="599"/>
        <v>23.72908184887438</v>
      </c>
      <c r="Z194" s="217">
        <f t="shared" si="515"/>
        <v>10</v>
      </c>
      <c r="AA194" s="173">
        <f t="shared" si="516"/>
        <v>7.4256361620664633</v>
      </c>
      <c r="AB194" s="173">
        <f t="shared" si="517"/>
        <v>2.6098203581339781</v>
      </c>
      <c r="AC194" s="173"/>
      <c r="AD194" s="173">
        <f t="shared" si="518"/>
        <v>7.4256361620664633</v>
      </c>
      <c r="AE194" s="545">
        <f t="shared" si="519"/>
        <v>226.24324210526314</v>
      </c>
      <c r="AF194" s="528">
        <f t="shared" si="520"/>
        <v>2.644617962909098</v>
      </c>
      <c r="AH194" s="173">
        <f t="shared" si="521"/>
        <v>7.7974354758471707</v>
      </c>
      <c r="AI194" s="173">
        <f t="shared" si="522"/>
        <v>29.875305194356685</v>
      </c>
      <c r="AJ194" s="173">
        <f t="shared" si="523"/>
        <v>15.922448292116062</v>
      </c>
      <c r="AL194" s="545">
        <f t="shared" si="524"/>
        <v>8400</v>
      </c>
      <c r="AM194" s="460">
        <f t="shared" si="525"/>
        <v>23.72908184887438</v>
      </c>
      <c r="AO194">
        <f t="shared" si="526"/>
        <v>8400</v>
      </c>
      <c r="AP194">
        <f t="shared" si="527"/>
        <v>23.72908184887438</v>
      </c>
      <c r="AR194" s="5">
        <f t="shared" si="443"/>
        <v>42.142380660524218</v>
      </c>
      <c r="AS194" s="5">
        <f t="shared" si="604"/>
        <v>19.75806600012552</v>
      </c>
      <c r="AT194" s="5">
        <f t="shared" si="605"/>
        <v>22.384314660398697</v>
      </c>
      <c r="AU194" s="173">
        <f t="shared" si="606"/>
        <v>0.46884076529244056</v>
      </c>
      <c r="AW194" s="5">
        <f t="shared" si="477"/>
        <v>1106.4516960070291</v>
      </c>
      <c r="AX194" s="5">
        <f t="shared" si="478"/>
        <v>51.86492325032949</v>
      </c>
      <c r="AY194" s="5">
        <f t="shared" si="479"/>
        <v>53.600295574304539</v>
      </c>
      <c r="AZ194" s="5"/>
      <c r="BA194" s="173">
        <f t="shared" si="480"/>
        <v>11.810394548667523</v>
      </c>
      <c r="BB194" s="173">
        <f t="shared" si="481"/>
        <v>12.570833998723248</v>
      </c>
      <c r="BC194" s="173">
        <f t="shared" si="482"/>
        <v>0.30958759808620395</v>
      </c>
      <c r="BD194" s="173"/>
      <c r="BE194" s="528">
        <f t="shared" si="483"/>
        <v>2.7897083879039104</v>
      </c>
      <c r="BF194" s="528">
        <f t="shared" si="528"/>
        <v>0.45598523752511755</v>
      </c>
      <c r="BG194" s="528">
        <f t="shared" si="529"/>
        <v>1.0763911238263217E-2</v>
      </c>
      <c r="BH194" s="528">
        <f t="shared" si="484"/>
        <v>2.7925013111782379E-3</v>
      </c>
      <c r="BI194">
        <f t="shared" si="485"/>
        <v>8.1651032063816964E-3</v>
      </c>
      <c r="BJ194" s="460">
        <f t="shared" si="600"/>
        <v>18.929014444644913</v>
      </c>
      <c r="BK194">
        <f t="shared" si="530"/>
        <v>11.868681460883487</v>
      </c>
      <c r="BL194" s="460">
        <f t="shared" si="601"/>
        <v>3267.4151411848511</v>
      </c>
      <c r="BM194" s="173">
        <f t="shared" si="531"/>
        <v>5.2184999999999997</v>
      </c>
      <c r="BN194" s="173">
        <f t="shared" si="532"/>
        <v>0.13046249999999998</v>
      </c>
      <c r="BO194" s="528"/>
      <c r="BQ194" s="460">
        <f t="shared" si="486"/>
        <v>5348.9624999999996</v>
      </c>
      <c r="BR194" s="528">
        <f t="shared" si="487"/>
        <v>4.1845625818558654</v>
      </c>
      <c r="BS194" s="528">
        <f t="shared" si="488"/>
        <v>4.7407760227036899</v>
      </c>
      <c r="BT194" s="528">
        <f t="shared" si="489"/>
        <v>4.7922240444392482E-4</v>
      </c>
      <c r="BU194" s="528">
        <f t="shared" si="490"/>
        <v>0.66904174517373038</v>
      </c>
      <c r="BV194" s="528"/>
      <c r="BW194" s="625">
        <f t="shared" si="533"/>
        <v>2.1179009027651192E-2</v>
      </c>
      <c r="BX194" s="460">
        <f t="shared" si="607"/>
        <v>9616.0385811653814</v>
      </c>
      <c r="BY194" s="173">
        <f t="shared" si="608"/>
        <v>18.232416222350228</v>
      </c>
      <c r="BZ194" s="5">
        <f t="shared" si="609"/>
        <v>127.68</v>
      </c>
      <c r="CA194" s="173">
        <f t="shared" si="610"/>
        <v>0.87504547800396537</v>
      </c>
      <c r="CB194" s="5">
        <f t="shared" si="611"/>
        <v>87.504547800396537</v>
      </c>
      <c r="CC194">
        <f t="shared" si="612"/>
        <v>84.000000000000014</v>
      </c>
      <c r="CE194" s="562">
        <f t="shared" si="534"/>
        <v>-50</v>
      </c>
      <c r="CF194">
        <f t="shared" si="535"/>
        <v>-50</v>
      </c>
      <c r="CG194" s="173">
        <f t="shared" si="536"/>
        <v>0.54755043227665712</v>
      </c>
      <c r="CH194" s="173">
        <f t="shared" si="537"/>
        <v>6.4398811101315845E-2</v>
      </c>
      <c r="CI194" s="170">
        <v>84</v>
      </c>
      <c r="CJ194" s="217">
        <f t="shared" si="602"/>
        <v>8.4</v>
      </c>
      <c r="CK194" s="217">
        <f t="shared" si="538"/>
        <v>0.21</v>
      </c>
      <c r="CL194" s="217">
        <f t="shared" si="539"/>
        <v>126</v>
      </c>
      <c r="CM194" s="217">
        <f t="shared" si="540"/>
        <v>1.68</v>
      </c>
      <c r="CN194" s="541">
        <f t="shared" si="541"/>
        <v>19</v>
      </c>
      <c r="CO194" s="443">
        <f t="shared" si="542"/>
        <v>15.7</v>
      </c>
      <c r="CP194" s="443">
        <f t="shared" si="543"/>
        <v>34.700000000000003</v>
      </c>
      <c r="CQ194" s="443"/>
      <c r="CR194" s="217">
        <f t="shared" si="544"/>
        <v>0.44767441860465118</v>
      </c>
      <c r="CS194" s="172">
        <f t="shared" si="545"/>
        <v>209.84738372093025</v>
      </c>
      <c r="CT194" s="172">
        <f t="shared" si="546"/>
        <v>2.835271317829458</v>
      </c>
      <c r="CU194" s="217">
        <f t="shared" si="547"/>
        <v>13.989825581395349</v>
      </c>
      <c r="CV194" s="217">
        <f t="shared" si="548"/>
        <v>26.230922965116282</v>
      </c>
      <c r="CW194" s="217">
        <f t="shared" si="549"/>
        <v>15</v>
      </c>
      <c r="CX194" s="217">
        <f t="shared" si="550"/>
        <v>30.021818181818183</v>
      </c>
      <c r="CY194" s="217">
        <f t="shared" si="551"/>
        <v>18.961148325358852</v>
      </c>
      <c r="CZ194" s="217">
        <f t="shared" si="552"/>
        <v>22.946612623045748</v>
      </c>
      <c r="DA194" s="197">
        <f t="shared" si="553"/>
        <v>71.63784822286263</v>
      </c>
      <c r="DB194" s="443">
        <f t="shared" si="554"/>
        <v>23.861928611055259</v>
      </c>
      <c r="DD194" s="217">
        <f t="shared" si="555"/>
        <v>10.000000000000002</v>
      </c>
      <c r="DE194" s="173">
        <f t="shared" si="556"/>
        <v>7.6433121019108299</v>
      </c>
      <c r="DF194" s="173">
        <f t="shared" si="557"/>
        <v>2.7017291066282429</v>
      </c>
      <c r="DG194" s="173"/>
      <c r="DH194" s="173">
        <f t="shared" si="558"/>
        <v>7.6433121019108281</v>
      </c>
      <c r="DI194" s="545">
        <f t="shared" si="559"/>
        <v>219.80000000000004</v>
      </c>
      <c r="DJ194" s="528">
        <f t="shared" si="560"/>
        <v>2.7377521613832849</v>
      </c>
      <c r="DL194" s="173">
        <f t="shared" si="561"/>
        <v>7.7974354758471707</v>
      </c>
      <c r="DM194" s="173">
        <f t="shared" si="562"/>
        <v>30.021818181818183</v>
      </c>
      <c r="DN194" s="173">
        <f t="shared" si="563"/>
        <v>16.030976430976434</v>
      </c>
      <c r="DP194" s="545">
        <f t="shared" si="564"/>
        <v>8400</v>
      </c>
      <c r="DQ194" s="460">
        <f t="shared" si="565"/>
        <v>23.861928611055259</v>
      </c>
      <c r="DS194">
        <f t="shared" ref="DS194:DS210" si="614">IF(CL194&gt;CS194, "",DP194)</f>
        <v>8400</v>
      </c>
      <c r="DT194">
        <f t="shared" ref="DT194:DT210" si="615">IF(CL194&gt;CS194, "",DQ194)</f>
        <v>23.861928611055259</v>
      </c>
      <c r="DV194" s="5">
        <f t="shared" si="568"/>
        <v>41.907760948404601</v>
      </c>
      <c r="DW194" s="5">
        <f t="shared" si="569"/>
        <v>18.961148325358852</v>
      </c>
      <c r="DX194" s="5">
        <f t="shared" si="570"/>
        <v>22.946612623045748</v>
      </c>
      <c r="DY194" s="173">
        <f t="shared" si="571"/>
        <v>0.45244956772334288</v>
      </c>
      <c r="EA194" s="5">
        <f t="shared" si="572"/>
        <v>1061.8243062200959</v>
      </c>
      <c r="EB194" s="5">
        <f t="shared" si="573"/>
        <v>49.773014354066987</v>
      </c>
      <c r="EC194" s="5">
        <f t="shared" si="574"/>
        <v>52.473197649796077</v>
      </c>
      <c r="ED194" s="5"/>
      <c r="EE194" s="173">
        <f t="shared" si="575"/>
        <v>11.659004016179779</v>
      </c>
      <c r="EF194" s="173">
        <f t="shared" si="576"/>
        <v>12.825917030167997</v>
      </c>
      <c r="EG194" s="173">
        <f t="shared" si="577"/>
        <v>0.3158696429390393</v>
      </c>
      <c r="EH194" s="173"/>
      <c r="EI194" s="528">
        <f t="shared" si="578"/>
        <v>2.7186474929859243</v>
      </c>
      <c r="EJ194" s="528">
        <f t="shared" si="579"/>
        <v>0.49716666666666665</v>
      </c>
      <c r="EK194" s="528">
        <f t="shared" si="580"/>
        <v>2.982741076381907E-3</v>
      </c>
      <c r="EL194" s="528">
        <f t="shared" si="581"/>
        <v>2.8731909621285533E-3</v>
      </c>
      <c r="EM194">
        <f t="shared" si="582"/>
        <v>8.5500000000000003E-3</v>
      </c>
      <c r="EN194" s="460">
        <f t="shared" si="583"/>
        <v>11.532741076381907</v>
      </c>
      <c r="EP194" s="460">
        <f t="shared" si="603"/>
        <v>3230.2200916911015</v>
      </c>
      <c r="EQ194" s="173">
        <f t="shared" si="584"/>
        <v>5.88</v>
      </c>
      <c r="ER194" s="173">
        <f t="shared" si="585"/>
        <v>9.3187499999999993E-2</v>
      </c>
      <c r="ES194" s="528"/>
      <c r="EU194" s="460">
        <f t="shared" si="497"/>
        <v>5973.1875</v>
      </c>
      <c r="EV194" s="528">
        <f t="shared" si="586"/>
        <v>4.0779712394788863</v>
      </c>
      <c r="EW194" s="528">
        <f t="shared" si="587"/>
        <v>4.9351244299426034</v>
      </c>
      <c r="EX194" s="528">
        <f t="shared" si="588"/>
        <v>4.9886815665218089E-4</v>
      </c>
      <c r="EY194" s="528">
        <f t="shared" si="589"/>
        <v>0.6867937521027887</v>
      </c>
      <c r="EZ194" s="528"/>
      <c r="FA194" s="625">
        <f t="shared" si="590"/>
        <v>2.150698454283469E-2</v>
      </c>
      <c r="FB194" s="460">
        <f t="shared" si="613"/>
        <v>9721.8952742237652</v>
      </c>
      <c r="FC194" s="173">
        <f t="shared" si="591"/>
        <v>18.925302865914869</v>
      </c>
      <c r="FD194" s="5">
        <f t="shared" si="592"/>
        <v>127.68</v>
      </c>
      <c r="FE194" s="173">
        <f t="shared" si="593"/>
        <v>0.87090983411954803</v>
      </c>
      <c r="FF194" s="5">
        <f t="shared" si="594"/>
        <v>87.090983411954809</v>
      </c>
      <c r="FG194">
        <f t="shared" si="595"/>
        <v>84.000000000000014</v>
      </c>
      <c r="FI194" s="562">
        <f t="shared" si="596"/>
        <v>-50</v>
      </c>
      <c r="FJ194">
        <f t="shared" si="597"/>
        <v>-50</v>
      </c>
    </row>
    <row r="195" spans="5:166">
      <c r="E195" s="170">
        <v>85</v>
      </c>
      <c r="F195" s="217">
        <f t="shared" si="598"/>
        <v>8.5</v>
      </c>
      <c r="G195" s="217">
        <f t="shared" si="499"/>
        <v>0.21249999999999999</v>
      </c>
      <c r="H195" s="217">
        <f t="shared" si="500"/>
        <v>127.5</v>
      </c>
      <c r="I195" s="217">
        <f t="shared" si="501"/>
        <v>1.7</v>
      </c>
      <c r="J195" s="541">
        <f t="shared" si="502"/>
        <v>18.1344913371017</v>
      </c>
      <c r="K195" s="443">
        <f t="shared" si="503"/>
        <v>16.165710526315788</v>
      </c>
      <c r="L195" s="172">
        <f t="shared" si="504"/>
        <v>34.300201863417485</v>
      </c>
      <c r="M195" s="443"/>
      <c r="N195" s="217">
        <f t="shared" si="505"/>
        <v>0.47130074017311119</v>
      </c>
      <c r="O195" s="172">
        <f t="shared" si="506"/>
        <v>210.85853264405191</v>
      </c>
      <c r="P195" s="172">
        <f t="shared" si="507"/>
        <v>2.848933063279635</v>
      </c>
      <c r="Q195" s="217">
        <f t="shared" si="508"/>
        <v>14.05723550960346</v>
      </c>
      <c r="R195" s="217">
        <f t="shared" si="509"/>
        <v>26.357316580506488</v>
      </c>
      <c r="S195" s="217">
        <f t="shared" si="510"/>
        <v>15</v>
      </c>
      <c r="T195" s="217">
        <f t="shared" si="511"/>
        <v>30.233540564192253</v>
      </c>
      <c r="U195" s="217">
        <f t="shared" si="512"/>
        <v>20.006212472474626</v>
      </c>
      <c r="V195" s="217">
        <f t="shared" si="513"/>
        <v>22.442718257246362</v>
      </c>
      <c r="W195" s="197">
        <f t="shared" si="514"/>
        <v>71.223326581990861</v>
      </c>
      <c r="X195" s="443">
        <f t="shared" si="599"/>
        <v>23.447246692708401</v>
      </c>
      <c r="Z195" s="217">
        <f t="shared" si="515"/>
        <v>10</v>
      </c>
      <c r="AA195" s="173">
        <f t="shared" si="516"/>
        <v>7.4231194357126942</v>
      </c>
      <c r="AB195" s="173">
        <f t="shared" si="517"/>
        <v>2.6087134530932019</v>
      </c>
      <c r="AC195" s="173"/>
      <c r="AD195" s="173">
        <f t="shared" si="518"/>
        <v>7.4231194357126942</v>
      </c>
      <c r="AE195" s="545">
        <f t="shared" si="519"/>
        <v>229.01423245614032</v>
      </c>
      <c r="AF195" s="528">
        <f t="shared" si="520"/>
        <v>2.6434962991344446</v>
      </c>
      <c r="AH195" s="173">
        <f t="shared" si="521"/>
        <v>7.8437114635744676</v>
      </c>
      <c r="AI195" s="173">
        <f t="shared" si="522"/>
        <v>30.233540564192253</v>
      </c>
      <c r="AJ195" s="173">
        <f t="shared" si="523"/>
        <v>16.187807825327592</v>
      </c>
      <c r="AL195" s="545">
        <f t="shared" si="524"/>
        <v>8500</v>
      </c>
      <c r="AM195" s="460">
        <f t="shared" si="525"/>
        <v>23.447246692708401</v>
      </c>
      <c r="AO195">
        <f t="shared" si="526"/>
        <v>8500</v>
      </c>
      <c r="AP195">
        <f t="shared" si="527"/>
        <v>23.447246692708401</v>
      </c>
      <c r="AR195" s="5">
        <f t="shared" si="443"/>
        <v>42.648930729720988</v>
      </c>
      <c r="AS195" s="5">
        <f t="shared" si="604"/>
        <v>20.006212472474626</v>
      </c>
      <c r="AT195" s="5">
        <f t="shared" si="605"/>
        <v>22.642718257246361</v>
      </c>
      <c r="AU195" s="173">
        <f t="shared" si="606"/>
        <v>0.46909059922885221</v>
      </c>
      <c r="AW195" s="5">
        <f t="shared" si="477"/>
        <v>1133.6853734402289</v>
      </c>
      <c r="AX195" s="5">
        <f t="shared" si="478"/>
        <v>53.141501880010722</v>
      </c>
      <c r="AY195" s="5">
        <f t="shared" si="479"/>
        <v>54.895326338376464</v>
      </c>
      <c r="AZ195" s="5"/>
      <c r="BA195" s="173">
        <f t="shared" si="480"/>
        <v>11.955197266739145</v>
      </c>
      <c r="BB195" s="173">
        <f t="shared" si="481"/>
        <v>12.718578929879405</v>
      </c>
      <c r="BC195" s="173">
        <f t="shared" si="482"/>
        <v>0.31322617913585366</v>
      </c>
      <c r="BD195" s="173"/>
      <c r="BE195" s="528">
        <f t="shared" si="483"/>
        <v>2.8585348337329424</v>
      </c>
      <c r="BF195" s="528">
        <f t="shared" si="528"/>
        <v>0.45590967639207891</v>
      </c>
      <c r="BG195" s="528">
        <f t="shared" si="529"/>
        <v>1.0630097300695173E-2</v>
      </c>
      <c r="BH195" s="528">
        <f t="shared" si="484"/>
        <v>2.758577595595643E-3</v>
      </c>
      <c r="BI195">
        <f t="shared" si="485"/>
        <v>8.1605211016957651E-3</v>
      </c>
      <c r="BJ195" s="460">
        <f t="shared" si="600"/>
        <v>18.790618402390937</v>
      </c>
      <c r="BK195">
        <f t="shared" si="530"/>
        <v>12.745801025702526</v>
      </c>
      <c r="BL195" s="460">
        <f t="shared" si="601"/>
        <v>3335.993706123008</v>
      </c>
      <c r="BM195" s="173">
        <f t="shared" si="531"/>
        <v>5.2806249999999988</v>
      </c>
      <c r="BN195" s="173">
        <f t="shared" si="532"/>
        <v>0.132015625</v>
      </c>
      <c r="BO195" s="528"/>
      <c r="BQ195" s="460">
        <f t="shared" si="486"/>
        <v>5412.6406249999991</v>
      </c>
      <c r="BR195" s="528">
        <f t="shared" si="487"/>
        <v>4.2878022505994133</v>
      </c>
      <c r="BS195" s="528">
        <f t="shared" si="488"/>
        <v>4.8528674998671706</v>
      </c>
      <c r="BT195" s="528">
        <f t="shared" si="489"/>
        <v>4.9055319648022946E-4</v>
      </c>
      <c r="BU195" s="528">
        <f t="shared" si="490"/>
        <v>0.66899390196125463</v>
      </c>
      <c r="BV195" s="528"/>
      <c r="BW195" s="625">
        <f t="shared" si="533"/>
        <v>2.1432353857576733E-2</v>
      </c>
      <c r="BX195" s="460">
        <f t="shared" si="607"/>
        <v>9831.5865594818952</v>
      </c>
      <c r="BY195" s="173">
        <f t="shared" si="608"/>
        <v>18.580220890604902</v>
      </c>
      <c r="BZ195" s="5">
        <f t="shared" si="609"/>
        <v>129.19999999999999</v>
      </c>
      <c r="CA195" s="173">
        <f t="shared" si="610"/>
        <v>0.8742712605338504</v>
      </c>
      <c r="CB195" s="5">
        <f t="shared" si="611"/>
        <v>87.427126053385038</v>
      </c>
      <c r="CC195">
        <f t="shared" si="612"/>
        <v>85</v>
      </c>
      <c r="CE195" s="562">
        <f t="shared" si="534"/>
        <v>-50</v>
      </c>
      <c r="CF195">
        <f t="shared" si="535"/>
        <v>-50</v>
      </c>
      <c r="CG195" s="173">
        <f t="shared" si="536"/>
        <v>0.54755043227665712</v>
      </c>
      <c r="CH195" s="173">
        <f t="shared" si="537"/>
        <v>6.4398811101315845E-2</v>
      </c>
      <c r="CI195" s="170">
        <v>85</v>
      </c>
      <c r="CJ195" s="217">
        <f t="shared" si="602"/>
        <v>8.5</v>
      </c>
      <c r="CK195" s="217">
        <f t="shared" si="538"/>
        <v>0.21249999999999999</v>
      </c>
      <c r="CL195" s="217">
        <f t="shared" si="539"/>
        <v>127.5</v>
      </c>
      <c r="CM195" s="217">
        <f t="shared" si="540"/>
        <v>1.7</v>
      </c>
      <c r="CN195" s="541">
        <f t="shared" si="541"/>
        <v>19</v>
      </c>
      <c r="CO195" s="443">
        <f t="shared" si="542"/>
        <v>15.7</v>
      </c>
      <c r="CP195" s="443">
        <f t="shared" si="543"/>
        <v>34.700000000000003</v>
      </c>
      <c r="CQ195" s="443"/>
      <c r="CR195" s="217">
        <f t="shared" si="544"/>
        <v>0.44767441860465118</v>
      </c>
      <c r="CS195" s="172">
        <f t="shared" si="545"/>
        <v>209.84738372093025</v>
      </c>
      <c r="CT195" s="172">
        <f t="shared" si="546"/>
        <v>2.835271317829458</v>
      </c>
      <c r="CU195" s="217">
        <f t="shared" si="547"/>
        <v>13.989825581395349</v>
      </c>
      <c r="CV195" s="217">
        <f t="shared" si="548"/>
        <v>26.230922965116282</v>
      </c>
      <c r="CW195" s="217">
        <f t="shared" si="549"/>
        <v>15</v>
      </c>
      <c r="CX195" s="217">
        <f t="shared" si="550"/>
        <v>30.379220779220773</v>
      </c>
      <c r="CY195" s="217">
        <f t="shared" si="551"/>
        <v>19.18687628161312</v>
      </c>
      <c r="CZ195" s="217">
        <f t="shared" si="552"/>
        <v>23.219786582843906</v>
      </c>
      <c r="DA195" s="197">
        <f t="shared" si="553"/>
        <v>71.63784822286263</v>
      </c>
      <c r="DB195" s="443">
        <f t="shared" si="554"/>
        <v>23.581200039160496</v>
      </c>
      <c r="DD195" s="217">
        <f t="shared" si="555"/>
        <v>10.000000000000002</v>
      </c>
      <c r="DE195" s="173">
        <f t="shared" si="556"/>
        <v>7.6433121019108299</v>
      </c>
      <c r="DF195" s="173">
        <f t="shared" si="557"/>
        <v>2.7017291066282429</v>
      </c>
      <c r="DG195" s="173"/>
      <c r="DH195" s="173">
        <f t="shared" si="558"/>
        <v>7.6433121019108281</v>
      </c>
      <c r="DI195" s="545">
        <f t="shared" si="559"/>
        <v>222.41666666666666</v>
      </c>
      <c r="DJ195" s="528">
        <f t="shared" si="560"/>
        <v>2.7377521613832849</v>
      </c>
      <c r="DL195" s="173">
        <f t="shared" si="561"/>
        <v>7.8437114635744676</v>
      </c>
      <c r="DM195" s="173">
        <f t="shared" si="562"/>
        <v>30.379220779220773</v>
      </c>
      <c r="DN195" s="173">
        <f t="shared" si="563"/>
        <v>16.29571909571909</v>
      </c>
      <c r="DP195" s="545">
        <f t="shared" si="564"/>
        <v>8500</v>
      </c>
      <c r="DQ195" s="460">
        <f t="shared" si="565"/>
        <v>23.581200039160496</v>
      </c>
      <c r="DS195">
        <f t="shared" si="614"/>
        <v>8500</v>
      </c>
      <c r="DT195">
        <f t="shared" si="615"/>
        <v>23.581200039160496</v>
      </c>
      <c r="DV195" s="5">
        <f t="shared" si="568"/>
        <v>42.406662864457026</v>
      </c>
      <c r="DW195" s="5">
        <f t="shared" si="569"/>
        <v>19.18687628161312</v>
      </c>
      <c r="DX195" s="5">
        <f t="shared" si="570"/>
        <v>23.219786582843906</v>
      </c>
      <c r="DY195" s="173">
        <f t="shared" si="571"/>
        <v>0.45244956772334294</v>
      </c>
      <c r="EA195" s="5">
        <f t="shared" si="572"/>
        <v>1087.2563226247437</v>
      </c>
      <c r="EB195" s="5">
        <f t="shared" si="573"/>
        <v>50.965140123034843</v>
      </c>
      <c r="EC195" s="5">
        <f t="shared" si="574"/>
        <v>53.729996176272188</v>
      </c>
      <c r="ED195" s="5"/>
      <c r="EE195" s="173">
        <f t="shared" si="575"/>
        <v>11.797801683039058</v>
      </c>
      <c r="EF195" s="173">
        <f t="shared" si="576"/>
        <v>12.978606518622374</v>
      </c>
      <c r="EG195" s="173">
        <f t="shared" si="577"/>
        <v>0.31962999583117063</v>
      </c>
      <c r="EH195" s="173"/>
      <c r="EI195" s="528">
        <f t="shared" si="578"/>
        <v>2.7837624910463847</v>
      </c>
      <c r="EJ195" s="528">
        <f t="shared" si="579"/>
        <v>0.4971666666666667</v>
      </c>
      <c r="EK195" s="528">
        <f t="shared" si="580"/>
        <v>2.9476500048950618E-3</v>
      </c>
      <c r="EL195" s="528">
        <f t="shared" si="581"/>
        <v>2.8393887155152768E-3</v>
      </c>
      <c r="EM195">
        <f t="shared" si="582"/>
        <v>8.5500000000000003E-3</v>
      </c>
      <c r="EN195" s="460">
        <f t="shared" si="583"/>
        <v>11.497650004895062</v>
      </c>
      <c r="EP195" s="460">
        <f t="shared" si="603"/>
        <v>3295.2661964334616</v>
      </c>
      <c r="EQ195" s="173">
        <f t="shared" si="584"/>
        <v>5.9499999999999993</v>
      </c>
      <c r="ER195" s="173">
        <f t="shared" si="585"/>
        <v>9.4296874999999988E-2</v>
      </c>
      <c r="ES195" s="528"/>
      <c r="EU195" s="460">
        <f t="shared" si="497"/>
        <v>6044.296875</v>
      </c>
      <c r="EV195" s="528">
        <f t="shared" si="586"/>
        <v>4.1756437365695769</v>
      </c>
      <c r="EW195" s="528">
        <f t="shared" si="587"/>
        <v>5.053326814956816</v>
      </c>
      <c r="EX195" s="528">
        <f t="shared" si="588"/>
        <v>5.1081667117517076E-4</v>
      </c>
      <c r="EY195" s="528">
        <f t="shared" si="589"/>
        <v>0.68679375210278926</v>
      </c>
      <c r="EZ195" s="528"/>
      <c r="FA195" s="625">
        <f t="shared" si="590"/>
        <v>2.1763020073106525E-2</v>
      </c>
      <c r="FB195" s="460">
        <f t="shared" si="613"/>
        <v>9938.0381403734627</v>
      </c>
      <c r="FC195" s="173">
        <f t="shared" si="591"/>
        <v>19.277601211806921</v>
      </c>
      <c r="FD195" s="5">
        <f t="shared" si="592"/>
        <v>129.19999999999999</v>
      </c>
      <c r="FE195" s="173">
        <f t="shared" si="593"/>
        <v>0.87016492013292335</v>
      </c>
      <c r="FF195" s="5">
        <f t="shared" si="594"/>
        <v>87.016492013292336</v>
      </c>
      <c r="FG195">
        <f t="shared" si="595"/>
        <v>85</v>
      </c>
      <c r="FI195" s="562">
        <f t="shared" si="596"/>
        <v>-50</v>
      </c>
      <c r="FJ195">
        <f t="shared" si="597"/>
        <v>-50</v>
      </c>
    </row>
    <row r="196" spans="5:166">
      <c r="E196" s="170">
        <v>86</v>
      </c>
      <c r="F196" s="217">
        <f t="shared" si="598"/>
        <v>8.6</v>
      </c>
      <c r="G196" s="217">
        <f t="shared" si="499"/>
        <v>0.215</v>
      </c>
      <c r="H196" s="217">
        <f t="shared" si="500"/>
        <v>129</v>
      </c>
      <c r="I196" s="217">
        <f t="shared" si="501"/>
        <v>1.72</v>
      </c>
      <c r="J196" s="541">
        <f t="shared" si="502"/>
        <v>18.124308882244073</v>
      </c>
      <c r="K196" s="443">
        <f t="shared" si="503"/>
        <v>16.171189473684208</v>
      </c>
      <c r="L196" s="172">
        <f t="shared" si="504"/>
        <v>34.295498355928281</v>
      </c>
      <c r="M196" s="443"/>
      <c r="N196" s="217">
        <f t="shared" si="505"/>
        <v>0.47152513446094524</v>
      </c>
      <c r="O196" s="172">
        <f t="shared" si="506"/>
        <v>210.84047325769347</v>
      </c>
      <c r="P196" s="172">
        <f t="shared" si="507"/>
        <v>2.8486890609039475</v>
      </c>
      <c r="Q196" s="217">
        <f t="shared" si="508"/>
        <v>14.056031550512898</v>
      </c>
      <c r="R196" s="217">
        <f t="shared" si="509"/>
        <v>26.355059157211684</v>
      </c>
      <c r="S196" s="217">
        <f t="shared" si="510"/>
        <v>15</v>
      </c>
      <c r="T196" s="217">
        <f t="shared" si="511"/>
        <v>30.591849374748275</v>
      </c>
      <c r="U196" s="217">
        <f t="shared" si="512"/>
        <v>20.254686392848889</v>
      </c>
      <c r="V196" s="217">
        <f t="shared" si="513"/>
        <v>22.7010012525284</v>
      </c>
      <c r="W196" s="197">
        <f t="shared" si="514"/>
        <v>71.217226522598665</v>
      </c>
      <c r="X196" s="443">
        <f t="shared" si="599"/>
        <v>23.171916717381215</v>
      </c>
      <c r="Z196" s="217">
        <f t="shared" si="515"/>
        <v>10</v>
      </c>
      <c r="AA196" s="173">
        <f t="shared" si="516"/>
        <v>7.4206044147388832</v>
      </c>
      <c r="AB196" s="173">
        <f t="shared" si="517"/>
        <v>2.6076062444361252</v>
      </c>
      <c r="AC196" s="173"/>
      <c r="AD196" s="173">
        <f t="shared" si="518"/>
        <v>7.4206044147388832</v>
      </c>
      <c r="AE196" s="545">
        <f t="shared" si="519"/>
        <v>231.78704912280699</v>
      </c>
      <c r="AF196" s="528">
        <f t="shared" si="520"/>
        <v>2.6423743276952734</v>
      </c>
      <c r="AH196" s="173">
        <f t="shared" si="521"/>
        <v>7.8897160308606198</v>
      </c>
      <c r="AI196" s="173">
        <f t="shared" si="522"/>
        <v>30.591849374748275</v>
      </c>
      <c r="AJ196" s="173">
        <f t="shared" si="523"/>
        <v>16.453221759072797</v>
      </c>
      <c r="AL196" s="545">
        <f t="shared" si="524"/>
        <v>8600</v>
      </c>
      <c r="AM196" s="460">
        <f t="shared" si="525"/>
        <v>23.171916717381215</v>
      </c>
      <c r="AO196">
        <f t="shared" si="526"/>
        <v>8600</v>
      </c>
      <c r="AP196">
        <f t="shared" si="527"/>
        <v>23.171916717381215</v>
      </c>
      <c r="AR196" s="5">
        <f t="shared" si="443"/>
        <v>43.155687645377292</v>
      </c>
      <c r="AS196" s="5">
        <f t="shared" si="604"/>
        <v>20.254686392848889</v>
      </c>
      <c r="AT196" s="5">
        <f t="shared" si="605"/>
        <v>22.901001252528403</v>
      </c>
      <c r="AU196" s="173">
        <f t="shared" si="606"/>
        <v>0.46933990623176897</v>
      </c>
      <c r="AW196" s="5">
        <f t="shared" si="477"/>
        <v>1161.2686865233361</v>
      </c>
      <c r="AX196" s="5">
        <f t="shared" si="478"/>
        <v>54.434469680781383</v>
      </c>
      <c r="AY196" s="5">
        <f t="shared" si="479"/>
        <v>56.20626516061678</v>
      </c>
      <c r="AZ196" s="5"/>
      <c r="BA196" s="173">
        <f t="shared" si="480"/>
        <v>12.100096837915258</v>
      </c>
      <c r="BB196" s="173">
        <f t="shared" si="481"/>
        <v>12.86628951571387</v>
      </c>
      <c r="BC196" s="173">
        <f t="shared" si="482"/>
        <v>0.31686391434777694</v>
      </c>
      <c r="BD196" s="173"/>
      <c r="BE196" s="528">
        <f t="shared" si="483"/>
        <v>2.9282468697385364</v>
      </c>
      <c r="BF196" s="528">
        <f t="shared" si="528"/>
        <v>0.45583333442530094</v>
      </c>
      <c r="BG196" s="528">
        <f t="shared" si="529"/>
        <v>1.0499374399486307E-2</v>
      </c>
      <c r="BH196" s="528">
        <f t="shared" si="484"/>
        <v>2.7254372984309716E-3</v>
      </c>
      <c r="BI196">
        <f t="shared" si="485"/>
        <v>8.1559389970098321E-3</v>
      </c>
      <c r="BJ196" s="460">
        <f t="shared" si="600"/>
        <v>18.65531339649614</v>
      </c>
      <c r="BK196">
        <f t="shared" si="530"/>
        <v>13.730327990402991</v>
      </c>
      <c r="BL196" s="460">
        <f t="shared" si="601"/>
        <v>3405.4609548587646</v>
      </c>
      <c r="BM196" s="173">
        <f t="shared" si="531"/>
        <v>5.3427499999999997</v>
      </c>
      <c r="BN196" s="173">
        <f t="shared" si="532"/>
        <v>0.13356874999999999</v>
      </c>
      <c r="BO196" s="528"/>
      <c r="BQ196" s="460">
        <f t="shared" si="486"/>
        <v>5476.3187499999995</v>
      </c>
      <c r="BR196" s="528">
        <f t="shared" si="487"/>
        <v>4.3923703046078044</v>
      </c>
      <c r="BS196" s="528">
        <f t="shared" si="488"/>
        <v>4.9662421770650598</v>
      </c>
      <c r="BT196" s="528">
        <f t="shared" si="489"/>
        <v>5.020137010789766E-4</v>
      </c>
      <c r="BU196" s="528">
        <f t="shared" si="490"/>
        <v>0.66894318295867383</v>
      </c>
      <c r="BV196" s="528"/>
      <c r="BW196" s="625">
        <f t="shared" si="533"/>
        <v>2.1685698901556798E-2</v>
      </c>
      <c r="BX196" s="460">
        <f t="shared" si="607"/>
        <v>10049.743377234174</v>
      </c>
      <c r="BY196" s="173">
        <f t="shared" si="608"/>
        <v>18.931523082092941</v>
      </c>
      <c r="BZ196" s="5">
        <f t="shared" si="609"/>
        <v>130.72</v>
      </c>
      <c r="CA196" s="173">
        <f t="shared" si="610"/>
        <v>0.87349595452023654</v>
      </c>
      <c r="CB196" s="5">
        <f t="shared" si="611"/>
        <v>87.34959545202365</v>
      </c>
      <c r="CC196">
        <f t="shared" si="612"/>
        <v>86</v>
      </c>
      <c r="CE196" s="562">
        <f t="shared" si="534"/>
        <v>-50</v>
      </c>
      <c r="CF196">
        <f t="shared" si="535"/>
        <v>-50</v>
      </c>
      <c r="CG196" s="173">
        <f t="shared" si="536"/>
        <v>0.54755043227665712</v>
      </c>
      <c r="CH196" s="173">
        <f t="shared" si="537"/>
        <v>6.4398811101315845E-2</v>
      </c>
      <c r="CI196" s="170">
        <v>86</v>
      </c>
      <c r="CJ196" s="217">
        <f t="shared" si="602"/>
        <v>8.6</v>
      </c>
      <c r="CK196" s="217">
        <f t="shared" si="538"/>
        <v>0.215</v>
      </c>
      <c r="CL196" s="217">
        <f t="shared" si="539"/>
        <v>129</v>
      </c>
      <c r="CM196" s="217">
        <f t="shared" si="540"/>
        <v>1.72</v>
      </c>
      <c r="CN196" s="541">
        <f t="shared" si="541"/>
        <v>19</v>
      </c>
      <c r="CO196" s="443">
        <f t="shared" si="542"/>
        <v>15.7</v>
      </c>
      <c r="CP196" s="443">
        <f t="shared" si="543"/>
        <v>34.700000000000003</v>
      </c>
      <c r="CQ196" s="443"/>
      <c r="CR196" s="217">
        <f t="shared" si="544"/>
        <v>0.44767441860465118</v>
      </c>
      <c r="CS196" s="172">
        <f t="shared" si="545"/>
        <v>209.84738372093025</v>
      </c>
      <c r="CT196" s="172">
        <f t="shared" si="546"/>
        <v>2.835271317829458</v>
      </c>
      <c r="CU196" s="217">
        <f t="shared" si="547"/>
        <v>13.989825581395349</v>
      </c>
      <c r="CV196" s="217">
        <f t="shared" si="548"/>
        <v>26.230922965116282</v>
      </c>
      <c r="CW196" s="217">
        <f t="shared" si="549"/>
        <v>15</v>
      </c>
      <c r="CX196" s="217">
        <f t="shared" si="550"/>
        <v>30.736623376623374</v>
      </c>
      <c r="CY196" s="217">
        <f t="shared" si="551"/>
        <v>19.412604237867392</v>
      </c>
      <c r="CZ196" s="217">
        <f t="shared" si="552"/>
        <v>23.49296054264207</v>
      </c>
      <c r="DA196" s="197">
        <f t="shared" si="553"/>
        <v>71.63784822286263</v>
      </c>
      <c r="DB196" s="443">
        <f t="shared" si="554"/>
        <v>23.307000038705141</v>
      </c>
      <c r="DD196" s="217">
        <f t="shared" si="555"/>
        <v>10.000000000000002</v>
      </c>
      <c r="DE196" s="173">
        <f t="shared" si="556"/>
        <v>7.6433121019108299</v>
      </c>
      <c r="DF196" s="173">
        <f t="shared" si="557"/>
        <v>2.7017291066282429</v>
      </c>
      <c r="DG196" s="173"/>
      <c r="DH196" s="173">
        <f t="shared" si="558"/>
        <v>7.6433121019108281</v>
      </c>
      <c r="DI196" s="545">
        <f t="shared" si="559"/>
        <v>225.03333333333333</v>
      </c>
      <c r="DJ196" s="528">
        <f t="shared" si="560"/>
        <v>2.7377521613832849</v>
      </c>
      <c r="DL196" s="173">
        <f t="shared" si="561"/>
        <v>7.8897160308606198</v>
      </c>
      <c r="DM196" s="173">
        <f t="shared" si="562"/>
        <v>30.736623376623374</v>
      </c>
      <c r="DN196" s="173">
        <f t="shared" si="563"/>
        <v>16.560461760461759</v>
      </c>
      <c r="DP196" s="545">
        <f t="shared" si="564"/>
        <v>8600</v>
      </c>
      <c r="DQ196" s="460">
        <f t="shared" si="565"/>
        <v>23.307000038705141</v>
      </c>
      <c r="DS196">
        <f t="shared" si="614"/>
        <v>8600</v>
      </c>
      <c r="DT196">
        <f t="shared" si="615"/>
        <v>23.307000038705141</v>
      </c>
      <c r="DV196" s="5">
        <f t="shared" si="568"/>
        <v>42.905564780509465</v>
      </c>
      <c r="DW196" s="5">
        <f t="shared" si="569"/>
        <v>19.412604237867392</v>
      </c>
      <c r="DX196" s="5">
        <f t="shared" si="570"/>
        <v>23.492960542642074</v>
      </c>
      <c r="DY196" s="173">
        <f t="shared" si="571"/>
        <v>0.45244956772334288</v>
      </c>
      <c r="EA196" s="5">
        <f t="shared" si="572"/>
        <v>1112.9893096377305</v>
      </c>
      <c r="EB196" s="5">
        <f t="shared" si="573"/>
        <v>52.171373889268608</v>
      </c>
      <c r="EC196" s="5">
        <f t="shared" si="574"/>
        <v>55.001668058091241</v>
      </c>
      <c r="ED196" s="5"/>
      <c r="EE196" s="173">
        <f t="shared" si="575"/>
        <v>11.936599349898342</v>
      </c>
      <c r="EF196" s="173">
        <f t="shared" si="576"/>
        <v>13.131296007076756</v>
      </c>
      <c r="EG196" s="173">
        <f t="shared" si="577"/>
        <v>0.32339034872330213</v>
      </c>
      <c r="EH196" s="173"/>
      <c r="EI196" s="528">
        <f t="shared" si="578"/>
        <v>2.8496480807998705</v>
      </c>
      <c r="EJ196" s="528">
        <f t="shared" si="579"/>
        <v>0.49716666666666665</v>
      </c>
      <c r="EK196" s="528">
        <f t="shared" si="580"/>
        <v>2.9133750048381422E-3</v>
      </c>
      <c r="EL196" s="528">
        <f t="shared" si="581"/>
        <v>2.8063725676604483E-3</v>
      </c>
      <c r="EM196">
        <f t="shared" si="582"/>
        <v>8.5500000000000003E-3</v>
      </c>
      <c r="EN196" s="460">
        <f t="shared" si="583"/>
        <v>11.463375004838142</v>
      </c>
      <c r="EP196" s="460">
        <f t="shared" si="603"/>
        <v>3361.084495039036</v>
      </c>
      <c r="EQ196" s="173">
        <f t="shared" si="584"/>
        <v>6.02</v>
      </c>
      <c r="ER196" s="173">
        <f t="shared" si="585"/>
        <v>9.5406249999999998E-2</v>
      </c>
      <c r="ES196" s="528"/>
      <c r="EU196" s="460">
        <f t="shared" si="497"/>
        <v>6115.4062499999991</v>
      </c>
      <c r="EV196" s="528">
        <f t="shared" si="586"/>
        <v>4.274472121199806</v>
      </c>
      <c r="EW196" s="528">
        <f t="shared" si="587"/>
        <v>5.1729280447640988</v>
      </c>
      <c r="EX196" s="528">
        <f t="shared" si="588"/>
        <v>5.2290658823689481E-4</v>
      </c>
      <c r="EY196" s="528">
        <f t="shared" si="589"/>
        <v>0.68679375210278804</v>
      </c>
      <c r="EZ196" s="528"/>
      <c r="FA196" s="625">
        <f t="shared" si="590"/>
        <v>2.2019055603378371E-2</v>
      </c>
      <c r="FB196" s="460">
        <f t="shared" si="613"/>
        <v>10156.735880258309</v>
      </c>
      <c r="FC196" s="173">
        <f t="shared" si="591"/>
        <v>19.633226625297343</v>
      </c>
      <c r="FD196" s="5">
        <f t="shared" si="592"/>
        <v>130.72</v>
      </c>
      <c r="FE196" s="173">
        <f t="shared" si="593"/>
        <v>0.86941931965167418</v>
      </c>
      <c r="FF196" s="5">
        <f t="shared" si="594"/>
        <v>86.941931965167413</v>
      </c>
      <c r="FG196">
        <f t="shared" si="595"/>
        <v>86</v>
      </c>
      <c r="FI196" s="562">
        <f t="shared" si="596"/>
        <v>-50</v>
      </c>
      <c r="FJ196">
        <f t="shared" si="597"/>
        <v>-50</v>
      </c>
    </row>
    <row r="197" spans="5:166">
      <c r="E197" s="170">
        <v>87</v>
      </c>
      <c r="F197" s="217">
        <f t="shared" si="598"/>
        <v>8.6999999999999993</v>
      </c>
      <c r="G197" s="217">
        <f t="shared" si="499"/>
        <v>0.2175</v>
      </c>
      <c r="H197" s="217">
        <f t="shared" si="500"/>
        <v>130.5</v>
      </c>
      <c r="I197" s="217">
        <f t="shared" si="501"/>
        <v>1.74</v>
      </c>
      <c r="J197" s="541">
        <f t="shared" si="502"/>
        <v>18.114126427386445</v>
      </c>
      <c r="K197" s="443">
        <f t="shared" si="503"/>
        <v>16.176668421052632</v>
      </c>
      <c r="L197" s="172">
        <f t="shared" si="504"/>
        <v>34.290794848439077</v>
      </c>
      <c r="M197" s="443"/>
      <c r="N197" s="217">
        <f t="shared" si="505"/>
        <v>0.47174959030700325</v>
      </c>
      <c r="O197" s="172">
        <f t="shared" si="506"/>
        <v>210.8223286403491</v>
      </c>
      <c r="P197" s="172">
        <f t="shared" si="507"/>
        <v>2.848443906962939</v>
      </c>
      <c r="Q197" s="217">
        <f t="shared" si="508"/>
        <v>14.054821909356606</v>
      </c>
      <c r="R197" s="217">
        <f t="shared" si="509"/>
        <v>26.352791080043637</v>
      </c>
      <c r="S197" s="217">
        <f t="shared" si="510"/>
        <v>15</v>
      </c>
      <c r="T197" s="217">
        <f t="shared" si="511"/>
        <v>30.9502320844358</v>
      </c>
      <c r="U197" s="217">
        <f t="shared" si="512"/>
        <v>20.503488617133197</v>
      </c>
      <c r="V197" s="217">
        <f t="shared" si="513"/>
        <v>22.959164108839541</v>
      </c>
      <c r="W197" s="197">
        <f t="shared" si="514"/>
        <v>71.211097674073471</v>
      </c>
      <c r="X197" s="443">
        <f t="shared" si="599"/>
        <v>22.902868643277593</v>
      </c>
      <c r="Z197" s="217">
        <f t="shared" si="515"/>
        <v>9.9999999999999982</v>
      </c>
      <c r="AA197" s="173">
        <f t="shared" si="516"/>
        <v>7.4180910974122236</v>
      </c>
      <c r="AB197" s="173">
        <f t="shared" si="517"/>
        <v>2.6064987320378123</v>
      </c>
      <c r="AC197" s="173"/>
      <c r="AD197" s="173">
        <f t="shared" si="518"/>
        <v>7.4180910974122254</v>
      </c>
      <c r="AE197" s="545">
        <f t="shared" si="519"/>
        <v>234.56169210526312</v>
      </c>
      <c r="AF197" s="528">
        <f t="shared" si="520"/>
        <v>2.6412520484649842</v>
      </c>
      <c r="AH197" s="173">
        <f t="shared" si="521"/>
        <v>7.9354538982611809</v>
      </c>
      <c r="AI197" s="173">
        <f t="shared" si="522"/>
        <v>30.9502320844358</v>
      </c>
      <c r="AJ197" s="173">
        <f t="shared" si="523"/>
        <v>16.718690432915405</v>
      </c>
      <c r="AL197" s="545">
        <f t="shared" si="524"/>
        <v>8700</v>
      </c>
      <c r="AM197" s="460">
        <f t="shared" si="525"/>
        <v>22.902868643277593</v>
      </c>
      <c r="AO197">
        <f t="shared" si="526"/>
        <v>8700</v>
      </c>
      <c r="AP197">
        <f t="shared" si="527"/>
        <v>22.902868643277593</v>
      </c>
      <c r="AR197" s="5">
        <f t="shared" si="443"/>
        <v>43.662652725972741</v>
      </c>
      <c r="AS197" s="5">
        <f t="shared" si="604"/>
        <v>20.503488617133197</v>
      </c>
      <c r="AT197" s="5">
        <f t="shared" si="605"/>
        <v>23.159164108839544</v>
      </c>
      <c r="AU197" s="173">
        <f t="shared" si="606"/>
        <v>0.46958870652713897</v>
      </c>
      <c r="AW197" s="5">
        <f t="shared" si="477"/>
        <v>1189.2023397937255</v>
      </c>
      <c r="AX197" s="5">
        <f t="shared" si="478"/>
        <v>55.743859677830876</v>
      </c>
      <c r="AY197" s="5">
        <f t="shared" si="479"/>
        <v>57.533129686130025</v>
      </c>
      <c r="AZ197" s="5"/>
      <c r="BA197" s="173">
        <f t="shared" si="480"/>
        <v>12.245093467769639</v>
      </c>
      <c r="BB197" s="173">
        <f t="shared" si="481"/>
        <v>13.013965882558569</v>
      </c>
      <c r="BC197" s="173">
        <f t="shared" si="482"/>
        <v>0.32050080683320714</v>
      </c>
      <c r="BD197" s="173"/>
      <c r="BE197" s="528">
        <f t="shared" si="483"/>
        <v>2.9988462806882934</v>
      </c>
      <c r="BF197" s="528">
        <f t="shared" si="528"/>
        <v>0.45575623244011815</v>
      </c>
      <c r="BG197" s="528">
        <f t="shared" si="529"/>
        <v>1.0371636453853873E-2</v>
      </c>
      <c r="BH197" s="528">
        <f t="shared" si="484"/>
        <v>2.6930535318534969E-3</v>
      </c>
      <c r="BI197">
        <f t="shared" si="485"/>
        <v>8.1513568923239008E-3</v>
      </c>
      <c r="BJ197" s="460">
        <f t="shared" si="600"/>
        <v>18.522993346177774</v>
      </c>
      <c r="BK197">
        <f t="shared" si="530"/>
        <v>14.843019633911171</v>
      </c>
      <c r="BL197" s="460">
        <f t="shared" si="601"/>
        <v>3475.818560006443</v>
      </c>
      <c r="BM197" s="173">
        <f t="shared" si="531"/>
        <v>5.4048749999999988</v>
      </c>
      <c r="BN197" s="173">
        <f t="shared" si="532"/>
        <v>0.135121875</v>
      </c>
      <c r="BO197" s="528"/>
      <c r="BQ197" s="460">
        <f t="shared" si="486"/>
        <v>5539.9968749999989</v>
      </c>
      <c r="BR197" s="528">
        <f t="shared" si="487"/>
        <v>4.4982694210324397</v>
      </c>
      <c r="BS197" s="528">
        <f t="shared" si="488"/>
        <v>5.080899239771953</v>
      </c>
      <c r="BT197" s="528">
        <f t="shared" si="489"/>
        <v>5.1360383590368379E-4</v>
      </c>
      <c r="BU197" s="528">
        <f t="shared" si="490"/>
        <v>0.66888966374848791</v>
      </c>
      <c r="BV197" s="528"/>
      <c r="BW197" s="625">
        <f t="shared" si="533"/>
        <v>2.1939044155020435E-2</v>
      </c>
      <c r="BX197" s="460">
        <f t="shared" si="607"/>
        <v>10270.510972543803</v>
      </c>
      <c r="BY197" s="173">
        <f t="shared" si="608"/>
        <v>19.286326407550241</v>
      </c>
      <c r="BZ197" s="5">
        <f t="shared" si="609"/>
        <v>132.24</v>
      </c>
      <c r="CA197" s="173">
        <f t="shared" si="610"/>
        <v>0.87271963318323253</v>
      </c>
      <c r="CB197" s="5">
        <f t="shared" si="611"/>
        <v>87.271963318323259</v>
      </c>
      <c r="CC197">
        <f t="shared" si="612"/>
        <v>86.999999999999986</v>
      </c>
      <c r="CE197" s="562">
        <f t="shared" si="534"/>
        <v>-50</v>
      </c>
      <c r="CF197">
        <f t="shared" si="535"/>
        <v>-50</v>
      </c>
      <c r="CG197" s="173">
        <f t="shared" si="536"/>
        <v>0.54755043227665712</v>
      </c>
      <c r="CH197" s="173">
        <f t="shared" si="537"/>
        <v>6.4398811101315859E-2</v>
      </c>
      <c r="CI197" s="170">
        <v>87</v>
      </c>
      <c r="CJ197" s="217">
        <f t="shared" si="602"/>
        <v>8.6999999999999993</v>
      </c>
      <c r="CK197" s="217">
        <f t="shared" si="538"/>
        <v>0.2175</v>
      </c>
      <c r="CL197" s="217">
        <f t="shared" si="539"/>
        <v>130.5</v>
      </c>
      <c r="CM197" s="217">
        <f t="shared" si="540"/>
        <v>1.74</v>
      </c>
      <c r="CN197" s="541">
        <f t="shared" si="541"/>
        <v>19</v>
      </c>
      <c r="CO197" s="443">
        <f t="shared" si="542"/>
        <v>15.7</v>
      </c>
      <c r="CP197" s="443">
        <f t="shared" si="543"/>
        <v>34.700000000000003</v>
      </c>
      <c r="CQ197" s="443"/>
      <c r="CR197" s="217">
        <f t="shared" si="544"/>
        <v>0.44767441860465118</v>
      </c>
      <c r="CS197" s="172">
        <f t="shared" si="545"/>
        <v>209.84738372093025</v>
      </c>
      <c r="CT197" s="172">
        <f t="shared" si="546"/>
        <v>2.835271317829458</v>
      </c>
      <c r="CU197" s="217">
        <f t="shared" si="547"/>
        <v>13.989825581395349</v>
      </c>
      <c r="CV197" s="217">
        <f t="shared" si="548"/>
        <v>26.230922965116282</v>
      </c>
      <c r="CW197" s="217">
        <f t="shared" si="549"/>
        <v>15</v>
      </c>
      <c r="CX197" s="217">
        <f t="shared" si="550"/>
        <v>31.094025974025975</v>
      </c>
      <c r="CY197" s="217">
        <f t="shared" si="551"/>
        <v>19.638332194121666</v>
      </c>
      <c r="CZ197" s="217">
        <f t="shared" si="552"/>
        <v>23.766134502440234</v>
      </c>
      <c r="DA197" s="197">
        <f t="shared" si="553"/>
        <v>71.63784822286263</v>
      </c>
      <c r="DB197" s="443">
        <f t="shared" si="554"/>
        <v>23.039103486536117</v>
      </c>
      <c r="DD197" s="217">
        <f t="shared" si="555"/>
        <v>10.000000000000002</v>
      </c>
      <c r="DE197" s="173">
        <f t="shared" si="556"/>
        <v>7.6433121019108299</v>
      </c>
      <c r="DF197" s="173">
        <f t="shared" si="557"/>
        <v>2.7017291066282429</v>
      </c>
      <c r="DG197" s="173"/>
      <c r="DH197" s="173">
        <f t="shared" si="558"/>
        <v>7.6433121019108281</v>
      </c>
      <c r="DI197" s="545">
        <f t="shared" si="559"/>
        <v>227.65</v>
      </c>
      <c r="DJ197" s="528">
        <f t="shared" si="560"/>
        <v>2.7377521613832849</v>
      </c>
      <c r="DL197" s="173">
        <f t="shared" si="561"/>
        <v>7.9354538982611809</v>
      </c>
      <c r="DM197" s="173">
        <f t="shared" si="562"/>
        <v>31.094025974025975</v>
      </c>
      <c r="DN197" s="173">
        <f t="shared" si="563"/>
        <v>16.825204425204426</v>
      </c>
      <c r="DP197" s="545">
        <f t="shared" si="564"/>
        <v>8700</v>
      </c>
      <c r="DQ197" s="460">
        <f t="shared" si="565"/>
        <v>23.039103486536117</v>
      </c>
      <c r="DS197">
        <f t="shared" si="614"/>
        <v>8700</v>
      </c>
      <c r="DT197">
        <f t="shared" si="615"/>
        <v>23.039103486536117</v>
      </c>
      <c r="DV197" s="5">
        <f t="shared" si="568"/>
        <v>43.404466696561904</v>
      </c>
      <c r="DW197" s="5">
        <f t="shared" si="569"/>
        <v>19.638332194121666</v>
      </c>
      <c r="DX197" s="5">
        <f t="shared" si="570"/>
        <v>23.766134502440238</v>
      </c>
      <c r="DY197" s="173">
        <f t="shared" si="571"/>
        <v>0.45244956772334288</v>
      </c>
      <c r="EA197" s="5">
        <f t="shared" si="572"/>
        <v>1139.0232672590566</v>
      </c>
      <c r="EB197" s="5">
        <f t="shared" si="573"/>
        <v>53.391715652768276</v>
      </c>
      <c r="EC197" s="5">
        <f t="shared" si="574"/>
        <v>56.288213295253186</v>
      </c>
      <c r="ED197" s="5"/>
      <c r="EE197" s="173">
        <f t="shared" si="575"/>
        <v>12.075397016757627</v>
      </c>
      <c r="EF197" s="173">
        <f t="shared" si="576"/>
        <v>13.283985495531139</v>
      </c>
      <c r="EG197" s="173">
        <f t="shared" si="577"/>
        <v>0.32715070161543353</v>
      </c>
      <c r="EH197" s="173"/>
      <c r="EI197" s="528">
        <f t="shared" si="578"/>
        <v>2.91630426224638</v>
      </c>
      <c r="EJ197" s="528">
        <f t="shared" si="579"/>
        <v>0.49716666666666681</v>
      </c>
      <c r="EK197" s="528">
        <f t="shared" si="580"/>
        <v>2.8798879358170148E-3</v>
      </c>
      <c r="EL197" s="528">
        <f t="shared" si="581"/>
        <v>2.7741154117103283E-3</v>
      </c>
      <c r="EM197">
        <f t="shared" si="582"/>
        <v>8.5500000000000003E-3</v>
      </c>
      <c r="EN197" s="460">
        <f t="shared" si="583"/>
        <v>11.429887935817016</v>
      </c>
      <c r="EP197" s="460">
        <f t="shared" si="603"/>
        <v>3427.6749322605742</v>
      </c>
      <c r="EQ197" s="173">
        <f t="shared" si="584"/>
        <v>6.089999999999999</v>
      </c>
      <c r="ER197" s="173">
        <f t="shared" si="585"/>
        <v>9.6515624999999994E-2</v>
      </c>
      <c r="ES197" s="528"/>
      <c r="EU197" s="460">
        <f t="shared" si="497"/>
        <v>6186.5156249999991</v>
      </c>
      <c r="EV197" s="528">
        <f t="shared" si="586"/>
        <v>4.3744563933695693</v>
      </c>
      <c r="EW197" s="528">
        <f t="shared" si="587"/>
        <v>5.2939281193644501</v>
      </c>
      <c r="EX197" s="528">
        <f t="shared" si="588"/>
        <v>5.3513790783735204E-4</v>
      </c>
      <c r="EY197" s="528">
        <f t="shared" si="589"/>
        <v>0.68679375210278926</v>
      </c>
      <c r="EZ197" s="528"/>
      <c r="FA197" s="625">
        <f t="shared" si="590"/>
        <v>2.2275091133650213E-2</v>
      </c>
      <c r="FB197" s="460">
        <f t="shared" si="613"/>
        <v>10377.988493878294</v>
      </c>
      <c r="FC197" s="173">
        <f t="shared" si="591"/>
        <v>19.992179051138873</v>
      </c>
      <c r="FD197" s="5">
        <f t="shared" si="592"/>
        <v>132.24</v>
      </c>
      <c r="FE197" s="173">
        <f t="shared" si="593"/>
        <v>0.86867310725137192</v>
      </c>
      <c r="FF197" s="5">
        <f t="shared" si="594"/>
        <v>86.867310725137187</v>
      </c>
      <c r="FG197">
        <f t="shared" si="595"/>
        <v>86.999999999999986</v>
      </c>
      <c r="FI197" s="562">
        <f t="shared" si="596"/>
        <v>-50</v>
      </c>
      <c r="FJ197">
        <f t="shared" si="597"/>
        <v>-50</v>
      </c>
    </row>
    <row r="198" spans="5:166">
      <c r="E198" s="170">
        <v>88</v>
      </c>
      <c r="F198" s="217">
        <f t="shared" si="598"/>
        <v>8.8000000000000007</v>
      </c>
      <c r="G198" s="217">
        <f t="shared" si="499"/>
        <v>0.22</v>
      </c>
      <c r="H198" s="217">
        <f t="shared" si="500"/>
        <v>132</v>
      </c>
      <c r="I198" s="217">
        <f t="shared" si="501"/>
        <v>1.76</v>
      </c>
      <c r="J198" s="541">
        <f t="shared" si="502"/>
        <v>18.103943972528821</v>
      </c>
      <c r="K198" s="443">
        <f t="shared" si="503"/>
        <v>16.182147368421052</v>
      </c>
      <c r="L198" s="172">
        <f t="shared" si="504"/>
        <v>34.286091340949874</v>
      </c>
      <c r="M198" s="443"/>
      <c r="N198" s="217">
        <f t="shared" si="505"/>
        <v>0.47197410773661952</v>
      </c>
      <c r="O198" s="172">
        <f t="shared" si="506"/>
        <v>210.80409875694181</v>
      </c>
      <c r="P198" s="172">
        <f t="shared" si="507"/>
        <v>2.8481976009826808</v>
      </c>
      <c r="Q198" s="217">
        <f t="shared" si="508"/>
        <v>14.053606583796121</v>
      </c>
      <c r="R198" s="217">
        <f t="shared" si="509"/>
        <v>26.350512344617727</v>
      </c>
      <c r="S198" s="217">
        <f t="shared" si="510"/>
        <v>15</v>
      </c>
      <c r="T198" s="217">
        <f t="shared" si="511"/>
        <v>31.308689152243819</v>
      </c>
      <c r="U198" s="217">
        <f t="shared" si="512"/>
        <v>20.752620003521042</v>
      </c>
      <c r="V198" s="217">
        <f t="shared" si="513"/>
        <v>23.217207288576596</v>
      </c>
      <c r="W198" s="197">
        <f t="shared" si="514"/>
        <v>71.204940024567009</v>
      </c>
      <c r="X198" s="443">
        <f t="shared" si="599"/>
        <v>22.639889293361776</v>
      </c>
      <c r="Z198" s="217">
        <f t="shared" si="515"/>
        <v>10</v>
      </c>
      <c r="AA198" s="173">
        <f t="shared" si="516"/>
        <v>7.4155794820022587</v>
      </c>
      <c r="AB198" s="173">
        <f t="shared" si="517"/>
        <v>2.6053909157732593</v>
      </c>
      <c r="AC198" s="173"/>
      <c r="AD198" s="173">
        <f t="shared" si="518"/>
        <v>7.4155794820022587</v>
      </c>
      <c r="AE198" s="545">
        <f t="shared" si="519"/>
        <v>237.33816140350882</v>
      </c>
      <c r="AF198" s="528">
        <f t="shared" si="520"/>
        <v>2.6401294613169024</v>
      </c>
      <c r="AH198" s="173">
        <f t="shared" si="521"/>
        <v>7.9809296510643479</v>
      </c>
      <c r="AI198" s="173">
        <f t="shared" si="522"/>
        <v>31.308689152243819</v>
      </c>
      <c r="AJ198" s="173">
        <f t="shared" si="523"/>
        <v>16.984214186847272</v>
      </c>
      <c r="AL198" s="545">
        <f t="shared" si="524"/>
        <v>8800</v>
      </c>
      <c r="AM198" s="460">
        <f t="shared" si="525"/>
        <v>22.639889293361776</v>
      </c>
      <c r="AO198">
        <f t="shared" si="526"/>
        <v>8800</v>
      </c>
      <c r="AP198">
        <f t="shared" si="527"/>
        <v>22.639889293361776</v>
      </c>
      <c r="AR198" s="5">
        <f t="shared" ref="AR198:AR262" si="616">1/AM198*1000</f>
        <v>44.169827292097629</v>
      </c>
      <c r="AS198" s="5">
        <f t="shared" si="604"/>
        <v>20.752620003521042</v>
      </c>
      <c r="AT198" s="5">
        <f t="shared" si="605"/>
        <v>23.417207288576588</v>
      </c>
      <c r="AU198" s="173">
        <f t="shared" si="606"/>
        <v>0.46983701942692152</v>
      </c>
      <c r="AW198" s="5">
        <f t="shared" si="477"/>
        <v>1217.4870402065678</v>
      </c>
      <c r="AX198" s="5">
        <f t="shared" si="478"/>
        <v>57.06970500968287</v>
      </c>
      <c r="AY198" s="5">
        <f t="shared" si="479"/>
        <v>58.875937652087153</v>
      </c>
      <c r="AZ198" s="5"/>
      <c r="BA198" s="173">
        <f t="shared" si="480"/>
        <v>12.390187362333831</v>
      </c>
      <c r="BB198" s="173">
        <f t="shared" si="481"/>
        <v>13.16160815668839</v>
      </c>
      <c r="BC198" s="173">
        <f t="shared" si="482"/>
        <v>0.32413685970197292</v>
      </c>
      <c r="BD198" s="173"/>
      <c r="BE198" s="528">
        <f t="shared" si="483"/>
        <v>3.0703348574747396</v>
      </c>
      <c r="BF198" s="528">
        <f t="shared" si="528"/>
        <v>0.45567839031004431</v>
      </c>
      <c r="BG198" s="528">
        <f t="shared" si="529"/>
        <v>1.0246782182781917E-2</v>
      </c>
      <c r="BH198" s="528">
        <f t="shared" si="484"/>
        <v>2.6614006246075397E-3</v>
      </c>
      <c r="BI198">
        <f t="shared" si="485"/>
        <v>8.1467747876379695E-3</v>
      </c>
      <c r="BJ198" s="460">
        <f t="shared" si="600"/>
        <v>18.393556970419887</v>
      </c>
      <c r="BK198">
        <f t="shared" si="530"/>
        <v>16.110356118506431</v>
      </c>
      <c r="BL198" s="460">
        <f t="shared" si="601"/>
        <v>3547.0682053798114</v>
      </c>
      <c r="BM198" s="173">
        <f t="shared" si="531"/>
        <v>5.4669999999999996</v>
      </c>
      <c r="BN198" s="173">
        <f t="shared" si="532"/>
        <v>0.13667499999999999</v>
      </c>
      <c r="BO198" s="528"/>
      <c r="BQ198" s="460">
        <f t="shared" si="486"/>
        <v>5603.6750000000002</v>
      </c>
      <c r="BR198" s="528">
        <f t="shared" si="487"/>
        <v>4.6055022862121087</v>
      </c>
      <c r="BS198" s="528">
        <f t="shared" si="488"/>
        <v>5.1968378781061899</v>
      </c>
      <c r="BT198" s="528">
        <f t="shared" si="489"/>
        <v>5.2532351908728234E-4</v>
      </c>
      <c r="BU198" s="528">
        <f t="shared" si="490"/>
        <v>0.66883341650557226</v>
      </c>
      <c r="BV198" s="528"/>
      <c r="BW198" s="625">
        <f t="shared" si="533"/>
        <v>2.2192389613603994E-2</v>
      </c>
      <c r="BX198" s="460">
        <f t="shared" si="607"/>
        <v>10493.891293956562</v>
      </c>
      <c r="BY198" s="173">
        <f t="shared" si="608"/>
        <v>19.644634499336373</v>
      </c>
      <c r="BZ198" s="5">
        <f t="shared" si="609"/>
        <v>133.76</v>
      </c>
      <c r="CA198" s="173">
        <f t="shared" si="610"/>
        <v>0.87194236625607713</v>
      </c>
      <c r="CB198" s="5">
        <f t="shared" si="611"/>
        <v>87.194236625607715</v>
      </c>
      <c r="CC198">
        <f t="shared" si="612"/>
        <v>88.000000000000014</v>
      </c>
      <c r="CE198" s="562">
        <f t="shared" si="534"/>
        <v>-50</v>
      </c>
      <c r="CF198">
        <f t="shared" si="535"/>
        <v>-50</v>
      </c>
      <c r="CG198" s="173">
        <f t="shared" si="536"/>
        <v>0.54755043227665712</v>
      </c>
      <c r="CH198" s="173">
        <f t="shared" si="537"/>
        <v>6.4398811101315859E-2</v>
      </c>
      <c r="CI198" s="170">
        <v>88</v>
      </c>
      <c r="CJ198" s="217">
        <f t="shared" si="602"/>
        <v>8.8000000000000007</v>
      </c>
      <c r="CK198" s="217">
        <f t="shared" si="538"/>
        <v>0.22</v>
      </c>
      <c r="CL198" s="217">
        <f t="shared" si="539"/>
        <v>132</v>
      </c>
      <c r="CM198" s="217">
        <f t="shared" si="540"/>
        <v>1.76</v>
      </c>
      <c r="CN198" s="541">
        <f t="shared" si="541"/>
        <v>19</v>
      </c>
      <c r="CO198" s="443">
        <f t="shared" si="542"/>
        <v>15.7</v>
      </c>
      <c r="CP198" s="443">
        <f t="shared" si="543"/>
        <v>34.700000000000003</v>
      </c>
      <c r="CQ198" s="443"/>
      <c r="CR198" s="217">
        <f t="shared" si="544"/>
        <v>0.44767441860465118</v>
      </c>
      <c r="CS198" s="172">
        <f t="shared" si="545"/>
        <v>209.84738372093025</v>
      </c>
      <c r="CT198" s="172">
        <f t="shared" si="546"/>
        <v>2.835271317829458</v>
      </c>
      <c r="CU198" s="217">
        <f t="shared" si="547"/>
        <v>13.989825581395349</v>
      </c>
      <c r="CV198" s="217">
        <f t="shared" si="548"/>
        <v>26.230922965116282</v>
      </c>
      <c r="CW198" s="217">
        <f t="shared" si="549"/>
        <v>15</v>
      </c>
      <c r="CX198" s="217">
        <f t="shared" si="550"/>
        <v>31.451428571428568</v>
      </c>
      <c r="CY198" s="217">
        <f t="shared" si="551"/>
        <v>19.864060150375941</v>
      </c>
      <c r="CZ198" s="217">
        <f t="shared" si="552"/>
        <v>24.039308462238399</v>
      </c>
      <c r="DA198" s="197">
        <f t="shared" si="553"/>
        <v>71.63784822286263</v>
      </c>
      <c r="DB198" s="443">
        <f t="shared" si="554"/>
        <v>22.777295492370929</v>
      </c>
      <c r="DD198" s="217">
        <f t="shared" si="555"/>
        <v>10.000000000000002</v>
      </c>
      <c r="DE198" s="173">
        <f t="shared" si="556"/>
        <v>7.6433121019108299</v>
      </c>
      <c r="DF198" s="173">
        <f t="shared" si="557"/>
        <v>2.7017291066282429</v>
      </c>
      <c r="DG198" s="173"/>
      <c r="DH198" s="173">
        <f t="shared" si="558"/>
        <v>7.6433121019108281</v>
      </c>
      <c r="DI198" s="545">
        <f t="shared" si="559"/>
        <v>230.26666666666671</v>
      </c>
      <c r="DJ198" s="528">
        <f t="shared" si="560"/>
        <v>2.7377521613832849</v>
      </c>
      <c r="DL198" s="173">
        <f t="shared" si="561"/>
        <v>7.9809296510643479</v>
      </c>
      <c r="DM198" s="173">
        <f t="shared" si="562"/>
        <v>31.451428571428568</v>
      </c>
      <c r="DN198" s="173">
        <f t="shared" si="563"/>
        <v>17.089947089947085</v>
      </c>
      <c r="DP198" s="545">
        <f t="shared" si="564"/>
        <v>8800</v>
      </c>
      <c r="DQ198" s="460">
        <f t="shared" si="565"/>
        <v>22.777295492370929</v>
      </c>
      <c r="DS198">
        <f t="shared" si="614"/>
        <v>8800</v>
      </c>
      <c r="DT198">
        <f t="shared" si="615"/>
        <v>22.777295492370929</v>
      </c>
      <c r="DV198" s="5">
        <f t="shared" si="568"/>
        <v>43.903368612614344</v>
      </c>
      <c r="DW198" s="5">
        <f t="shared" si="569"/>
        <v>19.864060150375941</v>
      </c>
      <c r="DX198" s="5">
        <f t="shared" si="570"/>
        <v>24.039308462238402</v>
      </c>
      <c r="DY198" s="173">
        <f t="shared" si="571"/>
        <v>0.45244956772334294</v>
      </c>
      <c r="EA198" s="5">
        <f t="shared" si="572"/>
        <v>1165.358195488722</v>
      </c>
      <c r="EB198" s="5">
        <f t="shared" si="573"/>
        <v>54.626165413533833</v>
      </c>
      <c r="EC198" s="5">
        <f t="shared" si="574"/>
        <v>57.58963188775806</v>
      </c>
      <c r="ED198" s="5"/>
      <c r="EE198" s="173">
        <f t="shared" si="575"/>
        <v>12.21419468361691</v>
      </c>
      <c r="EF198" s="173">
        <f t="shared" si="576"/>
        <v>13.436674983985517</v>
      </c>
      <c r="EG198" s="173">
        <f t="shared" si="577"/>
        <v>0.33091105450756492</v>
      </c>
      <c r="EH198" s="173"/>
      <c r="EI198" s="528">
        <f t="shared" si="578"/>
        <v>2.9837310353859117</v>
      </c>
      <c r="EJ198" s="528">
        <f t="shared" si="579"/>
        <v>0.49716666666666665</v>
      </c>
      <c r="EK198" s="528">
        <f t="shared" si="580"/>
        <v>2.847161936546366E-3</v>
      </c>
      <c r="EL198" s="528">
        <f t="shared" si="581"/>
        <v>2.7425913729408917E-3</v>
      </c>
      <c r="EM198">
        <f t="shared" si="582"/>
        <v>8.5500000000000003E-3</v>
      </c>
      <c r="EN198" s="460">
        <f t="shared" si="583"/>
        <v>11.397161936546366</v>
      </c>
      <c r="EP198" s="460">
        <f t="shared" si="603"/>
        <v>3495.0374553620659</v>
      </c>
      <c r="EQ198" s="173">
        <f t="shared" si="584"/>
        <v>6.16</v>
      </c>
      <c r="ER198" s="173">
        <f t="shared" si="585"/>
        <v>9.762499999999999E-2</v>
      </c>
      <c r="ES198" s="528"/>
      <c r="EU198" s="460">
        <f t="shared" si="497"/>
        <v>6257.625</v>
      </c>
      <c r="EV198" s="528">
        <f t="shared" si="586"/>
        <v>4.4755965530788675</v>
      </c>
      <c r="EW198" s="528">
        <f t="shared" si="587"/>
        <v>5.4163270387578653</v>
      </c>
      <c r="EX198" s="528">
        <f t="shared" si="588"/>
        <v>5.4751062997654301E-4</v>
      </c>
      <c r="EY198" s="528">
        <f t="shared" si="589"/>
        <v>0.68679375210278681</v>
      </c>
      <c r="EZ198" s="528"/>
      <c r="FA198" s="625">
        <f t="shared" si="590"/>
        <v>2.2531126663922044E-2</v>
      </c>
      <c r="FB198" s="460">
        <f t="shared" si="613"/>
        <v>10601.795981233419</v>
      </c>
      <c r="FC198" s="173">
        <f t="shared" si="591"/>
        <v>20.354458436595483</v>
      </c>
      <c r="FD198" s="5">
        <f t="shared" si="592"/>
        <v>133.76</v>
      </c>
      <c r="FE198" s="173">
        <f t="shared" si="593"/>
        <v>0.86792635393797557</v>
      </c>
      <c r="FF198" s="5">
        <f t="shared" si="594"/>
        <v>86.792635393797553</v>
      </c>
      <c r="FG198">
        <f t="shared" si="595"/>
        <v>88.000000000000014</v>
      </c>
      <c r="FI198" s="562">
        <f t="shared" si="596"/>
        <v>-50</v>
      </c>
      <c r="FJ198">
        <f t="shared" si="597"/>
        <v>-50</v>
      </c>
    </row>
    <row r="199" spans="5:166">
      <c r="E199" s="170">
        <v>89</v>
      </c>
      <c r="F199" s="217">
        <f t="shared" si="598"/>
        <v>8.9</v>
      </c>
      <c r="G199" s="217">
        <f t="shared" si="499"/>
        <v>0.2225</v>
      </c>
      <c r="H199" s="217">
        <f t="shared" si="500"/>
        <v>133.5</v>
      </c>
      <c r="I199" s="217">
        <f t="shared" si="501"/>
        <v>1.78</v>
      </c>
      <c r="J199" s="541">
        <f t="shared" si="502"/>
        <v>18.093761517671194</v>
      </c>
      <c r="K199" s="443">
        <f t="shared" si="503"/>
        <v>16.187626315789473</v>
      </c>
      <c r="L199" s="172">
        <f t="shared" si="504"/>
        <v>34.28138783346067</v>
      </c>
      <c r="M199" s="443"/>
      <c r="N199" s="217">
        <f t="shared" si="505"/>
        <v>0.47219868677514243</v>
      </c>
      <c r="O199" s="172">
        <f t="shared" si="506"/>
        <v>210.78578357237532</v>
      </c>
      <c r="P199" s="172">
        <f t="shared" si="507"/>
        <v>2.8479501424889819</v>
      </c>
      <c r="Q199" s="217">
        <f t="shared" si="508"/>
        <v>14.052385571491689</v>
      </c>
      <c r="R199" s="217">
        <f t="shared" si="509"/>
        <v>26.348222946546915</v>
      </c>
      <c r="S199" s="217">
        <f t="shared" si="510"/>
        <v>15</v>
      </c>
      <c r="T199" s="217">
        <f t="shared" si="511"/>
        <v>31.667221037741736</v>
      </c>
      <c r="U199" s="217">
        <f t="shared" si="512"/>
        <v>21.00208141252271</v>
      </c>
      <c r="V199" s="217">
        <f t="shared" si="513"/>
        <v>23.475131253940607</v>
      </c>
      <c r="W199" s="197">
        <f t="shared" si="514"/>
        <v>71.198753562224553</v>
      </c>
      <c r="X199" s="443">
        <f t="shared" si="599"/>
        <v>22.382775028188899</v>
      </c>
      <c r="Z199" s="217">
        <f t="shared" si="515"/>
        <v>10</v>
      </c>
      <c r="AA199" s="173">
        <f t="shared" si="516"/>
        <v>7.413069566780865</v>
      </c>
      <c r="AB199" s="173">
        <f t="shared" si="517"/>
        <v>2.6042827955173893</v>
      </c>
      <c r="AC199" s="173"/>
      <c r="AD199" s="173">
        <f t="shared" si="518"/>
        <v>7.413069566780865</v>
      </c>
      <c r="AE199" s="545">
        <f t="shared" si="519"/>
        <v>240.11645701754387</v>
      </c>
      <c r="AF199" s="528">
        <f t="shared" si="520"/>
        <v>2.6390065661242876</v>
      </c>
      <c r="AH199" s="173">
        <f t="shared" si="521"/>
        <v>8.026147744656063</v>
      </c>
      <c r="AI199" s="173">
        <f t="shared" si="522"/>
        <v>31.667221037741736</v>
      </c>
      <c r="AJ199" s="173">
        <f t="shared" si="523"/>
        <v>17.249793361290173</v>
      </c>
      <c r="AL199" s="545">
        <f t="shared" si="524"/>
        <v>8900</v>
      </c>
      <c r="AM199" s="460">
        <f t="shared" si="525"/>
        <v>22.382775028188899</v>
      </c>
      <c r="AO199">
        <f t="shared" si="526"/>
        <v>8900</v>
      </c>
      <c r="AP199">
        <f t="shared" si="527"/>
        <v>22.382775028188899</v>
      </c>
      <c r="AR199" s="5">
        <f t="shared" si="616"/>
        <v>44.677212666463326</v>
      </c>
      <c r="AS199" s="5">
        <f t="shared" si="604"/>
        <v>21.00208141252271</v>
      </c>
      <c r="AT199" s="5">
        <f t="shared" si="605"/>
        <v>23.675131253940616</v>
      </c>
      <c r="AU199" s="173">
        <f t="shared" si="606"/>
        <v>0.4700848633802035</v>
      </c>
      <c r="AW199" s="5">
        <f t="shared" si="477"/>
        <v>1246.123497143014</v>
      </c>
      <c r="AX199" s="5">
        <f t="shared" si="478"/>
        <v>58.412038928578788</v>
      </c>
      <c r="AY199" s="5">
        <f t="shared" si="479"/>
        <v>60.234706887962012</v>
      </c>
      <c r="AZ199" s="5"/>
      <c r="BA199" s="173">
        <f t="shared" si="480"/>
        <v>12.535378728096058</v>
      </c>
      <c r="BB199" s="173">
        <f t="shared" si="481"/>
        <v>13.309216464325054</v>
      </c>
      <c r="BC199" s="173">
        <f t="shared" si="482"/>
        <v>0.32777207606259356</v>
      </c>
      <c r="BD199" s="173"/>
      <c r="BE199" s="528">
        <f t="shared" si="483"/>
        <v>3.1427143971360629</v>
      </c>
      <c r="BF199" s="528">
        <f t="shared" si="528"/>
        <v>0.45559982701944285</v>
      </c>
      <c r="BG199" s="528">
        <f t="shared" si="529"/>
        <v>1.01247148365934E-2</v>
      </c>
      <c r="BH199" s="528">
        <f t="shared" si="484"/>
        <v>2.6304540539752877E-3</v>
      </c>
      <c r="BI199">
        <f t="shared" si="485"/>
        <v>8.1421926829520364E-3</v>
      </c>
      <c r="BJ199" s="460">
        <f t="shared" si="600"/>
        <v>18.266907519545438</v>
      </c>
      <c r="BK199">
        <f t="shared" si="530"/>
        <v>17.566658605236974</v>
      </c>
      <c r="BL199" s="460">
        <f t="shared" si="601"/>
        <v>3619.2115857290264</v>
      </c>
      <c r="BM199" s="173">
        <f t="shared" si="531"/>
        <v>5.5291249999999996</v>
      </c>
      <c r="BN199" s="173">
        <f t="shared" si="532"/>
        <v>0.13822812499999998</v>
      </c>
      <c r="BO199" s="528"/>
      <c r="BQ199" s="460">
        <f t="shared" si="486"/>
        <v>5667.3531249999996</v>
      </c>
      <c r="BR199" s="528">
        <f t="shared" si="487"/>
        <v>4.7140715957040946</v>
      </c>
      <c r="BS199" s="528">
        <f t="shared" si="488"/>
        <v>5.3140572868278326</v>
      </c>
      <c r="BT199" s="528">
        <f t="shared" si="489"/>
        <v>5.3717266923191309E-4</v>
      </c>
      <c r="BU199" s="528">
        <f t="shared" si="490"/>
        <v>0.66877451018715428</v>
      </c>
      <c r="BV199" s="528"/>
      <c r="BW199" s="625">
        <f t="shared" si="533"/>
        <v>2.2445735273139551E-2</v>
      </c>
      <c r="BX199" s="460">
        <f t="shared" si="607"/>
        <v>10719.886300661452</v>
      </c>
      <c r="BY199" s="173">
        <f t="shared" si="608"/>
        <v>20.006451011390485</v>
      </c>
      <c r="BZ199" s="5">
        <f t="shared" si="609"/>
        <v>135.28</v>
      </c>
      <c r="CA199" s="173">
        <f t="shared" si="610"/>
        <v>0.87116422018091599</v>
      </c>
      <c r="CB199" s="5">
        <f t="shared" si="611"/>
        <v>87.116422018091598</v>
      </c>
      <c r="CC199">
        <f t="shared" si="612"/>
        <v>89</v>
      </c>
      <c r="CE199" s="562">
        <f t="shared" si="534"/>
        <v>-50</v>
      </c>
      <c r="CF199">
        <f t="shared" si="535"/>
        <v>-50</v>
      </c>
      <c r="CG199" s="173">
        <f t="shared" si="536"/>
        <v>0.54755043227665701</v>
      </c>
      <c r="CH199" s="173">
        <f t="shared" si="537"/>
        <v>6.4398811101315859E-2</v>
      </c>
      <c r="CI199" s="170">
        <v>89</v>
      </c>
      <c r="CJ199" s="217">
        <f t="shared" si="602"/>
        <v>8.9</v>
      </c>
      <c r="CK199" s="217">
        <f t="shared" si="538"/>
        <v>0.2225</v>
      </c>
      <c r="CL199" s="217">
        <f t="shared" si="539"/>
        <v>133.5</v>
      </c>
      <c r="CM199" s="217">
        <f t="shared" si="540"/>
        <v>1.78</v>
      </c>
      <c r="CN199" s="541">
        <f t="shared" si="541"/>
        <v>19</v>
      </c>
      <c r="CO199" s="443">
        <f t="shared" si="542"/>
        <v>15.7</v>
      </c>
      <c r="CP199" s="443">
        <f t="shared" si="543"/>
        <v>34.700000000000003</v>
      </c>
      <c r="CQ199" s="443"/>
      <c r="CR199" s="217">
        <f t="shared" si="544"/>
        <v>0.44767441860465118</v>
      </c>
      <c r="CS199" s="172">
        <f t="shared" si="545"/>
        <v>209.84738372093025</v>
      </c>
      <c r="CT199" s="172">
        <f t="shared" si="546"/>
        <v>2.835271317829458</v>
      </c>
      <c r="CU199" s="217">
        <f t="shared" si="547"/>
        <v>13.989825581395349</v>
      </c>
      <c r="CV199" s="217">
        <f t="shared" si="548"/>
        <v>26.230922965116282</v>
      </c>
      <c r="CW199" s="217">
        <f t="shared" si="549"/>
        <v>15</v>
      </c>
      <c r="CX199" s="217">
        <f t="shared" si="550"/>
        <v>31.808831168831169</v>
      </c>
      <c r="CY199" s="217">
        <f t="shared" si="551"/>
        <v>20.089788106630213</v>
      </c>
      <c r="CZ199" s="217">
        <f t="shared" si="552"/>
        <v>24.312482422036567</v>
      </c>
      <c r="DA199" s="197">
        <f t="shared" si="553"/>
        <v>71.63784822286263</v>
      </c>
      <c r="DB199" s="443">
        <f t="shared" si="554"/>
        <v>22.521370823917326</v>
      </c>
      <c r="DD199" s="217">
        <f t="shared" si="555"/>
        <v>10.000000000000002</v>
      </c>
      <c r="DE199" s="173">
        <f t="shared" si="556"/>
        <v>7.6433121019108299</v>
      </c>
      <c r="DF199" s="173">
        <f t="shared" si="557"/>
        <v>2.7017291066282429</v>
      </c>
      <c r="DG199" s="173"/>
      <c r="DH199" s="173">
        <f t="shared" si="558"/>
        <v>7.6433121019108281</v>
      </c>
      <c r="DI199" s="545">
        <f t="shared" si="559"/>
        <v>232.88333333333338</v>
      </c>
      <c r="DJ199" s="528">
        <f t="shared" si="560"/>
        <v>2.7377521613832849</v>
      </c>
      <c r="DL199" s="173">
        <f t="shared" si="561"/>
        <v>8.026147744656063</v>
      </c>
      <c r="DM199" s="173">
        <f t="shared" si="562"/>
        <v>31.808831168831169</v>
      </c>
      <c r="DN199" s="173">
        <f t="shared" si="563"/>
        <v>17.354689754689751</v>
      </c>
      <c r="DP199" s="545">
        <f t="shared" si="564"/>
        <v>8900</v>
      </c>
      <c r="DQ199" s="460">
        <f t="shared" si="565"/>
        <v>22.521370823917326</v>
      </c>
      <c r="DS199">
        <f t="shared" si="614"/>
        <v>8900</v>
      </c>
      <c r="DT199">
        <f t="shared" si="615"/>
        <v>22.521370823917326</v>
      </c>
      <c r="DV199" s="5">
        <f t="shared" si="568"/>
        <v>44.402270528666769</v>
      </c>
      <c r="DW199" s="5">
        <f t="shared" si="569"/>
        <v>20.089788106630213</v>
      </c>
      <c r="DX199" s="5">
        <f t="shared" si="570"/>
        <v>24.312482422036556</v>
      </c>
      <c r="DY199" s="173">
        <f t="shared" si="571"/>
        <v>0.45244956772334299</v>
      </c>
      <c r="EA199" s="5">
        <f t="shared" si="572"/>
        <v>1191.9940943267259</v>
      </c>
      <c r="EB199" s="5">
        <f t="shared" si="573"/>
        <v>55.874723171565279</v>
      </c>
      <c r="EC199" s="5">
        <f t="shared" si="574"/>
        <v>58.905923835605805</v>
      </c>
      <c r="ED199" s="5"/>
      <c r="EE199" s="173">
        <f t="shared" si="575"/>
        <v>12.352992350476196</v>
      </c>
      <c r="EF199" s="173">
        <f t="shared" si="576"/>
        <v>13.589364472439899</v>
      </c>
      <c r="EG199" s="173">
        <f t="shared" si="577"/>
        <v>0.33467140739969636</v>
      </c>
      <c r="EH199" s="173"/>
      <c r="EI199" s="528">
        <f t="shared" si="578"/>
        <v>3.0519284002184683</v>
      </c>
      <c r="EJ199" s="528">
        <f t="shared" si="579"/>
        <v>0.4971666666666667</v>
      </c>
      <c r="EK199" s="528">
        <f t="shared" si="580"/>
        <v>2.8151713529896657E-3</v>
      </c>
      <c r="EL199" s="528">
        <f t="shared" si="581"/>
        <v>2.7117757395370618E-3</v>
      </c>
      <c r="EM199">
        <f t="shared" si="582"/>
        <v>8.5500000000000003E-3</v>
      </c>
      <c r="EN199" s="460">
        <f t="shared" si="583"/>
        <v>11.365171352989666</v>
      </c>
      <c r="EP199" s="460">
        <f t="shared" si="603"/>
        <v>3563.1720139776621</v>
      </c>
      <c r="EQ199" s="173">
        <f t="shared" si="584"/>
        <v>6.2299999999999995</v>
      </c>
      <c r="ER199" s="173">
        <f t="shared" si="585"/>
        <v>9.8734374999999999E-2</v>
      </c>
      <c r="ES199" s="528"/>
      <c r="EU199" s="460">
        <f t="shared" si="497"/>
        <v>6328.734375</v>
      </c>
      <c r="EV199" s="528">
        <f t="shared" si="586"/>
        <v>4.5778926003277025</v>
      </c>
      <c r="EW199" s="528">
        <f t="shared" si="587"/>
        <v>5.5401248029443515</v>
      </c>
      <c r="EX199" s="528">
        <f t="shared" si="588"/>
        <v>5.6002475465446772E-4</v>
      </c>
      <c r="EY199" s="528">
        <f t="shared" si="589"/>
        <v>0.68679375210278815</v>
      </c>
      <c r="EZ199" s="528"/>
      <c r="FA199" s="625">
        <f t="shared" si="590"/>
        <v>2.2787162194193897E-2</v>
      </c>
      <c r="FB199" s="460">
        <f t="shared" si="613"/>
        <v>10828.158342323692</v>
      </c>
      <c r="FC199" s="173">
        <f t="shared" si="591"/>
        <v>20.720064731301353</v>
      </c>
      <c r="FD199" s="5">
        <f t="shared" si="592"/>
        <v>135.28</v>
      </c>
      <c r="FE199" s="173">
        <f t="shared" si="593"/>
        <v>0.86717912734850366</v>
      </c>
      <c r="FF199" s="5">
        <f t="shared" si="594"/>
        <v>86.717912734850373</v>
      </c>
      <c r="FG199">
        <f t="shared" si="595"/>
        <v>89</v>
      </c>
      <c r="FI199" s="562">
        <f t="shared" si="596"/>
        <v>-50</v>
      </c>
      <c r="FJ199">
        <f t="shared" si="597"/>
        <v>-50</v>
      </c>
    </row>
    <row r="200" spans="5:166">
      <c r="E200" s="170">
        <v>90</v>
      </c>
      <c r="F200" s="217">
        <f t="shared" si="598"/>
        <v>9</v>
      </c>
      <c r="G200" s="217">
        <f t="shared" si="499"/>
        <v>0.22500000000000001</v>
      </c>
      <c r="H200" s="217">
        <f t="shared" si="500"/>
        <v>135</v>
      </c>
      <c r="I200" s="217">
        <f t="shared" si="501"/>
        <v>1.8</v>
      </c>
      <c r="J200" s="541">
        <f t="shared" si="502"/>
        <v>18.083579062813566</v>
      </c>
      <c r="K200" s="443">
        <f t="shared" si="503"/>
        <v>16.193105263157893</v>
      </c>
      <c r="L200" s="172">
        <f t="shared" si="504"/>
        <v>34.276684325971459</v>
      </c>
      <c r="M200" s="443"/>
      <c r="N200" s="217">
        <f t="shared" si="505"/>
        <v>0.4724233274479343</v>
      </c>
      <c r="O200" s="172">
        <f t="shared" si="506"/>
        <v>210.7673830515341</v>
      </c>
      <c r="P200" s="172">
        <f t="shared" si="507"/>
        <v>2.8477015310073943</v>
      </c>
      <c r="Q200" s="217">
        <f t="shared" si="508"/>
        <v>14.051158870102274</v>
      </c>
      <c r="R200" s="217">
        <f t="shared" si="509"/>
        <v>26.345922881441762</v>
      </c>
      <c r="S200" s="217">
        <f t="shared" si="510"/>
        <v>15</v>
      </c>
      <c r="T200" s="217">
        <f t="shared" si="511"/>
        <v>32.025828201081659</v>
      </c>
      <c r="U200" s="217">
        <f t="shared" si="512"/>
        <v>21.251873706973267</v>
      </c>
      <c r="V200" s="217">
        <f t="shared" si="513"/>
        <v>23.732936466938881</v>
      </c>
      <c r="W200" s="197">
        <f t="shared" si="514"/>
        <v>71.192538275184859</v>
      </c>
      <c r="X200" s="443">
        <f t="shared" si="599"/>
        <v>22.13133121841372</v>
      </c>
      <c r="Z200" s="217">
        <f t="shared" si="515"/>
        <v>10</v>
      </c>
      <c r="AA200" s="173">
        <f t="shared" si="516"/>
        <v>7.4105613500222658</v>
      </c>
      <c r="AB200" s="173">
        <f t="shared" si="517"/>
        <v>2.6031743711450614</v>
      </c>
      <c r="AC200" s="173"/>
      <c r="AD200" s="173">
        <f t="shared" si="518"/>
        <v>7.4105613500222658</v>
      </c>
      <c r="AE200" s="545">
        <f t="shared" si="519"/>
        <v>242.8965789473684</v>
      </c>
      <c r="AF200" s="528">
        <f t="shared" si="520"/>
        <v>2.6378833627603284</v>
      </c>
      <c r="AH200" s="173">
        <f t="shared" si="521"/>
        <v>8.0711125096145917</v>
      </c>
      <c r="AI200" s="173">
        <f t="shared" si="522"/>
        <v>32.025828201081659</v>
      </c>
      <c r="AJ200" s="173">
        <f t="shared" si="523"/>
        <v>17.515428297097522</v>
      </c>
      <c r="AL200" s="545">
        <f t="shared" si="524"/>
        <v>9000</v>
      </c>
      <c r="AM200" s="460">
        <f t="shared" si="525"/>
        <v>22.13133121841372</v>
      </c>
      <c r="AO200">
        <f t="shared" si="526"/>
        <v>9000</v>
      </c>
      <c r="AP200">
        <f t="shared" si="527"/>
        <v>22.13133121841372</v>
      </c>
      <c r="AR200" s="5">
        <f t="shared" si="616"/>
        <v>45.184810173912155</v>
      </c>
      <c r="AS200" s="5">
        <f t="shared" si="604"/>
        <v>21.251873706973267</v>
      </c>
      <c r="AT200" s="5">
        <f t="shared" si="605"/>
        <v>23.932936466938887</v>
      </c>
      <c r="AU200" s="173">
        <f t="shared" si="606"/>
        <v>0.47033225602092321</v>
      </c>
      <c r="AW200" s="5">
        <f t="shared" si="477"/>
        <v>1275.1124224183961</v>
      </c>
      <c r="AX200" s="5">
        <f t="shared" si="478"/>
        <v>59.770894800862322</v>
      </c>
      <c r="AY200" s="5">
        <f t="shared" si="479"/>
        <v>61.609455315767924</v>
      </c>
      <c r="AZ200" s="5"/>
      <c r="BA200" s="173">
        <f t="shared" si="480"/>
        <v>12.680667772000222</v>
      </c>
      <c r="BB200" s="173">
        <f t="shared" si="481"/>
        <v>13.456790931640699</v>
      </c>
      <c r="BC200" s="173">
        <f t="shared" si="482"/>
        <v>0.33140645902236704</v>
      </c>
      <c r="BD200" s="173"/>
      <c r="BE200" s="528">
        <f t="shared" si="483"/>
        <v>3.2159867028769016</v>
      </c>
      <c r="BF200" s="528">
        <f t="shared" si="528"/>
        <v>0.45552056071270419</v>
      </c>
      <c r="BG200" s="528">
        <f t="shared" si="529"/>
        <v>1.0005341946337464E-2</v>
      </c>
      <c r="BH200" s="528">
        <f t="shared" si="484"/>
        <v>2.6001903822551213E-3</v>
      </c>
      <c r="BI200">
        <f t="shared" si="485"/>
        <v>8.1376105782661051E-3</v>
      </c>
      <c r="BJ200" s="460">
        <f t="shared" si="600"/>
        <v>18.142952524603569</v>
      </c>
      <c r="BK200">
        <f t="shared" si="530"/>
        <v>19.257223308898563</v>
      </c>
      <c r="BL200" s="460">
        <f t="shared" si="601"/>
        <v>3692.2504064964646</v>
      </c>
      <c r="BM200" s="173">
        <f t="shared" si="531"/>
        <v>5.5912499999999996</v>
      </c>
      <c r="BN200" s="173">
        <f t="shared" si="532"/>
        <v>0.13978125</v>
      </c>
      <c r="BO200" s="528"/>
      <c r="BQ200" s="460">
        <f t="shared" si="486"/>
        <v>5731.03125</v>
      </c>
      <c r="BR200" s="528">
        <f t="shared" si="487"/>
        <v>4.8239800543153519</v>
      </c>
      <c r="BS200" s="528">
        <f t="shared" si="488"/>
        <v>5.4325566653366204</v>
      </c>
      <c r="BT200" s="528">
        <f t="shared" si="489"/>
        <v>5.4915120540871922E-4</v>
      </c>
      <c r="BU200" s="528">
        <f t="shared" si="490"/>
        <v>0.66871301071024136</v>
      </c>
      <c r="BV200" s="528"/>
      <c r="BW200" s="625">
        <f t="shared" si="533"/>
        <v>2.2699081129644031E-2</v>
      </c>
      <c r="BX200" s="460">
        <f t="shared" si="607"/>
        <v>10948.497962697267</v>
      </c>
      <c r="BY200" s="173">
        <f t="shared" si="608"/>
        <v>20.371779619193731</v>
      </c>
      <c r="BZ200" s="5">
        <f t="shared" si="609"/>
        <v>136.80000000000001</v>
      </c>
      <c r="CA200" s="173">
        <f t="shared" si="610"/>
        <v>0.87038525829158497</v>
      </c>
      <c r="CB200" s="5">
        <f t="shared" si="611"/>
        <v>87.038525829158502</v>
      </c>
      <c r="CC200">
        <f t="shared" si="612"/>
        <v>90</v>
      </c>
      <c r="CE200" s="562">
        <f t="shared" si="534"/>
        <v>-50</v>
      </c>
      <c r="CF200">
        <f t="shared" si="535"/>
        <v>-50</v>
      </c>
      <c r="CG200" s="173">
        <f t="shared" si="536"/>
        <v>0.54755043227665712</v>
      </c>
      <c r="CH200" s="173">
        <f t="shared" si="537"/>
        <v>6.4398811101315845E-2</v>
      </c>
      <c r="CI200" s="170">
        <v>90</v>
      </c>
      <c r="CJ200" s="217">
        <f t="shared" si="602"/>
        <v>9</v>
      </c>
      <c r="CK200" s="217">
        <f t="shared" si="538"/>
        <v>0.22500000000000001</v>
      </c>
      <c r="CL200" s="217">
        <f t="shared" si="539"/>
        <v>135</v>
      </c>
      <c r="CM200" s="217">
        <f t="shared" si="540"/>
        <v>1.8</v>
      </c>
      <c r="CN200" s="541">
        <f t="shared" si="541"/>
        <v>19</v>
      </c>
      <c r="CO200" s="443">
        <f t="shared" si="542"/>
        <v>15.7</v>
      </c>
      <c r="CP200" s="443">
        <f t="shared" si="543"/>
        <v>34.700000000000003</v>
      </c>
      <c r="CQ200" s="443"/>
      <c r="CR200" s="217">
        <f t="shared" si="544"/>
        <v>0.44767441860465118</v>
      </c>
      <c r="CS200" s="172">
        <f t="shared" si="545"/>
        <v>209.84738372093025</v>
      </c>
      <c r="CT200" s="172">
        <f t="shared" si="546"/>
        <v>2.835271317829458</v>
      </c>
      <c r="CU200" s="217">
        <f t="shared" si="547"/>
        <v>13.989825581395349</v>
      </c>
      <c r="CV200" s="217">
        <f t="shared" si="548"/>
        <v>26.230922965116282</v>
      </c>
      <c r="CW200" s="217">
        <f t="shared" si="549"/>
        <v>15</v>
      </c>
      <c r="CX200" s="217">
        <f t="shared" si="550"/>
        <v>32.166233766233766</v>
      </c>
      <c r="CY200" s="217">
        <f t="shared" si="551"/>
        <v>20.315516062884484</v>
      </c>
      <c r="CZ200" s="217">
        <f t="shared" si="552"/>
        <v>24.585656381834728</v>
      </c>
      <c r="DA200" s="197">
        <f t="shared" si="553"/>
        <v>71.63784822286263</v>
      </c>
      <c r="DB200" s="443">
        <f t="shared" si="554"/>
        <v>22.271133370318243</v>
      </c>
      <c r="DD200" s="217">
        <f t="shared" si="555"/>
        <v>10.000000000000002</v>
      </c>
      <c r="DE200" s="173">
        <f t="shared" si="556"/>
        <v>7.6433121019108299</v>
      </c>
      <c r="DF200" s="173">
        <f t="shared" si="557"/>
        <v>2.7017291066282429</v>
      </c>
      <c r="DG200" s="173"/>
      <c r="DH200" s="173">
        <f t="shared" si="558"/>
        <v>7.6433121019108281</v>
      </c>
      <c r="DI200" s="545">
        <f t="shared" si="559"/>
        <v>235.50000000000006</v>
      </c>
      <c r="DJ200" s="528">
        <f t="shared" si="560"/>
        <v>2.7377521613832849</v>
      </c>
      <c r="DL200" s="173">
        <f t="shared" si="561"/>
        <v>8.0711125096145917</v>
      </c>
      <c r="DM200" s="173">
        <f t="shared" si="562"/>
        <v>32.166233766233766</v>
      </c>
      <c r="DN200" s="173">
        <f t="shared" si="563"/>
        <v>17.619432419432421</v>
      </c>
      <c r="DP200" s="545">
        <f t="shared" si="564"/>
        <v>9000</v>
      </c>
      <c r="DQ200" s="460">
        <f t="shared" si="565"/>
        <v>22.271133370318243</v>
      </c>
      <c r="DS200">
        <f t="shared" si="614"/>
        <v>9000</v>
      </c>
      <c r="DT200">
        <f t="shared" si="615"/>
        <v>22.271133370318243</v>
      </c>
      <c r="DV200" s="5">
        <f t="shared" si="568"/>
        <v>44.901172444719215</v>
      </c>
      <c r="DW200" s="5">
        <f t="shared" si="569"/>
        <v>20.315516062884484</v>
      </c>
      <c r="DX200" s="5">
        <f t="shared" si="570"/>
        <v>24.585656381834731</v>
      </c>
      <c r="DY200" s="173">
        <f t="shared" si="571"/>
        <v>0.45244956772334288</v>
      </c>
      <c r="EA200" s="5">
        <f t="shared" si="572"/>
        <v>1218.9309637730689</v>
      </c>
      <c r="EB200" s="5">
        <f t="shared" si="573"/>
        <v>57.137388926862613</v>
      </c>
      <c r="EC200" s="5">
        <f t="shared" si="574"/>
        <v>60.237089138796527</v>
      </c>
      <c r="ED200" s="5"/>
      <c r="EE200" s="173">
        <f t="shared" si="575"/>
        <v>12.491790017335477</v>
      </c>
      <c r="EF200" s="173">
        <f t="shared" si="576"/>
        <v>13.74205396089428</v>
      </c>
      <c r="EG200" s="173">
        <f t="shared" si="577"/>
        <v>0.33843176029182781</v>
      </c>
      <c r="EH200" s="173"/>
      <c r="EI200" s="528">
        <f t="shared" si="578"/>
        <v>3.120896356744046</v>
      </c>
      <c r="EJ200" s="528">
        <f t="shared" si="579"/>
        <v>0.4971666666666667</v>
      </c>
      <c r="EK200" s="528">
        <f t="shared" si="580"/>
        <v>2.7838916712897804E-3</v>
      </c>
      <c r="EL200" s="528">
        <f t="shared" si="581"/>
        <v>2.6816448979866498E-3</v>
      </c>
      <c r="EM200">
        <f t="shared" si="582"/>
        <v>8.5500000000000003E-3</v>
      </c>
      <c r="EN200" s="460">
        <f t="shared" si="583"/>
        <v>11.333891671289781</v>
      </c>
      <c r="EP200" s="460">
        <f t="shared" si="603"/>
        <v>3632.0785599799888</v>
      </c>
      <c r="EQ200" s="173">
        <f t="shared" si="584"/>
        <v>6.3</v>
      </c>
      <c r="ER200" s="173">
        <f t="shared" si="585"/>
        <v>9.9843749999999995E-2</v>
      </c>
      <c r="ES200" s="528"/>
      <c r="EU200" s="460">
        <f t="shared" si="497"/>
        <v>6399.84375</v>
      </c>
      <c r="EV200" s="528">
        <f t="shared" si="586"/>
        <v>4.6813445351160681</v>
      </c>
      <c r="EW200" s="528">
        <f t="shared" si="587"/>
        <v>5.6653214119239044</v>
      </c>
      <c r="EX200" s="528">
        <f t="shared" si="588"/>
        <v>5.7268028187112605E-4</v>
      </c>
      <c r="EY200" s="528">
        <f t="shared" si="589"/>
        <v>0.68679375210278859</v>
      </c>
      <c r="EZ200" s="528"/>
      <c r="FA200" s="625">
        <f t="shared" si="590"/>
        <v>2.3043197724465735E-2</v>
      </c>
      <c r="FB200" s="460">
        <f t="shared" si="613"/>
        <v>11057.075577149099</v>
      </c>
      <c r="FC200" s="173">
        <f t="shared" si="591"/>
        <v>21.088997887129082</v>
      </c>
      <c r="FD200" s="5">
        <f t="shared" si="592"/>
        <v>136.80000000000001</v>
      </c>
      <c r="FE200" s="173">
        <f t="shared" si="593"/>
        <v>0.86643149193837377</v>
      </c>
      <c r="FF200" s="5">
        <f t="shared" si="594"/>
        <v>86.643149193837374</v>
      </c>
      <c r="FG200">
        <f t="shared" si="595"/>
        <v>90</v>
      </c>
      <c r="FI200" s="562">
        <f t="shared" si="596"/>
        <v>-50</v>
      </c>
      <c r="FJ200">
        <f t="shared" si="597"/>
        <v>-50</v>
      </c>
    </row>
    <row r="201" spans="5:166">
      <c r="E201" s="170">
        <v>91</v>
      </c>
      <c r="F201" s="217">
        <f t="shared" si="598"/>
        <v>9.1</v>
      </c>
      <c r="G201" s="217">
        <f t="shared" si="499"/>
        <v>0.22750000000000001</v>
      </c>
      <c r="H201" s="217">
        <f t="shared" si="500"/>
        <v>136.5</v>
      </c>
      <c r="I201" s="217">
        <f t="shared" si="501"/>
        <v>1.82</v>
      </c>
      <c r="J201" s="541">
        <f t="shared" si="502"/>
        <v>18.073396607955939</v>
      </c>
      <c r="K201" s="443">
        <f t="shared" si="503"/>
        <v>16.198584210526317</v>
      </c>
      <c r="L201" s="172">
        <f t="shared" si="504"/>
        <v>34.271980818482248</v>
      </c>
      <c r="M201" s="443"/>
      <c r="N201" s="217">
        <f t="shared" si="505"/>
        <v>0.47264802978037135</v>
      </c>
      <c r="O201" s="172">
        <f t="shared" si="506"/>
        <v>210.74889715928344</v>
      </c>
      <c r="P201" s="172">
        <f t="shared" si="507"/>
        <v>2.8474517660632075</v>
      </c>
      <c r="Q201" s="217">
        <f t="shared" si="508"/>
        <v>14.049926477285563</v>
      </c>
      <c r="R201" s="217">
        <f t="shared" si="509"/>
        <v>26.343612144910431</v>
      </c>
      <c r="S201" s="217">
        <f t="shared" si="510"/>
        <v>15</v>
      </c>
      <c r="T201" s="217">
        <f t="shared" si="511"/>
        <v>32.384511103000861</v>
      </c>
      <c r="U201" s="217">
        <f t="shared" si="512"/>
        <v>21.501997752040797</v>
      </c>
      <c r="V201" s="217">
        <f t="shared" si="513"/>
        <v>23.990623389387167</v>
      </c>
      <c r="W201" s="197">
        <f t="shared" si="514"/>
        <v>71.186294151580185</v>
      </c>
      <c r="X201" s="443">
        <f t="shared" si="599"/>
        <v>21.885371751924591</v>
      </c>
      <c r="Z201" s="217">
        <f t="shared" si="515"/>
        <v>10</v>
      </c>
      <c r="AA201" s="173">
        <f t="shared" si="516"/>
        <v>7.4080548300030111</v>
      </c>
      <c r="AB201" s="173">
        <f t="shared" si="517"/>
        <v>2.6020656425310631</v>
      </c>
      <c r="AC201" s="173"/>
      <c r="AD201" s="173">
        <f t="shared" si="518"/>
        <v>7.4080548300030111</v>
      </c>
      <c r="AE201" s="545">
        <f t="shared" si="519"/>
        <v>245.6785271929825</v>
      </c>
      <c r="AF201" s="528">
        <f t="shared" si="520"/>
        <v>2.6367598510981436</v>
      </c>
      <c r="AH201" s="173">
        <f t="shared" si="521"/>
        <v>8.1158281565510411</v>
      </c>
      <c r="AI201" s="173">
        <f t="shared" si="522"/>
        <v>32.384511103000861</v>
      </c>
      <c r="AJ201" s="173">
        <f t="shared" si="523"/>
        <v>17.781119335556191</v>
      </c>
      <c r="AL201" s="545">
        <f t="shared" si="524"/>
        <v>9100</v>
      </c>
      <c r="AM201" s="460">
        <f t="shared" si="525"/>
        <v>21.885371751924591</v>
      </c>
      <c r="AO201">
        <f t="shared" si="526"/>
        <v>9100</v>
      </c>
      <c r="AP201">
        <f t="shared" si="527"/>
        <v>21.885371751924591</v>
      </c>
      <c r="AR201" s="5">
        <f t="shared" si="616"/>
        <v>45.692621141427971</v>
      </c>
      <c r="AS201" s="5">
        <f t="shared" si="604"/>
        <v>21.501997752040797</v>
      </c>
      <c r="AT201" s="5">
        <f t="shared" si="605"/>
        <v>24.190623389387174</v>
      </c>
      <c r="AU201" s="173">
        <f t="shared" si="606"/>
        <v>0.47057921421245968</v>
      </c>
      <c r="AW201" s="5">
        <f t="shared" si="477"/>
        <v>1304.4545302904751</v>
      </c>
      <c r="AX201" s="5">
        <f t="shared" si="478"/>
        <v>61.146306107366023</v>
      </c>
      <c r="AY201" s="5">
        <f t="shared" si="479"/>
        <v>63.000200950296843</v>
      </c>
      <c r="AZ201" s="5"/>
      <c r="BA201" s="173">
        <f t="shared" si="480"/>
        <v>12.826054701445088</v>
      </c>
      <c r="BB201" s="173">
        <f t="shared" si="481"/>
        <v>13.604331684761307</v>
      </c>
      <c r="BC201" s="173">
        <f t="shared" si="482"/>
        <v>0.33504001168745501</v>
      </c>
      <c r="BD201" s="173"/>
      <c r="BE201" s="528">
        <f t="shared" si="483"/>
        <v>3.2901535840892331</v>
      </c>
      <c r="BF201" s="528">
        <f t="shared" si="528"/>
        <v>0.45544060874019276</v>
      </c>
      <c r="BG201" s="528">
        <f t="shared" si="529"/>
        <v>9.8885750896272138E-3</v>
      </c>
      <c r="BH201" s="528">
        <f t="shared" si="484"/>
        <v>2.5705871974095905E-3</v>
      </c>
      <c r="BI201">
        <f t="shared" si="485"/>
        <v>8.1330284735801721E-3</v>
      </c>
      <c r="BJ201" s="460">
        <f t="shared" si="600"/>
        <v>18.021603563207389</v>
      </c>
      <c r="BK201">
        <f t="shared" si="530"/>
        <v>21.243089390636623</v>
      </c>
      <c r="BL201" s="460">
        <f t="shared" si="601"/>
        <v>3766.1863835900431</v>
      </c>
      <c r="BM201" s="173">
        <f t="shared" si="531"/>
        <v>5.6533749999999987</v>
      </c>
      <c r="BN201" s="173">
        <f t="shared" si="532"/>
        <v>0.14133437499999998</v>
      </c>
      <c r="BO201" s="528"/>
      <c r="BQ201" s="460">
        <f t="shared" si="486"/>
        <v>5794.7093749999985</v>
      </c>
      <c r="BR201" s="528">
        <f t="shared" si="487"/>
        <v>4.9352303761338492</v>
      </c>
      <c r="BS201" s="528">
        <f t="shared" si="488"/>
        <v>5.5523352176700129</v>
      </c>
      <c r="BT201" s="528">
        <f t="shared" si="489"/>
        <v>5.612590471576499E-4</v>
      </c>
      <c r="BU201" s="528">
        <f t="shared" si="490"/>
        <v>0.66864898111742821</v>
      </c>
      <c r="BV201" s="528"/>
      <c r="BW201" s="625">
        <f t="shared" si="533"/>
        <v>2.2952427179309128E-2</v>
      </c>
      <c r="BX201" s="460">
        <f t="shared" si="607"/>
        <v>11179.728261147757</v>
      </c>
      <c r="BY201" s="173">
        <f t="shared" si="608"/>
        <v>20.740624019737798</v>
      </c>
      <c r="BZ201" s="5">
        <f t="shared" si="609"/>
        <v>138.32</v>
      </c>
      <c r="CA201" s="173">
        <f t="shared" si="610"/>
        <v>0.86960554098439791</v>
      </c>
      <c r="CB201" s="5">
        <f t="shared" si="611"/>
        <v>86.960554098439786</v>
      </c>
      <c r="CC201">
        <f t="shared" si="612"/>
        <v>90.999999999999986</v>
      </c>
      <c r="CE201" s="562">
        <f t="shared" si="534"/>
        <v>-50</v>
      </c>
      <c r="CF201">
        <f t="shared" si="535"/>
        <v>-50</v>
      </c>
      <c r="CG201" s="173">
        <f t="shared" si="536"/>
        <v>0.54755043227665712</v>
      </c>
      <c r="CH201" s="173">
        <f t="shared" si="537"/>
        <v>6.4398811101315845E-2</v>
      </c>
      <c r="CI201" s="170">
        <v>91</v>
      </c>
      <c r="CJ201" s="217">
        <f t="shared" si="602"/>
        <v>9.1</v>
      </c>
      <c r="CK201" s="217">
        <f t="shared" si="538"/>
        <v>0.22750000000000001</v>
      </c>
      <c r="CL201" s="217">
        <f t="shared" si="539"/>
        <v>136.5</v>
      </c>
      <c r="CM201" s="217">
        <f t="shared" si="540"/>
        <v>1.82</v>
      </c>
      <c r="CN201" s="541">
        <f t="shared" si="541"/>
        <v>19</v>
      </c>
      <c r="CO201" s="443">
        <f t="shared" si="542"/>
        <v>15.7</v>
      </c>
      <c r="CP201" s="443">
        <f t="shared" si="543"/>
        <v>34.700000000000003</v>
      </c>
      <c r="CQ201" s="443"/>
      <c r="CR201" s="217">
        <f t="shared" si="544"/>
        <v>0.44767441860465118</v>
      </c>
      <c r="CS201" s="172">
        <f t="shared" si="545"/>
        <v>209.84738372093025</v>
      </c>
      <c r="CT201" s="172">
        <f t="shared" si="546"/>
        <v>2.835271317829458</v>
      </c>
      <c r="CU201" s="217">
        <f t="shared" si="547"/>
        <v>13.989825581395349</v>
      </c>
      <c r="CV201" s="217">
        <f t="shared" si="548"/>
        <v>26.230922965116282</v>
      </c>
      <c r="CW201" s="217">
        <f t="shared" si="549"/>
        <v>15</v>
      </c>
      <c r="CX201" s="217">
        <f t="shared" si="550"/>
        <v>32.523636363636363</v>
      </c>
      <c r="CY201" s="217">
        <f t="shared" si="551"/>
        <v>20.541244019138755</v>
      </c>
      <c r="CZ201" s="217">
        <f t="shared" si="552"/>
        <v>24.858830341632892</v>
      </c>
      <c r="DA201" s="197">
        <f t="shared" si="553"/>
        <v>71.63784822286263</v>
      </c>
      <c r="DB201" s="443">
        <f t="shared" si="554"/>
        <v>22.026395640974087</v>
      </c>
      <c r="DD201" s="217">
        <f t="shared" si="555"/>
        <v>10.000000000000002</v>
      </c>
      <c r="DE201" s="173">
        <f t="shared" si="556"/>
        <v>7.6433121019108299</v>
      </c>
      <c r="DF201" s="173">
        <f t="shared" si="557"/>
        <v>2.7017291066282429</v>
      </c>
      <c r="DG201" s="173"/>
      <c r="DH201" s="173">
        <f t="shared" si="558"/>
        <v>7.6433121019108281</v>
      </c>
      <c r="DI201" s="545">
        <f t="shared" si="559"/>
        <v>238.11666666666667</v>
      </c>
      <c r="DJ201" s="528">
        <f t="shared" si="560"/>
        <v>2.7377521613832849</v>
      </c>
      <c r="DL201" s="173">
        <f t="shared" si="561"/>
        <v>8.1158281565510411</v>
      </c>
      <c r="DM201" s="173">
        <f t="shared" si="562"/>
        <v>32.523636363636363</v>
      </c>
      <c r="DN201" s="173">
        <f t="shared" si="563"/>
        <v>17.884175084175084</v>
      </c>
      <c r="DP201" s="545">
        <f t="shared" si="564"/>
        <v>9100</v>
      </c>
      <c r="DQ201" s="460">
        <f t="shared" si="565"/>
        <v>22.026395640974087</v>
      </c>
      <c r="DS201">
        <f t="shared" si="614"/>
        <v>9100</v>
      </c>
      <c r="DT201">
        <f t="shared" si="615"/>
        <v>22.026395640974087</v>
      </c>
      <c r="DV201" s="5">
        <f t="shared" si="568"/>
        <v>45.400074360771647</v>
      </c>
      <c r="DW201" s="5">
        <f t="shared" si="569"/>
        <v>20.541244019138755</v>
      </c>
      <c r="DX201" s="5">
        <f t="shared" si="570"/>
        <v>24.858830341632892</v>
      </c>
      <c r="DY201" s="173">
        <f t="shared" si="571"/>
        <v>0.45244956772334288</v>
      </c>
      <c r="EA201" s="5">
        <f t="shared" si="572"/>
        <v>1246.1688038277512</v>
      </c>
      <c r="EB201" s="5">
        <f t="shared" si="573"/>
        <v>58.414162679425843</v>
      </c>
      <c r="EC201" s="5">
        <f t="shared" si="574"/>
        <v>61.583127797330107</v>
      </c>
      <c r="ED201" s="5"/>
      <c r="EE201" s="173">
        <f t="shared" si="575"/>
        <v>12.63058768419476</v>
      </c>
      <c r="EF201" s="173">
        <f t="shared" si="576"/>
        <v>13.894743449348661</v>
      </c>
      <c r="EG201" s="173">
        <f t="shared" si="577"/>
        <v>0.34219211318395926</v>
      </c>
      <c r="EH201" s="173"/>
      <c r="EI201" s="528">
        <f t="shared" si="578"/>
        <v>3.1906349049626472</v>
      </c>
      <c r="EJ201" s="528">
        <f t="shared" si="579"/>
        <v>0.4971666666666667</v>
      </c>
      <c r="EK201" s="528">
        <f t="shared" si="580"/>
        <v>2.7532994551217609E-3</v>
      </c>
      <c r="EL201" s="528">
        <f t="shared" si="581"/>
        <v>2.6521762727340493E-3</v>
      </c>
      <c r="EM201">
        <f t="shared" si="582"/>
        <v>8.5500000000000003E-3</v>
      </c>
      <c r="EN201" s="460">
        <f t="shared" si="583"/>
        <v>11.303299455121762</v>
      </c>
      <c r="EP201" s="460">
        <f t="shared" si="603"/>
        <v>3701.75704735717</v>
      </c>
      <c r="EQ201" s="173">
        <f t="shared" si="584"/>
        <v>6.3699999999999992</v>
      </c>
      <c r="ER201" s="173">
        <f t="shared" si="585"/>
        <v>0.100953125</v>
      </c>
      <c r="ES201" s="528"/>
      <c r="EU201" s="460">
        <f t="shared" si="497"/>
        <v>6470.9531249999991</v>
      </c>
      <c r="EV201" s="528">
        <f t="shared" si="586"/>
        <v>4.7859523574439704</v>
      </c>
      <c r="EW201" s="528">
        <f t="shared" si="587"/>
        <v>5.7919168656965256</v>
      </c>
      <c r="EX201" s="528">
        <f t="shared" si="588"/>
        <v>5.854772116265179E-4</v>
      </c>
      <c r="EY201" s="528">
        <f t="shared" si="589"/>
        <v>0.68679375210278804</v>
      </c>
      <c r="EZ201" s="528"/>
      <c r="FA201" s="625">
        <f t="shared" si="590"/>
        <v>2.3299233254737581E-2</v>
      </c>
      <c r="FB201" s="460">
        <f t="shared" si="613"/>
        <v>11288.547685709649</v>
      </c>
      <c r="FC201" s="173">
        <f t="shared" si="591"/>
        <v>21.461257858066812</v>
      </c>
      <c r="FD201" s="5">
        <f t="shared" si="592"/>
        <v>138.32</v>
      </c>
      <c r="FE201" s="173">
        <f t="shared" si="593"/>
        <v>0.865683509156432</v>
      </c>
      <c r="FF201" s="5">
        <f t="shared" si="594"/>
        <v>86.568350915643194</v>
      </c>
      <c r="FG201">
        <f t="shared" si="595"/>
        <v>90.999999999999986</v>
      </c>
      <c r="FI201" s="562">
        <f t="shared" si="596"/>
        <v>-50</v>
      </c>
      <c r="FJ201">
        <f t="shared" si="597"/>
        <v>-50</v>
      </c>
    </row>
    <row r="202" spans="5:166">
      <c r="E202" s="170">
        <v>92</v>
      </c>
      <c r="F202" s="217">
        <f t="shared" si="598"/>
        <v>9.2000000000000011</v>
      </c>
      <c r="G202" s="217">
        <f t="shared" si="499"/>
        <v>0.23</v>
      </c>
      <c r="H202" s="217">
        <f t="shared" si="500"/>
        <v>138.00000000000003</v>
      </c>
      <c r="I202" s="217">
        <f t="shared" si="501"/>
        <v>1.84</v>
      </c>
      <c r="J202" s="541">
        <f t="shared" si="502"/>
        <v>18.063214153098311</v>
      </c>
      <c r="K202" s="443">
        <f t="shared" si="503"/>
        <v>16.204063157894737</v>
      </c>
      <c r="L202" s="172">
        <f t="shared" si="504"/>
        <v>34.267277310993052</v>
      </c>
      <c r="M202" s="443"/>
      <c r="N202" s="217">
        <f t="shared" si="505"/>
        <v>0.47287279379784347</v>
      </c>
      <c r="O202" s="172">
        <f t="shared" si="506"/>
        <v>210.73032586046907</v>
      </c>
      <c r="P202" s="172">
        <f t="shared" si="507"/>
        <v>2.8472008471814489</v>
      </c>
      <c r="Q202" s="217">
        <f t="shared" si="508"/>
        <v>14.048688390697938</v>
      </c>
      <c r="R202" s="217">
        <f t="shared" si="509"/>
        <v>26.341290732558633</v>
      </c>
      <c r="S202" s="217">
        <f t="shared" si="510"/>
        <v>15</v>
      </c>
      <c r="T202" s="217">
        <f t="shared" si="511"/>
        <v>32.743270204824249</v>
      </c>
      <c r="U202" s="217">
        <f t="shared" si="512"/>
        <v>21.75245441523457</v>
      </c>
      <c r="V202" s="217">
        <f t="shared" si="513"/>
        <v>24.248192482911787</v>
      </c>
      <c r="W202" s="197">
        <f t="shared" si="514"/>
        <v>71.180021179536212</v>
      </c>
      <c r="X202" s="443">
        <f t="shared" si="599"/>
        <v>21.644718572980015</v>
      </c>
      <c r="Z202" s="217">
        <f t="shared" si="515"/>
        <v>10</v>
      </c>
      <c r="AA202" s="173">
        <f t="shared" si="516"/>
        <v>7.4055500050019942</v>
      </c>
      <c r="AB202" s="173">
        <f t="shared" si="517"/>
        <v>2.6009566095501144</v>
      </c>
      <c r="AC202" s="173"/>
      <c r="AD202" s="173">
        <f t="shared" si="518"/>
        <v>7.4055500050019942</v>
      </c>
      <c r="AE202" s="545">
        <f t="shared" si="519"/>
        <v>248.46230175438598</v>
      </c>
      <c r="AF202" s="528">
        <f t="shared" si="520"/>
        <v>2.6356360310107823</v>
      </c>
      <c r="AH202" s="173">
        <f t="shared" si="521"/>
        <v>8.1602987807111695</v>
      </c>
      <c r="AI202" s="173">
        <f t="shared" si="522"/>
        <v>32.743270204824249</v>
      </c>
      <c r="AJ202" s="173">
        <f t="shared" si="523"/>
        <v>18.046866818388331</v>
      </c>
      <c r="AL202" s="545">
        <f t="shared" si="524"/>
        <v>9200.0000000000018</v>
      </c>
      <c r="AM202" s="460">
        <f t="shared" si="525"/>
        <v>21.644718572980015</v>
      </c>
      <c r="AO202">
        <f t="shared" si="526"/>
        <v>9200.0000000000018</v>
      </c>
      <c r="AP202">
        <f t="shared" si="527"/>
        <v>21.644718572980015</v>
      </c>
      <c r="AR202" s="5">
        <f t="shared" si="616"/>
        <v>46.20064689814636</v>
      </c>
      <c r="AS202" s="5">
        <f t="shared" si="604"/>
        <v>21.75245441523457</v>
      </c>
      <c r="AT202" s="5">
        <f t="shared" si="605"/>
        <v>24.448192482911789</v>
      </c>
      <c r="AU202" s="173">
        <f t="shared" si="606"/>
        <v>0.47082575408932881</v>
      </c>
      <c r="AW202" s="5">
        <f t="shared" si="477"/>
        <v>1334.1505374677206</v>
      </c>
      <c r="AX202" s="5">
        <f t="shared" si="478"/>
        <v>62.538306443799399</v>
      </c>
      <c r="AY202" s="5">
        <f t="shared" si="479"/>
        <v>64.406961899358777</v>
      </c>
      <c r="AZ202" s="5"/>
      <c r="BA202" s="173">
        <f t="shared" si="480"/>
        <v>12.971539724283639</v>
      </c>
      <c r="BB202" s="173">
        <f t="shared" si="481"/>
        <v>13.751838849769946</v>
      </c>
      <c r="BC202" s="173">
        <f t="shared" si="482"/>
        <v>0.33867273716296187</v>
      </c>
      <c r="BD202" s="173"/>
      <c r="BE202" s="528">
        <f t="shared" si="483"/>
        <v>3.3652168563733693</v>
      </c>
      <c r="BF202" s="528">
        <f t="shared" si="528"/>
        <v>0.45535998770121094</v>
      </c>
      <c r="BG202" s="528">
        <f t="shared" si="529"/>
        <v>9.7743296716820624E-3</v>
      </c>
      <c r="BH202" s="528">
        <f t="shared" si="484"/>
        <v>2.5416230575672129E-3</v>
      </c>
      <c r="BI202">
        <f t="shared" si="485"/>
        <v>8.128446368894239E-3</v>
      </c>
      <c r="BJ202" s="460">
        <f t="shared" si="600"/>
        <v>17.902776040576303</v>
      </c>
      <c r="BK202">
        <f t="shared" si="530"/>
        <v>23.608528948908894</v>
      </c>
      <c r="BL202" s="460">
        <f t="shared" si="601"/>
        <v>3841.0212431727241</v>
      </c>
      <c r="BM202" s="173">
        <f t="shared" si="531"/>
        <v>5.7155000000000005</v>
      </c>
      <c r="BN202" s="173">
        <f t="shared" si="532"/>
        <v>0.1428875</v>
      </c>
      <c r="BO202" s="528"/>
      <c r="BQ202" s="460">
        <f t="shared" si="486"/>
        <v>5858.3874999999998</v>
      </c>
      <c r="BR202" s="528">
        <f t="shared" si="487"/>
        <v>5.0478252845600542</v>
      </c>
      <c r="BS202" s="528">
        <f t="shared" si="488"/>
        <v>5.6733921525012594</v>
      </c>
      <c r="BT202" s="528">
        <f t="shared" si="489"/>
        <v>5.7349611448726326E-4</v>
      </c>
      <c r="BU202" s="528">
        <f t="shared" si="490"/>
        <v>0.66858248173197421</v>
      </c>
      <c r="BV202" s="528"/>
      <c r="BW202" s="625">
        <f t="shared" si="533"/>
        <v>2.3205773418491824E-2</v>
      </c>
      <c r="BX202" s="460">
        <f t="shared" si="607"/>
        <v>11413.579188326265</v>
      </c>
      <c r="BY202" s="173">
        <f t="shared" si="608"/>
        <v>21.112987931498992</v>
      </c>
      <c r="BZ202" s="5">
        <f t="shared" si="609"/>
        <v>139.84000000000003</v>
      </c>
      <c r="CA202" s="173">
        <f t="shared" si="610"/>
        <v>0.86882512587784577</v>
      </c>
      <c r="CB202" s="5">
        <f t="shared" si="611"/>
        <v>86.882512587784575</v>
      </c>
      <c r="CC202">
        <f t="shared" si="612"/>
        <v>92.000000000000014</v>
      </c>
      <c r="CE202" s="562">
        <f t="shared" si="534"/>
        <v>-50</v>
      </c>
      <c r="CF202">
        <f t="shared" si="535"/>
        <v>-50</v>
      </c>
      <c r="CG202" s="173">
        <f t="shared" si="536"/>
        <v>0.54755043227665712</v>
      </c>
      <c r="CH202" s="173">
        <f t="shared" si="537"/>
        <v>6.4398811101315845E-2</v>
      </c>
      <c r="CI202" s="170">
        <v>92</v>
      </c>
      <c r="CJ202" s="217">
        <f t="shared" si="602"/>
        <v>9.2000000000000011</v>
      </c>
      <c r="CK202" s="217">
        <f t="shared" si="538"/>
        <v>0.23</v>
      </c>
      <c r="CL202" s="217">
        <f t="shared" si="539"/>
        <v>138.00000000000003</v>
      </c>
      <c r="CM202" s="217">
        <f t="shared" si="540"/>
        <v>1.84</v>
      </c>
      <c r="CN202" s="541">
        <f t="shared" si="541"/>
        <v>19</v>
      </c>
      <c r="CO202" s="443">
        <f t="shared" si="542"/>
        <v>15.7</v>
      </c>
      <c r="CP202" s="443">
        <f t="shared" si="543"/>
        <v>34.700000000000003</v>
      </c>
      <c r="CQ202" s="443"/>
      <c r="CR202" s="217">
        <f t="shared" si="544"/>
        <v>0.44767441860465118</v>
      </c>
      <c r="CS202" s="172">
        <f t="shared" si="545"/>
        <v>209.84738372093025</v>
      </c>
      <c r="CT202" s="172">
        <f t="shared" si="546"/>
        <v>2.835271317829458</v>
      </c>
      <c r="CU202" s="217">
        <f t="shared" si="547"/>
        <v>13.989825581395349</v>
      </c>
      <c r="CV202" s="217">
        <f t="shared" si="548"/>
        <v>26.230922965116282</v>
      </c>
      <c r="CW202" s="217">
        <f t="shared" si="549"/>
        <v>15</v>
      </c>
      <c r="CX202" s="217">
        <f t="shared" si="550"/>
        <v>32.881038961038968</v>
      </c>
      <c r="CY202" s="217">
        <f t="shared" si="551"/>
        <v>20.766971975393034</v>
      </c>
      <c r="CZ202" s="217">
        <f t="shared" si="552"/>
        <v>25.13200430143106</v>
      </c>
      <c r="DA202" s="197">
        <f t="shared" si="553"/>
        <v>71.63784822286263</v>
      </c>
      <c r="DB202" s="443">
        <f t="shared" si="554"/>
        <v>21.78697829705045</v>
      </c>
      <c r="DD202" s="217">
        <f t="shared" si="555"/>
        <v>10.000000000000002</v>
      </c>
      <c r="DE202" s="173">
        <f t="shared" si="556"/>
        <v>7.6433121019108299</v>
      </c>
      <c r="DF202" s="173">
        <f t="shared" si="557"/>
        <v>2.7017291066282429</v>
      </c>
      <c r="DG202" s="173"/>
      <c r="DH202" s="173">
        <f t="shared" si="558"/>
        <v>7.6433121019108281</v>
      </c>
      <c r="DI202" s="545">
        <f t="shared" si="559"/>
        <v>240.73333333333338</v>
      </c>
      <c r="DJ202" s="528">
        <f t="shared" si="560"/>
        <v>2.7377521613832849</v>
      </c>
      <c r="DL202" s="173">
        <f t="shared" si="561"/>
        <v>8.1602987807111695</v>
      </c>
      <c r="DM202" s="173">
        <f t="shared" si="562"/>
        <v>32.881038961038968</v>
      </c>
      <c r="DN202" s="173">
        <f t="shared" si="563"/>
        <v>18.148917748917754</v>
      </c>
      <c r="DP202" s="545">
        <f t="shared" si="564"/>
        <v>9200.0000000000018</v>
      </c>
      <c r="DQ202" s="460">
        <f t="shared" si="565"/>
        <v>21.78697829705045</v>
      </c>
      <c r="DS202">
        <f t="shared" si="614"/>
        <v>9200.0000000000018</v>
      </c>
      <c r="DT202">
        <f t="shared" si="615"/>
        <v>21.78697829705045</v>
      </c>
      <c r="DV202" s="5">
        <f t="shared" si="568"/>
        <v>45.898976276824094</v>
      </c>
      <c r="DW202" s="5">
        <f t="shared" si="569"/>
        <v>20.766971975393034</v>
      </c>
      <c r="DX202" s="5">
        <f t="shared" si="570"/>
        <v>25.13200430143106</v>
      </c>
      <c r="DY202" s="173">
        <f t="shared" si="571"/>
        <v>0.45244956772334294</v>
      </c>
      <c r="EA202" s="5">
        <f t="shared" si="572"/>
        <v>1273.7076144907728</v>
      </c>
      <c r="EB202" s="5">
        <f t="shared" si="573"/>
        <v>59.705044429254968</v>
      </c>
      <c r="EC202" s="5">
        <f t="shared" si="574"/>
        <v>62.94403981120665</v>
      </c>
      <c r="ED202" s="5"/>
      <c r="EE202" s="173">
        <f t="shared" si="575"/>
        <v>12.769385351054044</v>
      </c>
      <c r="EF202" s="173">
        <f t="shared" si="576"/>
        <v>14.047432937803045</v>
      </c>
      <c r="EG202" s="173">
        <f t="shared" si="577"/>
        <v>0.3459524660760907</v>
      </c>
      <c r="EH202" s="173"/>
      <c r="EI202" s="528">
        <f t="shared" si="578"/>
        <v>3.2611440448742726</v>
      </c>
      <c r="EJ202" s="528">
        <f t="shared" si="579"/>
        <v>0.49716666666666665</v>
      </c>
      <c r="EK202" s="528">
        <f t="shared" si="580"/>
        <v>2.7233722871313061E-3</v>
      </c>
      <c r="EL202" s="528">
        <f t="shared" si="581"/>
        <v>2.623348269769548E-3</v>
      </c>
      <c r="EM202">
        <f t="shared" si="582"/>
        <v>8.5500000000000003E-3</v>
      </c>
      <c r="EN202" s="460">
        <f t="shared" si="583"/>
        <v>11.273372287131307</v>
      </c>
      <c r="EP202" s="460">
        <f t="shared" si="603"/>
        <v>3772.2074320978404</v>
      </c>
      <c r="EQ202" s="173">
        <f t="shared" si="584"/>
        <v>6.44</v>
      </c>
      <c r="ER202" s="173">
        <f t="shared" si="585"/>
        <v>0.1020625</v>
      </c>
      <c r="ES202" s="528"/>
      <c r="EU202" s="460">
        <f t="shared" si="497"/>
        <v>6542.0625</v>
      </c>
      <c r="EV202" s="528">
        <f t="shared" si="586"/>
        <v>4.8917160673114086</v>
      </c>
      <c r="EW202" s="528">
        <f t="shared" si="587"/>
        <v>5.9199111642622162</v>
      </c>
      <c r="EX202" s="528">
        <f t="shared" si="588"/>
        <v>5.9841554392064348E-4</v>
      </c>
      <c r="EY202" s="528">
        <f t="shared" si="589"/>
        <v>0.6867937521027887</v>
      </c>
      <c r="EZ202" s="528"/>
      <c r="FA202" s="625">
        <f t="shared" si="590"/>
        <v>2.3555268785009419E-2</v>
      </c>
      <c r="FB202" s="460">
        <f t="shared" si="613"/>
        <v>11522.574668005343</v>
      </c>
      <c r="FC202" s="173">
        <f t="shared" si="591"/>
        <v>21.836844600103184</v>
      </c>
      <c r="FD202" s="5">
        <f t="shared" si="592"/>
        <v>139.84000000000003</v>
      </c>
      <c r="FE202" s="173">
        <f t="shared" si="593"/>
        <v>0.86493523760860658</v>
      </c>
      <c r="FF202" s="5">
        <f t="shared" si="594"/>
        <v>86.493523760860654</v>
      </c>
      <c r="FG202">
        <f t="shared" si="595"/>
        <v>92.000000000000014</v>
      </c>
      <c r="FI202" s="562">
        <f t="shared" si="596"/>
        <v>-50</v>
      </c>
      <c r="FJ202">
        <f t="shared" si="597"/>
        <v>-50</v>
      </c>
    </row>
    <row r="203" spans="5:166">
      <c r="E203" s="170">
        <v>93</v>
      </c>
      <c r="F203" s="217">
        <f t="shared" si="598"/>
        <v>9.3000000000000007</v>
      </c>
      <c r="G203" s="217">
        <f t="shared" si="499"/>
        <v>0.23250000000000001</v>
      </c>
      <c r="H203" s="217">
        <f t="shared" si="500"/>
        <v>139.5</v>
      </c>
      <c r="I203" s="217">
        <f t="shared" si="501"/>
        <v>1.86</v>
      </c>
      <c r="J203" s="541">
        <f t="shared" si="502"/>
        <v>18.053031698240684</v>
      </c>
      <c r="K203" s="443">
        <f t="shared" si="503"/>
        <v>16.209542105263157</v>
      </c>
      <c r="L203" s="172">
        <f t="shared" si="504"/>
        <v>34.262573803503841</v>
      </c>
      <c r="M203" s="443"/>
      <c r="N203" s="217">
        <f t="shared" si="505"/>
        <v>0.47309761952575491</v>
      </c>
      <c r="O203" s="172">
        <f t="shared" si="506"/>
        <v>210.7116691199177</v>
      </c>
      <c r="P203" s="172">
        <f t="shared" si="507"/>
        <v>2.8469487738868882</v>
      </c>
      <c r="Q203" s="217">
        <f t="shared" si="508"/>
        <v>14.047444607994514</v>
      </c>
      <c r="R203" s="217">
        <f t="shared" si="509"/>
        <v>26.338958639989713</v>
      </c>
      <c r="S203" s="217">
        <f t="shared" si="510"/>
        <v>15</v>
      </c>
      <c r="T203" s="217">
        <f t="shared" si="511"/>
        <v>33.10210596846666</v>
      </c>
      <c r="U203" s="217">
        <f t="shared" si="512"/>
        <v>22.003244566413219</v>
      </c>
      <c r="V203" s="217">
        <f t="shared" si="513"/>
        <v>24.505644208951644</v>
      </c>
      <c r="W203" s="197">
        <f t="shared" si="514"/>
        <v>71.173719347172195</v>
      </c>
      <c r="X203" s="443">
        <f t="shared" si="599"/>
        <v>21.409201250949444</v>
      </c>
      <c r="Z203" s="217">
        <f t="shared" si="515"/>
        <v>10</v>
      </c>
      <c r="AA203" s="173">
        <f t="shared" si="516"/>
        <v>7.4030468733004247</v>
      </c>
      <c r="AB203" s="173">
        <f t="shared" si="517"/>
        <v>2.5998472720768668</v>
      </c>
      <c r="AC203" s="173"/>
      <c r="AD203" s="173">
        <f t="shared" si="518"/>
        <v>7.4030468733004247</v>
      </c>
      <c r="AE203" s="545">
        <f t="shared" si="519"/>
        <v>251.24790263157897</v>
      </c>
      <c r="AF203" s="528">
        <f t="shared" si="520"/>
        <v>2.6345119023712256</v>
      </c>
      <c r="AH203" s="173">
        <f t="shared" si="521"/>
        <v>8.204528366352676</v>
      </c>
      <c r="AI203" s="173">
        <f t="shared" si="522"/>
        <v>33.10210596846666</v>
      </c>
      <c r="AJ203" s="173">
        <f t="shared" si="523"/>
        <v>18.312671087753081</v>
      </c>
      <c r="AL203" s="545">
        <f t="shared" si="524"/>
        <v>9300</v>
      </c>
      <c r="AM203" s="460">
        <f t="shared" si="525"/>
        <v>21.409201250949444</v>
      </c>
      <c r="AO203">
        <f t="shared" si="526"/>
        <v>9300</v>
      </c>
      <c r="AP203">
        <f t="shared" si="527"/>
        <v>21.409201250949444</v>
      </c>
      <c r="AR203" s="5">
        <f t="shared" si="616"/>
        <v>46.708888775364869</v>
      </c>
      <c r="AS203" s="5">
        <f t="shared" si="604"/>
        <v>22.003244566413219</v>
      </c>
      <c r="AT203" s="5">
        <f t="shared" si="605"/>
        <v>24.70564420895165</v>
      </c>
      <c r="AU203" s="173">
        <f t="shared" si="606"/>
        <v>0.47107189109620046</v>
      </c>
      <c r="AW203" s="5">
        <f t="shared" si="477"/>
        <v>1364.2011631176197</v>
      </c>
      <c r="AX203" s="5">
        <f t="shared" si="478"/>
        <v>63.946929521138422</v>
      </c>
      <c r="AY203" s="5">
        <f t="shared" si="479"/>
        <v>65.829756364022344</v>
      </c>
      <c r="AZ203" s="5"/>
      <c r="BA203" s="173">
        <f t="shared" si="480"/>
        <v>13.117123048822481</v>
      </c>
      <c r="BB203" s="173">
        <f t="shared" si="481"/>
        <v>13.89931255270977</v>
      </c>
      <c r="BC203" s="173">
        <f t="shared" si="482"/>
        <v>0.3423046385530093</v>
      </c>
      <c r="BD203" s="173"/>
      <c r="BE203" s="528">
        <f t="shared" si="483"/>
        <v>3.4411783415589996</v>
      </c>
      <c r="BF203" s="528">
        <f t="shared" si="528"/>
        <v>0.45527871348420379</v>
      </c>
      <c r="BG203" s="528">
        <f t="shared" si="529"/>
        <v>9.6625247204351096E-3</v>
      </c>
      <c r="BH203" s="528">
        <f t="shared" si="484"/>
        <v>2.5132774390892744E-3</v>
      </c>
      <c r="BI203">
        <f t="shared" si="485"/>
        <v>8.1238642642083077E-3</v>
      </c>
      <c r="BJ203" s="460">
        <f t="shared" si="600"/>
        <v>17.786388984643416</v>
      </c>
      <c r="BK203">
        <f t="shared" si="530"/>
        <v>26.473262902967981</v>
      </c>
      <c r="BL203" s="460">
        <f t="shared" si="601"/>
        <v>3916.7567214669366</v>
      </c>
      <c r="BM203" s="173">
        <f t="shared" si="531"/>
        <v>5.7776249999999996</v>
      </c>
      <c r="BN203" s="173">
        <f t="shared" si="532"/>
        <v>0.14444062499999999</v>
      </c>
      <c r="BO203" s="528"/>
      <c r="BQ203" s="460">
        <f t="shared" si="486"/>
        <v>5922.0656249999993</v>
      </c>
      <c r="BR203" s="528">
        <f t="shared" si="487"/>
        <v>5.161767512338499</v>
      </c>
      <c r="BS203" s="528">
        <f t="shared" si="488"/>
        <v>5.7957266831374605</v>
      </c>
      <c r="BT203" s="528">
        <f t="shared" si="489"/>
        <v>5.8586232787453171E-4</v>
      </c>
      <c r="BU203" s="528">
        <f t="shared" si="490"/>
        <v>0.66851357030296943</v>
      </c>
      <c r="BV203" s="528"/>
      <c r="BW203" s="625">
        <f t="shared" si="533"/>
        <v>2.3459119843705523E-2</v>
      </c>
      <c r="BX203" s="460">
        <f t="shared" si="607"/>
        <v>11650.052747950509</v>
      </c>
      <c r="BY203" s="173">
        <f t="shared" si="608"/>
        <v>21.488875094417445</v>
      </c>
      <c r="BZ203" s="5">
        <f t="shared" si="609"/>
        <v>141.36000000000001</v>
      </c>
      <c r="CA203" s="173">
        <f t="shared" si="610"/>
        <v>0.86804406796203848</v>
      </c>
      <c r="CB203" s="5">
        <f t="shared" si="611"/>
        <v>86.80440679620385</v>
      </c>
      <c r="CC203">
        <f t="shared" si="612"/>
        <v>93</v>
      </c>
      <c r="CE203" s="562">
        <f t="shared" si="534"/>
        <v>-50</v>
      </c>
      <c r="CF203">
        <f t="shared" si="535"/>
        <v>-50</v>
      </c>
      <c r="CG203" s="173">
        <f t="shared" si="536"/>
        <v>0.54755043227665712</v>
      </c>
      <c r="CH203" s="173">
        <f t="shared" si="537"/>
        <v>6.4398811101315845E-2</v>
      </c>
      <c r="CI203" s="170">
        <v>93</v>
      </c>
      <c r="CJ203" s="217">
        <f t="shared" si="602"/>
        <v>9.3000000000000007</v>
      </c>
      <c r="CK203" s="217">
        <f t="shared" si="538"/>
        <v>0.23250000000000001</v>
      </c>
      <c r="CL203" s="217">
        <f t="shared" si="539"/>
        <v>139.5</v>
      </c>
      <c r="CM203" s="217">
        <f t="shared" si="540"/>
        <v>1.86</v>
      </c>
      <c r="CN203" s="541">
        <f t="shared" si="541"/>
        <v>19</v>
      </c>
      <c r="CO203" s="443">
        <f t="shared" si="542"/>
        <v>15.7</v>
      </c>
      <c r="CP203" s="443">
        <f t="shared" si="543"/>
        <v>34.700000000000003</v>
      </c>
      <c r="CQ203" s="443"/>
      <c r="CR203" s="217">
        <f t="shared" si="544"/>
        <v>0.44767441860465118</v>
      </c>
      <c r="CS203" s="172">
        <f t="shared" si="545"/>
        <v>209.84738372093025</v>
      </c>
      <c r="CT203" s="172">
        <f t="shared" si="546"/>
        <v>2.835271317829458</v>
      </c>
      <c r="CU203" s="217">
        <f t="shared" si="547"/>
        <v>13.989825581395349</v>
      </c>
      <c r="CV203" s="217">
        <f t="shared" si="548"/>
        <v>26.230922965116282</v>
      </c>
      <c r="CW203" s="217">
        <f t="shared" si="549"/>
        <v>15</v>
      </c>
      <c r="CX203" s="217">
        <f t="shared" si="550"/>
        <v>33.238441558441558</v>
      </c>
      <c r="CY203" s="217">
        <f t="shared" si="551"/>
        <v>20.992699931647302</v>
      </c>
      <c r="CZ203" s="217">
        <f t="shared" si="552"/>
        <v>25.405178261229217</v>
      </c>
      <c r="DA203" s="197">
        <f t="shared" si="553"/>
        <v>71.63784822286263</v>
      </c>
      <c r="DB203" s="443">
        <f t="shared" si="554"/>
        <v>21.5527097132112</v>
      </c>
      <c r="DD203" s="217">
        <f t="shared" si="555"/>
        <v>10.000000000000002</v>
      </c>
      <c r="DE203" s="173">
        <f t="shared" si="556"/>
        <v>7.6433121019108299</v>
      </c>
      <c r="DF203" s="173">
        <f t="shared" si="557"/>
        <v>2.7017291066282429</v>
      </c>
      <c r="DG203" s="173"/>
      <c r="DH203" s="173">
        <f t="shared" si="558"/>
        <v>7.6433121019108281</v>
      </c>
      <c r="DI203" s="545">
        <f t="shared" si="559"/>
        <v>243.35</v>
      </c>
      <c r="DJ203" s="528">
        <f t="shared" si="560"/>
        <v>2.7377521613832849</v>
      </c>
      <c r="DL203" s="173">
        <f t="shared" si="561"/>
        <v>8.204528366352676</v>
      </c>
      <c r="DM203" s="173">
        <f t="shared" si="562"/>
        <v>33.238441558441558</v>
      </c>
      <c r="DN203" s="173">
        <f t="shared" si="563"/>
        <v>18.413660413660413</v>
      </c>
      <c r="DP203" s="545">
        <f t="shared" si="564"/>
        <v>9300</v>
      </c>
      <c r="DQ203" s="460">
        <f t="shared" si="565"/>
        <v>21.5527097132112</v>
      </c>
      <c r="DS203">
        <f t="shared" si="614"/>
        <v>9300</v>
      </c>
      <c r="DT203">
        <f t="shared" si="615"/>
        <v>21.5527097132112</v>
      </c>
      <c r="DV203" s="5">
        <f t="shared" si="568"/>
        <v>46.397878192876526</v>
      </c>
      <c r="DW203" s="5">
        <f t="shared" si="569"/>
        <v>20.992699931647302</v>
      </c>
      <c r="DX203" s="5">
        <f t="shared" si="570"/>
        <v>25.405178261229224</v>
      </c>
      <c r="DY203" s="173">
        <f t="shared" si="571"/>
        <v>0.45244956772334288</v>
      </c>
      <c r="EA203" s="5">
        <f t="shared" si="572"/>
        <v>1301.5473957621327</v>
      </c>
      <c r="EB203" s="5">
        <f t="shared" si="573"/>
        <v>61.010034176349969</v>
      </c>
      <c r="EC203" s="5">
        <f t="shared" si="574"/>
        <v>64.319825180426065</v>
      </c>
      <c r="ED203" s="5"/>
      <c r="EE203" s="173">
        <f t="shared" si="575"/>
        <v>12.908183017913325</v>
      </c>
      <c r="EF203" s="173">
        <f t="shared" si="576"/>
        <v>14.200122426257423</v>
      </c>
      <c r="EG203" s="173">
        <f t="shared" si="577"/>
        <v>0.34971281896822209</v>
      </c>
      <c r="EH203" s="173"/>
      <c r="EI203" s="528">
        <f t="shared" si="578"/>
        <v>3.3324237764789193</v>
      </c>
      <c r="EJ203" s="528">
        <f t="shared" si="579"/>
        <v>0.49716666666666659</v>
      </c>
      <c r="EK203" s="528">
        <f t="shared" si="580"/>
        <v>2.6940887141514002E-3</v>
      </c>
      <c r="EL203" s="528">
        <f t="shared" si="581"/>
        <v>2.5951402238580481E-3</v>
      </c>
      <c r="EM203">
        <f t="shared" si="582"/>
        <v>8.5500000000000003E-3</v>
      </c>
      <c r="EN203" s="460">
        <f t="shared" si="583"/>
        <v>11.244088714151401</v>
      </c>
      <c r="EP203" s="460">
        <f t="shared" si="603"/>
        <v>3843.429672083596</v>
      </c>
      <c r="EQ203" s="173">
        <f t="shared" si="584"/>
        <v>6.51</v>
      </c>
      <c r="ER203" s="173">
        <f t="shared" si="585"/>
        <v>0.103171875</v>
      </c>
      <c r="ES203" s="528"/>
      <c r="EU203" s="460">
        <f t="shared" si="497"/>
        <v>6613.171875</v>
      </c>
      <c r="EV203" s="528">
        <f t="shared" si="586"/>
        <v>4.9986356647183792</v>
      </c>
      <c r="EW203" s="528">
        <f t="shared" si="587"/>
        <v>6.0493043076209698</v>
      </c>
      <c r="EX203" s="528">
        <f t="shared" si="588"/>
        <v>6.1149527875350236E-4</v>
      </c>
      <c r="EY203" s="528">
        <f t="shared" si="589"/>
        <v>0.68679375210278815</v>
      </c>
      <c r="EZ203" s="528"/>
      <c r="FA203" s="625">
        <f t="shared" si="590"/>
        <v>2.3811304315281254E-2</v>
      </c>
      <c r="FB203" s="460">
        <f t="shared" si="613"/>
        <v>11759.156524036174</v>
      </c>
      <c r="FC203" s="173">
        <f t="shared" si="591"/>
        <v>22.215758071119765</v>
      </c>
      <c r="FD203" s="5">
        <f t="shared" si="592"/>
        <v>141.36000000000001</v>
      </c>
      <c r="FE203" s="173">
        <f t="shared" si="593"/>
        <v>0.86418673321103767</v>
      </c>
      <c r="FF203" s="5">
        <f t="shared" si="594"/>
        <v>86.418673321103768</v>
      </c>
      <c r="FG203">
        <f t="shared" si="595"/>
        <v>93</v>
      </c>
      <c r="FI203" s="562">
        <f t="shared" si="596"/>
        <v>-50</v>
      </c>
      <c r="FJ203">
        <f t="shared" si="597"/>
        <v>-50</v>
      </c>
    </row>
    <row r="204" spans="5:166">
      <c r="E204" s="170">
        <v>94</v>
      </c>
      <c r="F204" s="217">
        <f t="shared" si="598"/>
        <v>9.3999999999999986</v>
      </c>
      <c r="G204" s="217">
        <f t="shared" si="499"/>
        <v>0.23499999999999999</v>
      </c>
      <c r="H204" s="217">
        <f t="shared" si="500"/>
        <v>140.99999999999997</v>
      </c>
      <c r="I204" s="217">
        <f t="shared" si="501"/>
        <v>1.88</v>
      </c>
      <c r="J204" s="541">
        <f t="shared" si="502"/>
        <v>18.042849243383056</v>
      </c>
      <c r="K204" s="443">
        <f t="shared" si="503"/>
        <v>16.215021052631577</v>
      </c>
      <c r="L204" s="172">
        <f t="shared" si="504"/>
        <v>34.25787029601463</v>
      </c>
      <c r="M204" s="443"/>
      <c r="N204" s="217">
        <f t="shared" si="505"/>
        <v>0.47332250698952361</v>
      </c>
      <c r="O204" s="172">
        <f t="shared" si="506"/>
        <v>210.6929269024366</v>
      </c>
      <c r="P204" s="172">
        <f t="shared" si="507"/>
        <v>2.8466955457040326</v>
      </c>
      <c r="Q204" s="217">
        <f t="shared" si="508"/>
        <v>14.046195126829106</v>
      </c>
      <c r="R204" s="217">
        <f t="shared" si="509"/>
        <v>26.336615862804575</v>
      </c>
      <c r="S204" s="217">
        <f t="shared" si="510"/>
        <v>15</v>
      </c>
      <c r="T204" s="217">
        <f t="shared" si="511"/>
        <v>33.461018856435409</v>
      </c>
      <c r="U204" s="217">
        <f t="shared" si="512"/>
        <v>22.254369077793012</v>
      </c>
      <c r="V204" s="217">
        <f t="shared" si="513"/>
        <v>24.762979028760448</v>
      </c>
      <c r="W204" s="197">
        <f t="shared" si="514"/>
        <v>71.167388642600798</v>
      </c>
      <c r="X204" s="443">
        <f t="shared" si="599"/>
        <v>21.178656576462974</v>
      </c>
      <c r="Z204" s="217">
        <f t="shared" si="515"/>
        <v>10</v>
      </c>
      <c r="AA204" s="173">
        <f t="shared" si="516"/>
        <v>7.400545433181839</v>
      </c>
      <c r="AB204" s="173">
        <f t="shared" si="517"/>
        <v>2.5987376299859029</v>
      </c>
      <c r="AC204" s="173"/>
      <c r="AD204" s="173">
        <f t="shared" si="518"/>
        <v>7.400545433181839</v>
      </c>
      <c r="AE204" s="545">
        <f t="shared" si="519"/>
        <v>254.03532982456133</v>
      </c>
      <c r="AF204" s="528">
        <f t="shared" si="520"/>
        <v>2.6333874650523819</v>
      </c>
      <c r="AH204" s="173">
        <f t="shared" si="521"/>
        <v>8.2485207909112539</v>
      </c>
      <c r="AI204" s="173">
        <f t="shared" si="522"/>
        <v>33.461018856435409</v>
      </c>
      <c r="AJ204" s="173">
        <f t="shared" si="523"/>
        <v>18.578532486248449</v>
      </c>
      <c r="AL204" s="545">
        <f t="shared" si="524"/>
        <v>9399.9999999999982</v>
      </c>
      <c r="AM204" s="460">
        <f t="shared" si="525"/>
        <v>21.178656576462974</v>
      </c>
      <c r="AO204">
        <f t="shared" si="526"/>
        <v>9399.9999999999982</v>
      </c>
      <c r="AP204">
        <f t="shared" si="527"/>
        <v>21.178656576462974</v>
      </c>
      <c r="AR204" s="5">
        <f t="shared" si="616"/>
        <v>47.217348106553459</v>
      </c>
      <c r="AS204" s="5">
        <f t="shared" si="604"/>
        <v>22.254369077793012</v>
      </c>
      <c r="AT204" s="5">
        <f t="shared" si="605"/>
        <v>24.962979028760447</v>
      </c>
      <c r="AU204" s="173">
        <f t="shared" si="606"/>
        <v>0.47131764002443521</v>
      </c>
      <c r="AW204" s="5">
        <f t="shared" si="477"/>
        <v>1394.6071288750286</v>
      </c>
      <c r="AX204" s="5">
        <f t="shared" si="478"/>
        <v>65.372209166016958</v>
      </c>
      <c r="AY204" s="5">
        <f t="shared" si="479"/>
        <v>67.268602638857118</v>
      </c>
      <c r="AZ204" s="5"/>
      <c r="BA204" s="173">
        <f t="shared" si="480"/>
        <v>13.262804883821449</v>
      </c>
      <c r="BB204" s="173">
        <f t="shared" si="481"/>
        <v>14.046752919586927</v>
      </c>
      <c r="BC204" s="173">
        <f t="shared" si="482"/>
        <v>0.34593571896080755</v>
      </c>
      <c r="BD204" s="173"/>
      <c r="BE204" s="528">
        <f t="shared" si="483"/>
        <v>3.5180398677263618</v>
      </c>
      <c r="BF204" s="528">
        <f t="shared" si="528"/>
        <v>0.45519680130440937</v>
      </c>
      <c r="BG204" s="528">
        <f t="shared" si="529"/>
        <v>9.5530826946626131E-3</v>
      </c>
      <c r="BH204" s="528">
        <f t="shared" si="484"/>
        <v>2.4855306879372862E-3</v>
      </c>
      <c r="BI204">
        <f t="shared" si="485"/>
        <v>8.1192821595223747E-3</v>
      </c>
      <c r="BJ204" s="460">
        <f t="shared" si="600"/>
        <v>17.672364854184991</v>
      </c>
      <c r="BK204">
        <f t="shared" si="530"/>
        <v>30.013290424832267</v>
      </c>
      <c r="BL204" s="460">
        <f t="shared" si="601"/>
        <v>3993.3945645728932</v>
      </c>
      <c r="BM204" s="173">
        <f t="shared" si="531"/>
        <v>5.8397499999999978</v>
      </c>
      <c r="BN204" s="173">
        <f t="shared" si="532"/>
        <v>0.14599374999999998</v>
      </c>
      <c r="BO204" s="528"/>
      <c r="BQ204" s="460">
        <f t="shared" si="486"/>
        <v>5985.7437499999978</v>
      </c>
      <c r="BR204" s="528">
        <f t="shared" si="487"/>
        <v>5.2770598015895427</v>
      </c>
      <c r="BS204" s="528">
        <f t="shared" si="488"/>
        <v>5.9193380275177159</v>
      </c>
      <c r="BT204" s="528">
        <f t="shared" si="489"/>
        <v>5.9835760826465413E-4</v>
      </c>
      <c r="BU204" s="528">
        <f t="shared" si="490"/>
        <v>0.66844230214128486</v>
      </c>
      <c r="BV204" s="528"/>
      <c r="BW204" s="625">
        <f t="shared" si="533"/>
        <v>2.3712466451611822E-2</v>
      </c>
      <c r="BX204" s="460">
        <f t="shared" si="607"/>
        <v>11889.15095530842</v>
      </c>
      <c r="BY204" s="173">
        <f t="shared" si="608"/>
        <v>21.868289269881309</v>
      </c>
      <c r="BZ204" s="5">
        <f t="shared" si="609"/>
        <v>142.87999999999997</v>
      </c>
      <c r="CA204" s="173">
        <f t="shared" si="610"/>
        <v>0.86726241973864804</v>
      </c>
      <c r="CB204" s="5">
        <f t="shared" si="611"/>
        <v>86.726241973864802</v>
      </c>
      <c r="CC204">
        <f t="shared" si="612"/>
        <v>93.999999999999986</v>
      </c>
      <c r="CE204" s="562">
        <f t="shared" si="534"/>
        <v>-50</v>
      </c>
      <c r="CF204">
        <f t="shared" si="535"/>
        <v>-50</v>
      </c>
      <c r="CG204" s="173">
        <f t="shared" si="536"/>
        <v>0.54755043227665712</v>
      </c>
      <c r="CH204" s="173">
        <f t="shared" si="537"/>
        <v>6.4398811101315859E-2</v>
      </c>
      <c r="CI204" s="170">
        <v>94</v>
      </c>
      <c r="CJ204" s="217">
        <f t="shared" si="602"/>
        <v>9.3999999999999986</v>
      </c>
      <c r="CK204" s="217">
        <f t="shared" si="538"/>
        <v>0.23499999999999999</v>
      </c>
      <c r="CL204" s="217">
        <f t="shared" si="539"/>
        <v>140.99999999999997</v>
      </c>
      <c r="CM204" s="217">
        <f t="shared" si="540"/>
        <v>1.88</v>
      </c>
      <c r="CN204" s="541">
        <f t="shared" si="541"/>
        <v>19</v>
      </c>
      <c r="CO204" s="443">
        <f t="shared" si="542"/>
        <v>15.7</v>
      </c>
      <c r="CP204" s="443">
        <f t="shared" si="543"/>
        <v>34.700000000000003</v>
      </c>
      <c r="CQ204" s="443"/>
      <c r="CR204" s="217">
        <f t="shared" si="544"/>
        <v>0.44767441860465118</v>
      </c>
      <c r="CS204" s="172">
        <f t="shared" si="545"/>
        <v>209.84738372093025</v>
      </c>
      <c r="CT204" s="172">
        <f t="shared" si="546"/>
        <v>2.835271317829458</v>
      </c>
      <c r="CU204" s="217">
        <f t="shared" si="547"/>
        <v>13.989825581395349</v>
      </c>
      <c r="CV204" s="217">
        <f t="shared" si="548"/>
        <v>26.230922965116282</v>
      </c>
      <c r="CW204" s="217">
        <f t="shared" si="549"/>
        <v>15</v>
      </c>
      <c r="CX204" s="217">
        <f t="shared" si="550"/>
        <v>33.595844155844148</v>
      </c>
      <c r="CY204" s="217">
        <f t="shared" si="551"/>
        <v>21.218427887901569</v>
      </c>
      <c r="CZ204" s="217">
        <f t="shared" si="552"/>
        <v>25.678352221027374</v>
      </c>
      <c r="DA204" s="197">
        <f t="shared" si="553"/>
        <v>71.63784822286263</v>
      </c>
      <c r="DB204" s="443">
        <f t="shared" si="554"/>
        <v>21.32342556732598</v>
      </c>
      <c r="DD204" s="217">
        <f t="shared" si="555"/>
        <v>10.000000000000002</v>
      </c>
      <c r="DE204" s="173">
        <f t="shared" si="556"/>
        <v>7.6433121019108299</v>
      </c>
      <c r="DF204" s="173">
        <f t="shared" si="557"/>
        <v>2.7017291066282429</v>
      </c>
      <c r="DG204" s="173"/>
      <c r="DH204" s="173">
        <f t="shared" si="558"/>
        <v>7.6433121019108281</v>
      </c>
      <c r="DI204" s="545">
        <f t="shared" si="559"/>
        <v>245.96666666666667</v>
      </c>
      <c r="DJ204" s="528">
        <f t="shared" si="560"/>
        <v>2.7377521613832849</v>
      </c>
      <c r="DL204" s="173">
        <f t="shared" si="561"/>
        <v>8.2485207909112539</v>
      </c>
      <c r="DM204" s="173">
        <f t="shared" si="562"/>
        <v>33.595844155844148</v>
      </c>
      <c r="DN204" s="173">
        <f t="shared" si="563"/>
        <v>18.678403078403072</v>
      </c>
      <c r="DP204" s="545">
        <f t="shared" si="564"/>
        <v>9399.9999999999982</v>
      </c>
      <c r="DQ204" s="460">
        <f t="shared" si="565"/>
        <v>21.32342556732598</v>
      </c>
      <c r="DS204">
        <f t="shared" si="614"/>
        <v>9399.9999999999982</v>
      </c>
      <c r="DT204">
        <f t="shared" si="615"/>
        <v>21.32342556732598</v>
      </c>
      <c r="DV204" s="5">
        <f t="shared" si="568"/>
        <v>46.896780108928951</v>
      </c>
      <c r="DW204" s="5">
        <f t="shared" si="569"/>
        <v>21.218427887901569</v>
      </c>
      <c r="DX204" s="5">
        <f t="shared" si="570"/>
        <v>25.678352221027382</v>
      </c>
      <c r="DY204" s="173">
        <f t="shared" si="571"/>
        <v>0.45244956772334288</v>
      </c>
      <c r="EA204" s="5">
        <f t="shared" si="572"/>
        <v>1329.6881476418314</v>
      </c>
      <c r="EB204" s="5">
        <f t="shared" si="573"/>
        <v>62.329131920710857</v>
      </c>
      <c r="EC204" s="5">
        <f t="shared" si="574"/>
        <v>65.710483904988379</v>
      </c>
      <c r="ED204" s="5"/>
      <c r="EE204" s="173">
        <f t="shared" si="575"/>
        <v>13.046980684772606</v>
      </c>
      <c r="EF204" s="173">
        <f t="shared" si="576"/>
        <v>14.352811914711801</v>
      </c>
      <c r="EG204" s="173">
        <f t="shared" si="577"/>
        <v>0.35347317186035337</v>
      </c>
      <c r="EH204" s="173"/>
      <c r="EI204" s="528">
        <f t="shared" si="578"/>
        <v>3.4044740997765892</v>
      </c>
      <c r="EJ204" s="528">
        <f t="shared" si="579"/>
        <v>0.49716666666666659</v>
      </c>
      <c r="EK204" s="528">
        <f t="shared" si="580"/>
        <v>2.6654281959157477E-3</v>
      </c>
      <c r="EL204" s="528">
        <f t="shared" si="581"/>
        <v>2.5675323491361544E-3</v>
      </c>
      <c r="EM204">
        <f t="shared" si="582"/>
        <v>8.5500000000000003E-3</v>
      </c>
      <c r="EN204" s="460">
        <f t="shared" si="583"/>
        <v>11.215428195915749</v>
      </c>
      <c r="EP204" s="460">
        <f t="shared" si="603"/>
        <v>3915.4237269883079</v>
      </c>
      <c r="EQ204" s="173">
        <f t="shared" si="584"/>
        <v>6.5799999999999983</v>
      </c>
      <c r="ER204" s="173">
        <f t="shared" si="585"/>
        <v>0.10428124999999999</v>
      </c>
      <c r="ES204" s="528"/>
      <c r="EU204" s="460">
        <f t="shared" si="497"/>
        <v>6684.2812499999982</v>
      </c>
      <c r="EV204" s="528">
        <f t="shared" si="586"/>
        <v>5.1067111496648838</v>
      </c>
      <c r="EW204" s="528">
        <f t="shared" si="587"/>
        <v>6.180096295772791</v>
      </c>
      <c r="EX204" s="528">
        <f t="shared" si="588"/>
        <v>6.2471641612509455E-4</v>
      </c>
      <c r="EY204" s="528">
        <f t="shared" si="589"/>
        <v>0.68679375210278792</v>
      </c>
      <c r="EZ204" s="528"/>
      <c r="FA204" s="625">
        <f t="shared" si="590"/>
        <v>2.4067339845553093E-2</v>
      </c>
      <c r="FB204" s="460">
        <f t="shared" si="613"/>
        <v>11998.293253802141</v>
      </c>
      <c r="FC204" s="173">
        <f t="shared" si="591"/>
        <v>22.597998230790445</v>
      </c>
      <c r="FD204" s="5">
        <f t="shared" si="592"/>
        <v>142.87999999999997</v>
      </c>
      <c r="FE204" s="173">
        <f t="shared" si="593"/>
        <v>0.86343804933346335</v>
      </c>
      <c r="FF204" s="5">
        <f t="shared" si="594"/>
        <v>86.343804933346334</v>
      </c>
      <c r="FG204">
        <f t="shared" si="595"/>
        <v>93.999999999999986</v>
      </c>
      <c r="FI204" s="562">
        <f t="shared" si="596"/>
        <v>-50</v>
      </c>
      <c r="FJ204">
        <f t="shared" si="597"/>
        <v>-50</v>
      </c>
    </row>
    <row r="205" spans="5:166">
      <c r="E205" s="170">
        <v>95</v>
      </c>
      <c r="F205" s="217">
        <f t="shared" si="598"/>
        <v>9.5</v>
      </c>
      <c r="G205" s="217">
        <f t="shared" si="499"/>
        <v>0.23749999999999999</v>
      </c>
      <c r="H205" s="217">
        <f t="shared" si="500"/>
        <v>142.5</v>
      </c>
      <c r="I205" s="217">
        <f t="shared" si="501"/>
        <v>1.9</v>
      </c>
      <c r="J205" s="541">
        <f t="shared" si="502"/>
        <v>18.032666788525429</v>
      </c>
      <c r="K205" s="443">
        <f t="shared" si="503"/>
        <v>16.220499999999998</v>
      </c>
      <c r="L205" s="172">
        <f t="shared" si="504"/>
        <v>34.253166788525427</v>
      </c>
      <c r="M205" s="443"/>
      <c r="N205" s="217">
        <f t="shared" si="505"/>
        <v>0.47354745621458139</v>
      </c>
      <c r="O205" s="172">
        <f t="shared" si="506"/>
        <v>210.6740991728137</v>
      </c>
      <c r="P205" s="172">
        <f t="shared" si="507"/>
        <v>2.8464411621571273</v>
      </c>
      <c r="Q205" s="217">
        <f t="shared" si="508"/>
        <v>14.044939944854246</v>
      </c>
      <c r="R205" s="217">
        <f t="shared" si="509"/>
        <v>26.334262396601712</v>
      </c>
      <c r="S205" s="217">
        <f t="shared" si="510"/>
        <v>15</v>
      </c>
      <c r="T205" s="217">
        <f t="shared" si="511"/>
        <v>33.820009331832665</v>
      </c>
      <c r="U205" s="217">
        <f t="shared" si="512"/>
        <v>22.505828823956133</v>
      </c>
      <c r="V205" s="217">
        <f t="shared" si="513"/>
        <v>25.02019740340878</v>
      </c>
      <c r="W205" s="197">
        <f t="shared" si="514"/>
        <v>71.161029053928175</v>
      </c>
      <c r="X205" s="443">
        <f t="shared" si="599"/>
        <v>20.952928182959113</v>
      </c>
      <c r="Z205" s="217">
        <f t="shared" si="515"/>
        <v>10</v>
      </c>
      <c r="AA205" s="173">
        <f t="shared" si="516"/>
        <v>7.3980456829320937</v>
      </c>
      <c r="AB205" s="173">
        <f t="shared" si="517"/>
        <v>2.5976276831517366</v>
      </c>
      <c r="AC205" s="173"/>
      <c r="AD205" s="173">
        <f t="shared" si="518"/>
        <v>7.3980456829320937</v>
      </c>
      <c r="AE205" s="545">
        <f t="shared" si="519"/>
        <v>256.82458333333324</v>
      </c>
      <c r="AF205" s="528">
        <f t="shared" si="520"/>
        <v>2.6322627189270933</v>
      </c>
      <c r="AH205" s="173">
        <f t="shared" si="521"/>
        <v>8.2922798289677111</v>
      </c>
      <c r="AI205" s="173">
        <f t="shared" si="522"/>
        <v>33.820009331832665</v>
      </c>
      <c r="AJ205" s="173">
        <f t="shared" si="523"/>
        <v>18.844451356913083</v>
      </c>
      <c r="AL205" s="545">
        <f t="shared" si="524"/>
        <v>9500</v>
      </c>
      <c r="AM205" s="460">
        <f t="shared" si="525"/>
        <v>20.952928182959113</v>
      </c>
      <c r="AO205">
        <f t="shared" si="526"/>
        <v>9500</v>
      </c>
      <c r="AP205">
        <f t="shared" si="527"/>
        <v>20.952928182959113</v>
      </c>
      <c r="AR205" s="5">
        <f t="shared" si="616"/>
        <v>47.726026227364912</v>
      </c>
      <c r="AS205" s="5">
        <f t="shared" si="604"/>
        <v>22.505828823956133</v>
      </c>
      <c r="AT205" s="5">
        <f t="shared" si="605"/>
        <v>25.220197403408779</v>
      </c>
      <c r="AU205" s="173">
        <f t="shared" si="606"/>
        <v>0.47156301504632397</v>
      </c>
      <c r="AW205" s="5">
        <f t="shared" si="477"/>
        <v>1425.3691588505551</v>
      </c>
      <c r="AX205" s="5">
        <f t="shared" si="478"/>
        <v>66.814179321119767</v>
      </c>
      <c r="AY205" s="5">
        <f t="shared" si="479"/>
        <v>68.723519112176717</v>
      </c>
      <c r="AZ205" s="5"/>
      <c r="BA205" s="173">
        <f t="shared" si="480"/>
        <v>13.408585438493267</v>
      </c>
      <c r="BB205" s="173">
        <f t="shared" si="481"/>
        <v>14.194160076373281</v>
      </c>
      <c r="BC205" s="173">
        <f t="shared" si="482"/>
        <v>0.34956598148872242</v>
      </c>
      <c r="BD205" s="173"/>
      <c r="BE205" s="528">
        <f t="shared" si="483"/>
        <v>3.5958032692274737</v>
      </c>
      <c r="BF205" s="528">
        <f t="shared" si="528"/>
        <v>0.45511426573913905</v>
      </c>
      <c r="BG205" s="528">
        <f t="shared" si="529"/>
        <v>9.4459293041801312E-3</v>
      </c>
      <c r="BH205" s="528">
        <f t="shared" si="484"/>
        <v>2.4583639740989212E-3</v>
      </c>
      <c r="BI205">
        <f t="shared" si="485"/>
        <v>8.1147000548364434E-3</v>
      </c>
      <c r="BJ205" s="460">
        <f t="shared" si="600"/>
        <v>17.560629359016573</v>
      </c>
      <c r="BK205">
        <f t="shared" si="530"/>
        <v>34.498361270681855</v>
      </c>
      <c r="BL205" s="460">
        <f t="shared" si="601"/>
        <v>4070.9365282997273</v>
      </c>
      <c r="BM205" s="173">
        <f t="shared" si="531"/>
        <v>5.9018749999999995</v>
      </c>
      <c r="BN205" s="173">
        <f t="shared" si="532"/>
        <v>0.14754687499999997</v>
      </c>
      <c r="BO205" s="528"/>
      <c r="BQ205" s="460">
        <f t="shared" si="486"/>
        <v>6049.4218749999991</v>
      </c>
      <c r="BR205" s="528">
        <f t="shared" si="487"/>
        <v>5.3937049038412104</v>
      </c>
      <c r="BS205" s="528">
        <f t="shared" si="488"/>
        <v>6.0442254082112745</v>
      </c>
      <c r="BT205" s="528">
        <f t="shared" si="489"/>
        <v>6.1098187707086919E-4</v>
      </c>
      <c r="BU205" s="528">
        <f t="shared" si="490"/>
        <v>0.6683687302470015</v>
      </c>
      <c r="BV205" s="528"/>
      <c r="BW205" s="625">
        <f t="shared" si="533"/>
        <v>2.3965813239012684E-2</v>
      </c>
      <c r="BX205" s="460">
        <f t="shared" si="607"/>
        <v>12130.87583741557</v>
      </c>
      <c r="BY205" s="173">
        <f t="shared" si="608"/>
        <v>22.251234240715295</v>
      </c>
      <c r="BZ205" s="5">
        <f t="shared" si="609"/>
        <v>144.4</v>
      </c>
      <c r="CA205" s="173">
        <f t="shared" si="610"/>
        <v>0.86648023135205199</v>
      </c>
      <c r="CB205" s="5">
        <f t="shared" si="611"/>
        <v>86.648023135205193</v>
      </c>
      <c r="CC205">
        <f t="shared" si="612"/>
        <v>95</v>
      </c>
      <c r="CE205" s="562">
        <f t="shared" si="534"/>
        <v>-50</v>
      </c>
      <c r="CF205">
        <f t="shared" si="535"/>
        <v>-50</v>
      </c>
      <c r="CG205" s="173">
        <f t="shared" si="536"/>
        <v>0.54755043227665712</v>
      </c>
      <c r="CH205" s="173">
        <f t="shared" si="537"/>
        <v>6.4398811101315845E-2</v>
      </c>
      <c r="CI205" s="170">
        <v>95</v>
      </c>
      <c r="CJ205" s="217">
        <f t="shared" si="602"/>
        <v>9.5</v>
      </c>
      <c r="CK205" s="217">
        <f t="shared" si="538"/>
        <v>0.23749999999999999</v>
      </c>
      <c r="CL205" s="217">
        <f t="shared" si="539"/>
        <v>142.5</v>
      </c>
      <c r="CM205" s="217">
        <f t="shared" si="540"/>
        <v>1.9</v>
      </c>
      <c r="CN205" s="541">
        <f t="shared" si="541"/>
        <v>19</v>
      </c>
      <c r="CO205" s="443">
        <f t="shared" si="542"/>
        <v>15.7</v>
      </c>
      <c r="CP205" s="443">
        <f t="shared" si="543"/>
        <v>34.700000000000003</v>
      </c>
      <c r="CQ205" s="443"/>
      <c r="CR205" s="217">
        <f t="shared" si="544"/>
        <v>0.44767441860465118</v>
      </c>
      <c r="CS205" s="172">
        <f t="shared" si="545"/>
        <v>209.84738372093025</v>
      </c>
      <c r="CT205" s="172">
        <f t="shared" si="546"/>
        <v>2.835271317829458</v>
      </c>
      <c r="CU205" s="217">
        <f t="shared" si="547"/>
        <v>13.989825581395349</v>
      </c>
      <c r="CV205" s="217">
        <f t="shared" si="548"/>
        <v>26.230922965116282</v>
      </c>
      <c r="CW205" s="217">
        <f t="shared" si="549"/>
        <v>15</v>
      </c>
      <c r="CX205" s="217">
        <f t="shared" si="550"/>
        <v>33.953246753246752</v>
      </c>
      <c r="CY205" s="217">
        <f t="shared" si="551"/>
        <v>21.444155844155841</v>
      </c>
      <c r="CZ205" s="217">
        <f t="shared" si="552"/>
        <v>25.951526180825542</v>
      </c>
      <c r="DA205" s="197">
        <f t="shared" si="553"/>
        <v>71.63784822286263</v>
      </c>
      <c r="DB205" s="443">
        <f t="shared" si="554"/>
        <v>21.098968456090969</v>
      </c>
      <c r="DD205" s="217">
        <f t="shared" si="555"/>
        <v>10.000000000000002</v>
      </c>
      <c r="DE205" s="173">
        <f t="shared" si="556"/>
        <v>7.6433121019108299</v>
      </c>
      <c r="DF205" s="173">
        <f t="shared" si="557"/>
        <v>2.7017291066282429</v>
      </c>
      <c r="DG205" s="173"/>
      <c r="DH205" s="173">
        <f t="shared" si="558"/>
        <v>7.6433121019108281</v>
      </c>
      <c r="DI205" s="545">
        <f t="shared" si="559"/>
        <v>248.58333333333334</v>
      </c>
      <c r="DJ205" s="528">
        <f t="shared" si="560"/>
        <v>2.7377521613832849</v>
      </c>
      <c r="DL205" s="173">
        <f t="shared" si="561"/>
        <v>8.2922798289677111</v>
      </c>
      <c r="DM205" s="173">
        <f t="shared" si="562"/>
        <v>33.953246753246752</v>
      </c>
      <c r="DN205" s="173">
        <f t="shared" si="563"/>
        <v>18.943145743145742</v>
      </c>
      <c r="DP205" s="545">
        <f t="shared" si="564"/>
        <v>9500</v>
      </c>
      <c r="DQ205" s="460">
        <f t="shared" si="565"/>
        <v>21.098968456090969</v>
      </c>
      <c r="DS205">
        <f t="shared" si="614"/>
        <v>9500</v>
      </c>
      <c r="DT205">
        <f t="shared" si="615"/>
        <v>21.098968456090969</v>
      </c>
      <c r="DV205" s="5">
        <f t="shared" si="568"/>
        <v>47.395682024981383</v>
      </c>
      <c r="DW205" s="5">
        <f t="shared" si="569"/>
        <v>21.444155844155841</v>
      </c>
      <c r="DX205" s="5">
        <f t="shared" si="570"/>
        <v>25.951526180825542</v>
      </c>
      <c r="DY205" s="173">
        <f t="shared" si="571"/>
        <v>0.45244956772334294</v>
      </c>
      <c r="EA205" s="5">
        <f t="shared" si="572"/>
        <v>1358.1298701298701</v>
      </c>
      <c r="EB205" s="5">
        <f t="shared" si="573"/>
        <v>63.662337662337656</v>
      </c>
      <c r="EC205" s="5">
        <f t="shared" si="574"/>
        <v>67.116015984893636</v>
      </c>
      <c r="ED205" s="5"/>
      <c r="EE205" s="173">
        <f t="shared" si="575"/>
        <v>13.185778351631891</v>
      </c>
      <c r="EF205" s="173">
        <f t="shared" si="576"/>
        <v>14.505501403166186</v>
      </c>
      <c r="EG205" s="173">
        <f t="shared" si="577"/>
        <v>0.35723352475248493</v>
      </c>
      <c r="EH205" s="173"/>
      <c r="EI205" s="528">
        <f t="shared" si="578"/>
        <v>3.4772950147672845</v>
      </c>
      <c r="EJ205" s="528">
        <f t="shared" si="579"/>
        <v>0.4971666666666667</v>
      </c>
      <c r="EK205" s="528">
        <f t="shared" si="580"/>
        <v>2.6373710570113708E-3</v>
      </c>
      <c r="EL205" s="528">
        <f t="shared" si="581"/>
        <v>2.5405056928294581E-3</v>
      </c>
      <c r="EM205">
        <f t="shared" si="582"/>
        <v>8.5500000000000003E-3</v>
      </c>
      <c r="EN205" s="460">
        <f t="shared" si="583"/>
        <v>11.18737105701137</v>
      </c>
      <c r="EP205" s="460">
        <f t="shared" si="603"/>
        <v>3988.1895581837921</v>
      </c>
      <c r="EQ205" s="173">
        <f t="shared" si="584"/>
        <v>6.6499999999999995</v>
      </c>
      <c r="ER205" s="173">
        <f t="shared" si="585"/>
        <v>0.10539062499999999</v>
      </c>
      <c r="ES205" s="528"/>
      <c r="EU205" s="460">
        <f t="shared" si="497"/>
        <v>6755.3906249999991</v>
      </c>
      <c r="EV205" s="528">
        <f t="shared" si="586"/>
        <v>5.2159425221509261</v>
      </c>
      <c r="EW205" s="528">
        <f t="shared" si="587"/>
        <v>6.3122871287176849</v>
      </c>
      <c r="EX205" s="528">
        <f t="shared" si="588"/>
        <v>6.3807895603542133E-4</v>
      </c>
      <c r="EY205" s="528">
        <f t="shared" si="589"/>
        <v>0.68679375210278992</v>
      </c>
      <c r="EZ205" s="528"/>
      <c r="FA205" s="625">
        <f t="shared" si="590"/>
        <v>2.4323375375824949E-2</v>
      </c>
      <c r="FB205" s="460">
        <f t="shared" si="613"/>
        <v>12239.984857303261</v>
      </c>
      <c r="FC205" s="173">
        <f t="shared" si="591"/>
        <v>22.983565040487054</v>
      </c>
      <c r="FD205" s="5">
        <f t="shared" si="592"/>
        <v>144.4</v>
      </c>
      <c r="FE205" s="173">
        <f t="shared" si="593"/>
        <v>0.86268923693357979</v>
      </c>
      <c r="FF205" s="5">
        <f t="shared" si="594"/>
        <v>86.268923693357976</v>
      </c>
      <c r="FG205">
        <f t="shared" si="595"/>
        <v>95</v>
      </c>
      <c r="FI205" s="562">
        <f t="shared" si="596"/>
        <v>-50</v>
      </c>
      <c r="FJ205">
        <f t="shared" si="597"/>
        <v>-50</v>
      </c>
    </row>
    <row r="206" spans="5:166">
      <c r="E206" s="170">
        <v>96</v>
      </c>
      <c r="F206" s="217">
        <f t="shared" si="598"/>
        <v>9.6</v>
      </c>
      <c r="G206" s="217">
        <f t="shared" si="499"/>
        <v>0.24</v>
      </c>
      <c r="H206" s="217">
        <f t="shared" si="500"/>
        <v>144</v>
      </c>
      <c r="I206" s="217">
        <f t="shared" si="501"/>
        <v>1.92</v>
      </c>
      <c r="J206" s="541">
        <f t="shared" si="502"/>
        <v>18.022484333667805</v>
      </c>
      <c r="K206" s="443">
        <f t="shared" si="503"/>
        <v>16.225978947368422</v>
      </c>
      <c r="L206" s="172">
        <f t="shared" si="504"/>
        <v>34.248463281036223</v>
      </c>
      <c r="M206" s="443"/>
      <c r="N206" s="217">
        <f t="shared" si="505"/>
        <v>0.47377246722637439</v>
      </c>
      <c r="O206" s="172">
        <f>N206*J206*Isw_max*0.5*Efficiency*Pout/(Pout+Pout2)</f>
        <v>210.65518589581765</v>
      </c>
      <c r="P206" s="172">
        <f t="shared" si="507"/>
        <v>2.8461856227701587</v>
      </c>
      <c r="Q206" s="217">
        <f t="shared" si="508"/>
        <v>14.043679059721176</v>
      </c>
      <c r="R206" s="217">
        <f t="shared" si="509"/>
        <v>26.331898236977207</v>
      </c>
      <c r="S206" s="217">
        <f t="shared" si="510"/>
        <v>15</v>
      </c>
      <c r="T206" s="217">
        <f t="shared" si="511"/>
        <v>34.179077858357857</v>
      </c>
      <c r="U206" s="217">
        <f t="shared" si="512"/>
        <v>22.757624681858928</v>
      </c>
      <c r="V206" s="217">
        <f t="shared" si="513"/>
        <v>25.277299793786156</v>
      </c>
      <c r="W206" s="197">
        <f t="shared" si="514"/>
        <v>71.154640569253957</v>
      </c>
      <c r="X206" s="443">
        <f t="shared" si="599"/>
        <v>20.731866191786466</v>
      </c>
      <c r="Z206" s="217">
        <f t="shared" si="515"/>
        <v>10</v>
      </c>
      <c r="AA206" s="173">
        <f t="shared" si="516"/>
        <v>7.3955476208393556</v>
      </c>
      <c r="AB206" s="173">
        <f>0.5*AA206*Z206*Nps*W206/1000*(Pout/(Pout+Pout2))</f>
        <v>2.5965174314488104</v>
      </c>
      <c r="AC206" s="173"/>
      <c r="AD206" s="173">
        <f t="shared" si="518"/>
        <v>7.3955476208393556</v>
      </c>
      <c r="AE206" s="545">
        <f>MAX(10, F206/(0.5*AD206/1000000*Isw_min*Nps)/1000*Pout_total/Pout)</f>
        <v>259.61566315789474</v>
      </c>
      <c r="AF206" s="528">
        <f t="shared" si="520"/>
        <v>2.6311376638681279</v>
      </c>
      <c r="AH206" s="173">
        <f t="shared" si="521"/>
        <v>8.3358091560276435</v>
      </c>
      <c r="AI206" s="173">
        <f>MAX(IF(F206&gt;AB206,T206,AH206),Isw_min)</f>
        <v>34.179077858357857</v>
      </c>
      <c r="AJ206" s="173">
        <f>IF(F206&gt;AF206, (AI206-Isw_min)/1.08*0.8+1.2, AE206*0.2/350+1)</f>
        <v>19.11042804322804</v>
      </c>
      <c r="AL206" s="545">
        <f t="shared" si="524"/>
        <v>9600</v>
      </c>
      <c r="AM206" s="460">
        <f t="shared" si="525"/>
        <v>20.731866191786466</v>
      </c>
      <c r="AO206">
        <f t="shared" si="526"/>
        <v>9600</v>
      </c>
      <c r="AP206">
        <f t="shared" si="527"/>
        <v>20.731866191786466</v>
      </c>
      <c r="AR206" s="5">
        <f t="shared" si="616"/>
        <v>48.234924475645094</v>
      </c>
      <c r="AS206" s="5">
        <f t="shared" si="604"/>
        <v>22.757624681858928</v>
      </c>
      <c r="AT206" s="5">
        <f t="shared" si="605"/>
        <v>25.477299793786166</v>
      </c>
      <c r="AU206" s="173">
        <f t="shared" si="606"/>
        <v>0.47180802974719632</v>
      </c>
      <c r="AW206" s="5">
        <f t="shared" si="477"/>
        <v>1456.4879796389714</v>
      </c>
      <c r="AX206" s="5">
        <f t="shared" si="478"/>
        <v>68.272874045576771</v>
      </c>
      <c r="AY206" s="5">
        <f t="shared" si="479"/>
        <v>70.194524266282855</v>
      </c>
      <c r="AZ206" s="5"/>
      <c r="BA206" s="173">
        <f t="shared" si="480"/>
        <v>13.554464922503318</v>
      </c>
      <c r="BB206" s="173">
        <f t="shared" si="481"/>
        <v>14.341534149008952</v>
      </c>
      <c r="BC206" s="173">
        <f t="shared" si="482"/>
        <v>0.35319542923833813</v>
      </c>
      <c r="BD206" s="173"/>
      <c r="BE206" s="528">
        <f t="shared" si="483"/>
        <v>3.6744703867074571</v>
      </c>
      <c r="BF206" s="528">
        <f t="shared" si="528"/>
        <v>0.45503112076086338</v>
      </c>
      <c r="BG206" s="528">
        <f t="shared" si="529"/>
        <v>9.3409933412292208E-3</v>
      </c>
      <c r="BH206" s="528">
        <f t="shared" si="484"/>
        <v>2.4317592488503621E-3</v>
      </c>
      <c r="BI206">
        <f t="shared" si="485"/>
        <v>8.1101179501505121E-3</v>
      </c>
      <c r="BJ206" s="460">
        <f t="shared" si="600"/>
        <v>17.451111291379732</v>
      </c>
      <c r="BK206">
        <f t="shared" si="530"/>
        <v>40.363988515171044</v>
      </c>
      <c r="BL206" s="460">
        <f t="shared" si="601"/>
        <v>4149.3843780085499</v>
      </c>
      <c r="BM206" s="173">
        <f t="shared" si="531"/>
        <v>5.9639999999999995</v>
      </c>
      <c r="BN206" s="173">
        <f t="shared" si="532"/>
        <v>0.14909999999999998</v>
      </c>
      <c r="BO206" s="528"/>
      <c r="BQ206" s="460">
        <f t="shared" si="486"/>
        <v>6113.0999999999995</v>
      </c>
      <c r="BR206" s="528">
        <f t="shared" si="487"/>
        <v>5.5117055800611858</v>
      </c>
      <c r="BS206" s="528">
        <f t="shared" si="488"/>
        <v>6.1703880524156975</v>
      </c>
      <c r="BT206" s="528">
        <f t="shared" si="489"/>
        <v>6.237350561742696E-4</v>
      </c>
      <c r="BU206" s="528">
        <f t="shared" si="490"/>
        <v>0.6682929054289567</v>
      </c>
      <c r="BV206" s="528"/>
      <c r="BW206" s="625">
        <f t="shared" si="533"/>
        <v>2.4219160202843145E-2</v>
      </c>
      <c r="BX206" s="460">
        <f t="shared" si="607"/>
        <v>12375.229433164857</v>
      </c>
      <c r="BY206" s="173">
        <f t="shared" si="608"/>
        <v>22.637713811173409</v>
      </c>
      <c r="BZ206" s="5">
        <f t="shared" si="609"/>
        <v>145.91999999999999</v>
      </c>
      <c r="CA206" s="173">
        <f t="shared" si="610"/>
        <v>0.86569755071231402</v>
      </c>
      <c r="CB206" s="5">
        <f t="shared" si="611"/>
        <v>86.569755071231398</v>
      </c>
      <c r="CC206">
        <f t="shared" si="612"/>
        <v>96</v>
      </c>
      <c r="CE206" s="562">
        <f t="shared" si="534"/>
        <v>-50</v>
      </c>
      <c r="CF206">
        <f t="shared" si="535"/>
        <v>-50</v>
      </c>
      <c r="CG206" s="173">
        <f t="shared" si="536"/>
        <v>0.54755043227665701</v>
      </c>
      <c r="CH206" s="173">
        <f t="shared" si="537"/>
        <v>6.4398811101315859E-2</v>
      </c>
      <c r="CI206" s="170">
        <v>96</v>
      </c>
      <c r="CJ206" s="217">
        <f t="shared" si="602"/>
        <v>9.6</v>
      </c>
      <c r="CK206" s="217">
        <f t="shared" si="538"/>
        <v>0.24</v>
      </c>
      <c r="CL206" s="217">
        <f t="shared" si="539"/>
        <v>144</v>
      </c>
      <c r="CM206" s="217">
        <f t="shared" si="540"/>
        <v>1.92</v>
      </c>
      <c r="CN206" s="541">
        <f t="shared" si="541"/>
        <v>19</v>
      </c>
      <c r="CO206" s="443">
        <f t="shared" si="542"/>
        <v>15.7</v>
      </c>
      <c r="CP206" s="443">
        <f t="shared" si="543"/>
        <v>34.700000000000003</v>
      </c>
      <c r="CQ206" s="443"/>
      <c r="CR206" s="217">
        <f t="shared" si="544"/>
        <v>0.44767441860465118</v>
      </c>
      <c r="CS206" s="172">
        <f t="shared" si="545"/>
        <v>209.84738372093025</v>
      </c>
      <c r="CT206" s="172">
        <f t="shared" si="546"/>
        <v>2.835271317829458</v>
      </c>
      <c r="CU206" s="217">
        <f t="shared" si="547"/>
        <v>13.989825581395349</v>
      </c>
      <c r="CV206" s="217">
        <f t="shared" si="548"/>
        <v>26.230922965116282</v>
      </c>
      <c r="CW206" s="217">
        <f t="shared" si="549"/>
        <v>15</v>
      </c>
      <c r="CX206" s="217">
        <f t="shared" si="550"/>
        <v>34.310649350649349</v>
      </c>
      <c r="CY206" s="217">
        <f t="shared" si="551"/>
        <v>21.669883800410116</v>
      </c>
      <c r="CZ206" s="217">
        <f t="shared" si="552"/>
        <v>26.224700140623707</v>
      </c>
      <c r="DA206" s="197">
        <f t="shared" si="553"/>
        <v>71.63784822286263</v>
      </c>
      <c r="DB206" s="443">
        <f t="shared" si="554"/>
        <v>20.879187534673356</v>
      </c>
      <c r="DD206" s="217">
        <f t="shared" si="555"/>
        <v>10.000000000000002</v>
      </c>
      <c r="DE206" s="173">
        <f t="shared" si="556"/>
        <v>7.6433121019108299</v>
      </c>
      <c r="DF206" s="173">
        <f t="shared" si="557"/>
        <v>2.7017291066282429</v>
      </c>
      <c r="DG206" s="173"/>
      <c r="DH206" s="173">
        <f t="shared" si="558"/>
        <v>7.6433121019108281</v>
      </c>
      <c r="DI206" s="545">
        <f t="shared" si="559"/>
        <v>251.2</v>
      </c>
      <c r="DJ206" s="528">
        <f t="shared" si="560"/>
        <v>2.7377521613832849</v>
      </c>
      <c r="DL206" s="173">
        <f t="shared" si="561"/>
        <v>8.3358091560276435</v>
      </c>
      <c r="DM206" s="173">
        <f t="shared" si="562"/>
        <v>34.310649350649349</v>
      </c>
      <c r="DN206" s="173">
        <f t="shared" si="563"/>
        <v>19.207888407888404</v>
      </c>
      <c r="DP206" s="545">
        <f t="shared" si="564"/>
        <v>9600</v>
      </c>
      <c r="DQ206" s="460">
        <f t="shared" si="565"/>
        <v>20.879187534673356</v>
      </c>
      <c r="DS206">
        <f t="shared" si="614"/>
        <v>9600</v>
      </c>
      <c r="DT206">
        <f t="shared" si="615"/>
        <v>20.879187534673356</v>
      </c>
      <c r="DV206" s="5">
        <f t="shared" si="568"/>
        <v>47.894583941033815</v>
      </c>
      <c r="DW206" s="5">
        <f t="shared" si="569"/>
        <v>21.669883800410116</v>
      </c>
      <c r="DX206" s="5">
        <f t="shared" si="570"/>
        <v>26.2247001406237</v>
      </c>
      <c r="DY206" s="173">
        <f t="shared" si="571"/>
        <v>0.45244956772334299</v>
      </c>
      <c r="EA206" s="5">
        <f t="shared" si="572"/>
        <v>1386.8725632262476</v>
      </c>
      <c r="EB206" s="5">
        <f t="shared" si="573"/>
        <v>65.009651401230343</v>
      </c>
      <c r="EC206" s="5">
        <f t="shared" si="574"/>
        <v>68.536421420141778</v>
      </c>
      <c r="ED206" s="5"/>
      <c r="EE206" s="173">
        <f t="shared" si="575"/>
        <v>13.324576018491177</v>
      </c>
      <c r="EF206" s="173">
        <f t="shared" si="576"/>
        <v>14.658190891620563</v>
      </c>
      <c r="EG206" s="173">
        <f t="shared" si="577"/>
        <v>0.36099387764461627</v>
      </c>
      <c r="EH206" s="173"/>
      <c r="EI206" s="528">
        <f t="shared" si="578"/>
        <v>3.5508865214510035</v>
      </c>
      <c r="EJ206" s="528">
        <f t="shared" si="579"/>
        <v>0.49716666666666681</v>
      </c>
      <c r="EK206" s="528">
        <f t="shared" si="580"/>
        <v>2.6098984418341693E-3</v>
      </c>
      <c r="EL206" s="528">
        <f t="shared" si="581"/>
        <v>2.5140420918624848E-3</v>
      </c>
      <c r="EM206">
        <f t="shared" si="582"/>
        <v>8.5500000000000003E-3</v>
      </c>
      <c r="EN206" s="460">
        <f t="shared" si="583"/>
        <v>11.159898441834169</v>
      </c>
      <c r="EP206" s="460">
        <f t="shared" si="603"/>
        <v>4061.7271286513665</v>
      </c>
      <c r="EQ206" s="173">
        <f t="shared" si="584"/>
        <v>6.72</v>
      </c>
      <c r="ER206" s="173">
        <f t="shared" si="585"/>
        <v>0.1065</v>
      </c>
      <c r="ES206" s="528"/>
      <c r="EU206" s="460">
        <f t="shared" si="497"/>
        <v>6826.4999999999991</v>
      </c>
      <c r="EV206" s="528">
        <f t="shared" si="586"/>
        <v>5.3263297821765052</v>
      </c>
      <c r="EW206" s="528">
        <f t="shared" si="587"/>
        <v>6.4458768064556411</v>
      </c>
      <c r="EX206" s="528">
        <f t="shared" si="588"/>
        <v>6.5158289848448088E-4</v>
      </c>
      <c r="EY206" s="528">
        <f t="shared" si="589"/>
        <v>0.68679375210278926</v>
      </c>
      <c r="EZ206" s="528"/>
      <c r="FA206" s="625">
        <f t="shared" si="590"/>
        <v>2.4579410906096787E-2</v>
      </c>
      <c r="FB206" s="460">
        <f t="shared" si="613"/>
        <v>12484.231334539516</v>
      </c>
      <c r="FC206" s="173">
        <f t="shared" si="591"/>
        <v>23.372458463190881</v>
      </c>
      <c r="FD206" s="5">
        <f t="shared" si="592"/>
        <v>145.91999999999999</v>
      </c>
      <c r="FE206" s="173">
        <f t="shared" si="593"/>
        <v>0.86194034468302827</v>
      </c>
      <c r="FF206" s="5">
        <f t="shared" si="594"/>
        <v>86.194034468302831</v>
      </c>
      <c r="FG206">
        <f t="shared" si="595"/>
        <v>96</v>
      </c>
      <c r="FI206" s="562">
        <f t="shared" si="596"/>
        <v>-50</v>
      </c>
      <c r="FJ206">
        <f t="shared" si="597"/>
        <v>-50</v>
      </c>
    </row>
    <row r="207" spans="5:166">
      <c r="E207" s="170">
        <v>97</v>
      </c>
      <c r="F207" s="217">
        <f>IF(PLOT_TYPE=1, E207/100*Iout_max, min_I*EXP(O207*rr/100))</f>
        <v>9.6999999999999993</v>
      </c>
      <c r="G207" s="217">
        <f t="shared" si="499"/>
        <v>0.24249999999999999</v>
      </c>
      <c r="H207" s="217">
        <f t="shared" si="500"/>
        <v>145.5</v>
      </c>
      <c r="I207" s="217">
        <f t="shared" si="501"/>
        <v>1.94</v>
      </c>
      <c r="J207" s="541">
        <f t="shared" si="502"/>
        <v>18.012301878810177</v>
      </c>
      <c r="K207" s="443">
        <f t="shared" si="503"/>
        <v>16.231457894736842</v>
      </c>
      <c r="L207" s="172">
        <f t="shared" si="504"/>
        <v>34.243759773547019</v>
      </c>
      <c r="M207" s="443"/>
      <c r="N207" s="217">
        <f t="shared" si="505"/>
        <v>0.47399754005036238</v>
      </c>
      <c r="O207" s="172">
        <f>N207*J207*Isw_max*0.5*Efficiency*Pout/(Pout+Pout2)</f>
        <v>210.63618703619764</v>
      </c>
      <c r="P207" s="172">
        <f t="shared" si="507"/>
        <v>2.8459289270668484</v>
      </c>
      <c r="Q207" s="217">
        <f t="shared" si="508"/>
        <v>14.042412469079842</v>
      </c>
      <c r="R207" s="217">
        <f t="shared" si="509"/>
        <v>26.329523379524705</v>
      </c>
      <c r="S207" s="217">
        <f t="shared" si="510"/>
        <v>15</v>
      </c>
      <c r="T207" s="217">
        <f t="shared" si="511"/>
        <v>34.538224900310205</v>
      </c>
      <c r="U207" s="217">
        <f t="shared" si="512"/>
        <v>23.009757530840361</v>
      </c>
      <c r="V207" s="217">
        <f t="shared" si="513"/>
        <v>25.534286660603261</v>
      </c>
      <c r="W207" s="197">
        <f t="shared" si="514"/>
        <v>71.148223176671209</v>
      </c>
      <c r="X207" s="443">
        <f t="shared" si="599"/>
        <v>20.515326879166437</v>
      </c>
      <c r="Z207" s="217">
        <f t="shared" si="515"/>
        <v>10</v>
      </c>
      <c r="AA207" s="173">
        <f t="shared" si="516"/>
        <v>7.3930512451941119</v>
      </c>
      <c r="AB207" s="173">
        <f>0.5*AA207*Z207*Nps*W207/1000*(Pout/(Pout+Pout2))</f>
        <v>2.595406874751502</v>
      </c>
      <c r="AC207" s="173"/>
      <c r="AD207" s="173">
        <f t="shared" si="518"/>
        <v>7.3930512451941119</v>
      </c>
      <c r="AE207" s="545">
        <f>MAX(10, F207/(0.5*AD207/1000000*Isw_min*Nps)/1000*Pout_total/Pout)</f>
        <v>262.4085692982456</v>
      </c>
      <c r="AF207" s="528">
        <f t="shared" si="520"/>
        <v>2.6300122997481883</v>
      </c>
      <c r="AH207" s="173">
        <f t="shared" si="521"/>
        <v>8.3791123521244071</v>
      </c>
      <c r="AI207" s="173">
        <f>MAX(IF(F207&gt;AB207,T207,AH207),Isw_min)</f>
        <v>34.538224900310205</v>
      </c>
      <c r="AJ207" s="173">
        <f>IF(F207&gt;AF207, (AI207-Isw_min)/1.08*0.8+1.2, AE207*0.2/350+1)</f>
        <v>19.37646288911867</v>
      </c>
      <c r="AL207" s="545">
        <f t="shared" si="524"/>
        <v>9700</v>
      </c>
      <c r="AM207" s="460">
        <f t="shared" si="525"/>
        <v>20.515326879166437</v>
      </c>
      <c r="AO207">
        <f t="shared" si="526"/>
        <v>9700</v>
      </c>
      <c r="AP207">
        <f t="shared" si="527"/>
        <v>20.515326879166437</v>
      </c>
      <c r="AR207" s="5">
        <f t="shared" si="616"/>
        <v>48.744044191443628</v>
      </c>
      <c r="AS207" s="5">
        <f t="shared" si="604"/>
        <v>23.009757530840361</v>
      </c>
      <c r="AT207" s="5">
        <f t="shared" si="605"/>
        <v>25.734286660603267</v>
      </c>
      <c r="AU207" s="173">
        <f t="shared" si="606"/>
        <v>0.47205269715555154</v>
      </c>
      <c r="AW207" s="5">
        <f t="shared" si="477"/>
        <v>1487.9643203276764</v>
      </c>
      <c r="AX207" s="5">
        <f t="shared" si="478"/>
        <v>69.748327515359833</v>
      </c>
      <c r="AY207" s="5">
        <f t="shared" si="479"/>
        <v>71.681636677711396</v>
      </c>
      <c r="AZ207" s="5"/>
      <c r="BA207" s="173">
        <f t="shared" si="480"/>
        <v>13.700443545969556</v>
      </c>
      <c r="BB207" s="173">
        <f t="shared" si="481"/>
        <v>14.488875263404809</v>
      </c>
      <c r="BC207" s="173">
        <f t="shared" si="482"/>
        <v>0.35682406531051847</v>
      </c>
      <c r="BD207" s="173"/>
      <c r="BE207" s="528">
        <f t="shared" si="483"/>
        <v>3.754043067125977</v>
      </c>
      <c r="BF207" s="528">
        <f t="shared" si="528"/>
        <v>0.45494737976825994</v>
      </c>
      <c r="BG207" s="528">
        <f t="shared" si="529"/>
        <v>9.2382065222503633E-3</v>
      </c>
      <c r="BH207" s="528">
        <f t="shared" si="484"/>
        <v>2.4056992046512168E-3</v>
      </c>
      <c r="BI207">
        <f t="shared" si="485"/>
        <v>8.1055358454645791E-3</v>
      </c>
      <c r="BJ207" s="460">
        <f t="shared" si="600"/>
        <v>17.343742367714945</v>
      </c>
      <c r="BK207">
        <f t="shared" si="530"/>
        <v>48.3618879596958</v>
      </c>
      <c r="BL207" s="460">
        <f t="shared" si="601"/>
        <v>4228.7398884666036</v>
      </c>
      <c r="BM207" s="173">
        <f t="shared" si="531"/>
        <v>6.0261249999999986</v>
      </c>
      <c r="BN207" s="173">
        <f t="shared" si="532"/>
        <v>0.15065312499999997</v>
      </c>
      <c r="BO207" s="528"/>
      <c r="BQ207" s="460">
        <f t="shared" si="486"/>
        <v>6176.7781249999989</v>
      </c>
      <c r="BR207" s="528">
        <f t="shared" si="487"/>
        <v>5.6310646006889655</v>
      </c>
      <c r="BS207" s="528">
        <f t="shared" si="488"/>
        <v>6.2978251919551136</v>
      </c>
      <c r="BT207" s="528">
        <f t="shared" si="489"/>
        <v>6.3661706792362573E-4</v>
      </c>
      <c r="BU207" s="528">
        <f t="shared" si="490"/>
        <v>0.66821487641691779</v>
      </c>
      <c r="BV207" s="528"/>
      <c r="BW207" s="625">
        <f t="shared" si="533"/>
        <v>2.4472507340164519E-2</v>
      </c>
      <c r="BX207" s="460">
        <f t="shared" si="607"/>
        <v>12622.213793469085</v>
      </c>
      <c r="BY207" s="173">
        <f t="shared" si="608"/>
        <v>23.027731806935687</v>
      </c>
      <c r="BZ207" s="5">
        <f t="shared" si="609"/>
        <v>147.44</v>
      </c>
      <c r="CA207" s="173">
        <f t="shared" si="610"/>
        <v>0.86491442361058757</v>
      </c>
      <c r="CB207" s="5">
        <f t="shared" si="611"/>
        <v>86.491442361058759</v>
      </c>
      <c r="CC207">
        <f t="shared" si="612"/>
        <v>97</v>
      </c>
      <c r="CE207" s="562">
        <f t="shared" si="534"/>
        <v>-50</v>
      </c>
      <c r="CF207">
        <f t="shared" si="535"/>
        <v>-50</v>
      </c>
      <c r="CG207" s="173">
        <f t="shared" si="536"/>
        <v>0.54755043227665712</v>
      </c>
      <c r="CH207" s="173">
        <f t="shared" si="537"/>
        <v>6.4398811101315845E-2</v>
      </c>
      <c r="CI207" s="170">
        <v>97</v>
      </c>
      <c r="CJ207" s="217">
        <f t="shared" si="602"/>
        <v>9.6999999999999993</v>
      </c>
      <c r="CK207" s="217">
        <f t="shared" si="538"/>
        <v>0.24249999999999999</v>
      </c>
      <c r="CL207" s="217">
        <f t="shared" si="539"/>
        <v>145.5</v>
      </c>
      <c r="CM207" s="217">
        <f t="shared" si="540"/>
        <v>1.94</v>
      </c>
      <c r="CN207" s="541">
        <f t="shared" si="541"/>
        <v>19</v>
      </c>
      <c r="CO207" s="443">
        <f t="shared" si="542"/>
        <v>15.7</v>
      </c>
      <c r="CP207" s="443">
        <f t="shared" si="543"/>
        <v>34.700000000000003</v>
      </c>
      <c r="CQ207" s="443"/>
      <c r="CR207" s="217">
        <f t="shared" si="544"/>
        <v>0.44767441860465118</v>
      </c>
      <c r="CS207" s="172">
        <f t="shared" si="545"/>
        <v>209.84738372093025</v>
      </c>
      <c r="CT207" s="172">
        <f t="shared" si="546"/>
        <v>2.835271317829458</v>
      </c>
      <c r="CU207" s="217">
        <f t="shared" si="547"/>
        <v>13.989825581395349</v>
      </c>
      <c r="CV207" s="217">
        <f t="shared" si="548"/>
        <v>26.230922965116282</v>
      </c>
      <c r="CW207" s="217">
        <f t="shared" si="549"/>
        <v>15</v>
      </c>
      <c r="CX207" s="217">
        <f t="shared" si="550"/>
        <v>34.668051948051946</v>
      </c>
      <c r="CY207" s="217">
        <f t="shared" si="551"/>
        <v>21.89561175666439</v>
      </c>
      <c r="CZ207" s="217">
        <f t="shared" si="552"/>
        <v>26.497874100421871</v>
      </c>
      <c r="DA207" s="197">
        <f t="shared" si="553"/>
        <v>71.63784822286263</v>
      </c>
      <c r="DB207" s="443">
        <f t="shared" si="554"/>
        <v>20.663938178645793</v>
      </c>
      <c r="DD207" s="217">
        <f t="shared" si="555"/>
        <v>10.000000000000002</v>
      </c>
      <c r="DE207" s="173">
        <f t="shared" si="556"/>
        <v>7.6433121019108299</v>
      </c>
      <c r="DF207" s="173">
        <f t="shared" si="557"/>
        <v>2.7017291066282429</v>
      </c>
      <c r="DG207" s="173"/>
      <c r="DH207" s="173">
        <f t="shared" si="558"/>
        <v>7.6433121019108281</v>
      </c>
      <c r="DI207" s="545">
        <f t="shared" si="559"/>
        <v>253.81666666666672</v>
      </c>
      <c r="DJ207" s="528">
        <f t="shared" si="560"/>
        <v>2.7377521613832849</v>
      </c>
      <c r="DL207" s="173">
        <f t="shared" si="561"/>
        <v>8.3791123521244071</v>
      </c>
      <c r="DM207" s="173">
        <f t="shared" si="562"/>
        <v>34.668051948051946</v>
      </c>
      <c r="DN207" s="173">
        <f t="shared" si="563"/>
        <v>19.472631072631071</v>
      </c>
      <c r="DP207" s="545">
        <f t="shared" si="564"/>
        <v>9700</v>
      </c>
      <c r="DQ207" s="460">
        <f t="shared" si="565"/>
        <v>20.663938178645793</v>
      </c>
      <c r="DS207">
        <f t="shared" si="614"/>
        <v>9700</v>
      </c>
      <c r="DT207">
        <f t="shared" si="615"/>
        <v>20.663938178645793</v>
      </c>
      <c r="DV207" s="5">
        <f t="shared" si="568"/>
        <v>48.393485857086262</v>
      </c>
      <c r="DW207" s="5">
        <f t="shared" si="569"/>
        <v>21.89561175666439</v>
      </c>
      <c r="DX207" s="5">
        <f t="shared" si="570"/>
        <v>26.497874100421871</v>
      </c>
      <c r="DY207" s="173">
        <f t="shared" si="571"/>
        <v>0.45244956772334294</v>
      </c>
      <c r="EA207" s="5">
        <f t="shared" si="572"/>
        <v>1415.9162269309638</v>
      </c>
      <c r="EB207" s="5">
        <f t="shared" si="573"/>
        <v>66.371073137388933</v>
      </c>
      <c r="EC207" s="5">
        <f t="shared" si="574"/>
        <v>69.971700210732877</v>
      </c>
      <c r="ED207" s="5"/>
      <c r="EE207" s="173">
        <f t="shared" si="575"/>
        <v>13.463373685350458</v>
      </c>
      <c r="EF207" s="173">
        <f t="shared" si="576"/>
        <v>14.810880380074947</v>
      </c>
      <c r="EG207" s="173">
        <f t="shared" si="577"/>
        <v>0.36475423053674771</v>
      </c>
      <c r="EH207" s="173"/>
      <c r="EI207" s="528">
        <f t="shared" si="578"/>
        <v>3.6252486198277434</v>
      </c>
      <c r="EJ207" s="528">
        <f t="shared" si="579"/>
        <v>0.49716666666666665</v>
      </c>
      <c r="EK207" s="528">
        <f t="shared" si="580"/>
        <v>2.582992272330724E-3</v>
      </c>
      <c r="EL207" s="528">
        <f t="shared" si="581"/>
        <v>2.4881241321525619E-3</v>
      </c>
      <c r="EM207">
        <f t="shared" si="582"/>
        <v>8.5500000000000003E-3</v>
      </c>
      <c r="EN207" s="460">
        <f t="shared" si="583"/>
        <v>11.132992272330725</v>
      </c>
      <c r="EP207" s="460">
        <f t="shared" si="603"/>
        <v>4136.0364028988915</v>
      </c>
      <c r="EQ207" s="173">
        <f t="shared" si="584"/>
        <v>6.7899999999999991</v>
      </c>
      <c r="ER207" s="173">
        <f t="shared" si="585"/>
        <v>0.10760937499999999</v>
      </c>
      <c r="ES207" s="528"/>
      <c r="EU207" s="460">
        <f t="shared" si="497"/>
        <v>6897.6093749999991</v>
      </c>
      <c r="EV207" s="528">
        <f t="shared" si="586"/>
        <v>5.4378729297416148</v>
      </c>
      <c r="EW207" s="528">
        <f t="shared" si="587"/>
        <v>6.5808653289866701</v>
      </c>
      <c r="EX207" s="528">
        <f t="shared" si="588"/>
        <v>6.6522824347227448E-4</v>
      </c>
      <c r="EY207" s="528">
        <f t="shared" si="589"/>
        <v>0.68679375210278792</v>
      </c>
      <c r="EZ207" s="528"/>
      <c r="FA207" s="625">
        <f t="shared" si="590"/>
        <v>2.4835446436368626E-2</v>
      </c>
      <c r="FB207" s="460">
        <f t="shared" si="613"/>
        <v>12731.032685510912</v>
      </c>
      <c r="FC207" s="173">
        <f t="shared" si="591"/>
        <v>23.764678463409805</v>
      </c>
      <c r="FD207" s="5">
        <f t="shared" si="592"/>
        <v>147.44</v>
      </c>
      <c r="FE207" s="173">
        <f t="shared" si="593"/>
        <v>0.86119141908561314</v>
      </c>
      <c r="FF207" s="5">
        <f t="shared" si="594"/>
        <v>86.119141908561318</v>
      </c>
      <c r="FG207">
        <f t="shared" si="595"/>
        <v>97</v>
      </c>
      <c r="FI207" s="562">
        <f t="shared" si="596"/>
        <v>-50</v>
      </c>
      <c r="FJ207">
        <f t="shared" si="597"/>
        <v>-50</v>
      </c>
    </row>
    <row r="208" spans="5:166">
      <c r="E208" s="170">
        <v>98</v>
      </c>
      <c r="F208" s="217">
        <f>IF(PLOT_TYPE=1, E208/100*Iout_max, min_I*EXP(O208*rr/100))</f>
        <v>9.8000000000000007</v>
      </c>
      <c r="G208" s="217">
        <f t="shared" si="499"/>
        <v>0.245</v>
      </c>
      <c r="H208" s="217">
        <f t="shared" si="500"/>
        <v>147</v>
      </c>
      <c r="I208" s="217">
        <f t="shared" si="501"/>
        <v>1.96</v>
      </c>
      <c r="J208" s="541">
        <f t="shared" si="502"/>
        <v>18.00211942395255</v>
      </c>
      <c r="K208" s="443">
        <f t="shared" si="503"/>
        <v>16.236936842105262</v>
      </c>
      <c r="L208" s="172">
        <f t="shared" si="504"/>
        <v>34.239056266057815</v>
      </c>
      <c r="M208" s="443"/>
      <c r="N208" s="217">
        <f t="shared" si="505"/>
        <v>0.47422267471201929</v>
      </c>
      <c r="O208" s="172">
        <f>N208*J208*Isw_max*0.5*Efficiency*Pout/(Pout+Pout2)</f>
        <v>210.61710255868354</v>
      </c>
      <c r="P208" s="172">
        <f t="shared" si="507"/>
        <v>2.8456710745706579</v>
      </c>
      <c r="Q208" s="217">
        <f t="shared" si="508"/>
        <v>14.041140170578903</v>
      </c>
      <c r="R208" s="217">
        <f t="shared" si="509"/>
        <v>26.327137819835443</v>
      </c>
      <c r="S208" s="217">
        <f t="shared" si="510"/>
        <v>15</v>
      </c>
      <c r="T208" s="217">
        <f t="shared" si="511"/>
        <v>34.897450922591119</v>
      </c>
      <c r="U208" s="217">
        <f t="shared" si="512"/>
        <v>23.262228252630287</v>
      </c>
      <c r="V208" s="217">
        <f t="shared" si="513"/>
        <v>25.791158464393973</v>
      </c>
      <c r="W208" s="197">
        <f t="shared" si="514"/>
        <v>71.141776864266461</v>
      </c>
      <c r="X208" s="443">
        <f t="shared" si="599"/>
        <v>20.303172363462132</v>
      </c>
      <c r="Z208" s="217">
        <f t="shared" si="515"/>
        <v>10</v>
      </c>
      <c r="AA208" s="173">
        <f t="shared" si="516"/>
        <v>7.3905565542891489</v>
      </c>
      <c r="AB208" s="173">
        <f>0.5*AA208*Z208*Nps*W208/1000*(Pout/(Pout+Pout2))</f>
        <v>2.594296012934115</v>
      </c>
      <c r="AC208" s="173"/>
      <c r="AD208" s="173">
        <f t="shared" si="518"/>
        <v>7.3905565542891489</v>
      </c>
      <c r="AE208" s="545">
        <f>MAX(10, F208/(0.5*AD208/1000000*Isw_min*Nps)/1000*Pout_total/Pout)</f>
        <v>265.2033017543859</v>
      </c>
      <c r="AF208" s="528">
        <f t="shared" si="520"/>
        <v>2.6288866264399036</v>
      </c>
      <c r="AH208" s="173">
        <f t="shared" si="521"/>
        <v>8.4221929052553364</v>
      </c>
      <c r="AI208" s="173">
        <f>MAX(IF(F208&gt;AB208,T208,AH208),Isw_min)</f>
        <v>34.897450922591119</v>
      </c>
      <c r="AJ208" s="173">
        <f>IF(F208&gt;AF208, (AI208-Isw_min)/1.08*0.8+1.2, AE208*0.2/350+1)</f>
        <v>19.642556238956381</v>
      </c>
      <c r="AL208" s="545">
        <f t="shared" si="524"/>
        <v>9800</v>
      </c>
      <c r="AM208" s="460">
        <f t="shared" si="525"/>
        <v>20.303172363462132</v>
      </c>
      <c r="AO208">
        <f t="shared" si="526"/>
        <v>9800</v>
      </c>
      <c r="AP208">
        <f t="shared" si="527"/>
        <v>20.303172363462132</v>
      </c>
      <c r="AR208" s="5">
        <f t="shared" si="616"/>
        <v>49.25338671702427</v>
      </c>
      <c r="AS208" s="5">
        <f t="shared" si="604"/>
        <v>23.262228252630287</v>
      </c>
      <c r="AT208" s="5">
        <f t="shared" si="605"/>
        <v>25.991158464393983</v>
      </c>
      <c r="AU208" s="173">
        <f t="shared" si="606"/>
        <v>0.47229702977135124</v>
      </c>
      <c r="AW208" s="5">
        <f t="shared" si="477"/>
        <v>1519.7989125051788</v>
      </c>
      <c r="AX208" s="5">
        <f t="shared" si="478"/>
        <v>71.240574023680253</v>
      </c>
      <c r="AY208" s="5">
        <f t="shared" si="479"/>
        <v>73.184875017478802</v>
      </c>
      <c r="AZ208" s="5"/>
      <c r="BA208" s="173">
        <f t="shared" si="480"/>
        <v>13.846521519462447</v>
      </c>
      <c r="BB208" s="173">
        <f t="shared" si="481"/>
        <v>14.636183545444784</v>
      </c>
      <c r="BC208" s="173">
        <f t="shared" si="482"/>
        <v>0.36045189280546369</v>
      </c>
      <c r="BD208" s="173"/>
      <c r="BE208" s="528">
        <f t="shared" si="483"/>
        <v>3.8345231637787327</v>
      </c>
      <c r="BF208" s="528">
        <f t="shared" si="528"/>
        <v>0.45486305561536788</v>
      </c>
      <c r="BG208" s="528">
        <f t="shared" si="529"/>
        <v>9.1375033393034551E-3</v>
      </c>
      <c r="BH208" s="528">
        <f t="shared" si="484"/>
        <v>2.3801672374847409E-3</v>
      </c>
      <c r="BI208">
        <f t="shared" si="485"/>
        <v>8.1009537407786478E-3</v>
      </c>
      <c r="BJ208" s="460">
        <f t="shared" si="600"/>
        <v>17.238457080082103</v>
      </c>
      <c r="BK208">
        <f t="shared" si="530"/>
        <v>59.910589540498769</v>
      </c>
      <c r="BL208" s="460">
        <f t="shared" si="601"/>
        <v>4309.0048437116675</v>
      </c>
      <c r="BM208" s="173">
        <f t="shared" si="531"/>
        <v>6.0882500000000004</v>
      </c>
      <c r="BN208" s="173">
        <f t="shared" si="532"/>
        <v>0.15220624999999999</v>
      </c>
      <c r="BO208" s="528"/>
      <c r="BQ208" s="460">
        <f t="shared" si="486"/>
        <v>6240.4562500000002</v>
      </c>
      <c r="BR208" s="528">
        <f t="shared" si="487"/>
        <v>5.7517847456680986</v>
      </c>
      <c r="BS208" s="528">
        <f t="shared" si="488"/>
        <v>6.4265360632784585</v>
      </c>
      <c r="BT208" s="528">
        <f t="shared" si="489"/>
        <v>6.4962783513520747E-4</v>
      </c>
      <c r="BU208" s="528">
        <f t="shared" si="490"/>
        <v>0.66813468996696279</v>
      </c>
      <c r="BV208" s="528"/>
      <c r="BW208" s="625">
        <f t="shared" si="533"/>
        <v>2.4725854648157953E-2</v>
      </c>
      <c r="BX208" s="460">
        <f t="shared" si="607"/>
        <v>12871.830981396814</v>
      </c>
      <c r="BY208" s="173">
        <f t="shared" si="608"/>
        <v>23.421292075108479</v>
      </c>
      <c r="BZ208" s="5">
        <f t="shared" si="609"/>
        <v>148.96</v>
      </c>
      <c r="CA208" s="173">
        <f t="shared" si="610"/>
        <v>0.86413089382748354</v>
      </c>
      <c r="CB208" s="5">
        <f t="shared" si="611"/>
        <v>86.413089382748353</v>
      </c>
      <c r="CC208">
        <f t="shared" si="612"/>
        <v>98.000000000000014</v>
      </c>
      <c r="CE208" s="562">
        <f t="shared" si="534"/>
        <v>-50</v>
      </c>
      <c r="CF208">
        <f t="shared" si="535"/>
        <v>-50</v>
      </c>
      <c r="CG208" s="173">
        <f t="shared" si="536"/>
        <v>0.54755043227665712</v>
      </c>
      <c r="CH208" s="173">
        <f t="shared" si="537"/>
        <v>6.4398811101315845E-2</v>
      </c>
      <c r="CI208" s="170">
        <v>98</v>
      </c>
      <c r="CJ208" s="217">
        <f t="shared" si="602"/>
        <v>9.8000000000000007</v>
      </c>
      <c r="CK208" s="217">
        <f t="shared" si="538"/>
        <v>0.245</v>
      </c>
      <c r="CL208" s="217">
        <f t="shared" si="539"/>
        <v>147</v>
      </c>
      <c r="CM208" s="217">
        <f t="shared" si="540"/>
        <v>1.96</v>
      </c>
      <c r="CN208" s="541">
        <f t="shared" si="541"/>
        <v>19</v>
      </c>
      <c r="CO208" s="443">
        <f t="shared" si="542"/>
        <v>15.7</v>
      </c>
      <c r="CP208" s="443">
        <f t="shared" si="543"/>
        <v>34.700000000000003</v>
      </c>
      <c r="CQ208" s="443"/>
      <c r="CR208" s="217">
        <f t="shared" si="544"/>
        <v>0.44767441860465118</v>
      </c>
      <c r="CS208" s="172">
        <f t="shared" si="545"/>
        <v>209.84738372093025</v>
      </c>
      <c r="CT208" s="172">
        <f t="shared" si="546"/>
        <v>2.835271317829458</v>
      </c>
      <c r="CU208" s="217">
        <f t="shared" si="547"/>
        <v>13.989825581395349</v>
      </c>
      <c r="CV208" s="217">
        <f t="shared" si="548"/>
        <v>26.230922965116282</v>
      </c>
      <c r="CW208" s="217">
        <f t="shared" si="549"/>
        <v>15</v>
      </c>
      <c r="CX208" s="217">
        <f t="shared" si="550"/>
        <v>35.025454545454544</v>
      </c>
      <c r="CY208" s="217">
        <f t="shared" si="551"/>
        <v>22.121339712918662</v>
      </c>
      <c r="CZ208" s="217">
        <f t="shared" si="552"/>
        <v>26.771048060220039</v>
      </c>
      <c r="DA208" s="197">
        <f t="shared" si="553"/>
        <v>71.63784822286263</v>
      </c>
      <c r="DB208" s="443">
        <f t="shared" si="554"/>
        <v>20.453081666618793</v>
      </c>
      <c r="DD208" s="217">
        <f t="shared" si="555"/>
        <v>10.000000000000002</v>
      </c>
      <c r="DE208" s="173">
        <f t="shared" si="556"/>
        <v>7.6433121019108299</v>
      </c>
      <c r="DF208" s="173">
        <f t="shared" si="557"/>
        <v>2.7017291066282429</v>
      </c>
      <c r="DG208" s="173"/>
      <c r="DH208" s="173">
        <f t="shared" si="558"/>
        <v>7.6433121019108281</v>
      </c>
      <c r="DI208" s="545">
        <f t="shared" si="559"/>
        <v>256.43333333333339</v>
      </c>
      <c r="DJ208" s="528">
        <f t="shared" si="560"/>
        <v>2.7377521613832849</v>
      </c>
      <c r="DL208" s="173">
        <f t="shared" si="561"/>
        <v>8.4221929052553364</v>
      </c>
      <c r="DM208" s="173">
        <f t="shared" si="562"/>
        <v>35.025454545454544</v>
      </c>
      <c r="DN208" s="173">
        <f t="shared" si="563"/>
        <v>19.737373737373737</v>
      </c>
      <c r="DP208" s="545">
        <f t="shared" si="564"/>
        <v>9800</v>
      </c>
      <c r="DQ208" s="460">
        <f t="shared" si="565"/>
        <v>20.453081666618793</v>
      </c>
      <c r="DS208">
        <f t="shared" si="614"/>
        <v>9800</v>
      </c>
      <c r="DT208">
        <f t="shared" si="615"/>
        <v>20.453081666618793</v>
      </c>
      <c r="DV208" s="5">
        <f t="shared" si="568"/>
        <v>48.892387773138701</v>
      </c>
      <c r="DW208" s="5">
        <f t="shared" si="569"/>
        <v>22.121339712918662</v>
      </c>
      <c r="DX208" s="5">
        <f t="shared" si="570"/>
        <v>26.771048060220039</v>
      </c>
      <c r="DY208" s="173">
        <f t="shared" si="571"/>
        <v>0.45244956772334294</v>
      </c>
      <c r="EA208" s="5">
        <f t="shared" si="572"/>
        <v>1445.2608612440195</v>
      </c>
      <c r="EB208" s="5">
        <f t="shared" si="573"/>
        <v>67.74660287081339</v>
      </c>
      <c r="EC208" s="5">
        <f t="shared" si="574"/>
        <v>71.421852356666875</v>
      </c>
      <c r="ED208" s="5"/>
      <c r="EE208" s="173">
        <f t="shared" si="575"/>
        <v>13.602171352209741</v>
      </c>
      <c r="EF208" s="173">
        <f t="shared" si="576"/>
        <v>14.963569868529326</v>
      </c>
      <c r="EG208" s="173">
        <f t="shared" si="577"/>
        <v>0.36851458342887916</v>
      </c>
      <c r="EH208" s="173"/>
      <c r="EI208" s="528">
        <f t="shared" si="578"/>
        <v>3.7003813098975078</v>
      </c>
      <c r="EJ208" s="528">
        <f t="shared" si="579"/>
        <v>0.49716666666666659</v>
      </c>
      <c r="EK208" s="528">
        <f t="shared" si="580"/>
        <v>2.5566352083273491E-3</v>
      </c>
      <c r="EL208" s="528">
        <f t="shared" si="581"/>
        <v>2.4627351103959031E-3</v>
      </c>
      <c r="EM208">
        <f t="shared" si="582"/>
        <v>8.5500000000000003E-3</v>
      </c>
      <c r="EN208" s="460">
        <f t="shared" si="583"/>
        <v>11.106635208327349</v>
      </c>
      <c r="EP208" s="460">
        <f t="shared" si="603"/>
        <v>4211.1173468828974</v>
      </c>
      <c r="EQ208" s="173">
        <f t="shared" si="584"/>
        <v>6.86</v>
      </c>
      <c r="ER208" s="173">
        <f t="shared" si="585"/>
        <v>0.10871874999999999</v>
      </c>
      <c r="ES208" s="528"/>
      <c r="EU208" s="460">
        <f t="shared" si="497"/>
        <v>6968.7187500000009</v>
      </c>
      <c r="EV208" s="528">
        <f t="shared" si="586"/>
        <v>5.5505719648462613</v>
      </c>
      <c r="EW208" s="528">
        <f t="shared" si="587"/>
        <v>6.717252696310763</v>
      </c>
      <c r="EX208" s="528">
        <f t="shared" si="588"/>
        <v>6.790149909988016E-4</v>
      </c>
      <c r="EY208" s="528">
        <f t="shared" si="589"/>
        <v>0.68679375210278937</v>
      </c>
      <c r="EZ208" s="528"/>
      <c r="FA208" s="625">
        <f t="shared" si="590"/>
        <v>2.5091481966640468E-2</v>
      </c>
      <c r="FB208" s="460">
        <f t="shared" si="613"/>
        <v>12980.388910217453</v>
      </c>
      <c r="FC208" s="173">
        <f t="shared" si="591"/>
        <v>24.160225007100351</v>
      </c>
      <c r="FD208" s="5">
        <f t="shared" si="592"/>
        <v>148.96</v>
      </c>
      <c r="FE208" s="173">
        <f t="shared" si="593"/>
        <v>0.86044250458830296</v>
      </c>
      <c r="FF208" s="5">
        <f t="shared" si="594"/>
        <v>86.044250458830291</v>
      </c>
      <c r="FG208">
        <f t="shared" si="595"/>
        <v>98.000000000000014</v>
      </c>
      <c r="FI208" s="562">
        <f t="shared" si="596"/>
        <v>-50</v>
      </c>
      <c r="FJ208">
        <f t="shared" si="597"/>
        <v>-50</v>
      </c>
    </row>
    <row r="209" spans="1:169">
      <c r="E209" s="170">
        <v>99</v>
      </c>
      <c r="F209" s="217">
        <f>IF(PLOT_TYPE=1, E209/100*Iout_max, min_I*EXP(O209*rr/100))</f>
        <v>9.9</v>
      </c>
      <c r="G209" s="217">
        <f t="shared" si="499"/>
        <v>0.2475</v>
      </c>
      <c r="H209" s="217">
        <f t="shared" si="500"/>
        <v>148.5</v>
      </c>
      <c r="I209" s="217">
        <f t="shared" si="501"/>
        <v>1.98</v>
      </c>
      <c r="J209" s="541">
        <f t="shared" si="502"/>
        <v>17.991936969094922</v>
      </c>
      <c r="K209" s="443">
        <f t="shared" si="503"/>
        <v>16.242415789473682</v>
      </c>
      <c r="L209" s="172">
        <f t="shared" si="504"/>
        <v>34.234352758568605</v>
      </c>
      <c r="M209" s="443"/>
      <c r="N209" s="217">
        <f t="shared" si="505"/>
        <v>0.47444787123683319</v>
      </c>
      <c r="O209" s="172">
        <f>N209*J209*Isw_max*0.5*Efficiency*Pout/(Pout+Pout2)</f>
        <v>210.597932427986</v>
      </c>
      <c r="P209" s="172">
        <f t="shared" si="507"/>
        <v>2.8454120648047891</v>
      </c>
      <c r="Q209" s="217">
        <f t="shared" si="508"/>
        <v>14.039862161865733</v>
      </c>
      <c r="R209" s="217">
        <f t="shared" si="509"/>
        <v>26.324741553498249</v>
      </c>
      <c r="S209" s="217">
        <f t="shared" si="510"/>
        <v>15</v>
      </c>
      <c r="T209" s="217">
        <f t="shared" si="511"/>
        <v>35.256756390706634</v>
      </c>
      <c r="U209" s="217">
        <f t="shared" si="512"/>
        <v>23.515037731357868</v>
      </c>
      <c r="V209" s="217">
        <f t="shared" si="513"/>
        <v>26.047915665517458</v>
      </c>
      <c r="W209" s="197">
        <f t="shared" si="514"/>
        <v>71.135301620119719</v>
      </c>
      <c r="X209" s="443">
        <f t="shared" si="599"/>
        <v>20.095270311323425</v>
      </c>
      <c r="Z209" s="217">
        <f t="shared" si="515"/>
        <v>10</v>
      </c>
      <c r="AA209" s="173">
        <f t="shared" si="516"/>
        <v>7.388063546419561</v>
      </c>
      <c r="AB209" s="173">
        <f>0.5*AA209*Z209*Nps*W209/1000*(Pout/(Pout+Pout2))</f>
        <v>2.5931848458708888</v>
      </c>
      <c r="AC209" s="173"/>
      <c r="AD209" s="173">
        <f t="shared" si="518"/>
        <v>7.388063546419561</v>
      </c>
      <c r="AE209" s="545">
        <f>MAX(10, F209/(0.5*AD209/1000000*Isw_min*Nps)/1000*Pout_total/Pout)</f>
        <v>267.99986052631573</v>
      </c>
      <c r="AF209" s="528">
        <f t="shared" si="520"/>
        <v>2.6277606438158339</v>
      </c>
      <c r="AH209" s="173">
        <f t="shared" si="521"/>
        <v>8.4650542146605794</v>
      </c>
      <c r="AI209" s="173">
        <f>MAX(IF(F209&gt;AB209,T209,AH209),Isw_min)</f>
        <v>35.256756390706634</v>
      </c>
      <c r="AJ209" s="173">
        <f>IF(F209&gt;AF209, (AI209-Isw_min)/1.08*0.8+1.2, AE209*0.2/350+1)</f>
        <v>19.90870843756047</v>
      </c>
      <c r="AL209" s="545">
        <f t="shared" si="524"/>
        <v>9900</v>
      </c>
      <c r="AM209" s="460">
        <f t="shared" si="525"/>
        <v>20.095270311323425</v>
      </c>
      <c r="AO209">
        <f t="shared" si="526"/>
        <v>9900</v>
      </c>
      <c r="AP209">
        <f t="shared" si="527"/>
        <v>20.095270311323425</v>
      </c>
      <c r="AR209" s="5">
        <f t="shared" si="616"/>
        <v>49.762953396875332</v>
      </c>
      <c r="AS209" s="5">
        <f t="shared" si="604"/>
        <v>23.515037731357868</v>
      </c>
      <c r="AT209" s="5">
        <f t="shared" si="605"/>
        <v>26.247915665517464</v>
      </c>
      <c r="AU209" s="173">
        <f t="shared" si="606"/>
        <v>0.4725410395926059</v>
      </c>
      <c r="AW209" s="5">
        <f t="shared" si="477"/>
        <v>1551.9924902696193</v>
      </c>
      <c r="AX209" s="5">
        <f t="shared" si="478"/>
        <v>72.749647981388406</v>
      </c>
      <c r="AY209" s="5">
        <f t="shared" si="479"/>
        <v>74.704258051330044</v>
      </c>
      <c r="AZ209" s="5"/>
      <c r="BA209" s="173">
        <f t="shared" si="480"/>
        <v>13.992699054005019</v>
      </c>
      <c r="BB209" s="173">
        <f t="shared" si="481"/>
        <v>14.783459120988049</v>
      </c>
      <c r="BC209" s="173">
        <f t="shared" si="482"/>
        <v>0.36407891482276455</v>
      </c>
      <c r="BD209" s="173"/>
      <c r="BE209" s="528">
        <f t="shared" si="483"/>
        <v>3.915912536319059</v>
      </c>
      <c r="BF209" s="528">
        <f t="shared" si="528"/>
        <v>0.45477816063898352</v>
      </c>
      <c r="BG209" s="528">
        <f t="shared" si="529"/>
        <v>9.0388209204563894E-3</v>
      </c>
      <c r="BH209" s="528">
        <f t="shared" si="484"/>
        <v>2.3551474114711698E-3</v>
      </c>
      <c r="BI209">
        <f t="shared" si="485"/>
        <v>8.0963716360927147E-3</v>
      </c>
      <c r="BJ209" s="460">
        <f t="shared" si="600"/>
        <v>17.135192556549107</v>
      </c>
      <c r="BK209">
        <f t="shared" si="530"/>
        <v>78.045503298646679</v>
      </c>
      <c r="BL209" s="460">
        <f t="shared" si="601"/>
        <v>4390.181036926062</v>
      </c>
      <c r="BM209" s="173">
        <f t="shared" si="531"/>
        <v>6.1503749999999995</v>
      </c>
      <c r="BN209" s="173">
        <f t="shared" si="532"/>
        <v>0.15375937499999998</v>
      </c>
      <c r="BO209" s="528"/>
      <c r="BQ209" s="460">
        <f t="shared" si="486"/>
        <v>6304.1343749999996</v>
      </c>
      <c r="BR209" s="528">
        <f t="shared" si="487"/>
        <v>5.8738688044785885</v>
      </c>
      <c r="BS209" s="528">
        <f t="shared" si="488"/>
        <v>6.5565199074577416</v>
      </c>
      <c r="BT209" s="528">
        <f t="shared" si="489"/>
        <v>6.6276728109260924E-4</v>
      </c>
      <c r="BU209" s="528">
        <f t="shared" si="490"/>
        <v>0.66805239096050983</v>
      </c>
      <c r="BV209" s="528"/>
      <c r="BW209" s="625">
        <f t="shared" si="533"/>
        <v>2.4979202124118402E-2</v>
      </c>
      <c r="BX209" s="460">
        <f t="shared" si="607"/>
        <v>13124.083072302052</v>
      </c>
      <c r="BY209" s="173">
        <f t="shared" si="608"/>
        <v>23.818398484228116</v>
      </c>
      <c r="BZ209" s="5">
        <f t="shared" si="609"/>
        <v>150.47999999999999</v>
      </c>
      <c r="CA209" s="173">
        <f t="shared" si="610"/>
        <v>0.86334700323489555</v>
      </c>
      <c r="CB209" s="5">
        <f t="shared" si="611"/>
        <v>86.334700323489557</v>
      </c>
      <c r="CC209">
        <f t="shared" si="612"/>
        <v>99</v>
      </c>
      <c r="CE209" s="562">
        <f t="shared" si="534"/>
        <v>-50</v>
      </c>
      <c r="CF209">
        <f t="shared" si="535"/>
        <v>-50</v>
      </c>
      <c r="CG209" s="173">
        <f t="shared" si="536"/>
        <v>0.54755043227665712</v>
      </c>
      <c r="CH209" s="173">
        <f t="shared" si="537"/>
        <v>6.4398811101315845E-2</v>
      </c>
      <c r="CI209" s="170">
        <v>99</v>
      </c>
      <c r="CJ209" s="217">
        <f t="shared" si="602"/>
        <v>9.9</v>
      </c>
      <c r="CK209" s="217">
        <f t="shared" si="538"/>
        <v>0.2475</v>
      </c>
      <c r="CL209" s="217">
        <f t="shared" si="539"/>
        <v>148.5</v>
      </c>
      <c r="CM209" s="217">
        <f t="shared" si="540"/>
        <v>1.98</v>
      </c>
      <c r="CN209" s="541">
        <f t="shared" si="541"/>
        <v>19</v>
      </c>
      <c r="CO209" s="443">
        <f t="shared" si="542"/>
        <v>15.7</v>
      </c>
      <c r="CP209" s="443">
        <f t="shared" si="543"/>
        <v>34.700000000000003</v>
      </c>
      <c r="CQ209" s="443"/>
      <c r="CR209" s="217">
        <f t="shared" si="544"/>
        <v>0.44767441860465118</v>
      </c>
      <c r="CS209" s="172">
        <f t="shared" si="545"/>
        <v>209.84738372093025</v>
      </c>
      <c r="CT209" s="172">
        <f t="shared" si="546"/>
        <v>2.835271317829458</v>
      </c>
      <c r="CU209" s="217">
        <f t="shared" si="547"/>
        <v>13.989825581395349</v>
      </c>
      <c r="CV209" s="217">
        <f t="shared" si="548"/>
        <v>26.230922965116282</v>
      </c>
      <c r="CW209" s="217">
        <f t="shared" si="549"/>
        <v>15</v>
      </c>
      <c r="CX209" s="217">
        <f t="shared" si="550"/>
        <v>35.382857142857141</v>
      </c>
      <c r="CY209" s="217">
        <f t="shared" si="551"/>
        <v>22.347067669172933</v>
      </c>
      <c r="CZ209" s="217">
        <f t="shared" si="552"/>
        <v>27.0442220200182</v>
      </c>
      <c r="DA209" s="197">
        <f t="shared" si="553"/>
        <v>71.63784822286263</v>
      </c>
      <c r="DB209" s="443">
        <f t="shared" si="554"/>
        <v>20.246484882107492</v>
      </c>
      <c r="DD209" s="217">
        <f t="shared" si="555"/>
        <v>10.000000000000002</v>
      </c>
      <c r="DE209" s="173">
        <f t="shared" si="556"/>
        <v>7.6433121019108299</v>
      </c>
      <c r="DF209" s="173">
        <f t="shared" si="557"/>
        <v>2.7017291066282429</v>
      </c>
      <c r="DG209" s="173"/>
      <c r="DH209" s="173">
        <f t="shared" si="558"/>
        <v>7.6433121019108281</v>
      </c>
      <c r="DI209" s="545">
        <f t="shared" si="559"/>
        <v>259.05</v>
      </c>
      <c r="DJ209" s="528">
        <f t="shared" si="560"/>
        <v>2.7377521613832849</v>
      </c>
      <c r="DL209" s="173">
        <f t="shared" si="561"/>
        <v>8.4650542146605794</v>
      </c>
      <c r="DM209" s="173">
        <f t="shared" si="562"/>
        <v>35.382857142857141</v>
      </c>
      <c r="DN209" s="173">
        <f t="shared" si="563"/>
        <v>20.0021164021164</v>
      </c>
      <c r="DP209" s="545">
        <f t="shared" si="564"/>
        <v>9900</v>
      </c>
      <c r="DQ209" s="460">
        <f t="shared" si="565"/>
        <v>20.246484882107492</v>
      </c>
      <c r="DS209">
        <f t="shared" si="614"/>
        <v>9900</v>
      </c>
      <c r="DT209">
        <f t="shared" si="615"/>
        <v>20.246484882107492</v>
      </c>
      <c r="DV209" s="5">
        <f t="shared" si="568"/>
        <v>49.39128968919114</v>
      </c>
      <c r="DW209" s="5">
        <f t="shared" si="569"/>
        <v>22.347067669172933</v>
      </c>
      <c r="DX209" s="5">
        <f t="shared" si="570"/>
        <v>27.044222020018207</v>
      </c>
      <c r="DY209" s="173">
        <f t="shared" si="571"/>
        <v>0.45244956772334288</v>
      </c>
      <c r="EA209" s="5">
        <f t="shared" si="572"/>
        <v>1474.9064661654136</v>
      </c>
      <c r="EB209" s="5">
        <f t="shared" si="573"/>
        <v>69.136240601503772</v>
      </c>
      <c r="EC209" s="5">
        <f t="shared" si="574"/>
        <v>72.886877857943801</v>
      </c>
      <c r="ED209" s="5"/>
      <c r="EE209" s="173">
        <f t="shared" si="575"/>
        <v>13.740969019069023</v>
      </c>
      <c r="EF209" s="173">
        <f t="shared" si="576"/>
        <v>15.116259356983708</v>
      </c>
      <c r="EG209" s="173">
        <f t="shared" si="577"/>
        <v>0.37227493632101061</v>
      </c>
      <c r="EH209" s="173"/>
      <c r="EI209" s="528">
        <f t="shared" si="578"/>
        <v>3.7762845916602941</v>
      </c>
      <c r="EJ209" s="528">
        <f t="shared" si="579"/>
        <v>0.49716666666666659</v>
      </c>
      <c r="EK209" s="528">
        <f t="shared" si="580"/>
        <v>2.5308106102634362E-3</v>
      </c>
      <c r="EL209" s="528">
        <f t="shared" si="581"/>
        <v>2.4378589981696817E-3</v>
      </c>
      <c r="EM209">
        <f t="shared" si="582"/>
        <v>8.5500000000000003E-3</v>
      </c>
      <c r="EN209" s="460">
        <f t="shared" si="583"/>
        <v>11.080810610263438</v>
      </c>
      <c r="EP209" s="460">
        <f t="shared" si="603"/>
        <v>4286.9699279353936</v>
      </c>
      <c r="EQ209" s="173">
        <f t="shared" si="584"/>
        <v>6.93</v>
      </c>
      <c r="ER209" s="173">
        <f t="shared" si="585"/>
        <v>0.109828125</v>
      </c>
      <c r="ES209" s="528"/>
      <c r="EU209" s="460">
        <f t="shared" si="497"/>
        <v>7039.828125</v>
      </c>
      <c r="EV209" s="528">
        <f t="shared" si="586"/>
        <v>5.6644268874904409</v>
      </c>
      <c r="EW209" s="528">
        <f t="shared" si="587"/>
        <v>6.8550389084279244</v>
      </c>
      <c r="EX209" s="528">
        <f t="shared" si="588"/>
        <v>6.9294314106406257E-4</v>
      </c>
      <c r="EY209" s="528">
        <f t="shared" si="589"/>
        <v>0.68679375210278937</v>
      </c>
      <c r="EZ209" s="528"/>
      <c r="FA209" s="625">
        <f t="shared" si="590"/>
        <v>2.5347517496912303E-2</v>
      </c>
      <c r="FB209" s="460">
        <f t="shared" si="613"/>
        <v>13232.300008659131</v>
      </c>
      <c r="FC209" s="173">
        <f t="shared" si="591"/>
        <v>24.559098061594526</v>
      </c>
      <c r="FD209" s="5">
        <f t="shared" si="592"/>
        <v>150.47999999999999</v>
      </c>
      <c r="FE209" s="173">
        <f t="shared" si="593"/>
        <v>0.85969364368552426</v>
      </c>
      <c r="FF209" s="5">
        <f t="shared" si="594"/>
        <v>85.969364368552419</v>
      </c>
      <c r="FG209">
        <f t="shared" si="595"/>
        <v>99</v>
      </c>
      <c r="FI209" s="562">
        <f t="shared" si="596"/>
        <v>-50</v>
      </c>
      <c r="FJ209">
        <f t="shared" si="597"/>
        <v>-50</v>
      </c>
    </row>
    <row r="210" spans="1:169">
      <c r="A210" t="s">
        <v>862</v>
      </c>
      <c r="E210" s="170">
        <v>100</v>
      </c>
      <c r="F210" s="217">
        <f>IF(PLOT_TYPE=1, E210/100*Iout_max, min_I*EXP(O210*rr/100))</f>
        <v>10</v>
      </c>
      <c r="G210" s="217">
        <f t="shared" si="499"/>
        <v>0.25</v>
      </c>
      <c r="H210" s="217">
        <f t="shared" si="500"/>
        <v>150</v>
      </c>
      <c r="I210" s="217">
        <f t="shared" si="501"/>
        <v>2</v>
      </c>
      <c r="J210" s="541">
        <f t="shared" si="502"/>
        <v>17.981754514237295</v>
      </c>
      <c r="K210" s="443">
        <f t="shared" si="503"/>
        <v>16.247894736842106</v>
      </c>
      <c r="L210" s="172">
        <f t="shared" si="504"/>
        <v>34.229649251079401</v>
      </c>
      <c r="M210" s="443"/>
      <c r="N210" s="217">
        <f t="shared" si="505"/>
        <v>0.47467312965030584</v>
      </c>
      <c r="O210" s="172">
        <f>N210*J210*Isw_max*0.5*Efficiency*Pout/(Pout+Pout2)</f>
        <v>210.57867660879603</v>
      </c>
      <c r="P210" s="172">
        <f t="shared" si="507"/>
        <v>2.8451518972921774</v>
      </c>
      <c r="Q210" s="217">
        <f t="shared" si="508"/>
        <v>14.038578440586402</v>
      </c>
      <c r="R210" s="217">
        <f t="shared" si="509"/>
        <v>26.322334576099504</v>
      </c>
      <c r="S210" s="217">
        <f t="shared" si="510"/>
        <v>15</v>
      </c>
      <c r="T210" s="217">
        <f t="shared" si="511"/>
        <v>35.616141770769964</v>
      </c>
      <c r="U210" s="217">
        <f t="shared" si="512"/>
        <v>23.768186853560085</v>
      </c>
      <c r="V210" s="217">
        <f t="shared" si="513"/>
        <v>26.304558724160383</v>
      </c>
      <c r="W210" s="197">
        <f t="shared" si="514"/>
        <v>71.128797432304424</v>
      </c>
      <c r="X210" s="443">
        <f t="shared" si="599"/>
        <v>19.891493661392012</v>
      </c>
      <c r="Z210" s="217">
        <f t="shared" si="515"/>
        <v>10</v>
      </c>
      <c r="AA210" s="173">
        <f t="shared" si="516"/>
        <v>7.3855722198827376</v>
      </c>
      <c r="AB210" s="173">
        <f>0.5*AA210*Z210*Nps*W210/1000*(Pout/(Pout+Pout2))</f>
        <v>2.5920733734359911</v>
      </c>
      <c r="AC210" s="173"/>
      <c r="AD210" s="173">
        <f t="shared" si="518"/>
        <v>7.3855722198827376</v>
      </c>
      <c r="AE210" s="545">
        <f>MAX(10, F210/(0.5*AD210/1000000*Isw_min*Nps)/1000*Pout_total/Pout)</f>
        <v>270.79824561403512</v>
      </c>
      <c r="AF210" s="528">
        <f t="shared" si="520"/>
        <v>2.6266343517484709</v>
      </c>
      <c r="AH210" s="173">
        <f t="shared" si="521"/>
        <v>8.5076995939532551</v>
      </c>
      <c r="AI210" s="173">
        <f>MAX(IF(F210&gt;AB210,T210,AH210),Isw_min)</f>
        <v>35.616141770769964</v>
      </c>
      <c r="AJ210" s="173">
        <f>IF(F210&gt;AF210, (AI210-Isw_min)/1.08*0.8+1.2, AE210*0.2/350+1)</f>
        <v>20.174919830199972</v>
      </c>
      <c r="AL210" s="545">
        <f t="shared" si="524"/>
        <v>10000</v>
      </c>
      <c r="AM210" s="460">
        <f t="shared" si="525"/>
        <v>19.891493661392012</v>
      </c>
      <c r="AO210">
        <f t="shared" si="526"/>
        <v>10000</v>
      </c>
      <c r="AP210">
        <f t="shared" si="527"/>
        <v>19.891493661392012</v>
      </c>
      <c r="AR210" s="5">
        <f t="shared" si="616"/>
        <v>50.272745577720471</v>
      </c>
      <c r="AS210" s="5">
        <f t="shared" si="604"/>
        <v>23.768186853560085</v>
      </c>
      <c r="AT210" s="5">
        <f t="shared" si="605"/>
        <v>26.504558724160386</v>
      </c>
      <c r="AU210" s="173">
        <f t="shared" si="606"/>
        <v>0.47278473814037136</v>
      </c>
      <c r="AW210" s="5">
        <f t="shared" si="477"/>
        <v>1584.5457902373389</v>
      </c>
      <c r="AX210" s="5">
        <f t="shared" si="478"/>
        <v>74.275583917375272</v>
      </c>
      <c r="AY210" s="5">
        <f t="shared" si="479"/>
        <v>76.239804639988066</v>
      </c>
      <c r="AZ210" s="5"/>
      <c r="BA210" s="173">
        <f>AI210*SQRT(AU210/3)</f>
        <v>14.138976361073011</v>
      </c>
      <c r="BB210" s="173">
        <f t="shared" si="481"/>
        <v>14.930702115871185</v>
      </c>
      <c r="BC210" s="173">
        <f t="shared" si="482"/>
        <v>0.36770513446145514</v>
      </c>
      <c r="BD210" s="173"/>
      <c r="BE210" s="528">
        <f t="shared" si="483"/>
        <v>3.9982130507796279</v>
      </c>
      <c r="BF210" s="528">
        <f t="shared" si="528"/>
        <v>0.45469270668441664</v>
      </c>
      <c r="BG210" s="528">
        <f t="shared" si="529"/>
        <v>8.9420988985164582E-3</v>
      </c>
      <c r="BH210" s="528">
        <f t="shared" si="484"/>
        <v>2.3306244255956706E-3</v>
      </c>
      <c r="BI210">
        <f t="shared" si="485"/>
        <v>8.0917895314067817E-3</v>
      </c>
      <c r="BJ210" s="460">
        <f t="shared" si="600"/>
        <v>17.033888429923241</v>
      </c>
      <c r="BK210">
        <f t="shared" si="530"/>
        <v>110.64068906387303</v>
      </c>
      <c r="BL210" s="460">
        <f t="shared" si="601"/>
        <v>4472.2702703195628</v>
      </c>
      <c r="BM210" s="173">
        <f t="shared" si="531"/>
        <v>6.2124999999999995</v>
      </c>
      <c r="BN210" s="173">
        <f t="shared" si="532"/>
        <v>0.15531249999999999</v>
      </c>
      <c r="BO210" s="528"/>
      <c r="BQ210" s="460">
        <f t="shared" si="486"/>
        <v>6367.8124999999991</v>
      </c>
      <c r="BR210" s="528">
        <f t="shared" si="487"/>
        <v>5.997319576169442</v>
      </c>
      <c r="BS210" s="528">
        <f t="shared" si="488"/>
        <v>6.6877759701864079</v>
      </c>
      <c r="BT210" s="528">
        <f t="shared" si="489"/>
        <v>6.7603532954658399E-4</v>
      </c>
      <c r="BU210" s="528">
        <f t="shared" si="490"/>
        <v>0.66796802249744724</v>
      </c>
      <c r="BV210" s="528"/>
      <c r="BW210" s="625">
        <f t="shared" si="533"/>
        <v>2.5232549765448951E-2</v>
      </c>
      <c r="BX210" s="460">
        <f t="shared" si="607"/>
        <v>13378.972153948291</v>
      </c>
      <c r="BY210" s="173">
        <f t="shared" si="608"/>
        <v>24.219054924267859</v>
      </c>
      <c r="BZ210" s="5">
        <f t="shared" si="609"/>
        <v>152</v>
      </c>
      <c r="CA210" s="173">
        <f t="shared" si="610"/>
        <v>0.86256279189173801</v>
      </c>
      <c r="CB210" s="5">
        <f t="shared" si="611"/>
        <v>86.256279189173796</v>
      </c>
      <c r="CC210">
        <f t="shared" si="612"/>
        <v>100</v>
      </c>
      <c r="CE210" s="562">
        <f t="shared" si="534"/>
        <v>-50</v>
      </c>
      <c r="CF210">
        <f t="shared" si="535"/>
        <v>-50</v>
      </c>
      <c r="CG210" s="173">
        <f t="shared" si="536"/>
        <v>0.54755043227665712</v>
      </c>
      <c r="CH210" s="173">
        <f t="shared" si="537"/>
        <v>6.4398811101315845E-2</v>
      </c>
      <c r="CI210" s="170">
        <v>100</v>
      </c>
      <c r="CJ210" s="217">
        <f t="shared" si="602"/>
        <v>10</v>
      </c>
      <c r="CK210" s="217">
        <f t="shared" si="538"/>
        <v>0.25</v>
      </c>
      <c r="CL210" s="217">
        <f t="shared" si="539"/>
        <v>150</v>
      </c>
      <c r="CM210" s="217">
        <f t="shared" si="540"/>
        <v>2</v>
      </c>
      <c r="CN210" s="541">
        <f t="shared" si="541"/>
        <v>19</v>
      </c>
      <c r="CO210" s="443">
        <f t="shared" si="542"/>
        <v>15.7</v>
      </c>
      <c r="CP210" s="443">
        <f t="shared" si="543"/>
        <v>34.700000000000003</v>
      </c>
      <c r="CQ210" s="443"/>
      <c r="CR210" s="217">
        <f t="shared" si="544"/>
        <v>0.44767441860465118</v>
      </c>
      <c r="CS210" s="172">
        <f t="shared" si="545"/>
        <v>209.84738372093025</v>
      </c>
      <c r="CT210" s="172">
        <f t="shared" si="546"/>
        <v>2.835271317829458</v>
      </c>
      <c r="CU210" s="217">
        <f t="shared" si="547"/>
        <v>13.989825581395349</v>
      </c>
      <c r="CV210" s="217">
        <f t="shared" si="548"/>
        <v>26.230922965116282</v>
      </c>
      <c r="CW210" s="217">
        <f t="shared" si="549"/>
        <v>15</v>
      </c>
      <c r="CX210" s="217">
        <f t="shared" si="550"/>
        <v>35.740259740259738</v>
      </c>
      <c r="CY210" s="217">
        <f t="shared" si="551"/>
        <v>22.572795625427204</v>
      </c>
      <c r="CZ210" s="217">
        <f t="shared" si="552"/>
        <v>27.317395979816364</v>
      </c>
      <c r="DA210" s="197">
        <f t="shared" si="553"/>
        <v>71.63784822286263</v>
      </c>
      <c r="DB210" s="443">
        <f t="shared" si="554"/>
        <v>20.044020033286419</v>
      </c>
      <c r="DD210" s="217">
        <f t="shared" si="555"/>
        <v>10.000000000000002</v>
      </c>
      <c r="DE210" s="173">
        <f t="shared" si="556"/>
        <v>7.6433121019108299</v>
      </c>
      <c r="DF210" s="173">
        <f t="shared" si="557"/>
        <v>2.7017291066282429</v>
      </c>
      <c r="DG210" s="173"/>
      <c r="DH210" s="173">
        <f t="shared" si="558"/>
        <v>7.6433121019108281</v>
      </c>
      <c r="DI210" s="545">
        <f t="shared" si="559"/>
        <v>261.66666666666669</v>
      </c>
      <c r="DJ210" s="528">
        <f t="shared" si="560"/>
        <v>2.7377521613832849</v>
      </c>
      <c r="DL210" s="173">
        <f t="shared" si="561"/>
        <v>8.5076995939532551</v>
      </c>
      <c r="DM210" s="173">
        <f t="shared" si="562"/>
        <v>35.740259740259738</v>
      </c>
      <c r="DN210" s="173">
        <f t="shared" si="563"/>
        <v>20.266859066859062</v>
      </c>
      <c r="DP210" s="545">
        <f t="shared" si="564"/>
        <v>10000</v>
      </c>
      <c r="DQ210" s="460">
        <f t="shared" si="565"/>
        <v>20.044020033286419</v>
      </c>
      <c r="DS210">
        <f t="shared" si="614"/>
        <v>10000</v>
      </c>
      <c r="DT210">
        <f t="shared" si="615"/>
        <v>20.044020033286419</v>
      </c>
      <c r="DV210" s="5">
        <f t="shared" si="568"/>
        <v>49.890191605243572</v>
      </c>
      <c r="DW210" s="5">
        <f t="shared" si="569"/>
        <v>22.572795625427204</v>
      </c>
      <c r="DX210" s="5">
        <f t="shared" si="570"/>
        <v>27.317395979816368</v>
      </c>
      <c r="DY210" s="173">
        <f t="shared" si="571"/>
        <v>0.45244956772334288</v>
      </c>
      <c r="EA210" s="5">
        <f t="shared" si="572"/>
        <v>1504.8530416951469</v>
      </c>
      <c r="EB210" s="5">
        <f t="shared" si="573"/>
        <v>70.539986329460021</v>
      </c>
      <c r="EC210" s="5">
        <f t="shared" si="574"/>
        <v>74.366776714563599</v>
      </c>
      <c r="ED210" s="5"/>
      <c r="EE210" s="173">
        <f t="shared" si="575"/>
        <v>13.879766685928306</v>
      </c>
      <c r="EF210" s="173">
        <f t="shared" si="576"/>
        <v>15.268948845438089</v>
      </c>
      <c r="EG210" s="173">
        <f t="shared" si="577"/>
        <v>0.376035289213142</v>
      </c>
      <c r="EH210" s="173"/>
      <c r="EI210" s="528">
        <f t="shared" si="578"/>
        <v>3.8529584651161048</v>
      </c>
      <c r="EJ210" s="528">
        <f t="shared" si="579"/>
        <v>0.4971666666666667</v>
      </c>
      <c r="EK210" s="528">
        <f t="shared" si="580"/>
        <v>2.5055025041608022E-3</v>
      </c>
      <c r="EL210" s="528">
        <f t="shared" si="581"/>
        <v>2.4134804081879851E-3</v>
      </c>
      <c r="EM210">
        <f t="shared" si="582"/>
        <v>8.5500000000000003E-3</v>
      </c>
      <c r="EN210" s="460">
        <f t="shared" si="583"/>
        <v>11.055502504160801</v>
      </c>
      <c r="EP210" s="460">
        <f t="shared" si="603"/>
        <v>4363.59411469512</v>
      </c>
      <c r="EQ210" s="173">
        <f t="shared" si="584"/>
        <v>7</v>
      </c>
      <c r="ER210" s="173">
        <f t="shared" si="585"/>
        <v>0.11093749999999999</v>
      </c>
      <c r="ES210" s="528"/>
      <c r="EU210" s="460">
        <f t="shared" si="497"/>
        <v>7110.9375</v>
      </c>
      <c r="EV210" s="528">
        <f t="shared" si="586"/>
        <v>5.7794376976741573</v>
      </c>
      <c r="EW210" s="528">
        <f t="shared" si="587"/>
        <v>6.994223965338155</v>
      </c>
      <c r="EX210" s="528">
        <f t="shared" si="588"/>
        <v>7.0701269366805683E-4</v>
      </c>
      <c r="EY210" s="528">
        <f t="shared" si="589"/>
        <v>0.68679375210278792</v>
      </c>
      <c r="EZ210" s="528"/>
      <c r="FA210" s="625">
        <f t="shared" si="590"/>
        <v>2.5603553027184148E-2</v>
      </c>
      <c r="FB210" s="460">
        <f t="shared" si="613"/>
        <v>13486.765980835953</v>
      </c>
      <c r="FC210" s="173">
        <f t="shared" si="591"/>
        <v>24.961297595531072</v>
      </c>
      <c r="FD210" s="5">
        <f t="shared" si="592"/>
        <v>152</v>
      </c>
      <c r="FE210" s="173">
        <f t="shared" si="593"/>
        <v>0.85894487701721367</v>
      </c>
      <c r="FF210" s="5">
        <f t="shared" si="594"/>
        <v>85.894487701721374</v>
      </c>
      <c r="FG210">
        <f t="shared" si="595"/>
        <v>100</v>
      </c>
      <c r="FI210" s="562">
        <f t="shared" si="596"/>
        <v>-50</v>
      </c>
      <c r="FJ210">
        <f t="shared" si="597"/>
        <v>-50</v>
      </c>
    </row>
    <row r="211" spans="1:169" ht="13">
      <c r="E211" s="170"/>
      <c r="F211" s="217"/>
      <c r="G211" s="217"/>
      <c r="H211" s="217"/>
      <c r="I211" s="217"/>
      <c r="J211" s="541"/>
      <c r="K211" s="443"/>
      <c r="L211" s="172"/>
      <c r="M211" s="443"/>
      <c r="N211" s="217"/>
      <c r="O211" s="172"/>
      <c r="P211" s="172"/>
      <c r="Q211" s="217"/>
      <c r="R211" s="217"/>
      <c r="S211" s="217"/>
      <c r="T211" s="217"/>
      <c r="U211" s="217"/>
      <c r="V211" s="217"/>
      <c r="W211" s="197"/>
      <c r="X211" s="443"/>
      <c r="Z211" s="217"/>
      <c r="AA211" s="173"/>
      <c r="AB211" s="173"/>
      <c r="AC211" s="173"/>
      <c r="AD211" s="173"/>
      <c r="AE211" s="545"/>
      <c r="AF211" s="528"/>
      <c r="AH211" s="173"/>
      <c r="AI211" s="173"/>
      <c r="AJ211" s="173"/>
      <c r="AL211" s="545"/>
      <c r="AM211" s="460"/>
      <c r="AR211" s="5"/>
      <c r="AS211" s="5"/>
      <c r="AT211" s="5"/>
      <c r="AU211" s="173"/>
      <c r="CE211" s="562"/>
      <c r="CF211" s="539">
        <f>MAX(CF110:CF210)</f>
        <v>-50</v>
      </c>
      <c r="CG211" s="173"/>
      <c r="CH211" s="173"/>
      <c r="CI211" s="170"/>
      <c r="CJ211" s="217"/>
      <c r="CK211" s="217"/>
      <c r="CL211" s="217"/>
      <c r="CM211" s="217"/>
      <c r="CN211" s="541"/>
      <c r="CO211" s="443"/>
      <c r="CP211" s="443"/>
      <c r="CQ211" s="443"/>
      <c r="CR211" s="217"/>
      <c r="CS211" s="172"/>
      <c r="CT211" s="172"/>
      <c r="CU211" s="217"/>
      <c r="CV211" s="217"/>
      <c r="CW211" s="217"/>
      <c r="CX211" s="217"/>
      <c r="CY211" s="217"/>
      <c r="CZ211" s="217"/>
      <c r="DA211" s="197"/>
      <c r="DB211" s="443"/>
      <c r="DD211" s="217"/>
      <c r="DE211" s="173"/>
      <c r="DF211" s="173"/>
      <c r="DG211" s="173"/>
      <c r="DH211" s="173"/>
      <c r="DI211" s="545"/>
      <c r="DJ211" s="528"/>
      <c r="DL211" s="173"/>
      <c r="DM211" s="173"/>
      <c r="DN211" s="173"/>
      <c r="DP211" s="545"/>
      <c r="DQ211" s="460"/>
      <c r="DV211" s="5"/>
      <c r="DW211" s="5"/>
      <c r="DX211" s="5"/>
      <c r="DY211" s="173"/>
      <c r="FI211" s="562"/>
      <c r="FJ211" s="539">
        <f>MAX(FJ110:FJ210)</f>
        <v>-50</v>
      </c>
    </row>
    <row r="212" spans="1:169">
      <c r="A212" t="s">
        <v>862</v>
      </c>
      <c r="E212" s="170">
        <v>101</v>
      </c>
      <c r="F212" s="217">
        <f>'Calculations - Dual'!Ioutmax_Vinmin+0*H210/(H210+I210)</f>
        <v>14.138251701957662</v>
      </c>
      <c r="G212" s="217">
        <f>'Calculations - Dual'!Ioutmax_Vinmin/Nsec1sec2*(1-H210/(H210+I210))</f>
        <v>0.34360766520237768</v>
      </c>
      <c r="H212" s="217">
        <f>F212*Vout</f>
        <v>212.07377552936492</v>
      </c>
      <c r="I212" s="217">
        <f>Vout2*G212</f>
        <v>2.7488613216190214</v>
      </c>
      <c r="J212" s="541">
        <f>VIN_min-(F212/CG212/Nps+G212/CH212/(Nps/Nsec1sec2))*(Rdcr_pri+RON/1000)</f>
        <v>17.564518776881521</v>
      </c>
      <c r="K212" s="443">
        <f>MAX((S212+Vfwd2+Rdcr_sec*F212/CG212)*Nps,(Vout2+Vfwd22+Rdcr_sec2*G212/CH212)*Nps/Nsec1sec2)</f>
        <v>16.308862865163761</v>
      </c>
      <c r="L212" s="172">
        <f>MAX((Vout+Vfwd2+F212/CG212*Rdcr_sec)*Nps+J212, (Vout2+Vfwd22+G212/CH212*Rdcr_sec2)*Nps/Nsec1sec2+J212)</f>
        <v>34.039146146446669</v>
      </c>
      <c r="M212" s="443"/>
      <c r="N212" s="217">
        <f>MAX((Vout+Vfwd2+F212/CG212*Rdcr_sec)*Nps/((Vout+Vfwd2+F212/CG212*Rdcr_sec)*Nps+J212), (Vout2+Vfwd22+G212/CH212*Rdcr_sec2)*Nps/Nsec1sec2/((Vout2+Vfwd22+G212/CH212*Rdcr_sec2)*Nps/Nsec1sec2+J212))</f>
        <v>0.48399061770487245</v>
      </c>
      <c r="O212" s="172">
        <f>N212*J212*Isw_max*0.5*Efficiency*Pout/(Pout+Pout2)</f>
        <v>209.73015524288778</v>
      </c>
      <c r="P212" s="172">
        <f>N212*J212*Isw_max*0.5*Efficiency*(Pout2/Pout_total)</f>
        <v>2.8336874308372391</v>
      </c>
      <c r="Q212" s="217">
        <f>O212/Vout</f>
        <v>13.982010349525853</v>
      </c>
      <c r="R212" s="217">
        <f>O212/Vout2</f>
        <v>26.216269405360972</v>
      </c>
      <c r="S212" s="217">
        <f>MIN(Vout,O212/F212)</f>
        <v>14.834235495598607</v>
      </c>
      <c r="T212" s="217">
        <f>MIN(2*(Vout*F212+Vout2*G212)/(Efficiency*J212*N212), Isw_max)</f>
        <v>50</v>
      </c>
      <c r="U212" s="217">
        <f>L*T212/J212*1000000</f>
        <v>34.159774464742078</v>
      </c>
      <c r="V212" s="217">
        <f>L*T212/K212*1000000</f>
        <v>36.789812077065086</v>
      </c>
      <c r="W212" s="197">
        <f>IF(1/((350000*L)*(1/J212+1/K212))&gt;Isw_min, 350, 0.001/((Isw_min*L)*(1/J212+1/K212)))</f>
        <v>70.472574171432868</v>
      </c>
      <c r="X212" s="443">
        <f>MIN(1/(U212+V212+0.2)*1000, 350)</f>
        <v>14.054895447809871</v>
      </c>
      <c r="Z212" s="217">
        <f>1/((W212*1000*L)*(1/J212+1/K212))</f>
        <v>10</v>
      </c>
      <c r="AA212" s="173">
        <f>L*Z212/K212*1000000</f>
        <v>7.3579624154130165</v>
      </c>
      <c r="AB212" s="173">
        <f>0.5*AA212*Z212*Nps*W212/1000*(Pout/(Pout+Pout2))</f>
        <v>2.558558645086229</v>
      </c>
      <c r="AC212" s="173"/>
      <c r="AD212" s="173">
        <f>L*Isw_min/K212*1000000</f>
        <v>7.3579624154130165</v>
      </c>
      <c r="AE212" s="545">
        <f>MAX(10, F212/(0.5*AD212/1000000*Isw_min*Nps)/1000*Pout_total/Pout)</f>
        <v>384.29801360065937</v>
      </c>
      <c r="AF212" s="528">
        <f>0.5*AD212/1000000*Isw_min*Nps*W212*1000*(Pout/Pout_total)</f>
        <v>2.5926727603540463</v>
      </c>
      <c r="AH212" s="173">
        <f>SQRT((H212+I212)/(0.5*L*Fsw_DCM))</f>
        <v>10.114172914211215</v>
      </c>
      <c r="AI212" s="173">
        <f>MAX(IF(F212&gt;AB212,T212,AH212),Isw_min)</f>
        <v>50</v>
      </c>
      <c r="AJ212" s="173">
        <f>IF(F212&gt;AF212, (AI212-Isw_min)/1.08*0.8+1.2, AE212*0.2/350+1)</f>
        <v>30.829629629629633</v>
      </c>
      <c r="AL212" s="545">
        <f>F212*1000</f>
        <v>14138.251701957663</v>
      </c>
      <c r="AM212" s="460">
        <f>IF(F212&gt;AF212, X212, AE212)</f>
        <v>14.054895447809871</v>
      </c>
      <c r="AO212" t="str">
        <f>IF(H212&gt;O212, "",AL212)</f>
        <v/>
      </c>
      <c r="AP212" t="str">
        <f>IF(H212&gt;O212, "",AM212)</f>
        <v/>
      </c>
      <c r="AR212" s="5">
        <f>1/AM212*1000</f>
        <v>71.149586541807167</v>
      </c>
      <c r="AS212" s="5">
        <f>L*AI212/J212*1000000</f>
        <v>34.159774464742078</v>
      </c>
      <c r="AT212" s="5">
        <f>AR212-AS212</f>
        <v>36.989812077065089</v>
      </c>
      <c r="AU212" s="173">
        <f>AS212/AR212</f>
        <v>0.48011205862271528</v>
      </c>
      <c r="AW212" s="5">
        <f>F212*AS212/Vout_ripple*1000</f>
        <v>3219.7299297641971</v>
      </c>
      <c r="AX212" s="5">
        <f>G212*AS212/Vout_ripple2*1000</f>
        <v>146.71950434587282</v>
      </c>
      <c r="AY212" s="5">
        <f>H212/Efficiency/J212*AT212/Vinripple1</f>
        <v>154.00500651837876</v>
      </c>
      <c r="AZ212" s="5"/>
      <c r="BA212" s="173">
        <f>AI212*SQRT(AU212/3)</f>
        <v>20.002334418402171</v>
      </c>
      <c r="BB212" s="173">
        <f>AI212*Npri_sec1*SQRT((1-AU212)/3)*(Pout/Pout_total)</f>
        <v>20.814416906263247</v>
      </c>
      <c r="BC212" s="173">
        <f>AI212*Npri_sec2*SQRT((1-AU212)/3)*(Pout2/Pout_total)</f>
        <v>0.51260603204444388</v>
      </c>
      <c r="BD212" s="173"/>
      <c r="BE212" s="528">
        <f>Rdson*BA212^2</f>
        <v>8.0018676437119218</v>
      </c>
      <c r="BF212" s="528">
        <f>0.5*L212*AI212*AM212*1000*Tfall</f>
        <v>0.44851560020721387</v>
      </c>
      <c r="BG212" s="528">
        <f>Qg*Vdd*AM212*1000*0+Qg*J212*AM212*1000</f>
        <v>6.1716868750040762E-3</v>
      </c>
      <c r="BH212" s="528">
        <f>0.5*(Coss+Csw)*L212^2*AM212*1000</f>
        <v>1.6284893935375575E-3</v>
      </c>
      <c r="BI212">
        <f>J212*IQ</f>
        <v>7.9040334495966841E-3</v>
      </c>
      <c r="BJ212" s="460">
        <f>(BG212+BI212)*1000</f>
        <v>14.075720324600759</v>
      </c>
      <c r="BK212">
        <f>(BF212+BG212*0+BH212+BI212*0+BE212*(1+RdsonTC*(Ta-25)))/(1-BE212*RdsonTC*ThetaJA)</f>
        <v>-11.775411448728962</v>
      </c>
      <c r="BL212" s="460">
        <f>SUM(BE212:BI212)*1000</f>
        <v>8466.0874536372739</v>
      </c>
      <c r="BM212" s="173">
        <f>Vfwd2*F212*(1+Diode_TC/1000*(Ta-25))</f>
        <v>8.7833888698411968</v>
      </c>
      <c r="BN212" s="173">
        <f>Vfwd2*G212*(1+Diode_TC/1000*(Ta-25))</f>
        <v>0.2134662620069771</v>
      </c>
      <c r="BO212" s="528"/>
      <c r="BQ212" s="460">
        <f>SUM(BM212:BP212)*1000</f>
        <v>8996.8551318481732</v>
      </c>
      <c r="BR212" s="528">
        <f>Rdcr_pri*BA212^2</f>
        <v>12.002801465567883</v>
      </c>
      <c r="BS212" s="528">
        <f>Rdcr_sec*BB212^2</f>
        <v>12.997198534432117</v>
      </c>
      <c r="BT212" s="528">
        <f>Rdcr_sec2*BC212^2</f>
        <v>1.3138247204417472E-3</v>
      </c>
      <c r="BU212" s="528">
        <f>AI212^2.5*AM212^2.5*k_core</f>
        <v>0.65458200713913828</v>
      </c>
      <c r="BV212" s="528"/>
      <c r="BW212" s="625">
        <f>0.5*Lleak*0.000000001*AI212^2*AM212*1000</f>
        <v>3.5137238619524676E-2</v>
      </c>
      <c r="BX212" s="460">
        <f>SUM(BR212:BW212)*1000</f>
        <v>25691.033070479101</v>
      </c>
      <c r="BY212" s="173">
        <f>SUM(BE212:BI212,BM212:BP212,BR212:BW212)</f>
        <v>43.153975655964551</v>
      </c>
      <c r="BZ212" s="5">
        <f>MIN(H212+I212,O212+P212)</f>
        <v>212.56384267372502</v>
      </c>
      <c r="CA212" s="173">
        <f>BZ212/(BZ212+BY212)</f>
        <v>0.83124376729850169</v>
      </c>
      <c r="CB212" s="5">
        <f>CA212*100</f>
        <v>83.124376729850169</v>
      </c>
      <c r="CC212">
        <f>F212/Iout*100</f>
        <v>141.38251701957662</v>
      </c>
      <c r="CE212" s="562">
        <f>IF(ABS(F212-Ioutmax_Vinmin)&lt;Iout/200, AM212, -50)</f>
        <v>14.054895447809871</v>
      </c>
      <c r="CF212">
        <f>IF(ABS(F212-Ioutmax_Vinmin)&lt;Iout/200, (O212+P212)*CA212, -50)</f>
        <v>176.6923693755532</v>
      </c>
      <c r="CG212" s="173">
        <f>MIN(SQRT(2*DT212*1000*Ls1_*(CL212+CJ212*Vfwd1))/(CW212+Vfwd1), 1-DY212)</f>
        <v>0.54755043227665712</v>
      </c>
      <c r="CH212" s="173">
        <f>MIN(SQRT(2*DT212*1000*Ls2_*(CM212+CK212*Vfwd22))/(Vout2+Vfwd22), 1-DY212)</f>
        <v>6.4398811101315845E-2</v>
      </c>
      <c r="CI212" s="170">
        <v>100</v>
      </c>
      <c r="CJ212" s="217">
        <f>IF(PLOT_TYPE=1, CI212/100*Iout_max, min_I*EXP(CS212*rr/100))</f>
        <v>10</v>
      </c>
      <c r="CK212" s="217">
        <f>IF(PLOT_TYPE=1, CI212/100*Iout2, min_I*EXP(CU212*rr/100))</f>
        <v>0.25</v>
      </c>
      <c r="CL212" s="217">
        <f>CJ212*Vout</f>
        <v>150</v>
      </c>
      <c r="CM212" s="217">
        <f>Vout2*CK212</f>
        <v>2</v>
      </c>
      <c r="CN212" s="541">
        <f t="shared" si="541"/>
        <v>19</v>
      </c>
      <c r="CO212" s="443">
        <f>(CW212+Vfwd2)*Nps</f>
        <v>15.7</v>
      </c>
      <c r="CP212" s="443">
        <f>(Vout+Vfwd2)*Nps+CN212</f>
        <v>34.700000000000003</v>
      </c>
      <c r="CQ212" s="443"/>
      <c r="CR212" s="217">
        <f>(Vout+Vfwd1)*Nps/((Vout+Vfwd1)*Nps+CN212)</f>
        <v>0.44767441860465118</v>
      </c>
      <c r="CS212" s="172">
        <f>CR212*CN212*Isw_max*0.5*Efficiency*Pout/(Pout+Pout2)</f>
        <v>209.84738372093025</v>
      </c>
      <c r="CT212" s="172">
        <f>CR212*CN212*Isw_max*0.5*Efficiency*(Pout2/Pout_total)</f>
        <v>2.835271317829458</v>
      </c>
      <c r="CU212" s="217">
        <f>CS212/Vout</f>
        <v>13.989825581395349</v>
      </c>
      <c r="CV212" s="217">
        <f>CS212/Vout2</f>
        <v>26.230922965116282</v>
      </c>
      <c r="CW212" s="217">
        <f>MIN(Vout,CS212/CJ212)</f>
        <v>15</v>
      </c>
      <c r="CX212" s="217">
        <f>MIN(2*(Vout*CJ212+Vout2*CK212)/(Efficiency*CN212*CR212), Isw_max)</f>
        <v>35.740259740259738</v>
      </c>
      <c r="CY212" s="217">
        <f>L*CX212/CN212*1000000</f>
        <v>22.572795625427204</v>
      </c>
      <c r="CZ212" s="217">
        <f>L*CX212/CO212*1000000</f>
        <v>27.317395979816364</v>
      </c>
      <c r="DA212" s="197">
        <f>IF(1/((350000*L)*(1/CN212+1/CO212))&gt;Isw_min, 350, 0.001/((Isw_min*L)*(1/CN212+1/CO212)))</f>
        <v>71.63784822286263</v>
      </c>
      <c r="DB212" s="443">
        <f>MIN(1/(CY212+CZ212)*1000, 350)</f>
        <v>20.044020033286419</v>
      </c>
      <c r="DD212" s="217">
        <f>1/((DA212*1000*L)*(1/CN212+1/CO212))</f>
        <v>10.000000000000002</v>
      </c>
      <c r="DE212" s="173">
        <f>L*DD212/CO212*1000000</f>
        <v>7.6433121019108299</v>
      </c>
      <c r="DF212" s="173">
        <f>0.5*DE212*DD212*Nps*DA212/1000*(Pout/(Pout+Pout2))</f>
        <v>2.7017291066282429</v>
      </c>
      <c r="DG212" s="173"/>
      <c r="DH212" s="173">
        <f>L*Isw_min/CO212*1000000</f>
        <v>7.6433121019108281</v>
      </c>
      <c r="DI212" s="545">
        <f>MAX(10, CJ212/(0.5*DH212/1000000*Isw_min*Nps)/1000*Pout_total/Pout)</f>
        <v>261.66666666666669</v>
      </c>
      <c r="DJ212" s="528">
        <f>0.5*DH212/1000000*Isw_min*Nps*DA212*1000*(Pout/Pout_total)</f>
        <v>2.7377521613832849</v>
      </c>
      <c r="DL212" s="173">
        <f>SQRT((CL212+CM212)/(0.5*L*Fsw_DCM))</f>
        <v>8.5076995939532551</v>
      </c>
      <c r="DM212" s="173">
        <f>MAX(IF(CJ212&gt;DF212,CX212,DL212),Isw_min)</f>
        <v>35.740259740259738</v>
      </c>
      <c r="DN212" s="173">
        <f>IF(CJ212&gt;DJ212, (DM212-Isw_min)/1.08*0.8+1.2, DI212*0.2/350+1)</f>
        <v>20.266859066859062</v>
      </c>
      <c r="DP212" s="545">
        <f>CJ212*1000</f>
        <v>10000</v>
      </c>
      <c r="DQ212" s="460">
        <f>IF(CJ212&gt;DJ212, DB212, DI212)</f>
        <v>20.044020033286419</v>
      </c>
      <c r="DS212">
        <f>IF(CL212&gt;CS212, "",DP212)</f>
        <v>10000</v>
      </c>
      <c r="DT212">
        <f>IF(CL212&gt;CS212, "",DQ212)</f>
        <v>20.044020033286419</v>
      </c>
      <c r="DV212" s="5">
        <f>1/DQ212*1000</f>
        <v>49.890191605243572</v>
      </c>
      <c r="DW212" s="5">
        <f>L*DM212/CN212*1000000</f>
        <v>22.572795625427204</v>
      </c>
      <c r="DX212" s="5">
        <f>DV212-DW212</f>
        <v>27.317395979816368</v>
      </c>
      <c r="DY212" s="173">
        <f>DW212/DV212</f>
        <v>0.45244956772334288</v>
      </c>
      <c r="EA212" s="5">
        <f>CJ212*DW212/Vout_ripple*1000</f>
        <v>1504.8530416951469</v>
      </c>
      <c r="EB212" s="5">
        <f>CK212*DW212/Vout_ripple2*1000</f>
        <v>70.539986329460021</v>
      </c>
      <c r="EC212" s="5">
        <f>CL212/Efficiency/CN212*DX212/Vinripple1</f>
        <v>74.366776714563599</v>
      </c>
      <c r="ED212" s="5"/>
      <c r="EE212" s="173">
        <f>DM212*SQRT(DY212/3)</f>
        <v>13.879766685928306</v>
      </c>
      <c r="EF212" s="173">
        <f>DM212*Npri_sec1*SQRT((1-DY212)/3)*(Pout/Pout_total)</f>
        <v>15.268948845438089</v>
      </c>
      <c r="EG212" s="173">
        <f>DM212*Npri_sec2*SQRT((1-DY212)/3)*(Pout2/Pout_total)</f>
        <v>0.376035289213142</v>
      </c>
      <c r="EH212" s="173"/>
      <c r="EI212" s="528">
        <f>Rdson*EE212^2</f>
        <v>3.8529584651161048</v>
      </c>
      <c r="EJ212" s="528">
        <f>0.5*CP212*DM212*DQ212*1000*Trise</f>
        <v>0.4971666666666667</v>
      </c>
      <c r="EK212" s="528">
        <f>Qg*Vdd*DQ212*1000</f>
        <v>2.5055025041608022E-3</v>
      </c>
      <c r="EL212" s="528">
        <f>0.5*(Coss+Csw)*CP212^2*DQ212*1000</f>
        <v>2.4134804081879851E-3</v>
      </c>
      <c r="EM212">
        <f>CN212*IQ</f>
        <v>8.5500000000000003E-3</v>
      </c>
      <c r="EN212" s="460">
        <f>(EK212+EM212)*1000</f>
        <v>11.055502504160801</v>
      </c>
      <c r="EP212" s="460">
        <f>SUM(EI212:EM212)*1000</f>
        <v>4363.59411469512</v>
      </c>
      <c r="EQ212" s="173">
        <f>Vfwd2*CJ212</f>
        <v>7</v>
      </c>
      <c r="ER212" s="173">
        <f>Vfwd22*CK212*(1+Diode_TC/1000*(Ta-25))</f>
        <v>0.11093749999999999</v>
      </c>
      <c r="ES212" s="528"/>
      <c r="EU212" s="460">
        <f>SUM(EQ212:ET212)*1000</f>
        <v>7110.9375</v>
      </c>
      <c r="EV212" s="528">
        <f>Rdcr_pri*EE212^2</f>
        <v>5.7794376976741573</v>
      </c>
      <c r="EW212" s="528">
        <f>Rdcr_sec*EF212^2</f>
        <v>6.994223965338155</v>
      </c>
      <c r="EX212" s="528">
        <f>Rdcr_sec2*EG212^2</f>
        <v>7.0701269366805683E-4</v>
      </c>
      <c r="EY212" s="528">
        <f>DM212^2.5*DQ212^2.5*k_core</f>
        <v>0.68679375210278792</v>
      </c>
      <c r="EZ212" s="528"/>
      <c r="FA212" s="625">
        <f>0.5*Lleak*0.000000001*DM212^2*DQ212*1000</f>
        <v>2.5603553027184148E-2</v>
      </c>
      <c r="FB212" s="460">
        <f>SUM(EV212:FA212)*1000</f>
        <v>13486.765980835953</v>
      </c>
      <c r="FC212" s="173">
        <f>SUM(EI212:EM212,EQ212:ET212,EV212:FA212)</f>
        <v>24.961297595531072</v>
      </c>
      <c r="FD212" s="5">
        <f>MIN(CL212+CM212,CS212+CT212)</f>
        <v>152</v>
      </c>
      <c r="FE212" s="173">
        <f>FD212/(FD212+FC212)</f>
        <v>0.85894487701721367</v>
      </c>
      <c r="FF212" s="5">
        <f>FE212*100</f>
        <v>85.894487701721374</v>
      </c>
      <c r="FG212">
        <f>CJ212/Iout*100</f>
        <v>100</v>
      </c>
      <c r="FI212" s="562">
        <f>IF(ABS(CJ212-Ioutmax_Vinmin)&lt;Iout/200, DQ212, -50)</f>
        <v>-50</v>
      </c>
      <c r="FJ212">
        <f>IF(ABS(CJ212-Ioutmax_Vinmin)&lt;Iout/200, (CS212+CT212)*FE212, -50)</f>
        <v>-50</v>
      </c>
    </row>
    <row r="213" spans="1:169">
      <c r="G213" s="217"/>
      <c r="H213" s="217"/>
      <c r="I213" s="217"/>
      <c r="J213" s="541"/>
      <c r="K213" s="443"/>
      <c r="L213" s="172"/>
      <c r="M213" s="443"/>
      <c r="N213" s="217"/>
      <c r="O213" s="172"/>
      <c r="P213" s="172"/>
      <c r="Q213" s="217"/>
      <c r="R213" s="217"/>
      <c r="S213" s="217"/>
      <c r="T213" s="217"/>
      <c r="U213" s="217"/>
      <c r="V213" s="217"/>
      <c r="W213" s="197"/>
      <c r="X213" s="443"/>
      <c r="Z213" s="217"/>
      <c r="AA213" s="173"/>
      <c r="AB213" s="173"/>
      <c r="AC213" s="173"/>
      <c r="AD213" s="173"/>
      <c r="AE213" s="545"/>
      <c r="AF213" s="528"/>
      <c r="AH213" s="173"/>
      <c r="AI213" s="173"/>
      <c r="AJ213" s="173"/>
      <c r="AL213" s="545"/>
      <c r="AM213" s="460"/>
      <c r="AR213" s="5"/>
      <c r="AS213" s="5"/>
      <c r="AT213" s="5"/>
      <c r="AU213" s="173"/>
      <c r="CE213" s="562"/>
      <c r="CG213" s="173"/>
      <c r="CH213" s="173"/>
      <c r="CK213" s="217"/>
      <c r="CL213" s="217"/>
      <c r="CM213" s="217"/>
      <c r="CN213" s="541"/>
      <c r="CO213" s="443"/>
      <c r="CP213" s="443"/>
      <c r="CQ213" s="443"/>
      <c r="CR213" s="217"/>
      <c r="CS213" s="172"/>
      <c r="CT213" s="172"/>
      <c r="CU213" s="217"/>
      <c r="CV213" s="217"/>
      <c r="CW213" s="217"/>
      <c r="CX213" s="217"/>
      <c r="CY213" s="217"/>
      <c r="CZ213" s="217"/>
      <c r="DA213" s="197"/>
      <c r="DB213" s="443"/>
      <c r="DD213" s="217"/>
      <c r="DE213" s="173"/>
      <c r="DF213" s="173"/>
      <c r="DG213" s="173"/>
      <c r="DH213" s="173"/>
      <c r="DI213" s="545"/>
      <c r="DJ213" s="528"/>
      <c r="DL213" s="173"/>
      <c r="DM213" s="173"/>
      <c r="DN213" s="173"/>
      <c r="DP213" s="545"/>
      <c r="DQ213" s="460"/>
      <c r="DV213" s="5"/>
      <c r="DW213" s="5"/>
      <c r="DX213" s="5"/>
      <c r="DY213" s="173"/>
      <c r="FI213" s="562"/>
    </row>
    <row r="214" spans="1:169" ht="13">
      <c r="E214" s="445" t="s">
        <v>435</v>
      </c>
      <c r="G214" s="217"/>
      <c r="H214" s="217"/>
      <c r="I214" s="217"/>
      <c r="J214" s="541"/>
      <c r="K214" s="443"/>
      <c r="L214" s="172"/>
      <c r="M214" s="443"/>
      <c r="N214" s="217"/>
      <c r="O214" s="172"/>
      <c r="P214" s="172"/>
      <c r="Q214" s="217"/>
      <c r="R214" s="217"/>
      <c r="S214" s="217"/>
      <c r="T214" s="217"/>
      <c r="U214" s="217"/>
      <c r="V214" s="217"/>
      <c r="W214" s="197"/>
      <c r="X214" s="443"/>
      <c r="Z214" s="217"/>
      <c r="AA214" s="173"/>
      <c r="AB214" s="173"/>
      <c r="AC214" s="173"/>
      <c r="AD214" s="173"/>
      <c r="AE214" s="545"/>
      <c r="AF214" s="528"/>
      <c r="AH214" s="173"/>
      <c r="AI214" s="173"/>
      <c r="AJ214" s="173"/>
      <c r="AL214" s="545"/>
      <c r="AM214" s="460"/>
      <c r="AR214" s="5"/>
      <c r="AS214" s="5"/>
      <c r="AT214" s="5"/>
      <c r="AU214" s="173"/>
      <c r="CE214" s="562"/>
      <c r="CG214" s="173"/>
      <c r="CH214" s="173"/>
      <c r="CI214" s="445" t="s">
        <v>435</v>
      </c>
      <c r="CK214" s="217"/>
      <c r="CL214" s="217"/>
      <c r="CM214" s="217"/>
      <c r="CN214" s="541"/>
      <c r="CO214" s="443"/>
      <c r="CP214" s="443"/>
      <c r="CQ214" s="443"/>
      <c r="CR214" s="217"/>
      <c r="CS214" s="172"/>
      <c r="CT214" s="172"/>
      <c r="CU214" s="217"/>
      <c r="CV214" s="217"/>
      <c r="CW214" s="217"/>
      <c r="CX214" s="217"/>
      <c r="CY214" s="217"/>
      <c r="CZ214" s="217"/>
      <c r="DA214" s="197"/>
      <c r="DB214" s="443"/>
      <c r="DD214" s="217"/>
      <c r="DE214" s="173"/>
      <c r="DF214" s="173"/>
      <c r="DG214" s="173"/>
      <c r="DH214" s="173"/>
      <c r="DI214" s="545"/>
      <c r="DJ214" s="528"/>
      <c r="DL214" s="173"/>
      <c r="DM214" s="173"/>
      <c r="DN214" s="173"/>
      <c r="DP214" s="545"/>
      <c r="DQ214" s="460"/>
      <c r="DV214" s="5"/>
      <c r="DW214" s="5"/>
      <c r="DX214" s="5"/>
      <c r="DY214" s="173"/>
      <c r="FI214" s="562"/>
    </row>
    <row r="215" spans="1:169" ht="45" customHeight="1" thickBot="1">
      <c r="E215" s="241" t="s">
        <v>25</v>
      </c>
      <c r="F215" s="602" t="s">
        <v>580</v>
      </c>
      <c r="G215" s="444" t="s">
        <v>579</v>
      </c>
      <c r="H215" s="603" t="s">
        <v>581</v>
      </c>
      <c r="I215" s="604" t="s">
        <v>582</v>
      </c>
      <c r="J215" s="242" t="s">
        <v>412</v>
      </c>
      <c r="K215" s="243" t="s">
        <v>586</v>
      </c>
      <c r="L215" s="605" t="s">
        <v>413</v>
      </c>
      <c r="M215" s="606"/>
      <c r="N215" s="244" t="s">
        <v>48</v>
      </c>
      <c r="O215" s="606" t="s">
        <v>590</v>
      </c>
      <c r="P215" s="606" t="s">
        <v>606</v>
      </c>
      <c r="Q215" s="606" t="s">
        <v>583</v>
      </c>
      <c r="R215" s="606" t="s">
        <v>584</v>
      </c>
      <c r="S215" s="606" t="s">
        <v>585</v>
      </c>
      <c r="T215" s="606" t="s">
        <v>414</v>
      </c>
      <c r="U215" s="606" t="s">
        <v>466</v>
      </c>
      <c r="V215" s="606" t="s">
        <v>465</v>
      </c>
      <c r="W215" s="607" t="s">
        <v>420</v>
      </c>
      <c r="X215" s="608" t="s">
        <v>425</v>
      </c>
      <c r="Z215" s="245" t="s">
        <v>417</v>
      </c>
      <c r="AA215" s="245" t="s">
        <v>464</v>
      </c>
      <c r="AB215" s="245" t="s">
        <v>587</v>
      </c>
      <c r="AC215" s="544"/>
      <c r="AD215" s="245" t="s">
        <v>463</v>
      </c>
      <c r="AE215" s="607" t="s">
        <v>426</v>
      </c>
      <c r="AF215" s="245" t="s">
        <v>588</v>
      </c>
      <c r="AG215" s="544"/>
      <c r="AH215" s="245" t="s">
        <v>429</v>
      </c>
      <c r="AI215" s="547" t="s">
        <v>430</v>
      </c>
      <c r="AJ215" s="547" t="s">
        <v>431</v>
      </c>
      <c r="AL215" s="543" t="s">
        <v>275</v>
      </c>
      <c r="AM215" s="543" t="s">
        <v>432</v>
      </c>
      <c r="AO215" s="245" t="s">
        <v>275</v>
      </c>
      <c r="AP215" s="245" t="s">
        <v>432</v>
      </c>
      <c r="AQ215" s="548"/>
      <c r="AR215" s="245" t="s">
        <v>467</v>
      </c>
      <c r="AS215" s="245" t="s">
        <v>461</v>
      </c>
      <c r="AT215" s="245" t="s">
        <v>462</v>
      </c>
      <c r="AU215" s="245" t="s">
        <v>48</v>
      </c>
      <c r="AV215" s="544"/>
      <c r="AW215" s="245" t="s">
        <v>591</v>
      </c>
      <c r="AX215" s="245" t="s">
        <v>592</v>
      </c>
      <c r="AY215" s="245" t="s">
        <v>514</v>
      </c>
      <c r="AZ215" s="544"/>
      <c r="BA215" s="557" t="s">
        <v>456</v>
      </c>
      <c r="BB215" s="245" t="s">
        <v>599</v>
      </c>
      <c r="BC215" s="245" t="s">
        <v>598</v>
      </c>
      <c r="BD215" s="544"/>
      <c r="BE215" s="557" t="s">
        <v>474</v>
      </c>
      <c r="BF215" s="245" t="s">
        <v>475</v>
      </c>
      <c r="BG215" s="245" t="s">
        <v>473</v>
      </c>
      <c r="BH215" s="245" t="s">
        <v>469</v>
      </c>
      <c r="BI215" s="245" t="s">
        <v>478</v>
      </c>
      <c r="BJ215" s="245" t="s">
        <v>491</v>
      </c>
      <c r="BK215" s="245" t="s">
        <v>776</v>
      </c>
      <c r="BL215" s="245" t="s">
        <v>778</v>
      </c>
      <c r="BM215" s="557" t="s">
        <v>601</v>
      </c>
      <c r="BN215" s="245" t="s">
        <v>600</v>
      </c>
      <c r="BO215" s="245" t="s">
        <v>477</v>
      </c>
      <c r="BP215" s="245" t="s">
        <v>483</v>
      </c>
      <c r="BQ215" s="245" t="s">
        <v>487</v>
      </c>
      <c r="BR215" s="557" t="s">
        <v>458</v>
      </c>
      <c r="BS215" s="245" t="s">
        <v>603</v>
      </c>
      <c r="BT215" s="245" t="s">
        <v>602</v>
      </c>
      <c r="BU215" s="245" t="s">
        <v>468</v>
      </c>
      <c r="BV215" s="245" t="s">
        <v>673</v>
      </c>
      <c r="BW215" s="245" t="s">
        <v>484</v>
      </c>
      <c r="BX215" s="245" t="s">
        <v>667</v>
      </c>
      <c r="BY215" s="557" t="s">
        <v>482</v>
      </c>
      <c r="BZ215" s="245" t="s">
        <v>223</v>
      </c>
      <c r="CA215" s="245" t="s">
        <v>47</v>
      </c>
      <c r="CB215" s="245" t="s">
        <v>485</v>
      </c>
      <c r="CC215" s="245" t="s">
        <v>604</v>
      </c>
      <c r="CE215" s="569" t="s">
        <v>497</v>
      </c>
      <c r="CG215" s="782" t="s">
        <v>829</v>
      </c>
      <c r="CH215" s="783" t="s">
        <v>830</v>
      </c>
      <c r="CI215" s="241" t="s">
        <v>25</v>
      </c>
      <c r="CJ215" s="602" t="s">
        <v>580</v>
      </c>
      <c r="CK215" s="444" t="s">
        <v>579</v>
      </c>
      <c r="CL215" s="603" t="s">
        <v>581</v>
      </c>
      <c r="CM215" s="604" t="s">
        <v>582</v>
      </c>
      <c r="CN215" s="242" t="s">
        <v>412</v>
      </c>
      <c r="CO215" s="243" t="s">
        <v>586</v>
      </c>
      <c r="CP215" s="605" t="s">
        <v>413</v>
      </c>
      <c r="CQ215" s="606"/>
      <c r="CR215" s="244" t="s">
        <v>48</v>
      </c>
      <c r="CS215" s="606" t="s">
        <v>590</v>
      </c>
      <c r="CT215" s="606" t="s">
        <v>606</v>
      </c>
      <c r="CU215" s="606" t="s">
        <v>583</v>
      </c>
      <c r="CV215" s="606" t="s">
        <v>584</v>
      </c>
      <c r="CW215" s="606" t="s">
        <v>585</v>
      </c>
      <c r="CX215" s="606" t="s">
        <v>414</v>
      </c>
      <c r="CY215" s="606" t="s">
        <v>466</v>
      </c>
      <c r="CZ215" s="606" t="s">
        <v>465</v>
      </c>
      <c r="DA215" s="607" t="s">
        <v>420</v>
      </c>
      <c r="DB215" s="608" t="s">
        <v>425</v>
      </c>
      <c r="DD215" s="245" t="s">
        <v>417</v>
      </c>
      <c r="DE215" s="245" t="s">
        <v>464</v>
      </c>
      <c r="DF215" s="245" t="s">
        <v>587</v>
      </c>
      <c r="DG215" s="544"/>
      <c r="DH215" s="245" t="s">
        <v>463</v>
      </c>
      <c r="DI215" s="607" t="s">
        <v>426</v>
      </c>
      <c r="DJ215" s="245" t="s">
        <v>588</v>
      </c>
      <c r="DK215" s="544"/>
      <c r="DL215" s="245" t="s">
        <v>429</v>
      </c>
      <c r="DM215" s="547" t="s">
        <v>430</v>
      </c>
      <c r="DN215" s="547" t="s">
        <v>431</v>
      </c>
      <c r="DP215" s="543" t="s">
        <v>275</v>
      </c>
      <c r="DQ215" s="543" t="s">
        <v>432</v>
      </c>
      <c r="DS215" s="245" t="s">
        <v>275</v>
      </c>
      <c r="DT215" s="245" t="s">
        <v>432</v>
      </c>
      <c r="DU215" s="548"/>
      <c r="DV215" s="245" t="s">
        <v>467</v>
      </c>
      <c r="DW215" s="245" t="s">
        <v>461</v>
      </c>
      <c r="DX215" s="245" t="s">
        <v>462</v>
      </c>
      <c r="DY215" s="245" t="s">
        <v>48</v>
      </c>
      <c r="DZ215" s="544"/>
      <c r="EA215" s="245" t="s">
        <v>591</v>
      </c>
      <c r="EB215" s="245" t="s">
        <v>592</v>
      </c>
      <c r="EC215" s="245" t="s">
        <v>514</v>
      </c>
      <c r="ED215" s="544"/>
      <c r="EE215" s="557" t="s">
        <v>456</v>
      </c>
      <c r="EF215" s="245" t="s">
        <v>599</v>
      </c>
      <c r="EG215" s="245" t="s">
        <v>598</v>
      </c>
      <c r="EH215" s="544"/>
      <c r="EI215" s="557" t="s">
        <v>474</v>
      </c>
      <c r="EJ215" s="245" t="s">
        <v>475</v>
      </c>
      <c r="EK215" s="245" t="s">
        <v>473</v>
      </c>
      <c r="EL215" s="245" t="s">
        <v>469</v>
      </c>
      <c r="EM215" s="245" t="s">
        <v>478</v>
      </c>
      <c r="EN215" s="245" t="s">
        <v>491</v>
      </c>
      <c r="EO215" s="245" t="s">
        <v>776</v>
      </c>
      <c r="EP215" s="245" t="s">
        <v>778</v>
      </c>
      <c r="EQ215" s="557" t="s">
        <v>601</v>
      </c>
      <c r="ER215" s="245" t="s">
        <v>600</v>
      </c>
      <c r="ES215" s="245" t="s">
        <v>477</v>
      </c>
      <c r="ET215" s="245" t="s">
        <v>483</v>
      </c>
      <c r="EU215" s="245" t="s">
        <v>487</v>
      </c>
      <c r="EV215" s="557" t="s">
        <v>458</v>
      </c>
      <c r="EW215" s="245" t="s">
        <v>603</v>
      </c>
      <c r="EX215" s="245" t="s">
        <v>602</v>
      </c>
      <c r="EY215" s="245" t="s">
        <v>468</v>
      </c>
      <c r="EZ215" s="245" t="s">
        <v>673</v>
      </c>
      <c r="FA215" s="245" t="s">
        <v>484</v>
      </c>
      <c r="FB215" s="245" t="s">
        <v>486</v>
      </c>
      <c r="FC215" s="557" t="s">
        <v>482</v>
      </c>
      <c r="FD215" s="245" t="s">
        <v>223</v>
      </c>
      <c r="FE215" s="245" t="s">
        <v>47</v>
      </c>
      <c r="FF215" s="245" t="s">
        <v>485</v>
      </c>
      <c r="FG215" s="245" t="s">
        <v>604</v>
      </c>
      <c r="FI215" s="569" t="s">
        <v>497</v>
      </c>
      <c r="FL215" s="782" t="s">
        <v>876</v>
      </c>
      <c r="FM215" s="782" t="s">
        <v>875</v>
      </c>
    </row>
    <row r="216" spans="1:169">
      <c r="E216" s="170">
        <v>0.1</v>
      </c>
      <c r="F216" s="217">
        <v>1.0000000000000001E-9</v>
      </c>
      <c r="G216" s="217">
        <f t="shared" ref="G216:G247" si="617">IF(PLOT_TYPE=1, E216/100*Iout2, min_I*EXP(Q216*rr/100))</f>
        <v>2.5000000000000001E-4</v>
      </c>
      <c r="H216" s="217">
        <f t="shared" ref="H216:H247" si="618">F216*Vout</f>
        <v>1.5000000000000002E-8</v>
      </c>
      <c r="I216" s="217">
        <f t="shared" ref="I216:I247" si="619">Vout2*G216</f>
        <v>2E-3</v>
      </c>
      <c r="J216" s="541">
        <f t="shared" ref="J216:J247" si="620">VIN_max-(F216/CG216/Nps+G216/CH216/(Nps/Nsec1sec2))*(Rdcr_pri+RON/1000)</f>
        <v>84.995423145354124</v>
      </c>
      <c r="K216" s="443">
        <f t="shared" ref="K216:K247" si="621">MAX((S216+Vfwd2+Rdcr_sec*F216/CG216)*Nps,(Vout2+Vfwd22+Rdcr_sec2*G216/CH216)*Nps/Nsec1sec2)</f>
        <v>15.701557187234135</v>
      </c>
      <c r="L216" s="172">
        <f t="shared" ref="L216:L247" si="622">MAX((Vout+Vfwd2+F216/CG216*Rdcr_sec)*Nps+J216, (Vout2+Vfwd22+G216/CH216*Rdcr_sec2)*Nps/Nsec1sec2+J216)</f>
        <v>100.69698033258825</v>
      </c>
      <c r="M216" s="443"/>
      <c r="N216" s="217">
        <f t="shared" ref="N216:N247" si="623">MAX((Vout+Vfwd2+F216/CG216*Rdcr_sec)*Nps/((Vout+Vfwd2+F216/CG216*Rdcr_sec)*Nps+J216), (Vout2+Vfwd22+G216/CH216*Rdcr_sec2)*Nps/Nsec1sec2/((Vout2+Vfwd22+G216/CH216*Rdcr_sec2)*Nps/Nsec1sec2+J216))</f>
        <v>0.15592877895021334</v>
      </c>
      <c r="O216" s="172">
        <f t="shared" ref="O216:O247" si="624">N216*J216*Isw_max*0.5*Efficiency*Pout/(Pout+Pout2)</f>
        <v>326.97119771575086</v>
      </c>
      <c r="P216" s="172">
        <f t="shared" ref="P216:P247" si="625">N216*J216*Isw_max*0.5*Efficiency*(Pout2/Pout_total)</f>
        <v>4.4177441824705896</v>
      </c>
      <c r="Q216" s="217">
        <f t="shared" ref="Q216:Q279" si="626">O216/Vout</f>
        <v>21.798079847716725</v>
      </c>
      <c r="R216" s="217">
        <f t="shared" ref="R216:R247" si="627">O216/Vout2</f>
        <v>40.871399714468858</v>
      </c>
      <c r="S216" s="217">
        <f t="shared" ref="S216:S247" si="628">MIN(Vout,O216/F216)</f>
        <v>15</v>
      </c>
      <c r="T216" s="217">
        <f t="shared" ref="T216:T247" si="629">MIN(2*(Vout*F216+Vout2*G216)/(Efficiency*J216*N216), Isw_max)</f>
        <v>3.0181542394962111E-4</v>
      </c>
      <c r="U216" s="217">
        <f t="shared" ref="U216:U279" si="630">L*T216/J216*1000000</f>
        <v>4.26115307550348E-5</v>
      </c>
      <c r="V216" s="217">
        <f t="shared" ref="V216:V279" si="631">L*T216/K216*1000000</f>
        <v>2.3066407007962751E-4</v>
      </c>
      <c r="W216" s="197">
        <f t="shared" ref="W216:W279" si="632">IF(1/((350000*L)*(1/J216+1/K216))&gt;Isw_min, 350, 0.001/((Isw_min*L)*(1/J216+1/K216)))</f>
        <v>110.44360456176476</v>
      </c>
      <c r="X216" s="443">
        <f>MIN(1/(U216+V216+0.2)*1000, 350)</f>
        <v>350</v>
      </c>
      <c r="Z216" s="217">
        <f t="shared" ref="Z216:Z279" si="633">1/((W216*1000*L)*(1/J216+1/K216))</f>
        <v>10</v>
      </c>
      <c r="AA216" s="173">
        <f t="shared" ref="AA216:AA279" si="634">L*Z216/K216*1000000</f>
        <v>7.6425540835888448</v>
      </c>
      <c r="AB216" s="173">
        <f t="shared" ref="AB216:AB247" si="635">0.5*AA216*Z216*Nps*W216/1000*(Pout/(Pout+Pout2))</f>
        <v>4.1648251038640804</v>
      </c>
      <c r="AC216" s="173"/>
      <c r="AD216" s="173">
        <f t="shared" ref="AD216:AD279" si="636">L*Isw_min/K216*1000000</f>
        <v>7.6425540835888448</v>
      </c>
      <c r="AE216" s="545">
        <f t="shared" ref="AE216:AE247" si="637">MAX(10, F216/(0.5*AD216/1000000*Isw_min*Nps)/1000*Pout_total/Pout)</f>
        <v>10</v>
      </c>
      <c r="AF216" s="528">
        <f t="shared" ref="AF216:AF247" si="638">0.5*AD216/1000000*Isw_min*Nps*W216*1000*(Pout/Pout_total)</f>
        <v>4.2203561052489347</v>
      </c>
      <c r="AH216" s="173">
        <f t="shared" ref="AH216:AH247" si="639">SQRT((H216+I216)/(0.5*L*Fsw_DCM))</f>
        <v>3.0860785719713863E-2</v>
      </c>
      <c r="AI216" s="173">
        <f t="shared" ref="AI216:AI247" si="640">MAX(IF(F216&gt;AB216,T216,AH216),Isw_min)</f>
        <v>10</v>
      </c>
      <c r="AJ216" s="173">
        <f t="shared" ref="AJ216:AJ247" si="641">IF(F216&gt;AF216, (AI216-Isw_min)/1.08*0.8+1.2, AE216*0.2/350+1)</f>
        <v>1.0057142857142858</v>
      </c>
      <c r="AL216" s="545">
        <f t="shared" ref="AL216:AL247" si="642">F216*1000</f>
        <v>1.0000000000000002E-6</v>
      </c>
      <c r="AM216" s="460">
        <f t="shared" ref="AM216:AM247" si="643">IF(F216&gt;AF216, X216, AE216)</f>
        <v>10</v>
      </c>
      <c r="AO216">
        <f t="shared" ref="AO216:AO279" si="644">IF(H216&gt;O216, "",AL216)</f>
        <v>1.0000000000000002E-6</v>
      </c>
      <c r="AP216">
        <f t="shared" ref="AP216:AP279" si="645">IF(H216&gt;O216, "",AM216)</f>
        <v>10</v>
      </c>
      <c r="AR216" s="5">
        <f t="shared" si="616"/>
        <v>100</v>
      </c>
      <c r="AS216" s="5">
        <f t="shared" si="604"/>
        <v>1.4118407269387097</v>
      </c>
      <c r="AT216" s="5">
        <f t="shared" si="605"/>
        <v>98.588159273061294</v>
      </c>
      <c r="AU216" s="173">
        <f t="shared" si="606"/>
        <v>1.4118407269387097E-2</v>
      </c>
      <c r="BA216" s="173">
        <f>AI216*SQRT(AU216/3)</f>
        <v>0.68601281011817605</v>
      </c>
      <c r="BB216" s="173">
        <f>AI216*Npri_sec1*SQRT((1-AU216)/3)*(Pout/Pout_total)</f>
        <v>5.7326014825458689</v>
      </c>
      <c r="BC216" s="173">
        <f>AI216*Npri_sec2*SQRT((1-AU216)/3)*(Pout2/Pout_total)</f>
        <v>0.14117936200152184</v>
      </c>
      <c r="BD216" s="173"/>
      <c r="BE216" s="528">
        <f>Rdson*BA216^2</f>
        <v>9.4122715129247338E-3</v>
      </c>
      <c r="BF216" s="528">
        <f t="shared" ref="BF216:BF247" si="646">0.5*L216*AI216*AM216*1000*Tfall</f>
        <v>0.18880683812360297</v>
      </c>
      <c r="BG216" s="528">
        <f t="shared" ref="BG216:BG247" si="647">Qg*Vdd*AM216*1000*0+Qg*J216*AM216*1000</f>
        <v>2.1248855786338533E-2</v>
      </c>
      <c r="BH216" s="528">
        <f>0.5*(Coss+Csw)*L216^2*AM216*1000</f>
        <v>1.0139881848101665E-2</v>
      </c>
      <c r="BI216">
        <f>J216*IQ</f>
        <v>3.8247940415409354E-2</v>
      </c>
      <c r="BJ216" s="460">
        <f>(BG216+BI216)*1000</f>
        <v>59.496796201747884</v>
      </c>
      <c r="BK216">
        <f t="shared" ref="BK216:BK247" si="648">(BF216+BG216*0+BH216+BI216*0+BE216*(1+RdsonTC*(Ta-25)))/(1-BE216*RdsonTC*ThetaJA)</f>
        <v>0.21137301003135348</v>
      </c>
      <c r="BL216" s="460">
        <f>SUM(BE216:BI216)*1000</f>
        <v>267.85578768637725</v>
      </c>
      <c r="BM216" s="173">
        <f t="shared" ref="BM216:BM247" si="649">Vfwd2*F216*(1+Diode_TC/1000*(Ta-25))</f>
        <v>6.212499999999999E-10</v>
      </c>
      <c r="BN216" s="173">
        <f t="shared" ref="BN216:BN247" si="650">Vfwd22*G216*(1+Diode_TC/1000*(Ta-25))</f>
        <v>1.1093749999999999E-4</v>
      </c>
      <c r="BQ216" s="460">
        <f>SUM(BM216:BP216)*1000</f>
        <v>0.11093812124999999</v>
      </c>
      <c r="BR216" s="528">
        <f>Rdcr_pri*BA216^2</f>
        <v>1.4118407269387101E-2</v>
      </c>
      <c r="BS216" s="528">
        <f>Rdcr_sec*BB216^2</f>
        <v>0.98588159273061282</v>
      </c>
      <c r="BT216" s="528">
        <f>Rdcr_sec2*BC216^2</f>
        <v>9.9658061275783737E-5</v>
      </c>
      <c r="BU216" s="528">
        <f>AI216^2.5*AM216^2.5*k_core</f>
        <v>5.0000000000000096E-3</v>
      </c>
      <c r="BV216" s="528"/>
      <c r="BW216" s="625">
        <f>0.5*Lleak*0.000000001*AI216^2*AM216*1000</f>
        <v>1.0000000000000002E-3</v>
      </c>
      <c r="BX216" s="460">
        <f>SUM(BR216:BW216)*1000</f>
        <v>1006.0996580612758</v>
      </c>
      <c r="BY216" s="173">
        <f>SUM(BE216:BI216,BM216:BP216,BR216:BW216)</f>
        <v>1.274066383868903</v>
      </c>
      <c r="BZ216" s="5">
        <f>MIN(H216+I216,O216+P216)</f>
        <v>2.000015E-3</v>
      </c>
      <c r="CA216" s="173">
        <f>BZ216/(BZ216+BY216)</f>
        <v>1.5673283159660034E-3</v>
      </c>
      <c r="CB216" s="5">
        <f>CA216*100</f>
        <v>0.15673283159660034</v>
      </c>
      <c r="CC216">
        <f>F216/Iout*100</f>
        <v>1E-8</v>
      </c>
      <c r="CE216" s="562">
        <f t="shared" ref="CE216:CE247" si="651">IF(ABS(F216-Ioutmax_Vinmax)&lt;Iout/200, AM216, -50)</f>
        <v>-50</v>
      </c>
      <c r="CG216" s="173">
        <f t="shared" ref="CG216:CG247" si="652">MIN(SQRT(2*DT216*1000*Ls1_*CL216)/CW216, 1-DY216)</f>
        <v>4.0000000000000007E-6</v>
      </c>
      <c r="CH216" s="173">
        <f t="shared" ref="CH216:CH247" si="653">MIN(SQRT(2*DT216*1000*Ls2_*CM216)/Vout2, 1-DY216)</f>
        <v>1.482688451845195E-3</v>
      </c>
      <c r="CI216" s="170">
        <v>0.1</v>
      </c>
      <c r="CJ216" s="217">
        <v>1.0000000000000001E-9</v>
      </c>
      <c r="CK216" s="217">
        <f t="shared" ref="CK216:CK279" si="654">IF(PLOT_TYPE=1, CI216/100*Iout2, min_I*EXP(CU216*rr/100))</f>
        <v>2.5000000000000001E-4</v>
      </c>
      <c r="CL216" s="217">
        <f t="shared" ref="CL216:CL279" si="655">CJ216*Vout</f>
        <v>1.5000000000000002E-8</v>
      </c>
      <c r="CM216" s="217">
        <f t="shared" ref="CM216:CM279" si="656">Vout2*CK216</f>
        <v>2E-3</v>
      </c>
      <c r="CN216" s="541">
        <f t="shared" ref="CN216:CN279" si="657">VIN_max</f>
        <v>85</v>
      </c>
      <c r="CO216" s="443">
        <f t="shared" ref="CO216:CO247" si="658">(CW216+Vfwd2)*Nps</f>
        <v>15.7</v>
      </c>
      <c r="CP216" s="443">
        <f t="shared" ref="CP216:CP247" si="659">(Vout+Vfwd2)*Nps+CN216</f>
        <v>100.7</v>
      </c>
      <c r="CQ216" s="443"/>
      <c r="CR216" s="217">
        <f t="shared" ref="CR216:CR279" si="660">(Vout+Vfwd1)*Nps/((Vout+Vfwd1)*Nps+CN216)</f>
        <v>0.15338645418326693</v>
      </c>
      <c r="CS216" s="172">
        <f t="shared" ref="CS216:CS279" si="661">CR216*CN216*Isw_max*0.5*Efficiency*Pout/(Pout+Pout2)</f>
        <v>321.65744915076539</v>
      </c>
      <c r="CT216" s="172">
        <f t="shared" ref="CT216:CT279" si="662">CR216*CN216*Isw_max*0.5*Efficiency*(Pout2/Pout_total)</f>
        <v>4.3459495351925632</v>
      </c>
      <c r="CU216" s="217">
        <f t="shared" ref="CU216:CU279" si="663">CS216/Vout</f>
        <v>21.443829943384358</v>
      </c>
      <c r="CV216" s="217">
        <f t="shared" ref="CV216:CV279" si="664">CS216/Vout2</f>
        <v>40.207181143845673</v>
      </c>
      <c r="CW216" s="217">
        <f t="shared" ref="CW216:CW279" si="665">MIN(Vout,CS216/CJ216)</f>
        <v>15</v>
      </c>
      <c r="CX216" s="217">
        <f t="shared" ref="CX216:CX279" si="666">MIN(2*(Vout*CJ216+Vout2*CK216)/(Efficiency*CN216*CR216), Isw_max)</f>
        <v>3.06801384262796E-4</v>
      </c>
      <c r="CY216" s="217">
        <f t="shared" ref="CY216:CY279" si="667">L*CX216/CN216*1000000</f>
        <v>4.3313136601806496E-5</v>
      </c>
      <c r="CZ216" s="217">
        <f t="shared" ref="CZ216:CZ279" si="668">L*CX216/CO216*1000000</f>
        <v>2.3449787332188233E-4</v>
      </c>
      <c r="DA216" s="197">
        <f t="shared" ref="DA216:DA279" si="669">IF(1/((350000*L)*(1/CN216+1/CO216))&gt;Isw_min, 350, 0.001/((Isw_min*L)*(1/CN216+1/CO216)))</f>
        <v>110.43528632903013</v>
      </c>
      <c r="DB216" s="443">
        <f t="shared" ref="DB216:DB279" si="670">MIN(1/(CY216+CZ216)*1000, 350)</f>
        <v>350</v>
      </c>
      <c r="DD216" s="217">
        <f t="shared" ref="DD216:DD279" si="671">1/((DA216*1000*L)*(1/CN216+1/CO216))</f>
        <v>9.9999999999999982</v>
      </c>
      <c r="DE216" s="173">
        <f t="shared" ref="DE216:DE279" si="672">L*DD216/CO216*1000000</f>
        <v>7.6433121019108263</v>
      </c>
      <c r="DF216" s="173">
        <f t="shared" ref="DF216:DF279" si="673">0.5*DE216*DD216*Nps*DA216/1000*(Pout/(Pout+Pout2))</f>
        <v>4.1649244760361679</v>
      </c>
      <c r="DG216" s="173"/>
      <c r="DH216" s="173">
        <f t="shared" ref="DH216:DH279" si="674">L*Isw_min/CO216*1000000</f>
        <v>7.6433121019108281</v>
      </c>
      <c r="DI216" s="545">
        <f t="shared" ref="DI216:DI279" si="675">MAX(10, CJ216/(0.5*DH216/1000000*Isw_min*Nps)/1000*Pout_total/Pout)</f>
        <v>10</v>
      </c>
      <c r="DJ216" s="528">
        <f t="shared" ref="DJ216:DJ279" si="676">0.5*DH216/1000000*Isw_min*Nps*DA216*1000*(Pout/Pout_total)</f>
        <v>4.2204568023833167</v>
      </c>
      <c r="DL216" s="173">
        <f t="shared" ref="DL216:DL279" si="677">SQRT((CL216+CM216)/(0.5*L*Fsw_DCM))</f>
        <v>3.0860785719713863E-2</v>
      </c>
      <c r="DM216" s="173">
        <f t="shared" ref="DM216:DM279" si="678">MAX(IF(CJ216&gt;DF216,CX216,DL216),Isw_min)</f>
        <v>10</v>
      </c>
      <c r="DN216" s="173">
        <f t="shared" ref="DN216:DN279" si="679">IF(CJ216&gt;DJ216, (DM216-Isw_min)/1.08*0.8+1.2, DI216*0.2/350+1)</f>
        <v>1.0057142857142858</v>
      </c>
      <c r="DP216" s="545">
        <f t="shared" ref="DP216:DP279" si="680">CJ216*1000</f>
        <v>1.0000000000000002E-6</v>
      </c>
      <c r="DQ216" s="460">
        <f t="shared" ref="DQ216:DQ279" si="681">IF(CJ216&gt;DJ216, DB216, DI216)</f>
        <v>10</v>
      </c>
      <c r="DS216">
        <f t="shared" ref="DS216:DS279" si="682">IF(CL216&gt;CS216, "",DP216)</f>
        <v>1.0000000000000002E-6</v>
      </c>
      <c r="DT216">
        <f t="shared" ref="DT216:DT279" si="683">IF(CL216&gt;CS216, "",DQ216)</f>
        <v>10</v>
      </c>
      <c r="DV216" s="5">
        <f t="shared" ref="DV216:DV280" si="684">1/DQ216*1000</f>
        <v>100</v>
      </c>
      <c r="DW216" s="5">
        <f t="shared" ref="DW216:DW279" si="685">L*DM216/CN216*1000000</f>
        <v>1.4117647058823528</v>
      </c>
      <c r="DX216" s="5">
        <f t="shared" ref="DX216:DX279" si="686">DV216-DW216</f>
        <v>98.588235294117652</v>
      </c>
      <c r="DY216" s="173">
        <f t="shared" ref="DY216:DY279" si="687">DW216/DV216</f>
        <v>1.4117647058823528E-2</v>
      </c>
      <c r="EA216" s="5">
        <f>CJ216*DW216/Vout_ripple*1000</f>
        <v>9.4117647058823523E-9</v>
      </c>
      <c r="EB216" s="5">
        <f>CK216*DW216/Vout_ripple2*1000</f>
        <v>4.4117647058823529E-3</v>
      </c>
      <c r="EC216" s="5">
        <f>CL216/Efficiency/CN216*DX216/Vinripple1</f>
        <v>5.9992840949767332E-9</v>
      </c>
      <c r="ED216" s="5"/>
      <c r="EE216" s="173">
        <f>DM216*SQRT(DY216/3)</f>
        <v>0.68599434057003528</v>
      </c>
      <c r="EF216" s="173">
        <f>DM216*Npri_sec1*SQRT((1-DY216)/3)*(Pout/Pout_total)</f>
        <v>5.7326036927419999</v>
      </c>
      <c r="EG216" s="173">
        <f>DM216*Npri_sec2*SQRT((1-DY216)/3)*(Pout2/Pout_total)</f>
        <v>0.14117941643301871</v>
      </c>
      <c r="EH216" s="173"/>
      <c r="EI216" s="528">
        <f>Rdson*EE216^2</f>
        <v>9.4117647058823504E-3</v>
      </c>
      <c r="EJ216" s="528">
        <f>0.5*CP216*DM216*DQ216*1000*Trise</f>
        <v>0.2014</v>
      </c>
      <c r="EK216" s="528">
        <f>Qg*Vdd*DQ216*1000</f>
        <v>1.2499999999999998E-3</v>
      </c>
      <c r="EL216" s="528">
        <f>0.5*(Coss+Csw)*CP216^2*DQ216*1000</f>
        <v>1.014049E-2</v>
      </c>
      <c r="EM216">
        <f>CN216*IQ</f>
        <v>3.8249999999999999E-2</v>
      </c>
      <c r="EN216" s="460">
        <f>(EK216+EM216)*1000</f>
        <v>39.5</v>
      </c>
      <c r="EP216" s="460">
        <f>SUM(EI216:EM216)*1000</f>
        <v>260.45225470588235</v>
      </c>
      <c r="EQ216" s="173">
        <f>Vfwd2*CJ216</f>
        <v>6.9999999999999996E-10</v>
      </c>
      <c r="ER216" s="173">
        <f t="shared" ref="ER216:ER247" si="688">Vfwd22*CK216*(1+Diode_TC/1000*(Ta-25))</f>
        <v>1.1093749999999999E-4</v>
      </c>
      <c r="ES216" s="528"/>
      <c r="EU216" s="460">
        <f>SUM(EQ216:ET216)*1000</f>
        <v>0.11093819999999999</v>
      </c>
      <c r="EV216" s="528">
        <f>Rdcr_pri*EE216^2</f>
        <v>1.4117647058823525E-2</v>
      </c>
      <c r="EW216" s="528">
        <f>Rdcr_sec*EF216^2</f>
        <v>0.98588235294117632</v>
      </c>
      <c r="EX216" s="528">
        <f>Rdcr_sec2*EG216^2</f>
        <v>9.9658138121838552E-5</v>
      </c>
      <c r="EY216" s="528">
        <f>DM216^2.5*DQ216^2.5*k_core</f>
        <v>5.0000000000000096E-3</v>
      </c>
      <c r="EZ216" s="528"/>
      <c r="FA216" s="625">
        <f>0.5*Lleak*0.000000001*DM216^2*DQ216*1000</f>
        <v>1.0000000000000002E-3</v>
      </c>
      <c r="FB216" s="460">
        <f>SUM(EV216:FA216)*1000</f>
        <v>1006.0996581381216</v>
      </c>
      <c r="FC216" s="173">
        <f>SUM(EI216:EM216,EQ216:ET216,EV216:FA216)</f>
        <v>1.2666628510440041</v>
      </c>
      <c r="FD216" s="5">
        <f>MIN(CL216+CM216,CS216+CT216)</f>
        <v>2.000015E-3</v>
      </c>
      <c r="FE216" s="173">
        <f>FD216/(FD216+FC216)</f>
        <v>1.5764747700360521E-3</v>
      </c>
      <c r="FF216" s="5">
        <f>FE216*100</f>
        <v>0.15764747700360521</v>
      </c>
      <c r="FG216">
        <f>CJ216/Iout*100</f>
        <v>1E-8</v>
      </c>
      <c r="FI216" s="562">
        <f t="shared" ref="FI216:FI279" si="689">IF(ABS(CJ216-Ioutmax_Vinmax)&lt;Iout/200, DQ216, -50)</f>
        <v>-50</v>
      </c>
    </row>
    <row r="217" spans="1:169">
      <c r="E217" s="170">
        <v>1</v>
      </c>
      <c r="F217" s="217">
        <f t="shared" ref="F217:F248" si="690">IF(PLOT_TYPE=1, E217/100*Iout_max, min_I*EXP(O217*rr/100))</f>
        <v>0.1</v>
      </c>
      <c r="G217" s="217">
        <f t="shared" si="617"/>
        <v>2.5000000000000001E-3</v>
      </c>
      <c r="H217" s="217">
        <f t="shared" si="618"/>
        <v>1.5</v>
      </c>
      <c r="I217" s="217">
        <f t="shared" si="619"/>
        <v>0.02</v>
      </c>
      <c r="J217" s="541">
        <f t="shared" si="620"/>
        <v>84.860566243270256</v>
      </c>
      <c r="K217" s="443">
        <f t="shared" si="621"/>
        <v>15.774999999999999</v>
      </c>
      <c r="L217" s="172">
        <f t="shared" si="622"/>
        <v>100.63556624327026</v>
      </c>
      <c r="M217" s="443"/>
      <c r="N217" s="217">
        <f t="shared" si="623"/>
        <v>0.15675372623100742</v>
      </c>
      <c r="O217" s="172">
        <f t="shared" si="624"/>
        <v>328.17952225425626</v>
      </c>
      <c r="P217" s="172">
        <f t="shared" si="625"/>
        <v>4.4340699895686182</v>
      </c>
      <c r="Q217" s="217">
        <f t="shared" si="626"/>
        <v>21.878634816950417</v>
      </c>
      <c r="R217" s="217">
        <f t="shared" si="627"/>
        <v>41.022440281782032</v>
      </c>
      <c r="S217" s="217">
        <f t="shared" si="628"/>
        <v>15</v>
      </c>
      <c r="T217" s="217">
        <f t="shared" si="629"/>
        <v>0.22853345475313946</v>
      </c>
      <c r="U217" s="217">
        <f t="shared" si="630"/>
        <v>3.2316558543529113E-2</v>
      </c>
      <c r="V217" s="217">
        <f t="shared" si="631"/>
        <v>0.17384478333043893</v>
      </c>
      <c r="W217" s="197">
        <f t="shared" si="632"/>
        <v>110.85174973921548</v>
      </c>
      <c r="X217" s="443">
        <f t="shared" ref="X217:X280" si="691">MIN(1/(U217+V217+0.2)*1000, 350)</f>
        <v>350</v>
      </c>
      <c r="Z217" s="217">
        <f t="shared" si="633"/>
        <v>10</v>
      </c>
      <c r="AA217" s="173">
        <f t="shared" si="634"/>
        <v>7.6069730586370845</v>
      </c>
      <c r="AB217" s="173">
        <f t="shared" si="635"/>
        <v>4.1607546403075286</v>
      </c>
      <c r="AC217" s="173"/>
      <c r="AD217" s="173">
        <f t="shared" si="636"/>
        <v>7.6069730586370845</v>
      </c>
      <c r="AE217" s="545">
        <f t="shared" si="637"/>
        <v>10</v>
      </c>
      <c r="AF217" s="528">
        <f t="shared" si="638"/>
        <v>4.2162313688449622</v>
      </c>
      <c r="AH217" s="173">
        <f t="shared" si="639"/>
        <v>0.85076995939532551</v>
      </c>
      <c r="AI217" s="173">
        <f t="shared" si="640"/>
        <v>10</v>
      </c>
      <c r="AJ217" s="173">
        <f t="shared" si="641"/>
        <v>1.0057142857142858</v>
      </c>
      <c r="AL217" s="545">
        <f t="shared" si="642"/>
        <v>100</v>
      </c>
      <c r="AM217" s="460">
        <f t="shared" si="643"/>
        <v>10</v>
      </c>
      <c r="AO217">
        <f t="shared" si="644"/>
        <v>100</v>
      </c>
      <c r="AP217">
        <f t="shared" si="645"/>
        <v>10</v>
      </c>
      <c r="AR217" s="5">
        <f t="shared" si="616"/>
        <v>100</v>
      </c>
      <c r="AS217" s="5">
        <f t="shared" si="604"/>
        <v>1.414084365828945</v>
      </c>
      <c r="AT217" s="5">
        <f t="shared" si="605"/>
        <v>98.585915634171059</v>
      </c>
      <c r="AU217" s="173">
        <f t="shared" si="606"/>
        <v>1.4140843658289451E-2</v>
      </c>
      <c r="BA217" s="173">
        <f t="shared" ref="BA217:BA280" si="692">AI217*SQRT(AU217/3)</f>
        <v>0.68655768532317452</v>
      </c>
      <c r="BB217" s="173">
        <f t="shared" ref="BB217:BB280" si="693">AI217*Npri_sec1*SQRT((1-AU217)/3)*(Pout/Pout_total)</f>
        <v>5.7325362517874243</v>
      </c>
      <c r="BC217" s="173">
        <f t="shared" ref="BC217:BC280" si="694">AI217*Npri_sec2*SQRT((1-AU217)/3)*(Pout2/Pout_total)</f>
        <v>0.14117775553421583</v>
      </c>
      <c r="BD217" s="173"/>
      <c r="BE217" s="528">
        <f t="shared" ref="BE217:BE280" si="695">Rdson*BA217^2</f>
        <v>9.4272291055263035E-3</v>
      </c>
      <c r="BF217" s="528">
        <f t="shared" si="646"/>
        <v>0.18869168670613173</v>
      </c>
      <c r="BG217" s="528">
        <f t="shared" si="647"/>
        <v>2.1215141560817566E-2</v>
      </c>
      <c r="BH217" s="528">
        <f t="shared" ref="BH217:BH280" si="696">0.5*(Coss+Csw)*L217^2*AM217*1000</f>
        <v>1.0127517193103636E-2</v>
      </c>
      <c r="BI217">
        <f t="shared" ref="BI217:BI280" si="697">J217*IQ</f>
        <v>3.8187254809471612E-2</v>
      </c>
      <c r="BJ217" s="460">
        <f t="shared" ref="BJ217:BJ280" si="698">(BG217+BI217)*1000</f>
        <v>59.402396370289175</v>
      </c>
      <c r="BK217">
        <f t="shared" si="648"/>
        <v>0.21126499937098306</v>
      </c>
      <c r="BL217" s="460">
        <f t="shared" ref="BL217:BL280" si="699">SUM(BE217:BI217)*1000</f>
        <v>267.64882937505087</v>
      </c>
      <c r="BM217" s="173">
        <f t="shared" si="649"/>
        <v>6.2124999999999993E-2</v>
      </c>
      <c r="BN217" s="173">
        <f t="shared" si="650"/>
        <v>1.1093749999999999E-3</v>
      </c>
      <c r="BQ217" s="460">
        <f t="shared" ref="BQ217:BQ280" si="700">SUM(BM217:BP217)*1000</f>
        <v>63.234374999999993</v>
      </c>
      <c r="BR217" s="528">
        <f t="shared" ref="BR217:BR280" si="701">Rdcr_pri*BA217^2</f>
        <v>1.4140843658289453E-2</v>
      </c>
      <c r="BS217" s="528">
        <f t="shared" ref="BS217:BS280" si="702">Rdcr_sec*BB217^2</f>
        <v>0.98585915634171029</v>
      </c>
      <c r="BT217" s="528">
        <f t="shared" ref="BT217:BT280" si="703">Rdcr_sec2*BC217^2</f>
        <v>9.9655793288394047E-5</v>
      </c>
      <c r="BU217" s="528">
        <f t="shared" ref="BU217:BU280" si="704">AI217^2.5*AM217^2.5*k_core</f>
        <v>5.0000000000000096E-3</v>
      </c>
      <c r="BV217" s="528"/>
      <c r="BW217" s="625">
        <f t="shared" ref="BW217:BW280" si="705">0.5*Lleak*0.000000001*AI217^2*AM217*1000</f>
        <v>1.0000000000000002E-3</v>
      </c>
      <c r="BX217" s="460">
        <f t="shared" ref="BX217:BX280" si="706">SUM(BR217:BW217)*1000</f>
        <v>1006.0996557932882</v>
      </c>
      <c r="BY217" s="173">
        <f t="shared" ref="BY217:BY280" si="707">SUM(BE217:BI217,BM217:BP217,BR217:BW217)</f>
        <v>1.3369828601683391</v>
      </c>
      <c r="BZ217" s="5">
        <f t="shared" ref="BZ217:BZ280" si="708">MIN(H217+I217,O217+P217)</f>
        <v>1.52</v>
      </c>
      <c r="CA217" s="173">
        <f t="shared" ref="CA217:CA280" si="709">BZ217/(BZ217+BY217)</f>
        <v>0.53202979310503762</v>
      </c>
      <c r="CB217" s="5">
        <f t="shared" ref="CB217:CB280" si="710">CA217*100</f>
        <v>53.202979310503764</v>
      </c>
      <c r="CC217">
        <f t="shared" ref="CC217:CC280" si="711">F217/Iout*100</f>
        <v>1</v>
      </c>
      <c r="CE217" s="562">
        <f t="shared" si="651"/>
        <v>-50</v>
      </c>
      <c r="CG217" s="173">
        <f t="shared" si="652"/>
        <v>4.0000000000000008E-2</v>
      </c>
      <c r="CH217" s="173">
        <f t="shared" si="653"/>
        <v>4.6886725682596993E-3</v>
      </c>
      <c r="CI217" s="170">
        <v>1</v>
      </c>
      <c r="CJ217" s="217">
        <f t="shared" ref="CJ217:CJ280" si="712">IF(PLOT_TYPE=1, CI217/100*Iout_max, min_I*EXP(CS217*rr/100))</f>
        <v>0.1</v>
      </c>
      <c r="CK217" s="217">
        <f t="shared" si="654"/>
        <v>2.5000000000000001E-3</v>
      </c>
      <c r="CL217" s="217">
        <f t="shared" si="655"/>
        <v>1.5</v>
      </c>
      <c r="CM217" s="217">
        <f t="shared" si="656"/>
        <v>0.02</v>
      </c>
      <c r="CN217" s="541">
        <f t="shared" si="657"/>
        <v>85</v>
      </c>
      <c r="CO217" s="443">
        <f t="shared" si="658"/>
        <v>15.7</v>
      </c>
      <c r="CP217" s="443">
        <f t="shared" si="659"/>
        <v>100.7</v>
      </c>
      <c r="CQ217" s="443"/>
      <c r="CR217" s="217">
        <f t="shared" si="660"/>
        <v>0.15338645418326693</v>
      </c>
      <c r="CS217" s="172">
        <f t="shared" si="661"/>
        <v>321.65744915076539</v>
      </c>
      <c r="CT217" s="172">
        <f t="shared" si="662"/>
        <v>4.3459495351925632</v>
      </c>
      <c r="CU217" s="217">
        <f t="shared" si="663"/>
        <v>21.443829943384358</v>
      </c>
      <c r="CV217" s="217">
        <f t="shared" si="664"/>
        <v>40.207181143845673</v>
      </c>
      <c r="CW217" s="217">
        <f t="shared" si="665"/>
        <v>15</v>
      </c>
      <c r="CX217" s="217">
        <f t="shared" si="666"/>
        <v>0.23316730328495033</v>
      </c>
      <c r="CY217" s="217">
        <f t="shared" si="667"/>
        <v>3.291773693434593E-2</v>
      </c>
      <c r="CZ217" s="217">
        <f t="shared" si="668"/>
        <v>0.17821704709677735</v>
      </c>
      <c r="DA217" s="197">
        <f t="shared" si="669"/>
        <v>110.43528632903013</v>
      </c>
      <c r="DB217" s="443">
        <f t="shared" si="670"/>
        <v>350</v>
      </c>
      <c r="DD217" s="217">
        <f t="shared" si="671"/>
        <v>9.9999999999999982</v>
      </c>
      <c r="DE217" s="173">
        <f t="shared" si="672"/>
        <v>7.6433121019108263</v>
      </c>
      <c r="DF217" s="173">
        <f t="shared" si="673"/>
        <v>4.1649244760361679</v>
      </c>
      <c r="DG217" s="173"/>
      <c r="DH217" s="173">
        <f t="shared" si="674"/>
        <v>7.6433121019108281</v>
      </c>
      <c r="DI217" s="545">
        <f t="shared" si="675"/>
        <v>10</v>
      </c>
      <c r="DJ217" s="528">
        <f t="shared" si="676"/>
        <v>4.2204568023833167</v>
      </c>
      <c r="DL217" s="173">
        <f t="shared" si="677"/>
        <v>0.85076995939532551</v>
      </c>
      <c r="DM217" s="173">
        <f t="shared" si="678"/>
        <v>10</v>
      </c>
      <c r="DN217" s="173">
        <f t="shared" si="679"/>
        <v>1.0057142857142858</v>
      </c>
      <c r="DP217" s="545">
        <f t="shared" si="680"/>
        <v>100</v>
      </c>
      <c r="DQ217" s="460">
        <f t="shared" si="681"/>
        <v>10</v>
      </c>
      <c r="DS217">
        <f t="shared" si="682"/>
        <v>100</v>
      </c>
      <c r="DT217">
        <f t="shared" si="683"/>
        <v>10</v>
      </c>
      <c r="DV217" s="5">
        <f t="shared" si="684"/>
        <v>100</v>
      </c>
      <c r="DW217" s="5">
        <f t="shared" si="685"/>
        <v>1.4117647058823528</v>
      </c>
      <c r="DX217" s="5">
        <f t="shared" si="686"/>
        <v>98.588235294117652</v>
      </c>
      <c r="DY217" s="173">
        <f t="shared" si="687"/>
        <v>1.4117647058823528E-2</v>
      </c>
      <c r="EA217" s="5">
        <f t="shared" ref="EA217:EA280" si="713">CJ217*DW217/Vout_ripple*1000</f>
        <v>0.94117647058823528</v>
      </c>
      <c r="EB217" s="5">
        <f t="shared" ref="EB217:EB280" si="714">CK217*DW217/Vout_ripple2*1000</f>
        <v>4.4117647058823525E-2</v>
      </c>
      <c r="EC217" s="5">
        <f t="shared" ref="EC217:EC280" si="715">CL217/Efficiency/CN217*DX217/Vinripple1</f>
        <v>0.59992840949767323</v>
      </c>
      <c r="ED217" s="5"/>
      <c r="EE217" s="173">
        <f t="shared" ref="EE217:EE280" si="716">DM217*SQRT(DY217/3)</f>
        <v>0.68599434057003528</v>
      </c>
      <c r="EF217" s="173">
        <f t="shared" ref="EF217:EF280" si="717">DM217*Npri_sec1*SQRT((1-DY217)/3)*(Pout/Pout_total)</f>
        <v>5.7326036927419999</v>
      </c>
      <c r="EG217" s="173">
        <f t="shared" ref="EG217:EG280" si="718">DM217*Npri_sec2*SQRT((1-DY217)/3)*(Pout2/Pout_total)</f>
        <v>0.14117941643301871</v>
      </c>
      <c r="EH217" s="173"/>
      <c r="EI217" s="528">
        <f t="shared" ref="EI217:EI280" si="719">Rdson*EE217^2</f>
        <v>9.4117647058823504E-3</v>
      </c>
      <c r="EJ217" s="528">
        <f t="shared" ref="EJ217:EJ280" si="720">0.5*CP217*DM217*DQ217*1000*Trise</f>
        <v>0.2014</v>
      </c>
      <c r="EK217" s="528">
        <f t="shared" ref="EK217:EK280" si="721">Qg*Vdd*DQ217*1000</f>
        <v>1.2499999999999998E-3</v>
      </c>
      <c r="EL217" s="528">
        <f t="shared" ref="EL217:EL280" si="722">0.5*(Coss+Csw)*CP217^2*DQ217*1000</f>
        <v>1.014049E-2</v>
      </c>
      <c r="EM217">
        <f t="shared" ref="EM217:EM280" si="723">CN217*IQ</f>
        <v>3.8249999999999999E-2</v>
      </c>
      <c r="EN217" s="460">
        <f t="shared" ref="EN217:EN280" si="724">(EK217+EM217)*1000</f>
        <v>39.5</v>
      </c>
      <c r="EP217" s="460">
        <f t="shared" ref="EP217:EP280" si="725">SUM(EI217:EM217)*1000</f>
        <v>260.45225470588235</v>
      </c>
      <c r="EQ217" s="173">
        <f t="shared" ref="EQ217:EQ280" si="726">Vfwd2*CJ217</f>
        <v>6.9999999999999993E-2</v>
      </c>
      <c r="ER217" s="173">
        <f t="shared" si="688"/>
        <v>1.1093749999999999E-3</v>
      </c>
      <c r="ES217" s="528"/>
      <c r="EU217" s="460">
        <f t="shared" ref="EU217:EU280" si="727">SUM(EQ217:ET217)*1000</f>
        <v>71.109374999999986</v>
      </c>
      <c r="EV217" s="528">
        <f t="shared" ref="EV217:EV280" si="728">Rdcr_pri*EE217^2</f>
        <v>1.4117647058823525E-2</v>
      </c>
      <c r="EW217" s="528">
        <f t="shared" ref="EW217:EW280" si="729">Rdcr_sec*EF217^2</f>
        <v>0.98588235294117632</v>
      </c>
      <c r="EX217" s="528">
        <f t="shared" ref="EX217:EX280" si="730">Rdcr_sec2*EG217^2</f>
        <v>9.9658138121838552E-5</v>
      </c>
      <c r="EY217" s="528">
        <f t="shared" ref="EY217:EY280" si="731">DM217^2.5*DQ217^2.5*k_core</f>
        <v>5.0000000000000096E-3</v>
      </c>
      <c r="EZ217" s="528"/>
      <c r="FA217" s="625">
        <f t="shared" ref="FA217:FA280" si="732">0.5*Lleak*0.000000001*DM217^2*DQ217*1000</f>
        <v>1.0000000000000002E-3</v>
      </c>
      <c r="FB217" s="460">
        <f t="shared" ref="FB217:FB280" si="733">SUM(EV217:FA217)*1000</f>
        <v>1006.0996581381216</v>
      </c>
      <c r="FC217" s="173">
        <f t="shared" ref="FC217:FC280" si="734">SUM(EI217:EM217,EQ217:ET217,EV217:FA217)</f>
        <v>1.3376612878440042</v>
      </c>
      <c r="FD217" s="5">
        <f t="shared" ref="FD217:FD280" si="735">MIN(CL217+CM217,CS217+CT217)</f>
        <v>1.52</v>
      </c>
      <c r="FE217" s="173">
        <f t="shared" ref="FE217:FE280" si="736">FD217/(FD217+FC217)</f>
        <v>0.53190348571603518</v>
      </c>
      <c r="FF217" s="5">
        <f t="shared" ref="FF217:FF280" si="737">FE217*100</f>
        <v>53.190348571603522</v>
      </c>
      <c r="FG217">
        <f t="shared" ref="FG217:FG280" si="738">CJ217/Iout*100</f>
        <v>1</v>
      </c>
      <c r="FI217" s="562">
        <f t="shared" si="689"/>
        <v>-50</v>
      </c>
    </row>
    <row r="218" spans="1:169">
      <c r="E218" s="170">
        <v>2</v>
      </c>
      <c r="F218" s="217">
        <f t="shared" si="690"/>
        <v>0.2</v>
      </c>
      <c r="G218" s="217">
        <f t="shared" si="617"/>
        <v>5.0000000000000001E-3</v>
      </c>
      <c r="H218" s="217">
        <f t="shared" si="618"/>
        <v>3</v>
      </c>
      <c r="I218" s="217">
        <f t="shared" si="619"/>
        <v>0.04</v>
      </c>
      <c r="J218" s="541">
        <f t="shared" si="620"/>
        <v>84.802810890180169</v>
      </c>
      <c r="K218" s="443">
        <f t="shared" si="621"/>
        <v>15.806066017177981</v>
      </c>
      <c r="L218" s="172">
        <f t="shared" si="622"/>
        <v>100.60887690735815</v>
      </c>
      <c r="M218" s="443"/>
      <c r="N218" s="217">
        <f t="shared" si="623"/>
        <v>0.15710408964938943</v>
      </c>
      <c r="O218" s="172">
        <f t="shared" si="624"/>
        <v>328.68918761376028</v>
      </c>
      <c r="P218" s="172">
        <f t="shared" si="625"/>
        <v>4.440956134870361</v>
      </c>
      <c r="Q218" s="217">
        <f t="shared" si="626"/>
        <v>21.912612507584019</v>
      </c>
      <c r="R218" s="217">
        <f t="shared" si="627"/>
        <v>41.086148451720035</v>
      </c>
      <c r="S218" s="217">
        <f t="shared" si="628"/>
        <v>15</v>
      </c>
      <c r="T218" s="217">
        <f t="shared" si="629"/>
        <v>0.45635818168823872</v>
      </c>
      <c r="U218" s="217">
        <f t="shared" si="630"/>
        <v>6.4576847427270809E-2</v>
      </c>
      <c r="V218" s="217">
        <f t="shared" si="631"/>
        <v>0.34646813282364136</v>
      </c>
      <c r="W218" s="197">
        <f t="shared" si="632"/>
        <v>111.02390337175903</v>
      </c>
      <c r="X218" s="443">
        <f t="shared" si="691"/>
        <v>350</v>
      </c>
      <c r="Z218" s="217">
        <f t="shared" si="633"/>
        <v>10</v>
      </c>
      <c r="AA218" s="173">
        <f t="shared" si="634"/>
        <v>7.5920219407906053</v>
      </c>
      <c r="AB218" s="173">
        <f t="shared" si="635"/>
        <v>4.1590258734405126</v>
      </c>
      <c r="AC218" s="173"/>
      <c r="AD218" s="173">
        <f t="shared" si="636"/>
        <v>7.5920219407906053</v>
      </c>
      <c r="AE218" s="545">
        <f t="shared" si="637"/>
        <v>10</v>
      </c>
      <c r="AF218" s="528">
        <f t="shared" si="638"/>
        <v>4.2144795517530529</v>
      </c>
      <c r="AH218" s="173">
        <f t="shared" si="639"/>
        <v>1.2031704150364766</v>
      </c>
      <c r="AI218" s="173">
        <f t="shared" si="640"/>
        <v>10</v>
      </c>
      <c r="AJ218" s="173">
        <f t="shared" si="641"/>
        <v>1.0057142857142858</v>
      </c>
      <c r="AL218" s="545">
        <f t="shared" si="642"/>
        <v>200</v>
      </c>
      <c r="AM218" s="460">
        <f t="shared" si="643"/>
        <v>10</v>
      </c>
      <c r="AO218">
        <f t="shared" si="644"/>
        <v>200</v>
      </c>
      <c r="AP218">
        <f t="shared" si="645"/>
        <v>10</v>
      </c>
      <c r="AR218" s="5">
        <f t="shared" si="616"/>
        <v>100</v>
      </c>
      <c r="AS218" s="5">
        <f t="shared" si="604"/>
        <v>1.4150474346351594</v>
      </c>
      <c r="AT218" s="5">
        <f t="shared" si="605"/>
        <v>98.584952565364844</v>
      </c>
      <c r="AU218" s="173">
        <f t="shared" si="606"/>
        <v>1.4150474346351593E-2</v>
      </c>
      <c r="BA218" s="173">
        <f t="shared" si="692"/>
        <v>0.68679143720034819</v>
      </c>
      <c r="BB218" s="173">
        <f t="shared" si="693"/>
        <v>5.7325082516400805</v>
      </c>
      <c r="BC218" s="173">
        <f t="shared" si="694"/>
        <v>0.14117706596195964</v>
      </c>
      <c r="BD218" s="173"/>
      <c r="BE218" s="528">
        <f t="shared" si="695"/>
        <v>9.4336495642343959E-3</v>
      </c>
      <c r="BF218" s="528">
        <f t="shared" si="646"/>
        <v>0.18864164420129653</v>
      </c>
      <c r="BG218" s="528">
        <f t="shared" si="647"/>
        <v>2.120070272254504E-2</v>
      </c>
      <c r="BH218" s="528">
        <f t="shared" si="696"/>
        <v>1.0122146112559944E-2</v>
      </c>
      <c r="BI218">
        <f t="shared" si="697"/>
        <v>3.8161264900581075E-2</v>
      </c>
      <c r="BJ218" s="460">
        <f t="shared" si="698"/>
        <v>59.361967623126112</v>
      </c>
      <c r="BK218">
        <f t="shared" si="648"/>
        <v>0.21121795660983114</v>
      </c>
      <c r="BL218" s="460">
        <f t="shared" si="699"/>
        <v>267.55940750121698</v>
      </c>
      <c r="BM218" s="173">
        <f t="shared" si="649"/>
        <v>0.12424999999999999</v>
      </c>
      <c r="BN218" s="173">
        <f t="shared" si="650"/>
        <v>2.2187499999999998E-3</v>
      </c>
      <c r="BQ218" s="460">
        <f t="shared" si="700"/>
        <v>126.46874999999999</v>
      </c>
      <c r="BR218" s="528">
        <f t="shared" si="701"/>
        <v>1.4150474346351595E-2</v>
      </c>
      <c r="BS218" s="528">
        <f t="shared" si="702"/>
        <v>0.98584952565364825</v>
      </c>
      <c r="BT218" s="528">
        <f t="shared" si="703"/>
        <v>9.9654819768137519E-5</v>
      </c>
      <c r="BU218" s="528">
        <f t="shared" si="704"/>
        <v>5.0000000000000096E-3</v>
      </c>
      <c r="BV218" s="528"/>
      <c r="BW218" s="625">
        <f t="shared" si="705"/>
        <v>1.0000000000000002E-3</v>
      </c>
      <c r="BX218" s="460">
        <f t="shared" si="706"/>
        <v>1006.099654819768</v>
      </c>
      <c r="BY218" s="173">
        <f t="shared" si="707"/>
        <v>1.4001278123209848</v>
      </c>
      <c r="BZ218" s="5">
        <f t="shared" si="708"/>
        <v>3.04</v>
      </c>
      <c r="CA218" s="173">
        <f t="shared" si="709"/>
        <v>0.68466497553612149</v>
      </c>
      <c r="CB218" s="5">
        <f t="shared" si="710"/>
        <v>68.466497553612143</v>
      </c>
      <c r="CC218">
        <f t="shared" si="711"/>
        <v>2</v>
      </c>
      <c r="CE218" s="562">
        <f t="shared" si="651"/>
        <v>-50</v>
      </c>
      <c r="CG218" s="173">
        <f t="shared" si="652"/>
        <v>5.656854249492381E-2</v>
      </c>
      <c r="CH218" s="173">
        <f t="shared" si="653"/>
        <v>6.6307843355595582E-3</v>
      </c>
      <c r="CI218" s="170">
        <v>2</v>
      </c>
      <c r="CJ218" s="217">
        <f t="shared" si="712"/>
        <v>0.2</v>
      </c>
      <c r="CK218" s="217">
        <f t="shared" si="654"/>
        <v>5.0000000000000001E-3</v>
      </c>
      <c r="CL218" s="217">
        <f t="shared" si="655"/>
        <v>3</v>
      </c>
      <c r="CM218" s="217">
        <f t="shared" si="656"/>
        <v>0.04</v>
      </c>
      <c r="CN218" s="541">
        <f t="shared" si="657"/>
        <v>85</v>
      </c>
      <c r="CO218" s="443">
        <f t="shared" si="658"/>
        <v>15.7</v>
      </c>
      <c r="CP218" s="443">
        <f t="shared" si="659"/>
        <v>100.7</v>
      </c>
      <c r="CQ218" s="443"/>
      <c r="CR218" s="217">
        <f t="shared" si="660"/>
        <v>0.15338645418326693</v>
      </c>
      <c r="CS218" s="172">
        <f t="shared" si="661"/>
        <v>321.65744915076539</v>
      </c>
      <c r="CT218" s="172">
        <f t="shared" si="662"/>
        <v>4.3459495351925632</v>
      </c>
      <c r="CU218" s="217">
        <f t="shared" si="663"/>
        <v>21.443829943384358</v>
      </c>
      <c r="CV218" s="217">
        <f t="shared" si="664"/>
        <v>40.207181143845673</v>
      </c>
      <c r="CW218" s="217">
        <f t="shared" si="665"/>
        <v>15</v>
      </c>
      <c r="CX218" s="217">
        <f t="shared" si="666"/>
        <v>0.46633460656990067</v>
      </c>
      <c r="CY218" s="217">
        <f t="shared" si="667"/>
        <v>6.583547386869186E-2</v>
      </c>
      <c r="CZ218" s="217">
        <f t="shared" si="668"/>
        <v>0.35643409419355471</v>
      </c>
      <c r="DA218" s="197">
        <f t="shared" si="669"/>
        <v>110.43528632903013</v>
      </c>
      <c r="DB218" s="443">
        <f t="shared" si="670"/>
        <v>350</v>
      </c>
      <c r="DD218" s="217">
        <f t="shared" si="671"/>
        <v>9.9999999999999982</v>
      </c>
      <c r="DE218" s="173">
        <f t="shared" si="672"/>
        <v>7.6433121019108263</v>
      </c>
      <c r="DF218" s="173">
        <f t="shared" si="673"/>
        <v>4.1649244760361679</v>
      </c>
      <c r="DG218" s="173"/>
      <c r="DH218" s="173">
        <f t="shared" si="674"/>
        <v>7.6433121019108281</v>
      </c>
      <c r="DI218" s="545">
        <f t="shared" si="675"/>
        <v>10</v>
      </c>
      <c r="DJ218" s="528">
        <f t="shared" si="676"/>
        <v>4.2204568023833167</v>
      </c>
      <c r="DL218" s="173">
        <f t="shared" si="677"/>
        <v>1.2031704150364766</v>
      </c>
      <c r="DM218" s="173">
        <f t="shared" si="678"/>
        <v>10</v>
      </c>
      <c r="DN218" s="173">
        <f t="shared" si="679"/>
        <v>1.0057142857142858</v>
      </c>
      <c r="DP218" s="545">
        <f t="shared" si="680"/>
        <v>200</v>
      </c>
      <c r="DQ218" s="460">
        <f t="shared" si="681"/>
        <v>10</v>
      </c>
      <c r="DS218">
        <f t="shared" si="682"/>
        <v>200</v>
      </c>
      <c r="DT218">
        <f t="shared" si="683"/>
        <v>10</v>
      </c>
      <c r="DV218" s="5">
        <f t="shared" si="684"/>
        <v>100</v>
      </c>
      <c r="DW218" s="5">
        <f t="shared" si="685"/>
        <v>1.4117647058823528</v>
      </c>
      <c r="DX218" s="5">
        <f t="shared" si="686"/>
        <v>98.588235294117652</v>
      </c>
      <c r="DY218" s="173">
        <f t="shared" si="687"/>
        <v>1.4117647058823528E-2</v>
      </c>
      <c r="EA218" s="5">
        <f t="shared" si="713"/>
        <v>1.8823529411764706</v>
      </c>
      <c r="EB218" s="5">
        <f t="shared" si="714"/>
        <v>8.8235294117647051E-2</v>
      </c>
      <c r="EC218" s="5">
        <f t="shared" si="715"/>
        <v>1.1998568189953465</v>
      </c>
      <c r="ED218" s="5"/>
      <c r="EE218" s="173">
        <f t="shared" si="716"/>
        <v>0.68599434057003528</v>
      </c>
      <c r="EF218" s="173">
        <f t="shared" si="717"/>
        <v>5.7326036927419999</v>
      </c>
      <c r="EG218" s="173">
        <f t="shared" si="718"/>
        <v>0.14117941643301871</v>
      </c>
      <c r="EH218" s="173"/>
      <c r="EI218" s="528">
        <f t="shared" si="719"/>
        <v>9.4117647058823504E-3</v>
      </c>
      <c r="EJ218" s="528">
        <f t="shared" si="720"/>
        <v>0.2014</v>
      </c>
      <c r="EK218" s="528">
        <f t="shared" si="721"/>
        <v>1.2499999999999998E-3</v>
      </c>
      <c r="EL218" s="528">
        <f t="shared" si="722"/>
        <v>1.014049E-2</v>
      </c>
      <c r="EM218">
        <f t="shared" si="723"/>
        <v>3.8249999999999999E-2</v>
      </c>
      <c r="EN218" s="460">
        <f t="shared" si="724"/>
        <v>39.5</v>
      </c>
      <c r="EP218" s="460">
        <f t="shared" si="725"/>
        <v>260.45225470588235</v>
      </c>
      <c r="EQ218" s="173">
        <f t="shared" si="726"/>
        <v>0.13999999999999999</v>
      </c>
      <c r="ER218" s="173">
        <f t="shared" si="688"/>
        <v>2.2187499999999998E-3</v>
      </c>
      <c r="ES218" s="528"/>
      <c r="EU218" s="460">
        <f t="shared" si="727"/>
        <v>142.21874999999997</v>
      </c>
      <c r="EV218" s="528">
        <f t="shared" si="728"/>
        <v>1.4117647058823525E-2</v>
      </c>
      <c r="EW218" s="528">
        <f t="shared" si="729"/>
        <v>0.98588235294117632</v>
      </c>
      <c r="EX218" s="528">
        <f t="shared" si="730"/>
        <v>9.9658138121838552E-5</v>
      </c>
      <c r="EY218" s="528">
        <f t="shared" si="731"/>
        <v>5.0000000000000096E-3</v>
      </c>
      <c r="EZ218" s="528"/>
      <c r="FA218" s="625">
        <f t="shared" si="732"/>
        <v>1.0000000000000002E-3</v>
      </c>
      <c r="FB218" s="460">
        <f t="shared" si="733"/>
        <v>1006.0996581381216</v>
      </c>
      <c r="FC218" s="173">
        <f t="shared" si="734"/>
        <v>1.408770662844004</v>
      </c>
      <c r="FD218" s="5">
        <f t="shared" si="735"/>
        <v>3.04</v>
      </c>
      <c r="FE218" s="173">
        <f t="shared" si="736"/>
        <v>0.68333484245209275</v>
      </c>
      <c r="FF218" s="5">
        <f t="shared" si="737"/>
        <v>68.333484245209277</v>
      </c>
      <c r="FG218">
        <f t="shared" si="738"/>
        <v>2</v>
      </c>
      <c r="FI218" s="562">
        <f t="shared" si="689"/>
        <v>-50</v>
      </c>
    </row>
    <row r="219" spans="1:169">
      <c r="E219" s="170">
        <v>3</v>
      </c>
      <c r="F219" s="217">
        <f t="shared" si="690"/>
        <v>0.3</v>
      </c>
      <c r="G219" s="217">
        <f t="shared" si="617"/>
        <v>7.4999999999999997E-3</v>
      </c>
      <c r="H219" s="217">
        <f t="shared" si="618"/>
        <v>4.5</v>
      </c>
      <c r="I219" s="217">
        <f t="shared" si="619"/>
        <v>0.06</v>
      </c>
      <c r="J219" s="541">
        <f t="shared" si="620"/>
        <v>84.758493649053889</v>
      </c>
      <c r="K219" s="443">
        <f t="shared" si="621"/>
        <v>15.829903810567664</v>
      </c>
      <c r="L219" s="172">
        <f t="shared" si="622"/>
        <v>100.58839745962155</v>
      </c>
      <c r="M219" s="443"/>
      <c r="N219" s="217">
        <f t="shared" si="623"/>
        <v>0.15737305902424925</v>
      </c>
      <c r="O219" s="172">
        <f t="shared" si="624"/>
        <v>329.07985420655456</v>
      </c>
      <c r="P219" s="172">
        <f t="shared" si="625"/>
        <v>4.4462344746130045</v>
      </c>
      <c r="Q219" s="217">
        <f t="shared" si="626"/>
        <v>21.938656947103638</v>
      </c>
      <c r="R219" s="217">
        <f t="shared" si="627"/>
        <v>41.13498177581932</v>
      </c>
      <c r="S219" s="217">
        <f t="shared" si="628"/>
        <v>15</v>
      </c>
      <c r="T219" s="217">
        <f t="shared" si="629"/>
        <v>0.68372462526610189</v>
      </c>
      <c r="U219" s="217">
        <f t="shared" si="630"/>
        <v>9.6800865022036733E-2</v>
      </c>
      <c r="V219" s="217">
        <f t="shared" si="631"/>
        <v>0.51830356023489954</v>
      </c>
      <c r="W219" s="197">
        <f t="shared" si="632"/>
        <v>111.15586186532511</v>
      </c>
      <c r="X219" s="443">
        <f t="shared" si="691"/>
        <v>350</v>
      </c>
      <c r="Z219" s="217">
        <f t="shared" si="633"/>
        <v>10</v>
      </c>
      <c r="AA219" s="173">
        <f t="shared" si="634"/>
        <v>7.5805893349706199</v>
      </c>
      <c r="AB219" s="173">
        <f t="shared" si="635"/>
        <v>4.1576987219198234</v>
      </c>
      <c r="AC219" s="173"/>
      <c r="AD219" s="173">
        <f t="shared" si="636"/>
        <v>7.5805893349706199</v>
      </c>
      <c r="AE219" s="545">
        <f t="shared" si="637"/>
        <v>10</v>
      </c>
      <c r="AF219" s="528">
        <f t="shared" si="638"/>
        <v>4.2131347048787546</v>
      </c>
      <c r="AH219" s="173">
        <f t="shared" si="639"/>
        <v>1.4735767952260144</v>
      </c>
      <c r="AI219" s="173">
        <f t="shared" si="640"/>
        <v>10</v>
      </c>
      <c r="AJ219" s="173">
        <f t="shared" si="641"/>
        <v>1.0057142857142858</v>
      </c>
      <c r="AL219" s="545">
        <f t="shared" si="642"/>
        <v>300</v>
      </c>
      <c r="AM219" s="460">
        <f t="shared" si="643"/>
        <v>10</v>
      </c>
      <c r="AO219">
        <f t="shared" si="644"/>
        <v>300</v>
      </c>
      <c r="AP219">
        <f t="shared" si="645"/>
        <v>10</v>
      </c>
      <c r="AR219" s="5">
        <f t="shared" si="616"/>
        <v>100</v>
      </c>
      <c r="AS219" s="5">
        <f t="shared" si="604"/>
        <v>1.4157873132675654</v>
      </c>
      <c r="AT219" s="5">
        <f t="shared" si="605"/>
        <v>98.584212686732428</v>
      </c>
      <c r="AU219" s="173">
        <f t="shared" si="606"/>
        <v>1.4157873132675653E-2</v>
      </c>
      <c r="BA219" s="173">
        <f t="shared" si="692"/>
        <v>0.68697096330377883</v>
      </c>
      <c r="BB219" s="173">
        <f t="shared" si="693"/>
        <v>5.7324867404042736</v>
      </c>
      <c r="BC219" s="173">
        <f t="shared" si="694"/>
        <v>0.1411765361950543</v>
      </c>
      <c r="BD219" s="173"/>
      <c r="BE219" s="528">
        <f t="shared" si="695"/>
        <v>9.4385820884504371E-3</v>
      </c>
      <c r="BF219" s="528">
        <f t="shared" si="646"/>
        <v>0.18860324523679042</v>
      </c>
      <c r="BG219" s="528">
        <f t="shared" si="647"/>
        <v>2.1189623412263471E-2</v>
      </c>
      <c r="BH219" s="528">
        <f t="shared" si="696"/>
        <v>1.0118025703494798E-2</v>
      </c>
      <c r="BI219">
        <f t="shared" si="697"/>
        <v>3.8141322142074247E-2</v>
      </c>
      <c r="BJ219" s="460">
        <f t="shared" si="698"/>
        <v>59.330945554337717</v>
      </c>
      <c r="BK219">
        <f t="shared" si="648"/>
        <v>0.21118186815041295</v>
      </c>
      <c r="BL219" s="460">
        <f t="shared" si="699"/>
        <v>267.49079858307334</v>
      </c>
      <c r="BM219" s="173">
        <f t="shared" si="649"/>
        <v>0.18637499999999999</v>
      </c>
      <c r="BN219" s="173">
        <f t="shared" si="650"/>
        <v>3.3281249999999999E-3</v>
      </c>
      <c r="BQ219" s="460">
        <f t="shared" si="700"/>
        <v>189.70312499999997</v>
      </c>
      <c r="BR219" s="528">
        <f t="shared" si="701"/>
        <v>1.4157873132675655E-2</v>
      </c>
      <c r="BS219" s="528">
        <f t="shared" si="702"/>
        <v>0.98584212686732442</v>
      </c>
      <c r="BT219" s="528">
        <f t="shared" si="703"/>
        <v>9.9654071860167371E-5</v>
      </c>
      <c r="BU219" s="528">
        <f t="shared" si="704"/>
        <v>5.0000000000000096E-3</v>
      </c>
      <c r="BV219" s="528"/>
      <c r="BW219" s="625">
        <f t="shared" si="705"/>
        <v>1.0000000000000002E-3</v>
      </c>
      <c r="BX219" s="460">
        <f t="shared" si="706"/>
        <v>1006.0996540718601</v>
      </c>
      <c r="BY219" s="173">
        <f t="shared" si="707"/>
        <v>1.4632935776549334</v>
      </c>
      <c r="BZ219" s="5">
        <f t="shared" si="708"/>
        <v>4.5599999999999996</v>
      </c>
      <c r="CA219" s="173">
        <f t="shared" si="709"/>
        <v>0.75706089055937376</v>
      </c>
      <c r="CB219" s="5">
        <f t="shared" si="710"/>
        <v>75.706089055937369</v>
      </c>
      <c r="CC219">
        <f t="shared" si="711"/>
        <v>3</v>
      </c>
      <c r="CE219" s="562">
        <f t="shared" si="651"/>
        <v>-50</v>
      </c>
      <c r="CG219" s="173">
        <f t="shared" si="652"/>
        <v>6.9282032302755106E-2</v>
      </c>
      <c r="CH219" s="173">
        <f t="shared" si="653"/>
        <v>8.1210191082802547E-3</v>
      </c>
      <c r="CI219" s="170">
        <v>3</v>
      </c>
      <c r="CJ219" s="217">
        <f t="shared" si="712"/>
        <v>0.3</v>
      </c>
      <c r="CK219" s="217">
        <f t="shared" si="654"/>
        <v>7.4999999999999997E-3</v>
      </c>
      <c r="CL219" s="217">
        <f t="shared" si="655"/>
        <v>4.5</v>
      </c>
      <c r="CM219" s="217">
        <f t="shared" si="656"/>
        <v>0.06</v>
      </c>
      <c r="CN219" s="541">
        <f t="shared" si="657"/>
        <v>85</v>
      </c>
      <c r="CO219" s="443">
        <f t="shared" si="658"/>
        <v>15.7</v>
      </c>
      <c r="CP219" s="443">
        <f t="shared" si="659"/>
        <v>100.7</v>
      </c>
      <c r="CQ219" s="443"/>
      <c r="CR219" s="217">
        <f t="shared" si="660"/>
        <v>0.15338645418326693</v>
      </c>
      <c r="CS219" s="172">
        <f t="shared" si="661"/>
        <v>321.65744915076539</v>
      </c>
      <c r="CT219" s="172">
        <f t="shared" si="662"/>
        <v>4.3459495351925632</v>
      </c>
      <c r="CU219" s="217">
        <f t="shared" si="663"/>
        <v>21.443829943384358</v>
      </c>
      <c r="CV219" s="217">
        <f t="shared" si="664"/>
        <v>40.207181143845673</v>
      </c>
      <c r="CW219" s="217">
        <f t="shared" si="665"/>
        <v>15</v>
      </c>
      <c r="CX219" s="217">
        <f t="shared" si="666"/>
        <v>0.69950190985485095</v>
      </c>
      <c r="CY219" s="217">
        <f t="shared" si="667"/>
        <v>9.8753210803037783E-2</v>
      </c>
      <c r="CZ219" s="217">
        <f t="shared" si="668"/>
        <v>0.53465114129033187</v>
      </c>
      <c r="DA219" s="197">
        <f t="shared" si="669"/>
        <v>110.43528632903013</v>
      </c>
      <c r="DB219" s="443">
        <f t="shared" si="670"/>
        <v>350</v>
      </c>
      <c r="DD219" s="217">
        <f t="shared" si="671"/>
        <v>9.9999999999999982</v>
      </c>
      <c r="DE219" s="173">
        <f t="shared" si="672"/>
        <v>7.6433121019108263</v>
      </c>
      <c r="DF219" s="173">
        <f t="shared" si="673"/>
        <v>4.1649244760361679</v>
      </c>
      <c r="DG219" s="173"/>
      <c r="DH219" s="173">
        <f t="shared" si="674"/>
        <v>7.6433121019108281</v>
      </c>
      <c r="DI219" s="545">
        <f t="shared" si="675"/>
        <v>10</v>
      </c>
      <c r="DJ219" s="528">
        <f t="shared" si="676"/>
        <v>4.2204568023833167</v>
      </c>
      <c r="DL219" s="173">
        <f t="shared" si="677"/>
        <v>1.4735767952260144</v>
      </c>
      <c r="DM219" s="173">
        <f t="shared" si="678"/>
        <v>10</v>
      </c>
      <c r="DN219" s="173">
        <f t="shared" si="679"/>
        <v>1.0057142857142858</v>
      </c>
      <c r="DP219" s="545">
        <f t="shared" si="680"/>
        <v>300</v>
      </c>
      <c r="DQ219" s="460">
        <f t="shared" si="681"/>
        <v>10</v>
      </c>
      <c r="DS219">
        <f t="shared" si="682"/>
        <v>300</v>
      </c>
      <c r="DT219">
        <f t="shared" si="683"/>
        <v>10</v>
      </c>
      <c r="DV219" s="5">
        <f t="shared" si="684"/>
        <v>100</v>
      </c>
      <c r="DW219" s="5">
        <f t="shared" si="685"/>
        <v>1.4117647058823528</v>
      </c>
      <c r="DX219" s="5">
        <f t="shared" si="686"/>
        <v>98.588235294117652</v>
      </c>
      <c r="DY219" s="173">
        <f t="shared" si="687"/>
        <v>1.4117647058823528E-2</v>
      </c>
      <c r="EA219" s="5">
        <f t="shared" si="713"/>
        <v>2.8235294117647056</v>
      </c>
      <c r="EB219" s="5">
        <f t="shared" si="714"/>
        <v>0.13235294117647056</v>
      </c>
      <c r="EC219" s="5">
        <f t="shared" si="715"/>
        <v>1.7997852284930198</v>
      </c>
      <c r="ED219" s="5"/>
      <c r="EE219" s="173">
        <f t="shared" si="716"/>
        <v>0.68599434057003528</v>
      </c>
      <c r="EF219" s="173">
        <f t="shared" si="717"/>
        <v>5.7326036927419999</v>
      </c>
      <c r="EG219" s="173">
        <f t="shared" si="718"/>
        <v>0.14117941643301871</v>
      </c>
      <c r="EH219" s="173"/>
      <c r="EI219" s="528">
        <f t="shared" si="719"/>
        <v>9.4117647058823504E-3</v>
      </c>
      <c r="EJ219" s="528">
        <f t="shared" si="720"/>
        <v>0.2014</v>
      </c>
      <c r="EK219" s="528">
        <f t="shared" si="721"/>
        <v>1.2499999999999998E-3</v>
      </c>
      <c r="EL219" s="528">
        <f t="shared" si="722"/>
        <v>1.014049E-2</v>
      </c>
      <c r="EM219">
        <f t="shared" si="723"/>
        <v>3.8249999999999999E-2</v>
      </c>
      <c r="EN219" s="460">
        <f t="shared" si="724"/>
        <v>39.5</v>
      </c>
      <c r="EP219" s="460">
        <f t="shared" si="725"/>
        <v>260.45225470588235</v>
      </c>
      <c r="EQ219" s="173">
        <f t="shared" si="726"/>
        <v>0.21</v>
      </c>
      <c r="ER219" s="173">
        <f t="shared" si="688"/>
        <v>3.3281249999999999E-3</v>
      </c>
      <c r="ES219" s="528"/>
      <c r="EU219" s="460">
        <f t="shared" si="727"/>
        <v>213.32812499999997</v>
      </c>
      <c r="EV219" s="528">
        <f t="shared" si="728"/>
        <v>1.4117647058823525E-2</v>
      </c>
      <c r="EW219" s="528">
        <f t="shared" si="729"/>
        <v>0.98588235294117632</v>
      </c>
      <c r="EX219" s="528">
        <f t="shared" si="730"/>
        <v>9.9658138121838552E-5</v>
      </c>
      <c r="EY219" s="528">
        <f t="shared" si="731"/>
        <v>5.0000000000000096E-3</v>
      </c>
      <c r="EZ219" s="528"/>
      <c r="FA219" s="625">
        <f t="shared" si="732"/>
        <v>1.0000000000000002E-3</v>
      </c>
      <c r="FB219" s="460">
        <f t="shared" si="733"/>
        <v>1006.0996581381216</v>
      </c>
      <c r="FC219" s="173">
        <f t="shared" si="734"/>
        <v>1.479880037844004</v>
      </c>
      <c r="FD219" s="5">
        <f t="shared" si="735"/>
        <v>4.5599999999999996</v>
      </c>
      <c r="FE219" s="173">
        <f t="shared" si="736"/>
        <v>0.7549818823268778</v>
      </c>
      <c r="FF219" s="5">
        <f t="shared" si="737"/>
        <v>75.498188232687781</v>
      </c>
      <c r="FG219">
        <f t="shared" si="738"/>
        <v>3</v>
      </c>
      <c r="FI219" s="562">
        <f t="shared" si="689"/>
        <v>-50</v>
      </c>
    </row>
    <row r="220" spans="1:169">
      <c r="E220" s="170">
        <v>4</v>
      </c>
      <c r="F220" s="217">
        <f t="shared" si="690"/>
        <v>0.4</v>
      </c>
      <c r="G220" s="217">
        <f t="shared" si="617"/>
        <v>0.01</v>
      </c>
      <c r="H220" s="217">
        <f t="shared" si="618"/>
        <v>6</v>
      </c>
      <c r="I220" s="217">
        <f t="shared" si="619"/>
        <v>0.08</v>
      </c>
      <c r="J220" s="541">
        <f t="shared" si="620"/>
        <v>84.727420162931693</v>
      </c>
      <c r="K220" s="443">
        <f t="shared" si="621"/>
        <v>15.846617922801491</v>
      </c>
      <c r="L220" s="172">
        <f t="shared" si="622"/>
        <v>100.57403808573318</v>
      </c>
      <c r="M220" s="443"/>
      <c r="N220" s="217">
        <f t="shared" si="623"/>
        <v>0.15756171497552104</v>
      </c>
      <c r="O220" s="172">
        <f t="shared" si="624"/>
        <v>329.35355985994391</v>
      </c>
      <c r="P220" s="172">
        <f t="shared" si="625"/>
        <v>4.4499325421076863</v>
      </c>
      <c r="Q220" s="217">
        <f t="shared" si="626"/>
        <v>21.956903990662926</v>
      </c>
      <c r="R220" s="217">
        <f t="shared" si="627"/>
        <v>41.169194982492989</v>
      </c>
      <c r="S220" s="217">
        <f t="shared" si="628"/>
        <v>15</v>
      </c>
      <c r="T220" s="217">
        <f t="shared" si="629"/>
        <v>0.91087523124867287</v>
      </c>
      <c r="U220" s="217">
        <f t="shared" si="630"/>
        <v>0.12900785547305235</v>
      </c>
      <c r="V220" s="217">
        <f t="shared" si="631"/>
        <v>0.68976880923318773</v>
      </c>
      <c r="W220" s="197">
        <f t="shared" si="632"/>
        <v>111.24831355269215</v>
      </c>
      <c r="X220" s="443">
        <f t="shared" si="691"/>
        <v>350</v>
      </c>
      <c r="Z220" s="217">
        <f t="shared" si="633"/>
        <v>10</v>
      </c>
      <c r="AA220" s="173">
        <f t="shared" si="634"/>
        <v>7.572593760043496</v>
      </c>
      <c r="AB220" s="173">
        <f t="shared" si="635"/>
        <v>4.1567678537392041</v>
      </c>
      <c r="AC220" s="173"/>
      <c r="AD220" s="173">
        <f t="shared" si="636"/>
        <v>7.572593760043496</v>
      </c>
      <c r="AE220" s="545">
        <f t="shared" si="637"/>
        <v>10.564411948534326</v>
      </c>
      <c r="AF220" s="528">
        <f t="shared" si="638"/>
        <v>4.2121914251223949</v>
      </c>
      <c r="AH220" s="173">
        <f t="shared" si="639"/>
        <v>1.701539918790651</v>
      </c>
      <c r="AI220" s="173">
        <f t="shared" si="640"/>
        <v>10</v>
      </c>
      <c r="AJ220" s="173">
        <f t="shared" si="641"/>
        <v>1.0060368068277339</v>
      </c>
      <c r="AL220" s="545">
        <f t="shared" si="642"/>
        <v>400</v>
      </c>
      <c r="AM220" s="460">
        <f t="shared" si="643"/>
        <v>10.564411948534326</v>
      </c>
      <c r="AO220">
        <f t="shared" si="644"/>
        <v>400</v>
      </c>
      <c r="AP220">
        <f t="shared" si="645"/>
        <v>10.564411948534326</v>
      </c>
      <c r="AR220" s="5">
        <f t="shared" si="616"/>
        <v>94.657422000543704</v>
      </c>
      <c r="AS220" s="5">
        <f t="shared" si="604"/>
        <v>1.4163065483315647</v>
      </c>
      <c r="AT220" s="5">
        <f t="shared" si="605"/>
        <v>93.241115452212142</v>
      </c>
      <c r="AU220" s="173">
        <f t="shared" si="606"/>
        <v>1.4962445821981392E-2</v>
      </c>
      <c r="BA220" s="173">
        <f t="shared" si="692"/>
        <v>0.70622106600274004</v>
      </c>
      <c r="BB220" s="173">
        <f t="shared" si="693"/>
        <v>5.7301470434245649</v>
      </c>
      <c r="BC220" s="173">
        <f t="shared" si="694"/>
        <v>0.14111891542237756</v>
      </c>
      <c r="BD220" s="173"/>
      <c r="BE220" s="528">
        <f t="shared" si="695"/>
        <v>9.9749638813209293E-3</v>
      </c>
      <c r="BF220" s="528">
        <f t="shared" si="646"/>
        <v>0.19921979431223738</v>
      </c>
      <c r="BG220" s="528">
        <f t="shared" si="647"/>
        <v>2.2377384248444095E-2</v>
      </c>
      <c r="BH220" s="528">
        <f t="shared" si="696"/>
        <v>1.0686047562981808E-2</v>
      </c>
      <c r="BI220">
        <f t="shared" si="697"/>
        <v>3.8127339073319264E-2</v>
      </c>
      <c r="BJ220" s="460">
        <f t="shared" si="698"/>
        <v>60.504723321763365</v>
      </c>
      <c r="BK220">
        <f t="shared" si="648"/>
        <v>0.22310281113844024</v>
      </c>
      <c r="BL220" s="460">
        <f t="shared" si="699"/>
        <v>280.38552907830348</v>
      </c>
      <c r="BM220" s="173">
        <f t="shared" si="649"/>
        <v>0.24849999999999997</v>
      </c>
      <c r="BN220" s="173">
        <f t="shared" si="650"/>
        <v>4.4374999999999996E-3</v>
      </c>
      <c r="BQ220" s="460">
        <f t="shared" si="700"/>
        <v>252.93749999999997</v>
      </c>
      <c r="BR220" s="528">
        <f t="shared" si="701"/>
        <v>1.4962445821981394E-2</v>
      </c>
      <c r="BS220" s="528">
        <f t="shared" si="702"/>
        <v>0.98503755417801842</v>
      </c>
      <c r="BT220" s="528">
        <f t="shared" si="703"/>
        <v>9.9572741449940766E-5</v>
      </c>
      <c r="BU220" s="528">
        <f t="shared" si="704"/>
        <v>5.7356590026719466E-3</v>
      </c>
      <c r="BV220" s="528"/>
      <c r="BW220" s="625">
        <f t="shared" si="705"/>
        <v>1.0564411948534328E-3</v>
      </c>
      <c r="BX220" s="460">
        <f t="shared" si="706"/>
        <v>1006.8916729389751</v>
      </c>
      <c r="BY220" s="173">
        <f t="shared" si="707"/>
        <v>1.5402147020172785</v>
      </c>
      <c r="BZ220" s="5">
        <f t="shared" si="708"/>
        <v>6.08</v>
      </c>
      <c r="CA220" s="173">
        <f t="shared" si="709"/>
        <v>0.79787778136887111</v>
      </c>
      <c r="CB220" s="5">
        <f t="shared" si="710"/>
        <v>79.787778136887113</v>
      </c>
      <c r="CC220">
        <f t="shared" si="711"/>
        <v>4</v>
      </c>
      <c r="CE220" s="562">
        <f t="shared" si="651"/>
        <v>-50</v>
      </c>
      <c r="CG220" s="173">
        <f t="shared" si="652"/>
        <v>8.1845382683854967E-2</v>
      </c>
      <c r="CH220" s="173">
        <f t="shared" si="653"/>
        <v>9.593655015712705E-3</v>
      </c>
      <c r="CI220" s="170">
        <v>4</v>
      </c>
      <c r="CJ220" s="217">
        <f t="shared" si="712"/>
        <v>0.4</v>
      </c>
      <c r="CK220" s="217">
        <f t="shared" si="654"/>
        <v>0.01</v>
      </c>
      <c r="CL220" s="217">
        <f t="shared" si="655"/>
        <v>6</v>
      </c>
      <c r="CM220" s="217">
        <f t="shared" si="656"/>
        <v>0.08</v>
      </c>
      <c r="CN220" s="541">
        <f t="shared" si="657"/>
        <v>85</v>
      </c>
      <c r="CO220" s="443">
        <f t="shared" si="658"/>
        <v>15.7</v>
      </c>
      <c r="CP220" s="443">
        <f t="shared" si="659"/>
        <v>100.7</v>
      </c>
      <c r="CQ220" s="443"/>
      <c r="CR220" s="217">
        <f t="shared" si="660"/>
        <v>0.15338645418326693</v>
      </c>
      <c r="CS220" s="172">
        <f t="shared" si="661"/>
        <v>321.65744915076539</v>
      </c>
      <c r="CT220" s="172">
        <f t="shared" si="662"/>
        <v>4.3459495351925632</v>
      </c>
      <c r="CU220" s="217">
        <f t="shared" si="663"/>
        <v>21.443829943384358</v>
      </c>
      <c r="CV220" s="217">
        <f t="shared" si="664"/>
        <v>40.207181143845673</v>
      </c>
      <c r="CW220" s="217">
        <f t="shared" si="665"/>
        <v>15</v>
      </c>
      <c r="CX220" s="217">
        <f t="shared" si="666"/>
        <v>0.93266921313980133</v>
      </c>
      <c r="CY220" s="217">
        <f t="shared" si="667"/>
        <v>0.13167094773738372</v>
      </c>
      <c r="CZ220" s="217">
        <f t="shared" si="668"/>
        <v>0.71286818838710941</v>
      </c>
      <c r="DA220" s="197">
        <f t="shared" si="669"/>
        <v>110.43528632903013</v>
      </c>
      <c r="DB220" s="443">
        <f t="shared" si="670"/>
        <v>350</v>
      </c>
      <c r="DD220" s="217">
        <f t="shared" si="671"/>
        <v>9.9999999999999982</v>
      </c>
      <c r="DE220" s="173">
        <f t="shared" si="672"/>
        <v>7.6433121019108263</v>
      </c>
      <c r="DF220" s="173">
        <f t="shared" si="673"/>
        <v>4.1649244760361679</v>
      </c>
      <c r="DG220" s="173"/>
      <c r="DH220" s="173">
        <f t="shared" si="674"/>
        <v>7.6433121019108281</v>
      </c>
      <c r="DI220" s="545">
        <f t="shared" si="675"/>
        <v>10.466666666666669</v>
      </c>
      <c r="DJ220" s="528">
        <f t="shared" si="676"/>
        <v>4.2204568023833167</v>
      </c>
      <c r="DL220" s="173">
        <f t="shared" si="677"/>
        <v>1.701539918790651</v>
      </c>
      <c r="DM220" s="173">
        <f t="shared" si="678"/>
        <v>10</v>
      </c>
      <c r="DN220" s="173">
        <f t="shared" si="679"/>
        <v>1.0059809523809524</v>
      </c>
      <c r="DP220" s="545">
        <f t="shared" si="680"/>
        <v>400</v>
      </c>
      <c r="DQ220" s="460">
        <f t="shared" si="681"/>
        <v>10.466666666666669</v>
      </c>
      <c r="DS220">
        <f t="shared" si="682"/>
        <v>400</v>
      </c>
      <c r="DT220">
        <f t="shared" si="683"/>
        <v>10.466666666666669</v>
      </c>
      <c r="DV220" s="5">
        <f t="shared" si="684"/>
        <v>95.541401273885327</v>
      </c>
      <c r="DW220" s="5">
        <f t="shared" si="685"/>
        <v>1.4117647058823528</v>
      </c>
      <c r="DX220" s="5">
        <f t="shared" si="686"/>
        <v>94.129636568002979</v>
      </c>
      <c r="DY220" s="173">
        <f t="shared" si="687"/>
        <v>1.4776470588235297E-2</v>
      </c>
      <c r="EA220" s="5">
        <f t="shared" si="713"/>
        <v>3.7647058823529411</v>
      </c>
      <c r="EB220" s="5">
        <f t="shared" si="714"/>
        <v>0.1764705882352941</v>
      </c>
      <c r="EC220" s="5">
        <f t="shared" si="715"/>
        <v>2.2911879083489568</v>
      </c>
      <c r="ED220" s="5"/>
      <c r="EE220" s="173">
        <f t="shared" si="716"/>
        <v>0.70181836653641616</v>
      </c>
      <c r="EF220" s="173">
        <f t="shared" si="717"/>
        <v>5.7306879441935665</v>
      </c>
      <c r="EG220" s="173">
        <f t="shared" si="718"/>
        <v>0.14113223642955139</v>
      </c>
      <c r="EH220" s="173"/>
      <c r="EI220" s="528">
        <f t="shared" si="719"/>
        <v>9.8509803921568682E-3</v>
      </c>
      <c r="EJ220" s="528">
        <f t="shared" si="720"/>
        <v>0.21079866666666672</v>
      </c>
      <c r="EK220" s="528">
        <f t="shared" si="721"/>
        <v>1.3083333333333334E-3</v>
      </c>
      <c r="EL220" s="528">
        <f t="shared" si="722"/>
        <v>1.0613712866666668E-2</v>
      </c>
      <c r="EM220">
        <f t="shared" si="723"/>
        <v>3.8249999999999999E-2</v>
      </c>
      <c r="EN220" s="460">
        <f t="shared" si="724"/>
        <v>39.558333333333337</v>
      </c>
      <c r="EP220" s="460">
        <f t="shared" si="725"/>
        <v>270.82169325882359</v>
      </c>
      <c r="EQ220" s="173">
        <f t="shared" si="726"/>
        <v>0.27999999999999997</v>
      </c>
      <c r="ER220" s="173">
        <f t="shared" si="688"/>
        <v>4.4374999999999996E-3</v>
      </c>
      <c r="ES220" s="528"/>
      <c r="EU220" s="460">
        <f t="shared" si="727"/>
        <v>284.43749999999994</v>
      </c>
      <c r="EV220" s="528">
        <f t="shared" si="728"/>
        <v>1.4776470588235301E-2</v>
      </c>
      <c r="EW220" s="528">
        <f t="shared" si="729"/>
        <v>0.9852235294117645</v>
      </c>
      <c r="EX220" s="528">
        <f t="shared" si="730"/>
        <v>9.9591540798033961E-5</v>
      </c>
      <c r="EY220" s="528">
        <f t="shared" si="731"/>
        <v>5.6039078827065068E-3</v>
      </c>
      <c r="EZ220" s="528"/>
      <c r="FA220" s="625">
        <f t="shared" si="732"/>
        <v>1.0466666666666669E-3</v>
      </c>
      <c r="FB220" s="460">
        <f t="shared" si="733"/>
        <v>1006.750166090171</v>
      </c>
      <c r="FC220" s="173">
        <f t="shared" si="734"/>
        <v>1.5620093593489945</v>
      </c>
      <c r="FD220" s="5">
        <f t="shared" si="735"/>
        <v>6.08</v>
      </c>
      <c r="FE220" s="173">
        <f t="shared" si="736"/>
        <v>0.79560227082971557</v>
      </c>
      <c r="FF220" s="5">
        <f t="shared" si="737"/>
        <v>79.560227082971551</v>
      </c>
      <c r="FG220">
        <f t="shared" si="738"/>
        <v>4</v>
      </c>
      <c r="FI220" s="562">
        <f t="shared" si="689"/>
        <v>-50</v>
      </c>
    </row>
    <row r="221" spans="1:169">
      <c r="E221" s="170">
        <v>5</v>
      </c>
      <c r="F221" s="217">
        <f t="shared" si="690"/>
        <v>0.5</v>
      </c>
      <c r="G221" s="217">
        <f t="shared" si="617"/>
        <v>1.2500000000000001E-2</v>
      </c>
      <c r="H221" s="217">
        <f t="shared" si="618"/>
        <v>7.5</v>
      </c>
      <c r="I221" s="217">
        <f t="shared" si="619"/>
        <v>0.1</v>
      </c>
      <c r="J221" s="541">
        <f t="shared" si="620"/>
        <v>84.727420162931693</v>
      </c>
      <c r="K221" s="443">
        <f t="shared" si="621"/>
        <v>15.846617922801491</v>
      </c>
      <c r="L221" s="172">
        <f t="shared" si="622"/>
        <v>100.57403808573318</v>
      </c>
      <c r="M221" s="443"/>
      <c r="N221" s="217">
        <f t="shared" si="623"/>
        <v>0.15756171497552104</v>
      </c>
      <c r="O221" s="172">
        <f t="shared" si="624"/>
        <v>329.35355985994391</v>
      </c>
      <c r="P221" s="172">
        <f t="shared" si="625"/>
        <v>4.4499325421076863</v>
      </c>
      <c r="Q221" s="217">
        <f t="shared" si="626"/>
        <v>21.956903990662926</v>
      </c>
      <c r="R221" s="217">
        <f t="shared" si="627"/>
        <v>41.169194982492989</v>
      </c>
      <c r="S221" s="217">
        <f t="shared" si="628"/>
        <v>15</v>
      </c>
      <c r="T221" s="217">
        <f t="shared" si="629"/>
        <v>1.1385940390608411</v>
      </c>
      <c r="U221" s="217">
        <f t="shared" si="630"/>
        <v>0.16125981934131545</v>
      </c>
      <c r="V221" s="217">
        <f t="shared" si="631"/>
        <v>0.86221101154148472</v>
      </c>
      <c r="W221" s="197">
        <f t="shared" si="632"/>
        <v>111.24831355269215</v>
      </c>
      <c r="X221" s="443">
        <f t="shared" si="691"/>
        <v>350</v>
      </c>
      <c r="Z221" s="217">
        <f t="shared" si="633"/>
        <v>10</v>
      </c>
      <c r="AA221" s="173">
        <f t="shared" si="634"/>
        <v>7.572593760043496</v>
      </c>
      <c r="AB221" s="173">
        <f t="shared" si="635"/>
        <v>4.1567678537392041</v>
      </c>
      <c r="AC221" s="173"/>
      <c r="AD221" s="173">
        <f t="shared" si="636"/>
        <v>7.572593760043496</v>
      </c>
      <c r="AE221" s="545">
        <f t="shared" si="637"/>
        <v>13.205514935667908</v>
      </c>
      <c r="AF221" s="528">
        <f t="shared" si="638"/>
        <v>4.2121914251223949</v>
      </c>
      <c r="AH221" s="173">
        <f t="shared" si="639"/>
        <v>1.9023794624226835</v>
      </c>
      <c r="AI221" s="173">
        <f t="shared" si="640"/>
        <v>10</v>
      </c>
      <c r="AJ221" s="173">
        <f t="shared" si="641"/>
        <v>1.0075460085346675</v>
      </c>
      <c r="AL221" s="545">
        <f t="shared" si="642"/>
        <v>500</v>
      </c>
      <c r="AM221" s="460">
        <f t="shared" si="643"/>
        <v>13.205514935667908</v>
      </c>
      <c r="AO221">
        <f t="shared" si="644"/>
        <v>500</v>
      </c>
      <c r="AP221">
        <f t="shared" si="645"/>
        <v>13.205514935667908</v>
      </c>
      <c r="AR221" s="5">
        <f t="shared" si="616"/>
        <v>75.725937600434975</v>
      </c>
      <c r="AS221" s="5">
        <f t="shared" si="604"/>
        <v>1.4163065483315647</v>
      </c>
      <c r="AT221" s="5">
        <f t="shared" si="605"/>
        <v>74.309631052103413</v>
      </c>
      <c r="AU221" s="173">
        <f t="shared" si="606"/>
        <v>1.8703057277476738E-2</v>
      </c>
      <c r="BA221" s="173">
        <f t="shared" si="692"/>
        <v>0.7895791553622461</v>
      </c>
      <c r="BB221" s="173">
        <f t="shared" si="693"/>
        <v>5.719256777829683</v>
      </c>
      <c r="BC221" s="173">
        <f t="shared" si="694"/>
        <v>0.14085071594027612</v>
      </c>
      <c r="BD221" s="173"/>
      <c r="BE221" s="528">
        <f t="shared" si="695"/>
        <v>1.246870485165116E-2</v>
      </c>
      <c r="BF221" s="528">
        <f t="shared" si="646"/>
        <v>0.24902474289029669</v>
      </c>
      <c r="BG221" s="528">
        <f t="shared" si="647"/>
        <v>2.797173031055512E-2</v>
      </c>
      <c r="BH221" s="528">
        <f t="shared" si="696"/>
        <v>1.335755945372726E-2</v>
      </c>
      <c r="BI221">
        <f t="shared" si="697"/>
        <v>3.8127339073319264E-2</v>
      </c>
      <c r="BJ221" s="460">
        <f t="shared" si="698"/>
        <v>66.099069383874394</v>
      </c>
      <c r="BK221">
        <f t="shared" si="648"/>
        <v>0.27904424401345229</v>
      </c>
      <c r="BL221" s="460">
        <f t="shared" si="699"/>
        <v>340.95007657954943</v>
      </c>
      <c r="BM221" s="173">
        <f t="shared" si="649"/>
        <v>0.31062499999999998</v>
      </c>
      <c r="BN221" s="173">
        <f t="shared" si="650"/>
        <v>5.5468749999999997E-3</v>
      </c>
      <c r="BQ221" s="460">
        <f t="shared" si="700"/>
        <v>316.171875</v>
      </c>
      <c r="BR221" s="528">
        <f t="shared" si="701"/>
        <v>1.8703057277476738E-2</v>
      </c>
      <c r="BS221" s="528">
        <f t="shared" si="702"/>
        <v>0.9812969427225231</v>
      </c>
      <c r="BT221" s="528">
        <f t="shared" si="703"/>
        <v>9.9194620904441766E-5</v>
      </c>
      <c r="BU221" s="528">
        <f t="shared" si="704"/>
        <v>1.0019783926354003E-2</v>
      </c>
      <c r="BV221" s="528"/>
      <c r="BW221" s="625">
        <f t="shared" si="705"/>
        <v>1.3205514935667911E-3</v>
      </c>
      <c r="BX221" s="460">
        <f t="shared" si="706"/>
        <v>1011.4395300408252</v>
      </c>
      <c r="BY221" s="173">
        <f t="shared" si="707"/>
        <v>1.6685614816203744</v>
      </c>
      <c r="BZ221" s="5">
        <f t="shared" si="708"/>
        <v>7.6</v>
      </c>
      <c r="CA221" s="173">
        <f t="shared" si="709"/>
        <v>0.81997621907896456</v>
      </c>
      <c r="CB221" s="5">
        <f t="shared" si="710"/>
        <v>81.997621907896459</v>
      </c>
      <c r="CC221">
        <f t="shared" si="711"/>
        <v>5</v>
      </c>
      <c r="CE221" s="562">
        <f t="shared" si="651"/>
        <v>-50</v>
      </c>
      <c r="CG221" s="173">
        <f t="shared" si="652"/>
        <v>0.1023067283548187</v>
      </c>
      <c r="CH221" s="173">
        <f t="shared" si="653"/>
        <v>1.1992068769640882E-2</v>
      </c>
      <c r="CI221" s="170">
        <v>5</v>
      </c>
      <c r="CJ221" s="217">
        <f t="shared" si="712"/>
        <v>0.5</v>
      </c>
      <c r="CK221" s="217">
        <f t="shared" si="654"/>
        <v>1.2500000000000001E-2</v>
      </c>
      <c r="CL221" s="217">
        <f t="shared" si="655"/>
        <v>7.5</v>
      </c>
      <c r="CM221" s="217">
        <f t="shared" si="656"/>
        <v>0.1</v>
      </c>
      <c r="CN221" s="541">
        <f t="shared" si="657"/>
        <v>85</v>
      </c>
      <c r="CO221" s="443">
        <f t="shared" si="658"/>
        <v>15.7</v>
      </c>
      <c r="CP221" s="443">
        <f t="shared" si="659"/>
        <v>100.7</v>
      </c>
      <c r="CQ221" s="443"/>
      <c r="CR221" s="217">
        <f t="shared" si="660"/>
        <v>0.15338645418326693</v>
      </c>
      <c r="CS221" s="172">
        <f t="shared" si="661"/>
        <v>321.65744915076539</v>
      </c>
      <c r="CT221" s="172">
        <f t="shared" si="662"/>
        <v>4.3459495351925632</v>
      </c>
      <c r="CU221" s="217">
        <f t="shared" si="663"/>
        <v>21.443829943384358</v>
      </c>
      <c r="CV221" s="217">
        <f t="shared" si="664"/>
        <v>40.207181143845673</v>
      </c>
      <c r="CW221" s="217">
        <f t="shared" si="665"/>
        <v>15</v>
      </c>
      <c r="CX221" s="217">
        <f t="shared" si="666"/>
        <v>1.1658365164247517</v>
      </c>
      <c r="CY221" s="217">
        <f t="shared" si="667"/>
        <v>0.16458868467172963</v>
      </c>
      <c r="CZ221" s="217">
        <f t="shared" si="668"/>
        <v>0.89108523548388663</v>
      </c>
      <c r="DA221" s="197">
        <f t="shared" si="669"/>
        <v>110.43528632903013</v>
      </c>
      <c r="DB221" s="443">
        <f t="shared" si="670"/>
        <v>350</v>
      </c>
      <c r="DD221" s="217">
        <f t="shared" si="671"/>
        <v>9.9999999999999982</v>
      </c>
      <c r="DE221" s="173">
        <f t="shared" si="672"/>
        <v>7.6433121019108263</v>
      </c>
      <c r="DF221" s="173">
        <f t="shared" si="673"/>
        <v>4.1649244760361679</v>
      </c>
      <c r="DG221" s="173"/>
      <c r="DH221" s="173">
        <f t="shared" si="674"/>
        <v>7.6433121019108281</v>
      </c>
      <c r="DI221" s="545">
        <f t="shared" si="675"/>
        <v>13.083333333333334</v>
      </c>
      <c r="DJ221" s="528">
        <f t="shared" si="676"/>
        <v>4.2204568023833167</v>
      </c>
      <c r="DL221" s="173">
        <f t="shared" si="677"/>
        <v>1.9023794624226835</v>
      </c>
      <c r="DM221" s="173">
        <f t="shared" si="678"/>
        <v>10</v>
      </c>
      <c r="DN221" s="173">
        <f t="shared" si="679"/>
        <v>1.0074761904761904</v>
      </c>
      <c r="DP221" s="545">
        <f t="shared" si="680"/>
        <v>500</v>
      </c>
      <c r="DQ221" s="460">
        <f t="shared" si="681"/>
        <v>13.083333333333334</v>
      </c>
      <c r="DS221">
        <f t="shared" si="682"/>
        <v>500</v>
      </c>
      <c r="DT221">
        <f t="shared" si="683"/>
        <v>13.083333333333334</v>
      </c>
      <c r="DV221" s="5">
        <f t="shared" si="684"/>
        <v>76.43312101910827</v>
      </c>
      <c r="DW221" s="5">
        <f t="shared" si="685"/>
        <v>1.4117647058823528</v>
      </c>
      <c r="DX221" s="5">
        <f t="shared" si="686"/>
        <v>75.021356313225922</v>
      </c>
      <c r="DY221" s="173">
        <f t="shared" si="687"/>
        <v>1.8470588235294117E-2</v>
      </c>
      <c r="EA221" s="5">
        <f t="shared" si="713"/>
        <v>4.7058823529411757</v>
      </c>
      <c r="EB221" s="5">
        <f t="shared" si="714"/>
        <v>0.22058823529411767</v>
      </c>
      <c r="EC221" s="5">
        <f t="shared" si="715"/>
        <v>2.2825970480697539</v>
      </c>
      <c r="ED221" s="5"/>
      <c r="EE221" s="173">
        <f t="shared" si="716"/>
        <v>0.78465678771664482</v>
      </c>
      <c r="EF221" s="173">
        <f t="shared" si="717"/>
        <v>5.719934183084936</v>
      </c>
      <c r="EG221" s="173">
        <f t="shared" si="718"/>
        <v>0.14086739870499376</v>
      </c>
      <c r="EH221" s="173"/>
      <c r="EI221" s="528">
        <f t="shared" si="719"/>
        <v>1.2313725490196077E-2</v>
      </c>
      <c r="EJ221" s="528">
        <f t="shared" si="720"/>
        <v>0.26349833333333339</v>
      </c>
      <c r="EK221" s="528">
        <f t="shared" si="721"/>
        <v>1.6354166666666667E-3</v>
      </c>
      <c r="EL221" s="528">
        <f t="shared" si="722"/>
        <v>1.3267141083333335E-2</v>
      </c>
      <c r="EM221">
        <f t="shared" si="723"/>
        <v>3.8249999999999999E-2</v>
      </c>
      <c r="EN221" s="460">
        <f t="shared" si="724"/>
        <v>39.885416666666664</v>
      </c>
      <c r="EP221" s="460">
        <f t="shared" si="725"/>
        <v>328.9646165735295</v>
      </c>
      <c r="EQ221" s="173">
        <f t="shared" si="726"/>
        <v>0.35</v>
      </c>
      <c r="ER221" s="173">
        <f t="shared" si="688"/>
        <v>5.5468749999999997E-3</v>
      </c>
      <c r="ES221" s="528"/>
      <c r="EU221" s="460">
        <f t="shared" si="727"/>
        <v>355.546875</v>
      </c>
      <c r="EV221" s="528">
        <f t="shared" si="728"/>
        <v>1.8470588235294114E-2</v>
      </c>
      <c r="EW221" s="528">
        <f t="shared" si="729"/>
        <v>0.98152941176470587</v>
      </c>
      <c r="EX221" s="528">
        <f t="shared" si="730"/>
        <v>9.9218120089558399E-5</v>
      </c>
      <c r="EY221" s="528">
        <f t="shared" si="731"/>
        <v>9.7896241917020885E-3</v>
      </c>
      <c r="EZ221" s="528"/>
      <c r="FA221" s="625">
        <f t="shared" si="732"/>
        <v>1.3083333333333334E-3</v>
      </c>
      <c r="FB221" s="460">
        <f t="shared" si="733"/>
        <v>1011.197175645125</v>
      </c>
      <c r="FC221" s="173">
        <f t="shared" si="734"/>
        <v>1.6957086672186545</v>
      </c>
      <c r="FD221" s="5">
        <f t="shared" si="735"/>
        <v>7.6</v>
      </c>
      <c r="FE221" s="173">
        <f t="shared" si="736"/>
        <v>0.81758156070461019</v>
      </c>
      <c r="FF221" s="5">
        <f t="shared" si="737"/>
        <v>81.758156070461013</v>
      </c>
      <c r="FG221">
        <f t="shared" si="738"/>
        <v>5</v>
      </c>
      <c r="FI221" s="562">
        <f t="shared" si="689"/>
        <v>-50</v>
      </c>
    </row>
    <row r="222" spans="1:169">
      <c r="E222" s="170">
        <v>6</v>
      </c>
      <c r="F222" s="217">
        <f t="shared" si="690"/>
        <v>0.6</v>
      </c>
      <c r="G222" s="217">
        <f t="shared" si="617"/>
        <v>1.4999999999999999E-2</v>
      </c>
      <c r="H222" s="217">
        <f t="shared" si="618"/>
        <v>9</v>
      </c>
      <c r="I222" s="217">
        <f t="shared" si="619"/>
        <v>0.12</v>
      </c>
      <c r="J222" s="541">
        <f t="shared" si="620"/>
        <v>84.727420162931693</v>
      </c>
      <c r="K222" s="443">
        <f t="shared" si="621"/>
        <v>15.846617922801491</v>
      </c>
      <c r="L222" s="172">
        <f t="shared" si="622"/>
        <v>100.57403808573318</v>
      </c>
      <c r="M222" s="443"/>
      <c r="N222" s="217">
        <f t="shared" si="623"/>
        <v>0.15756171497552104</v>
      </c>
      <c r="O222" s="172">
        <f t="shared" si="624"/>
        <v>329.35355985994391</v>
      </c>
      <c r="P222" s="172">
        <f t="shared" si="625"/>
        <v>4.4499325421076863</v>
      </c>
      <c r="Q222" s="217">
        <f t="shared" si="626"/>
        <v>21.956903990662926</v>
      </c>
      <c r="R222" s="217">
        <f t="shared" si="627"/>
        <v>41.169194982492989</v>
      </c>
      <c r="S222" s="217">
        <f t="shared" si="628"/>
        <v>15</v>
      </c>
      <c r="T222" s="217">
        <f t="shared" si="629"/>
        <v>1.3663128468730092</v>
      </c>
      <c r="U222" s="217">
        <f t="shared" si="630"/>
        <v>0.19351178320957857</v>
      </c>
      <c r="V222" s="217">
        <f t="shared" si="631"/>
        <v>1.0346532138497815</v>
      </c>
      <c r="W222" s="197">
        <f t="shared" si="632"/>
        <v>111.24831355269215</v>
      </c>
      <c r="X222" s="443">
        <f t="shared" si="691"/>
        <v>350</v>
      </c>
      <c r="Z222" s="217">
        <f t="shared" si="633"/>
        <v>10</v>
      </c>
      <c r="AA222" s="173">
        <f t="shared" si="634"/>
        <v>7.572593760043496</v>
      </c>
      <c r="AB222" s="173">
        <f t="shared" si="635"/>
        <v>4.1567678537392041</v>
      </c>
      <c r="AC222" s="173"/>
      <c r="AD222" s="173">
        <f t="shared" si="636"/>
        <v>7.572593760043496</v>
      </c>
      <c r="AE222" s="545">
        <f t="shared" si="637"/>
        <v>15.846617922801491</v>
      </c>
      <c r="AF222" s="528">
        <f t="shared" si="638"/>
        <v>4.2121914251223949</v>
      </c>
      <c r="AH222" s="173">
        <f t="shared" si="639"/>
        <v>2.0839522890069109</v>
      </c>
      <c r="AI222" s="173">
        <f t="shared" si="640"/>
        <v>10</v>
      </c>
      <c r="AJ222" s="173">
        <f t="shared" si="641"/>
        <v>1.0090552102416008</v>
      </c>
      <c r="AL222" s="545">
        <f t="shared" si="642"/>
        <v>600</v>
      </c>
      <c r="AM222" s="460">
        <f t="shared" si="643"/>
        <v>15.846617922801491</v>
      </c>
      <c r="AO222">
        <f t="shared" si="644"/>
        <v>600</v>
      </c>
      <c r="AP222">
        <f t="shared" si="645"/>
        <v>15.846617922801491</v>
      </c>
      <c r="AR222" s="5">
        <f t="shared" si="616"/>
        <v>63.104948000362469</v>
      </c>
      <c r="AS222" s="5">
        <f t="shared" si="604"/>
        <v>1.4163065483315647</v>
      </c>
      <c r="AT222" s="5">
        <f t="shared" si="605"/>
        <v>61.688641452030907</v>
      </c>
      <c r="AU222" s="173">
        <f t="shared" si="606"/>
        <v>2.2443668732972089E-2</v>
      </c>
      <c r="BA222" s="173">
        <f t="shared" si="692"/>
        <v>0.86494062865555665</v>
      </c>
      <c r="BB222" s="173">
        <f t="shared" si="693"/>
        <v>5.708345736045974</v>
      </c>
      <c r="BC222" s="173">
        <f t="shared" si="694"/>
        <v>0.14058200479360283</v>
      </c>
      <c r="BD222" s="173"/>
      <c r="BE222" s="528">
        <f t="shared" si="695"/>
        <v>1.4962445821981392E-2</v>
      </c>
      <c r="BF222" s="528">
        <f t="shared" si="646"/>
        <v>0.29882969146835603</v>
      </c>
      <c r="BG222" s="528">
        <f t="shared" si="647"/>
        <v>3.3566076372666141E-2</v>
      </c>
      <c r="BH222" s="528">
        <f t="shared" si="696"/>
        <v>1.6029071344472713E-2</v>
      </c>
      <c r="BI222">
        <f t="shared" si="697"/>
        <v>3.8127339073319264E-2</v>
      </c>
      <c r="BJ222" s="460">
        <f t="shared" si="698"/>
        <v>71.693415445985394</v>
      </c>
      <c r="BK222">
        <f t="shared" si="648"/>
        <v>0.33505220543875275</v>
      </c>
      <c r="BL222" s="460">
        <f t="shared" si="699"/>
        <v>401.51462408079556</v>
      </c>
      <c r="BM222" s="173">
        <f t="shared" si="649"/>
        <v>0.37274999999999997</v>
      </c>
      <c r="BN222" s="173">
        <f t="shared" si="650"/>
        <v>6.6562499999999998E-3</v>
      </c>
      <c r="BQ222" s="460">
        <f t="shared" si="700"/>
        <v>379.40624999999994</v>
      </c>
      <c r="BR222" s="528">
        <f t="shared" si="701"/>
        <v>2.2443668732972086E-2</v>
      </c>
      <c r="BS222" s="528">
        <f t="shared" si="702"/>
        <v>0.97755633126702746</v>
      </c>
      <c r="BT222" s="528">
        <f t="shared" si="703"/>
        <v>9.8816500358942847E-5</v>
      </c>
      <c r="BU222" s="528">
        <f t="shared" si="704"/>
        <v>1.5805617632040306E-2</v>
      </c>
      <c r="BV222" s="528"/>
      <c r="BW222" s="625">
        <f t="shared" si="705"/>
        <v>1.5846617922801491E-3</v>
      </c>
      <c r="BX222" s="460">
        <f t="shared" si="706"/>
        <v>1017.489095924679</v>
      </c>
      <c r="BY222" s="173">
        <f t="shared" si="707"/>
        <v>1.7984099700054745</v>
      </c>
      <c r="BZ222" s="5">
        <f t="shared" si="708"/>
        <v>9.1199999999999992</v>
      </c>
      <c r="CA222" s="173">
        <f t="shared" si="709"/>
        <v>0.8352864588391552</v>
      </c>
      <c r="CB222" s="5">
        <f t="shared" si="710"/>
        <v>83.528645883915516</v>
      </c>
      <c r="CC222">
        <f t="shared" si="711"/>
        <v>6</v>
      </c>
      <c r="CE222" s="562">
        <f t="shared" si="651"/>
        <v>-50</v>
      </c>
      <c r="CG222" s="173">
        <f t="shared" si="652"/>
        <v>0.12276807402578245</v>
      </c>
      <c r="CH222" s="173">
        <f t="shared" si="653"/>
        <v>1.4390482523569057E-2</v>
      </c>
      <c r="CI222" s="170">
        <v>6</v>
      </c>
      <c r="CJ222" s="217">
        <f t="shared" si="712"/>
        <v>0.6</v>
      </c>
      <c r="CK222" s="217">
        <f t="shared" si="654"/>
        <v>1.4999999999999999E-2</v>
      </c>
      <c r="CL222" s="217">
        <f t="shared" si="655"/>
        <v>9</v>
      </c>
      <c r="CM222" s="217">
        <f t="shared" si="656"/>
        <v>0.12</v>
      </c>
      <c r="CN222" s="541">
        <f t="shared" si="657"/>
        <v>85</v>
      </c>
      <c r="CO222" s="443">
        <f t="shared" si="658"/>
        <v>15.7</v>
      </c>
      <c r="CP222" s="443">
        <f t="shared" si="659"/>
        <v>100.7</v>
      </c>
      <c r="CQ222" s="443"/>
      <c r="CR222" s="217">
        <f t="shared" si="660"/>
        <v>0.15338645418326693</v>
      </c>
      <c r="CS222" s="172">
        <f t="shared" si="661"/>
        <v>321.65744915076539</v>
      </c>
      <c r="CT222" s="172">
        <f t="shared" si="662"/>
        <v>4.3459495351925632</v>
      </c>
      <c r="CU222" s="217">
        <f t="shared" si="663"/>
        <v>21.443829943384358</v>
      </c>
      <c r="CV222" s="217">
        <f t="shared" si="664"/>
        <v>40.207181143845673</v>
      </c>
      <c r="CW222" s="217">
        <f t="shared" si="665"/>
        <v>15</v>
      </c>
      <c r="CX222" s="217">
        <f t="shared" si="666"/>
        <v>1.3990038197097019</v>
      </c>
      <c r="CY222" s="217">
        <f t="shared" si="667"/>
        <v>0.19750642160607557</v>
      </c>
      <c r="CZ222" s="217">
        <f t="shared" si="668"/>
        <v>1.0693022825806637</v>
      </c>
      <c r="DA222" s="197">
        <f t="shared" si="669"/>
        <v>110.43528632903013</v>
      </c>
      <c r="DB222" s="443">
        <f t="shared" si="670"/>
        <v>350</v>
      </c>
      <c r="DD222" s="217">
        <f t="shared" si="671"/>
        <v>9.9999999999999982</v>
      </c>
      <c r="DE222" s="173">
        <f t="shared" si="672"/>
        <v>7.6433121019108263</v>
      </c>
      <c r="DF222" s="173">
        <f t="shared" si="673"/>
        <v>4.1649244760361679</v>
      </c>
      <c r="DG222" s="173"/>
      <c r="DH222" s="173">
        <f t="shared" si="674"/>
        <v>7.6433121019108281</v>
      </c>
      <c r="DI222" s="545">
        <f t="shared" si="675"/>
        <v>15.7</v>
      </c>
      <c r="DJ222" s="528">
        <f t="shared" si="676"/>
        <v>4.2204568023833167</v>
      </c>
      <c r="DL222" s="173">
        <f t="shared" si="677"/>
        <v>2.0839522890069109</v>
      </c>
      <c r="DM222" s="173">
        <f t="shared" si="678"/>
        <v>10</v>
      </c>
      <c r="DN222" s="173">
        <f t="shared" si="679"/>
        <v>1.0089714285714286</v>
      </c>
      <c r="DP222" s="545">
        <f t="shared" si="680"/>
        <v>600</v>
      </c>
      <c r="DQ222" s="460">
        <f t="shared" si="681"/>
        <v>15.7</v>
      </c>
      <c r="DS222">
        <f t="shared" si="682"/>
        <v>600</v>
      </c>
      <c r="DT222">
        <f t="shared" si="683"/>
        <v>15.7</v>
      </c>
      <c r="DV222" s="5">
        <f t="shared" si="684"/>
        <v>63.694267515923563</v>
      </c>
      <c r="DW222" s="5">
        <f t="shared" si="685"/>
        <v>1.4117647058823528</v>
      </c>
      <c r="DX222" s="5">
        <f t="shared" si="686"/>
        <v>62.282502810041208</v>
      </c>
      <c r="DY222" s="173">
        <f t="shared" si="687"/>
        <v>2.2164705882352941E-2</v>
      </c>
      <c r="EA222" s="5">
        <f t="shared" si="713"/>
        <v>5.6470588235294112</v>
      </c>
      <c r="EB222" s="5">
        <f t="shared" si="714"/>
        <v>0.26470588235294112</v>
      </c>
      <c r="EC222" s="5">
        <f t="shared" si="715"/>
        <v>2.2740061877905511</v>
      </c>
      <c r="ED222" s="5"/>
      <c r="EE222" s="173">
        <f t="shared" si="716"/>
        <v>0.85954844506389794</v>
      </c>
      <c r="EF222" s="173">
        <f t="shared" si="717"/>
        <v>5.7091601662522624</v>
      </c>
      <c r="EG222" s="173">
        <f t="shared" si="718"/>
        <v>0.14060206213358514</v>
      </c>
      <c r="EH222" s="173"/>
      <c r="EI222" s="528">
        <f t="shared" si="719"/>
        <v>1.4776470588235295E-2</v>
      </c>
      <c r="EJ222" s="528">
        <f t="shared" si="720"/>
        <v>0.31619799999999998</v>
      </c>
      <c r="EK222" s="528">
        <f t="shared" si="721"/>
        <v>1.9624999999999998E-3</v>
      </c>
      <c r="EL222" s="528">
        <f t="shared" si="722"/>
        <v>1.5920569300000003E-2</v>
      </c>
      <c r="EM222">
        <f t="shared" si="723"/>
        <v>3.8249999999999999E-2</v>
      </c>
      <c r="EN222" s="460">
        <f t="shared" si="724"/>
        <v>40.212499999999999</v>
      </c>
      <c r="EP222" s="460">
        <f t="shared" si="725"/>
        <v>387.10753988823524</v>
      </c>
      <c r="EQ222" s="173">
        <f t="shared" si="726"/>
        <v>0.42</v>
      </c>
      <c r="ER222" s="173">
        <f t="shared" si="688"/>
        <v>6.6562499999999998E-3</v>
      </c>
      <c r="ES222" s="528"/>
      <c r="EU222" s="460">
        <f t="shared" si="727"/>
        <v>426.65624999999994</v>
      </c>
      <c r="EV222" s="528">
        <f t="shared" si="728"/>
        <v>2.2164705882352941E-2</v>
      </c>
      <c r="EW222" s="528">
        <f t="shared" si="729"/>
        <v>0.9778352941176468</v>
      </c>
      <c r="EX222" s="528">
        <f t="shared" si="730"/>
        <v>9.8844699381082687E-5</v>
      </c>
      <c r="EY222" s="528">
        <f t="shared" si="731"/>
        <v>1.544255423796531E-2</v>
      </c>
      <c r="EZ222" s="528"/>
      <c r="FA222" s="625">
        <f t="shared" si="732"/>
        <v>1.57E-3</v>
      </c>
      <c r="FB222" s="460">
        <f t="shared" si="733"/>
        <v>1017.1113989373462</v>
      </c>
      <c r="FC222" s="173">
        <f t="shared" si="734"/>
        <v>1.8308751888255814</v>
      </c>
      <c r="FD222" s="5">
        <f t="shared" si="735"/>
        <v>9.1199999999999992</v>
      </c>
      <c r="FE222" s="173">
        <f t="shared" si="736"/>
        <v>0.83281014921128582</v>
      </c>
      <c r="FF222" s="5">
        <f t="shared" si="737"/>
        <v>83.281014921128588</v>
      </c>
      <c r="FG222">
        <f t="shared" si="738"/>
        <v>6</v>
      </c>
      <c r="FI222" s="562">
        <f t="shared" si="689"/>
        <v>-50</v>
      </c>
    </row>
    <row r="223" spans="1:169">
      <c r="E223" s="170">
        <v>7</v>
      </c>
      <c r="F223" s="217">
        <f t="shared" si="690"/>
        <v>0.70000000000000007</v>
      </c>
      <c r="G223" s="217">
        <f t="shared" si="617"/>
        <v>1.7500000000000002E-2</v>
      </c>
      <c r="H223" s="217">
        <f t="shared" si="618"/>
        <v>10.500000000000002</v>
      </c>
      <c r="I223" s="217">
        <f t="shared" si="619"/>
        <v>0.14000000000000001</v>
      </c>
      <c r="J223" s="541">
        <f t="shared" si="620"/>
        <v>84.727420162931693</v>
      </c>
      <c r="K223" s="443">
        <f t="shared" si="621"/>
        <v>15.846617922801491</v>
      </c>
      <c r="L223" s="172">
        <f t="shared" si="622"/>
        <v>100.57403808573318</v>
      </c>
      <c r="M223" s="443"/>
      <c r="N223" s="217">
        <f t="shared" si="623"/>
        <v>0.15756171497552104</v>
      </c>
      <c r="O223" s="172">
        <f t="shared" si="624"/>
        <v>329.35355985994391</v>
      </c>
      <c r="P223" s="172">
        <f t="shared" si="625"/>
        <v>4.4499325421076863</v>
      </c>
      <c r="Q223" s="217">
        <f t="shared" si="626"/>
        <v>21.956903990662926</v>
      </c>
      <c r="R223" s="217">
        <f t="shared" si="627"/>
        <v>41.169194982492989</v>
      </c>
      <c r="S223" s="217">
        <f t="shared" si="628"/>
        <v>15</v>
      </c>
      <c r="T223" s="217">
        <f t="shared" si="629"/>
        <v>1.5940316546851778</v>
      </c>
      <c r="U223" s="217">
        <f t="shared" si="630"/>
        <v>0.22576374707784169</v>
      </c>
      <c r="V223" s="217">
        <f t="shared" si="631"/>
        <v>1.2070954161580787</v>
      </c>
      <c r="W223" s="197">
        <f t="shared" si="632"/>
        <v>111.24831355269215</v>
      </c>
      <c r="X223" s="443">
        <f t="shared" si="691"/>
        <v>350</v>
      </c>
      <c r="Z223" s="217">
        <f t="shared" si="633"/>
        <v>10</v>
      </c>
      <c r="AA223" s="173">
        <f t="shared" si="634"/>
        <v>7.572593760043496</v>
      </c>
      <c r="AB223" s="173">
        <f t="shared" si="635"/>
        <v>4.1567678537392041</v>
      </c>
      <c r="AC223" s="173"/>
      <c r="AD223" s="173">
        <f t="shared" si="636"/>
        <v>7.572593760043496</v>
      </c>
      <c r="AE223" s="545">
        <f t="shared" si="637"/>
        <v>18.487720909935074</v>
      </c>
      <c r="AF223" s="528">
        <f t="shared" si="638"/>
        <v>4.2121914251223949</v>
      </c>
      <c r="AH223" s="173">
        <f t="shared" si="639"/>
        <v>2.2509257354845511</v>
      </c>
      <c r="AI223" s="173">
        <f t="shared" si="640"/>
        <v>10</v>
      </c>
      <c r="AJ223" s="173">
        <f t="shared" si="641"/>
        <v>1.0105644119485344</v>
      </c>
      <c r="AL223" s="545">
        <f t="shared" si="642"/>
        <v>700.00000000000011</v>
      </c>
      <c r="AM223" s="460">
        <f t="shared" si="643"/>
        <v>18.487720909935074</v>
      </c>
      <c r="AO223">
        <f t="shared" si="644"/>
        <v>700.00000000000011</v>
      </c>
      <c r="AP223">
        <f t="shared" si="645"/>
        <v>18.487720909935074</v>
      </c>
      <c r="AR223" s="5">
        <f t="shared" si="616"/>
        <v>54.089955428882114</v>
      </c>
      <c r="AS223" s="5">
        <f t="shared" si="604"/>
        <v>1.4163065483315647</v>
      </c>
      <c r="AT223" s="5">
        <f t="shared" si="605"/>
        <v>52.673648880550552</v>
      </c>
      <c r="AU223" s="173">
        <f t="shared" si="606"/>
        <v>2.6184280188467437E-2</v>
      </c>
      <c r="BA223" s="173">
        <f t="shared" si="692"/>
        <v>0.93424265563909104</v>
      </c>
      <c r="BB223" s="173">
        <f t="shared" si="693"/>
        <v>5.697413798708828</v>
      </c>
      <c r="BC223" s="173">
        <f t="shared" si="694"/>
        <v>0.14031277904271156</v>
      </c>
      <c r="BD223" s="173"/>
      <c r="BE223" s="528">
        <f t="shared" si="695"/>
        <v>1.7456186792311625E-2</v>
      </c>
      <c r="BF223" s="528">
        <f t="shared" si="646"/>
        <v>0.34863464004641542</v>
      </c>
      <c r="BG223" s="528">
        <f t="shared" si="647"/>
        <v>3.9160422434777173E-2</v>
      </c>
      <c r="BH223" s="528">
        <f t="shared" si="696"/>
        <v>1.8700583235218168E-2</v>
      </c>
      <c r="BI223">
        <f t="shared" si="697"/>
        <v>3.8127339073319264E-2</v>
      </c>
      <c r="BJ223" s="460">
        <f t="shared" si="698"/>
        <v>77.287761508096438</v>
      </c>
      <c r="BK223">
        <f t="shared" si="648"/>
        <v>0.39112681416392986</v>
      </c>
      <c r="BL223" s="460">
        <f t="shared" si="699"/>
        <v>462.07917158204168</v>
      </c>
      <c r="BM223" s="173">
        <f t="shared" si="649"/>
        <v>0.43487499999999996</v>
      </c>
      <c r="BN223" s="173">
        <f t="shared" si="650"/>
        <v>7.765625E-3</v>
      </c>
      <c r="BQ223" s="460">
        <f t="shared" si="700"/>
        <v>442.64062499999994</v>
      </c>
      <c r="BR223" s="528">
        <f t="shared" si="701"/>
        <v>2.6184280188467437E-2</v>
      </c>
      <c r="BS223" s="528">
        <f t="shared" si="702"/>
        <v>0.9738157198115327</v>
      </c>
      <c r="BT223" s="528">
        <f t="shared" si="703"/>
        <v>9.8438379813443983E-5</v>
      </c>
      <c r="BU223" s="528">
        <f t="shared" si="704"/>
        <v>2.3236913718149919E-2</v>
      </c>
      <c r="BV223" s="528"/>
      <c r="BW223" s="625">
        <f t="shared" si="705"/>
        <v>1.8487720909935075E-3</v>
      </c>
      <c r="BX223" s="460">
        <f t="shared" si="706"/>
        <v>1025.184124188957</v>
      </c>
      <c r="BY223" s="173">
        <f t="shared" si="707"/>
        <v>1.9299039207709985</v>
      </c>
      <c r="BZ223" s="5">
        <f t="shared" si="708"/>
        <v>10.640000000000002</v>
      </c>
      <c r="CA223" s="173">
        <f t="shared" si="709"/>
        <v>0.8464662949744628</v>
      </c>
      <c r="CB223" s="5">
        <f t="shared" si="710"/>
        <v>84.646629497446284</v>
      </c>
      <c r="CC223">
        <f t="shared" si="711"/>
        <v>7.0000000000000009</v>
      </c>
      <c r="CE223" s="562">
        <f t="shared" si="651"/>
        <v>-50</v>
      </c>
      <c r="CG223" s="173">
        <f t="shared" si="652"/>
        <v>0.14322941969674621</v>
      </c>
      <c r="CH223" s="173">
        <f t="shared" si="653"/>
        <v>1.6788896277497238E-2</v>
      </c>
      <c r="CI223" s="170">
        <v>7</v>
      </c>
      <c r="CJ223" s="217">
        <f t="shared" si="712"/>
        <v>0.70000000000000007</v>
      </c>
      <c r="CK223" s="217">
        <f t="shared" si="654"/>
        <v>1.7500000000000002E-2</v>
      </c>
      <c r="CL223" s="217">
        <f t="shared" si="655"/>
        <v>10.500000000000002</v>
      </c>
      <c r="CM223" s="217">
        <f t="shared" si="656"/>
        <v>0.14000000000000001</v>
      </c>
      <c r="CN223" s="541">
        <f t="shared" si="657"/>
        <v>85</v>
      </c>
      <c r="CO223" s="443">
        <f t="shared" si="658"/>
        <v>15.7</v>
      </c>
      <c r="CP223" s="443">
        <f t="shared" si="659"/>
        <v>100.7</v>
      </c>
      <c r="CQ223" s="443"/>
      <c r="CR223" s="217">
        <f t="shared" si="660"/>
        <v>0.15338645418326693</v>
      </c>
      <c r="CS223" s="172">
        <f t="shared" si="661"/>
        <v>321.65744915076539</v>
      </c>
      <c r="CT223" s="172">
        <f t="shared" si="662"/>
        <v>4.3459495351925632</v>
      </c>
      <c r="CU223" s="217">
        <f t="shared" si="663"/>
        <v>21.443829943384358</v>
      </c>
      <c r="CV223" s="217">
        <f t="shared" si="664"/>
        <v>40.207181143845673</v>
      </c>
      <c r="CW223" s="217">
        <f t="shared" si="665"/>
        <v>15</v>
      </c>
      <c r="CX223" s="217">
        <f t="shared" si="666"/>
        <v>1.6321711229946527</v>
      </c>
      <c r="CY223" s="217">
        <f t="shared" si="667"/>
        <v>0.23042415854042156</v>
      </c>
      <c r="CZ223" s="217">
        <f t="shared" si="668"/>
        <v>1.2475193296774416</v>
      </c>
      <c r="DA223" s="197">
        <f t="shared" si="669"/>
        <v>110.43528632903013</v>
      </c>
      <c r="DB223" s="443">
        <f t="shared" si="670"/>
        <v>350</v>
      </c>
      <c r="DD223" s="217">
        <f t="shared" si="671"/>
        <v>9.9999999999999982</v>
      </c>
      <c r="DE223" s="173">
        <f t="shared" si="672"/>
        <v>7.6433121019108263</v>
      </c>
      <c r="DF223" s="173">
        <f t="shared" si="673"/>
        <v>4.1649244760361679</v>
      </c>
      <c r="DG223" s="173"/>
      <c r="DH223" s="173">
        <f t="shared" si="674"/>
        <v>7.6433121019108281</v>
      </c>
      <c r="DI223" s="545">
        <f t="shared" si="675"/>
        <v>18.31666666666667</v>
      </c>
      <c r="DJ223" s="528">
        <f t="shared" si="676"/>
        <v>4.2204568023833167</v>
      </c>
      <c r="DL223" s="173">
        <f t="shared" si="677"/>
        <v>2.2509257354845511</v>
      </c>
      <c r="DM223" s="173">
        <f t="shared" si="678"/>
        <v>10</v>
      </c>
      <c r="DN223" s="173">
        <f t="shared" si="679"/>
        <v>1.0104666666666666</v>
      </c>
      <c r="DP223" s="545">
        <f t="shared" si="680"/>
        <v>700.00000000000011</v>
      </c>
      <c r="DQ223" s="460">
        <f t="shared" si="681"/>
        <v>18.31666666666667</v>
      </c>
      <c r="DS223">
        <f t="shared" si="682"/>
        <v>700.00000000000011</v>
      </c>
      <c r="DT223">
        <f t="shared" si="683"/>
        <v>18.31666666666667</v>
      </c>
      <c r="DV223" s="5">
        <f t="shared" si="684"/>
        <v>54.595086442220193</v>
      </c>
      <c r="DW223" s="5">
        <f t="shared" si="685"/>
        <v>1.4117647058823528</v>
      </c>
      <c r="DX223" s="5">
        <f t="shared" si="686"/>
        <v>53.183321736337838</v>
      </c>
      <c r="DY223" s="173">
        <f t="shared" si="687"/>
        <v>2.5858823529411764E-2</v>
      </c>
      <c r="EA223" s="5">
        <f t="shared" si="713"/>
        <v>6.5882352941176476</v>
      </c>
      <c r="EB223" s="5">
        <f t="shared" si="714"/>
        <v>0.30882352941176472</v>
      </c>
      <c r="EC223" s="5">
        <f t="shared" si="715"/>
        <v>2.2654153275113482</v>
      </c>
      <c r="ED223" s="5"/>
      <c r="EE223" s="173">
        <f t="shared" si="716"/>
        <v>0.92841843169646598</v>
      </c>
      <c r="EF223" s="173">
        <f t="shared" si="717"/>
        <v>5.6983657788018149</v>
      </c>
      <c r="EG223" s="173">
        <f t="shared" si="718"/>
        <v>0.1403362238857859</v>
      </c>
      <c r="EH223" s="173"/>
      <c r="EI223" s="528">
        <f t="shared" si="719"/>
        <v>1.7239215686274508E-2</v>
      </c>
      <c r="EJ223" s="528">
        <f t="shared" si="720"/>
        <v>0.36889766666666673</v>
      </c>
      <c r="EK223" s="528">
        <f t="shared" si="721"/>
        <v>2.2895833333333336E-3</v>
      </c>
      <c r="EL223" s="528">
        <f t="shared" si="722"/>
        <v>1.857399751666667E-2</v>
      </c>
      <c r="EM223">
        <f t="shared" si="723"/>
        <v>3.8249999999999999E-2</v>
      </c>
      <c r="EN223" s="460">
        <f t="shared" si="724"/>
        <v>40.539583333333333</v>
      </c>
      <c r="EP223" s="460">
        <f t="shared" si="725"/>
        <v>445.25046320294126</v>
      </c>
      <c r="EQ223" s="173">
        <f t="shared" si="726"/>
        <v>0.49</v>
      </c>
      <c r="ER223" s="173">
        <f t="shared" si="688"/>
        <v>7.765625E-3</v>
      </c>
      <c r="ES223" s="528"/>
      <c r="EU223" s="460">
        <f t="shared" si="727"/>
        <v>497.765625</v>
      </c>
      <c r="EV223" s="528">
        <f t="shared" si="728"/>
        <v>2.5858823529411764E-2</v>
      </c>
      <c r="EW223" s="528">
        <f t="shared" si="729"/>
        <v>0.97414117647058829</v>
      </c>
      <c r="EX223" s="528">
        <f t="shared" si="730"/>
        <v>9.8471278672607125E-5</v>
      </c>
      <c r="EY223" s="528">
        <f t="shared" si="731"/>
        <v>2.2703149523751295E-2</v>
      </c>
      <c r="EZ223" s="528"/>
      <c r="FA223" s="625">
        <f t="shared" si="732"/>
        <v>1.8316666666666672E-3</v>
      </c>
      <c r="FB223" s="460">
        <f t="shared" si="733"/>
        <v>1024.6332874690906</v>
      </c>
      <c r="FC223" s="173">
        <f t="shared" si="734"/>
        <v>1.9676493756720319</v>
      </c>
      <c r="FD223" s="5">
        <f t="shared" si="735"/>
        <v>10.640000000000002</v>
      </c>
      <c r="FE223" s="173">
        <f t="shared" si="736"/>
        <v>0.8439320989153738</v>
      </c>
      <c r="FF223" s="5">
        <f t="shared" si="737"/>
        <v>84.393209891537381</v>
      </c>
      <c r="FG223">
        <f t="shared" si="738"/>
        <v>7.0000000000000009</v>
      </c>
      <c r="FI223" s="562">
        <f t="shared" si="689"/>
        <v>-50</v>
      </c>
    </row>
    <row r="224" spans="1:169">
      <c r="E224" s="170">
        <v>8</v>
      </c>
      <c r="F224" s="217">
        <f t="shared" si="690"/>
        <v>0.8</v>
      </c>
      <c r="G224" s="217">
        <f t="shared" si="617"/>
        <v>0.02</v>
      </c>
      <c r="H224" s="217">
        <f t="shared" si="618"/>
        <v>12</v>
      </c>
      <c r="I224" s="217">
        <f t="shared" si="619"/>
        <v>0.16</v>
      </c>
      <c r="J224" s="541">
        <f t="shared" si="620"/>
        <v>84.727420162931693</v>
      </c>
      <c r="K224" s="443">
        <f t="shared" si="621"/>
        <v>15.846617922801491</v>
      </c>
      <c r="L224" s="172">
        <f t="shared" si="622"/>
        <v>100.57403808573318</v>
      </c>
      <c r="M224" s="443"/>
      <c r="N224" s="217">
        <f t="shared" si="623"/>
        <v>0.15756171497552104</v>
      </c>
      <c r="O224" s="172">
        <f t="shared" si="624"/>
        <v>329.35355985994391</v>
      </c>
      <c r="P224" s="172">
        <f t="shared" si="625"/>
        <v>4.4499325421076863</v>
      </c>
      <c r="Q224" s="217">
        <f t="shared" si="626"/>
        <v>21.956903990662926</v>
      </c>
      <c r="R224" s="217">
        <f t="shared" si="627"/>
        <v>41.169194982492989</v>
      </c>
      <c r="S224" s="217">
        <f t="shared" si="628"/>
        <v>15</v>
      </c>
      <c r="T224" s="217">
        <f t="shared" si="629"/>
        <v>1.8217504624973457</v>
      </c>
      <c r="U224" s="217">
        <f t="shared" si="630"/>
        <v>0.2580157109461047</v>
      </c>
      <c r="V224" s="217">
        <f t="shared" si="631"/>
        <v>1.3795376184663755</v>
      </c>
      <c r="W224" s="197">
        <f t="shared" si="632"/>
        <v>111.24831355269215</v>
      </c>
      <c r="X224" s="443">
        <f t="shared" si="691"/>
        <v>350</v>
      </c>
      <c r="Z224" s="217">
        <f t="shared" si="633"/>
        <v>10</v>
      </c>
      <c r="AA224" s="173">
        <f t="shared" si="634"/>
        <v>7.572593760043496</v>
      </c>
      <c r="AB224" s="173">
        <f t="shared" si="635"/>
        <v>4.1567678537392041</v>
      </c>
      <c r="AC224" s="173"/>
      <c r="AD224" s="173">
        <f t="shared" si="636"/>
        <v>7.572593760043496</v>
      </c>
      <c r="AE224" s="545">
        <f t="shared" si="637"/>
        <v>21.128823897068653</v>
      </c>
      <c r="AF224" s="528">
        <f t="shared" si="638"/>
        <v>4.2121914251223949</v>
      </c>
      <c r="AH224" s="173">
        <f t="shared" si="639"/>
        <v>2.4063408300729532</v>
      </c>
      <c r="AI224" s="173">
        <f t="shared" si="640"/>
        <v>10</v>
      </c>
      <c r="AJ224" s="173">
        <f t="shared" si="641"/>
        <v>1.0120736136554678</v>
      </c>
      <c r="AL224" s="545">
        <f t="shared" si="642"/>
        <v>800</v>
      </c>
      <c r="AM224" s="460">
        <f t="shared" si="643"/>
        <v>21.128823897068653</v>
      </c>
      <c r="AO224">
        <f t="shared" si="644"/>
        <v>800</v>
      </c>
      <c r="AP224">
        <f t="shared" si="645"/>
        <v>21.128823897068653</v>
      </c>
      <c r="AR224" s="5">
        <f t="shared" si="616"/>
        <v>47.328711000271852</v>
      </c>
      <c r="AS224" s="5">
        <f t="shared" si="604"/>
        <v>1.4163065483315647</v>
      </c>
      <c r="AT224" s="5">
        <f t="shared" si="605"/>
        <v>45.91240445194029</v>
      </c>
      <c r="AU224" s="173">
        <f t="shared" si="606"/>
        <v>2.9924891643962784E-2</v>
      </c>
      <c r="BA224" s="173">
        <f t="shared" si="692"/>
        <v>0.99874740957465957</v>
      </c>
      <c r="BB224" s="173">
        <f t="shared" si="693"/>
        <v>5.6864608453062644</v>
      </c>
      <c r="BC224" s="173">
        <f t="shared" si="694"/>
        <v>0.14004303571969939</v>
      </c>
      <c r="BD224" s="173"/>
      <c r="BE224" s="528">
        <f t="shared" si="695"/>
        <v>1.9949927762641859E-2</v>
      </c>
      <c r="BF224" s="528">
        <f t="shared" si="646"/>
        <v>0.39843958862447476</v>
      </c>
      <c r="BG224" s="528">
        <f t="shared" si="647"/>
        <v>4.4754768496888191E-2</v>
      </c>
      <c r="BH224" s="528">
        <f t="shared" si="696"/>
        <v>2.1372095125963615E-2</v>
      </c>
      <c r="BI224">
        <f t="shared" si="697"/>
        <v>3.8127339073319264E-2</v>
      </c>
      <c r="BJ224" s="460">
        <f t="shared" si="698"/>
        <v>82.882107570207452</v>
      </c>
      <c r="BK224">
        <f t="shared" si="648"/>
        <v>0.44726818922135481</v>
      </c>
      <c r="BL224" s="460">
        <f t="shared" si="699"/>
        <v>522.64371908328769</v>
      </c>
      <c r="BM224" s="173">
        <f t="shared" si="649"/>
        <v>0.49699999999999994</v>
      </c>
      <c r="BN224" s="173">
        <f t="shared" si="650"/>
        <v>8.8749999999999992E-3</v>
      </c>
      <c r="BQ224" s="460">
        <f t="shared" si="700"/>
        <v>505.87499999999994</v>
      </c>
      <c r="BR224" s="528">
        <f t="shared" si="701"/>
        <v>2.9924891643962784E-2</v>
      </c>
      <c r="BS224" s="528">
        <f t="shared" si="702"/>
        <v>0.97007510835603705</v>
      </c>
      <c r="BT224" s="528">
        <f t="shared" si="703"/>
        <v>9.8060259267944997E-5</v>
      </c>
      <c r="BU224" s="528">
        <f t="shared" si="704"/>
        <v>3.2445787002904035E-2</v>
      </c>
      <c r="BV224" s="528"/>
      <c r="BW224" s="625">
        <f t="shared" si="705"/>
        <v>2.1128823897068657E-3</v>
      </c>
      <c r="BX224" s="460">
        <f t="shared" si="706"/>
        <v>1034.6567296518788</v>
      </c>
      <c r="BY224" s="173">
        <f t="shared" si="707"/>
        <v>2.0631754487351661</v>
      </c>
      <c r="BZ224" s="5">
        <f t="shared" si="708"/>
        <v>12.16</v>
      </c>
      <c r="CA224" s="173">
        <f t="shared" si="709"/>
        <v>0.85494269854354932</v>
      </c>
      <c r="CB224" s="5">
        <f t="shared" si="710"/>
        <v>85.494269854354926</v>
      </c>
      <c r="CC224">
        <f t="shared" si="711"/>
        <v>8</v>
      </c>
      <c r="CE224" s="562">
        <f t="shared" si="651"/>
        <v>-50</v>
      </c>
      <c r="CG224" s="173">
        <f t="shared" si="652"/>
        <v>0.16369076536770993</v>
      </c>
      <c r="CH224" s="173">
        <f t="shared" si="653"/>
        <v>1.918731003142541E-2</v>
      </c>
      <c r="CI224" s="170">
        <v>8</v>
      </c>
      <c r="CJ224" s="217">
        <f t="shared" si="712"/>
        <v>0.8</v>
      </c>
      <c r="CK224" s="217">
        <f t="shared" si="654"/>
        <v>0.02</v>
      </c>
      <c r="CL224" s="217">
        <f t="shared" si="655"/>
        <v>12</v>
      </c>
      <c r="CM224" s="217">
        <f t="shared" si="656"/>
        <v>0.16</v>
      </c>
      <c r="CN224" s="541">
        <f t="shared" si="657"/>
        <v>85</v>
      </c>
      <c r="CO224" s="443">
        <f t="shared" si="658"/>
        <v>15.7</v>
      </c>
      <c r="CP224" s="443">
        <f t="shared" si="659"/>
        <v>100.7</v>
      </c>
      <c r="CQ224" s="443"/>
      <c r="CR224" s="217">
        <f t="shared" si="660"/>
        <v>0.15338645418326693</v>
      </c>
      <c r="CS224" s="172">
        <f t="shared" si="661"/>
        <v>321.65744915076539</v>
      </c>
      <c r="CT224" s="172">
        <f t="shared" si="662"/>
        <v>4.3459495351925632</v>
      </c>
      <c r="CU224" s="217">
        <f t="shared" si="663"/>
        <v>21.443829943384358</v>
      </c>
      <c r="CV224" s="217">
        <f t="shared" si="664"/>
        <v>40.207181143845673</v>
      </c>
      <c r="CW224" s="217">
        <f t="shared" si="665"/>
        <v>15</v>
      </c>
      <c r="CX224" s="217">
        <f t="shared" si="666"/>
        <v>1.8653384262796027</v>
      </c>
      <c r="CY224" s="217">
        <f t="shared" si="667"/>
        <v>0.26334189547476744</v>
      </c>
      <c r="CZ224" s="217">
        <f t="shared" si="668"/>
        <v>1.4257363767742188</v>
      </c>
      <c r="DA224" s="197">
        <f t="shared" si="669"/>
        <v>110.43528632903013</v>
      </c>
      <c r="DB224" s="443">
        <f t="shared" si="670"/>
        <v>350</v>
      </c>
      <c r="DD224" s="217">
        <f t="shared" si="671"/>
        <v>9.9999999999999982</v>
      </c>
      <c r="DE224" s="173">
        <f t="shared" si="672"/>
        <v>7.6433121019108263</v>
      </c>
      <c r="DF224" s="173">
        <f t="shared" si="673"/>
        <v>4.1649244760361679</v>
      </c>
      <c r="DG224" s="173"/>
      <c r="DH224" s="173">
        <f t="shared" si="674"/>
        <v>7.6433121019108281</v>
      </c>
      <c r="DI224" s="545">
        <f t="shared" si="675"/>
        <v>20.933333333333337</v>
      </c>
      <c r="DJ224" s="528">
        <f t="shared" si="676"/>
        <v>4.2204568023833167</v>
      </c>
      <c r="DL224" s="173">
        <f t="shared" si="677"/>
        <v>2.4063408300729532</v>
      </c>
      <c r="DM224" s="173">
        <f t="shared" si="678"/>
        <v>10</v>
      </c>
      <c r="DN224" s="173">
        <f t="shared" si="679"/>
        <v>1.0119619047619048</v>
      </c>
      <c r="DP224" s="545">
        <f t="shared" si="680"/>
        <v>800</v>
      </c>
      <c r="DQ224" s="460">
        <f t="shared" si="681"/>
        <v>20.933333333333337</v>
      </c>
      <c r="DS224">
        <f t="shared" si="682"/>
        <v>800</v>
      </c>
      <c r="DT224">
        <f t="shared" si="683"/>
        <v>20.933333333333337</v>
      </c>
      <c r="DV224" s="5">
        <f t="shared" si="684"/>
        <v>47.770700636942664</v>
      </c>
      <c r="DW224" s="5">
        <f t="shared" si="685"/>
        <v>1.4117647058823528</v>
      </c>
      <c r="DX224" s="5">
        <f t="shared" si="686"/>
        <v>46.358935931060309</v>
      </c>
      <c r="DY224" s="173">
        <f t="shared" si="687"/>
        <v>2.9552941176470594E-2</v>
      </c>
      <c r="EA224" s="5">
        <f t="shared" si="713"/>
        <v>7.5294117647058822</v>
      </c>
      <c r="EB224" s="5">
        <f t="shared" si="714"/>
        <v>0.3529411764705882</v>
      </c>
      <c r="EC224" s="5">
        <f t="shared" si="715"/>
        <v>2.2568244672321445</v>
      </c>
      <c r="ED224" s="5"/>
      <c r="EE224" s="173">
        <f t="shared" si="716"/>
        <v>0.99252105227833143</v>
      </c>
      <c r="EF224" s="173">
        <f t="shared" si="717"/>
        <v>5.6875509047495694</v>
      </c>
      <c r="EG224" s="173">
        <f t="shared" si="718"/>
        <v>0.1400698811052051</v>
      </c>
      <c r="EH224" s="173"/>
      <c r="EI224" s="528">
        <f t="shared" si="719"/>
        <v>1.9701960784313726E-2</v>
      </c>
      <c r="EJ224" s="528">
        <f t="shared" si="720"/>
        <v>0.42159733333333343</v>
      </c>
      <c r="EK224" s="528">
        <f t="shared" si="721"/>
        <v>2.6166666666666669E-3</v>
      </c>
      <c r="EL224" s="528">
        <f t="shared" si="722"/>
        <v>2.1227425733333336E-2</v>
      </c>
      <c r="EM224">
        <f t="shared" si="723"/>
        <v>3.8249999999999999E-2</v>
      </c>
      <c r="EN224" s="460">
        <f t="shared" si="724"/>
        <v>40.866666666666667</v>
      </c>
      <c r="EP224" s="460">
        <f t="shared" si="725"/>
        <v>503.39338651764717</v>
      </c>
      <c r="EQ224" s="173">
        <f t="shared" si="726"/>
        <v>0.55999999999999994</v>
      </c>
      <c r="ER224" s="173">
        <f t="shared" si="688"/>
        <v>8.8749999999999992E-3</v>
      </c>
      <c r="ES224" s="528"/>
      <c r="EU224" s="460">
        <f t="shared" si="727"/>
        <v>568.87499999999989</v>
      </c>
      <c r="EV224" s="528">
        <f t="shared" si="728"/>
        <v>2.9552941176470587E-2</v>
      </c>
      <c r="EW224" s="528">
        <f t="shared" si="729"/>
        <v>0.97044705882352922</v>
      </c>
      <c r="EX224" s="528">
        <f t="shared" si="730"/>
        <v>9.8097857964131468E-5</v>
      </c>
      <c r="EY224" s="528">
        <f t="shared" si="731"/>
        <v>3.1700490120052188E-2</v>
      </c>
      <c r="EZ224" s="528"/>
      <c r="FA224" s="625">
        <f t="shared" si="732"/>
        <v>2.0933333333333338E-3</v>
      </c>
      <c r="FB224" s="460">
        <f t="shared" si="733"/>
        <v>1033.8919213113493</v>
      </c>
      <c r="FC224" s="173">
        <f t="shared" si="734"/>
        <v>2.106160307828997</v>
      </c>
      <c r="FD224" s="5">
        <f t="shared" si="735"/>
        <v>12.16</v>
      </c>
      <c r="FE224" s="173">
        <f t="shared" si="736"/>
        <v>0.85236670117374358</v>
      </c>
      <c r="FF224" s="5">
        <f t="shared" si="737"/>
        <v>85.236670117374359</v>
      </c>
      <c r="FG224">
        <f t="shared" si="738"/>
        <v>8</v>
      </c>
      <c r="FI224" s="562">
        <f t="shared" si="689"/>
        <v>-50</v>
      </c>
    </row>
    <row r="225" spans="5:165">
      <c r="E225" s="170">
        <v>9</v>
      </c>
      <c r="F225" s="217">
        <f t="shared" si="690"/>
        <v>0.89999999999999991</v>
      </c>
      <c r="G225" s="217">
        <f t="shared" si="617"/>
        <v>2.2499999999999999E-2</v>
      </c>
      <c r="H225" s="217">
        <f t="shared" si="618"/>
        <v>13.499999999999998</v>
      </c>
      <c r="I225" s="217">
        <f t="shared" si="619"/>
        <v>0.18</v>
      </c>
      <c r="J225" s="541">
        <f t="shared" si="620"/>
        <v>84.727420162931693</v>
      </c>
      <c r="K225" s="443">
        <f t="shared" si="621"/>
        <v>15.846617922801491</v>
      </c>
      <c r="L225" s="172">
        <f t="shared" si="622"/>
        <v>100.57403808573318</v>
      </c>
      <c r="M225" s="443"/>
      <c r="N225" s="217">
        <f t="shared" si="623"/>
        <v>0.15756171497552104</v>
      </c>
      <c r="O225" s="172">
        <f t="shared" si="624"/>
        <v>329.35355985994391</v>
      </c>
      <c r="P225" s="172">
        <f t="shared" si="625"/>
        <v>4.4499325421076863</v>
      </c>
      <c r="Q225" s="217">
        <f t="shared" si="626"/>
        <v>21.956903990662926</v>
      </c>
      <c r="R225" s="217">
        <f t="shared" si="627"/>
        <v>41.169194982492989</v>
      </c>
      <c r="S225" s="217">
        <f t="shared" si="628"/>
        <v>15</v>
      </c>
      <c r="T225" s="217">
        <f t="shared" si="629"/>
        <v>2.0494692703095136</v>
      </c>
      <c r="U225" s="217">
        <f t="shared" si="630"/>
        <v>0.29026767481436777</v>
      </c>
      <c r="V225" s="217">
        <f t="shared" si="631"/>
        <v>1.551979820774672</v>
      </c>
      <c r="W225" s="197">
        <f t="shared" si="632"/>
        <v>111.24831355269215</v>
      </c>
      <c r="X225" s="443">
        <f t="shared" si="691"/>
        <v>350</v>
      </c>
      <c r="Z225" s="217">
        <f t="shared" si="633"/>
        <v>10</v>
      </c>
      <c r="AA225" s="173">
        <f t="shared" si="634"/>
        <v>7.572593760043496</v>
      </c>
      <c r="AB225" s="173">
        <f t="shared" si="635"/>
        <v>4.1567678537392041</v>
      </c>
      <c r="AC225" s="173"/>
      <c r="AD225" s="173">
        <f t="shared" si="636"/>
        <v>7.572593760043496</v>
      </c>
      <c r="AE225" s="545">
        <f t="shared" si="637"/>
        <v>23.769926884202231</v>
      </c>
      <c r="AF225" s="528">
        <f t="shared" si="638"/>
        <v>4.2121914251223949</v>
      </c>
      <c r="AH225" s="173">
        <f t="shared" si="639"/>
        <v>2.5523098781859765</v>
      </c>
      <c r="AI225" s="173">
        <f t="shared" si="640"/>
        <v>10</v>
      </c>
      <c r="AJ225" s="173">
        <f t="shared" si="641"/>
        <v>1.0135828153624014</v>
      </c>
      <c r="AL225" s="545">
        <f t="shared" si="642"/>
        <v>899.99999999999989</v>
      </c>
      <c r="AM225" s="460">
        <f t="shared" si="643"/>
        <v>23.769926884202231</v>
      </c>
      <c r="AO225">
        <f t="shared" si="644"/>
        <v>899.99999999999989</v>
      </c>
      <c r="AP225">
        <f t="shared" si="645"/>
        <v>23.769926884202231</v>
      </c>
      <c r="AR225" s="5">
        <f t="shared" si="616"/>
        <v>42.069965333574984</v>
      </c>
      <c r="AS225" s="5">
        <f t="shared" si="604"/>
        <v>1.4163065483315647</v>
      </c>
      <c r="AT225" s="5">
        <f t="shared" si="605"/>
        <v>40.653658785243422</v>
      </c>
      <c r="AU225" s="173">
        <f t="shared" si="606"/>
        <v>3.3665503099458129E-2</v>
      </c>
      <c r="BA225" s="173">
        <f t="shared" si="692"/>
        <v>1.0593315990041099</v>
      </c>
      <c r="BB225" s="173">
        <f t="shared" si="693"/>
        <v>5.6754867541634457</v>
      </c>
      <c r="BC225" s="173">
        <f t="shared" si="694"/>
        <v>0.13977277182802528</v>
      </c>
      <c r="BD225" s="173"/>
      <c r="BE225" s="528">
        <f t="shared" si="695"/>
        <v>2.2443668732972086E-2</v>
      </c>
      <c r="BF225" s="528">
        <f t="shared" si="646"/>
        <v>0.44824453720253399</v>
      </c>
      <c r="BG225" s="528">
        <f t="shared" si="647"/>
        <v>5.0349114558999201E-2</v>
      </c>
      <c r="BH225" s="528">
        <f t="shared" si="696"/>
        <v>2.4043607016709063E-2</v>
      </c>
      <c r="BI225">
        <f t="shared" si="697"/>
        <v>3.8127339073319264E-2</v>
      </c>
      <c r="BJ225" s="460">
        <f t="shared" si="698"/>
        <v>88.476453632318453</v>
      </c>
      <c r="BK225">
        <f t="shared" si="648"/>
        <v>0.50347644992702423</v>
      </c>
      <c r="BL225" s="460">
        <f t="shared" si="699"/>
        <v>583.20826658453348</v>
      </c>
      <c r="BM225" s="173">
        <f t="shared" si="649"/>
        <v>0.55912499999999987</v>
      </c>
      <c r="BN225" s="173">
        <f t="shared" si="650"/>
        <v>9.9843749999999985E-3</v>
      </c>
      <c r="BQ225" s="460">
        <f t="shared" si="700"/>
        <v>569.10937499999989</v>
      </c>
      <c r="BR225" s="528">
        <f t="shared" si="701"/>
        <v>3.3665503099458129E-2</v>
      </c>
      <c r="BS225" s="528">
        <f t="shared" si="702"/>
        <v>0.96633449690054163</v>
      </c>
      <c r="BT225" s="528">
        <f t="shared" si="703"/>
        <v>9.7682138722446078E-5</v>
      </c>
      <c r="BU225" s="528">
        <f t="shared" si="704"/>
        <v>4.3555160551540101E-2</v>
      </c>
      <c r="BV225" s="528"/>
      <c r="BW225" s="625">
        <f t="shared" si="705"/>
        <v>2.3769926884202233E-3</v>
      </c>
      <c r="BX225" s="460">
        <f t="shared" si="706"/>
        <v>1046.0298353786825</v>
      </c>
      <c r="BY225" s="173">
        <f t="shared" si="707"/>
        <v>2.1983474769632161</v>
      </c>
      <c r="BZ225" s="5">
        <f t="shared" si="708"/>
        <v>13.679999999999998</v>
      </c>
      <c r="CA225" s="173">
        <f t="shared" si="709"/>
        <v>0.86155061286115298</v>
      </c>
      <c r="CB225" s="5">
        <f t="shared" si="710"/>
        <v>86.155061286115298</v>
      </c>
      <c r="CC225">
        <f t="shared" si="711"/>
        <v>9</v>
      </c>
      <c r="CE225" s="562">
        <f t="shared" si="651"/>
        <v>-50</v>
      </c>
      <c r="CG225" s="173">
        <f t="shared" si="652"/>
        <v>0.18415211103867365</v>
      </c>
      <c r="CH225" s="173">
        <f t="shared" si="653"/>
        <v>2.1585723785353589E-2</v>
      </c>
      <c r="CI225" s="170">
        <v>9</v>
      </c>
      <c r="CJ225" s="217">
        <f t="shared" si="712"/>
        <v>0.89999999999999991</v>
      </c>
      <c r="CK225" s="217">
        <f t="shared" si="654"/>
        <v>2.2499999999999999E-2</v>
      </c>
      <c r="CL225" s="217">
        <f t="shared" si="655"/>
        <v>13.499999999999998</v>
      </c>
      <c r="CM225" s="217">
        <f t="shared" si="656"/>
        <v>0.18</v>
      </c>
      <c r="CN225" s="541">
        <f t="shared" si="657"/>
        <v>85</v>
      </c>
      <c r="CO225" s="443">
        <f t="shared" si="658"/>
        <v>15.7</v>
      </c>
      <c r="CP225" s="443">
        <f t="shared" si="659"/>
        <v>100.7</v>
      </c>
      <c r="CQ225" s="443"/>
      <c r="CR225" s="217">
        <f t="shared" si="660"/>
        <v>0.15338645418326693</v>
      </c>
      <c r="CS225" s="172">
        <f t="shared" si="661"/>
        <v>321.65744915076539</v>
      </c>
      <c r="CT225" s="172">
        <f t="shared" si="662"/>
        <v>4.3459495351925632</v>
      </c>
      <c r="CU225" s="217">
        <f t="shared" si="663"/>
        <v>21.443829943384358</v>
      </c>
      <c r="CV225" s="217">
        <f t="shared" si="664"/>
        <v>40.207181143845673</v>
      </c>
      <c r="CW225" s="217">
        <f t="shared" si="665"/>
        <v>15</v>
      </c>
      <c r="CX225" s="217">
        <f t="shared" si="666"/>
        <v>2.0985057295645526</v>
      </c>
      <c r="CY225" s="217">
        <f t="shared" si="667"/>
        <v>0.29625963240911335</v>
      </c>
      <c r="CZ225" s="217">
        <f t="shared" si="668"/>
        <v>1.6039534238709958</v>
      </c>
      <c r="DA225" s="197">
        <f t="shared" si="669"/>
        <v>110.43528632903013</v>
      </c>
      <c r="DB225" s="443">
        <f t="shared" si="670"/>
        <v>350</v>
      </c>
      <c r="DD225" s="217">
        <f t="shared" si="671"/>
        <v>9.9999999999999982</v>
      </c>
      <c r="DE225" s="173">
        <f t="shared" si="672"/>
        <v>7.6433121019108263</v>
      </c>
      <c r="DF225" s="173">
        <f t="shared" si="673"/>
        <v>4.1649244760361679</v>
      </c>
      <c r="DG225" s="173"/>
      <c r="DH225" s="173">
        <f t="shared" si="674"/>
        <v>7.6433121019108281</v>
      </c>
      <c r="DI225" s="545">
        <f t="shared" si="675"/>
        <v>23.55</v>
      </c>
      <c r="DJ225" s="528">
        <f t="shared" si="676"/>
        <v>4.2204568023833167</v>
      </c>
      <c r="DL225" s="173">
        <f t="shared" si="677"/>
        <v>2.5523098781859765</v>
      </c>
      <c r="DM225" s="173">
        <f t="shared" si="678"/>
        <v>10</v>
      </c>
      <c r="DN225" s="173">
        <f t="shared" si="679"/>
        <v>1.0134571428571428</v>
      </c>
      <c r="DP225" s="545">
        <f t="shared" si="680"/>
        <v>899.99999999999989</v>
      </c>
      <c r="DQ225" s="460">
        <f t="shared" si="681"/>
        <v>23.55</v>
      </c>
      <c r="DS225">
        <f t="shared" si="682"/>
        <v>899.99999999999989</v>
      </c>
      <c r="DT225">
        <f t="shared" si="683"/>
        <v>23.55</v>
      </c>
      <c r="DV225" s="5">
        <f t="shared" si="684"/>
        <v>42.462845010615709</v>
      </c>
      <c r="DW225" s="5">
        <f t="shared" si="685"/>
        <v>1.4117647058823528</v>
      </c>
      <c r="DX225" s="5">
        <f t="shared" si="686"/>
        <v>41.051080304733354</v>
      </c>
      <c r="DY225" s="173">
        <f t="shared" si="687"/>
        <v>3.3247058823529407E-2</v>
      </c>
      <c r="EA225" s="5">
        <f t="shared" si="713"/>
        <v>8.470588235294116</v>
      </c>
      <c r="EB225" s="5">
        <f t="shared" si="714"/>
        <v>0.39705882352941169</v>
      </c>
      <c r="EC225" s="5">
        <f t="shared" si="715"/>
        <v>2.2482336069529421</v>
      </c>
      <c r="ED225" s="5"/>
      <c r="EE225" s="173">
        <f t="shared" si="716"/>
        <v>1.0527275498046238</v>
      </c>
      <c r="EF225" s="173">
        <f t="shared" si="717"/>
        <v>5.676715427006684</v>
      </c>
      <c r="EG225" s="173">
        <f t="shared" si="718"/>
        <v>0.13980303090824309</v>
      </c>
      <c r="EH225" s="173"/>
      <c r="EI225" s="528">
        <f t="shared" si="719"/>
        <v>2.2164705882352937E-2</v>
      </c>
      <c r="EJ225" s="528">
        <f t="shared" si="720"/>
        <v>0.47429700000000008</v>
      </c>
      <c r="EK225" s="528">
        <f t="shared" si="721"/>
        <v>2.9437500000000002E-3</v>
      </c>
      <c r="EL225" s="528">
        <f t="shared" si="722"/>
        <v>2.3880853950000003E-2</v>
      </c>
      <c r="EM225">
        <f t="shared" si="723"/>
        <v>3.8249999999999999E-2</v>
      </c>
      <c r="EN225" s="460">
        <f t="shared" si="724"/>
        <v>41.193750000000001</v>
      </c>
      <c r="EP225" s="460">
        <f t="shared" si="725"/>
        <v>561.53630983235303</v>
      </c>
      <c r="EQ225" s="173">
        <f t="shared" si="726"/>
        <v>0.62999999999999989</v>
      </c>
      <c r="ER225" s="173">
        <f t="shared" si="688"/>
        <v>9.9843749999999985E-3</v>
      </c>
      <c r="ES225" s="528"/>
      <c r="EU225" s="460">
        <f t="shared" si="727"/>
        <v>639.98437499999989</v>
      </c>
      <c r="EV225" s="528">
        <f t="shared" si="728"/>
        <v>3.32470588235294E-2</v>
      </c>
      <c r="EW225" s="528">
        <f t="shared" si="729"/>
        <v>0.96675294117647037</v>
      </c>
      <c r="EX225" s="528">
        <f t="shared" si="730"/>
        <v>9.7724437255655852E-5</v>
      </c>
      <c r="EY225" s="528">
        <f t="shared" si="731"/>
        <v>4.255467548430255E-2</v>
      </c>
      <c r="EZ225" s="528"/>
      <c r="FA225" s="625">
        <f t="shared" si="732"/>
        <v>2.3550000000000003E-3</v>
      </c>
      <c r="FB225" s="460">
        <f t="shared" si="733"/>
        <v>1045.0073999215581</v>
      </c>
      <c r="FC225" s="173">
        <f t="shared" si="734"/>
        <v>2.2465280847539111</v>
      </c>
      <c r="FD225" s="5">
        <f t="shared" si="735"/>
        <v>13.679999999999998</v>
      </c>
      <c r="FE225" s="173">
        <f t="shared" si="736"/>
        <v>0.85894426752655162</v>
      </c>
      <c r="FF225" s="5">
        <f t="shared" si="737"/>
        <v>85.894426752655164</v>
      </c>
      <c r="FG225">
        <f t="shared" si="738"/>
        <v>9</v>
      </c>
      <c r="FI225" s="562">
        <f t="shared" si="689"/>
        <v>-50</v>
      </c>
    </row>
    <row r="226" spans="5:165">
      <c r="E226" s="170">
        <v>10</v>
      </c>
      <c r="F226" s="217">
        <f t="shared" si="690"/>
        <v>1</v>
      </c>
      <c r="G226" s="217">
        <f t="shared" si="617"/>
        <v>2.5000000000000001E-2</v>
      </c>
      <c r="H226" s="217">
        <f t="shared" si="618"/>
        <v>15</v>
      </c>
      <c r="I226" s="217">
        <f t="shared" si="619"/>
        <v>0.2</v>
      </c>
      <c r="J226" s="541">
        <f t="shared" si="620"/>
        <v>84.727420162931693</v>
      </c>
      <c r="K226" s="443">
        <f t="shared" si="621"/>
        <v>15.846617922801491</v>
      </c>
      <c r="L226" s="172">
        <f t="shared" si="622"/>
        <v>100.57403808573318</v>
      </c>
      <c r="M226" s="443"/>
      <c r="N226" s="217">
        <f t="shared" si="623"/>
        <v>0.15756171497552104</v>
      </c>
      <c r="O226" s="172">
        <f t="shared" si="624"/>
        <v>329.35355985994391</v>
      </c>
      <c r="P226" s="172">
        <f t="shared" si="625"/>
        <v>4.4499325421076863</v>
      </c>
      <c r="Q226" s="217">
        <f t="shared" si="626"/>
        <v>21.956903990662926</v>
      </c>
      <c r="R226" s="217">
        <f t="shared" si="627"/>
        <v>41.169194982492989</v>
      </c>
      <c r="S226" s="217">
        <f t="shared" si="628"/>
        <v>15</v>
      </c>
      <c r="T226" s="217">
        <f t="shared" si="629"/>
        <v>2.2771880781216822</v>
      </c>
      <c r="U226" s="217">
        <f t="shared" si="630"/>
        <v>0.32251963868263089</v>
      </c>
      <c r="V226" s="217">
        <f t="shared" si="631"/>
        <v>1.7244220230829694</v>
      </c>
      <c r="W226" s="197">
        <f t="shared" si="632"/>
        <v>111.24831355269215</v>
      </c>
      <c r="X226" s="443">
        <f t="shared" si="691"/>
        <v>350</v>
      </c>
      <c r="Z226" s="217">
        <f t="shared" si="633"/>
        <v>10</v>
      </c>
      <c r="AA226" s="173">
        <f t="shared" si="634"/>
        <v>7.572593760043496</v>
      </c>
      <c r="AB226" s="173">
        <f t="shared" si="635"/>
        <v>4.1567678537392041</v>
      </c>
      <c r="AC226" s="173"/>
      <c r="AD226" s="173">
        <f t="shared" si="636"/>
        <v>7.572593760043496</v>
      </c>
      <c r="AE226" s="545">
        <f t="shared" si="637"/>
        <v>26.411029871335817</v>
      </c>
      <c r="AF226" s="528">
        <f t="shared" si="638"/>
        <v>4.2121914251223949</v>
      </c>
      <c r="AH226" s="173">
        <f t="shared" si="639"/>
        <v>2.6903708365381971</v>
      </c>
      <c r="AI226" s="173">
        <f t="shared" si="640"/>
        <v>10</v>
      </c>
      <c r="AJ226" s="173">
        <f t="shared" si="641"/>
        <v>1.0150920170693347</v>
      </c>
      <c r="AL226" s="545">
        <f t="shared" si="642"/>
        <v>1000</v>
      </c>
      <c r="AM226" s="460">
        <f t="shared" si="643"/>
        <v>26.411029871335817</v>
      </c>
      <c r="AO226">
        <f t="shared" si="644"/>
        <v>1000</v>
      </c>
      <c r="AP226">
        <f t="shared" si="645"/>
        <v>26.411029871335817</v>
      </c>
      <c r="AR226" s="5">
        <f t="shared" si="616"/>
        <v>37.862968800217487</v>
      </c>
      <c r="AS226" s="5">
        <f t="shared" si="604"/>
        <v>1.4163065483315647</v>
      </c>
      <c r="AT226" s="5">
        <f t="shared" si="605"/>
        <v>36.446662251885925</v>
      </c>
      <c r="AU226" s="173">
        <f t="shared" si="606"/>
        <v>3.7406114554953476E-2</v>
      </c>
      <c r="BA226" s="173">
        <f t="shared" si="692"/>
        <v>1.1166335500803815</v>
      </c>
      <c r="BB226" s="173">
        <f t="shared" si="693"/>
        <v>5.6644914024268953</v>
      </c>
      <c r="BC226" s="173">
        <f t="shared" si="694"/>
        <v>0.13950198434212122</v>
      </c>
      <c r="BD226" s="173"/>
      <c r="BE226" s="528">
        <f t="shared" si="695"/>
        <v>2.4937409703302316E-2</v>
      </c>
      <c r="BF226" s="528">
        <f t="shared" si="646"/>
        <v>0.49804948578059338</v>
      </c>
      <c r="BG226" s="528">
        <f t="shared" si="647"/>
        <v>5.594346062111024E-2</v>
      </c>
      <c r="BH226" s="528">
        <f t="shared" si="696"/>
        <v>2.6715118907454521E-2</v>
      </c>
      <c r="BI226">
        <f t="shared" si="697"/>
        <v>3.8127339073319264E-2</v>
      </c>
      <c r="BJ226" s="460">
        <f t="shared" si="698"/>
        <v>94.070799694429496</v>
      </c>
      <c r="BK226">
        <f t="shared" si="648"/>
        <v>0.55975171588140593</v>
      </c>
      <c r="BL226" s="460">
        <f t="shared" si="699"/>
        <v>643.7728140857796</v>
      </c>
      <c r="BM226" s="173">
        <f t="shared" si="649"/>
        <v>0.62124999999999997</v>
      </c>
      <c r="BN226" s="173">
        <f t="shared" si="650"/>
        <v>1.1093749999999999E-2</v>
      </c>
      <c r="BQ226" s="460">
        <f t="shared" si="700"/>
        <v>632.34375</v>
      </c>
      <c r="BR226" s="528">
        <f t="shared" si="701"/>
        <v>3.7406114554953469E-2</v>
      </c>
      <c r="BS226" s="528">
        <f t="shared" si="702"/>
        <v>0.96259388544504654</v>
      </c>
      <c r="BT226" s="528">
        <f t="shared" si="703"/>
        <v>9.7304018176947173E-5</v>
      </c>
      <c r="BU226" s="528">
        <f t="shared" si="704"/>
        <v>5.6680457282791107E-2</v>
      </c>
      <c r="BV226" s="528"/>
      <c r="BW226" s="625">
        <f t="shared" si="705"/>
        <v>2.6411029871335821E-3</v>
      </c>
      <c r="BX226" s="460">
        <f t="shared" si="706"/>
        <v>1059.4188642881015</v>
      </c>
      <c r="BY226" s="173">
        <f t="shared" si="707"/>
        <v>2.3355354283738814</v>
      </c>
      <c r="BZ226" s="5">
        <f t="shared" si="708"/>
        <v>15.2</v>
      </c>
      <c r="CA226" s="173">
        <f t="shared" si="709"/>
        <v>0.86681128512364669</v>
      </c>
      <c r="CB226" s="5">
        <f t="shared" si="710"/>
        <v>86.681128512364666</v>
      </c>
      <c r="CC226">
        <f t="shared" si="711"/>
        <v>10</v>
      </c>
      <c r="CE226" s="562">
        <f t="shared" si="651"/>
        <v>-50</v>
      </c>
      <c r="CG226" s="173">
        <f t="shared" si="652"/>
        <v>0.2046134567096374</v>
      </c>
      <c r="CH226" s="173">
        <f t="shared" si="653"/>
        <v>2.3984137539281764E-2</v>
      </c>
      <c r="CI226" s="170">
        <v>10</v>
      </c>
      <c r="CJ226" s="217">
        <f t="shared" si="712"/>
        <v>1</v>
      </c>
      <c r="CK226" s="217">
        <f t="shared" si="654"/>
        <v>2.5000000000000001E-2</v>
      </c>
      <c r="CL226" s="217">
        <f t="shared" si="655"/>
        <v>15</v>
      </c>
      <c r="CM226" s="217">
        <f t="shared" si="656"/>
        <v>0.2</v>
      </c>
      <c r="CN226" s="541">
        <f t="shared" si="657"/>
        <v>85</v>
      </c>
      <c r="CO226" s="443">
        <f t="shared" si="658"/>
        <v>15.7</v>
      </c>
      <c r="CP226" s="443">
        <f t="shared" si="659"/>
        <v>100.7</v>
      </c>
      <c r="CQ226" s="443"/>
      <c r="CR226" s="217">
        <f t="shared" si="660"/>
        <v>0.15338645418326693</v>
      </c>
      <c r="CS226" s="172">
        <f t="shared" si="661"/>
        <v>321.65744915076539</v>
      </c>
      <c r="CT226" s="172">
        <f t="shared" si="662"/>
        <v>4.3459495351925632</v>
      </c>
      <c r="CU226" s="217">
        <f t="shared" si="663"/>
        <v>21.443829943384358</v>
      </c>
      <c r="CV226" s="217">
        <f t="shared" si="664"/>
        <v>40.207181143845673</v>
      </c>
      <c r="CW226" s="217">
        <f t="shared" si="665"/>
        <v>15</v>
      </c>
      <c r="CX226" s="217">
        <f t="shared" si="666"/>
        <v>2.3316730328495034</v>
      </c>
      <c r="CY226" s="217">
        <f t="shared" si="667"/>
        <v>0.32917736934345926</v>
      </c>
      <c r="CZ226" s="217">
        <f t="shared" si="668"/>
        <v>1.7821704709677733</v>
      </c>
      <c r="DA226" s="197">
        <f t="shared" si="669"/>
        <v>110.43528632903013</v>
      </c>
      <c r="DB226" s="443">
        <f t="shared" si="670"/>
        <v>350</v>
      </c>
      <c r="DD226" s="217">
        <f t="shared" si="671"/>
        <v>9.9999999999999982</v>
      </c>
      <c r="DE226" s="173">
        <f t="shared" si="672"/>
        <v>7.6433121019108263</v>
      </c>
      <c r="DF226" s="173">
        <f t="shared" si="673"/>
        <v>4.1649244760361679</v>
      </c>
      <c r="DG226" s="173"/>
      <c r="DH226" s="173">
        <f t="shared" si="674"/>
        <v>7.6433121019108281</v>
      </c>
      <c r="DI226" s="545">
        <f t="shared" si="675"/>
        <v>26.166666666666668</v>
      </c>
      <c r="DJ226" s="528">
        <f t="shared" si="676"/>
        <v>4.2204568023833167</v>
      </c>
      <c r="DL226" s="173">
        <f t="shared" si="677"/>
        <v>2.6903708365381971</v>
      </c>
      <c r="DM226" s="173">
        <f t="shared" si="678"/>
        <v>10</v>
      </c>
      <c r="DN226" s="173">
        <f t="shared" si="679"/>
        <v>1.0149523809523811</v>
      </c>
      <c r="DP226" s="545">
        <f t="shared" si="680"/>
        <v>1000</v>
      </c>
      <c r="DQ226" s="460">
        <f t="shared" si="681"/>
        <v>26.166666666666668</v>
      </c>
      <c r="DS226">
        <f t="shared" si="682"/>
        <v>1000</v>
      </c>
      <c r="DT226">
        <f t="shared" si="683"/>
        <v>26.166666666666668</v>
      </c>
      <c r="DV226" s="5">
        <f t="shared" si="684"/>
        <v>38.216560509554135</v>
      </c>
      <c r="DW226" s="5">
        <f t="shared" si="685"/>
        <v>1.4117647058823528</v>
      </c>
      <c r="DX226" s="5">
        <f t="shared" si="686"/>
        <v>36.80479580367178</v>
      </c>
      <c r="DY226" s="173">
        <f t="shared" si="687"/>
        <v>3.6941176470588234E-2</v>
      </c>
      <c r="EA226" s="5">
        <f t="shared" si="713"/>
        <v>9.4117647058823515</v>
      </c>
      <c r="EB226" s="5">
        <f t="shared" si="714"/>
        <v>0.44117647058823534</v>
      </c>
      <c r="EC226" s="5">
        <f t="shared" si="715"/>
        <v>2.2396427466737392</v>
      </c>
      <c r="ED226" s="5"/>
      <c r="EE226" s="173">
        <f t="shared" si="716"/>
        <v>1.1096722709969857</v>
      </c>
      <c r="EF226" s="173">
        <f t="shared" si="717"/>
        <v>5.6658592273647015</v>
      </c>
      <c r="EG226" s="173">
        <f t="shared" si="718"/>
        <v>0.13953567038372677</v>
      </c>
      <c r="EH226" s="173"/>
      <c r="EI226" s="528">
        <f t="shared" si="719"/>
        <v>2.4627450980392155E-2</v>
      </c>
      <c r="EJ226" s="528">
        <f t="shared" si="720"/>
        <v>0.52699666666666678</v>
      </c>
      <c r="EK226" s="528">
        <f t="shared" si="721"/>
        <v>3.2708333333333335E-3</v>
      </c>
      <c r="EL226" s="528">
        <f t="shared" si="722"/>
        <v>2.6534282166666669E-2</v>
      </c>
      <c r="EM226">
        <f t="shared" si="723"/>
        <v>3.8249999999999999E-2</v>
      </c>
      <c r="EN226" s="460">
        <f t="shared" si="724"/>
        <v>41.520833333333336</v>
      </c>
      <c r="EP226" s="460">
        <f t="shared" si="725"/>
        <v>619.67923314705899</v>
      </c>
      <c r="EQ226" s="173">
        <f t="shared" si="726"/>
        <v>0.7</v>
      </c>
      <c r="ER226" s="173">
        <f t="shared" si="688"/>
        <v>1.1093749999999999E-2</v>
      </c>
      <c r="ES226" s="528"/>
      <c r="EU226" s="460">
        <f t="shared" si="727"/>
        <v>711.09375</v>
      </c>
      <c r="EV226" s="528">
        <f t="shared" si="728"/>
        <v>3.6941176470588227E-2</v>
      </c>
      <c r="EW226" s="528">
        <f t="shared" si="729"/>
        <v>0.96305882352941197</v>
      </c>
      <c r="EX226" s="528">
        <f t="shared" si="730"/>
        <v>9.7351016547180222E-5</v>
      </c>
      <c r="EY226" s="528">
        <f t="shared" si="731"/>
        <v>5.5378477209763376E-2</v>
      </c>
      <c r="EZ226" s="528"/>
      <c r="FA226" s="625">
        <f t="shared" si="732"/>
        <v>2.6166666666666669E-3</v>
      </c>
      <c r="FB226" s="460">
        <f t="shared" si="733"/>
        <v>1058.0924948929776</v>
      </c>
      <c r="FC226" s="173">
        <f t="shared" si="734"/>
        <v>2.388865478040036</v>
      </c>
      <c r="FD226" s="5">
        <f t="shared" si="735"/>
        <v>15.2</v>
      </c>
      <c r="FE226" s="173">
        <f t="shared" si="736"/>
        <v>0.86418308326807258</v>
      </c>
      <c r="FF226" s="5">
        <f t="shared" si="737"/>
        <v>86.418308326807264</v>
      </c>
      <c r="FG226">
        <f t="shared" si="738"/>
        <v>10</v>
      </c>
      <c r="FI226" s="562">
        <f t="shared" si="689"/>
        <v>-50</v>
      </c>
    </row>
    <row r="227" spans="5:165">
      <c r="E227" s="170">
        <v>11</v>
      </c>
      <c r="F227" s="217">
        <f t="shared" si="690"/>
        <v>1.1000000000000001</v>
      </c>
      <c r="G227" s="217">
        <f t="shared" si="617"/>
        <v>2.75E-2</v>
      </c>
      <c r="H227" s="217">
        <f t="shared" si="618"/>
        <v>16.5</v>
      </c>
      <c r="I227" s="217">
        <f t="shared" si="619"/>
        <v>0.22</v>
      </c>
      <c r="J227" s="541">
        <f t="shared" si="620"/>
        <v>84.727420162931693</v>
      </c>
      <c r="K227" s="443">
        <f t="shared" si="621"/>
        <v>15.846617922801491</v>
      </c>
      <c r="L227" s="172">
        <f t="shared" si="622"/>
        <v>100.57403808573318</v>
      </c>
      <c r="M227" s="443"/>
      <c r="N227" s="217">
        <f t="shared" si="623"/>
        <v>0.15756171497552104</v>
      </c>
      <c r="O227" s="172">
        <f t="shared" si="624"/>
        <v>329.35355985994391</v>
      </c>
      <c r="P227" s="172">
        <f t="shared" si="625"/>
        <v>4.4499325421076863</v>
      </c>
      <c r="Q227" s="217">
        <f t="shared" si="626"/>
        <v>21.956903990662926</v>
      </c>
      <c r="R227" s="217">
        <f t="shared" si="627"/>
        <v>41.169194982492989</v>
      </c>
      <c r="S227" s="217">
        <f t="shared" si="628"/>
        <v>15</v>
      </c>
      <c r="T227" s="217">
        <f t="shared" si="629"/>
        <v>2.5049068859338504</v>
      </c>
      <c r="U227" s="217">
        <f t="shared" si="630"/>
        <v>0.35477160255089402</v>
      </c>
      <c r="V227" s="217">
        <f t="shared" si="631"/>
        <v>1.8968642253912662</v>
      </c>
      <c r="W227" s="197">
        <f t="shared" si="632"/>
        <v>111.24831355269215</v>
      </c>
      <c r="X227" s="443">
        <f t="shared" si="691"/>
        <v>350</v>
      </c>
      <c r="Z227" s="217">
        <f t="shared" si="633"/>
        <v>10</v>
      </c>
      <c r="AA227" s="173">
        <f t="shared" si="634"/>
        <v>7.572593760043496</v>
      </c>
      <c r="AB227" s="173">
        <f t="shared" si="635"/>
        <v>4.1567678537392041</v>
      </c>
      <c r="AC227" s="173"/>
      <c r="AD227" s="173">
        <f t="shared" si="636"/>
        <v>7.572593760043496</v>
      </c>
      <c r="AE227" s="545">
        <f t="shared" si="637"/>
        <v>29.052132858469403</v>
      </c>
      <c r="AF227" s="528">
        <f t="shared" si="638"/>
        <v>4.2121914251223949</v>
      </c>
      <c r="AH227" s="173">
        <f t="shared" si="639"/>
        <v>2.8216847382201933</v>
      </c>
      <c r="AI227" s="173">
        <f t="shared" si="640"/>
        <v>10</v>
      </c>
      <c r="AJ227" s="173">
        <f t="shared" si="641"/>
        <v>1.0166012187762683</v>
      </c>
      <c r="AL227" s="545">
        <f t="shared" si="642"/>
        <v>1100</v>
      </c>
      <c r="AM227" s="460">
        <f t="shared" si="643"/>
        <v>29.052132858469403</v>
      </c>
      <c r="AO227">
        <f t="shared" si="644"/>
        <v>1100</v>
      </c>
      <c r="AP227">
        <f t="shared" si="645"/>
        <v>29.052132858469403</v>
      </c>
      <c r="AR227" s="5">
        <f t="shared" si="616"/>
        <v>34.420880727470433</v>
      </c>
      <c r="AS227" s="5">
        <f t="shared" si="604"/>
        <v>1.4163065483315647</v>
      </c>
      <c r="AT227" s="5">
        <f t="shared" si="605"/>
        <v>33.004574179138871</v>
      </c>
      <c r="AU227" s="173">
        <f t="shared" si="606"/>
        <v>4.1146726010448838E-2</v>
      </c>
      <c r="BA227" s="173">
        <f t="shared" si="692"/>
        <v>1.1711351474879523</v>
      </c>
      <c r="BB227" s="173">
        <f t="shared" si="693"/>
        <v>5.6534746660484556</v>
      </c>
      <c r="BC227" s="173">
        <f t="shared" si="694"/>
        <v>0.13923067020699728</v>
      </c>
      <c r="BD227" s="173"/>
      <c r="BE227" s="528">
        <f t="shared" si="695"/>
        <v>2.7431150673632557E-2</v>
      </c>
      <c r="BF227" s="528">
        <f t="shared" si="646"/>
        <v>0.54785443435865289</v>
      </c>
      <c r="BG227" s="528">
        <f t="shared" si="647"/>
        <v>6.1537806683221272E-2</v>
      </c>
      <c r="BH227" s="528">
        <f t="shared" si="696"/>
        <v>2.9386630798199975E-2</v>
      </c>
      <c r="BI227">
        <f t="shared" si="697"/>
        <v>3.8127339073319264E-2</v>
      </c>
      <c r="BJ227" s="460">
        <f t="shared" si="698"/>
        <v>99.665145756540539</v>
      </c>
      <c r="BK227">
        <f t="shared" si="648"/>
        <v>0.61609410697028566</v>
      </c>
      <c r="BL227" s="460">
        <f t="shared" si="699"/>
        <v>704.33736158702584</v>
      </c>
      <c r="BM227" s="173">
        <f t="shared" si="649"/>
        <v>0.68337499999999995</v>
      </c>
      <c r="BN227" s="173">
        <f t="shared" si="650"/>
        <v>1.2203124999999999E-2</v>
      </c>
      <c r="BQ227" s="460">
        <f t="shared" si="700"/>
        <v>695.57812499999989</v>
      </c>
      <c r="BR227" s="528">
        <f t="shared" si="701"/>
        <v>4.1146726010448838E-2</v>
      </c>
      <c r="BS227" s="528">
        <f t="shared" si="702"/>
        <v>0.95885327398955089</v>
      </c>
      <c r="BT227" s="528">
        <f t="shared" si="703"/>
        <v>9.69258976314482E-5</v>
      </c>
      <c r="BU227" s="528">
        <f t="shared" si="704"/>
        <v>7.1930827790991164E-2</v>
      </c>
      <c r="BV227" s="528"/>
      <c r="BW227" s="625">
        <f t="shared" si="705"/>
        <v>2.9052132858469405E-3</v>
      </c>
      <c r="BX227" s="460">
        <f t="shared" si="706"/>
        <v>1074.9329669744693</v>
      </c>
      <c r="BY227" s="173">
        <f t="shared" si="707"/>
        <v>2.4748484535614952</v>
      </c>
      <c r="BZ227" s="5">
        <f t="shared" si="708"/>
        <v>16.72</v>
      </c>
      <c r="CA227" s="173">
        <f t="shared" si="709"/>
        <v>0.87106704908095789</v>
      </c>
      <c r="CB227" s="5">
        <f t="shared" si="710"/>
        <v>87.106704908095793</v>
      </c>
      <c r="CC227">
        <f t="shared" si="711"/>
        <v>11.000000000000002</v>
      </c>
      <c r="CE227" s="562">
        <f t="shared" si="651"/>
        <v>-50</v>
      </c>
      <c r="CG227" s="173">
        <f t="shared" si="652"/>
        <v>0.22507480238060121</v>
      </c>
      <c r="CH227" s="173">
        <f t="shared" si="653"/>
        <v>2.6382551293209943E-2</v>
      </c>
      <c r="CI227" s="170">
        <v>11</v>
      </c>
      <c r="CJ227" s="217">
        <f t="shared" si="712"/>
        <v>1.1000000000000001</v>
      </c>
      <c r="CK227" s="217">
        <f t="shared" si="654"/>
        <v>2.75E-2</v>
      </c>
      <c r="CL227" s="217">
        <f t="shared" si="655"/>
        <v>16.5</v>
      </c>
      <c r="CM227" s="217">
        <f t="shared" si="656"/>
        <v>0.22</v>
      </c>
      <c r="CN227" s="541">
        <f t="shared" si="657"/>
        <v>85</v>
      </c>
      <c r="CO227" s="443">
        <f t="shared" si="658"/>
        <v>15.7</v>
      </c>
      <c r="CP227" s="443">
        <f t="shared" si="659"/>
        <v>100.7</v>
      </c>
      <c r="CQ227" s="443"/>
      <c r="CR227" s="217">
        <f t="shared" si="660"/>
        <v>0.15338645418326693</v>
      </c>
      <c r="CS227" s="172">
        <f t="shared" si="661"/>
        <v>321.65744915076539</v>
      </c>
      <c r="CT227" s="172">
        <f t="shared" si="662"/>
        <v>4.3459495351925632</v>
      </c>
      <c r="CU227" s="217">
        <f t="shared" si="663"/>
        <v>21.443829943384358</v>
      </c>
      <c r="CV227" s="217">
        <f t="shared" si="664"/>
        <v>40.207181143845673</v>
      </c>
      <c r="CW227" s="217">
        <f t="shared" si="665"/>
        <v>15</v>
      </c>
      <c r="CX227" s="217">
        <f t="shared" si="666"/>
        <v>2.5648403361344534</v>
      </c>
      <c r="CY227" s="217">
        <f t="shared" si="667"/>
        <v>0.36209510627780522</v>
      </c>
      <c r="CZ227" s="217">
        <f t="shared" si="668"/>
        <v>1.9603875180645509</v>
      </c>
      <c r="DA227" s="197">
        <f t="shared" si="669"/>
        <v>110.43528632903013</v>
      </c>
      <c r="DB227" s="443">
        <f t="shared" si="670"/>
        <v>350</v>
      </c>
      <c r="DD227" s="217">
        <f t="shared" si="671"/>
        <v>9.9999999999999982</v>
      </c>
      <c r="DE227" s="173">
        <f t="shared" si="672"/>
        <v>7.6433121019108263</v>
      </c>
      <c r="DF227" s="173">
        <f t="shared" si="673"/>
        <v>4.1649244760361679</v>
      </c>
      <c r="DG227" s="173"/>
      <c r="DH227" s="173">
        <f t="shared" si="674"/>
        <v>7.6433121019108281</v>
      </c>
      <c r="DI227" s="545">
        <f t="shared" si="675"/>
        <v>28.783333333333339</v>
      </c>
      <c r="DJ227" s="528">
        <f t="shared" si="676"/>
        <v>4.2204568023833167</v>
      </c>
      <c r="DL227" s="173">
        <f t="shared" si="677"/>
        <v>2.8216847382201933</v>
      </c>
      <c r="DM227" s="173">
        <f t="shared" si="678"/>
        <v>10</v>
      </c>
      <c r="DN227" s="173">
        <f t="shared" si="679"/>
        <v>1.016447619047619</v>
      </c>
      <c r="DP227" s="545">
        <f t="shared" si="680"/>
        <v>1100</v>
      </c>
      <c r="DQ227" s="460">
        <f t="shared" si="681"/>
        <v>28.783333333333339</v>
      </c>
      <c r="DS227">
        <f t="shared" si="682"/>
        <v>1100</v>
      </c>
      <c r="DT227">
        <f t="shared" si="683"/>
        <v>28.783333333333339</v>
      </c>
      <c r="DV227" s="5">
        <f t="shared" si="684"/>
        <v>34.742327735958305</v>
      </c>
      <c r="DW227" s="5">
        <f t="shared" si="685"/>
        <v>1.4117647058823528</v>
      </c>
      <c r="DX227" s="5">
        <f t="shared" si="686"/>
        <v>33.33056303007595</v>
      </c>
      <c r="DY227" s="173">
        <f t="shared" si="687"/>
        <v>4.0635294117647061E-2</v>
      </c>
      <c r="EA227" s="5">
        <f t="shared" si="713"/>
        <v>10.352941176470589</v>
      </c>
      <c r="EB227" s="5">
        <f t="shared" si="714"/>
        <v>0.48529411764705876</v>
      </c>
      <c r="EC227" s="5">
        <f t="shared" si="715"/>
        <v>2.2310518863945359</v>
      </c>
      <c r="ED227" s="5"/>
      <c r="EE227" s="173">
        <f t="shared" si="716"/>
        <v>1.163834096390705</v>
      </c>
      <c r="EF227" s="173">
        <f t="shared" si="717"/>
        <v>5.654982186480499</v>
      </c>
      <c r="EG227" s="173">
        <f t="shared" si="718"/>
        <v>0.13926779659253941</v>
      </c>
      <c r="EH227" s="173"/>
      <c r="EI227" s="528">
        <f t="shared" si="719"/>
        <v>2.7090196078431376E-2</v>
      </c>
      <c r="EJ227" s="528">
        <f t="shared" si="720"/>
        <v>0.57969633333333348</v>
      </c>
      <c r="EK227" s="528">
        <f t="shared" si="721"/>
        <v>3.5979166666666672E-3</v>
      </c>
      <c r="EL227" s="528">
        <f t="shared" si="722"/>
        <v>2.9187710383333339E-2</v>
      </c>
      <c r="EM227">
        <f t="shared" si="723"/>
        <v>3.8249999999999999E-2</v>
      </c>
      <c r="EN227" s="460">
        <f t="shared" si="724"/>
        <v>41.847916666666663</v>
      </c>
      <c r="EP227" s="460">
        <f t="shared" si="725"/>
        <v>677.82215646176485</v>
      </c>
      <c r="EQ227" s="173">
        <f t="shared" si="726"/>
        <v>0.77</v>
      </c>
      <c r="ER227" s="173">
        <f t="shared" si="688"/>
        <v>1.2203124999999999E-2</v>
      </c>
      <c r="ES227" s="528"/>
      <c r="EU227" s="460">
        <f t="shared" si="727"/>
        <v>782.203125</v>
      </c>
      <c r="EV227" s="528">
        <f t="shared" si="728"/>
        <v>4.0635294117647061E-2</v>
      </c>
      <c r="EW227" s="528">
        <f t="shared" si="729"/>
        <v>0.9593647058823529</v>
      </c>
      <c r="EX227" s="528">
        <f t="shared" si="730"/>
        <v>9.6977595838704659E-5</v>
      </c>
      <c r="EY227" s="528">
        <f t="shared" si="731"/>
        <v>7.0278538643904612E-2</v>
      </c>
      <c r="EZ227" s="528"/>
      <c r="FA227" s="625">
        <f t="shared" si="732"/>
        <v>2.8783333333333343E-3</v>
      </c>
      <c r="FB227" s="460">
        <f t="shared" si="733"/>
        <v>1073.2538495730766</v>
      </c>
      <c r="FC227" s="173">
        <f t="shared" si="734"/>
        <v>2.5332791310348415</v>
      </c>
      <c r="FD227" s="5">
        <f t="shared" si="735"/>
        <v>16.72</v>
      </c>
      <c r="FE227" s="173">
        <f t="shared" si="736"/>
        <v>0.86842349743159408</v>
      </c>
      <c r="FF227" s="5">
        <f t="shared" si="737"/>
        <v>86.842349743159403</v>
      </c>
      <c r="FG227">
        <f t="shared" si="738"/>
        <v>11.000000000000002</v>
      </c>
      <c r="FI227" s="562">
        <f t="shared" si="689"/>
        <v>-50</v>
      </c>
    </row>
    <row r="228" spans="5:165">
      <c r="E228" s="170">
        <v>12</v>
      </c>
      <c r="F228" s="217">
        <f t="shared" si="690"/>
        <v>1.2</v>
      </c>
      <c r="G228" s="217">
        <f t="shared" si="617"/>
        <v>0.03</v>
      </c>
      <c r="H228" s="217">
        <f t="shared" si="618"/>
        <v>18</v>
      </c>
      <c r="I228" s="217">
        <f t="shared" si="619"/>
        <v>0.24</v>
      </c>
      <c r="J228" s="541">
        <f t="shared" si="620"/>
        <v>84.727420162931693</v>
      </c>
      <c r="K228" s="443">
        <f t="shared" si="621"/>
        <v>15.846617922801491</v>
      </c>
      <c r="L228" s="172">
        <f t="shared" si="622"/>
        <v>100.57403808573318</v>
      </c>
      <c r="M228" s="443"/>
      <c r="N228" s="217">
        <f t="shared" si="623"/>
        <v>0.15756171497552104</v>
      </c>
      <c r="O228" s="172">
        <f t="shared" si="624"/>
        <v>329.35355985994391</v>
      </c>
      <c r="P228" s="172">
        <f t="shared" si="625"/>
        <v>4.4499325421076863</v>
      </c>
      <c r="Q228" s="217">
        <f t="shared" si="626"/>
        <v>21.956903990662926</v>
      </c>
      <c r="R228" s="217">
        <f t="shared" si="627"/>
        <v>41.169194982492989</v>
      </c>
      <c r="S228" s="217">
        <f t="shared" si="628"/>
        <v>15</v>
      </c>
      <c r="T228" s="217">
        <f t="shared" si="629"/>
        <v>2.7326256937460185</v>
      </c>
      <c r="U228" s="217">
        <f t="shared" si="630"/>
        <v>0.38702356641915714</v>
      </c>
      <c r="V228" s="217">
        <f t="shared" si="631"/>
        <v>2.069306427699563</v>
      </c>
      <c r="W228" s="197">
        <f t="shared" si="632"/>
        <v>111.24831355269215</v>
      </c>
      <c r="X228" s="443">
        <f t="shared" si="691"/>
        <v>350</v>
      </c>
      <c r="Z228" s="217">
        <f t="shared" si="633"/>
        <v>10</v>
      </c>
      <c r="AA228" s="173">
        <f t="shared" si="634"/>
        <v>7.572593760043496</v>
      </c>
      <c r="AB228" s="173">
        <f t="shared" si="635"/>
        <v>4.1567678537392041</v>
      </c>
      <c r="AC228" s="173"/>
      <c r="AD228" s="173">
        <f t="shared" si="636"/>
        <v>7.572593760043496</v>
      </c>
      <c r="AE228" s="545">
        <f t="shared" si="637"/>
        <v>31.693235845602981</v>
      </c>
      <c r="AF228" s="528">
        <f t="shared" si="638"/>
        <v>4.2121914251223949</v>
      </c>
      <c r="AH228" s="173">
        <f t="shared" si="639"/>
        <v>2.9471535904520287</v>
      </c>
      <c r="AI228" s="173">
        <f t="shared" si="640"/>
        <v>10</v>
      </c>
      <c r="AJ228" s="173">
        <f t="shared" si="641"/>
        <v>1.0181104204832017</v>
      </c>
      <c r="AL228" s="545">
        <f t="shared" si="642"/>
        <v>1200</v>
      </c>
      <c r="AM228" s="460">
        <f t="shared" si="643"/>
        <v>31.693235845602981</v>
      </c>
      <c r="AO228">
        <f t="shared" si="644"/>
        <v>1200</v>
      </c>
      <c r="AP228">
        <f t="shared" si="645"/>
        <v>31.693235845602981</v>
      </c>
      <c r="AR228" s="5">
        <f t="shared" si="616"/>
        <v>31.552474000181235</v>
      </c>
      <c r="AS228" s="5">
        <f t="shared" si="604"/>
        <v>1.4163065483315647</v>
      </c>
      <c r="AT228" s="5">
        <f t="shared" si="605"/>
        <v>30.136167451849669</v>
      </c>
      <c r="AU228" s="173">
        <f t="shared" si="606"/>
        <v>4.4887337465944178E-2</v>
      </c>
      <c r="BA228" s="173">
        <f t="shared" si="692"/>
        <v>1.2232107676921991</v>
      </c>
      <c r="BB228" s="173">
        <f t="shared" si="693"/>
        <v>5.6424364197689636</v>
      </c>
      <c r="BC228" s="173">
        <f t="shared" si="694"/>
        <v>0.1389588263378396</v>
      </c>
      <c r="BD228" s="173"/>
      <c r="BE228" s="528">
        <f t="shared" si="695"/>
        <v>2.9924891643962781E-2</v>
      </c>
      <c r="BF228" s="528">
        <f t="shared" si="646"/>
        <v>0.59765938293671206</v>
      </c>
      <c r="BG228" s="528">
        <f t="shared" si="647"/>
        <v>6.7132152745332282E-2</v>
      </c>
      <c r="BH228" s="528">
        <f t="shared" si="696"/>
        <v>3.2058142688945426E-2</v>
      </c>
      <c r="BI228">
        <f t="shared" si="697"/>
        <v>3.8127339073319264E-2</v>
      </c>
      <c r="BJ228" s="460">
        <f t="shared" si="698"/>
        <v>105.25949181865154</v>
      </c>
      <c r="BK228">
        <f t="shared" si="648"/>
        <v>0.67250374336561947</v>
      </c>
      <c r="BL228" s="460">
        <f t="shared" si="699"/>
        <v>764.90190908827174</v>
      </c>
      <c r="BM228" s="173">
        <f t="shared" si="649"/>
        <v>0.74549999999999994</v>
      </c>
      <c r="BN228" s="173">
        <f t="shared" si="650"/>
        <v>1.33125E-2</v>
      </c>
      <c r="BQ228" s="460">
        <f t="shared" si="700"/>
        <v>758.81249999999989</v>
      </c>
      <c r="BR228" s="528">
        <f t="shared" si="701"/>
        <v>4.4887337465944165E-2</v>
      </c>
      <c r="BS228" s="528">
        <f t="shared" si="702"/>
        <v>0.95511266253405602</v>
      </c>
      <c r="BT228" s="528">
        <f t="shared" si="703"/>
        <v>9.6547777085949322E-5</v>
      </c>
      <c r="BU228" s="528">
        <f t="shared" si="704"/>
        <v>8.9410075267658776E-2</v>
      </c>
      <c r="BV228" s="528"/>
      <c r="BW228" s="625">
        <f t="shared" si="705"/>
        <v>3.1693235845602981E-3</v>
      </c>
      <c r="BX228" s="460">
        <f t="shared" si="706"/>
        <v>1092.6759466293051</v>
      </c>
      <c r="BY228" s="173">
        <f t="shared" si="707"/>
        <v>2.6163903557175767</v>
      </c>
      <c r="BZ228" s="5">
        <f t="shared" si="708"/>
        <v>18.239999999999998</v>
      </c>
      <c r="CA228" s="173">
        <f t="shared" si="709"/>
        <v>0.87455210076654899</v>
      </c>
      <c r="CB228" s="5">
        <f t="shared" si="710"/>
        <v>87.455210076654893</v>
      </c>
      <c r="CC228">
        <f t="shared" si="711"/>
        <v>12</v>
      </c>
      <c r="CE228" s="562">
        <f t="shared" si="651"/>
        <v>-50</v>
      </c>
      <c r="CG228" s="173">
        <f t="shared" si="652"/>
        <v>0.2455361480515649</v>
      </c>
      <c r="CH228" s="173">
        <f t="shared" si="653"/>
        <v>2.8780965047138115E-2</v>
      </c>
      <c r="CI228" s="170">
        <v>12</v>
      </c>
      <c r="CJ228" s="217">
        <f t="shared" si="712"/>
        <v>1.2</v>
      </c>
      <c r="CK228" s="217">
        <f t="shared" si="654"/>
        <v>0.03</v>
      </c>
      <c r="CL228" s="217">
        <f t="shared" si="655"/>
        <v>18</v>
      </c>
      <c r="CM228" s="217">
        <f t="shared" si="656"/>
        <v>0.24</v>
      </c>
      <c r="CN228" s="541">
        <f t="shared" si="657"/>
        <v>85</v>
      </c>
      <c r="CO228" s="443">
        <f t="shared" si="658"/>
        <v>15.7</v>
      </c>
      <c r="CP228" s="443">
        <f t="shared" si="659"/>
        <v>100.7</v>
      </c>
      <c r="CQ228" s="443"/>
      <c r="CR228" s="217">
        <f t="shared" si="660"/>
        <v>0.15338645418326693</v>
      </c>
      <c r="CS228" s="172">
        <f t="shared" si="661"/>
        <v>321.65744915076539</v>
      </c>
      <c r="CT228" s="172">
        <f t="shared" si="662"/>
        <v>4.3459495351925632</v>
      </c>
      <c r="CU228" s="217">
        <f t="shared" si="663"/>
        <v>21.443829943384358</v>
      </c>
      <c r="CV228" s="217">
        <f t="shared" si="664"/>
        <v>40.207181143845673</v>
      </c>
      <c r="CW228" s="217">
        <f t="shared" si="665"/>
        <v>15</v>
      </c>
      <c r="CX228" s="217">
        <f t="shared" si="666"/>
        <v>2.7980076394194038</v>
      </c>
      <c r="CY228" s="217">
        <f t="shared" si="667"/>
        <v>0.39501284321215113</v>
      </c>
      <c r="CZ228" s="217">
        <f t="shared" si="668"/>
        <v>2.1386045651613275</v>
      </c>
      <c r="DA228" s="197">
        <f t="shared" si="669"/>
        <v>110.43528632903013</v>
      </c>
      <c r="DB228" s="443">
        <f t="shared" si="670"/>
        <v>350</v>
      </c>
      <c r="DD228" s="217">
        <f t="shared" si="671"/>
        <v>9.9999999999999982</v>
      </c>
      <c r="DE228" s="173">
        <f t="shared" si="672"/>
        <v>7.6433121019108263</v>
      </c>
      <c r="DF228" s="173">
        <f t="shared" si="673"/>
        <v>4.1649244760361679</v>
      </c>
      <c r="DG228" s="173"/>
      <c r="DH228" s="173">
        <f t="shared" si="674"/>
        <v>7.6433121019108281</v>
      </c>
      <c r="DI228" s="545">
        <f t="shared" si="675"/>
        <v>31.4</v>
      </c>
      <c r="DJ228" s="528">
        <f t="shared" si="676"/>
        <v>4.2204568023833167</v>
      </c>
      <c r="DL228" s="173">
        <f t="shared" si="677"/>
        <v>2.9471535904520287</v>
      </c>
      <c r="DM228" s="173">
        <f t="shared" si="678"/>
        <v>10</v>
      </c>
      <c r="DN228" s="173">
        <f t="shared" si="679"/>
        <v>1.017942857142857</v>
      </c>
      <c r="DP228" s="545">
        <f t="shared" si="680"/>
        <v>1200</v>
      </c>
      <c r="DQ228" s="460">
        <f t="shared" si="681"/>
        <v>31.4</v>
      </c>
      <c r="DS228">
        <f t="shared" si="682"/>
        <v>1200</v>
      </c>
      <c r="DT228">
        <f t="shared" si="683"/>
        <v>31.4</v>
      </c>
      <c r="DV228" s="5">
        <f t="shared" si="684"/>
        <v>31.847133757961782</v>
      </c>
      <c r="DW228" s="5">
        <f t="shared" si="685"/>
        <v>1.4117647058823528</v>
      </c>
      <c r="DX228" s="5">
        <f t="shared" si="686"/>
        <v>30.43536905207943</v>
      </c>
      <c r="DY228" s="173">
        <f t="shared" si="687"/>
        <v>4.4329411764705881E-2</v>
      </c>
      <c r="EA228" s="5">
        <f t="shared" si="713"/>
        <v>11.294117647058822</v>
      </c>
      <c r="EB228" s="5">
        <f t="shared" si="714"/>
        <v>0.52941176470588225</v>
      </c>
      <c r="EC228" s="5">
        <f t="shared" si="715"/>
        <v>2.222461026115333</v>
      </c>
      <c r="ED228" s="5"/>
      <c r="EE228" s="173">
        <f t="shared" si="716"/>
        <v>1.2155850685260696</v>
      </c>
      <c r="EF228" s="173">
        <f t="shared" si="717"/>
        <v>5.6440841838609925</v>
      </c>
      <c r="EG228" s="173">
        <f t="shared" si="718"/>
        <v>0.1389994065672433</v>
      </c>
      <c r="EH228" s="173"/>
      <c r="EI228" s="528">
        <f t="shared" si="719"/>
        <v>2.9552941176470587E-2</v>
      </c>
      <c r="EJ228" s="528">
        <f t="shared" si="720"/>
        <v>0.63239599999999996</v>
      </c>
      <c r="EK228" s="528">
        <f t="shared" si="721"/>
        <v>3.9249999999999997E-3</v>
      </c>
      <c r="EL228" s="528">
        <f t="shared" si="722"/>
        <v>3.1841138600000006E-2</v>
      </c>
      <c r="EM228">
        <f t="shared" si="723"/>
        <v>3.8249999999999999E-2</v>
      </c>
      <c r="EN228" s="460">
        <f t="shared" si="724"/>
        <v>42.174999999999997</v>
      </c>
      <c r="EP228" s="460">
        <f t="shared" si="725"/>
        <v>735.96507977647047</v>
      </c>
      <c r="EQ228" s="173">
        <f t="shared" si="726"/>
        <v>0.84</v>
      </c>
      <c r="ER228" s="173">
        <f t="shared" si="688"/>
        <v>1.33125E-2</v>
      </c>
      <c r="ES228" s="528"/>
      <c r="EU228" s="460">
        <f t="shared" si="727"/>
        <v>853.31249999999989</v>
      </c>
      <c r="EV228" s="528">
        <f t="shared" si="728"/>
        <v>4.4329411764705881E-2</v>
      </c>
      <c r="EW228" s="528">
        <f t="shared" si="729"/>
        <v>0.95567058823529416</v>
      </c>
      <c r="EX228" s="528">
        <f t="shared" si="730"/>
        <v>9.6604175130229002E-5</v>
      </c>
      <c r="EY228" s="528">
        <f t="shared" si="731"/>
        <v>8.7356278564050566E-2</v>
      </c>
      <c r="EZ228" s="528"/>
      <c r="FA228" s="625">
        <f t="shared" si="732"/>
        <v>3.14E-3</v>
      </c>
      <c r="FB228" s="460">
        <f t="shared" si="733"/>
        <v>1090.5928827391806</v>
      </c>
      <c r="FC228" s="173">
        <f t="shared" si="734"/>
        <v>2.6798704625156513</v>
      </c>
      <c r="FD228" s="5">
        <f t="shared" si="735"/>
        <v>18.239999999999998</v>
      </c>
      <c r="FE228" s="173">
        <f t="shared" si="736"/>
        <v>0.87189832425982461</v>
      </c>
      <c r="FF228" s="5">
        <f t="shared" si="737"/>
        <v>87.189832425982459</v>
      </c>
      <c r="FG228">
        <f t="shared" si="738"/>
        <v>12</v>
      </c>
      <c r="FI228" s="562">
        <f t="shared" si="689"/>
        <v>-50</v>
      </c>
    </row>
    <row r="229" spans="5:165">
      <c r="E229" s="170">
        <v>13</v>
      </c>
      <c r="F229" s="217">
        <f t="shared" si="690"/>
        <v>1.3</v>
      </c>
      <c r="G229" s="217">
        <f t="shared" si="617"/>
        <v>3.2500000000000001E-2</v>
      </c>
      <c r="H229" s="217">
        <f t="shared" si="618"/>
        <v>19.5</v>
      </c>
      <c r="I229" s="217">
        <f t="shared" si="619"/>
        <v>0.26</v>
      </c>
      <c r="J229" s="541">
        <f t="shared" si="620"/>
        <v>84.727420162931693</v>
      </c>
      <c r="K229" s="443">
        <f t="shared" si="621"/>
        <v>15.846617922801491</v>
      </c>
      <c r="L229" s="172">
        <f t="shared" si="622"/>
        <v>100.57403808573318</v>
      </c>
      <c r="M229" s="443"/>
      <c r="N229" s="217">
        <f t="shared" si="623"/>
        <v>0.15756171497552104</v>
      </c>
      <c r="O229" s="172">
        <f t="shared" si="624"/>
        <v>329.35355985994391</v>
      </c>
      <c r="P229" s="172">
        <f t="shared" si="625"/>
        <v>4.4499325421076863</v>
      </c>
      <c r="Q229" s="217">
        <f t="shared" si="626"/>
        <v>21.956903990662926</v>
      </c>
      <c r="R229" s="217">
        <f t="shared" si="627"/>
        <v>41.169194982492989</v>
      </c>
      <c r="S229" s="217">
        <f t="shared" si="628"/>
        <v>15</v>
      </c>
      <c r="T229" s="217">
        <f t="shared" si="629"/>
        <v>2.9603445015581871</v>
      </c>
      <c r="U229" s="217">
        <f t="shared" si="630"/>
        <v>0.41927553028742021</v>
      </c>
      <c r="V229" s="217">
        <f t="shared" si="631"/>
        <v>2.24174863000786</v>
      </c>
      <c r="W229" s="197">
        <f t="shared" si="632"/>
        <v>111.24831355269215</v>
      </c>
      <c r="X229" s="443">
        <f t="shared" si="691"/>
        <v>349.52518537864853</v>
      </c>
      <c r="Z229" s="217">
        <f t="shared" si="633"/>
        <v>10</v>
      </c>
      <c r="AA229" s="173">
        <f t="shared" si="634"/>
        <v>7.572593760043496</v>
      </c>
      <c r="AB229" s="173">
        <f t="shared" si="635"/>
        <v>4.1567678537392041</v>
      </c>
      <c r="AC229" s="173"/>
      <c r="AD229" s="173">
        <f t="shared" si="636"/>
        <v>7.572593760043496</v>
      </c>
      <c r="AE229" s="545">
        <f t="shared" si="637"/>
        <v>34.334338832736563</v>
      </c>
      <c r="AF229" s="528">
        <f t="shared" si="638"/>
        <v>4.2121914251223949</v>
      </c>
      <c r="AH229" s="173">
        <f t="shared" si="639"/>
        <v>3.0674947122242622</v>
      </c>
      <c r="AI229" s="173">
        <f t="shared" si="640"/>
        <v>10</v>
      </c>
      <c r="AJ229" s="173">
        <f t="shared" si="641"/>
        <v>1.0196196221901352</v>
      </c>
      <c r="AL229" s="545">
        <f t="shared" si="642"/>
        <v>1300</v>
      </c>
      <c r="AM229" s="460">
        <f t="shared" si="643"/>
        <v>34.334338832736563</v>
      </c>
      <c r="AO229">
        <f t="shared" si="644"/>
        <v>1300</v>
      </c>
      <c r="AP229">
        <f t="shared" si="645"/>
        <v>34.334338832736563</v>
      </c>
      <c r="AR229" s="5">
        <f t="shared" si="616"/>
        <v>29.125360615551909</v>
      </c>
      <c r="AS229" s="5">
        <f t="shared" si="604"/>
        <v>1.4163065483315647</v>
      </c>
      <c r="AT229" s="5">
        <f t="shared" si="605"/>
        <v>27.709054067220343</v>
      </c>
      <c r="AU229" s="173">
        <f t="shared" si="606"/>
        <v>4.8627948921439526E-2</v>
      </c>
      <c r="BA229" s="173">
        <f t="shared" si="692"/>
        <v>1.2731581326428587</v>
      </c>
      <c r="BB229" s="173">
        <f t="shared" si="693"/>
        <v>5.6313765371016249</v>
      </c>
      <c r="BC229" s="173">
        <f t="shared" si="694"/>
        <v>0.1386864496196008</v>
      </c>
      <c r="BD229" s="173"/>
      <c r="BE229" s="528">
        <f t="shared" si="695"/>
        <v>3.2418632614293022E-2</v>
      </c>
      <c r="BF229" s="528">
        <f t="shared" si="646"/>
        <v>0.64746433151477145</v>
      </c>
      <c r="BG229" s="528">
        <f t="shared" si="647"/>
        <v>7.2726498807443321E-2</v>
      </c>
      <c r="BH229" s="528">
        <f t="shared" si="696"/>
        <v>3.4729654579690877E-2</v>
      </c>
      <c r="BI229">
        <f t="shared" si="697"/>
        <v>3.8127339073319264E-2</v>
      </c>
      <c r="BJ229" s="460">
        <f t="shared" si="698"/>
        <v>110.85383788076258</v>
      </c>
      <c r="BK229">
        <f t="shared" si="648"/>
        <v>0.72898074552638858</v>
      </c>
      <c r="BL229" s="460">
        <f t="shared" si="699"/>
        <v>825.46645658951786</v>
      </c>
      <c r="BM229" s="173">
        <f t="shared" si="649"/>
        <v>0.80762499999999993</v>
      </c>
      <c r="BN229" s="173">
        <f t="shared" si="650"/>
        <v>1.4421874999999999E-2</v>
      </c>
      <c r="BQ229" s="460">
        <f t="shared" si="700"/>
        <v>822.046875</v>
      </c>
      <c r="BR229" s="528">
        <f t="shared" si="701"/>
        <v>4.8627948921439533E-2</v>
      </c>
      <c r="BS229" s="528">
        <f t="shared" si="702"/>
        <v>0.9513720510785606</v>
      </c>
      <c r="BT229" s="528">
        <f t="shared" si="703"/>
        <v>9.6169656540450376E-5</v>
      </c>
      <c r="BU229" s="528">
        <f t="shared" si="704"/>
        <v>0.10921737296650155</v>
      </c>
      <c r="BV229" s="528"/>
      <c r="BW229" s="625">
        <f t="shared" si="705"/>
        <v>3.4334338832736565E-3</v>
      </c>
      <c r="BX229" s="460">
        <f t="shared" si="706"/>
        <v>1112.7469765063158</v>
      </c>
      <c r="BY229" s="173">
        <f t="shared" si="707"/>
        <v>2.7602603080958334</v>
      </c>
      <c r="BZ229" s="5">
        <f t="shared" si="708"/>
        <v>19.760000000000002</v>
      </c>
      <c r="CA229" s="173">
        <f t="shared" si="709"/>
        <v>0.87743213131939046</v>
      </c>
      <c r="CB229" s="5">
        <f t="shared" si="710"/>
        <v>87.743213131939044</v>
      </c>
      <c r="CC229">
        <f t="shared" si="711"/>
        <v>13</v>
      </c>
      <c r="CE229" s="562">
        <f t="shared" si="651"/>
        <v>-50</v>
      </c>
      <c r="CG229" s="173">
        <f t="shared" si="652"/>
        <v>0.26599749372252868</v>
      </c>
      <c r="CH229" s="173">
        <f t="shared" si="653"/>
        <v>3.1179378801066297E-2</v>
      </c>
      <c r="CI229" s="170">
        <v>13</v>
      </c>
      <c r="CJ229" s="217">
        <f t="shared" si="712"/>
        <v>1.3</v>
      </c>
      <c r="CK229" s="217">
        <f t="shared" si="654"/>
        <v>3.2500000000000001E-2</v>
      </c>
      <c r="CL229" s="217">
        <f t="shared" si="655"/>
        <v>19.5</v>
      </c>
      <c r="CM229" s="217">
        <f t="shared" si="656"/>
        <v>0.26</v>
      </c>
      <c r="CN229" s="541">
        <f t="shared" si="657"/>
        <v>85</v>
      </c>
      <c r="CO229" s="443">
        <f t="shared" si="658"/>
        <v>15.7</v>
      </c>
      <c r="CP229" s="443">
        <f t="shared" si="659"/>
        <v>100.7</v>
      </c>
      <c r="CQ229" s="443"/>
      <c r="CR229" s="217">
        <f t="shared" si="660"/>
        <v>0.15338645418326693</v>
      </c>
      <c r="CS229" s="172">
        <f t="shared" si="661"/>
        <v>321.65744915076539</v>
      </c>
      <c r="CT229" s="172">
        <f t="shared" si="662"/>
        <v>4.3459495351925632</v>
      </c>
      <c r="CU229" s="217">
        <f t="shared" si="663"/>
        <v>21.443829943384358</v>
      </c>
      <c r="CV229" s="217">
        <f t="shared" si="664"/>
        <v>40.207181143845673</v>
      </c>
      <c r="CW229" s="217">
        <f t="shared" si="665"/>
        <v>15</v>
      </c>
      <c r="CX229" s="217">
        <f t="shared" si="666"/>
        <v>3.0311749427043546</v>
      </c>
      <c r="CY229" s="217">
        <f t="shared" si="667"/>
        <v>0.42793058014649715</v>
      </c>
      <c r="CZ229" s="217">
        <f t="shared" si="668"/>
        <v>2.316821612258106</v>
      </c>
      <c r="DA229" s="197">
        <f t="shared" si="669"/>
        <v>110.43528632903013</v>
      </c>
      <c r="DB229" s="443">
        <f t="shared" si="670"/>
        <v>350</v>
      </c>
      <c r="DD229" s="217">
        <f t="shared" si="671"/>
        <v>9.9999999999999982</v>
      </c>
      <c r="DE229" s="173">
        <f t="shared" si="672"/>
        <v>7.6433121019108263</v>
      </c>
      <c r="DF229" s="173">
        <f t="shared" si="673"/>
        <v>4.1649244760361679</v>
      </c>
      <c r="DG229" s="173"/>
      <c r="DH229" s="173">
        <f t="shared" si="674"/>
        <v>7.6433121019108281</v>
      </c>
      <c r="DI229" s="545">
        <f t="shared" si="675"/>
        <v>34.016666666666673</v>
      </c>
      <c r="DJ229" s="528">
        <f t="shared" si="676"/>
        <v>4.2204568023833167</v>
      </c>
      <c r="DL229" s="173">
        <f t="shared" si="677"/>
        <v>3.0674947122242622</v>
      </c>
      <c r="DM229" s="173">
        <f t="shared" si="678"/>
        <v>10</v>
      </c>
      <c r="DN229" s="173">
        <f t="shared" si="679"/>
        <v>1.0194380952380953</v>
      </c>
      <c r="DP229" s="545">
        <f t="shared" si="680"/>
        <v>1300</v>
      </c>
      <c r="DQ229" s="460">
        <f t="shared" si="681"/>
        <v>34.016666666666673</v>
      </c>
      <c r="DS229">
        <f t="shared" si="682"/>
        <v>1300</v>
      </c>
      <c r="DT229">
        <f t="shared" si="683"/>
        <v>34.016666666666673</v>
      </c>
      <c r="DV229" s="5">
        <f t="shared" si="684"/>
        <v>29.397354238118563</v>
      </c>
      <c r="DW229" s="5">
        <f t="shared" si="685"/>
        <v>1.4117647058823528</v>
      </c>
      <c r="DX229" s="5">
        <f t="shared" si="686"/>
        <v>27.985589532236212</v>
      </c>
      <c r="DY229" s="173">
        <f t="shared" si="687"/>
        <v>4.8023529411764715E-2</v>
      </c>
      <c r="EA229" s="5">
        <f t="shared" si="713"/>
        <v>12.235294117647058</v>
      </c>
      <c r="EB229" s="5">
        <f t="shared" si="714"/>
        <v>0.57352941176470595</v>
      </c>
      <c r="EC229" s="5">
        <f t="shared" si="715"/>
        <v>2.2138701658361297</v>
      </c>
      <c r="ED229" s="5"/>
      <c r="EE229" s="173">
        <f t="shared" si="716"/>
        <v>1.2652210533047143</v>
      </c>
      <c r="EF229" s="173">
        <f t="shared" si="717"/>
        <v>5.633165097847554</v>
      </c>
      <c r="EG229" s="173">
        <f t="shared" si="718"/>
        <v>0.13873049731169665</v>
      </c>
      <c r="EH229" s="173"/>
      <c r="EI229" s="528">
        <f t="shared" si="719"/>
        <v>3.2015686274509819E-2</v>
      </c>
      <c r="EJ229" s="528">
        <f t="shared" si="720"/>
        <v>0.68509566666666688</v>
      </c>
      <c r="EK229" s="528">
        <f t="shared" si="721"/>
        <v>4.2520833333333334E-3</v>
      </c>
      <c r="EL229" s="528">
        <f t="shared" si="722"/>
        <v>3.4494566816666676E-2</v>
      </c>
      <c r="EM229">
        <f t="shared" si="723"/>
        <v>3.8249999999999999E-2</v>
      </c>
      <c r="EN229" s="460">
        <f t="shared" si="724"/>
        <v>42.502083333333331</v>
      </c>
      <c r="EP229" s="460">
        <f t="shared" si="725"/>
        <v>794.10800309117667</v>
      </c>
      <c r="EQ229" s="173">
        <f t="shared" si="726"/>
        <v>0.90999999999999992</v>
      </c>
      <c r="ER229" s="173">
        <f t="shared" si="688"/>
        <v>1.4421874999999999E-2</v>
      </c>
      <c r="ES229" s="528"/>
      <c r="EU229" s="460">
        <f t="shared" si="727"/>
        <v>924.421875</v>
      </c>
      <c r="EV229" s="528">
        <f t="shared" si="728"/>
        <v>4.8023529411764729E-2</v>
      </c>
      <c r="EW229" s="528">
        <f t="shared" si="729"/>
        <v>0.95197647058823531</v>
      </c>
      <c r="EX229" s="528">
        <f t="shared" si="730"/>
        <v>9.6230754421753359E-5</v>
      </c>
      <c r="EY229" s="528">
        <f t="shared" si="731"/>
        <v>0.1067085921618344</v>
      </c>
      <c r="EZ229" s="528"/>
      <c r="FA229" s="625">
        <f t="shared" si="732"/>
        <v>3.4016666666666674E-3</v>
      </c>
      <c r="FB229" s="460">
        <f t="shared" si="733"/>
        <v>1110.2064895829228</v>
      </c>
      <c r="FC229" s="173">
        <f t="shared" si="734"/>
        <v>2.8287363676740997</v>
      </c>
      <c r="FD229" s="5">
        <f t="shared" si="735"/>
        <v>19.760000000000002</v>
      </c>
      <c r="FE229" s="173">
        <f t="shared" si="736"/>
        <v>0.87477226164265653</v>
      </c>
      <c r="FF229" s="5">
        <f t="shared" si="737"/>
        <v>87.477226164265659</v>
      </c>
      <c r="FG229">
        <f t="shared" si="738"/>
        <v>13</v>
      </c>
      <c r="FI229" s="562">
        <f t="shared" si="689"/>
        <v>-50</v>
      </c>
    </row>
    <row r="230" spans="5:165">
      <c r="E230" s="170">
        <v>14</v>
      </c>
      <c r="F230" s="217">
        <f t="shared" si="690"/>
        <v>1.4000000000000001</v>
      </c>
      <c r="G230" s="217">
        <f t="shared" si="617"/>
        <v>3.5000000000000003E-2</v>
      </c>
      <c r="H230" s="217">
        <f t="shared" si="618"/>
        <v>21.000000000000004</v>
      </c>
      <c r="I230" s="217">
        <f t="shared" si="619"/>
        <v>0.28000000000000003</v>
      </c>
      <c r="J230" s="541">
        <f t="shared" si="620"/>
        <v>84.727420162931693</v>
      </c>
      <c r="K230" s="443">
        <f t="shared" si="621"/>
        <v>15.846617922801491</v>
      </c>
      <c r="L230" s="172">
        <f t="shared" si="622"/>
        <v>100.57403808573318</v>
      </c>
      <c r="M230" s="443"/>
      <c r="N230" s="217">
        <f t="shared" si="623"/>
        <v>0.15756171497552104</v>
      </c>
      <c r="O230" s="172">
        <f t="shared" si="624"/>
        <v>329.35355985994391</v>
      </c>
      <c r="P230" s="172">
        <f t="shared" si="625"/>
        <v>4.4499325421076863</v>
      </c>
      <c r="Q230" s="217">
        <f t="shared" si="626"/>
        <v>21.956903990662926</v>
      </c>
      <c r="R230" s="217">
        <f t="shared" si="627"/>
        <v>41.169194982492989</v>
      </c>
      <c r="S230" s="217">
        <f t="shared" si="628"/>
        <v>15</v>
      </c>
      <c r="T230" s="217">
        <f t="shared" si="629"/>
        <v>3.1880633093703556</v>
      </c>
      <c r="U230" s="217">
        <f t="shared" si="630"/>
        <v>0.45152749415568338</v>
      </c>
      <c r="V230" s="217">
        <f t="shared" si="631"/>
        <v>2.4141908323161574</v>
      </c>
      <c r="W230" s="197">
        <f t="shared" si="632"/>
        <v>111.24831355269215</v>
      </c>
      <c r="X230" s="443">
        <f t="shared" si="691"/>
        <v>326.18782729163593</v>
      </c>
      <c r="Z230" s="217">
        <f t="shared" si="633"/>
        <v>10</v>
      </c>
      <c r="AA230" s="173">
        <f t="shared" si="634"/>
        <v>7.572593760043496</v>
      </c>
      <c r="AB230" s="173">
        <f t="shared" si="635"/>
        <v>4.1567678537392041</v>
      </c>
      <c r="AC230" s="173"/>
      <c r="AD230" s="173">
        <f t="shared" si="636"/>
        <v>7.572593760043496</v>
      </c>
      <c r="AE230" s="545">
        <f t="shared" si="637"/>
        <v>36.975441819870149</v>
      </c>
      <c r="AF230" s="528">
        <f t="shared" si="638"/>
        <v>4.2121914251223949</v>
      </c>
      <c r="AH230" s="173">
        <f t="shared" si="639"/>
        <v>3.1832897030168859</v>
      </c>
      <c r="AI230" s="173">
        <f t="shared" si="640"/>
        <v>10</v>
      </c>
      <c r="AJ230" s="173">
        <f t="shared" si="641"/>
        <v>1.0211288238970686</v>
      </c>
      <c r="AL230" s="545">
        <f t="shared" si="642"/>
        <v>1400.0000000000002</v>
      </c>
      <c r="AM230" s="460">
        <f t="shared" si="643"/>
        <v>36.975441819870149</v>
      </c>
      <c r="AO230">
        <f t="shared" si="644"/>
        <v>1400.0000000000002</v>
      </c>
      <c r="AP230">
        <f t="shared" si="645"/>
        <v>36.975441819870149</v>
      </c>
      <c r="AR230" s="5">
        <f t="shared" si="616"/>
        <v>27.044977714441057</v>
      </c>
      <c r="AS230" s="5">
        <f t="shared" si="604"/>
        <v>1.4163065483315647</v>
      </c>
      <c r="AT230" s="5">
        <f t="shared" si="605"/>
        <v>25.628671166109491</v>
      </c>
      <c r="AU230" s="173">
        <f t="shared" si="606"/>
        <v>5.2368560376934874E-2</v>
      </c>
      <c r="BA230" s="173">
        <f t="shared" si="692"/>
        <v>1.3212186341522596</v>
      </c>
      <c r="BB230" s="173">
        <f t="shared" si="693"/>
        <v>5.6202948903151126</v>
      </c>
      <c r="BC230" s="173">
        <f t="shared" si="694"/>
        <v>0.13841353690658398</v>
      </c>
      <c r="BD230" s="173"/>
      <c r="BE230" s="528">
        <f t="shared" si="695"/>
        <v>3.4912373584623249E-2</v>
      </c>
      <c r="BF230" s="528">
        <f t="shared" si="646"/>
        <v>0.69726928009283085</v>
      </c>
      <c r="BG230" s="528">
        <f t="shared" si="647"/>
        <v>7.8320844869554346E-2</v>
      </c>
      <c r="BH230" s="528">
        <f t="shared" si="696"/>
        <v>3.7401166470436335E-2</v>
      </c>
      <c r="BI230">
        <f t="shared" si="697"/>
        <v>3.8127339073319264E-2</v>
      </c>
      <c r="BJ230" s="460">
        <f t="shared" si="698"/>
        <v>116.44818394287361</v>
      </c>
      <c r="BK230">
        <f t="shared" si="648"/>
        <v>0.78552523419945586</v>
      </c>
      <c r="BL230" s="460">
        <f t="shared" si="699"/>
        <v>886.0310040907641</v>
      </c>
      <c r="BM230" s="173">
        <f t="shared" si="649"/>
        <v>0.86974999999999991</v>
      </c>
      <c r="BN230" s="173">
        <f t="shared" si="650"/>
        <v>1.553125E-2</v>
      </c>
      <c r="BQ230" s="460">
        <f t="shared" si="700"/>
        <v>885.28124999999989</v>
      </c>
      <c r="BR230" s="528">
        <f t="shared" si="701"/>
        <v>5.2368560376934867E-2</v>
      </c>
      <c r="BS230" s="528">
        <f t="shared" si="702"/>
        <v>0.94763143962306495</v>
      </c>
      <c r="BT230" s="528">
        <f t="shared" si="703"/>
        <v>9.5791535994951431E-5</v>
      </c>
      <c r="BU230" s="528">
        <f t="shared" si="704"/>
        <v>0.13144783411160418</v>
      </c>
      <c r="BV230" s="528"/>
      <c r="BW230" s="625">
        <f t="shared" si="705"/>
        <v>3.697544181987015E-3</v>
      </c>
      <c r="BX230" s="460">
        <f t="shared" si="706"/>
        <v>1135.2411698295859</v>
      </c>
      <c r="BY230" s="173">
        <f t="shared" si="707"/>
        <v>2.9065534239203497</v>
      </c>
      <c r="BZ230" s="5">
        <f t="shared" si="708"/>
        <v>21.280000000000005</v>
      </c>
      <c r="CA230" s="173">
        <f t="shared" si="709"/>
        <v>0.87982771364828749</v>
      </c>
      <c r="CB230" s="5">
        <f t="shared" si="710"/>
        <v>87.98277136482875</v>
      </c>
      <c r="CC230">
        <f t="shared" si="711"/>
        <v>14.000000000000002</v>
      </c>
      <c r="CE230" s="562">
        <f t="shared" si="651"/>
        <v>-50</v>
      </c>
      <c r="CG230" s="173">
        <f t="shared" si="652"/>
        <v>0.28645883939349243</v>
      </c>
      <c r="CH230" s="173">
        <f t="shared" si="653"/>
        <v>3.3577792554994476E-2</v>
      </c>
      <c r="CI230" s="170">
        <v>14</v>
      </c>
      <c r="CJ230" s="217">
        <f t="shared" si="712"/>
        <v>1.4000000000000001</v>
      </c>
      <c r="CK230" s="217">
        <f t="shared" si="654"/>
        <v>3.5000000000000003E-2</v>
      </c>
      <c r="CL230" s="217">
        <f t="shared" si="655"/>
        <v>21.000000000000004</v>
      </c>
      <c r="CM230" s="217">
        <f t="shared" si="656"/>
        <v>0.28000000000000003</v>
      </c>
      <c r="CN230" s="541">
        <f t="shared" si="657"/>
        <v>85</v>
      </c>
      <c r="CO230" s="443">
        <f t="shared" si="658"/>
        <v>15.7</v>
      </c>
      <c r="CP230" s="443">
        <f t="shared" si="659"/>
        <v>100.7</v>
      </c>
      <c r="CQ230" s="443"/>
      <c r="CR230" s="217">
        <f t="shared" si="660"/>
        <v>0.15338645418326693</v>
      </c>
      <c r="CS230" s="172">
        <f t="shared" si="661"/>
        <v>321.65744915076539</v>
      </c>
      <c r="CT230" s="172">
        <f t="shared" si="662"/>
        <v>4.3459495351925632</v>
      </c>
      <c r="CU230" s="217">
        <f t="shared" si="663"/>
        <v>21.443829943384358</v>
      </c>
      <c r="CV230" s="217">
        <f t="shared" si="664"/>
        <v>40.207181143845673</v>
      </c>
      <c r="CW230" s="217">
        <f t="shared" si="665"/>
        <v>15</v>
      </c>
      <c r="CX230" s="217">
        <f t="shared" si="666"/>
        <v>3.2643422459893054</v>
      </c>
      <c r="CY230" s="217">
        <f t="shared" si="667"/>
        <v>0.46084831708084312</v>
      </c>
      <c r="CZ230" s="217">
        <f t="shared" si="668"/>
        <v>2.4950386593548832</v>
      </c>
      <c r="DA230" s="197">
        <f t="shared" si="669"/>
        <v>110.43528632903013</v>
      </c>
      <c r="DB230" s="443">
        <f t="shared" si="670"/>
        <v>338.30792854124007</v>
      </c>
      <c r="DD230" s="217">
        <f t="shared" si="671"/>
        <v>9.9999999999999982</v>
      </c>
      <c r="DE230" s="173">
        <f t="shared" si="672"/>
        <v>7.6433121019108263</v>
      </c>
      <c r="DF230" s="173">
        <f t="shared" si="673"/>
        <v>4.1649244760361679</v>
      </c>
      <c r="DG230" s="173"/>
      <c r="DH230" s="173">
        <f t="shared" si="674"/>
        <v>7.6433121019108281</v>
      </c>
      <c r="DI230" s="545">
        <f t="shared" si="675"/>
        <v>36.63333333333334</v>
      </c>
      <c r="DJ230" s="528">
        <f t="shared" si="676"/>
        <v>4.2204568023833167</v>
      </c>
      <c r="DL230" s="173">
        <f t="shared" si="677"/>
        <v>3.1832897030168859</v>
      </c>
      <c r="DM230" s="173">
        <f t="shared" si="678"/>
        <v>10</v>
      </c>
      <c r="DN230" s="173">
        <f t="shared" si="679"/>
        <v>1.0209333333333332</v>
      </c>
      <c r="DP230" s="545">
        <f t="shared" si="680"/>
        <v>1400.0000000000002</v>
      </c>
      <c r="DQ230" s="460">
        <f t="shared" si="681"/>
        <v>36.63333333333334</v>
      </c>
      <c r="DS230">
        <f t="shared" si="682"/>
        <v>1400.0000000000002</v>
      </c>
      <c r="DT230">
        <f t="shared" si="683"/>
        <v>36.63333333333334</v>
      </c>
      <c r="DV230" s="5">
        <f t="shared" si="684"/>
        <v>27.297543221110097</v>
      </c>
      <c r="DW230" s="5">
        <f t="shared" si="685"/>
        <v>1.4117647058823528</v>
      </c>
      <c r="DX230" s="5">
        <f t="shared" si="686"/>
        <v>25.885778515227745</v>
      </c>
      <c r="DY230" s="173">
        <f t="shared" si="687"/>
        <v>5.1717647058823528E-2</v>
      </c>
      <c r="EA230" s="5">
        <f t="shared" si="713"/>
        <v>13.176470588235295</v>
      </c>
      <c r="EB230" s="5">
        <f t="shared" si="714"/>
        <v>0.61764705882352944</v>
      </c>
      <c r="EC230" s="5">
        <f t="shared" si="715"/>
        <v>2.2052793055569277</v>
      </c>
      <c r="ED230" s="5"/>
      <c r="EE230" s="173">
        <f t="shared" si="716"/>
        <v>1.3129819376623011</v>
      </c>
      <c r="EF230" s="173">
        <f t="shared" si="717"/>
        <v>5.6222248056001707</v>
      </c>
      <c r="EG230" s="173">
        <f t="shared" si="718"/>
        <v>0.13846106580066306</v>
      </c>
      <c r="EH230" s="173"/>
      <c r="EI230" s="528">
        <f t="shared" si="719"/>
        <v>3.4478431372549016E-2</v>
      </c>
      <c r="EJ230" s="528">
        <f t="shared" si="720"/>
        <v>0.73779533333333347</v>
      </c>
      <c r="EK230" s="528">
        <f t="shared" si="721"/>
        <v>4.5791666666666671E-3</v>
      </c>
      <c r="EL230" s="528">
        <f t="shared" si="722"/>
        <v>3.7147995033333339E-2</v>
      </c>
      <c r="EM230">
        <f t="shared" si="723"/>
        <v>3.8249999999999999E-2</v>
      </c>
      <c r="EN230" s="460">
        <f t="shared" si="724"/>
        <v>42.829166666666666</v>
      </c>
      <c r="EP230" s="460">
        <f t="shared" si="725"/>
        <v>852.25092640588252</v>
      </c>
      <c r="EQ230" s="173">
        <f t="shared" si="726"/>
        <v>0.98</v>
      </c>
      <c r="ER230" s="173">
        <f t="shared" si="688"/>
        <v>1.553125E-2</v>
      </c>
      <c r="ES230" s="528"/>
      <c r="EU230" s="460">
        <f t="shared" si="727"/>
        <v>995.53125</v>
      </c>
      <c r="EV230" s="528">
        <f t="shared" si="728"/>
        <v>5.1717647058823521E-2</v>
      </c>
      <c r="EW230" s="528">
        <f t="shared" si="729"/>
        <v>0.94828235294117635</v>
      </c>
      <c r="EX230" s="528">
        <f t="shared" si="730"/>
        <v>9.5857333713277729E-5</v>
      </c>
      <c r="EY230" s="528">
        <f t="shared" si="731"/>
        <v>0.12842840786029333</v>
      </c>
      <c r="EZ230" s="528"/>
      <c r="FA230" s="625">
        <f t="shared" si="732"/>
        <v>3.6633333333333344E-3</v>
      </c>
      <c r="FB230" s="460">
        <f t="shared" si="733"/>
        <v>1132.1875985273398</v>
      </c>
      <c r="FC230" s="173">
        <f t="shared" si="734"/>
        <v>2.9799697749332226</v>
      </c>
      <c r="FD230" s="5">
        <f t="shared" si="735"/>
        <v>21.280000000000005</v>
      </c>
      <c r="FE230" s="173">
        <f t="shared" si="736"/>
        <v>0.87716514890252262</v>
      </c>
      <c r="FF230" s="5">
        <f t="shared" si="737"/>
        <v>87.716514890252256</v>
      </c>
      <c r="FG230">
        <f t="shared" si="738"/>
        <v>14.000000000000002</v>
      </c>
      <c r="FI230" s="562">
        <f t="shared" si="689"/>
        <v>-50</v>
      </c>
    </row>
    <row r="231" spans="5:165">
      <c r="E231" s="170">
        <v>15</v>
      </c>
      <c r="F231" s="217">
        <f t="shared" si="690"/>
        <v>1.5</v>
      </c>
      <c r="G231" s="217">
        <f t="shared" si="617"/>
        <v>3.7499999999999999E-2</v>
      </c>
      <c r="H231" s="217">
        <f t="shared" si="618"/>
        <v>22.5</v>
      </c>
      <c r="I231" s="217">
        <f t="shared" si="619"/>
        <v>0.3</v>
      </c>
      <c r="J231" s="541">
        <f t="shared" si="620"/>
        <v>84.727420162931693</v>
      </c>
      <c r="K231" s="443">
        <f t="shared" si="621"/>
        <v>15.846617922801491</v>
      </c>
      <c r="L231" s="172">
        <f t="shared" si="622"/>
        <v>100.57403808573318</v>
      </c>
      <c r="M231" s="443"/>
      <c r="N231" s="217">
        <f t="shared" si="623"/>
        <v>0.15756171497552104</v>
      </c>
      <c r="O231" s="172">
        <f t="shared" si="624"/>
        <v>329.35355985994391</v>
      </c>
      <c r="P231" s="172">
        <f t="shared" si="625"/>
        <v>4.4499325421076863</v>
      </c>
      <c r="Q231" s="217">
        <f t="shared" si="626"/>
        <v>21.956903990662926</v>
      </c>
      <c r="R231" s="217">
        <f t="shared" si="627"/>
        <v>41.169194982492989</v>
      </c>
      <c r="S231" s="217">
        <f t="shared" si="628"/>
        <v>15</v>
      </c>
      <c r="T231" s="217">
        <f t="shared" si="629"/>
        <v>3.4157821171825233</v>
      </c>
      <c r="U231" s="217">
        <f t="shared" si="630"/>
        <v>0.4837794580239464</v>
      </c>
      <c r="V231" s="217">
        <f t="shared" si="631"/>
        <v>2.5866330346244539</v>
      </c>
      <c r="W231" s="197">
        <f t="shared" si="632"/>
        <v>111.24831355269215</v>
      </c>
      <c r="X231" s="443">
        <f t="shared" si="691"/>
        <v>305.77182610692444</v>
      </c>
      <c r="Z231" s="217">
        <f t="shared" si="633"/>
        <v>10</v>
      </c>
      <c r="AA231" s="173">
        <f t="shared" si="634"/>
        <v>7.572593760043496</v>
      </c>
      <c r="AB231" s="173">
        <f t="shared" si="635"/>
        <v>4.1567678537392041</v>
      </c>
      <c r="AC231" s="173"/>
      <c r="AD231" s="173">
        <f t="shared" si="636"/>
        <v>7.572593760043496</v>
      </c>
      <c r="AE231" s="545">
        <f t="shared" si="637"/>
        <v>39.616544807003727</v>
      </c>
      <c r="AF231" s="528">
        <f t="shared" si="638"/>
        <v>4.2121914251223949</v>
      </c>
      <c r="AH231" s="173">
        <f t="shared" si="639"/>
        <v>3.295017884191656</v>
      </c>
      <c r="AI231" s="173">
        <f t="shared" si="640"/>
        <v>10</v>
      </c>
      <c r="AJ231" s="173">
        <f t="shared" si="641"/>
        <v>1.0226380256040022</v>
      </c>
      <c r="AL231" s="545">
        <f t="shared" si="642"/>
        <v>1500</v>
      </c>
      <c r="AM231" s="460">
        <f t="shared" si="643"/>
        <v>39.616544807003727</v>
      </c>
      <c r="AO231">
        <f t="shared" si="644"/>
        <v>1500</v>
      </c>
      <c r="AP231">
        <f t="shared" si="645"/>
        <v>39.616544807003727</v>
      </c>
      <c r="AR231" s="5">
        <f t="shared" si="616"/>
        <v>25.241979200144989</v>
      </c>
      <c r="AS231" s="5">
        <f t="shared" si="604"/>
        <v>1.4163065483315647</v>
      </c>
      <c r="AT231" s="5">
        <f t="shared" si="605"/>
        <v>23.825672651813424</v>
      </c>
      <c r="AU231" s="173">
        <f t="shared" si="606"/>
        <v>5.6109171832430214E-2</v>
      </c>
      <c r="BA231" s="173">
        <f t="shared" si="692"/>
        <v>1.3675912136847304</v>
      </c>
      <c r="BB231" s="173">
        <f t="shared" si="693"/>
        <v>5.6091913504163564</v>
      </c>
      <c r="BC231" s="173">
        <f t="shared" si="694"/>
        <v>0.13814008502201852</v>
      </c>
      <c r="BD231" s="173"/>
      <c r="BE231" s="528">
        <f t="shared" si="695"/>
        <v>3.7406114554953476E-2</v>
      </c>
      <c r="BF231" s="528">
        <f t="shared" si="646"/>
        <v>0.74707422867089013</v>
      </c>
      <c r="BG231" s="528">
        <f t="shared" si="647"/>
        <v>8.3915190931665357E-2</v>
      </c>
      <c r="BH231" s="528">
        <f t="shared" si="696"/>
        <v>4.0072678361181779E-2</v>
      </c>
      <c r="BI231">
        <f t="shared" si="697"/>
        <v>3.8127339073319264E-2</v>
      </c>
      <c r="BJ231" s="460">
        <f t="shared" si="698"/>
        <v>122.04253000498463</v>
      </c>
      <c r="BK231">
        <f t="shared" si="648"/>
        <v>0.84213733042042649</v>
      </c>
      <c r="BL231" s="460">
        <f t="shared" si="699"/>
        <v>946.59555159200988</v>
      </c>
      <c r="BM231" s="173">
        <f t="shared" si="649"/>
        <v>0.93187499999999979</v>
      </c>
      <c r="BN231" s="173">
        <f t="shared" si="650"/>
        <v>1.6640624999999999E-2</v>
      </c>
      <c r="BQ231" s="460">
        <f t="shared" si="700"/>
        <v>948.51562499999977</v>
      </c>
      <c r="BR231" s="528">
        <f t="shared" si="701"/>
        <v>5.6109171832430214E-2</v>
      </c>
      <c r="BS231" s="528">
        <f t="shared" si="702"/>
        <v>0.94389082816757008</v>
      </c>
      <c r="BT231" s="528">
        <f t="shared" si="703"/>
        <v>9.5413415449452526E-5</v>
      </c>
      <c r="BU231" s="528">
        <f t="shared" si="704"/>
        <v>0.15619297357176404</v>
      </c>
      <c r="BV231" s="528"/>
      <c r="BW231" s="625">
        <f t="shared" si="705"/>
        <v>3.961654480700373E-3</v>
      </c>
      <c r="BX231" s="460">
        <f t="shared" si="706"/>
        <v>1160.2500414679139</v>
      </c>
      <c r="BY231" s="173">
        <f t="shared" si="707"/>
        <v>3.0553612180599234</v>
      </c>
      <c r="BZ231" s="5">
        <f t="shared" si="708"/>
        <v>22.8</v>
      </c>
      <c r="CA231" s="173">
        <f t="shared" si="709"/>
        <v>0.88182871659415218</v>
      </c>
      <c r="CB231" s="5">
        <f t="shared" si="710"/>
        <v>88.182871659415213</v>
      </c>
      <c r="CC231">
        <f t="shared" si="711"/>
        <v>15</v>
      </c>
      <c r="CE231" s="562">
        <f t="shared" si="651"/>
        <v>-50</v>
      </c>
      <c r="CG231" s="173">
        <f t="shared" si="652"/>
        <v>0.30692018506445617</v>
      </c>
      <c r="CH231" s="173">
        <f t="shared" si="653"/>
        <v>3.5976206308922648E-2</v>
      </c>
      <c r="CI231" s="170">
        <v>15</v>
      </c>
      <c r="CJ231" s="217">
        <f t="shared" si="712"/>
        <v>1.5</v>
      </c>
      <c r="CK231" s="217">
        <f t="shared" si="654"/>
        <v>3.7499999999999999E-2</v>
      </c>
      <c r="CL231" s="217">
        <f t="shared" si="655"/>
        <v>22.5</v>
      </c>
      <c r="CM231" s="217">
        <f t="shared" si="656"/>
        <v>0.3</v>
      </c>
      <c r="CN231" s="541">
        <f t="shared" si="657"/>
        <v>85</v>
      </c>
      <c r="CO231" s="443">
        <f t="shared" si="658"/>
        <v>15.7</v>
      </c>
      <c r="CP231" s="443">
        <f t="shared" si="659"/>
        <v>100.7</v>
      </c>
      <c r="CQ231" s="443"/>
      <c r="CR231" s="217">
        <f t="shared" si="660"/>
        <v>0.15338645418326693</v>
      </c>
      <c r="CS231" s="172">
        <f t="shared" si="661"/>
        <v>321.65744915076539</v>
      </c>
      <c r="CT231" s="172">
        <f t="shared" si="662"/>
        <v>4.3459495351925632</v>
      </c>
      <c r="CU231" s="217">
        <f t="shared" si="663"/>
        <v>21.443829943384358</v>
      </c>
      <c r="CV231" s="217">
        <f t="shared" si="664"/>
        <v>40.207181143845673</v>
      </c>
      <c r="CW231" s="217">
        <f t="shared" si="665"/>
        <v>15</v>
      </c>
      <c r="CX231" s="217">
        <f t="shared" si="666"/>
        <v>3.4975095492742549</v>
      </c>
      <c r="CY231" s="217">
        <f t="shared" si="667"/>
        <v>0.49376605401518892</v>
      </c>
      <c r="CZ231" s="217">
        <f t="shared" si="668"/>
        <v>2.67325570645166</v>
      </c>
      <c r="DA231" s="197">
        <f t="shared" si="669"/>
        <v>110.43528632903013</v>
      </c>
      <c r="DB231" s="443">
        <f t="shared" si="670"/>
        <v>315.75406663849088</v>
      </c>
      <c r="DD231" s="217">
        <f t="shared" si="671"/>
        <v>9.9999999999999982</v>
      </c>
      <c r="DE231" s="173">
        <f t="shared" si="672"/>
        <v>7.6433121019108263</v>
      </c>
      <c r="DF231" s="173">
        <f t="shared" si="673"/>
        <v>4.1649244760361679</v>
      </c>
      <c r="DG231" s="173"/>
      <c r="DH231" s="173">
        <f t="shared" si="674"/>
        <v>7.6433121019108281</v>
      </c>
      <c r="DI231" s="545">
        <f t="shared" si="675"/>
        <v>39.250000000000007</v>
      </c>
      <c r="DJ231" s="528">
        <f t="shared" si="676"/>
        <v>4.2204568023833167</v>
      </c>
      <c r="DL231" s="173">
        <f t="shared" si="677"/>
        <v>3.295017884191656</v>
      </c>
      <c r="DM231" s="173">
        <f t="shared" si="678"/>
        <v>10</v>
      </c>
      <c r="DN231" s="173">
        <f t="shared" si="679"/>
        <v>1.0224285714285715</v>
      </c>
      <c r="DP231" s="545">
        <f t="shared" si="680"/>
        <v>1500</v>
      </c>
      <c r="DQ231" s="460">
        <f t="shared" si="681"/>
        <v>39.250000000000007</v>
      </c>
      <c r="DS231">
        <f t="shared" si="682"/>
        <v>1500</v>
      </c>
      <c r="DT231">
        <f t="shared" si="683"/>
        <v>39.250000000000007</v>
      </c>
      <c r="DV231" s="5">
        <f t="shared" si="684"/>
        <v>25.477707006369421</v>
      </c>
      <c r="DW231" s="5">
        <f t="shared" si="685"/>
        <v>1.4117647058823528</v>
      </c>
      <c r="DX231" s="5">
        <f t="shared" si="686"/>
        <v>24.06594230048707</v>
      </c>
      <c r="DY231" s="173">
        <f t="shared" si="687"/>
        <v>5.5411764705882362E-2</v>
      </c>
      <c r="EA231" s="5">
        <f t="shared" si="713"/>
        <v>14.117647058823527</v>
      </c>
      <c r="EB231" s="5">
        <f t="shared" si="714"/>
        <v>0.66176470588235281</v>
      </c>
      <c r="EC231" s="5">
        <f t="shared" si="715"/>
        <v>2.1966884452777244</v>
      </c>
      <c r="ED231" s="5"/>
      <c r="EE231" s="173">
        <f t="shared" si="716"/>
        <v>1.359065422829016</v>
      </c>
      <c r="EF231" s="173">
        <f t="shared" si="717"/>
        <v>5.6112631830813209</v>
      </c>
      <c r="EG231" s="173">
        <f t="shared" si="718"/>
        <v>0.1381911089794145</v>
      </c>
      <c r="EH231" s="173"/>
      <c r="EI231" s="528">
        <f t="shared" si="719"/>
        <v>3.6941176470588241E-2</v>
      </c>
      <c r="EJ231" s="528">
        <f t="shared" si="720"/>
        <v>0.79049500000000017</v>
      </c>
      <c r="EK231" s="528">
        <f t="shared" si="721"/>
        <v>4.9062500000000009E-3</v>
      </c>
      <c r="EL231" s="528">
        <f t="shared" si="722"/>
        <v>3.9801423250000009E-2</v>
      </c>
      <c r="EM231">
        <f t="shared" si="723"/>
        <v>3.8249999999999999E-2</v>
      </c>
      <c r="EN231" s="460">
        <f t="shared" si="724"/>
        <v>43.15625</v>
      </c>
      <c r="EP231" s="460">
        <f t="shared" si="725"/>
        <v>910.39384972058849</v>
      </c>
      <c r="EQ231" s="173">
        <f t="shared" si="726"/>
        <v>1.0499999999999998</v>
      </c>
      <c r="ER231" s="173">
        <f t="shared" si="688"/>
        <v>1.6640624999999999E-2</v>
      </c>
      <c r="ES231" s="528"/>
      <c r="EU231" s="460">
        <f t="shared" si="727"/>
        <v>1066.6406249999998</v>
      </c>
      <c r="EV231" s="528">
        <f t="shared" si="728"/>
        <v>5.5411764705882362E-2</v>
      </c>
      <c r="EW231" s="528">
        <f t="shared" si="729"/>
        <v>0.94458823529411751</v>
      </c>
      <c r="EX231" s="528">
        <f t="shared" si="730"/>
        <v>9.5483913004802085E-5</v>
      </c>
      <c r="EY231" s="528">
        <f t="shared" si="731"/>
        <v>0.15260513838330084</v>
      </c>
      <c r="EZ231" s="528"/>
      <c r="FA231" s="625">
        <f t="shared" si="732"/>
        <v>3.9250000000000014E-3</v>
      </c>
      <c r="FB231" s="460">
        <f t="shared" si="733"/>
        <v>1156.6256222963057</v>
      </c>
      <c r="FC231" s="173">
        <f t="shared" si="734"/>
        <v>3.133660097016894</v>
      </c>
      <c r="FD231" s="5">
        <f t="shared" si="735"/>
        <v>22.8</v>
      </c>
      <c r="FE231" s="173">
        <f t="shared" si="736"/>
        <v>0.87916630027177101</v>
      </c>
      <c r="FF231" s="5">
        <f t="shared" si="737"/>
        <v>87.916630027177106</v>
      </c>
      <c r="FG231">
        <f t="shared" si="738"/>
        <v>15</v>
      </c>
      <c r="FI231" s="562">
        <f t="shared" si="689"/>
        <v>-50</v>
      </c>
    </row>
    <row r="232" spans="5:165">
      <c r="E232" s="170">
        <v>16</v>
      </c>
      <c r="F232" s="217">
        <f t="shared" si="690"/>
        <v>1.6</v>
      </c>
      <c r="G232" s="217">
        <f t="shared" si="617"/>
        <v>0.04</v>
      </c>
      <c r="H232" s="217">
        <f t="shared" si="618"/>
        <v>24</v>
      </c>
      <c r="I232" s="217">
        <f t="shared" si="619"/>
        <v>0.32</v>
      </c>
      <c r="J232" s="541">
        <f t="shared" si="620"/>
        <v>84.727420162931693</v>
      </c>
      <c r="K232" s="443">
        <f t="shared" si="621"/>
        <v>15.846617922801491</v>
      </c>
      <c r="L232" s="172">
        <f t="shared" si="622"/>
        <v>100.57403808573318</v>
      </c>
      <c r="M232" s="443"/>
      <c r="N232" s="217">
        <f t="shared" si="623"/>
        <v>0.15756171497552104</v>
      </c>
      <c r="O232" s="172">
        <f t="shared" si="624"/>
        <v>329.35355985994391</v>
      </c>
      <c r="P232" s="172">
        <f t="shared" si="625"/>
        <v>4.4499325421076863</v>
      </c>
      <c r="Q232" s="217">
        <f t="shared" si="626"/>
        <v>21.956903990662926</v>
      </c>
      <c r="R232" s="217">
        <f t="shared" si="627"/>
        <v>41.169194982492989</v>
      </c>
      <c r="S232" s="217">
        <f t="shared" si="628"/>
        <v>15</v>
      </c>
      <c r="T232" s="217">
        <f t="shared" si="629"/>
        <v>3.6435009249946915</v>
      </c>
      <c r="U232" s="217">
        <f t="shared" si="630"/>
        <v>0.51603142189220941</v>
      </c>
      <c r="V232" s="217">
        <f t="shared" si="631"/>
        <v>2.7590752369327509</v>
      </c>
      <c r="W232" s="197">
        <f t="shared" si="632"/>
        <v>111.24831355269215</v>
      </c>
      <c r="X232" s="443">
        <f t="shared" si="691"/>
        <v>287.76095187194358</v>
      </c>
      <c r="Z232" s="217">
        <f t="shared" si="633"/>
        <v>10</v>
      </c>
      <c r="AA232" s="173">
        <f t="shared" si="634"/>
        <v>7.572593760043496</v>
      </c>
      <c r="AB232" s="173">
        <f t="shared" si="635"/>
        <v>4.1567678537392041</v>
      </c>
      <c r="AC232" s="173"/>
      <c r="AD232" s="173">
        <f t="shared" si="636"/>
        <v>7.572593760043496</v>
      </c>
      <c r="AE232" s="545">
        <f t="shared" si="637"/>
        <v>42.257647794137306</v>
      </c>
      <c r="AF232" s="528">
        <f t="shared" si="638"/>
        <v>4.2121914251223949</v>
      </c>
      <c r="AH232" s="173">
        <f t="shared" si="639"/>
        <v>3.4030798375813021</v>
      </c>
      <c r="AI232" s="173">
        <f t="shared" si="640"/>
        <v>10</v>
      </c>
      <c r="AJ232" s="173">
        <f t="shared" si="641"/>
        <v>1.0241472273109355</v>
      </c>
      <c r="AL232" s="545">
        <f t="shared" si="642"/>
        <v>1600</v>
      </c>
      <c r="AM232" s="460">
        <f t="shared" si="643"/>
        <v>42.257647794137306</v>
      </c>
      <c r="AO232">
        <f t="shared" si="644"/>
        <v>1600</v>
      </c>
      <c r="AP232">
        <f t="shared" si="645"/>
        <v>42.257647794137306</v>
      </c>
      <c r="AR232" s="5">
        <f t="shared" si="616"/>
        <v>23.664355500135926</v>
      </c>
      <c r="AS232" s="5">
        <f t="shared" si="604"/>
        <v>1.4163065483315647</v>
      </c>
      <c r="AT232" s="5">
        <f t="shared" si="605"/>
        <v>22.24804895180436</v>
      </c>
      <c r="AU232" s="173">
        <f t="shared" si="606"/>
        <v>5.9849783287925569E-2</v>
      </c>
      <c r="BA232" s="173">
        <f t="shared" si="692"/>
        <v>1.4124421320054801</v>
      </c>
      <c r="BB232" s="173">
        <f t="shared" si="693"/>
        <v>5.5980657871330122</v>
      </c>
      <c r="BC232" s="173">
        <f t="shared" si="694"/>
        <v>0.13786609075762871</v>
      </c>
      <c r="BD232" s="173"/>
      <c r="BE232" s="528">
        <f t="shared" si="695"/>
        <v>3.9899855525283717E-2</v>
      </c>
      <c r="BF232" s="528">
        <f t="shared" si="646"/>
        <v>0.79687917724894952</v>
      </c>
      <c r="BG232" s="528">
        <f t="shared" si="647"/>
        <v>8.9509536993776381E-2</v>
      </c>
      <c r="BH232" s="528">
        <f t="shared" si="696"/>
        <v>4.274419025192723E-2</v>
      </c>
      <c r="BI232">
        <f t="shared" si="697"/>
        <v>3.8127339073319264E-2</v>
      </c>
      <c r="BJ232" s="460">
        <f t="shared" si="698"/>
        <v>127.63687606709564</v>
      </c>
      <c r="BK232">
        <f t="shared" si="648"/>
        <v>0.89881715551451236</v>
      </c>
      <c r="BL232" s="460">
        <f t="shared" si="699"/>
        <v>1007.1600990932561</v>
      </c>
      <c r="BM232" s="173">
        <f t="shared" si="649"/>
        <v>0.99399999999999988</v>
      </c>
      <c r="BN232" s="173">
        <f t="shared" si="650"/>
        <v>1.7749999999999998E-2</v>
      </c>
      <c r="BQ232" s="460">
        <f t="shared" si="700"/>
        <v>1011.7499999999999</v>
      </c>
      <c r="BR232" s="528">
        <f t="shared" si="701"/>
        <v>5.9849783287925576E-2</v>
      </c>
      <c r="BS232" s="528">
        <f t="shared" si="702"/>
        <v>0.94015021671207455</v>
      </c>
      <c r="BT232" s="528">
        <f t="shared" si="703"/>
        <v>9.503529490395358E-5</v>
      </c>
      <c r="BU232" s="528">
        <f t="shared" si="704"/>
        <v>0.18354108808550235</v>
      </c>
      <c r="BV232" s="528"/>
      <c r="BW232" s="625">
        <f t="shared" si="705"/>
        <v>4.2257647794137314E-3</v>
      </c>
      <c r="BX232" s="460">
        <f t="shared" si="706"/>
        <v>1187.8618881598202</v>
      </c>
      <c r="BY232" s="173">
        <f t="shared" si="707"/>
        <v>3.206771987253076</v>
      </c>
      <c r="BZ232" s="5">
        <f t="shared" si="708"/>
        <v>24.32</v>
      </c>
      <c r="CA232" s="173">
        <f t="shared" si="709"/>
        <v>0.88350352199894533</v>
      </c>
      <c r="CB232" s="5">
        <f t="shared" si="710"/>
        <v>88.35035219989453</v>
      </c>
      <c r="CC232">
        <f t="shared" si="711"/>
        <v>16</v>
      </c>
      <c r="CE232" s="562">
        <f t="shared" si="651"/>
        <v>-50</v>
      </c>
      <c r="CG232" s="173">
        <f t="shared" si="652"/>
        <v>0.32738153073541987</v>
      </c>
      <c r="CH232" s="173">
        <f t="shared" si="653"/>
        <v>3.837462006285082E-2</v>
      </c>
      <c r="CI232" s="170">
        <v>16</v>
      </c>
      <c r="CJ232" s="217">
        <f t="shared" si="712"/>
        <v>1.6</v>
      </c>
      <c r="CK232" s="217">
        <f t="shared" si="654"/>
        <v>0.04</v>
      </c>
      <c r="CL232" s="217">
        <f t="shared" si="655"/>
        <v>24</v>
      </c>
      <c r="CM232" s="217">
        <f t="shared" si="656"/>
        <v>0.32</v>
      </c>
      <c r="CN232" s="541">
        <f t="shared" si="657"/>
        <v>85</v>
      </c>
      <c r="CO232" s="443">
        <f t="shared" si="658"/>
        <v>15.7</v>
      </c>
      <c r="CP232" s="443">
        <f t="shared" si="659"/>
        <v>100.7</v>
      </c>
      <c r="CQ232" s="443"/>
      <c r="CR232" s="217">
        <f t="shared" si="660"/>
        <v>0.15338645418326693</v>
      </c>
      <c r="CS232" s="172">
        <f t="shared" si="661"/>
        <v>321.65744915076539</v>
      </c>
      <c r="CT232" s="172">
        <f t="shared" si="662"/>
        <v>4.3459495351925632</v>
      </c>
      <c r="CU232" s="217">
        <f t="shared" si="663"/>
        <v>21.443829943384358</v>
      </c>
      <c r="CV232" s="217">
        <f t="shared" si="664"/>
        <v>40.207181143845673</v>
      </c>
      <c r="CW232" s="217">
        <f t="shared" si="665"/>
        <v>15</v>
      </c>
      <c r="CX232" s="217">
        <f t="shared" si="666"/>
        <v>3.7306768525592053</v>
      </c>
      <c r="CY232" s="217">
        <f t="shared" si="667"/>
        <v>0.52668379094953488</v>
      </c>
      <c r="CZ232" s="217">
        <f t="shared" si="668"/>
        <v>2.8514727535484377</v>
      </c>
      <c r="DA232" s="197">
        <f t="shared" si="669"/>
        <v>110.43528632903013</v>
      </c>
      <c r="DB232" s="443">
        <f t="shared" si="670"/>
        <v>296.01943747358513</v>
      </c>
      <c r="DD232" s="217">
        <f t="shared" si="671"/>
        <v>9.9999999999999982</v>
      </c>
      <c r="DE232" s="173">
        <f t="shared" si="672"/>
        <v>7.6433121019108263</v>
      </c>
      <c r="DF232" s="173">
        <f t="shared" si="673"/>
        <v>4.1649244760361679</v>
      </c>
      <c r="DG232" s="173"/>
      <c r="DH232" s="173">
        <f t="shared" si="674"/>
        <v>7.6433121019108281</v>
      </c>
      <c r="DI232" s="545">
        <f t="shared" si="675"/>
        <v>41.866666666666674</v>
      </c>
      <c r="DJ232" s="528">
        <f t="shared" si="676"/>
        <v>4.2204568023833167</v>
      </c>
      <c r="DL232" s="173">
        <f t="shared" si="677"/>
        <v>3.4030798375813021</v>
      </c>
      <c r="DM232" s="173">
        <f t="shared" si="678"/>
        <v>10</v>
      </c>
      <c r="DN232" s="173">
        <f t="shared" si="679"/>
        <v>1.0239238095238095</v>
      </c>
      <c r="DP232" s="545">
        <f t="shared" si="680"/>
        <v>1600</v>
      </c>
      <c r="DQ232" s="460">
        <f t="shared" si="681"/>
        <v>41.866666666666674</v>
      </c>
      <c r="DS232">
        <f t="shared" si="682"/>
        <v>1600</v>
      </c>
      <c r="DT232">
        <f t="shared" si="683"/>
        <v>41.866666666666674</v>
      </c>
      <c r="DV232" s="5">
        <f t="shared" si="684"/>
        <v>23.885350318471332</v>
      </c>
      <c r="DW232" s="5">
        <f t="shared" si="685"/>
        <v>1.4117647058823528</v>
      </c>
      <c r="DX232" s="5">
        <f t="shared" si="686"/>
        <v>22.47358561258898</v>
      </c>
      <c r="DY232" s="173">
        <f t="shared" si="687"/>
        <v>5.9105882352941189E-2</v>
      </c>
      <c r="EA232" s="5">
        <f t="shared" si="713"/>
        <v>15.058823529411764</v>
      </c>
      <c r="EB232" s="5">
        <f t="shared" si="714"/>
        <v>0.70588235294117641</v>
      </c>
      <c r="EC232" s="5">
        <f t="shared" si="715"/>
        <v>2.1880975849985211</v>
      </c>
      <c r="ED232" s="5"/>
      <c r="EE232" s="173">
        <f t="shared" si="716"/>
        <v>1.4036367330728323</v>
      </c>
      <c r="EF232" s="173">
        <f t="shared" si="717"/>
        <v>5.6002801050395643</v>
      </c>
      <c r="EG232" s="173">
        <f t="shared" si="718"/>
        <v>0.13792062376332734</v>
      </c>
      <c r="EH232" s="173"/>
      <c r="EI232" s="528">
        <f t="shared" si="719"/>
        <v>3.9403921568627473E-2</v>
      </c>
      <c r="EJ232" s="528">
        <f t="shared" si="720"/>
        <v>0.84319466666666687</v>
      </c>
      <c r="EK232" s="528">
        <f t="shared" si="721"/>
        <v>5.2333333333333338E-3</v>
      </c>
      <c r="EL232" s="528">
        <f t="shared" si="722"/>
        <v>4.2454851466666672E-2</v>
      </c>
      <c r="EM232">
        <f t="shared" si="723"/>
        <v>3.8249999999999999E-2</v>
      </c>
      <c r="EN232" s="460">
        <f t="shared" si="724"/>
        <v>43.483333333333334</v>
      </c>
      <c r="EP232" s="460">
        <f t="shared" si="725"/>
        <v>968.53677303529435</v>
      </c>
      <c r="EQ232" s="173">
        <f t="shared" si="726"/>
        <v>1.1199999999999999</v>
      </c>
      <c r="ER232" s="173">
        <f t="shared" si="688"/>
        <v>1.7749999999999998E-2</v>
      </c>
      <c r="ES232" s="528"/>
      <c r="EU232" s="460">
        <f t="shared" si="727"/>
        <v>1137.7499999999998</v>
      </c>
      <c r="EV232" s="528">
        <f t="shared" si="728"/>
        <v>5.9105882352941203E-2</v>
      </c>
      <c r="EW232" s="528">
        <f t="shared" si="729"/>
        <v>0.94089411764705855</v>
      </c>
      <c r="EX232" s="528">
        <f t="shared" si="730"/>
        <v>9.5110492296326469E-5</v>
      </c>
      <c r="EY232" s="528">
        <f t="shared" si="731"/>
        <v>0.1793250522466083</v>
      </c>
      <c r="EZ232" s="528"/>
      <c r="FA232" s="625">
        <f t="shared" si="732"/>
        <v>4.1866666666666675E-3</v>
      </c>
      <c r="FB232" s="460">
        <f t="shared" si="733"/>
        <v>1183.606829405571</v>
      </c>
      <c r="FC232" s="173">
        <f t="shared" si="734"/>
        <v>3.2898936024408649</v>
      </c>
      <c r="FD232" s="5">
        <f t="shared" si="735"/>
        <v>24.32</v>
      </c>
      <c r="FE232" s="173">
        <f t="shared" si="736"/>
        <v>0.88084366967100436</v>
      </c>
      <c r="FF232" s="5">
        <f t="shared" si="737"/>
        <v>88.084366967100436</v>
      </c>
      <c r="FG232">
        <f t="shared" si="738"/>
        <v>16</v>
      </c>
      <c r="FI232" s="562">
        <f t="shared" si="689"/>
        <v>-50</v>
      </c>
    </row>
    <row r="233" spans="5:165">
      <c r="E233" s="170">
        <v>17</v>
      </c>
      <c r="F233" s="217">
        <f t="shared" si="690"/>
        <v>1.7000000000000002</v>
      </c>
      <c r="G233" s="217">
        <f t="shared" si="617"/>
        <v>4.2500000000000003E-2</v>
      </c>
      <c r="H233" s="217">
        <f t="shared" si="618"/>
        <v>25.500000000000004</v>
      </c>
      <c r="I233" s="217">
        <f t="shared" si="619"/>
        <v>0.34</v>
      </c>
      <c r="J233" s="541">
        <f t="shared" si="620"/>
        <v>84.727420162931693</v>
      </c>
      <c r="K233" s="443">
        <f t="shared" si="621"/>
        <v>15.846617922801491</v>
      </c>
      <c r="L233" s="172">
        <f t="shared" si="622"/>
        <v>100.57403808573318</v>
      </c>
      <c r="M233" s="443"/>
      <c r="N233" s="217">
        <f t="shared" si="623"/>
        <v>0.15756171497552104</v>
      </c>
      <c r="O233" s="172">
        <f t="shared" si="624"/>
        <v>329.35355985994391</v>
      </c>
      <c r="P233" s="172">
        <f t="shared" si="625"/>
        <v>4.4499325421076863</v>
      </c>
      <c r="Q233" s="217">
        <f t="shared" si="626"/>
        <v>21.956903990662926</v>
      </c>
      <c r="R233" s="217">
        <f t="shared" si="627"/>
        <v>41.169194982492989</v>
      </c>
      <c r="S233" s="217">
        <f t="shared" si="628"/>
        <v>15</v>
      </c>
      <c r="T233" s="217">
        <f t="shared" si="629"/>
        <v>3.8712197328068605</v>
      </c>
      <c r="U233" s="217">
        <f t="shared" si="630"/>
        <v>0.54828338576047264</v>
      </c>
      <c r="V233" s="217">
        <f t="shared" si="631"/>
        <v>2.9315174392410484</v>
      </c>
      <c r="W233" s="197">
        <f t="shared" si="632"/>
        <v>111.24831355269215</v>
      </c>
      <c r="X233" s="443">
        <f t="shared" si="691"/>
        <v>271.75383874196143</v>
      </c>
      <c r="Z233" s="217">
        <f t="shared" si="633"/>
        <v>10</v>
      </c>
      <c r="AA233" s="173">
        <f t="shared" si="634"/>
        <v>7.572593760043496</v>
      </c>
      <c r="AB233" s="173">
        <f t="shared" si="635"/>
        <v>4.1567678537392041</v>
      </c>
      <c r="AC233" s="173"/>
      <c r="AD233" s="173">
        <f t="shared" si="636"/>
        <v>7.572593760043496</v>
      </c>
      <c r="AE233" s="545">
        <f t="shared" si="637"/>
        <v>44.898750781270891</v>
      </c>
      <c r="AF233" s="528">
        <f t="shared" si="638"/>
        <v>4.2121914251223949</v>
      </c>
      <c r="AH233" s="173">
        <f t="shared" si="639"/>
        <v>3.5078144056893752</v>
      </c>
      <c r="AI233" s="173">
        <f t="shared" si="640"/>
        <v>10</v>
      </c>
      <c r="AJ233" s="173">
        <f t="shared" si="641"/>
        <v>1.0256564290178691</v>
      </c>
      <c r="AL233" s="545">
        <f t="shared" si="642"/>
        <v>1700.0000000000002</v>
      </c>
      <c r="AM233" s="460">
        <f t="shared" si="643"/>
        <v>44.898750781270891</v>
      </c>
      <c r="AO233">
        <f t="shared" si="644"/>
        <v>1700.0000000000002</v>
      </c>
      <c r="AP233">
        <f t="shared" si="645"/>
        <v>44.898750781270891</v>
      </c>
      <c r="AR233" s="5">
        <f t="shared" si="616"/>
        <v>22.272334588363226</v>
      </c>
      <c r="AS233" s="5">
        <f t="shared" si="604"/>
        <v>1.4163065483315647</v>
      </c>
      <c r="AT233" s="5">
        <f t="shared" si="605"/>
        <v>20.85602804003166</v>
      </c>
      <c r="AU233" s="173">
        <f t="shared" si="606"/>
        <v>6.3590394743420917E-2</v>
      </c>
      <c r="BA233" s="173">
        <f t="shared" si="692"/>
        <v>1.4559120250827993</v>
      </c>
      <c r="BB233" s="173">
        <f t="shared" si="693"/>
        <v>5.5869180688956446</v>
      </c>
      <c r="BC233" s="173">
        <f t="shared" si="694"/>
        <v>0.13759155087319472</v>
      </c>
      <c r="BD233" s="173"/>
      <c r="BE233" s="528">
        <f t="shared" si="695"/>
        <v>4.2393596495613951E-2</v>
      </c>
      <c r="BF233" s="528">
        <f t="shared" si="646"/>
        <v>0.84668412582700892</v>
      </c>
      <c r="BG233" s="528">
        <f t="shared" si="647"/>
        <v>9.5103883055887406E-2</v>
      </c>
      <c r="BH233" s="528">
        <f t="shared" si="696"/>
        <v>4.5415702142672688E-2</v>
      </c>
      <c r="BI233">
        <f t="shared" si="697"/>
        <v>3.8127339073319264E-2</v>
      </c>
      <c r="BJ233" s="460">
        <f t="shared" si="698"/>
        <v>133.23122212920669</v>
      </c>
      <c r="BK233">
        <f t="shared" si="648"/>
        <v>0.95556483109739765</v>
      </c>
      <c r="BL233" s="460">
        <f t="shared" si="699"/>
        <v>1067.724646594502</v>
      </c>
      <c r="BM233" s="173">
        <f t="shared" si="649"/>
        <v>1.056125</v>
      </c>
      <c r="BN233" s="173">
        <f t="shared" si="650"/>
        <v>1.8859375000000001E-2</v>
      </c>
      <c r="BQ233" s="460">
        <f t="shared" si="700"/>
        <v>1074.9843749999998</v>
      </c>
      <c r="BR233" s="528">
        <f t="shared" si="701"/>
        <v>6.359039474342093E-2</v>
      </c>
      <c r="BS233" s="528">
        <f t="shared" si="702"/>
        <v>0.93640960525657913</v>
      </c>
      <c r="BT233" s="528">
        <f t="shared" si="703"/>
        <v>9.4657174358454661E-5</v>
      </c>
      <c r="BU233" s="528">
        <f t="shared" si="704"/>
        <v>0.21357757385176332</v>
      </c>
      <c r="BV233" s="528"/>
      <c r="BW233" s="625">
        <f t="shared" si="705"/>
        <v>4.4898750781270889E-3</v>
      </c>
      <c r="BX233" s="460">
        <f t="shared" si="706"/>
        <v>1218.162106104249</v>
      </c>
      <c r="BY233" s="173">
        <f t="shared" si="707"/>
        <v>3.3608711276987511</v>
      </c>
      <c r="BZ233" s="5">
        <f t="shared" si="708"/>
        <v>25.840000000000003</v>
      </c>
      <c r="CA233" s="173">
        <f t="shared" si="709"/>
        <v>0.884905107351035</v>
      </c>
      <c r="CB233" s="5">
        <f t="shared" si="710"/>
        <v>88.490510735103499</v>
      </c>
      <c r="CC233">
        <f t="shared" si="711"/>
        <v>17</v>
      </c>
      <c r="CE233" s="562">
        <f t="shared" si="651"/>
        <v>-50</v>
      </c>
      <c r="CG233" s="173">
        <f t="shared" si="652"/>
        <v>0.34784287640638373</v>
      </c>
      <c r="CH233" s="173">
        <f t="shared" si="653"/>
        <v>4.0773033816779006E-2</v>
      </c>
      <c r="CI233" s="170">
        <v>17</v>
      </c>
      <c r="CJ233" s="217">
        <f t="shared" si="712"/>
        <v>1.7000000000000002</v>
      </c>
      <c r="CK233" s="217">
        <f t="shared" si="654"/>
        <v>4.2500000000000003E-2</v>
      </c>
      <c r="CL233" s="217">
        <f t="shared" si="655"/>
        <v>25.500000000000004</v>
      </c>
      <c r="CM233" s="217">
        <f t="shared" si="656"/>
        <v>0.34</v>
      </c>
      <c r="CN233" s="541">
        <f t="shared" si="657"/>
        <v>85</v>
      </c>
      <c r="CO233" s="443">
        <f t="shared" si="658"/>
        <v>15.7</v>
      </c>
      <c r="CP233" s="443">
        <f t="shared" si="659"/>
        <v>100.7</v>
      </c>
      <c r="CQ233" s="443"/>
      <c r="CR233" s="217">
        <f t="shared" si="660"/>
        <v>0.15338645418326693</v>
      </c>
      <c r="CS233" s="172">
        <f t="shared" si="661"/>
        <v>321.65744915076539</v>
      </c>
      <c r="CT233" s="172">
        <f t="shared" si="662"/>
        <v>4.3459495351925632</v>
      </c>
      <c r="CU233" s="217">
        <f t="shared" si="663"/>
        <v>21.443829943384358</v>
      </c>
      <c r="CV233" s="217">
        <f t="shared" si="664"/>
        <v>40.207181143845673</v>
      </c>
      <c r="CW233" s="217">
        <f t="shared" si="665"/>
        <v>15</v>
      </c>
      <c r="CX233" s="217">
        <f t="shared" si="666"/>
        <v>3.9638441558441562</v>
      </c>
      <c r="CY233" s="217">
        <f t="shared" si="667"/>
        <v>0.55960152788388084</v>
      </c>
      <c r="CZ233" s="217">
        <f t="shared" si="668"/>
        <v>3.0296898006452149</v>
      </c>
      <c r="DA233" s="197">
        <f t="shared" si="669"/>
        <v>110.43528632903013</v>
      </c>
      <c r="DB233" s="443">
        <f t="shared" si="670"/>
        <v>278.60652938690367</v>
      </c>
      <c r="DD233" s="217">
        <f t="shared" si="671"/>
        <v>9.9999999999999982</v>
      </c>
      <c r="DE233" s="173">
        <f t="shared" si="672"/>
        <v>7.6433121019108263</v>
      </c>
      <c r="DF233" s="173">
        <f t="shared" si="673"/>
        <v>4.1649244760361679</v>
      </c>
      <c r="DG233" s="173"/>
      <c r="DH233" s="173">
        <f t="shared" si="674"/>
        <v>7.6433121019108281</v>
      </c>
      <c r="DI233" s="545">
        <f t="shared" si="675"/>
        <v>44.483333333333341</v>
      </c>
      <c r="DJ233" s="528">
        <f t="shared" si="676"/>
        <v>4.2204568023833167</v>
      </c>
      <c r="DL233" s="173">
        <f t="shared" si="677"/>
        <v>3.5078144056893752</v>
      </c>
      <c r="DM233" s="173">
        <f t="shared" si="678"/>
        <v>10</v>
      </c>
      <c r="DN233" s="173">
        <f t="shared" si="679"/>
        <v>1.0254190476190477</v>
      </c>
      <c r="DP233" s="545">
        <f t="shared" si="680"/>
        <v>1700.0000000000002</v>
      </c>
      <c r="DQ233" s="460">
        <f t="shared" si="681"/>
        <v>44.483333333333341</v>
      </c>
      <c r="DS233">
        <f t="shared" si="682"/>
        <v>1700.0000000000002</v>
      </c>
      <c r="DT233">
        <f t="shared" si="683"/>
        <v>44.483333333333341</v>
      </c>
      <c r="DV233" s="5">
        <f t="shared" si="684"/>
        <v>22.480329711502431</v>
      </c>
      <c r="DW233" s="5">
        <f t="shared" si="685"/>
        <v>1.4117647058823528</v>
      </c>
      <c r="DX233" s="5">
        <f t="shared" si="686"/>
        <v>21.06856500562008</v>
      </c>
      <c r="DY233" s="173">
        <f t="shared" si="687"/>
        <v>6.2800000000000009E-2</v>
      </c>
      <c r="EA233" s="5">
        <f t="shared" si="713"/>
        <v>16</v>
      </c>
      <c r="EB233" s="5">
        <f t="shared" si="714"/>
        <v>0.75</v>
      </c>
      <c r="EC233" s="5">
        <f t="shared" si="715"/>
        <v>2.1795067247193187</v>
      </c>
      <c r="ED233" s="5"/>
      <c r="EE233" s="173">
        <f t="shared" si="716"/>
        <v>1.446835627614047</v>
      </c>
      <c r="EF233" s="173">
        <f t="shared" si="717"/>
        <v>5.5892754449928486</v>
      </c>
      <c r="EG233" s="173">
        <f t="shared" si="718"/>
        <v>0.13764960703747095</v>
      </c>
      <c r="EH233" s="173"/>
      <c r="EI233" s="528">
        <f t="shared" si="719"/>
        <v>4.1866666666666663E-2</v>
      </c>
      <c r="EJ233" s="528">
        <f t="shared" si="720"/>
        <v>0.89589433333333346</v>
      </c>
      <c r="EK233" s="528">
        <f t="shared" si="721"/>
        <v>5.5604166666666675E-3</v>
      </c>
      <c r="EL233" s="528">
        <f t="shared" si="722"/>
        <v>4.5108279683333342E-2</v>
      </c>
      <c r="EM233">
        <f t="shared" si="723"/>
        <v>3.8249999999999999E-2</v>
      </c>
      <c r="EN233" s="460">
        <f t="shared" si="724"/>
        <v>43.810416666666661</v>
      </c>
      <c r="EP233" s="460">
        <f t="shared" si="725"/>
        <v>1026.6796963500001</v>
      </c>
      <c r="EQ233" s="173">
        <f t="shared" si="726"/>
        <v>1.19</v>
      </c>
      <c r="ER233" s="173">
        <f t="shared" si="688"/>
        <v>1.8859375000000001E-2</v>
      </c>
      <c r="ES233" s="528"/>
      <c r="EU233" s="460">
        <f t="shared" si="727"/>
        <v>1208.8593749999998</v>
      </c>
      <c r="EV233" s="528">
        <f t="shared" si="728"/>
        <v>6.2799999999999995E-2</v>
      </c>
      <c r="EW233" s="528">
        <f t="shared" si="729"/>
        <v>0.93720000000000014</v>
      </c>
      <c r="EX233" s="528">
        <f t="shared" si="730"/>
        <v>9.4737071587850852E-5</v>
      </c>
      <c r="EY233" s="528">
        <f t="shared" si="731"/>
        <v>0.20867158405331809</v>
      </c>
      <c r="EZ233" s="528"/>
      <c r="FA233" s="625">
        <f t="shared" si="732"/>
        <v>4.4483333333333345E-3</v>
      </c>
      <c r="FB233" s="460">
        <f t="shared" si="733"/>
        <v>1213.2146544582395</v>
      </c>
      <c r="FC233" s="173">
        <f t="shared" si="734"/>
        <v>3.4487537258082397</v>
      </c>
      <c r="FD233" s="5">
        <f t="shared" si="735"/>
        <v>25.840000000000003</v>
      </c>
      <c r="FE233" s="173">
        <f t="shared" si="736"/>
        <v>0.88224989843902724</v>
      </c>
      <c r="FF233" s="5">
        <f t="shared" si="737"/>
        <v>88.224989843902719</v>
      </c>
      <c r="FG233">
        <f t="shared" si="738"/>
        <v>17</v>
      </c>
      <c r="FI233" s="562">
        <f t="shared" si="689"/>
        <v>-50</v>
      </c>
    </row>
    <row r="234" spans="5:165">
      <c r="E234" s="170">
        <v>18</v>
      </c>
      <c r="F234" s="217">
        <f t="shared" si="690"/>
        <v>1.7999999999999998</v>
      </c>
      <c r="G234" s="217">
        <f t="shared" si="617"/>
        <v>4.4999999999999998E-2</v>
      </c>
      <c r="H234" s="217">
        <f t="shared" si="618"/>
        <v>26.999999999999996</v>
      </c>
      <c r="I234" s="217">
        <f t="shared" si="619"/>
        <v>0.36</v>
      </c>
      <c r="J234" s="541">
        <f t="shared" si="620"/>
        <v>84.727420162931693</v>
      </c>
      <c r="K234" s="443">
        <f t="shared" si="621"/>
        <v>15.846617922801491</v>
      </c>
      <c r="L234" s="172">
        <f t="shared" si="622"/>
        <v>100.57403808573318</v>
      </c>
      <c r="M234" s="443"/>
      <c r="N234" s="217">
        <f t="shared" si="623"/>
        <v>0.15756171497552104</v>
      </c>
      <c r="O234" s="172">
        <f t="shared" si="624"/>
        <v>329.35355985994391</v>
      </c>
      <c r="P234" s="172">
        <f t="shared" si="625"/>
        <v>4.4499325421076863</v>
      </c>
      <c r="Q234" s="217">
        <f t="shared" si="626"/>
        <v>21.956903990662926</v>
      </c>
      <c r="R234" s="217">
        <f t="shared" si="627"/>
        <v>41.169194982492989</v>
      </c>
      <c r="S234" s="217">
        <f t="shared" si="628"/>
        <v>15</v>
      </c>
      <c r="T234" s="217">
        <f t="shared" si="629"/>
        <v>4.0989385406190273</v>
      </c>
      <c r="U234" s="217">
        <f t="shared" si="630"/>
        <v>0.58053534962873554</v>
      </c>
      <c r="V234" s="217">
        <f t="shared" si="631"/>
        <v>3.103959641549344</v>
      </c>
      <c r="W234" s="197">
        <f t="shared" si="632"/>
        <v>111.24831355269215</v>
      </c>
      <c r="X234" s="443">
        <f t="shared" si="691"/>
        <v>257.43372105539066</v>
      </c>
      <c r="Z234" s="217">
        <f t="shared" si="633"/>
        <v>10</v>
      </c>
      <c r="AA234" s="173">
        <f t="shared" si="634"/>
        <v>7.572593760043496</v>
      </c>
      <c r="AB234" s="173">
        <f t="shared" si="635"/>
        <v>4.1567678537392041</v>
      </c>
      <c r="AC234" s="173"/>
      <c r="AD234" s="173">
        <f t="shared" si="636"/>
        <v>7.572593760043496</v>
      </c>
      <c r="AE234" s="545">
        <f t="shared" si="637"/>
        <v>47.539853768404463</v>
      </c>
      <c r="AF234" s="528">
        <f t="shared" si="638"/>
        <v>4.2121914251223949</v>
      </c>
      <c r="AH234" s="173">
        <f t="shared" si="639"/>
        <v>3.60951124510943</v>
      </c>
      <c r="AI234" s="173">
        <f t="shared" si="640"/>
        <v>10</v>
      </c>
      <c r="AJ234" s="173">
        <f t="shared" si="641"/>
        <v>1.0271656307248025</v>
      </c>
      <c r="AL234" s="545">
        <f t="shared" si="642"/>
        <v>1799.9999999999998</v>
      </c>
      <c r="AM234" s="460">
        <f t="shared" si="643"/>
        <v>47.539853768404463</v>
      </c>
      <c r="AO234">
        <f t="shared" si="644"/>
        <v>1799.9999999999998</v>
      </c>
      <c r="AP234">
        <f t="shared" si="645"/>
        <v>47.539853768404463</v>
      </c>
      <c r="AR234" s="5">
        <f t="shared" si="616"/>
        <v>21.034982666787492</v>
      </c>
      <c r="AS234" s="5">
        <f t="shared" si="604"/>
        <v>1.4163065483315647</v>
      </c>
      <c r="AT234" s="5">
        <f t="shared" si="605"/>
        <v>19.618676118455927</v>
      </c>
      <c r="AU234" s="173">
        <f t="shared" si="606"/>
        <v>6.7331006198916257E-2</v>
      </c>
      <c r="BA234" s="173">
        <f t="shared" si="692"/>
        <v>1.4981211143619895</v>
      </c>
      <c r="BB234" s="173">
        <f t="shared" si="693"/>
        <v>5.5757480628195646</v>
      </c>
      <c r="BC234" s="173">
        <f t="shared" si="694"/>
        <v>0.13731646209610537</v>
      </c>
      <c r="BD234" s="173"/>
      <c r="BE234" s="528">
        <f t="shared" si="695"/>
        <v>4.4887337465944185E-2</v>
      </c>
      <c r="BF234" s="528">
        <f t="shared" si="646"/>
        <v>0.89648907440506798</v>
      </c>
      <c r="BG234" s="528">
        <f t="shared" si="647"/>
        <v>0.1006982291179984</v>
      </c>
      <c r="BH234" s="528">
        <f t="shared" si="696"/>
        <v>4.8087214033418126E-2</v>
      </c>
      <c r="BI234">
        <f t="shared" si="697"/>
        <v>3.8127339073319264E-2</v>
      </c>
      <c r="BJ234" s="460">
        <f t="shared" si="698"/>
        <v>138.82556819131767</v>
      </c>
      <c r="BK234">
        <f t="shared" si="648"/>
        <v>1.0123804790761093</v>
      </c>
      <c r="BL234" s="460">
        <f t="shared" si="699"/>
        <v>1128.2891940957477</v>
      </c>
      <c r="BM234" s="173">
        <f t="shared" si="649"/>
        <v>1.1182499999999997</v>
      </c>
      <c r="BN234" s="173">
        <f t="shared" si="650"/>
        <v>1.9968749999999997E-2</v>
      </c>
      <c r="BQ234" s="460">
        <f t="shared" si="700"/>
        <v>1138.2187499999998</v>
      </c>
      <c r="BR234" s="528">
        <f t="shared" si="701"/>
        <v>6.7331006198916271E-2</v>
      </c>
      <c r="BS234" s="528">
        <f t="shared" si="702"/>
        <v>0.9326689938010837</v>
      </c>
      <c r="BT234" s="528">
        <f t="shared" si="703"/>
        <v>9.4279053812955715E-5</v>
      </c>
      <c r="BU234" s="528">
        <f t="shared" si="704"/>
        <v>0.24638519505330234</v>
      </c>
      <c r="BV234" s="528"/>
      <c r="BW234" s="625">
        <f t="shared" si="705"/>
        <v>4.7539853768404465E-3</v>
      </c>
      <c r="BX234" s="460">
        <f t="shared" si="706"/>
        <v>1251.2334594839556</v>
      </c>
      <c r="BY234" s="173">
        <f t="shared" si="707"/>
        <v>3.5177414035797034</v>
      </c>
      <c r="BZ234" s="5">
        <f t="shared" si="708"/>
        <v>27.359999999999996</v>
      </c>
      <c r="CA234" s="173">
        <f t="shared" si="709"/>
        <v>0.88607517118554902</v>
      </c>
      <c r="CB234" s="5">
        <f t="shared" si="710"/>
        <v>88.607517118554895</v>
      </c>
      <c r="CC234">
        <f t="shared" si="711"/>
        <v>18</v>
      </c>
      <c r="CE234" s="562">
        <f t="shared" si="651"/>
        <v>-50</v>
      </c>
      <c r="CG234" s="173">
        <f t="shared" si="652"/>
        <v>0.36830422207734731</v>
      </c>
      <c r="CH234" s="173">
        <f t="shared" si="653"/>
        <v>4.3171447570707178E-2</v>
      </c>
      <c r="CI234" s="170">
        <v>18</v>
      </c>
      <c r="CJ234" s="217">
        <f t="shared" si="712"/>
        <v>1.7999999999999998</v>
      </c>
      <c r="CK234" s="217">
        <f t="shared" si="654"/>
        <v>4.4999999999999998E-2</v>
      </c>
      <c r="CL234" s="217">
        <f t="shared" si="655"/>
        <v>26.999999999999996</v>
      </c>
      <c r="CM234" s="217">
        <f t="shared" si="656"/>
        <v>0.36</v>
      </c>
      <c r="CN234" s="541">
        <f t="shared" si="657"/>
        <v>85</v>
      </c>
      <c r="CO234" s="443">
        <f t="shared" si="658"/>
        <v>15.7</v>
      </c>
      <c r="CP234" s="443">
        <f t="shared" si="659"/>
        <v>100.7</v>
      </c>
      <c r="CQ234" s="443"/>
      <c r="CR234" s="217">
        <f t="shared" si="660"/>
        <v>0.15338645418326693</v>
      </c>
      <c r="CS234" s="172">
        <f t="shared" si="661"/>
        <v>321.65744915076539</v>
      </c>
      <c r="CT234" s="172">
        <f t="shared" si="662"/>
        <v>4.3459495351925632</v>
      </c>
      <c r="CU234" s="217">
        <f t="shared" si="663"/>
        <v>21.443829943384358</v>
      </c>
      <c r="CV234" s="217">
        <f t="shared" si="664"/>
        <v>40.207181143845673</v>
      </c>
      <c r="CW234" s="217">
        <f t="shared" si="665"/>
        <v>15</v>
      </c>
      <c r="CX234" s="217">
        <f t="shared" si="666"/>
        <v>4.1970114591291052</v>
      </c>
      <c r="CY234" s="217">
        <f t="shared" si="667"/>
        <v>0.5925192648182267</v>
      </c>
      <c r="CZ234" s="217">
        <f t="shared" si="668"/>
        <v>3.2079068477419916</v>
      </c>
      <c r="DA234" s="197">
        <f t="shared" si="669"/>
        <v>110.43528632903013</v>
      </c>
      <c r="DB234" s="443">
        <f t="shared" si="670"/>
        <v>263.12838886540908</v>
      </c>
      <c r="DD234" s="217">
        <f t="shared" si="671"/>
        <v>9.9999999999999982</v>
      </c>
      <c r="DE234" s="173">
        <f t="shared" si="672"/>
        <v>7.6433121019108263</v>
      </c>
      <c r="DF234" s="173">
        <f t="shared" si="673"/>
        <v>4.1649244760361679</v>
      </c>
      <c r="DG234" s="173"/>
      <c r="DH234" s="173">
        <f t="shared" si="674"/>
        <v>7.6433121019108281</v>
      </c>
      <c r="DI234" s="545">
        <f t="shared" si="675"/>
        <v>47.1</v>
      </c>
      <c r="DJ234" s="528">
        <f t="shared" si="676"/>
        <v>4.2204568023833167</v>
      </c>
      <c r="DL234" s="173">
        <f t="shared" si="677"/>
        <v>3.60951124510943</v>
      </c>
      <c r="DM234" s="173">
        <f t="shared" si="678"/>
        <v>10</v>
      </c>
      <c r="DN234" s="173">
        <f t="shared" si="679"/>
        <v>1.0269142857142857</v>
      </c>
      <c r="DP234" s="545">
        <f t="shared" si="680"/>
        <v>1799.9999999999998</v>
      </c>
      <c r="DQ234" s="460">
        <f t="shared" si="681"/>
        <v>47.1</v>
      </c>
      <c r="DS234">
        <f t="shared" si="682"/>
        <v>1799.9999999999998</v>
      </c>
      <c r="DT234">
        <f t="shared" si="683"/>
        <v>47.1</v>
      </c>
      <c r="DV234" s="5">
        <f t="shared" si="684"/>
        <v>21.231422505307854</v>
      </c>
      <c r="DW234" s="5">
        <f t="shared" si="685"/>
        <v>1.4117647058823528</v>
      </c>
      <c r="DX234" s="5">
        <f t="shared" si="686"/>
        <v>19.819657799425503</v>
      </c>
      <c r="DY234" s="173">
        <f t="shared" si="687"/>
        <v>6.6494117647058815E-2</v>
      </c>
      <c r="EA234" s="5">
        <f t="shared" si="713"/>
        <v>16.941176470588232</v>
      </c>
      <c r="EB234" s="5">
        <f t="shared" si="714"/>
        <v>0.79411764705882337</v>
      </c>
      <c r="EC234" s="5">
        <f t="shared" si="715"/>
        <v>2.1709158644401154</v>
      </c>
      <c r="ED234" s="5"/>
      <c r="EE234" s="173">
        <f t="shared" si="716"/>
        <v>1.4887815784174971</v>
      </c>
      <c r="EF234" s="173">
        <f t="shared" si="717"/>
        <v>5.5782490752115077</v>
      </c>
      <c r="EG234" s="173">
        <f t="shared" si="718"/>
        <v>0.1373780556561893</v>
      </c>
      <c r="EH234" s="173"/>
      <c r="EI234" s="528">
        <f t="shared" si="719"/>
        <v>4.4329411764705888E-2</v>
      </c>
      <c r="EJ234" s="528">
        <f t="shared" si="720"/>
        <v>0.94859400000000016</v>
      </c>
      <c r="EK234" s="528">
        <f t="shared" si="721"/>
        <v>5.8875000000000004E-3</v>
      </c>
      <c r="EL234" s="528">
        <f t="shared" si="722"/>
        <v>4.7761707900000006E-2</v>
      </c>
      <c r="EM234">
        <f t="shared" si="723"/>
        <v>3.8249999999999999E-2</v>
      </c>
      <c r="EN234" s="460">
        <f t="shared" si="724"/>
        <v>44.137499999999996</v>
      </c>
      <c r="EP234" s="460">
        <f t="shared" si="725"/>
        <v>1084.8226196647061</v>
      </c>
      <c r="EQ234" s="173">
        <f t="shared" si="726"/>
        <v>1.2599999999999998</v>
      </c>
      <c r="ER234" s="173">
        <f t="shared" si="688"/>
        <v>1.9968749999999997E-2</v>
      </c>
      <c r="ES234" s="528"/>
      <c r="EU234" s="460">
        <f t="shared" si="727"/>
        <v>1279.9687499999998</v>
      </c>
      <c r="EV234" s="528">
        <f t="shared" si="728"/>
        <v>6.6494117647058829E-2</v>
      </c>
      <c r="EW234" s="528">
        <f t="shared" si="729"/>
        <v>0.93350588235294119</v>
      </c>
      <c r="EX234" s="528">
        <f t="shared" si="730"/>
        <v>9.4363650879375222E-5</v>
      </c>
      <c r="EY234" s="528">
        <f t="shared" si="731"/>
        <v>0.24072559684914632</v>
      </c>
      <c r="EZ234" s="528"/>
      <c r="FA234" s="625">
        <f t="shared" si="732"/>
        <v>4.7100000000000006E-3</v>
      </c>
      <c r="FB234" s="460">
        <f t="shared" si="733"/>
        <v>1245.5299605000259</v>
      </c>
      <c r="FC234" s="173">
        <f t="shared" si="734"/>
        <v>3.6103213301647319</v>
      </c>
      <c r="FD234" s="5">
        <f t="shared" si="735"/>
        <v>27.359999999999996</v>
      </c>
      <c r="FE234" s="173">
        <f t="shared" si="736"/>
        <v>0.8834264168047774</v>
      </c>
      <c r="FF234" s="5">
        <f t="shared" si="737"/>
        <v>88.34264168047774</v>
      </c>
      <c r="FG234">
        <f t="shared" si="738"/>
        <v>18</v>
      </c>
      <c r="FI234" s="562">
        <f t="shared" si="689"/>
        <v>-50</v>
      </c>
    </row>
    <row r="235" spans="5:165">
      <c r="E235" s="170">
        <v>19</v>
      </c>
      <c r="F235" s="217">
        <f t="shared" si="690"/>
        <v>1.9</v>
      </c>
      <c r="G235" s="217">
        <f t="shared" si="617"/>
        <v>4.7500000000000001E-2</v>
      </c>
      <c r="H235" s="217">
        <f t="shared" si="618"/>
        <v>28.5</v>
      </c>
      <c r="I235" s="217">
        <f t="shared" si="619"/>
        <v>0.38</v>
      </c>
      <c r="J235" s="541">
        <f t="shared" si="620"/>
        <v>84.727420162931693</v>
      </c>
      <c r="K235" s="443">
        <f t="shared" si="621"/>
        <v>15.846617922801491</v>
      </c>
      <c r="L235" s="172">
        <f t="shared" si="622"/>
        <v>100.57403808573318</v>
      </c>
      <c r="M235" s="443"/>
      <c r="N235" s="217">
        <f t="shared" si="623"/>
        <v>0.15756171497552104</v>
      </c>
      <c r="O235" s="172">
        <f t="shared" si="624"/>
        <v>329.35355985994391</v>
      </c>
      <c r="P235" s="172">
        <f t="shared" si="625"/>
        <v>4.4499325421076863</v>
      </c>
      <c r="Q235" s="217">
        <f t="shared" si="626"/>
        <v>21.956903990662926</v>
      </c>
      <c r="R235" s="217">
        <f t="shared" si="627"/>
        <v>41.169194982492989</v>
      </c>
      <c r="S235" s="217">
        <f t="shared" si="628"/>
        <v>15</v>
      </c>
      <c r="T235" s="217">
        <f t="shared" si="629"/>
        <v>4.3266573484311959</v>
      </c>
      <c r="U235" s="217">
        <f t="shared" si="630"/>
        <v>0.61278731349699866</v>
      </c>
      <c r="V235" s="217">
        <f t="shared" si="631"/>
        <v>3.2764018438576419</v>
      </c>
      <c r="W235" s="197">
        <f t="shared" si="632"/>
        <v>111.24831355269215</v>
      </c>
      <c r="X235" s="443">
        <f t="shared" si="691"/>
        <v>244.54725900890222</v>
      </c>
      <c r="Z235" s="217">
        <f t="shared" si="633"/>
        <v>10</v>
      </c>
      <c r="AA235" s="173">
        <f t="shared" si="634"/>
        <v>7.572593760043496</v>
      </c>
      <c r="AB235" s="173">
        <f t="shared" si="635"/>
        <v>4.1567678537392041</v>
      </c>
      <c r="AC235" s="173"/>
      <c r="AD235" s="173">
        <f t="shared" si="636"/>
        <v>7.572593760043496</v>
      </c>
      <c r="AE235" s="545">
        <f t="shared" si="637"/>
        <v>50.180956755538048</v>
      </c>
      <c r="AF235" s="528">
        <f t="shared" si="638"/>
        <v>4.2121914251223949</v>
      </c>
      <c r="AH235" s="173">
        <f t="shared" si="639"/>
        <v>3.7084202772044259</v>
      </c>
      <c r="AI235" s="173">
        <f t="shared" si="640"/>
        <v>10</v>
      </c>
      <c r="AJ235" s="173">
        <f t="shared" si="641"/>
        <v>1.0286748324317361</v>
      </c>
      <c r="AL235" s="545">
        <f t="shared" si="642"/>
        <v>1900</v>
      </c>
      <c r="AM235" s="460">
        <f t="shared" si="643"/>
        <v>50.180956755538048</v>
      </c>
      <c r="AO235">
        <f t="shared" si="644"/>
        <v>1900</v>
      </c>
      <c r="AP235">
        <f t="shared" si="645"/>
        <v>50.180956755538048</v>
      </c>
      <c r="AR235" s="5">
        <f t="shared" si="616"/>
        <v>19.927878315903943</v>
      </c>
      <c r="AS235" s="5">
        <f t="shared" si="604"/>
        <v>1.4163065483315647</v>
      </c>
      <c r="AT235" s="5">
        <f t="shared" si="605"/>
        <v>18.511571767572377</v>
      </c>
      <c r="AU235" s="173">
        <f t="shared" si="606"/>
        <v>7.1071617654411598E-2</v>
      </c>
      <c r="BA235" s="173">
        <f t="shared" si="692"/>
        <v>1.5391731292527555</v>
      </c>
      <c r="BB235" s="173">
        <f t="shared" si="693"/>
        <v>5.5645556346863501</v>
      </c>
      <c r="BC235" s="173">
        <f t="shared" si="694"/>
        <v>0.13704082112090307</v>
      </c>
      <c r="BD235" s="173"/>
      <c r="BE235" s="528">
        <f t="shared" si="695"/>
        <v>4.7381078436274392E-2</v>
      </c>
      <c r="BF235" s="528">
        <f t="shared" si="646"/>
        <v>0.94629402298312737</v>
      </c>
      <c r="BG235" s="528">
        <f t="shared" si="647"/>
        <v>0.10629257518010944</v>
      </c>
      <c r="BH235" s="528">
        <f t="shared" si="696"/>
        <v>5.0758725924163584E-2</v>
      </c>
      <c r="BI235">
        <f t="shared" si="697"/>
        <v>3.8127339073319264E-2</v>
      </c>
      <c r="BJ235" s="460">
        <f t="shared" si="698"/>
        <v>144.41991425342871</v>
      </c>
      <c r="BK235">
        <f t="shared" si="648"/>
        <v>1.06926422164989</v>
      </c>
      <c r="BL235" s="460">
        <f t="shared" si="699"/>
        <v>1188.853741596994</v>
      </c>
      <c r="BM235" s="173">
        <f t="shared" si="649"/>
        <v>1.1803749999999997</v>
      </c>
      <c r="BN235" s="173">
        <f t="shared" si="650"/>
        <v>2.1078125E-2</v>
      </c>
      <c r="BQ235" s="460">
        <f t="shared" si="700"/>
        <v>1201.4531249999998</v>
      </c>
      <c r="BR235" s="528">
        <f t="shared" si="701"/>
        <v>7.1071617654411584E-2</v>
      </c>
      <c r="BS235" s="528">
        <f t="shared" si="702"/>
        <v>0.92892838234558828</v>
      </c>
      <c r="BT235" s="528">
        <f t="shared" si="703"/>
        <v>9.3900933267456756E-5</v>
      </c>
      <c r="BU235" s="528">
        <f t="shared" si="704"/>
        <v>0.28204431331811008</v>
      </c>
      <c r="BV235" s="528"/>
      <c r="BW235" s="625">
        <f t="shared" si="705"/>
        <v>5.0180956755538049E-3</v>
      </c>
      <c r="BX235" s="460">
        <f t="shared" si="706"/>
        <v>1287.1563099269315</v>
      </c>
      <c r="BY235" s="173">
        <f t="shared" si="707"/>
        <v>3.6774631765239247</v>
      </c>
      <c r="BZ235" s="5">
        <f t="shared" si="708"/>
        <v>28.88</v>
      </c>
      <c r="CA235" s="173">
        <f t="shared" si="709"/>
        <v>0.88704699882220495</v>
      </c>
      <c r="CB235" s="5">
        <f t="shared" si="710"/>
        <v>88.704699882220496</v>
      </c>
      <c r="CC235">
        <f t="shared" si="711"/>
        <v>19</v>
      </c>
      <c r="CE235" s="562">
        <f t="shared" si="651"/>
        <v>-50</v>
      </c>
      <c r="CG235" s="173">
        <f t="shared" si="652"/>
        <v>0.38876556774831106</v>
      </c>
      <c r="CH235" s="173">
        <f t="shared" si="653"/>
        <v>4.5569861324635356E-2</v>
      </c>
      <c r="CI235" s="170">
        <v>19</v>
      </c>
      <c r="CJ235" s="217">
        <f t="shared" si="712"/>
        <v>1.9</v>
      </c>
      <c r="CK235" s="217">
        <f t="shared" si="654"/>
        <v>4.7500000000000001E-2</v>
      </c>
      <c r="CL235" s="217">
        <f t="shared" si="655"/>
        <v>28.5</v>
      </c>
      <c r="CM235" s="217">
        <f t="shared" si="656"/>
        <v>0.38</v>
      </c>
      <c r="CN235" s="541">
        <f t="shared" si="657"/>
        <v>85</v>
      </c>
      <c r="CO235" s="443">
        <f t="shared" si="658"/>
        <v>15.7</v>
      </c>
      <c r="CP235" s="443">
        <f t="shared" si="659"/>
        <v>100.7</v>
      </c>
      <c r="CQ235" s="443"/>
      <c r="CR235" s="217">
        <f t="shared" si="660"/>
        <v>0.15338645418326693</v>
      </c>
      <c r="CS235" s="172">
        <f t="shared" si="661"/>
        <v>321.65744915076539</v>
      </c>
      <c r="CT235" s="172">
        <f t="shared" si="662"/>
        <v>4.3459495351925632</v>
      </c>
      <c r="CU235" s="217">
        <f t="shared" si="663"/>
        <v>21.443829943384358</v>
      </c>
      <c r="CV235" s="217">
        <f t="shared" si="664"/>
        <v>40.207181143845673</v>
      </c>
      <c r="CW235" s="217">
        <f t="shared" si="665"/>
        <v>15</v>
      </c>
      <c r="CX235" s="217">
        <f t="shared" si="666"/>
        <v>4.4301787624140561</v>
      </c>
      <c r="CY235" s="217">
        <f t="shared" si="667"/>
        <v>0.62543700175257266</v>
      </c>
      <c r="CZ235" s="217">
        <f t="shared" si="668"/>
        <v>3.3861238948387689</v>
      </c>
      <c r="DA235" s="197">
        <f t="shared" si="669"/>
        <v>110.43528632903013</v>
      </c>
      <c r="DB235" s="443">
        <f t="shared" si="670"/>
        <v>249.27952629354542</v>
      </c>
      <c r="DD235" s="217">
        <f t="shared" si="671"/>
        <v>9.9999999999999982</v>
      </c>
      <c r="DE235" s="173">
        <f t="shared" si="672"/>
        <v>7.6433121019108263</v>
      </c>
      <c r="DF235" s="173">
        <f t="shared" si="673"/>
        <v>4.1649244760361679</v>
      </c>
      <c r="DG235" s="173"/>
      <c r="DH235" s="173">
        <f t="shared" si="674"/>
        <v>7.6433121019108281</v>
      </c>
      <c r="DI235" s="545">
        <f t="shared" si="675"/>
        <v>49.716666666666669</v>
      </c>
      <c r="DJ235" s="528">
        <f t="shared" si="676"/>
        <v>4.2204568023833167</v>
      </c>
      <c r="DL235" s="173">
        <f t="shared" si="677"/>
        <v>3.7084202772044259</v>
      </c>
      <c r="DM235" s="173">
        <f t="shared" si="678"/>
        <v>10</v>
      </c>
      <c r="DN235" s="173">
        <f t="shared" si="679"/>
        <v>1.0284095238095239</v>
      </c>
      <c r="DP235" s="545">
        <f t="shared" si="680"/>
        <v>1900</v>
      </c>
      <c r="DQ235" s="460">
        <f t="shared" si="681"/>
        <v>49.716666666666669</v>
      </c>
      <c r="DS235">
        <f t="shared" si="682"/>
        <v>1900</v>
      </c>
      <c r="DT235">
        <f t="shared" si="683"/>
        <v>49.716666666666669</v>
      </c>
      <c r="DV235" s="5">
        <f t="shared" si="684"/>
        <v>20.11397921555481</v>
      </c>
      <c r="DW235" s="5">
        <f t="shared" si="685"/>
        <v>1.4117647058823528</v>
      </c>
      <c r="DX235" s="5">
        <f t="shared" si="686"/>
        <v>18.702214509672459</v>
      </c>
      <c r="DY235" s="173">
        <f t="shared" si="687"/>
        <v>7.0188235294117648E-2</v>
      </c>
      <c r="EA235" s="5">
        <f t="shared" si="713"/>
        <v>17.882352941176471</v>
      </c>
      <c r="EB235" s="5">
        <f t="shared" si="714"/>
        <v>0.83823529411764686</v>
      </c>
      <c r="EC235" s="5">
        <f t="shared" si="715"/>
        <v>2.1623250041609126</v>
      </c>
      <c r="ED235" s="5"/>
      <c r="EE235" s="173">
        <f t="shared" si="716"/>
        <v>1.5295776682265125</v>
      </c>
      <c r="EF235" s="173">
        <f t="shared" si="717"/>
        <v>5.5672008667009738</v>
      </c>
      <c r="EG235" s="173">
        <f t="shared" si="718"/>
        <v>0.137105966442675</v>
      </c>
      <c r="EH235" s="173"/>
      <c r="EI235" s="528">
        <f t="shared" si="719"/>
        <v>4.6792156862745106E-2</v>
      </c>
      <c r="EJ235" s="528">
        <f t="shared" si="720"/>
        <v>1.0012936666666667</v>
      </c>
      <c r="EK235" s="528">
        <f t="shared" si="721"/>
        <v>6.2145833333333332E-3</v>
      </c>
      <c r="EL235" s="528">
        <f t="shared" si="722"/>
        <v>5.0415136116666669E-2</v>
      </c>
      <c r="EM235">
        <f t="shared" si="723"/>
        <v>3.8249999999999999E-2</v>
      </c>
      <c r="EN235" s="460">
        <f t="shared" si="724"/>
        <v>44.464583333333337</v>
      </c>
      <c r="EP235" s="460">
        <f t="shared" si="725"/>
        <v>1142.9655429794118</v>
      </c>
      <c r="EQ235" s="173">
        <f t="shared" si="726"/>
        <v>1.3299999999999998</v>
      </c>
      <c r="ER235" s="173">
        <f t="shared" si="688"/>
        <v>2.1078125E-2</v>
      </c>
      <c r="ES235" s="528"/>
      <c r="EU235" s="460">
        <f t="shared" si="727"/>
        <v>1351.078125</v>
      </c>
      <c r="EV235" s="528">
        <f t="shared" si="728"/>
        <v>7.0188235294117648E-2</v>
      </c>
      <c r="EW235" s="528">
        <f t="shared" si="729"/>
        <v>0.92981176470588212</v>
      </c>
      <c r="EX235" s="528">
        <f t="shared" si="730"/>
        <v>9.3990230170899633E-5</v>
      </c>
      <c r="EY235" s="528">
        <f t="shared" si="731"/>
        <v>0.27556560631299815</v>
      </c>
      <c r="EZ235" s="528"/>
      <c r="FA235" s="625">
        <f t="shared" si="732"/>
        <v>4.9716666666666676E-3</v>
      </c>
      <c r="FB235" s="460">
        <f t="shared" si="733"/>
        <v>1280.6312632098354</v>
      </c>
      <c r="FC235" s="173">
        <f t="shared" si="734"/>
        <v>3.7746749311892471</v>
      </c>
      <c r="FD235" s="5">
        <f t="shared" si="735"/>
        <v>28.88</v>
      </c>
      <c r="FE235" s="173">
        <f t="shared" si="736"/>
        <v>0.88440629284648098</v>
      </c>
      <c r="FF235" s="5">
        <f t="shared" si="737"/>
        <v>88.440629284648097</v>
      </c>
      <c r="FG235">
        <f t="shared" si="738"/>
        <v>19</v>
      </c>
      <c r="FI235" s="562">
        <f t="shared" si="689"/>
        <v>-50</v>
      </c>
    </row>
    <row r="236" spans="5:165">
      <c r="E236" s="170">
        <v>20</v>
      </c>
      <c r="F236" s="217">
        <f t="shared" si="690"/>
        <v>2</v>
      </c>
      <c r="G236" s="217">
        <f t="shared" si="617"/>
        <v>0.05</v>
      </c>
      <c r="H236" s="217">
        <f t="shared" si="618"/>
        <v>30</v>
      </c>
      <c r="I236" s="217">
        <f t="shared" si="619"/>
        <v>0.4</v>
      </c>
      <c r="J236" s="541">
        <f t="shared" si="620"/>
        <v>84.727420162931693</v>
      </c>
      <c r="K236" s="443">
        <f t="shared" si="621"/>
        <v>15.846617922801491</v>
      </c>
      <c r="L236" s="172">
        <f t="shared" si="622"/>
        <v>100.57403808573318</v>
      </c>
      <c r="M236" s="443"/>
      <c r="N236" s="217">
        <f t="shared" si="623"/>
        <v>0.15756171497552104</v>
      </c>
      <c r="O236" s="172">
        <f t="shared" si="624"/>
        <v>329.35355985994391</v>
      </c>
      <c r="P236" s="172">
        <f t="shared" si="625"/>
        <v>4.4499325421076863</v>
      </c>
      <c r="Q236" s="217">
        <f t="shared" si="626"/>
        <v>21.956903990662926</v>
      </c>
      <c r="R236" s="217">
        <f t="shared" si="627"/>
        <v>41.169194982492989</v>
      </c>
      <c r="S236" s="217">
        <f t="shared" si="628"/>
        <v>15</v>
      </c>
      <c r="T236" s="217">
        <f t="shared" si="629"/>
        <v>4.5543761562433644</v>
      </c>
      <c r="U236" s="217">
        <f t="shared" si="630"/>
        <v>0.64503927736526179</v>
      </c>
      <c r="V236" s="217">
        <f t="shared" si="631"/>
        <v>3.4488440461659389</v>
      </c>
      <c r="W236" s="197">
        <f t="shared" si="632"/>
        <v>111.24831355269215</v>
      </c>
      <c r="X236" s="443">
        <f t="shared" si="691"/>
        <v>232.88942075343132</v>
      </c>
      <c r="Z236" s="217">
        <f t="shared" si="633"/>
        <v>10</v>
      </c>
      <c r="AA236" s="173">
        <f t="shared" si="634"/>
        <v>7.572593760043496</v>
      </c>
      <c r="AB236" s="173">
        <f t="shared" si="635"/>
        <v>4.1567678537392041</v>
      </c>
      <c r="AC236" s="173"/>
      <c r="AD236" s="173">
        <f t="shared" si="636"/>
        <v>7.572593760043496</v>
      </c>
      <c r="AE236" s="545">
        <f t="shared" si="637"/>
        <v>52.822059742671634</v>
      </c>
      <c r="AF236" s="528">
        <f t="shared" si="638"/>
        <v>4.2121914251223949</v>
      </c>
      <c r="AH236" s="173">
        <f t="shared" si="639"/>
        <v>3.804758924845367</v>
      </c>
      <c r="AI236" s="173">
        <f t="shared" si="640"/>
        <v>10</v>
      </c>
      <c r="AJ236" s="173">
        <f t="shared" si="641"/>
        <v>1.0301840341386694</v>
      </c>
      <c r="AL236" s="545">
        <f t="shared" si="642"/>
        <v>2000</v>
      </c>
      <c r="AM236" s="460">
        <f t="shared" si="643"/>
        <v>52.822059742671634</v>
      </c>
      <c r="AO236">
        <f t="shared" si="644"/>
        <v>2000</v>
      </c>
      <c r="AP236">
        <f t="shared" si="645"/>
        <v>52.822059742671634</v>
      </c>
      <c r="AR236" s="5">
        <f t="shared" si="616"/>
        <v>18.931484400108744</v>
      </c>
      <c r="AS236" s="5">
        <f t="shared" si="604"/>
        <v>1.4163065483315647</v>
      </c>
      <c r="AT236" s="5">
        <f t="shared" si="605"/>
        <v>17.515177851777178</v>
      </c>
      <c r="AU236" s="173">
        <f t="shared" si="606"/>
        <v>7.4812229109906953E-2</v>
      </c>
      <c r="BA236" s="173">
        <f t="shared" si="692"/>
        <v>1.5791583107244922</v>
      </c>
      <c r="BB236" s="173">
        <f t="shared" si="693"/>
        <v>5.5533406489250323</v>
      </c>
      <c r="BC236" s="173">
        <f t="shared" si="694"/>
        <v>0.13676462460882044</v>
      </c>
      <c r="BD236" s="173"/>
      <c r="BE236" s="528">
        <f t="shared" si="695"/>
        <v>4.987481940660464E-2</v>
      </c>
      <c r="BF236" s="528">
        <f t="shared" si="646"/>
        <v>0.99609897156118676</v>
      </c>
      <c r="BG236" s="528">
        <f t="shared" si="647"/>
        <v>0.11188692124222048</v>
      </c>
      <c r="BH236" s="528">
        <f t="shared" si="696"/>
        <v>5.3430237814909042E-2</v>
      </c>
      <c r="BI236">
        <f t="shared" si="697"/>
        <v>3.8127339073319264E-2</v>
      </c>
      <c r="BJ236" s="460">
        <f t="shared" si="698"/>
        <v>150.01426031553973</v>
      </c>
      <c r="BK236">
        <f t="shared" si="648"/>
        <v>1.1262161813110745</v>
      </c>
      <c r="BL236" s="460">
        <f t="shared" si="699"/>
        <v>1249.4182890982399</v>
      </c>
      <c r="BM236" s="173">
        <f t="shared" si="649"/>
        <v>1.2424999999999999</v>
      </c>
      <c r="BN236" s="173">
        <f t="shared" si="650"/>
        <v>2.2187499999999999E-2</v>
      </c>
      <c r="BQ236" s="460">
        <f t="shared" si="700"/>
        <v>1264.6875</v>
      </c>
      <c r="BR236" s="528">
        <f t="shared" si="701"/>
        <v>7.4812229109906953E-2</v>
      </c>
      <c r="BS236" s="528">
        <f t="shared" si="702"/>
        <v>0.92518777089009296</v>
      </c>
      <c r="BT236" s="528">
        <f t="shared" si="703"/>
        <v>9.3522812721957878E-5</v>
      </c>
      <c r="BU236" s="528">
        <f t="shared" si="704"/>
        <v>0.32063308564332799</v>
      </c>
      <c r="BV236" s="528"/>
      <c r="BW236" s="625">
        <f t="shared" si="705"/>
        <v>5.2822059742671642E-3</v>
      </c>
      <c r="BX236" s="460">
        <f t="shared" si="706"/>
        <v>1326.008814430317</v>
      </c>
      <c r="BY236" s="173">
        <f t="shared" si="707"/>
        <v>3.8401146035285567</v>
      </c>
      <c r="BZ236" s="5">
        <f t="shared" si="708"/>
        <v>30.4</v>
      </c>
      <c r="CA236" s="173">
        <f t="shared" si="709"/>
        <v>0.88784749560584653</v>
      </c>
      <c r="CB236" s="5">
        <f t="shared" si="710"/>
        <v>88.784749560584658</v>
      </c>
      <c r="CC236">
        <f t="shared" si="711"/>
        <v>20</v>
      </c>
      <c r="CE236" s="562">
        <f t="shared" si="651"/>
        <v>-50</v>
      </c>
      <c r="CG236" s="173">
        <f t="shared" si="652"/>
        <v>0.40922691341927481</v>
      </c>
      <c r="CH236" s="173">
        <f t="shared" si="653"/>
        <v>4.7968275078563528E-2</v>
      </c>
      <c r="CI236" s="170">
        <v>20</v>
      </c>
      <c r="CJ236" s="217">
        <f t="shared" si="712"/>
        <v>2</v>
      </c>
      <c r="CK236" s="217">
        <f t="shared" si="654"/>
        <v>0.05</v>
      </c>
      <c r="CL236" s="217">
        <f t="shared" si="655"/>
        <v>30</v>
      </c>
      <c r="CM236" s="217">
        <f t="shared" si="656"/>
        <v>0.4</v>
      </c>
      <c r="CN236" s="541">
        <f t="shared" si="657"/>
        <v>85</v>
      </c>
      <c r="CO236" s="443">
        <f t="shared" si="658"/>
        <v>15.7</v>
      </c>
      <c r="CP236" s="443">
        <f t="shared" si="659"/>
        <v>100.7</v>
      </c>
      <c r="CQ236" s="443"/>
      <c r="CR236" s="217">
        <f t="shared" si="660"/>
        <v>0.15338645418326693</v>
      </c>
      <c r="CS236" s="172">
        <f t="shared" si="661"/>
        <v>321.65744915076539</v>
      </c>
      <c r="CT236" s="172">
        <f t="shared" si="662"/>
        <v>4.3459495351925632</v>
      </c>
      <c r="CU236" s="217">
        <f t="shared" si="663"/>
        <v>21.443829943384358</v>
      </c>
      <c r="CV236" s="217">
        <f t="shared" si="664"/>
        <v>40.207181143845673</v>
      </c>
      <c r="CW236" s="217">
        <f t="shared" si="665"/>
        <v>15</v>
      </c>
      <c r="CX236" s="217">
        <f t="shared" si="666"/>
        <v>4.6633460656990069</v>
      </c>
      <c r="CY236" s="217">
        <f t="shared" si="667"/>
        <v>0.65835473868691852</v>
      </c>
      <c r="CZ236" s="217">
        <f t="shared" si="668"/>
        <v>3.5643409419355465</v>
      </c>
      <c r="DA236" s="197">
        <f t="shared" si="669"/>
        <v>110.43528632903013</v>
      </c>
      <c r="DB236" s="443">
        <f t="shared" si="670"/>
        <v>236.81554997886815</v>
      </c>
      <c r="DD236" s="217">
        <f t="shared" si="671"/>
        <v>9.9999999999999982</v>
      </c>
      <c r="DE236" s="173">
        <f t="shared" si="672"/>
        <v>7.6433121019108263</v>
      </c>
      <c r="DF236" s="173">
        <f t="shared" si="673"/>
        <v>4.1649244760361679</v>
      </c>
      <c r="DG236" s="173"/>
      <c r="DH236" s="173">
        <f t="shared" si="674"/>
        <v>7.6433121019108281</v>
      </c>
      <c r="DI236" s="545">
        <f t="shared" si="675"/>
        <v>52.333333333333336</v>
      </c>
      <c r="DJ236" s="528">
        <f t="shared" si="676"/>
        <v>4.2204568023833167</v>
      </c>
      <c r="DL236" s="173">
        <f t="shared" si="677"/>
        <v>3.804758924845367</v>
      </c>
      <c r="DM236" s="173">
        <f t="shared" si="678"/>
        <v>10</v>
      </c>
      <c r="DN236" s="173">
        <f t="shared" si="679"/>
        <v>1.0299047619047619</v>
      </c>
      <c r="DP236" s="545">
        <f t="shared" si="680"/>
        <v>2000</v>
      </c>
      <c r="DQ236" s="460">
        <f t="shared" si="681"/>
        <v>52.333333333333336</v>
      </c>
      <c r="DS236">
        <f t="shared" si="682"/>
        <v>2000</v>
      </c>
      <c r="DT236">
        <f t="shared" si="683"/>
        <v>52.333333333333336</v>
      </c>
      <c r="DV236" s="5">
        <f t="shared" si="684"/>
        <v>19.108280254777068</v>
      </c>
      <c r="DW236" s="5">
        <f t="shared" si="685"/>
        <v>1.4117647058823528</v>
      </c>
      <c r="DX236" s="5">
        <f t="shared" si="686"/>
        <v>17.696515548894716</v>
      </c>
      <c r="DY236" s="173">
        <f t="shared" si="687"/>
        <v>7.3882352941176468E-2</v>
      </c>
      <c r="EA236" s="5">
        <f t="shared" si="713"/>
        <v>18.823529411764703</v>
      </c>
      <c r="EB236" s="5">
        <f t="shared" si="714"/>
        <v>0.88235294117647067</v>
      </c>
      <c r="EC236" s="5">
        <f t="shared" si="715"/>
        <v>2.1537341438817097</v>
      </c>
      <c r="ED236" s="5"/>
      <c r="EE236" s="173">
        <f t="shared" si="716"/>
        <v>1.5693135754332896</v>
      </c>
      <c r="EF236" s="173">
        <f t="shared" si="717"/>
        <v>5.5561306891841653</v>
      </c>
      <c r="EG236" s="173">
        <f t="shared" si="718"/>
        <v>0.13683333618853555</v>
      </c>
      <c r="EH236" s="173"/>
      <c r="EI236" s="528">
        <f t="shared" si="719"/>
        <v>4.925490196078431E-2</v>
      </c>
      <c r="EJ236" s="528">
        <f t="shared" si="720"/>
        <v>1.0539933333333336</v>
      </c>
      <c r="EK236" s="528">
        <f t="shared" si="721"/>
        <v>6.541666666666667E-3</v>
      </c>
      <c r="EL236" s="528">
        <f t="shared" si="722"/>
        <v>5.3068564333333339E-2</v>
      </c>
      <c r="EM236">
        <f t="shared" si="723"/>
        <v>3.8249999999999999E-2</v>
      </c>
      <c r="EN236" s="460">
        <f t="shared" si="724"/>
        <v>44.791666666666664</v>
      </c>
      <c r="EP236" s="460">
        <f t="shared" si="725"/>
        <v>1201.1084662941178</v>
      </c>
      <c r="EQ236" s="173">
        <f t="shared" si="726"/>
        <v>1.4</v>
      </c>
      <c r="ER236" s="173">
        <f t="shared" si="688"/>
        <v>2.2187499999999999E-2</v>
      </c>
      <c r="ES236" s="528"/>
      <c r="EU236" s="460">
        <f t="shared" si="727"/>
        <v>1422.1875</v>
      </c>
      <c r="EV236" s="528">
        <f t="shared" si="728"/>
        <v>7.3882352941176455E-2</v>
      </c>
      <c r="EW236" s="528">
        <f t="shared" si="729"/>
        <v>0.92611764705882316</v>
      </c>
      <c r="EX236" s="528">
        <f t="shared" si="730"/>
        <v>9.3616809462423962E-5</v>
      </c>
      <c r="EY236" s="528">
        <f t="shared" si="731"/>
        <v>0.31326797413446666</v>
      </c>
      <c r="EZ236" s="528"/>
      <c r="FA236" s="625">
        <f t="shared" si="732"/>
        <v>5.2333333333333338E-3</v>
      </c>
      <c r="FB236" s="460">
        <f t="shared" si="733"/>
        <v>1318.5949242772622</v>
      </c>
      <c r="FC236" s="173">
        <f t="shared" si="734"/>
        <v>3.9418908905713796</v>
      </c>
      <c r="FD236" s="5">
        <f t="shared" si="735"/>
        <v>30.4</v>
      </c>
      <c r="FE236" s="173">
        <f t="shared" si="736"/>
        <v>0.8852162537254572</v>
      </c>
      <c r="FF236" s="5">
        <f t="shared" si="737"/>
        <v>88.521625372545714</v>
      </c>
      <c r="FG236">
        <f t="shared" si="738"/>
        <v>20</v>
      </c>
      <c r="FI236" s="562">
        <f t="shared" si="689"/>
        <v>-50</v>
      </c>
    </row>
    <row r="237" spans="5:165">
      <c r="E237" s="170">
        <v>21</v>
      </c>
      <c r="F237" s="217">
        <f t="shared" si="690"/>
        <v>2.1</v>
      </c>
      <c r="G237" s="217">
        <f t="shared" si="617"/>
        <v>5.2499999999999998E-2</v>
      </c>
      <c r="H237" s="217">
        <f t="shared" si="618"/>
        <v>31.5</v>
      </c>
      <c r="I237" s="217">
        <f t="shared" si="619"/>
        <v>0.42</v>
      </c>
      <c r="J237" s="541">
        <f t="shared" si="620"/>
        <v>84.727420162931693</v>
      </c>
      <c r="K237" s="443">
        <f t="shared" si="621"/>
        <v>15.846617922801491</v>
      </c>
      <c r="L237" s="172">
        <f t="shared" si="622"/>
        <v>100.57403808573318</v>
      </c>
      <c r="M237" s="443"/>
      <c r="N237" s="217">
        <f t="shared" si="623"/>
        <v>0.15756171497552104</v>
      </c>
      <c r="O237" s="172">
        <f t="shared" si="624"/>
        <v>329.35355985994391</v>
      </c>
      <c r="P237" s="172">
        <f t="shared" si="625"/>
        <v>4.4499325421076863</v>
      </c>
      <c r="Q237" s="217">
        <f t="shared" si="626"/>
        <v>21.956903990662926</v>
      </c>
      <c r="R237" s="217">
        <f t="shared" si="627"/>
        <v>41.169194982492989</v>
      </c>
      <c r="S237" s="217">
        <f t="shared" si="628"/>
        <v>15</v>
      </c>
      <c r="T237" s="217">
        <f t="shared" si="629"/>
        <v>4.782094964055533</v>
      </c>
      <c r="U237" s="217">
        <f t="shared" si="630"/>
        <v>0.67729124123352502</v>
      </c>
      <c r="V237" s="217">
        <f t="shared" si="631"/>
        <v>3.6212862484742359</v>
      </c>
      <c r="W237" s="197">
        <f t="shared" si="632"/>
        <v>111.24831355269215</v>
      </c>
      <c r="X237" s="443">
        <f t="shared" si="691"/>
        <v>222.29249185723432</v>
      </c>
      <c r="Z237" s="217">
        <f t="shared" si="633"/>
        <v>10</v>
      </c>
      <c r="AA237" s="173">
        <f t="shared" si="634"/>
        <v>7.572593760043496</v>
      </c>
      <c r="AB237" s="173">
        <f t="shared" si="635"/>
        <v>4.1567678537392041</v>
      </c>
      <c r="AC237" s="173"/>
      <c r="AD237" s="173">
        <f t="shared" si="636"/>
        <v>7.572593760043496</v>
      </c>
      <c r="AE237" s="545">
        <f t="shared" si="637"/>
        <v>55.463162729805212</v>
      </c>
      <c r="AF237" s="528">
        <f t="shared" si="638"/>
        <v>4.2121914251223949</v>
      </c>
      <c r="AH237" s="173">
        <f t="shared" si="639"/>
        <v>3.8987177379235853</v>
      </c>
      <c r="AI237" s="173">
        <f t="shared" si="640"/>
        <v>10</v>
      </c>
      <c r="AJ237" s="173">
        <f t="shared" si="641"/>
        <v>1.031693235845603</v>
      </c>
      <c r="AL237" s="545">
        <f t="shared" si="642"/>
        <v>2100</v>
      </c>
      <c r="AM237" s="460">
        <f t="shared" si="643"/>
        <v>55.463162729805212</v>
      </c>
      <c r="AO237">
        <f t="shared" si="644"/>
        <v>2100</v>
      </c>
      <c r="AP237">
        <f t="shared" si="645"/>
        <v>55.463162729805212</v>
      </c>
      <c r="AR237" s="5">
        <f t="shared" si="616"/>
        <v>18.029985142960708</v>
      </c>
      <c r="AS237" s="5">
        <f t="shared" si="604"/>
        <v>1.4163065483315647</v>
      </c>
      <c r="AT237" s="5">
        <f t="shared" si="605"/>
        <v>16.613678594629143</v>
      </c>
      <c r="AU237" s="173">
        <f t="shared" si="606"/>
        <v>7.8552840565402293E-2</v>
      </c>
      <c r="BA237" s="173">
        <f t="shared" si="692"/>
        <v>1.6181557461649798</v>
      </c>
      <c r="BB237" s="173">
        <f t="shared" si="693"/>
        <v>5.5421029685929319</v>
      </c>
      <c r="BC237" s="173">
        <f t="shared" si="694"/>
        <v>0.13648786918730832</v>
      </c>
      <c r="BD237" s="173"/>
      <c r="BE237" s="528">
        <f t="shared" si="695"/>
        <v>5.2368560376934853E-2</v>
      </c>
      <c r="BF237" s="528">
        <f t="shared" si="646"/>
        <v>1.0459039201392462</v>
      </c>
      <c r="BG237" s="528">
        <f t="shared" si="647"/>
        <v>0.11748126730433149</v>
      </c>
      <c r="BH237" s="528">
        <f t="shared" si="696"/>
        <v>5.6101749705654493E-2</v>
      </c>
      <c r="BI237">
        <f t="shared" si="697"/>
        <v>3.8127339073319264E-2</v>
      </c>
      <c r="BJ237" s="460">
        <f t="shared" si="698"/>
        <v>155.60860637765074</v>
      </c>
      <c r="BK237">
        <f t="shared" si="648"/>
        <v>1.1832364808459679</v>
      </c>
      <c r="BL237" s="460">
        <f t="shared" si="699"/>
        <v>1309.9828365994861</v>
      </c>
      <c r="BM237" s="173">
        <f t="shared" si="649"/>
        <v>1.3046249999999999</v>
      </c>
      <c r="BN237" s="173">
        <f t="shared" si="650"/>
        <v>2.3296874999999998E-2</v>
      </c>
      <c r="BQ237" s="460">
        <f t="shared" si="700"/>
        <v>1327.921875</v>
      </c>
      <c r="BR237" s="528">
        <f t="shared" si="701"/>
        <v>7.8552840565402279E-2</v>
      </c>
      <c r="BS237" s="528">
        <f t="shared" si="702"/>
        <v>0.92144715943459765</v>
      </c>
      <c r="BT237" s="528">
        <f t="shared" si="703"/>
        <v>9.3144692176458932E-5</v>
      </c>
      <c r="BU237" s="528">
        <f t="shared" si="704"/>
        <v>0.36222763653836915</v>
      </c>
      <c r="BV237" s="528"/>
      <c r="BW237" s="625">
        <f t="shared" si="705"/>
        <v>5.5463162729805218E-3</v>
      </c>
      <c r="BX237" s="460">
        <f t="shared" si="706"/>
        <v>1367.8670975035261</v>
      </c>
      <c r="BY237" s="173">
        <f t="shared" si="707"/>
        <v>4.0057718091030123</v>
      </c>
      <c r="BZ237" s="5">
        <f t="shared" si="708"/>
        <v>31.92</v>
      </c>
      <c r="CA237" s="173">
        <f t="shared" si="709"/>
        <v>0.8884986568865304</v>
      </c>
      <c r="CB237" s="5">
        <f t="shared" si="710"/>
        <v>88.84986568865304</v>
      </c>
      <c r="CC237">
        <f t="shared" si="711"/>
        <v>21.000000000000004</v>
      </c>
      <c r="CE237" s="562">
        <f t="shared" si="651"/>
        <v>-50</v>
      </c>
      <c r="CG237" s="173">
        <f t="shared" si="652"/>
        <v>0.42968825909023861</v>
      </c>
      <c r="CH237" s="173">
        <f t="shared" si="653"/>
        <v>5.0366688832491707E-2</v>
      </c>
      <c r="CI237" s="170">
        <v>21</v>
      </c>
      <c r="CJ237" s="217">
        <f t="shared" si="712"/>
        <v>2.1</v>
      </c>
      <c r="CK237" s="217">
        <f t="shared" si="654"/>
        <v>5.2499999999999998E-2</v>
      </c>
      <c r="CL237" s="217">
        <f t="shared" si="655"/>
        <v>31.5</v>
      </c>
      <c r="CM237" s="217">
        <f t="shared" si="656"/>
        <v>0.42</v>
      </c>
      <c r="CN237" s="541">
        <f t="shared" si="657"/>
        <v>85</v>
      </c>
      <c r="CO237" s="443">
        <f t="shared" si="658"/>
        <v>15.7</v>
      </c>
      <c r="CP237" s="443">
        <f t="shared" si="659"/>
        <v>100.7</v>
      </c>
      <c r="CQ237" s="443"/>
      <c r="CR237" s="217">
        <f t="shared" si="660"/>
        <v>0.15338645418326693</v>
      </c>
      <c r="CS237" s="172">
        <f t="shared" si="661"/>
        <v>321.65744915076539</v>
      </c>
      <c r="CT237" s="172">
        <f t="shared" si="662"/>
        <v>4.3459495351925632</v>
      </c>
      <c r="CU237" s="217">
        <f t="shared" si="663"/>
        <v>21.443829943384358</v>
      </c>
      <c r="CV237" s="217">
        <f t="shared" si="664"/>
        <v>40.207181143845673</v>
      </c>
      <c r="CW237" s="217">
        <f t="shared" si="665"/>
        <v>15</v>
      </c>
      <c r="CX237" s="217">
        <f t="shared" si="666"/>
        <v>4.8965133689839577</v>
      </c>
      <c r="CY237" s="217">
        <f t="shared" si="667"/>
        <v>0.69127247562126459</v>
      </c>
      <c r="CZ237" s="217">
        <f t="shared" si="668"/>
        <v>3.7425579890323246</v>
      </c>
      <c r="DA237" s="197">
        <f t="shared" si="669"/>
        <v>110.43528632903013</v>
      </c>
      <c r="DB237" s="443">
        <f t="shared" si="670"/>
        <v>225.53861902749344</v>
      </c>
      <c r="DD237" s="217">
        <f t="shared" si="671"/>
        <v>9.9999999999999982</v>
      </c>
      <c r="DE237" s="173">
        <f t="shared" si="672"/>
        <v>7.6433121019108263</v>
      </c>
      <c r="DF237" s="173">
        <f t="shared" si="673"/>
        <v>4.1649244760361679</v>
      </c>
      <c r="DG237" s="173"/>
      <c r="DH237" s="173">
        <f t="shared" si="674"/>
        <v>7.6433121019108281</v>
      </c>
      <c r="DI237" s="545">
        <f t="shared" si="675"/>
        <v>54.95000000000001</v>
      </c>
      <c r="DJ237" s="528">
        <f t="shared" si="676"/>
        <v>4.2204568023833167</v>
      </c>
      <c r="DL237" s="173">
        <f t="shared" si="677"/>
        <v>3.8987177379235853</v>
      </c>
      <c r="DM237" s="173">
        <f t="shared" si="678"/>
        <v>10</v>
      </c>
      <c r="DN237" s="173">
        <f t="shared" si="679"/>
        <v>1.0314000000000001</v>
      </c>
      <c r="DP237" s="545">
        <f t="shared" si="680"/>
        <v>2100</v>
      </c>
      <c r="DQ237" s="460">
        <f t="shared" si="681"/>
        <v>54.95000000000001</v>
      </c>
      <c r="DS237">
        <f t="shared" si="682"/>
        <v>2100</v>
      </c>
      <c r="DT237">
        <f t="shared" si="683"/>
        <v>54.95000000000001</v>
      </c>
      <c r="DV237" s="5">
        <f t="shared" si="684"/>
        <v>18.198362147406733</v>
      </c>
      <c r="DW237" s="5">
        <f t="shared" si="685"/>
        <v>1.4117647058823528</v>
      </c>
      <c r="DX237" s="5">
        <f t="shared" si="686"/>
        <v>16.786597441524382</v>
      </c>
      <c r="DY237" s="173">
        <f t="shared" si="687"/>
        <v>7.7576470588235288E-2</v>
      </c>
      <c r="EA237" s="5">
        <f t="shared" si="713"/>
        <v>19.764705882352938</v>
      </c>
      <c r="EB237" s="5">
        <f t="shared" si="714"/>
        <v>0.92647058823529405</v>
      </c>
      <c r="EC237" s="5">
        <f t="shared" si="715"/>
        <v>2.1451432836025068</v>
      </c>
      <c r="ED237" s="5"/>
      <c r="EE237" s="173">
        <f t="shared" si="716"/>
        <v>1.6080678943816946</v>
      </c>
      <c r="EF237" s="173">
        <f t="shared" si="717"/>
        <v>5.5450384110835662</v>
      </c>
      <c r="EG237" s="173">
        <f t="shared" si="718"/>
        <v>0.13656016165335216</v>
      </c>
      <c r="EH237" s="173"/>
      <c r="EI237" s="528">
        <f t="shared" si="719"/>
        <v>5.1717647058823542E-2</v>
      </c>
      <c r="EJ237" s="528">
        <f t="shared" si="720"/>
        <v>1.1066930000000001</v>
      </c>
      <c r="EK237" s="528">
        <f t="shared" si="721"/>
        <v>6.8687500000000007E-3</v>
      </c>
      <c r="EL237" s="528">
        <f t="shared" si="722"/>
        <v>5.5721992550000009E-2</v>
      </c>
      <c r="EM237">
        <f t="shared" si="723"/>
        <v>3.8249999999999999E-2</v>
      </c>
      <c r="EN237" s="460">
        <f t="shared" si="724"/>
        <v>45.118749999999999</v>
      </c>
      <c r="EP237" s="460">
        <f t="shared" si="725"/>
        <v>1259.2513896088237</v>
      </c>
      <c r="EQ237" s="173">
        <f t="shared" si="726"/>
        <v>1.47</v>
      </c>
      <c r="ER237" s="173">
        <f t="shared" si="688"/>
        <v>2.3296874999999998E-2</v>
      </c>
      <c r="ES237" s="528"/>
      <c r="EU237" s="460">
        <f t="shared" si="727"/>
        <v>1493.296875</v>
      </c>
      <c r="EV237" s="528">
        <f t="shared" si="728"/>
        <v>7.7576470588235302E-2</v>
      </c>
      <c r="EW237" s="528">
        <f t="shared" si="729"/>
        <v>0.92242352941176475</v>
      </c>
      <c r="EX237" s="528">
        <f t="shared" si="730"/>
        <v>9.3243388753948386E-5</v>
      </c>
      <c r="EY237" s="528">
        <f t="shared" si="731"/>
        <v>0.35390707620273343</v>
      </c>
      <c r="EZ237" s="528"/>
      <c r="FA237" s="625">
        <f t="shared" si="732"/>
        <v>5.4950000000000016E-3</v>
      </c>
      <c r="FB237" s="460">
        <f t="shared" si="733"/>
        <v>1359.4953195914875</v>
      </c>
      <c r="FC237" s="173">
        <f t="shared" si="734"/>
        <v>4.1120435842003111</v>
      </c>
      <c r="FD237" s="5">
        <f t="shared" si="735"/>
        <v>31.92</v>
      </c>
      <c r="FE237" s="173">
        <f t="shared" si="736"/>
        <v>0.88587814691689049</v>
      </c>
      <c r="FF237" s="5">
        <f t="shared" si="737"/>
        <v>88.587814691689047</v>
      </c>
      <c r="FG237">
        <f t="shared" si="738"/>
        <v>21.000000000000004</v>
      </c>
      <c r="FI237" s="562">
        <f t="shared" si="689"/>
        <v>-50</v>
      </c>
    </row>
    <row r="238" spans="5:165">
      <c r="E238" s="170">
        <v>22</v>
      </c>
      <c r="F238" s="217">
        <f t="shared" si="690"/>
        <v>2.2000000000000002</v>
      </c>
      <c r="G238" s="217">
        <f t="shared" si="617"/>
        <v>5.5E-2</v>
      </c>
      <c r="H238" s="217">
        <f t="shared" si="618"/>
        <v>33</v>
      </c>
      <c r="I238" s="217">
        <f t="shared" si="619"/>
        <v>0.44</v>
      </c>
      <c r="J238" s="541">
        <f t="shared" si="620"/>
        <v>84.727420162931693</v>
      </c>
      <c r="K238" s="443">
        <f t="shared" si="621"/>
        <v>15.846617922801491</v>
      </c>
      <c r="L238" s="172">
        <f t="shared" si="622"/>
        <v>100.57403808573318</v>
      </c>
      <c r="M238" s="443"/>
      <c r="N238" s="217">
        <f t="shared" si="623"/>
        <v>0.15756171497552104</v>
      </c>
      <c r="O238" s="172">
        <f t="shared" si="624"/>
        <v>329.35355985994391</v>
      </c>
      <c r="P238" s="172">
        <f t="shared" si="625"/>
        <v>4.4499325421076863</v>
      </c>
      <c r="Q238" s="217">
        <f t="shared" si="626"/>
        <v>21.956903990662926</v>
      </c>
      <c r="R238" s="217">
        <f t="shared" si="627"/>
        <v>41.169194982492989</v>
      </c>
      <c r="S238" s="217">
        <f t="shared" si="628"/>
        <v>15</v>
      </c>
      <c r="T238" s="217">
        <f t="shared" si="629"/>
        <v>5.0098137718677007</v>
      </c>
      <c r="U238" s="217">
        <f t="shared" si="630"/>
        <v>0.70954320510178803</v>
      </c>
      <c r="V238" s="217">
        <f t="shared" si="631"/>
        <v>3.7937284507825324</v>
      </c>
      <c r="W238" s="197">
        <f t="shared" si="632"/>
        <v>111.24831355269215</v>
      </c>
      <c r="X238" s="443">
        <f t="shared" si="691"/>
        <v>212.61795472708613</v>
      </c>
      <c r="Z238" s="217">
        <f t="shared" si="633"/>
        <v>10</v>
      </c>
      <c r="AA238" s="173">
        <f t="shared" si="634"/>
        <v>7.572593760043496</v>
      </c>
      <c r="AB238" s="173">
        <f t="shared" si="635"/>
        <v>4.1567678537392041</v>
      </c>
      <c r="AC238" s="173"/>
      <c r="AD238" s="173">
        <f t="shared" si="636"/>
        <v>7.572593760043496</v>
      </c>
      <c r="AE238" s="545">
        <f t="shared" si="637"/>
        <v>58.104265716938805</v>
      </c>
      <c r="AF238" s="528">
        <f t="shared" si="638"/>
        <v>4.2121914251223949</v>
      </c>
      <c r="AH238" s="173">
        <f t="shared" si="639"/>
        <v>3.990464825532174</v>
      </c>
      <c r="AI238" s="173">
        <f t="shared" si="640"/>
        <v>10</v>
      </c>
      <c r="AJ238" s="173">
        <f t="shared" si="641"/>
        <v>1.0332024375525364</v>
      </c>
      <c r="AL238" s="545">
        <f t="shared" si="642"/>
        <v>2200</v>
      </c>
      <c r="AM238" s="460">
        <f t="shared" si="643"/>
        <v>58.104265716938805</v>
      </c>
      <c r="AO238">
        <f t="shared" si="644"/>
        <v>2200</v>
      </c>
      <c r="AP238">
        <f t="shared" si="645"/>
        <v>58.104265716938805</v>
      </c>
      <c r="AR238" s="5">
        <f t="shared" si="616"/>
        <v>17.210440363735216</v>
      </c>
      <c r="AS238" s="5">
        <f t="shared" si="604"/>
        <v>1.4163065483315647</v>
      </c>
      <c r="AT238" s="5">
        <f t="shared" si="605"/>
        <v>15.794133815403651</v>
      </c>
      <c r="AU238" s="173">
        <f t="shared" si="606"/>
        <v>8.2293452020897676E-2</v>
      </c>
      <c r="BA238" s="173">
        <f t="shared" si="692"/>
        <v>1.6562352089492771</v>
      </c>
      <c r="BB238" s="173">
        <f t="shared" si="693"/>
        <v>5.5308424553561526</v>
      </c>
      <c r="BC238" s="173">
        <f t="shared" si="694"/>
        <v>0.13621055144955546</v>
      </c>
      <c r="BD238" s="173"/>
      <c r="BE238" s="528">
        <f t="shared" si="695"/>
        <v>5.4862301347265115E-2</v>
      </c>
      <c r="BF238" s="528">
        <f t="shared" si="646"/>
        <v>1.0957088687173058</v>
      </c>
      <c r="BG238" s="528">
        <f t="shared" si="647"/>
        <v>0.12307561336644254</v>
      </c>
      <c r="BH238" s="528">
        <f t="shared" si="696"/>
        <v>5.8773261596399951E-2</v>
      </c>
      <c r="BI238">
        <f t="shared" si="697"/>
        <v>3.8127339073319264E-2</v>
      </c>
      <c r="BJ238" s="460">
        <f t="shared" si="698"/>
        <v>161.20295243976179</v>
      </c>
      <c r="BK238">
        <f t="shared" si="648"/>
        <v>1.2403252433357292</v>
      </c>
      <c r="BL238" s="460">
        <f t="shared" si="699"/>
        <v>1370.5473841007324</v>
      </c>
      <c r="BM238" s="173">
        <f t="shared" si="649"/>
        <v>1.3667499999999999</v>
      </c>
      <c r="BN238" s="173">
        <f t="shared" si="650"/>
        <v>2.4406249999999997E-2</v>
      </c>
      <c r="BQ238" s="460">
        <f t="shared" si="700"/>
        <v>1391.1562499999998</v>
      </c>
      <c r="BR238" s="528">
        <f t="shared" si="701"/>
        <v>8.2293452020897676E-2</v>
      </c>
      <c r="BS238" s="528">
        <f t="shared" si="702"/>
        <v>0.91770654797910223</v>
      </c>
      <c r="BT238" s="528">
        <f t="shared" si="703"/>
        <v>9.2766571630959973E-5</v>
      </c>
      <c r="BU238" s="528">
        <f t="shared" si="704"/>
        <v>0.40690220885897349</v>
      </c>
      <c r="BV238" s="528"/>
      <c r="BW238" s="625">
        <f t="shared" si="705"/>
        <v>5.8104265716938811E-3</v>
      </c>
      <c r="BX238" s="460">
        <f t="shared" si="706"/>
        <v>1412.8054020022983</v>
      </c>
      <c r="BY238" s="173">
        <f t="shared" si="707"/>
        <v>4.1745090361030313</v>
      </c>
      <c r="BZ238" s="5">
        <f t="shared" si="708"/>
        <v>33.44</v>
      </c>
      <c r="CA238" s="173">
        <f t="shared" si="709"/>
        <v>0.88901864883850357</v>
      </c>
      <c r="CB238" s="5">
        <f t="shared" si="710"/>
        <v>88.901864883850351</v>
      </c>
      <c r="CC238">
        <f t="shared" si="711"/>
        <v>22.000000000000004</v>
      </c>
      <c r="CE238" s="562">
        <f t="shared" si="651"/>
        <v>-50</v>
      </c>
      <c r="CG238" s="173">
        <f t="shared" si="652"/>
        <v>0.45014960476120242</v>
      </c>
      <c r="CH238" s="173">
        <f t="shared" si="653"/>
        <v>5.2765102586419886E-2</v>
      </c>
      <c r="CI238" s="170">
        <v>22</v>
      </c>
      <c r="CJ238" s="217">
        <f t="shared" si="712"/>
        <v>2.2000000000000002</v>
      </c>
      <c r="CK238" s="217">
        <f t="shared" si="654"/>
        <v>5.5E-2</v>
      </c>
      <c r="CL238" s="217">
        <f t="shared" si="655"/>
        <v>33</v>
      </c>
      <c r="CM238" s="217">
        <f t="shared" si="656"/>
        <v>0.44</v>
      </c>
      <c r="CN238" s="541">
        <f t="shared" si="657"/>
        <v>85</v>
      </c>
      <c r="CO238" s="443">
        <f t="shared" si="658"/>
        <v>15.7</v>
      </c>
      <c r="CP238" s="443">
        <f t="shared" si="659"/>
        <v>100.7</v>
      </c>
      <c r="CQ238" s="443"/>
      <c r="CR238" s="217">
        <f t="shared" si="660"/>
        <v>0.15338645418326693</v>
      </c>
      <c r="CS238" s="172">
        <f t="shared" si="661"/>
        <v>321.65744915076539</v>
      </c>
      <c r="CT238" s="172">
        <f t="shared" si="662"/>
        <v>4.3459495351925632</v>
      </c>
      <c r="CU238" s="217">
        <f t="shared" si="663"/>
        <v>21.443829943384358</v>
      </c>
      <c r="CV238" s="217">
        <f t="shared" si="664"/>
        <v>40.207181143845673</v>
      </c>
      <c r="CW238" s="217">
        <f t="shared" si="665"/>
        <v>15</v>
      </c>
      <c r="CX238" s="217">
        <f t="shared" si="666"/>
        <v>5.1296806722689068</v>
      </c>
      <c r="CY238" s="217">
        <f t="shared" si="667"/>
        <v>0.72419021255561045</v>
      </c>
      <c r="CZ238" s="217">
        <f t="shared" si="668"/>
        <v>3.9207750361291018</v>
      </c>
      <c r="DA238" s="197">
        <f t="shared" si="669"/>
        <v>110.43528632903013</v>
      </c>
      <c r="DB238" s="443">
        <f t="shared" si="670"/>
        <v>215.28686361715285</v>
      </c>
      <c r="DD238" s="217">
        <f t="shared" si="671"/>
        <v>9.9999999999999982</v>
      </c>
      <c r="DE238" s="173">
        <f t="shared" si="672"/>
        <v>7.6433121019108263</v>
      </c>
      <c r="DF238" s="173">
        <f t="shared" si="673"/>
        <v>4.1649244760361679</v>
      </c>
      <c r="DG238" s="173"/>
      <c r="DH238" s="173">
        <f t="shared" si="674"/>
        <v>7.6433121019108281</v>
      </c>
      <c r="DI238" s="545">
        <f t="shared" si="675"/>
        <v>57.566666666666677</v>
      </c>
      <c r="DJ238" s="528">
        <f t="shared" si="676"/>
        <v>4.2204568023833167</v>
      </c>
      <c r="DL238" s="173">
        <f t="shared" si="677"/>
        <v>3.990464825532174</v>
      </c>
      <c r="DM238" s="173">
        <f t="shared" si="678"/>
        <v>10</v>
      </c>
      <c r="DN238" s="173">
        <f t="shared" si="679"/>
        <v>1.0328952380952381</v>
      </c>
      <c r="DP238" s="545">
        <f t="shared" si="680"/>
        <v>2200</v>
      </c>
      <c r="DQ238" s="460">
        <f t="shared" si="681"/>
        <v>57.566666666666677</v>
      </c>
      <c r="DS238">
        <f t="shared" si="682"/>
        <v>2200</v>
      </c>
      <c r="DT238">
        <f t="shared" si="683"/>
        <v>57.566666666666677</v>
      </c>
      <c r="DV238" s="5">
        <f t="shared" si="684"/>
        <v>17.371163867979153</v>
      </c>
      <c r="DW238" s="5">
        <f t="shared" si="685"/>
        <v>1.4117647058823528</v>
      </c>
      <c r="DX238" s="5">
        <f t="shared" si="686"/>
        <v>15.959399162096799</v>
      </c>
      <c r="DY238" s="173">
        <f t="shared" si="687"/>
        <v>8.1270588235294122E-2</v>
      </c>
      <c r="EA238" s="5">
        <f t="shared" si="713"/>
        <v>20.705882352941178</v>
      </c>
      <c r="EB238" s="5">
        <f t="shared" si="714"/>
        <v>0.97058823529411753</v>
      </c>
      <c r="EC238" s="5">
        <f t="shared" si="715"/>
        <v>2.1365524233233035</v>
      </c>
      <c r="ED238" s="5"/>
      <c r="EE238" s="173">
        <f t="shared" si="716"/>
        <v>1.6459099634679708</v>
      </c>
      <c r="EF238" s="173">
        <f t="shared" si="717"/>
        <v>5.533923899502974</v>
      </c>
      <c r="EG238" s="173">
        <f t="shared" si="718"/>
        <v>0.13628643956423014</v>
      </c>
      <c r="EH238" s="173"/>
      <c r="EI238" s="528">
        <f t="shared" si="719"/>
        <v>5.4180392156862739E-2</v>
      </c>
      <c r="EJ238" s="528">
        <f t="shared" si="720"/>
        <v>1.159392666666667</v>
      </c>
      <c r="EK238" s="528">
        <f t="shared" si="721"/>
        <v>7.1958333333333345E-3</v>
      </c>
      <c r="EL238" s="528">
        <f t="shared" si="722"/>
        <v>5.8375420766666679E-2</v>
      </c>
      <c r="EM238">
        <f t="shared" si="723"/>
        <v>3.8249999999999999E-2</v>
      </c>
      <c r="EN238" s="460">
        <f t="shared" si="724"/>
        <v>45.445833333333333</v>
      </c>
      <c r="EP238" s="460">
        <f t="shared" si="725"/>
        <v>1317.3943129235295</v>
      </c>
      <c r="EQ238" s="173">
        <f t="shared" si="726"/>
        <v>1.54</v>
      </c>
      <c r="ER238" s="173">
        <f t="shared" si="688"/>
        <v>2.4406249999999997E-2</v>
      </c>
      <c r="ES238" s="528"/>
      <c r="EU238" s="460">
        <f t="shared" si="727"/>
        <v>1564.40625</v>
      </c>
      <c r="EV238" s="528">
        <f t="shared" si="728"/>
        <v>8.1270588235294094E-2</v>
      </c>
      <c r="EW238" s="528">
        <f t="shared" si="729"/>
        <v>0.91872941176470613</v>
      </c>
      <c r="EX238" s="528">
        <f t="shared" si="730"/>
        <v>9.2869968045472784E-5</v>
      </c>
      <c r="EY238" s="528">
        <f t="shared" si="731"/>
        <v>0.39755544997588593</v>
      </c>
      <c r="EZ238" s="528"/>
      <c r="FA238" s="625">
        <f t="shared" si="732"/>
        <v>5.7566666666666686E-3</v>
      </c>
      <c r="FB238" s="460">
        <f t="shared" si="733"/>
        <v>1403.4049866105984</v>
      </c>
      <c r="FC238" s="173">
        <f t="shared" si="734"/>
        <v>4.2852055495341279</v>
      </c>
      <c r="FD238" s="5">
        <f t="shared" si="735"/>
        <v>33.44</v>
      </c>
      <c r="FE238" s="173">
        <f t="shared" si="736"/>
        <v>0.88641001454829593</v>
      </c>
      <c r="FF238" s="5">
        <f t="shared" si="737"/>
        <v>88.641001454829592</v>
      </c>
      <c r="FG238">
        <f t="shared" si="738"/>
        <v>22.000000000000004</v>
      </c>
      <c r="FI238" s="562">
        <f t="shared" si="689"/>
        <v>-50</v>
      </c>
    </row>
    <row r="239" spans="5:165">
      <c r="E239" s="170">
        <v>23</v>
      </c>
      <c r="F239" s="217">
        <f t="shared" si="690"/>
        <v>2.3000000000000003</v>
      </c>
      <c r="G239" s="217">
        <f t="shared" si="617"/>
        <v>5.7500000000000002E-2</v>
      </c>
      <c r="H239" s="217">
        <f t="shared" si="618"/>
        <v>34.500000000000007</v>
      </c>
      <c r="I239" s="217">
        <f t="shared" si="619"/>
        <v>0.46</v>
      </c>
      <c r="J239" s="541">
        <f t="shared" si="620"/>
        <v>84.727420162931693</v>
      </c>
      <c r="K239" s="443">
        <f t="shared" si="621"/>
        <v>15.846617922801491</v>
      </c>
      <c r="L239" s="172">
        <f t="shared" si="622"/>
        <v>100.57403808573318</v>
      </c>
      <c r="M239" s="443"/>
      <c r="N239" s="217">
        <f t="shared" si="623"/>
        <v>0.15756171497552104</v>
      </c>
      <c r="O239" s="172">
        <f t="shared" si="624"/>
        <v>329.35355985994391</v>
      </c>
      <c r="P239" s="172">
        <f t="shared" si="625"/>
        <v>4.4499325421076863</v>
      </c>
      <c r="Q239" s="217">
        <f t="shared" si="626"/>
        <v>21.956903990662926</v>
      </c>
      <c r="R239" s="217">
        <f t="shared" si="627"/>
        <v>41.169194982492989</v>
      </c>
      <c r="S239" s="217">
        <f t="shared" si="628"/>
        <v>15</v>
      </c>
      <c r="T239" s="217">
        <f t="shared" si="629"/>
        <v>5.2375325796798702</v>
      </c>
      <c r="U239" s="217">
        <f t="shared" si="630"/>
        <v>0.74179516897005138</v>
      </c>
      <c r="V239" s="217">
        <f t="shared" si="631"/>
        <v>3.9661706530908303</v>
      </c>
      <c r="W239" s="197">
        <f t="shared" si="632"/>
        <v>111.24831355269215</v>
      </c>
      <c r="X239" s="443">
        <f t="shared" si="691"/>
        <v>203.75040011588641</v>
      </c>
      <c r="Z239" s="217">
        <f t="shared" si="633"/>
        <v>10</v>
      </c>
      <c r="AA239" s="173">
        <f t="shared" si="634"/>
        <v>7.572593760043496</v>
      </c>
      <c r="AB239" s="173">
        <f t="shared" si="635"/>
        <v>4.1567678537392041</v>
      </c>
      <c r="AC239" s="173"/>
      <c r="AD239" s="173">
        <f t="shared" si="636"/>
        <v>7.572593760043496</v>
      </c>
      <c r="AE239" s="545">
        <f t="shared" si="637"/>
        <v>60.745368704072391</v>
      </c>
      <c r="AF239" s="528">
        <f t="shared" si="638"/>
        <v>4.2121914251223949</v>
      </c>
      <c r="AH239" s="173">
        <f t="shared" si="639"/>
        <v>4.0801493903555848</v>
      </c>
      <c r="AI239" s="173">
        <f t="shared" si="640"/>
        <v>10</v>
      </c>
      <c r="AJ239" s="173">
        <f t="shared" si="641"/>
        <v>1.03471163925947</v>
      </c>
      <c r="AL239" s="545">
        <f t="shared" si="642"/>
        <v>2300.0000000000005</v>
      </c>
      <c r="AM239" s="460">
        <f t="shared" si="643"/>
        <v>60.745368704072391</v>
      </c>
      <c r="AO239">
        <f t="shared" si="644"/>
        <v>2300.0000000000005</v>
      </c>
      <c r="AP239">
        <f t="shared" si="645"/>
        <v>60.745368704072391</v>
      </c>
      <c r="AR239" s="5">
        <f t="shared" si="616"/>
        <v>16.462160347920641</v>
      </c>
      <c r="AS239" s="5">
        <f t="shared" si="604"/>
        <v>1.4163065483315647</v>
      </c>
      <c r="AT239" s="5">
        <f t="shared" si="605"/>
        <v>15.045853799589075</v>
      </c>
      <c r="AU239" s="173">
        <f t="shared" si="606"/>
        <v>8.603406347639303E-2</v>
      </c>
      <c r="BA239" s="173">
        <f t="shared" si="692"/>
        <v>1.693458625381727</v>
      </c>
      <c r="BB239" s="173">
        <f t="shared" si="693"/>
        <v>5.5195589694697134</v>
      </c>
      <c r="BC239" s="173">
        <f t="shared" si="694"/>
        <v>0.13593266795399922</v>
      </c>
      <c r="BD239" s="173"/>
      <c r="BE239" s="528">
        <f t="shared" si="695"/>
        <v>5.7356042317595363E-2</v>
      </c>
      <c r="BF239" s="528">
        <f t="shared" si="646"/>
        <v>1.1455138172953652</v>
      </c>
      <c r="BG239" s="528">
        <f t="shared" si="647"/>
        <v>0.12866995942855358</v>
      </c>
      <c r="BH239" s="528">
        <f t="shared" si="696"/>
        <v>6.1444773487145415E-2</v>
      </c>
      <c r="BI239">
        <f t="shared" si="697"/>
        <v>3.8127339073319264E-2</v>
      </c>
      <c r="BJ239" s="460">
        <f t="shared" si="698"/>
        <v>166.79729850187286</v>
      </c>
      <c r="BK239">
        <f t="shared" si="648"/>
        <v>1.2974825921572553</v>
      </c>
      <c r="BL239" s="460">
        <f t="shared" si="699"/>
        <v>1431.111931601979</v>
      </c>
      <c r="BM239" s="173">
        <f t="shared" si="649"/>
        <v>1.4288750000000001</v>
      </c>
      <c r="BN239" s="173">
        <f t="shared" si="650"/>
        <v>2.5515625E-2</v>
      </c>
      <c r="BQ239" s="460">
        <f t="shared" si="700"/>
        <v>1454.390625</v>
      </c>
      <c r="BR239" s="528">
        <f t="shared" si="701"/>
        <v>8.6034063476393044E-2</v>
      </c>
      <c r="BS239" s="528">
        <f t="shared" si="702"/>
        <v>0.9139659365236068</v>
      </c>
      <c r="BT239" s="528">
        <f t="shared" si="703"/>
        <v>9.2388451085461041E-5</v>
      </c>
      <c r="BU239" s="528">
        <f t="shared" si="704"/>
        <v>0.45472929685315266</v>
      </c>
      <c r="BV239" s="528"/>
      <c r="BW239" s="625">
        <f t="shared" si="705"/>
        <v>6.0745368704072395E-3</v>
      </c>
      <c r="BX239" s="460">
        <f t="shared" si="706"/>
        <v>1460.8962221746451</v>
      </c>
      <c r="BY239" s="173">
        <f t="shared" si="707"/>
        <v>4.3463987787766243</v>
      </c>
      <c r="BZ239" s="5">
        <f t="shared" si="708"/>
        <v>34.960000000000008</v>
      </c>
      <c r="CA239" s="173">
        <f t="shared" si="709"/>
        <v>0.88942261530396294</v>
      </c>
      <c r="CB239" s="5">
        <f t="shared" si="710"/>
        <v>88.942261530396294</v>
      </c>
      <c r="CC239">
        <f t="shared" si="711"/>
        <v>23.000000000000004</v>
      </c>
      <c r="CE239" s="562">
        <f t="shared" si="651"/>
        <v>-50</v>
      </c>
      <c r="CG239" s="173">
        <f t="shared" si="652"/>
        <v>0.47061095043216622</v>
      </c>
      <c r="CH239" s="173">
        <f t="shared" si="653"/>
        <v>5.5163516340348065E-2</v>
      </c>
      <c r="CI239" s="170">
        <v>23</v>
      </c>
      <c r="CJ239" s="217">
        <f t="shared" si="712"/>
        <v>2.3000000000000003</v>
      </c>
      <c r="CK239" s="217">
        <f t="shared" si="654"/>
        <v>5.7500000000000002E-2</v>
      </c>
      <c r="CL239" s="217">
        <f t="shared" si="655"/>
        <v>34.500000000000007</v>
      </c>
      <c r="CM239" s="217">
        <f t="shared" si="656"/>
        <v>0.46</v>
      </c>
      <c r="CN239" s="541">
        <f t="shared" si="657"/>
        <v>85</v>
      </c>
      <c r="CO239" s="443">
        <f t="shared" si="658"/>
        <v>15.7</v>
      </c>
      <c r="CP239" s="443">
        <f t="shared" si="659"/>
        <v>100.7</v>
      </c>
      <c r="CQ239" s="443"/>
      <c r="CR239" s="217">
        <f t="shared" si="660"/>
        <v>0.15338645418326693</v>
      </c>
      <c r="CS239" s="172">
        <f t="shared" si="661"/>
        <v>321.65744915076539</v>
      </c>
      <c r="CT239" s="172">
        <f t="shared" si="662"/>
        <v>4.3459495351925632</v>
      </c>
      <c r="CU239" s="217">
        <f t="shared" si="663"/>
        <v>21.443829943384358</v>
      </c>
      <c r="CV239" s="217">
        <f t="shared" si="664"/>
        <v>40.207181143845673</v>
      </c>
      <c r="CW239" s="217">
        <f t="shared" si="665"/>
        <v>15</v>
      </c>
      <c r="CX239" s="217">
        <f t="shared" si="666"/>
        <v>5.3628479755538594</v>
      </c>
      <c r="CY239" s="217">
        <f t="shared" si="667"/>
        <v>0.75710794948995652</v>
      </c>
      <c r="CZ239" s="217">
        <f t="shared" si="668"/>
        <v>4.0989920832258795</v>
      </c>
      <c r="DA239" s="197">
        <f t="shared" si="669"/>
        <v>110.43528632903013</v>
      </c>
      <c r="DB239" s="443">
        <f t="shared" si="670"/>
        <v>205.92656519901573</v>
      </c>
      <c r="DD239" s="217">
        <f t="shared" si="671"/>
        <v>9.9999999999999982</v>
      </c>
      <c r="DE239" s="173">
        <f t="shared" si="672"/>
        <v>7.6433121019108263</v>
      </c>
      <c r="DF239" s="173">
        <f t="shared" si="673"/>
        <v>4.1649244760361679</v>
      </c>
      <c r="DG239" s="173"/>
      <c r="DH239" s="173">
        <f t="shared" si="674"/>
        <v>7.6433121019108281</v>
      </c>
      <c r="DI239" s="545">
        <f t="shared" si="675"/>
        <v>60.183333333333344</v>
      </c>
      <c r="DJ239" s="528">
        <f t="shared" si="676"/>
        <v>4.2204568023833167</v>
      </c>
      <c r="DL239" s="173">
        <f t="shared" si="677"/>
        <v>4.0801493903555848</v>
      </c>
      <c r="DM239" s="173">
        <f t="shared" si="678"/>
        <v>10</v>
      </c>
      <c r="DN239" s="173">
        <f t="shared" si="679"/>
        <v>1.0343904761904761</v>
      </c>
      <c r="DP239" s="545">
        <f t="shared" si="680"/>
        <v>2300.0000000000005</v>
      </c>
      <c r="DQ239" s="460">
        <f t="shared" si="681"/>
        <v>60.183333333333344</v>
      </c>
      <c r="DS239">
        <f t="shared" si="682"/>
        <v>2300.0000000000005</v>
      </c>
      <c r="DT239">
        <f t="shared" si="683"/>
        <v>60.183333333333344</v>
      </c>
      <c r="DV239" s="5">
        <f t="shared" si="684"/>
        <v>16.61589587371919</v>
      </c>
      <c r="DW239" s="5">
        <f t="shared" si="685"/>
        <v>1.4117647058823528</v>
      </c>
      <c r="DX239" s="5">
        <f t="shared" si="686"/>
        <v>15.204131167836836</v>
      </c>
      <c r="DY239" s="173">
        <f t="shared" si="687"/>
        <v>8.4964705882352942E-2</v>
      </c>
      <c r="EA239" s="5">
        <f t="shared" si="713"/>
        <v>21.647058823529413</v>
      </c>
      <c r="EB239" s="5">
        <f t="shared" si="714"/>
        <v>1.0147058823529411</v>
      </c>
      <c r="EC239" s="5">
        <f t="shared" si="715"/>
        <v>2.1279615630441007</v>
      </c>
      <c r="ED239" s="5"/>
      <c r="EE239" s="173">
        <f t="shared" si="716"/>
        <v>1.6829013229375922</v>
      </c>
      <c r="EF239" s="173">
        <f t="shared" si="717"/>
        <v>5.5227870202089306</v>
      </c>
      <c r="EG239" s="173">
        <f t="shared" si="718"/>
        <v>0.13601216661534152</v>
      </c>
      <c r="EH239" s="173"/>
      <c r="EI239" s="528">
        <f t="shared" si="719"/>
        <v>5.6643137254901957E-2</v>
      </c>
      <c r="EJ239" s="528">
        <f t="shared" si="720"/>
        <v>1.2120923333333335</v>
      </c>
      <c r="EK239" s="528">
        <f t="shared" si="721"/>
        <v>7.5229166666666682E-3</v>
      </c>
      <c r="EL239" s="528">
        <f t="shared" si="722"/>
        <v>6.1028848983333349E-2</v>
      </c>
      <c r="EM239">
        <f t="shared" si="723"/>
        <v>3.8249999999999999E-2</v>
      </c>
      <c r="EN239" s="460">
        <f t="shared" si="724"/>
        <v>45.772916666666667</v>
      </c>
      <c r="EP239" s="460">
        <f t="shared" si="725"/>
        <v>1375.5372362382352</v>
      </c>
      <c r="EQ239" s="173">
        <f t="shared" si="726"/>
        <v>1.61</v>
      </c>
      <c r="ER239" s="173">
        <f t="shared" si="688"/>
        <v>2.5515625E-2</v>
      </c>
      <c r="ES239" s="528"/>
      <c r="EU239" s="460">
        <f t="shared" si="727"/>
        <v>1635.515625</v>
      </c>
      <c r="EV239" s="528">
        <f t="shared" si="728"/>
        <v>8.4964705882352928E-2</v>
      </c>
      <c r="EW239" s="528">
        <f t="shared" si="729"/>
        <v>0.91503529411764706</v>
      </c>
      <c r="EX239" s="528">
        <f t="shared" si="730"/>
        <v>9.2496547336997113E-5</v>
      </c>
      <c r="EY239" s="528">
        <f t="shared" si="731"/>
        <v>0.44428392447072984</v>
      </c>
      <c r="EZ239" s="528"/>
      <c r="FA239" s="625">
        <f t="shared" si="732"/>
        <v>6.0183333333333347E-3</v>
      </c>
      <c r="FB239" s="460">
        <f t="shared" si="733"/>
        <v>1450.3947543514</v>
      </c>
      <c r="FC239" s="173">
        <f t="shared" si="734"/>
        <v>4.461447615589635</v>
      </c>
      <c r="FD239" s="5">
        <f t="shared" si="735"/>
        <v>34.960000000000008</v>
      </c>
      <c r="FE239" s="173">
        <f t="shared" si="736"/>
        <v>0.88682689537191661</v>
      </c>
      <c r="FF239" s="5">
        <f t="shared" si="737"/>
        <v>88.682689537191663</v>
      </c>
      <c r="FG239">
        <f t="shared" si="738"/>
        <v>23.000000000000004</v>
      </c>
      <c r="FI239" s="562">
        <f t="shared" si="689"/>
        <v>-50</v>
      </c>
    </row>
    <row r="240" spans="5:165">
      <c r="E240" s="170">
        <v>24</v>
      </c>
      <c r="F240" s="217">
        <f t="shared" si="690"/>
        <v>2.4</v>
      </c>
      <c r="G240" s="217">
        <f t="shared" si="617"/>
        <v>0.06</v>
      </c>
      <c r="H240" s="217">
        <f t="shared" si="618"/>
        <v>36</v>
      </c>
      <c r="I240" s="217">
        <f t="shared" si="619"/>
        <v>0.48</v>
      </c>
      <c r="J240" s="541">
        <f t="shared" si="620"/>
        <v>84.727420162931693</v>
      </c>
      <c r="K240" s="443">
        <f t="shared" si="621"/>
        <v>15.846617922801491</v>
      </c>
      <c r="L240" s="172">
        <f t="shared" si="622"/>
        <v>100.57403808573318</v>
      </c>
      <c r="M240" s="443"/>
      <c r="N240" s="217">
        <f t="shared" si="623"/>
        <v>0.15756171497552104</v>
      </c>
      <c r="O240" s="172">
        <f t="shared" si="624"/>
        <v>329.35355985994391</v>
      </c>
      <c r="P240" s="172">
        <f t="shared" si="625"/>
        <v>4.4499325421076863</v>
      </c>
      <c r="Q240" s="217">
        <f t="shared" si="626"/>
        <v>21.956903990662926</v>
      </c>
      <c r="R240" s="217">
        <f t="shared" si="627"/>
        <v>41.169194982492989</v>
      </c>
      <c r="S240" s="217">
        <f t="shared" si="628"/>
        <v>15</v>
      </c>
      <c r="T240" s="217">
        <f t="shared" si="629"/>
        <v>5.465251387492037</v>
      </c>
      <c r="U240" s="217">
        <f t="shared" si="630"/>
        <v>0.77404713283831428</v>
      </c>
      <c r="V240" s="217">
        <f t="shared" si="631"/>
        <v>4.1386128553991259</v>
      </c>
      <c r="W240" s="197">
        <f t="shared" si="632"/>
        <v>111.24831355269215</v>
      </c>
      <c r="X240" s="443">
        <f t="shared" si="691"/>
        <v>195.59290121006936</v>
      </c>
      <c r="Z240" s="217">
        <f t="shared" si="633"/>
        <v>10</v>
      </c>
      <c r="AA240" s="173">
        <f t="shared" si="634"/>
        <v>7.572593760043496</v>
      </c>
      <c r="AB240" s="173">
        <f t="shared" si="635"/>
        <v>4.1567678537392041</v>
      </c>
      <c r="AC240" s="173"/>
      <c r="AD240" s="173">
        <f t="shared" si="636"/>
        <v>7.572593760043496</v>
      </c>
      <c r="AE240" s="545">
        <f t="shared" si="637"/>
        <v>63.386471691205962</v>
      </c>
      <c r="AF240" s="528">
        <f t="shared" si="638"/>
        <v>4.2121914251223949</v>
      </c>
      <c r="AH240" s="173">
        <f t="shared" si="639"/>
        <v>4.1679045780138217</v>
      </c>
      <c r="AI240" s="173">
        <f t="shared" si="640"/>
        <v>10</v>
      </c>
      <c r="AJ240" s="173">
        <f t="shared" si="641"/>
        <v>1.0362208409664033</v>
      </c>
      <c r="AL240" s="545">
        <f t="shared" si="642"/>
        <v>2400</v>
      </c>
      <c r="AM240" s="460">
        <f t="shared" si="643"/>
        <v>63.386471691205962</v>
      </c>
      <c r="AO240">
        <f t="shared" si="644"/>
        <v>2400</v>
      </c>
      <c r="AP240">
        <f t="shared" si="645"/>
        <v>63.386471691205962</v>
      </c>
      <c r="AR240" s="5">
        <f t="shared" si="616"/>
        <v>15.776237000090617</v>
      </c>
      <c r="AS240" s="5">
        <f t="shared" si="604"/>
        <v>1.4163065483315647</v>
      </c>
      <c r="AT240" s="5">
        <f t="shared" si="605"/>
        <v>14.359930451759052</v>
      </c>
      <c r="AU240" s="173">
        <f t="shared" si="606"/>
        <v>8.9774674931888357E-2</v>
      </c>
      <c r="BA240" s="173">
        <f t="shared" si="692"/>
        <v>1.7298812573111133</v>
      </c>
      <c r="BB240" s="173">
        <f t="shared" si="693"/>
        <v>5.5082523697573125</v>
      </c>
      <c r="BC240" s="173">
        <f t="shared" si="694"/>
        <v>0.13565421522382717</v>
      </c>
      <c r="BD240" s="173"/>
      <c r="BE240" s="528">
        <f t="shared" si="695"/>
        <v>5.9849783287925569E-2</v>
      </c>
      <c r="BF240" s="528">
        <f t="shared" si="646"/>
        <v>1.1953187658734241</v>
      </c>
      <c r="BG240" s="528">
        <f t="shared" si="647"/>
        <v>0.13426430549066456</v>
      </c>
      <c r="BH240" s="528">
        <f t="shared" si="696"/>
        <v>6.4116285377890853E-2</v>
      </c>
      <c r="BI240">
        <f t="shared" si="697"/>
        <v>3.8127339073319264E-2</v>
      </c>
      <c r="BJ240" s="460">
        <f t="shared" si="698"/>
        <v>172.39164456398382</v>
      </c>
      <c r="BK240">
        <f t="shared" si="648"/>
        <v>1.3547086509840711</v>
      </c>
      <c r="BL240" s="460">
        <f t="shared" si="699"/>
        <v>1491.6764791032244</v>
      </c>
      <c r="BM240" s="173">
        <f t="shared" si="649"/>
        <v>1.4909999999999999</v>
      </c>
      <c r="BN240" s="173">
        <f t="shared" si="650"/>
        <v>2.6624999999999999E-2</v>
      </c>
      <c r="BQ240" s="460">
        <f t="shared" si="700"/>
        <v>1517.6249999999998</v>
      </c>
      <c r="BR240" s="528">
        <f t="shared" si="701"/>
        <v>8.9774674931888343E-2</v>
      </c>
      <c r="BS240" s="528">
        <f t="shared" si="702"/>
        <v>0.91022532506811149</v>
      </c>
      <c r="BT240" s="528">
        <f t="shared" si="703"/>
        <v>9.2010330539962136E-5</v>
      </c>
      <c r="BU240" s="528">
        <f t="shared" si="704"/>
        <v>0.50577976422528959</v>
      </c>
      <c r="BV240" s="528"/>
      <c r="BW240" s="625">
        <f t="shared" si="705"/>
        <v>6.3386471691205962E-3</v>
      </c>
      <c r="BX240" s="460">
        <f t="shared" si="706"/>
        <v>1512.2104217249498</v>
      </c>
      <c r="BY240" s="173">
        <f t="shared" si="707"/>
        <v>4.521511900828175</v>
      </c>
      <c r="BZ240" s="5">
        <f t="shared" si="708"/>
        <v>36.479999999999997</v>
      </c>
      <c r="CA240" s="173">
        <f t="shared" si="709"/>
        <v>0.88972328845422777</v>
      </c>
      <c r="CB240" s="5">
        <f t="shared" si="710"/>
        <v>88.97232884542278</v>
      </c>
      <c r="CC240">
        <f t="shared" si="711"/>
        <v>24</v>
      </c>
      <c r="CE240" s="562">
        <f t="shared" si="651"/>
        <v>-50</v>
      </c>
      <c r="CG240" s="173">
        <f t="shared" si="652"/>
        <v>0.4910722961031298</v>
      </c>
      <c r="CH240" s="173">
        <f t="shared" si="653"/>
        <v>5.756193009427623E-2</v>
      </c>
      <c r="CI240" s="170">
        <v>24</v>
      </c>
      <c r="CJ240" s="217">
        <f t="shared" si="712"/>
        <v>2.4</v>
      </c>
      <c r="CK240" s="217">
        <f t="shared" si="654"/>
        <v>0.06</v>
      </c>
      <c r="CL240" s="217">
        <f t="shared" si="655"/>
        <v>36</v>
      </c>
      <c r="CM240" s="217">
        <f t="shared" si="656"/>
        <v>0.48</v>
      </c>
      <c r="CN240" s="541">
        <f t="shared" si="657"/>
        <v>85</v>
      </c>
      <c r="CO240" s="443">
        <f t="shared" si="658"/>
        <v>15.7</v>
      </c>
      <c r="CP240" s="443">
        <f t="shared" si="659"/>
        <v>100.7</v>
      </c>
      <c r="CQ240" s="443"/>
      <c r="CR240" s="217">
        <f t="shared" si="660"/>
        <v>0.15338645418326693</v>
      </c>
      <c r="CS240" s="172">
        <f t="shared" si="661"/>
        <v>321.65744915076539</v>
      </c>
      <c r="CT240" s="172">
        <f t="shared" si="662"/>
        <v>4.3459495351925632</v>
      </c>
      <c r="CU240" s="217">
        <f t="shared" si="663"/>
        <v>21.443829943384358</v>
      </c>
      <c r="CV240" s="217">
        <f t="shared" si="664"/>
        <v>40.207181143845673</v>
      </c>
      <c r="CW240" s="217">
        <f t="shared" si="665"/>
        <v>15</v>
      </c>
      <c r="CX240" s="217">
        <f t="shared" si="666"/>
        <v>5.5960152788388076</v>
      </c>
      <c r="CY240" s="217">
        <f t="shared" si="667"/>
        <v>0.79002568642430226</v>
      </c>
      <c r="CZ240" s="217">
        <f t="shared" si="668"/>
        <v>4.2772091303226549</v>
      </c>
      <c r="DA240" s="197">
        <f t="shared" si="669"/>
        <v>110.43528632903013</v>
      </c>
      <c r="DB240" s="443">
        <f t="shared" si="670"/>
        <v>197.34629164905681</v>
      </c>
      <c r="DD240" s="217">
        <f t="shared" si="671"/>
        <v>9.9999999999999982</v>
      </c>
      <c r="DE240" s="173">
        <f t="shared" si="672"/>
        <v>7.6433121019108263</v>
      </c>
      <c r="DF240" s="173">
        <f t="shared" si="673"/>
        <v>4.1649244760361679</v>
      </c>
      <c r="DG240" s="173"/>
      <c r="DH240" s="173">
        <f t="shared" si="674"/>
        <v>7.6433121019108281</v>
      </c>
      <c r="DI240" s="545">
        <f t="shared" si="675"/>
        <v>62.8</v>
      </c>
      <c r="DJ240" s="528">
        <f t="shared" si="676"/>
        <v>4.2204568023833167</v>
      </c>
      <c r="DL240" s="173">
        <f t="shared" si="677"/>
        <v>4.1679045780138217</v>
      </c>
      <c r="DM240" s="173">
        <f t="shared" si="678"/>
        <v>10</v>
      </c>
      <c r="DN240" s="173">
        <f t="shared" si="679"/>
        <v>1.0358857142857143</v>
      </c>
      <c r="DP240" s="545">
        <f t="shared" si="680"/>
        <v>2400</v>
      </c>
      <c r="DQ240" s="460">
        <f t="shared" si="681"/>
        <v>62.8</v>
      </c>
      <c r="DS240">
        <f t="shared" si="682"/>
        <v>2400</v>
      </c>
      <c r="DT240">
        <f t="shared" si="683"/>
        <v>62.8</v>
      </c>
      <c r="DV240" s="5">
        <f t="shared" si="684"/>
        <v>15.923566878980891</v>
      </c>
      <c r="DW240" s="5">
        <f t="shared" si="685"/>
        <v>1.4117647058823528</v>
      </c>
      <c r="DX240" s="5">
        <f t="shared" si="686"/>
        <v>14.511802173098538</v>
      </c>
      <c r="DY240" s="173">
        <f t="shared" si="687"/>
        <v>8.8658823529411762E-2</v>
      </c>
      <c r="EA240" s="5">
        <f t="shared" si="713"/>
        <v>22.588235294117645</v>
      </c>
      <c r="EB240" s="5">
        <f t="shared" si="714"/>
        <v>1.0588235294117645</v>
      </c>
      <c r="EC240" s="5">
        <f t="shared" si="715"/>
        <v>2.1193707027648978</v>
      </c>
      <c r="ED240" s="5"/>
      <c r="EE240" s="173">
        <f t="shared" si="716"/>
        <v>1.7190968901277959</v>
      </c>
      <c r="EF240" s="173">
        <f t="shared" si="717"/>
        <v>5.5116276376118041</v>
      </c>
      <c r="EG240" s="173">
        <f t="shared" si="718"/>
        <v>0.13573733946745936</v>
      </c>
      <c r="EH240" s="173"/>
      <c r="EI240" s="528">
        <f t="shared" si="719"/>
        <v>5.9105882352941182E-2</v>
      </c>
      <c r="EJ240" s="528">
        <f t="shared" si="720"/>
        <v>1.2647919999999999</v>
      </c>
      <c r="EK240" s="528">
        <f t="shared" si="721"/>
        <v>7.8499999999999993E-3</v>
      </c>
      <c r="EL240" s="528">
        <f t="shared" si="722"/>
        <v>6.3682277200000012E-2</v>
      </c>
      <c r="EM240">
        <f t="shared" si="723"/>
        <v>3.8249999999999999E-2</v>
      </c>
      <c r="EN240" s="460">
        <f t="shared" si="724"/>
        <v>46.1</v>
      </c>
      <c r="EP240" s="460">
        <f t="shared" si="725"/>
        <v>1433.6801595529409</v>
      </c>
      <c r="EQ240" s="173">
        <f t="shared" si="726"/>
        <v>1.68</v>
      </c>
      <c r="ER240" s="173">
        <f t="shared" si="688"/>
        <v>2.6624999999999999E-2</v>
      </c>
      <c r="ES240" s="528"/>
      <c r="EU240" s="460">
        <f t="shared" si="727"/>
        <v>1706.6249999999998</v>
      </c>
      <c r="EV240" s="528">
        <f t="shared" si="728"/>
        <v>8.8658823529411762E-2</v>
      </c>
      <c r="EW240" s="528">
        <f t="shared" si="729"/>
        <v>0.91134117647058821</v>
      </c>
      <c r="EX240" s="528">
        <f t="shared" si="730"/>
        <v>9.212312662852151E-5</v>
      </c>
      <c r="EY240" s="528">
        <f t="shared" si="731"/>
        <v>0.4941617356148893</v>
      </c>
      <c r="EZ240" s="528"/>
      <c r="FA240" s="625">
        <f t="shared" si="732"/>
        <v>6.28E-3</v>
      </c>
      <c r="FB240" s="460">
        <f t="shared" si="733"/>
        <v>1500.5338587415179</v>
      </c>
      <c r="FC240" s="173">
        <f t="shared" si="734"/>
        <v>4.640839018294459</v>
      </c>
      <c r="FD240" s="5">
        <f t="shared" si="735"/>
        <v>36.479999999999997</v>
      </c>
      <c r="FE240" s="173">
        <f t="shared" si="736"/>
        <v>0.88714143171471349</v>
      </c>
      <c r="FF240" s="5">
        <f t="shared" si="737"/>
        <v>88.714143171471349</v>
      </c>
      <c r="FG240">
        <f t="shared" si="738"/>
        <v>24</v>
      </c>
      <c r="FI240" s="562">
        <f t="shared" si="689"/>
        <v>-50</v>
      </c>
    </row>
    <row r="241" spans="5:165">
      <c r="E241" s="170">
        <v>25</v>
      </c>
      <c r="F241" s="217">
        <f t="shared" si="690"/>
        <v>2.5</v>
      </c>
      <c r="G241" s="217">
        <f t="shared" si="617"/>
        <v>6.25E-2</v>
      </c>
      <c r="H241" s="217">
        <f t="shared" si="618"/>
        <v>37.5</v>
      </c>
      <c r="I241" s="217">
        <f t="shared" si="619"/>
        <v>0.5</v>
      </c>
      <c r="J241" s="541">
        <f t="shared" si="620"/>
        <v>84.727420162931693</v>
      </c>
      <c r="K241" s="443">
        <f t="shared" si="621"/>
        <v>15.846617922801491</v>
      </c>
      <c r="L241" s="172">
        <f t="shared" si="622"/>
        <v>100.57403808573318</v>
      </c>
      <c r="M241" s="443"/>
      <c r="N241" s="217">
        <f t="shared" si="623"/>
        <v>0.15756171497552104</v>
      </c>
      <c r="O241" s="172">
        <f t="shared" si="624"/>
        <v>329.35355985994391</v>
      </c>
      <c r="P241" s="172">
        <f t="shared" si="625"/>
        <v>4.4499325421076863</v>
      </c>
      <c r="Q241" s="217">
        <f t="shared" si="626"/>
        <v>21.956903990662926</v>
      </c>
      <c r="R241" s="217">
        <f t="shared" si="627"/>
        <v>41.169194982492989</v>
      </c>
      <c r="S241" s="217">
        <f t="shared" si="628"/>
        <v>15</v>
      </c>
      <c r="T241" s="217">
        <f t="shared" si="629"/>
        <v>5.6929701953042056</v>
      </c>
      <c r="U241" s="217">
        <f t="shared" si="630"/>
        <v>0.80629909670657718</v>
      </c>
      <c r="V241" s="217">
        <f t="shared" si="631"/>
        <v>4.3110550577074234</v>
      </c>
      <c r="W241" s="197">
        <f t="shared" si="632"/>
        <v>111.24831355269215</v>
      </c>
      <c r="X241" s="443">
        <f t="shared" si="691"/>
        <v>188.0634561777097</v>
      </c>
      <c r="Z241" s="217">
        <f t="shared" si="633"/>
        <v>10</v>
      </c>
      <c r="AA241" s="173">
        <f t="shared" si="634"/>
        <v>7.572593760043496</v>
      </c>
      <c r="AB241" s="173">
        <f t="shared" si="635"/>
        <v>4.1567678537392041</v>
      </c>
      <c r="AC241" s="173"/>
      <c r="AD241" s="173">
        <f t="shared" si="636"/>
        <v>7.572593760043496</v>
      </c>
      <c r="AE241" s="545">
        <f t="shared" si="637"/>
        <v>66.027574678339548</v>
      </c>
      <c r="AF241" s="528">
        <f t="shared" si="638"/>
        <v>4.2121914251223949</v>
      </c>
      <c r="AH241" s="173">
        <f t="shared" si="639"/>
        <v>4.2538497969766276</v>
      </c>
      <c r="AI241" s="173">
        <f t="shared" si="640"/>
        <v>10</v>
      </c>
      <c r="AJ241" s="173">
        <f t="shared" si="641"/>
        <v>1.0377300426733369</v>
      </c>
      <c r="AL241" s="545">
        <f t="shared" si="642"/>
        <v>2500</v>
      </c>
      <c r="AM241" s="460">
        <f t="shared" si="643"/>
        <v>66.027574678339548</v>
      </c>
      <c r="AO241">
        <f t="shared" si="644"/>
        <v>2500</v>
      </c>
      <c r="AP241">
        <f t="shared" si="645"/>
        <v>66.027574678339548</v>
      </c>
      <c r="AR241" s="5">
        <f t="shared" si="616"/>
        <v>15.145187520086992</v>
      </c>
      <c r="AS241" s="5">
        <f t="shared" si="604"/>
        <v>1.4163065483315647</v>
      </c>
      <c r="AT241" s="5">
        <f t="shared" si="605"/>
        <v>13.728880971755427</v>
      </c>
      <c r="AU241" s="173">
        <f t="shared" si="606"/>
        <v>9.3515286387383711E-2</v>
      </c>
      <c r="BA241" s="173">
        <f t="shared" si="692"/>
        <v>1.76555266500685</v>
      </c>
      <c r="BB241" s="173">
        <f t="shared" si="693"/>
        <v>5.4969225135907216</v>
      </c>
      <c r="BC241" s="173">
        <f t="shared" si="694"/>
        <v>0.13537518974646956</v>
      </c>
      <c r="BD241" s="173"/>
      <c r="BE241" s="528">
        <f t="shared" si="695"/>
        <v>6.2343524258255803E-2</v>
      </c>
      <c r="BF241" s="528">
        <f t="shared" si="646"/>
        <v>1.2451237144514835</v>
      </c>
      <c r="BG241" s="528">
        <f t="shared" si="647"/>
        <v>0.1398586515527756</v>
      </c>
      <c r="BH241" s="528">
        <f t="shared" si="696"/>
        <v>6.6787797268636304E-2</v>
      </c>
      <c r="BI241">
        <f t="shared" si="697"/>
        <v>3.8127339073319264E-2</v>
      </c>
      <c r="BJ241" s="460">
        <f t="shared" si="698"/>
        <v>177.98599062609489</v>
      </c>
      <c r="BK241">
        <f t="shared" si="648"/>
        <v>1.4120035437872231</v>
      </c>
      <c r="BL241" s="460">
        <f t="shared" si="699"/>
        <v>1552.2410266044703</v>
      </c>
      <c r="BM241" s="173">
        <f t="shared" si="649"/>
        <v>1.5531249999999999</v>
      </c>
      <c r="BN241" s="173">
        <f t="shared" si="650"/>
        <v>2.7734374999999999E-2</v>
      </c>
      <c r="BQ241" s="460">
        <f t="shared" si="700"/>
        <v>1580.859375</v>
      </c>
      <c r="BR241" s="528">
        <f t="shared" si="701"/>
        <v>9.3515286387383698E-2</v>
      </c>
      <c r="BS241" s="528">
        <f t="shared" si="702"/>
        <v>0.90648471361261607</v>
      </c>
      <c r="BT241" s="528">
        <f t="shared" si="703"/>
        <v>9.163220999446319E-5</v>
      </c>
      <c r="BU241" s="528">
        <f t="shared" si="704"/>
        <v>0.56012294947968277</v>
      </c>
      <c r="BV241" s="528"/>
      <c r="BW241" s="625">
        <f t="shared" si="705"/>
        <v>6.6027574678339555E-3</v>
      </c>
      <c r="BX241" s="460">
        <f t="shared" si="706"/>
        <v>1566.817339157511</v>
      </c>
      <c r="BY241" s="173">
        <f t="shared" si="707"/>
        <v>4.6999177407619825</v>
      </c>
      <c r="BZ241" s="5">
        <f t="shared" si="708"/>
        <v>38</v>
      </c>
      <c r="CA241" s="173">
        <f t="shared" si="709"/>
        <v>0.88993145679352514</v>
      </c>
      <c r="CB241" s="5">
        <f t="shared" si="710"/>
        <v>88.993145679352509</v>
      </c>
      <c r="CC241">
        <f t="shared" si="711"/>
        <v>25</v>
      </c>
      <c r="CE241" s="562">
        <f t="shared" si="651"/>
        <v>-50</v>
      </c>
      <c r="CG241" s="173">
        <f t="shared" si="652"/>
        <v>0.51153364177409355</v>
      </c>
      <c r="CH241" s="173">
        <f t="shared" si="653"/>
        <v>5.9960343848204409E-2</v>
      </c>
      <c r="CI241" s="170">
        <v>25</v>
      </c>
      <c r="CJ241" s="217">
        <f t="shared" si="712"/>
        <v>2.5</v>
      </c>
      <c r="CK241" s="217">
        <f t="shared" si="654"/>
        <v>6.25E-2</v>
      </c>
      <c r="CL241" s="217">
        <f t="shared" si="655"/>
        <v>37.5</v>
      </c>
      <c r="CM241" s="217">
        <f t="shared" si="656"/>
        <v>0.5</v>
      </c>
      <c r="CN241" s="541">
        <f t="shared" si="657"/>
        <v>85</v>
      </c>
      <c r="CO241" s="443">
        <f t="shared" si="658"/>
        <v>15.7</v>
      </c>
      <c r="CP241" s="443">
        <f t="shared" si="659"/>
        <v>100.7</v>
      </c>
      <c r="CQ241" s="443"/>
      <c r="CR241" s="217">
        <f t="shared" si="660"/>
        <v>0.15338645418326693</v>
      </c>
      <c r="CS241" s="172">
        <f t="shared" si="661"/>
        <v>321.65744915076539</v>
      </c>
      <c r="CT241" s="172">
        <f t="shared" si="662"/>
        <v>4.3459495351925632</v>
      </c>
      <c r="CU241" s="217">
        <f t="shared" si="663"/>
        <v>21.443829943384358</v>
      </c>
      <c r="CV241" s="217">
        <f t="shared" si="664"/>
        <v>40.207181143845673</v>
      </c>
      <c r="CW241" s="217">
        <f t="shared" si="665"/>
        <v>15</v>
      </c>
      <c r="CX241" s="217">
        <f t="shared" si="666"/>
        <v>5.8291825821237584</v>
      </c>
      <c r="CY241" s="217">
        <f t="shared" si="667"/>
        <v>0.82294342335864823</v>
      </c>
      <c r="CZ241" s="217">
        <f t="shared" si="668"/>
        <v>4.455426177419433</v>
      </c>
      <c r="DA241" s="197">
        <f t="shared" si="669"/>
        <v>110.43528632903013</v>
      </c>
      <c r="DB241" s="443">
        <f t="shared" si="670"/>
        <v>189.45243998309454</v>
      </c>
      <c r="DD241" s="217">
        <f t="shared" si="671"/>
        <v>9.9999999999999982</v>
      </c>
      <c r="DE241" s="173">
        <f t="shared" si="672"/>
        <v>7.6433121019108263</v>
      </c>
      <c r="DF241" s="173">
        <f t="shared" si="673"/>
        <v>4.1649244760361679</v>
      </c>
      <c r="DG241" s="173"/>
      <c r="DH241" s="173">
        <f t="shared" si="674"/>
        <v>7.6433121019108281</v>
      </c>
      <c r="DI241" s="545">
        <f t="shared" si="675"/>
        <v>65.416666666666671</v>
      </c>
      <c r="DJ241" s="528">
        <f t="shared" si="676"/>
        <v>4.2204568023833167</v>
      </c>
      <c r="DL241" s="173">
        <f t="shared" si="677"/>
        <v>4.2538497969766276</v>
      </c>
      <c r="DM241" s="173">
        <f t="shared" si="678"/>
        <v>10</v>
      </c>
      <c r="DN241" s="173">
        <f t="shared" si="679"/>
        <v>1.0373809523809523</v>
      </c>
      <c r="DP241" s="545">
        <f t="shared" si="680"/>
        <v>2500</v>
      </c>
      <c r="DQ241" s="460">
        <f t="shared" si="681"/>
        <v>65.416666666666671</v>
      </c>
      <c r="DS241">
        <f t="shared" si="682"/>
        <v>2500</v>
      </c>
      <c r="DT241">
        <f t="shared" si="683"/>
        <v>65.416666666666671</v>
      </c>
      <c r="DV241" s="5">
        <f t="shared" si="684"/>
        <v>15.286624203821654</v>
      </c>
      <c r="DW241" s="5">
        <f t="shared" si="685"/>
        <v>1.4117647058823528</v>
      </c>
      <c r="DX241" s="5">
        <f t="shared" si="686"/>
        <v>13.874859497939301</v>
      </c>
      <c r="DY241" s="173">
        <f t="shared" si="687"/>
        <v>9.2352941176470596E-2</v>
      </c>
      <c r="EA241" s="5">
        <f t="shared" si="713"/>
        <v>23.52941176470588</v>
      </c>
      <c r="EB241" s="5">
        <f t="shared" si="714"/>
        <v>1.1029411764705883</v>
      </c>
      <c r="EC241" s="5">
        <f t="shared" si="715"/>
        <v>2.1107798424856945</v>
      </c>
      <c r="ED241" s="5"/>
      <c r="EE241" s="173">
        <f t="shared" si="716"/>
        <v>1.7545459163410402</v>
      </c>
      <c r="EF241" s="173">
        <f t="shared" si="717"/>
        <v>5.5004456147465284</v>
      </c>
      <c r="EG241" s="173">
        <f t="shared" si="718"/>
        <v>0.13546195474748315</v>
      </c>
      <c r="EH241" s="173"/>
      <c r="EI241" s="528">
        <f t="shared" si="719"/>
        <v>6.1568627450980407E-2</v>
      </c>
      <c r="EJ241" s="528">
        <f t="shared" si="720"/>
        <v>1.3174916666666669</v>
      </c>
      <c r="EK241" s="528">
        <f t="shared" si="721"/>
        <v>8.1770833333333331E-3</v>
      </c>
      <c r="EL241" s="528">
        <f t="shared" si="722"/>
        <v>6.6335705416666668E-2</v>
      </c>
      <c r="EM241">
        <f t="shared" si="723"/>
        <v>3.8249999999999999E-2</v>
      </c>
      <c r="EN241" s="460">
        <f t="shared" si="724"/>
        <v>46.427083333333336</v>
      </c>
      <c r="EP241" s="460">
        <f t="shared" si="725"/>
        <v>1491.8230828676471</v>
      </c>
      <c r="EQ241" s="173">
        <f t="shared" si="726"/>
        <v>1.75</v>
      </c>
      <c r="ER241" s="173">
        <f t="shared" si="688"/>
        <v>2.7734374999999999E-2</v>
      </c>
      <c r="ES241" s="528"/>
      <c r="EU241" s="460">
        <f t="shared" si="727"/>
        <v>1777.734375</v>
      </c>
      <c r="EV241" s="528">
        <f t="shared" si="728"/>
        <v>9.235294117647061E-2</v>
      </c>
      <c r="EW241" s="528">
        <f t="shared" si="729"/>
        <v>0.90764705882352936</v>
      </c>
      <c r="EX241" s="528">
        <f t="shared" si="730"/>
        <v>9.1749705920045866E-5</v>
      </c>
      <c r="EY241" s="528">
        <f t="shared" si="731"/>
        <v>0.54725662917055806</v>
      </c>
      <c r="EZ241" s="528"/>
      <c r="FA241" s="625">
        <f t="shared" si="732"/>
        <v>6.5416666666666679E-3</v>
      </c>
      <c r="FB241" s="460">
        <f t="shared" si="733"/>
        <v>1553.8900455431449</v>
      </c>
      <c r="FC241" s="173">
        <f t="shared" si="734"/>
        <v>4.823447503410792</v>
      </c>
      <c r="FD241" s="5">
        <f t="shared" si="735"/>
        <v>38</v>
      </c>
      <c r="FE241" s="173">
        <f t="shared" si="736"/>
        <v>0.88736433462003228</v>
      </c>
      <c r="FF241" s="5">
        <f t="shared" si="737"/>
        <v>88.736433462003234</v>
      </c>
      <c r="FG241">
        <f t="shared" si="738"/>
        <v>25</v>
      </c>
      <c r="FI241" s="562">
        <f t="shared" si="689"/>
        <v>-50</v>
      </c>
    </row>
    <row r="242" spans="5:165">
      <c r="E242" s="170">
        <v>26</v>
      </c>
      <c r="F242" s="217">
        <f t="shared" si="690"/>
        <v>2.6</v>
      </c>
      <c r="G242" s="217">
        <f t="shared" si="617"/>
        <v>6.5000000000000002E-2</v>
      </c>
      <c r="H242" s="217">
        <f t="shared" si="618"/>
        <v>39</v>
      </c>
      <c r="I242" s="217">
        <f t="shared" si="619"/>
        <v>0.52</v>
      </c>
      <c r="J242" s="541">
        <f t="shared" si="620"/>
        <v>84.727420162931693</v>
      </c>
      <c r="K242" s="443">
        <f t="shared" si="621"/>
        <v>15.846617922801491</v>
      </c>
      <c r="L242" s="172">
        <f t="shared" si="622"/>
        <v>100.57403808573318</v>
      </c>
      <c r="M242" s="443"/>
      <c r="N242" s="217">
        <f t="shared" si="623"/>
        <v>0.15756171497552104</v>
      </c>
      <c r="O242" s="172">
        <f t="shared" si="624"/>
        <v>329.35355985994391</v>
      </c>
      <c r="P242" s="172">
        <f t="shared" si="625"/>
        <v>4.4499325421076863</v>
      </c>
      <c r="Q242" s="217">
        <f t="shared" si="626"/>
        <v>21.956903990662926</v>
      </c>
      <c r="R242" s="217">
        <f t="shared" si="627"/>
        <v>41.169194982492989</v>
      </c>
      <c r="S242" s="217">
        <f t="shared" si="628"/>
        <v>15</v>
      </c>
      <c r="T242" s="217">
        <f t="shared" si="629"/>
        <v>5.9206890031163741</v>
      </c>
      <c r="U242" s="217">
        <f t="shared" si="630"/>
        <v>0.83855106057484041</v>
      </c>
      <c r="V242" s="217">
        <f t="shared" si="631"/>
        <v>4.4834972600157199</v>
      </c>
      <c r="W242" s="197">
        <f t="shared" si="632"/>
        <v>111.24831355269215</v>
      </c>
      <c r="X242" s="443">
        <f t="shared" si="691"/>
        <v>181.09222193351872</v>
      </c>
      <c r="Z242" s="217">
        <f t="shared" si="633"/>
        <v>10</v>
      </c>
      <c r="AA242" s="173">
        <f t="shared" si="634"/>
        <v>7.572593760043496</v>
      </c>
      <c r="AB242" s="173">
        <f t="shared" si="635"/>
        <v>4.1567678537392041</v>
      </c>
      <c r="AC242" s="173"/>
      <c r="AD242" s="173">
        <f t="shared" si="636"/>
        <v>7.572593760043496</v>
      </c>
      <c r="AE242" s="545">
        <f t="shared" si="637"/>
        <v>68.668677665473126</v>
      </c>
      <c r="AF242" s="528">
        <f t="shared" si="638"/>
        <v>4.2121914251223949</v>
      </c>
      <c r="AH242" s="173">
        <f t="shared" si="639"/>
        <v>4.3380926245353058</v>
      </c>
      <c r="AI242" s="173">
        <f t="shared" si="640"/>
        <v>10</v>
      </c>
      <c r="AJ242" s="173">
        <f t="shared" si="641"/>
        <v>1.0392392443802703</v>
      </c>
      <c r="AL242" s="545">
        <f t="shared" si="642"/>
        <v>2600</v>
      </c>
      <c r="AM242" s="460">
        <f t="shared" si="643"/>
        <v>68.668677665473126</v>
      </c>
      <c r="AO242">
        <f t="shared" si="644"/>
        <v>2600</v>
      </c>
      <c r="AP242">
        <f t="shared" si="645"/>
        <v>68.668677665473126</v>
      </c>
      <c r="AR242" s="5">
        <f t="shared" si="616"/>
        <v>14.562680307775954</v>
      </c>
      <c r="AS242" s="5">
        <f t="shared" si="604"/>
        <v>1.4163065483315647</v>
      </c>
      <c r="AT242" s="5">
        <f t="shared" si="605"/>
        <v>13.146373759444391</v>
      </c>
      <c r="AU242" s="173">
        <f t="shared" si="606"/>
        <v>9.7255897842879052E-2</v>
      </c>
      <c r="BA242" s="173">
        <f t="shared" si="692"/>
        <v>1.8005174982291345</v>
      </c>
      <c r="BB242" s="173">
        <f t="shared" si="693"/>
        <v>5.4855692568687919</v>
      </c>
      <c r="BC242" s="173">
        <f t="shared" si="694"/>
        <v>0.13509558797308244</v>
      </c>
      <c r="BD242" s="173"/>
      <c r="BE242" s="528">
        <f t="shared" si="695"/>
        <v>6.483726522858603E-2</v>
      </c>
      <c r="BF242" s="528">
        <f t="shared" si="646"/>
        <v>1.2949286630295429</v>
      </c>
      <c r="BG242" s="528">
        <f t="shared" si="647"/>
        <v>0.14545299761488664</v>
      </c>
      <c r="BH242" s="528">
        <f t="shared" si="696"/>
        <v>6.9459309159381755E-2</v>
      </c>
      <c r="BI242">
        <f t="shared" si="697"/>
        <v>3.8127339073319264E-2</v>
      </c>
      <c r="BJ242" s="460">
        <f t="shared" si="698"/>
        <v>183.5803366882059</v>
      </c>
      <c r="BK242">
        <f t="shared" si="648"/>
        <v>1.4693673948361705</v>
      </c>
      <c r="BL242" s="460">
        <f t="shared" si="699"/>
        <v>1612.8055741057165</v>
      </c>
      <c r="BM242" s="173">
        <f t="shared" si="649"/>
        <v>1.6152499999999999</v>
      </c>
      <c r="BN242" s="173">
        <f t="shared" si="650"/>
        <v>2.8843749999999998E-2</v>
      </c>
      <c r="BQ242" s="460">
        <f t="shared" si="700"/>
        <v>1644.09375</v>
      </c>
      <c r="BR242" s="528">
        <f t="shared" si="701"/>
        <v>9.7255897842879052E-2</v>
      </c>
      <c r="BS242" s="528">
        <f t="shared" si="702"/>
        <v>0.90274410215712086</v>
      </c>
      <c r="BT242" s="528">
        <f t="shared" si="703"/>
        <v>9.1254089448964285E-5</v>
      </c>
      <c r="BU242" s="528">
        <f t="shared" si="704"/>
        <v>0.61782676038394824</v>
      </c>
      <c r="BV242" s="528"/>
      <c r="BW242" s="625">
        <f t="shared" si="705"/>
        <v>6.8668677665473131E-3</v>
      </c>
      <c r="BX242" s="460">
        <f t="shared" si="706"/>
        <v>1624.7848822399444</v>
      </c>
      <c r="BY242" s="173">
        <f t="shared" si="707"/>
        <v>4.8816842063456605</v>
      </c>
      <c r="BZ242" s="5">
        <f t="shared" si="708"/>
        <v>39.520000000000003</v>
      </c>
      <c r="CA242" s="173">
        <f t="shared" si="709"/>
        <v>0.89005632796136158</v>
      </c>
      <c r="CB242" s="5">
        <f t="shared" si="710"/>
        <v>89.005632796136155</v>
      </c>
      <c r="CC242">
        <f t="shared" si="711"/>
        <v>26</v>
      </c>
      <c r="CE242" s="562">
        <f t="shared" si="651"/>
        <v>-50</v>
      </c>
      <c r="CG242" s="173">
        <f t="shared" si="652"/>
        <v>0.53199498744505735</v>
      </c>
      <c r="CH242" s="173">
        <f t="shared" si="653"/>
        <v>6.2358757602132595E-2</v>
      </c>
      <c r="CI242" s="170">
        <v>26</v>
      </c>
      <c r="CJ242" s="217">
        <f t="shared" si="712"/>
        <v>2.6</v>
      </c>
      <c r="CK242" s="217">
        <f t="shared" si="654"/>
        <v>6.5000000000000002E-2</v>
      </c>
      <c r="CL242" s="217">
        <f t="shared" si="655"/>
        <v>39</v>
      </c>
      <c r="CM242" s="217">
        <f t="shared" si="656"/>
        <v>0.52</v>
      </c>
      <c r="CN242" s="541">
        <f t="shared" si="657"/>
        <v>85</v>
      </c>
      <c r="CO242" s="443">
        <f t="shared" si="658"/>
        <v>15.7</v>
      </c>
      <c r="CP242" s="443">
        <f t="shared" si="659"/>
        <v>100.7</v>
      </c>
      <c r="CQ242" s="443"/>
      <c r="CR242" s="217">
        <f t="shared" si="660"/>
        <v>0.15338645418326693</v>
      </c>
      <c r="CS242" s="172">
        <f t="shared" si="661"/>
        <v>321.65744915076539</v>
      </c>
      <c r="CT242" s="172">
        <f t="shared" si="662"/>
        <v>4.3459495351925632</v>
      </c>
      <c r="CU242" s="217">
        <f t="shared" si="663"/>
        <v>21.443829943384358</v>
      </c>
      <c r="CV242" s="217">
        <f t="shared" si="664"/>
        <v>40.207181143845673</v>
      </c>
      <c r="CW242" s="217">
        <f t="shared" si="665"/>
        <v>15</v>
      </c>
      <c r="CX242" s="217">
        <f t="shared" si="666"/>
        <v>6.0623498854087092</v>
      </c>
      <c r="CY242" s="217">
        <f t="shared" si="667"/>
        <v>0.85586116029299431</v>
      </c>
      <c r="CZ242" s="217">
        <f t="shared" si="668"/>
        <v>4.633643224516212</v>
      </c>
      <c r="DA242" s="197">
        <f t="shared" si="669"/>
        <v>110.43528632903013</v>
      </c>
      <c r="DB242" s="443">
        <f t="shared" si="670"/>
        <v>182.16580767605237</v>
      </c>
      <c r="DD242" s="217">
        <f t="shared" si="671"/>
        <v>9.9999999999999982</v>
      </c>
      <c r="DE242" s="173">
        <f t="shared" si="672"/>
        <v>7.6433121019108263</v>
      </c>
      <c r="DF242" s="173">
        <f t="shared" si="673"/>
        <v>4.1649244760361679</v>
      </c>
      <c r="DG242" s="173"/>
      <c r="DH242" s="173">
        <f t="shared" si="674"/>
        <v>7.6433121019108281</v>
      </c>
      <c r="DI242" s="545">
        <f t="shared" si="675"/>
        <v>68.033333333333346</v>
      </c>
      <c r="DJ242" s="528">
        <f t="shared" si="676"/>
        <v>4.2204568023833167</v>
      </c>
      <c r="DL242" s="173">
        <f t="shared" si="677"/>
        <v>4.3380926245353058</v>
      </c>
      <c r="DM242" s="173">
        <f t="shared" si="678"/>
        <v>10</v>
      </c>
      <c r="DN242" s="173">
        <f t="shared" si="679"/>
        <v>1.0388761904761905</v>
      </c>
      <c r="DP242" s="545">
        <f t="shared" si="680"/>
        <v>2600</v>
      </c>
      <c r="DQ242" s="460">
        <f t="shared" si="681"/>
        <v>68.033333333333346</v>
      </c>
      <c r="DS242">
        <f t="shared" si="682"/>
        <v>2600</v>
      </c>
      <c r="DT242">
        <f t="shared" si="683"/>
        <v>68.033333333333346</v>
      </c>
      <c r="DV242" s="5">
        <f t="shared" si="684"/>
        <v>14.698677119059282</v>
      </c>
      <c r="DW242" s="5">
        <f t="shared" si="685"/>
        <v>1.4117647058823528</v>
      </c>
      <c r="DX242" s="5">
        <f t="shared" si="686"/>
        <v>13.286912413176928</v>
      </c>
      <c r="DY242" s="173">
        <f t="shared" si="687"/>
        <v>9.604705882352943E-2</v>
      </c>
      <c r="EA242" s="5">
        <f t="shared" si="713"/>
        <v>24.470588235294116</v>
      </c>
      <c r="EB242" s="5">
        <f t="shared" si="714"/>
        <v>1.1470588235294119</v>
      </c>
      <c r="EC242" s="5">
        <f t="shared" si="715"/>
        <v>2.1021889822064912</v>
      </c>
      <c r="ED242" s="5"/>
      <c r="EE242" s="173">
        <f t="shared" si="716"/>
        <v>1.7892927729834995</v>
      </c>
      <c r="EF242" s="173">
        <f t="shared" si="717"/>
        <v>5.48924081325299</v>
      </c>
      <c r="EG242" s="173">
        <f t="shared" si="718"/>
        <v>0.135186009047956</v>
      </c>
      <c r="EH242" s="173"/>
      <c r="EI242" s="528">
        <f t="shared" si="719"/>
        <v>6.4031372549019624E-2</v>
      </c>
      <c r="EJ242" s="528">
        <f t="shared" si="720"/>
        <v>1.3701913333333338</v>
      </c>
      <c r="EK242" s="528">
        <f t="shared" si="721"/>
        <v>8.5041666666666668E-3</v>
      </c>
      <c r="EL242" s="528">
        <f t="shared" si="722"/>
        <v>6.8989133633333352E-2</v>
      </c>
      <c r="EM242">
        <f t="shared" si="723"/>
        <v>3.8249999999999999E-2</v>
      </c>
      <c r="EN242" s="460">
        <f t="shared" si="724"/>
        <v>46.754166666666663</v>
      </c>
      <c r="EP242" s="460">
        <f t="shared" si="725"/>
        <v>1549.9660061823533</v>
      </c>
      <c r="EQ242" s="173">
        <f t="shared" si="726"/>
        <v>1.8199999999999998</v>
      </c>
      <c r="ER242" s="173">
        <f t="shared" si="688"/>
        <v>2.8843749999999998E-2</v>
      </c>
      <c r="ES242" s="528"/>
      <c r="EU242" s="460">
        <f t="shared" si="727"/>
        <v>1848.84375</v>
      </c>
      <c r="EV242" s="528">
        <f t="shared" si="728"/>
        <v>9.6047058823529444E-2</v>
      </c>
      <c r="EW242" s="528">
        <f t="shared" si="729"/>
        <v>0.9039529411764704</v>
      </c>
      <c r="EX242" s="528">
        <f t="shared" si="730"/>
        <v>9.1376285211570209E-5</v>
      </c>
      <c r="EY242" s="528">
        <f t="shared" si="731"/>
        <v>0.60363495302802295</v>
      </c>
      <c r="EZ242" s="528"/>
      <c r="FA242" s="625">
        <f t="shared" si="732"/>
        <v>6.8033333333333348E-3</v>
      </c>
      <c r="FB242" s="460">
        <f t="shared" si="733"/>
        <v>1610.5296626465677</v>
      </c>
      <c r="FC242" s="173">
        <f t="shared" si="734"/>
        <v>5.0093394188289206</v>
      </c>
      <c r="FD242" s="5">
        <f t="shared" si="735"/>
        <v>39.520000000000003</v>
      </c>
      <c r="FE242" s="173">
        <f t="shared" si="736"/>
        <v>0.88750474441777238</v>
      </c>
      <c r="FF242" s="5">
        <f t="shared" si="737"/>
        <v>88.750474441777243</v>
      </c>
      <c r="FG242">
        <f t="shared" si="738"/>
        <v>26</v>
      </c>
      <c r="FI242" s="562">
        <f t="shared" si="689"/>
        <v>-50</v>
      </c>
    </row>
    <row r="243" spans="5:165">
      <c r="E243" s="170">
        <v>27</v>
      </c>
      <c r="F243" s="217">
        <f t="shared" si="690"/>
        <v>2.7</v>
      </c>
      <c r="G243" s="217">
        <f t="shared" si="617"/>
        <v>6.7500000000000004E-2</v>
      </c>
      <c r="H243" s="217">
        <f t="shared" si="618"/>
        <v>40.5</v>
      </c>
      <c r="I243" s="217">
        <f t="shared" si="619"/>
        <v>0.54</v>
      </c>
      <c r="J243" s="541">
        <f t="shared" si="620"/>
        <v>84.727420162931693</v>
      </c>
      <c r="K243" s="443">
        <f t="shared" si="621"/>
        <v>15.846617922801491</v>
      </c>
      <c r="L243" s="172">
        <f t="shared" si="622"/>
        <v>100.57403808573318</v>
      </c>
      <c r="M243" s="443"/>
      <c r="N243" s="217">
        <f t="shared" si="623"/>
        <v>0.15756171497552104</v>
      </c>
      <c r="O243" s="172">
        <f t="shared" si="624"/>
        <v>329.35355985994391</v>
      </c>
      <c r="P243" s="172">
        <f t="shared" si="625"/>
        <v>4.4499325421076863</v>
      </c>
      <c r="Q243" s="217">
        <f t="shared" si="626"/>
        <v>21.956903990662926</v>
      </c>
      <c r="R243" s="217">
        <f t="shared" si="627"/>
        <v>41.169194982492989</v>
      </c>
      <c r="S243" s="217">
        <f t="shared" si="628"/>
        <v>15</v>
      </c>
      <c r="T243" s="217">
        <f t="shared" si="629"/>
        <v>6.1484078109285418</v>
      </c>
      <c r="U243" s="217">
        <f t="shared" si="630"/>
        <v>0.87080302444310353</v>
      </c>
      <c r="V243" s="217">
        <f t="shared" si="631"/>
        <v>4.6559394623240173</v>
      </c>
      <c r="W243" s="197">
        <f t="shared" si="632"/>
        <v>111.24831355269215</v>
      </c>
      <c r="X243" s="443">
        <f t="shared" si="691"/>
        <v>174.6193411543677</v>
      </c>
      <c r="Z243" s="217">
        <f t="shared" si="633"/>
        <v>10</v>
      </c>
      <c r="AA243" s="173">
        <f t="shared" si="634"/>
        <v>7.572593760043496</v>
      </c>
      <c r="AB243" s="173">
        <f t="shared" si="635"/>
        <v>4.1567678537392041</v>
      </c>
      <c r="AC243" s="173"/>
      <c r="AD243" s="173">
        <f t="shared" si="636"/>
        <v>7.572593760043496</v>
      </c>
      <c r="AE243" s="545">
        <f t="shared" si="637"/>
        <v>71.309780652606719</v>
      </c>
      <c r="AF243" s="528">
        <f t="shared" si="638"/>
        <v>4.2121914251223949</v>
      </c>
      <c r="AH243" s="173">
        <f t="shared" si="639"/>
        <v>4.4207303856780431</v>
      </c>
      <c r="AI243" s="173">
        <f t="shared" si="640"/>
        <v>10</v>
      </c>
      <c r="AJ243" s="173">
        <f t="shared" si="641"/>
        <v>1.0407484460872038</v>
      </c>
      <c r="AL243" s="545">
        <f t="shared" si="642"/>
        <v>2700</v>
      </c>
      <c r="AM243" s="460">
        <f t="shared" si="643"/>
        <v>71.309780652606719</v>
      </c>
      <c r="AO243">
        <f t="shared" si="644"/>
        <v>2700</v>
      </c>
      <c r="AP243">
        <f t="shared" si="645"/>
        <v>71.309780652606719</v>
      </c>
      <c r="AR243" s="5">
        <f t="shared" si="616"/>
        <v>14.023321777858325</v>
      </c>
      <c r="AS243" s="5">
        <f t="shared" ref="AS243:AS306" si="739">L*AI243/J243*1000000</f>
        <v>1.4163065483315647</v>
      </c>
      <c r="AT243" s="5">
        <f t="shared" ref="AT243:AT306" si="740">AR243-AS243</f>
        <v>12.607015229526759</v>
      </c>
      <c r="AU243" s="173">
        <f t="shared" ref="AU243:AU306" si="741">AS243/AR243</f>
        <v>0.10099650929837441</v>
      </c>
      <c r="BA243" s="173">
        <f t="shared" si="692"/>
        <v>1.8348161515382988</v>
      </c>
      <c r="BB243" s="173">
        <f t="shared" si="693"/>
        <v>5.4741924539960705</v>
      </c>
      <c r="BC243" s="173">
        <f t="shared" si="694"/>
        <v>0.13481540631802089</v>
      </c>
      <c r="BD243" s="173"/>
      <c r="BE243" s="528">
        <f t="shared" si="695"/>
        <v>6.7331006198916271E-2</v>
      </c>
      <c r="BF243" s="528">
        <f t="shared" si="646"/>
        <v>1.3447336116076025</v>
      </c>
      <c r="BG243" s="528">
        <f t="shared" si="647"/>
        <v>0.15104734367699765</v>
      </c>
      <c r="BH243" s="528">
        <f t="shared" si="696"/>
        <v>7.213082105012722E-2</v>
      </c>
      <c r="BI243">
        <f t="shared" si="697"/>
        <v>3.8127339073319264E-2</v>
      </c>
      <c r="BJ243" s="460">
        <f t="shared" si="698"/>
        <v>189.17468275031689</v>
      </c>
      <c r="BK243">
        <f t="shared" si="648"/>
        <v>1.5268003286996872</v>
      </c>
      <c r="BL243" s="460">
        <f t="shared" si="699"/>
        <v>1673.370121606963</v>
      </c>
      <c r="BM243" s="173">
        <f t="shared" si="649"/>
        <v>1.6773749999999998</v>
      </c>
      <c r="BN243" s="173">
        <f t="shared" si="650"/>
        <v>2.9953125000000001E-2</v>
      </c>
      <c r="BQ243" s="460">
        <f t="shared" si="700"/>
        <v>1707.3281249999998</v>
      </c>
      <c r="BR243" s="528">
        <f t="shared" si="701"/>
        <v>0.10099650929837441</v>
      </c>
      <c r="BS243" s="528">
        <f t="shared" si="702"/>
        <v>0.89900349070162555</v>
      </c>
      <c r="BT243" s="528">
        <f t="shared" si="703"/>
        <v>9.0875968903465326E-5</v>
      </c>
      <c r="BU243" s="528">
        <f t="shared" si="704"/>
        <v>0.67895775906378497</v>
      </c>
      <c r="BV243" s="528"/>
      <c r="BW243" s="625">
        <f t="shared" si="705"/>
        <v>7.1309780652606724E-3</v>
      </c>
      <c r="BX243" s="460">
        <f t="shared" si="706"/>
        <v>1686.1796130979492</v>
      </c>
      <c r="BY243" s="173">
        <f t="shared" si="707"/>
        <v>5.0668778597049124</v>
      </c>
      <c r="BZ243" s="5">
        <f t="shared" si="708"/>
        <v>41.04</v>
      </c>
      <c r="CA243" s="173">
        <f t="shared" si="709"/>
        <v>0.89010581295219071</v>
      </c>
      <c r="CB243" s="5">
        <f t="shared" si="710"/>
        <v>89.010581295219069</v>
      </c>
      <c r="CC243">
        <f t="shared" si="711"/>
        <v>27</v>
      </c>
      <c r="CE243" s="562">
        <f t="shared" si="651"/>
        <v>-50</v>
      </c>
      <c r="CG243" s="173">
        <f t="shared" si="652"/>
        <v>0.55245633311602116</v>
      </c>
      <c r="CH243" s="173">
        <f t="shared" si="653"/>
        <v>6.4757171356060766E-2</v>
      </c>
      <c r="CI243" s="170">
        <v>27</v>
      </c>
      <c r="CJ243" s="217">
        <f t="shared" si="712"/>
        <v>2.7</v>
      </c>
      <c r="CK243" s="217">
        <f t="shared" si="654"/>
        <v>6.7500000000000004E-2</v>
      </c>
      <c r="CL243" s="217">
        <f t="shared" si="655"/>
        <v>40.5</v>
      </c>
      <c r="CM243" s="217">
        <f t="shared" si="656"/>
        <v>0.54</v>
      </c>
      <c r="CN243" s="541">
        <f t="shared" si="657"/>
        <v>85</v>
      </c>
      <c r="CO243" s="443">
        <f t="shared" si="658"/>
        <v>15.7</v>
      </c>
      <c r="CP243" s="443">
        <f t="shared" si="659"/>
        <v>100.7</v>
      </c>
      <c r="CQ243" s="443"/>
      <c r="CR243" s="217">
        <f t="shared" si="660"/>
        <v>0.15338645418326693</v>
      </c>
      <c r="CS243" s="172">
        <f t="shared" si="661"/>
        <v>321.65744915076539</v>
      </c>
      <c r="CT243" s="172">
        <f t="shared" si="662"/>
        <v>4.3459495351925632</v>
      </c>
      <c r="CU243" s="217">
        <f t="shared" si="663"/>
        <v>21.443829943384358</v>
      </c>
      <c r="CV243" s="217">
        <f t="shared" si="664"/>
        <v>40.207181143845673</v>
      </c>
      <c r="CW243" s="217">
        <f t="shared" si="665"/>
        <v>15</v>
      </c>
      <c r="CX243" s="217">
        <f t="shared" si="666"/>
        <v>6.2955171886936592</v>
      </c>
      <c r="CY243" s="217">
        <f t="shared" si="667"/>
        <v>0.88877889722734016</v>
      </c>
      <c r="CZ243" s="217">
        <f t="shared" si="668"/>
        <v>4.8118602716129883</v>
      </c>
      <c r="DA243" s="197">
        <f t="shared" si="669"/>
        <v>110.43528632903013</v>
      </c>
      <c r="DB243" s="443">
        <f t="shared" si="670"/>
        <v>175.41892591027269</v>
      </c>
      <c r="DD243" s="217">
        <f t="shared" si="671"/>
        <v>9.9999999999999982</v>
      </c>
      <c r="DE243" s="173">
        <f t="shared" si="672"/>
        <v>7.6433121019108263</v>
      </c>
      <c r="DF243" s="173">
        <f t="shared" si="673"/>
        <v>4.1649244760361679</v>
      </c>
      <c r="DG243" s="173"/>
      <c r="DH243" s="173">
        <f t="shared" si="674"/>
        <v>7.6433121019108281</v>
      </c>
      <c r="DI243" s="545">
        <f t="shared" si="675"/>
        <v>70.65000000000002</v>
      </c>
      <c r="DJ243" s="528">
        <f t="shared" si="676"/>
        <v>4.2204568023833167</v>
      </c>
      <c r="DL243" s="173">
        <f t="shared" si="677"/>
        <v>4.4207303856780431</v>
      </c>
      <c r="DM243" s="173">
        <f t="shared" si="678"/>
        <v>10</v>
      </c>
      <c r="DN243" s="173">
        <f t="shared" si="679"/>
        <v>1.0403714285714285</v>
      </c>
      <c r="DP243" s="545">
        <f t="shared" si="680"/>
        <v>2700</v>
      </c>
      <c r="DQ243" s="460">
        <f t="shared" si="681"/>
        <v>70.65000000000002</v>
      </c>
      <c r="DS243">
        <f t="shared" si="682"/>
        <v>2700</v>
      </c>
      <c r="DT243">
        <f t="shared" si="683"/>
        <v>70.65000000000002</v>
      </c>
      <c r="DV243" s="5">
        <f t="shared" si="684"/>
        <v>14.154281670205233</v>
      </c>
      <c r="DW243" s="5">
        <f t="shared" si="685"/>
        <v>1.4117647058823528</v>
      </c>
      <c r="DX243" s="5">
        <f t="shared" si="686"/>
        <v>12.74251696432288</v>
      </c>
      <c r="DY243" s="173">
        <f t="shared" si="687"/>
        <v>9.974117647058825E-2</v>
      </c>
      <c r="EA243" s="5">
        <f t="shared" si="713"/>
        <v>25.411764705882351</v>
      </c>
      <c r="EB243" s="5">
        <f t="shared" si="714"/>
        <v>1.1911764705882353</v>
      </c>
      <c r="EC243" s="5">
        <f t="shared" si="715"/>
        <v>2.0935981219272883</v>
      </c>
      <c r="ED243" s="5"/>
      <c r="EE243" s="173">
        <f t="shared" si="716"/>
        <v>1.8233776027891047</v>
      </c>
      <c r="EF243" s="173">
        <f t="shared" si="717"/>
        <v>5.4780130933560569</v>
      </c>
      <c r="EG243" s="173">
        <f t="shared" si="718"/>
        <v>0.1349094989265727</v>
      </c>
      <c r="EH243" s="173"/>
      <c r="EI243" s="528">
        <f t="shared" si="719"/>
        <v>6.6494117647058842E-2</v>
      </c>
      <c r="EJ243" s="528">
        <f t="shared" si="720"/>
        <v>1.4228910000000003</v>
      </c>
      <c r="EK243" s="528">
        <f t="shared" si="721"/>
        <v>8.8312500000000023E-3</v>
      </c>
      <c r="EL243" s="528">
        <f t="shared" si="722"/>
        <v>7.1642561850000022E-2</v>
      </c>
      <c r="EM243">
        <f t="shared" si="723"/>
        <v>3.8249999999999999E-2</v>
      </c>
      <c r="EN243" s="460">
        <f t="shared" si="724"/>
        <v>47.081250000000004</v>
      </c>
      <c r="EP243" s="460">
        <f t="shared" si="725"/>
        <v>1608.1089294970591</v>
      </c>
      <c r="EQ243" s="173">
        <f t="shared" si="726"/>
        <v>1.89</v>
      </c>
      <c r="ER243" s="173">
        <f t="shared" si="688"/>
        <v>2.9953125000000001E-2</v>
      </c>
      <c r="ES243" s="528"/>
      <c r="EU243" s="460">
        <f t="shared" si="727"/>
        <v>1919.953125</v>
      </c>
      <c r="EV243" s="528">
        <f t="shared" si="728"/>
        <v>9.9741176470588264E-2</v>
      </c>
      <c r="EW243" s="528">
        <f t="shared" si="729"/>
        <v>0.90025882352941178</v>
      </c>
      <c r="EX243" s="528">
        <f t="shared" si="730"/>
        <v>9.1002864503094593E-5</v>
      </c>
      <c r="EY243" s="528">
        <f t="shared" si="731"/>
        <v>0.66336174034575923</v>
      </c>
      <c r="EZ243" s="528"/>
      <c r="FA243" s="625">
        <f t="shared" si="732"/>
        <v>7.0650000000000027E-3</v>
      </c>
      <c r="FB243" s="460">
        <f t="shared" si="733"/>
        <v>1670.5177432102626</v>
      </c>
      <c r="FC243" s="173">
        <f t="shared" si="734"/>
        <v>5.1985797977073211</v>
      </c>
      <c r="FD243" s="5">
        <f t="shared" si="735"/>
        <v>41.04</v>
      </c>
      <c r="FE243" s="173">
        <f t="shared" si="736"/>
        <v>0.8875705131850723</v>
      </c>
      <c r="FF243" s="5">
        <f t="shared" si="737"/>
        <v>88.757051318507223</v>
      </c>
      <c r="FG243">
        <f t="shared" si="738"/>
        <v>27</v>
      </c>
      <c r="FI243" s="562">
        <f t="shared" si="689"/>
        <v>-50</v>
      </c>
    </row>
    <row r="244" spans="5:165">
      <c r="E244" s="170">
        <v>28</v>
      </c>
      <c r="F244" s="217">
        <f t="shared" si="690"/>
        <v>2.8000000000000003</v>
      </c>
      <c r="G244" s="217">
        <f t="shared" si="617"/>
        <v>7.0000000000000007E-2</v>
      </c>
      <c r="H244" s="217">
        <f t="shared" si="618"/>
        <v>42.000000000000007</v>
      </c>
      <c r="I244" s="217">
        <f t="shared" si="619"/>
        <v>0.56000000000000005</v>
      </c>
      <c r="J244" s="541">
        <f t="shared" si="620"/>
        <v>84.727420162931693</v>
      </c>
      <c r="K244" s="443">
        <f t="shared" si="621"/>
        <v>15.846617922801491</v>
      </c>
      <c r="L244" s="172">
        <f t="shared" si="622"/>
        <v>100.57403808573318</v>
      </c>
      <c r="M244" s="443"/>
      <c r="N244" s="217">
        <f t="shared" si="623"/>
        <v>0.15756171497552104</v>
      </c>
      <c r="O244" s="172">
        <f t="shared" si="624"/>
        <v>329.35355985994391</v>
      </c>
      <c r="P244" s="172">
        <f t="shared" si="625"/>
        <v>4.4499325421076863</v>
      </c>
      <c r="Q244" s="217">
        <f t="shared" si="626"/>
        <v>21.956903990662926</v>
      </c>
      <c r="R244" s="217">
        <f t="shared" si="627"/>
        <v>41.169194982492989</v>
      </c>
      <c r="S244" s="217">
        <f t="shared" si="628"/>
        <v>15</v>
      </c>
      <c r="T244" s="217">
        <f t="shared" si="629"/>
        <v>6.3761266187407113</v>
      </c>
      <c r="U244" s="217">
        <f t="shared" si="630"/>
        <v>0.90305498831136677</v>
      </c>
      <c r="V244" s="217">
        <f t="shared" si="631"/>
        <v>4.8283816646323148</v>
      </c>
      <c r="W244" s="197">
        <f t="shared" si="632"/>
        <v>111.24831355269215</v>
      </c>
      <c r="X244" s="443">
        <f t="shared" si="691"/>
        <v>168.59321923360932</v>
      </c>
      <c r="Z244" s="217">
        <f t="shared" si="633"/>
        <v>10</v>
      </c>
      <c r="AA244" s="173">
        <f t="shared" si="634"/>
        <v>7.572593760043496</v>
      </c>
      <c r="AB244" s="173">
        <f t="shared" si="635"/>
        <v>4.1567678537392041</v>
      </c>
      <c r="AC244" s="173"/>
      <c r="AD244" s="173">
        <f t="shared" si="636"/>
        <v>7.572593760043496</v>
      </c>
      <c r="AE244" s="545">
        <f t="shared" si="637"/>
        <v>73.950883639740297</v>
      </c>
      <c r="AF244" s="528">
        <f t="shared" si="638"/>
        <v>4.2121914251223949</v>
      </c>
      <c r="AH244" s="173">
        <f t="shared" si="639"/>
        <v>4.5018514709691022</v>
      </c>
      <c r="AI244" s="173">
        <f t="shared" si="640"/>
        <v>10</v>
      </c>
      <c r="AJ244" s="173">
        <f t="shared" si="641"/>
        <v>1.0422576477941372</v>
      </c>
      <c r="AL244" s="545">
        <f t="shared" si="642"/>
        <v>2800.0000000000005</v>
      </c>
      <c r="AM244" s="460">
        <f t="shared" si="643"/>
        <v>73.950883639740297</v>
      </c>
      <c r="AO244">
        <f t="shared" si="644"/>
        <v>2800.0000000000005</v>
      </c>
      <c r="AP244">
        <f t="shared" si="645"/>
        <v>73.950883639740297</v>
      </c>
      <c r="AR244" s="5">
        <f t="shared" si="616"/>
        <v>13.522488857220528</v>
      </c>
      <c r="AS244" s="5">
        <f t="shared" si="739"/>
        <v>1.4163065483315647</v>
      </c>
      <c r="AT244" s="5">
        <f t="shared" si="740"/>
        <v>12.106182308888965</v>
      </c>
      <c r="AU244" s="173">
        <f t="shared" si="741"/>
        <v>0.10473712075386975</v>
      </c>
      <c r="BA244" s="173">
        <f t="shared" si="692"/>
        <v>1.8684853112781821</v>
      </c>
      <c r="BB244" s="173">
        <f t="shared" si="693"/>
        <v>5.4627919578610173</v>
      </c>
      <c r="BC244" s="173">
        <f t="shared" si="694"/>
        <v>0.13453464115830271</v>
      </c>
      <c r="BD244" s="173"/>
      <c r="BE244" s="528">
        <f t="shared" si="695"/>
        <v>6.9824747169246498E-2</v>
      </c>
      <c r="BF244" s="528">
        <f t="shared" si="646"/>
        <v>1.3945385601856617</v>
      </c>
      <c r="BG244" s="528">
        <f t="shared" si="647"/>
        <v>0.15664168973910869</v>
      </c>
      <c r="BH244" s="528">
        <f t="shared" si="696"/>
        <v>7.4802332940872671E-2</v>
      </c>
      <c r="BI244">
        <f t="shared" si="697"/>
        <v>3.8127339073319264E-2</v>
      </c>
      <c r="BJ244" s="460">
        <f t="shared" si="698"/>
        <v>194.76902881242796</v>
      </c>
      <c r="BK244">
        <f t="shared" si="648"/>
        <v>1.5843024702467607</v>
      </c>
      <c r="BL244" s="460">
        <f t="shared" si="699"/>
        <v>1733.9346691082089</v>
      </c>
      <c r="BM244" s="173">
        <f t="shared" si="649"/>
        <v>1.7394999999999998</v>
      </c>
      <c r="BN244" s="173">
        <f t="shared" si="650"/>
        <v>3.10625E-2</v>
      </c>
      <c r="BQ244" s="460">
        <f t="shared" si="700"/>
        <v>1770.5624999999998</v>
      </c>
      <c r="BR244" s="528">
        <f t="shared" si="701"/>
        <v>0.10473712075386975</v>
      </c>
      <c r="BS244" s="528">
        <f t="shared" si="702"/>
        <v>0.89526287924613024</v>
      </c>
      <c r="BT244" s="528">
        <f t="shared" si="703"/>
        <v>9.0497848357966407E-5</v>
      </c>
      <c r="BU244" s="528">
        <f t="shared" si="704"/>
        <v>0.74358123898079709</v>
      </c>
      <c r="BV244" s="528"/>
      <c r="BW244" s="625">
        <f t="shared" si="705"/>
        <v>7.3950883639740299E-3</v>
      </c>
      <c r="BX244" s="460">
        <f t="shared" si="706"/>
        <v>1751.066825193129</v>
      </c>
      <c r="BY244" s="173">
        <f t="shared" si="707"/>
        <v>5.2555639943013377</v>
      </c>
      <c r="BZ244" s="5">
        <f t="shared" si="708"/>
        <v>42.560000000000009</v>
      </c>
      <c r="CA244" s="173">
        <f t="shared" si="709"/>
        <v>0.89008675093892653</v>
      </c>
      <c r="CB244" s="5">
        <f t="shared" si="710"/>
        <v>89.008675093892649</v>
      </c>
      <c r="CC244">
        <f t="shared" si="711"/>
        <v>28.000000000000004</v>
      </c>
      <c r="CE244" s="562">
        <f t="shared" si="651"/>
        <v>-50</v>
      </c>
      <c r="CG244" s="173">
        <f t="shared" si="652"/>
        <v>0.57291767878698485</v>
      </c>
      <c r="CH244" s="173">
        <f t="shared" si="653"/>
        <v>6.7155585109988952E-2</v>
      </c>
      <c r="CI244" s="170">
        <v>28</v>
      </c>
      <c r="CJ244" s="217">
        <f t="shared" si="712"/>
        <v>2.8000000000000003</v>
      </c>
      <c r="CK244" s="217">
        <f t="shared" si="654"/>
        <v>7.0000000000000007E-2</v>
      </c>
      <c r="CL244" s="217">
        <f t="shared" si="655"/>
        <v>42.000000000000007</v>
      </c>
      <c r="CM244" s="217">
        <f t="shared" si="656"/>
        <v>0.56000000000000005</v>
      </c>
      <c r="CN244" s="541">
        <f t="shared" si="657"/>
        <v>85</v>
      </c>
      <c r="CO244" s="443">
        <f t="shared" si="658"/>
        <v>15.7</v>
      </c>
      <c r="CP244" s="443">
        <f t="shared" si="659"/>
        <v>100.7</v>
      </c>
      <c r="CQ244" s="443"/>
      <c r="CR244" s="217">
        <f t="shared" si="660"/>
        <v>0.15338645418326693</v>
      </c>
      <c r="CS244" s="172">
        <f t="shared" si="661"/>
        <v>321.65744915076539</v>
      </c>
      <c r="CT244" s="172">
        <f t="shared" si="662"/>
        <v>4.3459495351925632</v>
      </c>
      <c r="CU244" s="217">
        <f t="shared" si="663"/>
        <v>21.443829943384358</v>
      </c>
      <c r="CV244" s="217">
        <f t="shared" si="664"/>
        <v>40.207181143845673</v>
      </c>
      <c r="CW244" s="217">
        <f t="shared" si="665"/>
        <v>15</v>
      </c>
      <c r="CX244" s="217">
        <f t="shared" si="666"/>
        <v>6.5286844919786109</v>
      </c>
      <c r="CY244" s="217">
        <f t="shared" si="667"/>
        <v>0.92169663416168623</v>
      </c>
      <c r="CZ244" s="217">
        <f t="shared" si="668"/>
        <v>4.9900773187097665</v>
      </c>
      <c r="DA244" s="197">
        <f t="shared" si="669"/>
        <v>110.43528632903013</v>
      </c>
      <c r="DB244" s="443">
        <f t="shared" si="670"/>
        <v>169.15396427062004</v>
      </c>
      <c r="DD244" s="217">
        <f t="shared" si="671"/>
        <v>9.9999999999999982</v>
      </c>
      <c r="DE244" s="173">
        <f t="shared" si="672"/>
        <v>7.6433121019108263</v>
      </c>
      <c r="DF244" s="173">
        <f t="shared" si="673"/>
        <v>4.1649244760361679</v>
      </c>
      <c r="DG244" s="173"/>
      <c r="DH244" s="173">
        <f t="shared" si="674"/>
        <v>7.6433121019108281</v>
      </c>
      <c r="DI244" s="545">
        <f t="shared" si="675"/>
        <v>73.26666666666668</v>
      </c>
      <c r="DJ244" s="528">
        <f t="shared" si="676"/>
        <v>4.2204568023833167</v>
      </c>
      <c r="DL244" s="173">
        <f t="shared" si="677"/>
        <v>4.5018514709691022</v>
      </c>
      <c r="DM244" s="173">
        <f t="shared" si="678"/>
        <v>10</v>
      </c>
      <c r="DN244" s="173">
        <f t="shared" si="679"/>
        <v>1.0418666666666667</v>
      </c>
      <c r="DP244" s="545">
        <f t="shared" si="680"/>
        <v>2800.0000000000005</v>
      </c>
      <c r="DQ244" s="460">
        <f t="shared" si="681"/>
        <v>73.26666666666668</v>
      </c>
      <c r="DS244">
        <f t="shared" si="682"/>
        <v>2800.0000000000005</v>
      </c>
      <c r="DT244">
        <f t="shared" si="683"/>
        <v>73.26666666666668</v>
      </c>
      <c r="DV244" s="5">
        <f t="shared" si="684"/>
        <v>13.648771610555048</v>
      </c>
      <c r="DW244" s="5">
        <f t="shared" si="685"/>
        <v>1.4117647058823528</v>
      </c>
      <c r="DX244" s="5">
        <f t="shared" si="686"/>
        <v>12.237006904672695</v>
      </c>
      <c r="DY244" s="173">
        <f t="shared" si="687"/>
        <v>0.10343529411764706</v>
      </c>
      <c r="EA244" s="5">
        <f t="shared" si="713"/>
        <v>26.352941176470591</v>
      </c>
      <c r="EB244" s="5">
        <f t="shared" si="714"/>
        <v>1.2352941176470589</v>
      </c>
      <c r="EC244" s="5">
        <f t="shared" si="715"/>
        <v>2.0850072616480859</v>
      </c>
      <c r="ED244" s="5"/>
      <c r="EE244" s="173">
        <f t="shared" si="716"/>
        <v>1.856836863392932</v>
      </c>
      <c r="EF244" s="173">
        <f t="shared" si="717"/>
        <v>5.4667623138452281</v>
      </c>
      <c r="EG244" s="173">
        <f t="shared" si="718"/>
        <v>0.13463242090567859</v>
      </c>
      <c r="EH244" s="173"/>
      <c r="EI244" s="528">
        <f t="shared" si="719"/>
        <v>6.8956862745098033E-2</v>
      </c>
      <c r="EJ244" s="528">
        <f t="shared" si="720"/>
        <v>1.4755906666666669</v>
      </c>
      <c r="EK244" s="528">
        <f t="shared" si="721"/>
        <v>9.1583333333333343E-3</v>
      </c>
      <c r="EL244" s="528">
        <f t="shared" si="722"/>
        <v>7.4295990066666678E-2</v>
      </c>
      <c r="EM244">
        <f t="shared" si="723"/>
        <v>3.8249999999999999E-2</v>
      </c>
      <c r="EN244" s="460">
        <f t="shared" si="724"/>
        <v>47.408333333333331</v>
      </c>
      <c r="EP244" s="460">
        <f t="shared" si="725"/>
        <v>1666.2518528117648</v>
      </c>
      <c r="EQ244" s="173">
        <f t="shared" si="726"/>
        <v>1.96</v>
      </c>
      <c r="ER244" s="173">
        <f t="shared" si="688"/>
        <v>3.10625E-2</v>
      </c>
      <c r="ES244" s="528"/>
      <c r="EU244" s="460">
        <f t="shared" si="727"/>
        <v>1991.0625</v>
      </c>
      <c r="EV244" s="528">
        <f t="shared" si="728"/>
        <v>0.10343529411764706</v>
      </c>
      <c r="EW244" s="528">
        <f t="shared" si="729"/>
        <v>0.89656470588235293</v>
      </c>
      <c r="EX244" s="528">
        <f t="shared" si="730"/>
        <v>9.0629443794619017E-5</v>
      </c>
      <c r="EY244" s="528">
        <f t="shared" si="731"/>
        <v>0.72650078476004176</v>
      </c>
      <c r="EZ244" s="528"/>
      <c r="FA244" s="625">
        <f t="shared" si="732"/>
        <v>7.3266666666666688E-3</v>
      </c>
      <c r="FB244" s="460">
        <f t="shared" si="733"/>
        <v>1733.918080870503</v>
      </c>
      <c r="FC244" s="173">
        <f t="shared" si="734"/>
        <v>5.3912324336822683</v>
      </c>
      <c r="FD244" s="5">
        <f t="shared" si="735"/>
        <v>42.560000000000009</v>
      </c>
      <c r="FE244" s="173">
        <f t="shared" si="736"/>
        <v>0.88756842817046522</v>
      </c>
      <c r="FF244" s="5">
        <f t="shared" si="737"/>
        <v>88.756842817046518</v>
      </c>
      <c r="FG244">
        <f t="shared" si="738"/>
        <v>28.000000000000004</v>
      </c>
      <c r="FI244" s="562">
        <f t="shared" si="689"/>
        <v>-50</v>
      </c>
    </row>
    <row r="245" spans="5:165">
      <c r="E245" s="170">
        <v>29</v>
      </c>
      <c r="F245" s="217">
        <f t="shared" si="690"/>
        <v>2.9</v>
      </c>
      <c r="G245" s="217">
        <f t="shared" si="617"/>
        <v>7.2499999999999995E-2</v>
      </c>
      <c r="H245" s="217">
        <f t="shared" si="618"/>
        <v>43.5</v>
      </c>
      <c r="I245" s="217">
        <f t="shared" si="619"/>
        <v>0.57999999999999996</v>
      </c>
      <c r="J245" s="541">
        <f t="shared" si="620"/>
        <v>84.727420162931693</v>
      </c>
      <c r="K245" s="443">
        <f t="shared" si="621"/>
        <v>15.846617922801491</v>
      </c>
      <c r="L245" s="172">
        <f t="shared" si="622"/>
        <v>100.57403808573318</v>
      </c>
      <c r="M245" s="443"/>
      <c r="N245" s="217">
        <f t="shared" si="623"/>
        <v>0.15756171497552104</v>
      </c>
      <c r="O245" s="172">
        <f t="shared" si="624"/>
        <v>329.35355985994391</v>
      </c>
      <c r="P245" s="172">
        <f t="shared" si="625"/>
        <v>4.4499325421076863</v>
      </c>
      <c r="Q245" s="217">
        <f t="shared" si="626"/>
        <v>21.956903990662926</v>
      </c>
      <c r="R245" s="217">
        <f t="shared" si="627"/>
        <v>41.169194982492989</v>
      </c>
      <c r="S245" s="217">
        <f t="shared" si="628"/>
        <v>15</v>
      </c>
      <c r="T245" s="217">
        <f t="shared" si="629"/>
        <v>6.6038454265528781</v>
      </c>
      <c r="U245" s="217">
        <f t="shared" si="630"/>
        <v>0.93530695217962967</v>
      </c>
      <c r="V245" s="217">
        <f t="shared" si="631"/>
        <v>5.0008238669406113</v>
      </c>
      <c r="W245" s="197">
        <f t="shared" si="632"/>
        <v>111.24831355269215</v>
      </c>
      <c r="X245" s="443">
        <f t="shared" si="691"/>
        <v>162.9691461081616</v>
      </c>
      <c r="Z245" s="217">
        <f t="shared" si="633"/>
        <v>10</v>
      </c>
      <c r="AA245" s="173">
        <f t="shared" si="634"/>
        <v>7.572593760043496</v>
      </c>
      <c r="AB245" s="173">
        <f t="shared" si="635"/>
        <v>4.1567678537392041</v>
      </c>
      <c r="AC245" s="173"/>
      <c r="AD245" s="173">
        <f t="shared" si="636"/>
        <v>7.572593760043496</v>
      </c>
      <c r="AE245" s="545">
        <f t="shared" si="637"/>
        <v>76.591986626873876</v>
      </c>
      <c r="AF245" s="528">
        <f t="shared" si="638"/>
        <v>4.2121914251223949</v>
      </c>
      <c r="AH245" s="173">
        <f t="shared" si="639"/>
        <v>4.5815364443029578</v>
      </c>
      <c r="AI245" s="173">
        <f t="shared" si="640"/>
        <v>10</v>
      </c>
      <c r="AJ245" s="173">
        <f t="shared" si="641"/>
        <v>1.0437668495010708</v>
      </c>
      <c r="AL245" s="545">
        <f t="shared" si="642"/>
        <v>2900</v>
      </c>
      <c r="AM245" s="460">
        <f t="shared" si="643"/>
        <v>76.591986626873876</v>
      </c>
      <c r="AO245">
        <f t="shared" si="644"/>
        <v>2900</v>
      </c>
      <c r="AP245">
        <f t="shared" si="645"/>
        <v>76.591986626873876</v>
      </c>
      <c r="AR245" s="5">
        <f t="shared" si="616"/>
        <v>13.056196138006028</v>
      </c>
      <c r="AS245" s="5">
        <f t="shared" si="739"/>
        <v>1.4163065483315647</v>
      </c>
      <c r="AT245" s="5">
        <f t="shared" si="740"/>
        <v>11.639889589674464</v>
      </c>
      <c r="AU245" s="173">
        <f t="shared" si="741"/>
        <v>0.1084777322093651</v>
      </c>
      <c r="BA245" s="173">
        <f t="shared" si="692"/>
        <v>1.9015584153474845</v>
      </c>
      <c r="BB245" s="173">
        <f t="shared" si="693"/>
        <v>5.4513676198138121</v>
      </c>
      <c r="BC245" s="173">
        <f t="shared" si="694"/>
        <v>0.13425328883306176</v>
      </c>
      <c r="BD245" s="173"/>
      <c r="BE245" s="528">
        <f t="shared" si="695"/>
        <v>7.2318488139576739E-2</v>
      </c>
      <c r="BF245" s="528">
        <f t="shared" si="646"/>
        <v>1.4443435087637211</v>
      </c>
      <c r="BG245" s="528">
        <f t="shared" si="647"/>
        <v>0.1622360358012197</v>
      </c>
      <c r="BH245" s="528">
        <f t="shared" si="696"/>
        <v>7.7473844831618122E-2</v>
      </c>
      <c r="BI245">
        <f t="shared" si="697"/>
        <v>3.8127339073319264E-2</v>
      </c>
      <c r="BJ245" s="460">
        <f t="shared" si="698"/>
        <v>200.36337487453898</v>
      </c>
      <c r="BK245">
        <f t="shared" si="648"/>
        <v>1.6418739446474999</v>
      </c>
      <c r="BL245" s="460">
        <f t="shared" si="699"/>
        <v>1794.4992166094548</v>
      </c>
      <c r="BM245" s="173">
        <f t="shared" si="649"/>
        <v>1.8016249999999998</v>
      </c>
      <c r="BN245" s="173">
        <f t="shared" si="650"/>
        <v>3.2171874999999996E-2</v>
      </c>
      <c r="BQ245" s="460">
        <f t="shared" si="700"/>
        <v>1833.7968749999998</v>
      </c>
      <c r="BR245" s="528">
        <f t="shared" si="701"/>
        <v>0.10847773220936509</v>
      </c>
      <c r="BS245" s="528">
        <f t="shared" si="702"/>
        <v>0.89152226779063526</v>
      </c>
      <c r="BT245" s="528">
        <f t="shared" si="703"/>
        <v>9.0119727812467529E-5</v>
      </c>
      <c r="BU245" s="528">
        <f t="shared" si="704"/>
        <v>0.81176129483793558</v>
      </c>
      <c r="BV245" s="528"/>
      <c r="BW245" s="625">
        <f t="shared" si="705"/>
        <v>7.6591986626873875E-3</v>
      </c>
      <c r="BX245" s="460">
        <f t="shared" si="706"/>
        <v>1819.5106132284359</v>
      </c>
      <c r="BY245" s="173">
        <f t="shared" si="707"/>
        <v>5.4478067048378902</v>
      </c>
      <c r="BZ245" s="5">
        <f t="shared" si="708"/>
        <v>44.08</v>
      </c>
      <c r="CA245" s="173">
        <f t="shared" si="709"/>
        <v>0.89000508871098982</v>
      </c>
      <c r="CB245" s="5">
        <f t="shared" si="710"/>
        <v>89.000508871098987</v>
      </c>
      <c r="CC245">
        <f t="shared" si="711"/>
        <v>28.999999999999996</v>
      </c>
      <c r="CE245" s="562">
        <f t="shared" si="651"/>
        <v>-50</v>
      </c>
      <c r="CG245" s="173">
        <f t="shared" si="652"/>
        <v>0.59337902445794866</v>
      </c>
      <c r="CH245" s="173">
        <f t="shared" si="653"/>
        <v>6.955399886391711E-2</v>
      </c>
      <c r="CI245" s="170">
        <v>29</v>
      </c>
      <c r="CJ245" s="217">
        <f t="shared" si="712"/>
        <v>2.9</v>
      </c>
      <c r="CK245" s="217">
        <f t="shared" si="654"/>
        <v>7.2499999999999995E-2</v>
      </c>
      <c r="CL245" s="217">
        <f t="shared" si="655"/>
        <v>43.5</v>
      </c>
      <c r="CM245" s="217">
        <f t="shared" si="656"/>
        <v>0.57999999999999996</v>
      </c>
      <c r="CN245" s="541">
        <f t="shared" si="657"/>
        <v>85</v>
      </c>
      <c r="CO245" s="443">
        <f t="shared" si="658"/>
        <v>15.7</v>
      </c>
      <c r="CP245" s="443">
        <f t="shared" si="659"/>
        <v>100.7</v>
      </c>
      <c r="CQ245" s="443"/>
      <c r="CR245" s="217">
        <f t="shared" si="660"/>
        <v>0.15338645418326693</v>
      </c>
      <c r="CS245" s="172">
        <f t="shared" si="661"/>
        <v>321.65744915076539</v>
      </c>
      <c r="CT245" s="172">
        <f t="shared" si="662"/>
        <v>4.3459495351925632</v>
      </c>
      <c r="CU245" s="217">
        <f t="shared" si="663"/>
        <v>21.443829943384358</v>
      </c>
      <c r="CV245" s="217">
        <f t="shared" si="664"/>
        <v>40.207181143845673</v>
      </c>
      <c r="CW245" s="217">
        <f t="shared" si="665"/>
        <v>15</v>
      </c>
      <c r="CX245" s="217">
        <f t="shared" si="666"/>
        <v>6.7618517952635591</v>
      </c>
      <c r="CY245" s="217">
        <f t="shared" si="667"/>
        <v>0.95461437109603176</v>
      </c>
      <c r="CZ245" s="217">
        <f t="shared" si="668"/>
        <v>5.1682943658065419</v>
      </c>
      <c r="DA245" s="197">
        <f t="shared" si="669"/>
        <v>110.43528632903013</v>
      </c>
      <c r="DB245" s="443">
        <f t="shared" si="670"/>
        <v>163.32106895094356</v>
      </c>
      <c r="DD245" s="217">
        <f t="shared" si="671"/>
        <v>9.9999999999999982</v>
      </c>
      <c r="DE245" s="173">
        <f t="shared" si="672"/>
        <v>7.6433121019108263</v>
      </c>
      <c r="DF245" s="173">
        <f t="shared" si="673"/>
        <v>4.1649244760361679</v>
      </c>
      <c r="DG245" s="173"/>
      <c r="DH245" s="173">
        <f t="shared" si="674"/>
        <v>7.6433121019108281</v>
      </c>
      <c r="DI245" s="545">
        <f t="shared" si="675"/>
        <v>75.88333333333334</v>
      </c>
      <c r="DJ245" s="528">
        <f t="shared" si="676"/>
        <v>4.2204568023833167</v>
      </c>
      <c r="DL245" s="173">
        <f t="shared" si="677"/>
        <v>4.5815364443029578</v>
      </c>
      <c r="DM245" s="173">
        <f t="shared" si="678"/>
        <v>10</v>
      </c>
      <c r="DN245" s="173">
        <f t="shared" si="679"/>
        <v>1.0433619047619047</v>
      </c>
      <c r="DP245" s="545">
        <f t="shared" si="680"/>
        <v>2900</v>
      </c>
      <c r="DQ245" s="460">
        <f t="shared" si="681"/>
        <v>75.88333333333334</v>
      </c>
      <c r="DS245">
        <f t="shared" si="682"/>
        <v>2900</v>
      </c>
      <c r="DT245">
        <f t="shared" si="683"/>
        <v>75.88333333333334</v>
      </c>
      <c r="DV245" s="5">
        <f t="shared" si="684"/>
        <v>13.178124313639357</v>
      </c>
      <c r="DW245" s="5">
        <f t="shared" si="685"/>
        <v>1.4117647058823528</v>
      </c>
      <c r="DX245" s="5">
        <f t="shared" si="686"/>
        <v>11.766359607757003</v>
      </c>
      <c r="DY245" s="173">
        <f t="shared" si="687"/>
        <v>0.10712941176470589</v>
      </c>
      <c r="EA245" s="5">
        <f t="shared" si="713"/>
        <v>27.294117647058822</v>
      </c>
      <c r="EB245" s="5">
        <f t="shared" si="714"/>
        <v>1.2794117647058822</v>
      </c>
      <c r="EC245" s="5">
        <f t="shared" si="715"/>
        <v>2.0764164013688826</v>
      </c>
      <c r="ED245" s="5"/>
      <c r="EE245" s="173">
        <f t="shared" si="716"/>
        <v>1.8897037842362656</v>
      </c>
      <c r="EF245" s="173">
        <f t="shared" si="717"/>
        <v>5.4554883320539203</v>
      </c>
      <c r="EG245" s="173">
        <f t="shared" si="718"/>
        <v>0.13435477147175931</v>
      </c>
      <c r="EH245" s="173"/>
      <c r="EI245" s="528">
        <f t="shared" si="719"/>
        <v>7.1419607843137251E-2</v>
      </c>
      <c r="EJ245" s="528">
        <f t="shared" si="720"/>
        <v>1.5282903333333335</v>
      </c>
      <c r="EK245" s="528">
        <f t="shared" si="721"/>
        <v>9.485416666666668E-3</v>
      </c>
      <c r="EL245" s="528">
        <f t="shared" si="722"/>
        <v>7.6949418283333348E-2</v>
      </c>
      <c r="EM245">
        <f t="shared" si="723"/>
        <v>3.8249999999999999E-2</v>
      </c>
      <c r="EN245" s="460">
        <f t="shared" si="724"/>
        <v>47.735416666666666</v>
      </c>
      <c r="EP245" s="460">
        <f t="shared" si="725"/>
        <v>1724.3947761264706</v>
      </c>
      <c r="EQ245" s="173">
        <f t="shared" si="726"/>
        <v>2.0299999999999998</v>
      </c>
      <c r="ER245" s="173">
        <f t="shared" si="688"/>
        <v>3.2171874999999996E-2</v>
      </c>
      <c r="ES245" s="528"/>
      <c r="EU245" s="460">
        <f t="shared" si="727"/>
        <v>2062.1718749999995</v>
      </c>
      <c r="EV245" s="528">
        <f t="shared" si="728"/>
        <v>0.10712941176470588</v>
      </c>
      <c r="EW245" s="528">
        <f t="shared" si="729"/>
        <v>0.89287058823529397</v>
      </c>
      <c r="EX245" s="528">
        <f t="shared" si="730"/>
        <v>9.0256023086143346E-5</v>
      </c>
      <c r="EY245" s="528">
        <f t="shared" si="731"/>
        <v>0.79311470868459866</v>
      </c>
      <c r="EZ245" s="528"/>
      <c r="FA245" s="625">
        <f t="shared" si="732"/>
        <v>7.5883333333333349E-3</v>
      </c>
      <c r="FB245" s="460">
        <f t="shared" si="733"/>
        <v>1800.793298041018</v>
      </c>
      <c r="FC245" s="173">
        <f t="shared" si="734"/>
        <v>5.5873599491674879</v>
      </c>
      <c r="FD245" s="5">
        <f t="shared" si="735"/>
        <v>44.08</v>
      </c>
      <c r="FE245" s="173">
        <f t="shared" si="736"/>
        <v>0.88750439010879745</v>
      </c>
      <c r="FF245" s="5">
        <f t="shared" si="737"/>
        <v>88.750439010879745</v>
      </c>
      <c r="FG245">
        <f t="shared" si="738"/>
        <v>28.999999999999996</v>
      </c>
      <c r="FI245" s="562">
        <f t="shared" si="689"/>
        <v>-50</v>
      </c>
    </row>
    <row r="246" spans="5:165">
      <c r="E246" s="170">
        <v>30</v>
      </c>
      <c r="F246" s="217">
        <f t="shared" si="690"/>
        <v>3</v>
      </c>
      <c r="G246" s="217">
        <f t="shared" si="617"/>
        <v>7.4999999999999997E-2</v>
      </c>
      <c r="H246" s="217">
        <f t="shared" si="618"/>
        <v>45</v>
      </c>
      <c r="I246" s="217">
        <f t="shared" si="619"/>
        <v>0.6</v>
      </c>
      <c r="J246" s="541">
        <f t="shared" si="620"/>
        <v>84.727420162931693</v>
      </c>
      <c r="K246" s="443">
        <f t="shared" si="621"/>
        <v>15.846617922801491</v>
      </c>
      <c r="L246" s="172">
        <f t="shared" si="622"/>
        <v>100.57403808573318</v>
      </c>
      <c r="M246" s="443"/>
      <c r="N246" s="217">
        <f t="shared" si="623"/>
        <v>0.15756171497552104</v>
      </c>
      <c r="O246" s="172">
        <f t="shared" si="624"/>
        <v>329.35355985994391</v>
      </c>
      <c r="P246" s="172">
        <f t="shared" si="625"/>
        <v>4.4499325421076863</v>
      </c>
      <c r="Q246" s="217">
        <f t="shared" si="626"/>
        <v>21.956903990662926</v>
      </c>
      <c r="R246" s="217">
        <f t="shared" si="627"/>
        <v>41.169194982492989</v>
      </c>
      <c r="S246" s="217">
        <f t="shared" si="628"/>
        <v>15</v>
      </c>
      <c r="T246" s="217">
        <f t="shared" si="629"/>
        <v>6.8315642343650467</v>
      </c>
      <c r="U246" s="217">
        <f t="shared" si="630"/>
        <v>0.96755891604789279</v>
      </c>
      <c r="V246" s="217">
        <f t="shared" si="631"/>
        <v>5.1732660692489079</v>
      </c>
      <c r="W246" s="197">
        <f t="shared" si="632"/>
        <v>111.24831355269215</v>
      </c>
      <c r="X246" s="443">
        <f t="shared" si="691"/>
        <v>157.70818502620952</v>
      </c>
      <c r="Z246" s="217">
        <f t="shared" si="633"/>
        <v>10</v>
      </c>
      <c r="AA246" s="173">
        <f t="shared" si="634"/>
        <v>7.572593760043496</v>
      </c>
      <c r="AB246" s="173">
        <f t="shared" si="635"/>
        <v>4.1567678537392041</v>
      </c>
      <c r="AC246" s="173"/>
      <c r="AD246" s="173">
        <f t="shared" si="636"/>
        <v>7.572593760043496</v>
      </c>
      <c r="AE246" s="545">
        <f t="shared" si="637"/>
        <v>79.233089614007454</v>
      </c>
      <c r="AF246" s="528">
        <f t="shared" si="638"/>
        <v>4.2121914251223949</v>
      </c>
      <c r="AH246" s="173">
        <f t="shared" si="639"/>
        <v>4.6598589800857404</v>
      </c>
      <c r="AI246" s="173">
        <f t="shared" si="640"/>
        <v>10</v>
      </c>
      <c r="AJ246" s="173">
        <f t="shared" si="641"/>
        <v>1.0452760512080044</v>
      </c>
      <c r="AL246" s="545">
        <f t="shared" si="642"/>
        <v>3000</v>
      </c>
      <c r="AM246" s="460">
        <f t="shared" si="643"/>
        <v>79.233089614007454</v>
      </c>
      <c r="AO246">
        <f t="shared" si="644"/>
        <v>3000</v>
      </c>
      <c r="AP246">
        <f t="shared" si="645"/>
        <v>79.233089614007454</v>
      </c>
      <c r="AR246" s="5">
        <f t="shared" si="616"/>
        <v>12.620989600072495</v>
      </c>
      <c r="AS246" s="5">
        <f t="shared" si="739"/>
        <v>1.4163065483315647</v>
      </c>
      <c r="AT246" s="5">
        <f t="shared" si="740"/>
        <v>11.204683051740929</v>
      </c>
      <c r="AU246" s="173">
        <f t="shared" si="741"/>
        <v>0.11221834366486043</v>
      </c>
      <c r="BA246" s="173">
        <f t="shared" si="692"/>
        <v>1.9340660421752269</v>
      </c>
      <c r="BB246" s="173">
        <f t="shared" si="693"/>
        <v>5.4399192896437345</v>
      </c>
      <c r="BC246" s="173">
        <f t="shared" si="694"/>
        <v>0.13397134564299082</v>
      </c>
      <c r="BD246" s="173"/>
      <c r="BE246" s="528">
        <f t="shared" si="695"/>
        <v>7.4812229109906939E-2</v>
      </c>
      <c r="BF246" s="528">
        <f t="shared" si="646"/>
        <v>1.4941484573417803</v>
      </c>
      <c r="BG246" s="528">
        <f t="shared" si="647"/>
        <v>0.16783038186333071</v>
      </c>
      <c r="BH246" s="528">
        <f t="shared" si="696"/>
        <v>8.0145356722363559E-2</v>
      </c>
      <c r="BI246">
        <f t="shared" si="697"/>
        <v>3.8127339073319264E-2</v>
      </c>
      <c r="BJ246" s="460">
        <f t="shared" si="698"/>
        <v>205.95772093664999</v>
      </c>
      <c r="BK246">
        <f t="shared" si="648"/>
        <v>1.6995148773740418</v>
      </c>
      <c r="BL246" s="460">
        <f t="shared" si="699"/>
        <v>1855.0637641107007</v>
      </c>
      <c r="BM246" s="173">
        <f t="shared" si="649"/>
        <v>1.8637499999999996</v>
      </c>
      <c r="BN246" s="173">
        <f t="shared" si="650"/>
        <v>3.3281249999999998E-2</v>
      </c>
      <c r="BQ246" s="460">
        <f t="shared" si="700"/>
        <v>1897.0312499999995</v>
      </c>
      <c r="BR246" s="528">
        <f t="shared" si="701"/>
        <v>0.1122183436648604</v>
      </c>
      <c r="BS246" s="528">
        <f t="shared" si="702"/>
        <v>0.88778165633513972</v>
      </c>
      <c r="BT246" s="528">
        <f t="shared" si="703"/>
        <v>8.974160726696857E-5</v>
      </c>
      <c r="BU246" s="528">
        <f t="shared" si="704"/>
        <v>0.88356088629028384</v>
      </c>
      <c r="BV246" s="528"/>
      <c r="BW246" s="625">
        <f t="shared" si="705"/>
        <v>7.9233089614007459E-3</v>
      </c>
      <c r="BX246" s="460">
        <f t="shared" si="706"/>
        <v>1891.5739368589518</v>
      </c>
      <c r="BY246" s="173">
        <f t="shared" si="707"/>
        <v>5.6436689509696514</v>
      </c>
      <c r="BZ246" s="5">
        <f t="shared" si="708"/>
        <v>45.6</v>
      </c>
      <c r="CA246" s="173">
        <f t="shared" si="709"/>
        <v>0.88986602508166313</v>
      </c>
      <c r="CB246" s="5">
        <f t="shared" si="710"/>
        <v>88.986602508166314</v>
      </c>
      <c r="CC246">
        <f t="shared" si="711"/>
        <v>30</v>
      </c>
      <c r="CE246" s="562">
        <f t="shared" si="651"/>
        <v>-50</v>
      </c>
      <c r="CG246" s="173">
        <f t="shared" si="652"/>
        <v>0.61384037012891235</v>
      </c>
      <c r="CH246" s="173">
        <f t="shared" si="653"/>
        <v>7.1952412617845296E-2</v>
      </c>
      <c r="CI246" s="170">
        <v>30</v>
      </c>
      <c r="CJ246" s="217">
        <f t="shared" si="712"/>
        <v>3</v>
      </c>
      <c r="CK246" s="217">
        <f t="shared" si="654"/>
        <v>7.4999999999999997E-2</v>
      </c>
      <c r="CL246" s="217">
        <f t="shared" si="655"/>
        <v>45</v>
      </c>
      <c r="CM246" s="217">
        <f t="shared" si="656"/>
        <v>0.6</v>
      </c>
      <c r="CN246" s="541">
        <f t="shared" si="657"/>
        <v>85</v>
      </c>
      <c r="CO246" s="443">
        <f t="shared" si="658"/>
        <v>15.7</v>
      </c>
      <c r="CP246" s="443">
        <f t="shared" si="659"/>
        <v>100.7</v>
      </c>
      <c r="CQ246" s="443"/>
      <c r="CR246" s="217">
        <f t="shared" si="660"/>
        <v>0.15338645418326693</v>
      </c>
      <c r="CS246" s="172">
        <f t="shared" si="661"/>
        <v>321.65744915076539</v>
      </c>
      <c r="CT246" s="172">
        <f t="shared" si="662"/>
        <v>4.3459495351925632</v>
      </c>
      <c r="CU246" s="217">
        <f t="shared" si="663"/>
        <v>21.443829943384358</v>
      </c>
      <c r="CV246" s="217">
        <f t="shared" si="664"/>
        <v>40.207181143845673</v>
      </c>
      <c r="CW246" s="217">
        <f t="shared" si="665"/>
        <v>15</v>
      </c>
      <c r="CX246" s="217">
        <f t="shared" si="666"/>
        <v>6.9950190985485099</v>
      </c>
      <c r="CY246" s="217">
        <f t="shared" si="667"/>
        <v>0.98753210803037783</v>
      </c>
      <c r="CZ246" s="217">
        <f t="shared" si="668"/>
        <v>5.34651141290332</v>
      </c>
      <c r="DA246" s="197">
        <f t="shared" si="669"/>
        <v>110.43528632903013</v>
      </c>
      <c r="DB246" s="443">
        <f t="shared" si="670"/>
        <v>157.87703331924544</v>
      </c>
      <c r="DD246" s="217">
        <f t="shared" si="671"/>
        <v>9.9999999999999982</v>
      </c>
      <c r="DE246" s="173">
        <f t="shared" si="672"/>
        <v>7.6433121019108263</v>
      </c>
      <c r="DF246" s="173">
        <f t="shared" si="673"/>
        <v>4.1649244760361679</v>
      </c>
      <c r="DG246" s="173"/>
      <c r="DH246" s="173">
        <f t="shared" si="674"/>
        <v>7.6433121019108281</v>
      </c>
      <c r="DI246" s="545">
        <f t="shared" si="675"/>
        <v>78.500000000000014</v>
      </c>
      <c r="DJ246" s="528">
        <f t="shared" si="676"/>
        <v>4.2204568023833167</v>
      </c>
      <c r="DL246" s="173">
        <f t="shared" si="677"/>
        <v>4.6598589800857404</v>
      </c>
      <c r="DM246" s="173">
        <f t="shared" si="678"/>
        <v>10</v>
      </c>
      <c r="DN246" s="173">
        <f t="shared" si="679"/>
        <v>1.0448571428571429</v>
      </c>
      <c r="DP246" s="545">
        <f t="shared" si="680"/>
        <v>3000</v>
      </c>
      <c r="DQ246" s="460">
        <f t="shared" si="681"/>
        <v>78.500000000000014</v>
      </c>
      <c r="DS246">
        <f t="shared" si="682"/>
        <v>3000</v>
      </c>
      <c r="DT246">
        <f t="shared" si="683"/>
        <v>78.500000000000014</v>
      </c>
      <c r="DV246" s="5">
        <f t="shared" si="684"/>
        <v>12.738853503184711</v>
      </c>
      <c r="DW246" s="5">
        <f t="shared" si="685"/>
        <v>1.4117647058823528</v>
      </c>
      <c r="DX246" s="5">
        <f t="shared" si="686"/>
        <v>11.327088797302357</v>
      </c>
      <c r="DY246" s="173">
        <f t="shared" si="687"/>
        <v>0.11082352941176472</v>
      </c>
      <c r="EA246" s="5">
        <f t="shared" si="713"/>
        <v>28.235294117647054</v>
      </c>
      <c r="EB246" s="5">
        <f t="shared" si="714"/>
        <v>1.3235294117647056</v>
      </c>
      <c r="EC246" s="5">
        <f t="shared" si="715"/>
        <v>2.0678255410896793</v>
      </c>
      <c r="ED246" s="5"/>
      <c r="EE246" s="173">
        <f t="shared" si="716"/>
        <v>1.9220087531171195</v>
      </c>
      <c r="EF246" s="173">
        <f t="shared" si="717"/>
        <v>5.4441910038383581</v>
      </c>
      <c r="EG246" s="173">
        <f t="shared" si="718"/>
        <v>0.13407654707492114</v>
      </c>
      <c r="EH246" s="173"/>
      <c r="EI246" s="528">
        <f t="shared" si="719"/>
        <v>7.3882352941176496E-2</v>
      </c>
      <c r="EJ246" s="528">
        <f t="shared" si="720"/>
        <v>1.5809900000000003</v>
      </c>
      <c r="EK246" s="528">
        <f t="shared" si="721"/>
        <v>9.8125000000000018E-3</v>
      </c>
      <c r="EL246" s="528">
        <f t="shared" si="722"/>
        <v>7.9602846500000018E-2</v>
      </c>
      <c r="EM246">
        <f t="shared" si="723"/>
        <v>3.8249999999999999E-2</v>
      </c>
      <c r="EN246" s="460">
        <f t="shared" si="724"/>
        <v>48.0625</v>
      </c>
      <c r="EP246" s="460">
        <f t="shared" si="725"/>
        <v>1782.5376994411768</v>
      </c>
      <c r="EQ246" s="173">
        <f t="shared" si="726"/>
        <v>2.0999999999999996</v>
      </c>
      <c r="ER246" s="173">
        <f t="shared" si="688"/>
        <v>3.3281249999999998E-2</v>
      </c>
      <c r="ES246" s="528"/>
      <c r="EU246" s="460">
        <f t="shared" si="727"/>
        <v>2133.2812499999995</v>
      </c>
      <c r="EV246" s="528">
        <f t="shared" si="728"/>
        <v>0.11082352941176474</v>
      </c>
      <c r="EW246" s="528">
        <f t="shared" si="729"/>
        <v>0.88917647058823523</v>
      </c>
      <c r="EX246" s="528">
        <f t="shared" si="730"/>
        <v>8.988260237766773E-5</v>
      </c>
      <c r="EY246" s="528">
        <f t="shared" si="731"/>
        <v>0.86326502555794893</v>
      </c>
      <c r="EZ246" s="528"/>
      <c r="FA246" s="625">
        <f t="shared" si="732"/>
        <v>7.8500000000000028E-3</v>
      </c>
      <c r="FB246" s="460">
        <f t="shared" si="733"/>
        <v>1871.2049081603266</v>
      </c>
      <c r="FC246" s="173">
        <f t="shared" si="734"/>
        <v>5.7870238576015032</v>
      </c>
      <c r="FD246" s="5">
        <f t="shared" si="735"/>
        <v>45.6</v>
      </c>
      <c r="FE246" s="173">
        <f t="shared" si="736"/>
        <v>0.88738355671972913</v>
      </c>
      <c r="FF246" s="5">
        <f t="shared" si="737"/>
        <v>88.738355671972911</v>
      </c>
      <c r="FG246">
        <f t="shared" si="738"/>
        <v>30</v>
      </c>
      <c r="FI246" s="562">
        <f t="shared" si="689"/>
        <v>-50</v>
      </c>
    </row>
    <row r="247" spans="5:165">
      <c r="E247" s="170">
        <v>31</v>
      </c>
      <c r="F247" s="217">
        <f t="shared" si="690"/>
        <v>3.1</v>
      </c>
      <c r="G247" s="217">
        <f t="shared" si="617"/>
        <v>7.7499999999999999E-2</v>
      </c>
      <c r="H247" s="217">
        <f t="shared" si="618"/>
        <v>46.5</v>
      </c>
      <c r="I247" s="217">
        <f t="shared" si="619"/>
        <v>0.62</v>
      </c>
      <c r="J247" s="541">
        <f t="shared" si="620"/>
        <v>84.727420162931693</v>
      </c>
      <c r="K247" s="443">
        <f t="shared" si="621"/>
        <v>15.846617922801491</v>
      </c>
      <c r="L247" s="172">
        <f t="shared" si="622"/>
        <v>100.57403808573318</v>
      </c>
      <c r="M247" s="443"/>
      <c r="N247" s="217">
        <f t="shared" si="623"/>
        <v>0.15756171497552104</v>
      </c>
      <c r="O247" s="172">
        <f t="shared" si="624"/>
        <v>329.35355985994391</v>
      </c>
      <c r="P247" s="172">
        <f t="shared" si="625"/>
        <v>4.4499325421076863</v>
      </c>
      <c r="Q247" s="217">
        <f t="shared" si="626"/>
        <v>21.956903990662926</v>
      </c>
      <c r="R247" s="217">
        <f t="shared" si="627"/>
        <v>41.169194982492989</v>
      </c>
      <c r="S247" s="217">
        <f t="shared" si="628"/>
        <v>15</v>
      </c>
      <c r="T247" s="217">
        <f t="shared" si="629"/>
        <v>7.0592830421772144</v>
      </c>
      <c r="U247" s="217">
        <f t="shared" si="630"/>
        <v>0.9998108799161558</v>
      </c>
      <c r="V247" s="217">
        <f t="shared" si="631"/>
        <v>5.3457082715572053</v>
      </c>
      <c r="W247" s="197">
        <f t="shared" si="632"/>
        <v>111.24831355269215</v>
      </c>
      <c r="X247" s="443">
        <f t="shared" si="691"/>
        <v>152.77626982038626</v>
      </c>
      <c r="Z247" s="217">
        <f t="shared" si="633"/>
        <v>10</v>
      </c>
      <c r="AA247" s="173">
        <f t="shared" si="634"/>
        <v>7.572593760043496</v>
      </c>
      <c r="AB247" s="173">
        <f t="shared" si="635"/>
        <v>4.1567678537392041</v>
      </c>
      <c r="AC247" s="173"/>
      <c r="AD247" s="173">
        <f t="shared" si="636"/>
        <v>7.572593760043496</v>
      </c>
      <c r="AE247" s="545">
        <f t="shared" si="637"/>
        <v>81.874192601141033</v>
      </c>
      <c r="AF247" s="528">
        <f t="shared" si="638"/>
        <v>4.2121914251223949</v>
      </c>
      <c r="AH247" s="173">
        <f t="shared" si="639"/>
        <v>4.7368866608876381</v>
      </c>
      <c r="AI247" s="173">
        <f t="shared" si="640"/>
        <v>10</v>
      </c>
      <c r="AJ247" s="173">
        <f t="shared" si="641"/>
        <v>1.0467852529149377</v>
      </c>
      <c r="AL247" s="545">
        <f t="shared" si="642"/>
        <v>3100</v>
      </c>
      <c r="AM247" s="460">
        <f t="shared" si="643"/>
        <v>81.874192601141033</v>
      </c>
      <c r="AO247">
        <f t="shared" si="644"/>
        <v>3100</v>
      </c>
      <c r="AP247">
        <f t="shared" si="645"/>
        <v>81.874192601141033</v>
      </c>
      <c r="AR247" s="5">
        <f t="shared" si="616"/>
        <v>12.213860903295963</v>
      </c>
      <c r="AS247" s="5">
        <f t="shared" si="739"/>
        <v>1.4163065483315647</v>
      </c>
      <c r="AT247" s="5">
        <f t="shared" si="740"/>
        <v>10.797554354964397</v>
      </c>
      <c r="AU247" s="173">
        <f t="shared" si="741"/>
        <v>0.11595895512035578</v>
      </c>
      <c r="BA247" s="173">
        <f t="shared" si="692"/>
        <v>1.9660362417849422</v>
      </c>
      <c r="BB247" s="173">
        <f t="shared" si="693"/>
        <v>5.4284468155561285</v>
      </c>
      <c r="BC247" s="173">
        <f t="shared" si="694"/>
        <v>0.13368880784977447</v>
      </c>
      <c r="BD247" s="173"/>
      <c r="BE247" s="528">
        <f t="shared" si="695"/>
        <v>7.7305970080237194E-2</v>
      </c>
      <c r="BF247" s="528">
        <f t="shared" si="646"/>
        <v>1.5439534059198396</v>
      </c>
      <c r="BG247" s="528">
        <f t="shared" si="647"/>
        <v>0.17342472792544175</v>
      </c>
      <c r="BH247" s="528">
        <f t="shared" si="696"/>
        <v>8.281686861310901E-2</v>
      </c>
      <c r="BI247">
        <f t="shared" si="697"/>
        <v>3.8127339073319264E-2</v>
      </c>
      <c r="BJ247" s="460">
        <f t="shared" si="698"/>
        <v>211.55206699876101</v>
      </c>
      <c r="BK247">
        <f t="shared" si="648"/>
        <v>1.7572253942014628</v>
      </c>
      <c r="BL247" s="460">
        <f t="shared" si="699"/>
        <v>1915.6283116119469</v>
      </c>
      <c r="BM247" s="173">
        <f t="shared" si="649"/>
        <v>1.9258749999999998</v>
      </c>
      <c r="BN247" s="173">
        <f t="shared" si="650"/>
        <v>3.4390625000000001E-2</v>
      </c>
      <c r="BQ247" s="460">
        <f t="shared" si="700"/>
        <v>1960.2656249999998</v>
      </c>
      <c r="BR247" s="528">
        <f t="shared" si="701"/>
        <v>0.11595895512035578</v>
      </c>
      <c r="BS247" s="528">
        <f t="shared" si="702"/>
        <v>0.88404104487964408</v>
      </c>
      <c r="BT247" s="528">
        <f t="shared" si="703"/>
        <v>8.9363486721469597E-5</v>
      </c>
      <c r="BU247" s="528">
        <f t="shared" si="704"/>
        <v>0.95904189620367564</v>
      </c>
      <c r="BV247" s="528"/>
      <c r="BW247" s="625">
        <f t="shared" si="705"/>
        <v>8.1874192601141035E-3</v>
      </c>
      <c r="BX247" s="460">
        <f t="shared" si="706"/>
        <v>1967.318678950511</v>
      </c>
      <c r="BY247" s="173">
        <f t="shared" si="707"/>
        <v>5.8432126155624573</v>
      </c>
      <c r="BZ247" s="5">
        <f t="shared" si="708"/>
        <v>47.12</v>
      </c>
      <c r="CA247" s="173">
        <f t="shared" si="709"/>
        <v>0.88967412800322621</v>
      </c>
      <c r="CB247" s="5">
        <f t="shared" si="710"/>
        <v>88.96741280032262</v>
      </c>
      <c r="CC247">
        <f t="shared" si="711"/>
        <v>31</v>
      </c>
      <c r="CE247" s="562">
        <f t="shared" si="651"/>
        <v>-50</v>
      </c>
      <c r="CG247" s="173">
        <f t="shared" si="652"/>
        <v>0.63430171579987593</v>
      </c>
      <c r="CH247" s="173">
        <f t="shared" si="653"/>
        <v>7.4350826371773468E-2</v>
      </c>
      <c r="CI247" s="170">
        <v>31</v>
      </c>
      <c r="CJ247" s="217">
        <f t="shared" si="712"/>
        <v>3.1</v>
      </c>
      <c r="CK247" s="217">
        <f t="shared" si="654"/>
        <v>7.7499999999999999E-2</v>
      </c>
      <c r="CL247" s="217">
        <f t="shared" si="655"/>
        <v>46.5</v>
      </c>
      <c r="CM247" s="217">
        <f t="shared" si="656"/>
        <v>0.62</v>
      </c>
      <c r="CN247" s="541">
        <f t="shared" si="657"/>
        <v>85</v>
      </c>
      <c r="CO247" s="443">
        <f t="shared" si="658"/>
        <v>15.7</v>
      </c>
      <c r="CP247" s="443">
        <f t="shared" si="659"/>
        <v>100.7</v>
      </c>
      <c r="CQ247" s="443"/>
      <c r="CR247" s="217">
        <f t="shared" si="660"/>
        <v>0.15338645418326693</v>
      </c>
      <c r="CS247" s="172">
        <f t="shared" si="661"/>
        <v>321.65744915076539</v>
      </c>
      <c r="CT247" s="172">
        <f t="shared" si="662"/>
        <v>4.3459495351925632</v>
      </c>
      <c r="CU247" s="217">
        <f t="shared" si="663"/>
        <v>21.443829943384358</v>
      </c>
      <c r="CV247" s="217">
        <f t="shared" si="664"/>
        <v>40.207181143845673</v>
      </c>
      <c r="CW247" s="217">
        <f t="shared" si="665"/>
        <v>15</v>
      </c>
      <c r="CX247" s="217">
        <f t="shared" si="666"/>
        <v>7.2281864018334598</v>
      </c>
      <c r="CY247" s="217">
        <f t="shared" si="667"/>
        <v>1.0204498449647239</v>
      </c>
      <c r="CZ247" s="217">
        <f t="shared" si="668"/>
        <v>5.5247284600000972</v>
      </c>
      <c r="DA247" s="197">
        <f t="shared" si="669"/>
        <v>110.43528632903013</v>
      </c>
      <c r="DB247" s="443">
        <f t="shared" si="670"/>
        <v>152.78422579281815</v>
      </c>
      <c r="DD247" s="217">
        <f t="shared" si="671"/>
        <v>9.9999999999999982</v>
      </c>
      <c r="DE247" s="173">
        <f t="shared" si="672"/>
        <v>7.6433121019108263</v>
      </c>
      <c r="DF247" s="173">
        <f t="shared" si="673"/>
        <v>4.1649244760361679</v>
      </c>
      <c r="DG247" s="173"/>
      <c r="DH247" s="173">
        <f t="shared" si="674"/>
        <v>7.6433121019108281</v>
      </c>
      <c r="DI247" s="545">
        <f t="shared" si="675"/>
        <v>81.116666666666674</v>
      </c>
      <c r="DJ247" s="528">
        <f t="shared" si="676"/>
        <v>4.2204568023833167</v>
      </c>
      <c r="DL247" s="173">
        <f t="shared" si="677"/>
        <v>4.7368866608876381</v>
      </c>
      <c r="DM247" s="173">
        <f t="shared" si="678"/>
        <v>10</v>
      </c>
      <c r="DN247" s="173">
        <f t="shared" si="679"/>
        <v>1.0463523809523809</v>
      </c>
      <c r="DP247" s="545">
        <f t="shared" si="680"/>
        <v>3100</v>
      </c>
      <c r="DQ247" s="460">
        <f t="shared" si="681"/>
        <v>81.116666666666674</v>
      </c>
      <c r="DS247">
        <f t="shared" si="682"/>
        <v>3100</v>
      </c>
      <c r="DT247">
        <f t="shared" si="683"/>
        <v>81.116666666666674</v>
      </c>
      <c r="DV247" s="5">
        <f t="shared" si="684"/>
        <v>12.327922745017464</v>
      </c>
      <c r="DW247" s="5">
        <f t="shared" si="685"/>
        <v>1.4117647058823528</v>
      </c>
      <c r="DX247" s="5">
        <f t="shared" si="686"/>
        <v>10.916158039135111</v>
      </c>
      <c r="DY247" s="173">
        <f t="shared" si="687"/>
        <v>0.11451764705882353</v>
      </c>
      <c r="EA247" s="5">
        <f t="shared" si="713"/>
        <v>29.17647058823529</v>
      </c>
      <c r="EB247" s="5">
        <f t="shared" si="714"/>
        <v>1.3676470588235294</v>
      </c>
      <c r="EC247" s="5">
        <f t="shared" si="715"/>
        <v>2.0592346808104773</v>
      </c>
      <c r="ED247" s="5"/>
      <c r="EE247" s="173">
        <f t="shared" si="716"/>
        <v>1.9537796451905174</v>
      </c>
      <c r="EF247" s="173">
        <f t="shared" si="717"/>
        <v>5.4328701835560693</v>
      </c>
      <c r="EG247" s="173">
        <f t="shared" si="718"/>
        <v>0.13379774412836126</v>
      </c>
      <c r="EH247" s="173"/>
      <c r="EI247" s="528">
        <f t="shared" si="719"/>
        <v>7.6345098039215686E-2</v>
      </c>
      <c r="EJ247" s="528">
        <f t="shared" si="720"/>
        <v>1.6336896666666669</v>
      </c>
      <c r="EK247" s="528">
        <f t="shared" si="721"/>
        <v>1.0139583333333334E-2</v>
      </c>
      <c r="EL247" s="528">
        <f t="shared" si="722"/>
        <v>8.2256274716666675E-2</v>
      </c>
      <c r="EM247">
        <f t="shared" si="723"/>
        <v>3.8249999999999999E-2</v>
      </c>
      <c r="EN247" s="460">
        <f t="shared" si="724"/>
        <v>48.389583333333334</v>
      </c>
      <c r="EP247" s="460">
        <f t="shared" si="725"/>
        <v>1840.6806227558825</v>
      </c>
      <c r="EQ247" s="173">
        <f t="shared" si="726"/>
        <v>2.17</v>
      </c>
      <c r="ER247" s="173">
        <f t="shared" si="688"/>
        <v>3.4390625000000001E-2</v>
      </c>
      <c r="ES247" s="528"/>
      <c r="EU247" s="460">
        <f t="shared" si="727"/>
        <v>2204.390625</v>
      </c>
      <c r="EV247" s="528">
        <f t="shared" si="728"/>
        <v>0.11451764705882352</v>
      </c>
      <c r="EW247" s="528">
        <f t="shared" si="729"/>
        <v>0.88548235294117672</v>
      </c>
      <c r="EX247" s="528">
        <f t="shared" si="730"/>
        <v>8.9509181669192154E-5</v>
      </c>
      <c r="EY247" s="528">
        <f t="shared" si="731"/>
        <v>0.93701219676377678</v>
      </c>
      <c r="EZ247" s="528"/>
      <c r="FA247" s="625">
        <f t="shared" si="732"/>
        <v>8.1116666666666681E-3</v>
      </c>
      <c r="FB247" s="460">
        <f t="shared" si="733"/>
        <v>1945.2133726121131</v>
      </c>
      <c r="FC247" s="173">
        <f t="shared" si="734"/>
        <v>5.9902846203679951</v>
      </c>
      <c r="FD247" s="5">
        <f t="shared" si="735"/>
        <v>47.12</v>
      </c>
      <c r="FE247" s="173">
        <f t="shared" si="736"/>
        <v>0.88721045908176699</v>
      </c>
      <c r="FF247" s="5">
        <f t="shared" si="737"/>
        <v>88.721045908176706</v>
      </c>
      <c r="FG247">
        <f t="shared" si="738"/>
        <v>31</v>
      </c>
      <c r="FI247" s="562">
        <f t="shared" si="689"/>
        <v>-50</v>
      </c>
    </row>
    <row r="248" spans="5:165">
      <c r="E248" s="170">
        <v>32</v>
      </c>
      <c r="F248" s="217">
        <f t="shared" si="690"/>
        <v>3.2</v>
      </c>
      <c r="G248" s="217">
        <f t="shared" ref="G248:G279" si="742">IF(PLOT_TYPE=1, E248/100*Iout2, min_I*EXP(Q248*rr/100))</f>
        <v>0.08</v>
      </c>
      <c r="H248" s="217">
        <f t="shared" ref="H248:H279" si="743">F248*Vout</f>
        <v>48</v>
      </c>
      <c r="I248" s="217">
        <f t="shared" ref="I248:I279" si="744">Vout2*G248</f>
        <v>0.64</v>
      </c>
      <c r="J248" s="541">
        <f t="shared" ref="J248:J279" si="745">VIN_max-(F248/CG248/Nps+G248/CH248/(Nps/Nsec1sec2))*(Rdcr_pri+RON/1000)</f>
        <v>84.727420162931693</v>
      </c>
      <c r="K248" s="443">
        <f t="shared" ref="K248:K279" si="746">MAX((S248+Vfwd2+Rdcr_sec*F248/CG248)*Nps,(Vout2+Vfwd22+Rdcr_sec2*G248/CH248)*Nps/Nsec1sec2)</f>
        <v>15.846617922801491</v>
      </c>
      <c r="L248" s="172">
        <f t="shared" ref="L248:L279" si="747">MAX((Vout+Vfwd2+F248/CG248*Rdcr_sec)*Nps+J248, (Vout2+Vfwd22+G248/CH248*Rdcr_sec2)*Nps/Nsec1sec2+J248)</f>
        <v>100.57403808573318</v>
      </c>
      <c r="M248" s="443"/>
      <c r="N248" s="217">
        <f t="shared" ref="N248:N279" si="748">MAX((Vout+Vfwd2+F248/CG248*Rdcr_sec)*Nps/((Vout+Vfwd2+F248/CG248*Rdcr_sec)*Nps+J248), (Vout2+Vfwd22+G248/CH248*Rdcr_sec2)*Nps/Nsec1sec2/((Vout2+Vfwd22+G248/CH248*Rdcr_sec2)*Nps/Nsec1sec2+J248))</f>
        <v>0.15756171497552104</v>
      </c>
      <c r="O248" s="172">
        <f t="shared" ref="O248:O279" si="749">N248*J248*Isw_max*0.5*Efficiency*Pout/(Pout+Pout2)</f>
        <v>329.35355985994391</v>
      </c>
      <c r="P248" s="172">
        <f t="shared" ref="P248:P279" si="750">N248*J248*Isw_max*0.5*Efficiency*(Pout2/Pout_total)</f>
        <v>4.4499325421076863</v>
      </c>
      <c r="Q248" s="217">
        <f t="shared" si="626"/>
        <v>21.956903990662926</v>
      </c>
      <c r="R248" s="217">
        <f t="shared" ref="R248:R279" si="751">O248/Vout2</f>
        <v>41.169194982492989</v>
      </c>
      <c r="S248" s="217">
        <f t="shared" ref="S248:S279" si="752">MIN(Vout,O248/F248)</f>
        <v>15</v>
      </c>
      <c r="T248" s="217">
        <f t="shared" ref="T248:T279" si="753">MIN(2*(Vout*F248+Vout2*G248)/(Efficiency*J248*N248), Isw_max)</f>
        <v>7.2870018499893829</v>
      </c>
      <c r="U248" s="217">
        <f t="shared" si="630"/>
        <v>1.0320628437844188</v>
      </c>
      <c r="V248" s="217">
        <f t="shared" si="631"/>
        <v>5.5181504738655018</v>
      </c>
      <c r="W248" s="197">
        <f t="shared" si="632"/>
        <v>111.24831355269215</v>
      </c>
      <c r="X248" s="443">
        <f t="shared" si="691"/>
        <v>148.14346642724306</v>
      </c>
      <c r="Z248" s="217">
        <f t="shared" si="633"/>
        <v>10</v>
      </c>
      <c r="AA248" s="173">
        <f t="shared" si="634"/>
        <v>7.572593760043496</v>
      </c>
      <c r="AB248" s="173">
        <f t="shared" ref="AB248:AB279" si="754">0.5*AA248*Z248*Nps*W248/1000*(Pout/(Pout+Pout2))</f>
        <v>4.1567678537392041</v>
      </c>
      <c r="AC248" s="173"/>
      <c r="AD248" s="173">
        <f t="shared" si="636"/>
        <v>7.572593760043496</v>
      </c>
      <c r="AE248" s="545">
        <f t="shared" ref="AE248:AE279" si="755">MAX(10, F248/(0.5*AD248/1000000*Isw_min*Nps)/1000*Pout_total/Pout)</f>
        <v>84.515295588274611</v>
      </c>
      <c r="AF248" s="528">
        <f t="shared" ref="AF248:AF279" si="756">0.5*AD248/1000000*Isw_min*Nps*W248*1000*(Pout/Pout_total)</f>
        <v>4.2121914251223949</v>
      </c>
      <c r="AH248" s="173">
        <f t="shared" ref="AH248:AH279" si="757">SQRT((H248+I248)/(0.5*L*Fsw_DCM))</f>
        <v>4.8126816601459064</v>
      </c>
      <c r="AI248" s="173">
        <f t="shared" ref="AI248:AI279" si="758">MAX(IF(F248&gt;AB248,T248,AH248),Isw_min)</f>
        <v>10</v>
      </c>
      <c r="AJ248" s="173">
        <f t="shared" ref="AJ248:AJ279" si="759">IF(F248&gt;AF248, (AI248-Isw_min)/1.08*0.8+1.2, AE248*0.2/350+1)</f>
        <v>1.0482944546218711</v>
      </c>
      <c r="AL248" s="545">
        <f t="shared" ref="AL248:AL279" si="760">F248*1000</f>
        <v>3200</v>
      </c>
      <c r="AM248" s="460">
        <f t="shared" ref="AM248:AM279" si="761">IF(F248&gt;AF248, X248, AE248)</f>
        <v>84.515295588274611</v>
      </c>
      <c r="AO248">
        <f t="shared" si="644"/>
        <v>3200</v>
      </c>
      <c r="AP248">
        <f t="shared" si="645"/>
        <v>84.515295588274611</v>
      </c>
      <c r="AR248" s="5">
        <f t="shared" si="616"/>
        <v>11.832177750067963</v>
      </c>
      <c r="AS248" s="5">
        <f t="shared" si="739"/>
        <v>1.4163065483315647</v>
      </c>
      <c r="AT248" s="5">
        <f t="shared" si="740"/>
        <v>10.415871201736397</v>
      </c>
      <c r="AU248" s="173">
        <f t="shared" si="741"/>
        <v>0.11969956657585114</v>
      </c>
      <c r="BA248" s="173">
        <f t="shared" si="692"/>
        <v>1.9974948191493191</v>
      </c>
      <c r="BB248" s="173">
        <f t="shared" si="693"/>
        <v>5.4169500441489182</v>
      </c>
      <c r="BC248" s="173">
        <f t="shared" si="694"/>
        <v>0.13340567167551062</v>
      </c>
      <c r="BD248" s="173"/>
      <c r="BE248" s="528">
        <f t="shared" si="695"/>
        <v>7.9799711050567435E-2</v>
      </c>
      <c r="BF248" s="528">
        <f t="shared" ref="BF248:BF279" si="762">0.5*L248*AI248*AM248*1000*Tfall</f>
        <v>1.593758354497899</v>
      </c>
      <c r="BG248" s="528">
        <f t="shared" ref="BG248:BG279" si="763">Qg*Vdd*AM248*1000*0+Qg*J248*AM248*1000</f>
        <v>0.17901907398755276</v>
      </c>
      <c r="BH248" s="528">
        <f t="shared" si="696"/>
        <v>8.5488380503854461E-2</v>
      </c>
      <c r="BI248">
        <f t="shared" si="697"/>
        <v>3.8127339073319264E-2</v>
      </c>
      <c r="BJ248" s="460">
        <f t="shared" si="698"/>
        <v>217.14641306087202</v>
      </c>
      <c r="BK248">
        <f t="shared" ref="BK248:BK279" si="764">(BF248+BG248*0+BH248+BI248*0+BE248*(1+RdsonTC*(Ta-25)))/(1-BE248*RdsonTC*ThetaJA)</f>
        <v>1.815005621208694</v>
      </c>
      <c r="BL248" s="460">
        <f t="shared" si="699"/>
        <v>1976.192859113193</v>
      </c>
      <c r="BM248" s="173">
        <f t="shared" ref="BM248:BM279" si="765">Vfwd2*F248*(1+Diode_TC/1000*(Ta-25))</f>
        <v>1.9879999999999998</v>
      </c>
      <c r="BN248" s="173">
        <f t="shared" ref="BN248:BN279" si="766">Vfwd22*G248*(1+Diode_TC/1000*(Ta-25))</f>
        <v>3.5499999999999997E-2</v>
      </c>
      <c r="BQ248" s="460">
        <f t="shared" si="700"/>
        <v>2023.4999999999998</v>
      </c>
      <c r="BR248" s="528">
        <f t="shared" si="701"/>
        <v>0.11969956657585114</v>
      </c>
      <c r="BS248" s="528">
        <f t="shared" si="702"/>
        <v>0.88030043342414899</v>
      </c>
      <c r="BT248" s="528">
        <f t="shared" si="703"/>
        <v>8.8985366175970692E-5</v>
      </c>
      <c r="BU248" s="528">
        <f t="shared" si="704"/>
        <v>1.0382651840929287</v>
      </c>
      <c r="BV248" s="528"/>
      <c r="BW248" s="625">
        <f t="shared" si="705"/>
        <v>8.4515295588274628E-3</v>
      </c>
      <c r="BX248" s="460">
        <f t="shared" si="706"/>
        <v>2046.8056990179325</v>
      </c>
      <c r="BY248" s="173">
        <f t="shared" si="707"/>
        <v>6.046498558131125</v>
      </c>
      <c r="BZ248" s="5">
        <f t="shared" si="708"/>
        <v>48.64</v>
      </c>
      <c r="CA248" s="173">
        <f t="shared" si="709"/>
        <v>0.88943343023317234</v>
      </c>
      <c r="CB248" s="5">
        <f t="shared" si="710"/>
        <v>88.94334302331724</v>
      </c>
      <c r="CC248">
        <f t="shared" si="711"/>
        <v>32</v>
      </c>
      <c r="CE248" s="562">
        <f t="shared" ref="CE248:CE279" si="767">IF(ABS(F248-Ioutmax_Vinmax)&lt;Iout/200, AM248, -50)</f>
        <v>-50</v>
      </c>
      <c r="CG248" s="173">
        <f t="shared" ref="CG248:CG279" si="768">MIN(SQRT(2*DT248*1000*Ls1_*CL248)/CW248, 1-DY248)</f>
        <v>0.65476306147083974</v>
      </c>
      <c r="CH248" s="173">
        <f t="shared" ref="CH248:CH279" si="769">MIN(SQRT(2*DT248*1000*Ls2_*CM248)/Vout2, 1-DY248)</f>
        <v>7.674924012570164E-2</v>
      </c>
      <c r="CI248" s="170">
        <v>32</v>
      </c>
      <c r="CJ248" s="217">
        <f t="shared" si="712"/>
        <v>3.2</v>
      </c>
      <c r="CK248" s="217">
        <f t="shared" si="654"/>
        <v>0.08</v>
      </c>
      <c r="CL248" s="217">
        <f t="shared" si="655"/>
        <v>48</v>
      </c>
      <c r="CM248" s="217">
        <f t="shared" si="656"/>
        <v>0.64</v>
      </c>
      <c r="CN248" s="541">
        <f t="shared" si="657"/>
        <v>85</v>
      </c>
      <c r="CO248" s="443">
        <f t="shared" ref="CO248:CO279" si="770">(CW248+Vfwd2)*Nps</f>
        <v>15.7</v>
      </c>
      <c r="CP248" s="443">
        <f t="shared" ref="CP248:CP279" si="771">(Vout+Vfwd2)*Nps+CN248</f>
        <v>100.7</v>
      </c>
      <c r="CQ248" s="443"/>
      <c r="CR248" s="217">
        <f t="shared" si="660"/>
        <v>0.15338645418326693</v>
      </c>
      <c r="CS248" s="172">
        <f t="shared" si="661"/>
        <v>321.65744915076539</v>
      </c>
      <c r="CT248" s="172">
        <f t="shared" si="662"/>
        <v>4.3459495351925632</v>
      </c>
      <c r="CU248" s="217">
        <f t="shared" si="663"/>
        <v>21.443829943384358</v>
      </c>
      <c r="CV248" s="217">
        <f t="shared" si="664"/>
        <v>40.207181143845673</v>
      </c>
      <c r="CW248" s="217">
        <f t="shared" si="665"/>
        <v>15</v>
      </c>
      <c r="CX248" s="217">
        <f t="shared" si="666"/>
        <v>7.4613537051184107</v>
      </c>
      <c r="CY248" s="217">
        <f t="shared" si="667"/>
        <v>1.0533675818990698</v>
      </c>
      <c r="CZ248" s="217">
        <f t="shared" si="668"/>
        <v>5.7029455070968753</v>
      </c>
      <c r="DA248" s="197">
        <f t="shared" si="669"/>
        <v>110.43528632903013</v>
      </c>
      <c r="DB248" s="443">
        <f t="shared" si="670"/>
        <v>148.00971873679256</v>
      </c>
      <c r="DD248" s="217">
        <f t="shared" si="671"/>
        <v>9.9999999999999982</v>
      </c>
      <c r="DE248" s="173">
        <f t="shared" si="672"/>
        <v>7.6433121019108263</v>
      </c>
      <c r="DF248" s="173">
        <f t="shared" si="673"/>
        <v>4.1649244760361679</v>
      </c>
      <c r="DG248" s="173"/>
      <c r="DH248" s="173">
        <f t="shared" si="674"/>
        <v>7.6433121019108281</v>
      </c>
      <c r="DI248" s="545">
        <f t="shared" si="675"/>
        <v>83.733333333333348</v>
      </c>
      <c r="DJ248" s="528">
        <f t="shared" si="676"/>
        <v>4.2204568023833167</v>
      </c>
      <c r="DL248" s="173">
        <f t="shared" si="677"/>
        <v>4.8126816601459064</v>
      </c>
      <c r="DM248" s="173">
        <f t="shared" si="678"/>
        <v>10</v>
      </c>
      <c r="DN248" s="173">
        <f t="shared" si="679"/>
        <v>1.0478476190476191</v>
      </c>
      <c r="DP248" s="545">
        <f t="shared" si="680"/>
        <v>3200</v>
      </c>
      <c r="DQ248" s="460">
        <f t="shared" si="681"/>
        <v>83.733333333333348</v>
      </c>
      <c r="DS248">
        <f t="shared" si="682"/>
        <v>3200</v>
      </c>
      <c r="DT248">
        <f t="shared" si="683"/>
        <v>83.733333333333348</v>
      </c>
      <c r="DV248" s="5">
        <f t="shared" si="684"/>
        <v>11.942675159235666</v>
      </c>
      <c r="DW248" s="5">
        <f t="shared" si="685"/>
        <v>1.4117647058823528</v>
      </c>
      <c r="DX248" s="5">
        <f t="shared" si="686"/>
        <v>10.530910453353313</v>
      </c>
      <c r="DY248" s="173">
        <f t="shared" si="687"/>
        <v>0.11821176470588238</v>
      </c>
      <c r="EA248" s="5">
        <f t="shared" si="713"/>
        <v>30.117647058823529</v>
      </c>
      <c r="EB248" s="5">
        <f t="shared" si="714"/>
        <v>1.4117647058823528</v>
      </c>
      <c r="EC248" s="5">
        <f t="shared" si="715"/>
        <v>2.0506438205312736</v>
      </c>
      <c r="ED248" s="5"/>
      <c r="EE248" s="173">
        <f t="shared" si="716"/>
        <v>1.9850421045566629</v>
      </c>
      <c r="EF248" s="173">
        <f t="shared" si="717"/>
        <v>5.4215257240439785</v>
      </c>
      <c r="EG248" s="173">
        <f t="shared" si="718"/>
        <v>0.13351835900782819</v>
      </c>
      <c r="EH248" s="173"/>
      <c r="EI248" s="528">
        <f t="shared" si="719"/>
        <v>7.8807843137254904E-2</v>
      </c>
      <c r="EJ248" s="528">
        <f t="shared" si="720"/>
        <v>1.6863893333333337</v>
      </c>
      <c r="EK248" s="528">
        <f t="shared" si="721"/>
        <v>1.0466666666666668E-2</v>
      </c>
      <c r="EL248" s="528">
        <f t="shared" si="722"/>
        <v>8.4909702933333345E-2</v>
      </c>
      <c r="EM248">
        <f t="shared" si="723"/>
        <v>3.8249999999999999E-2</v>
      </c>
      <c r="EN248" s="460">
        <f t="shared" si="724"/>
        <v>48.716666666666669</v>
      </c>
      <c r="EP248" s="460">
        <f t="shared" si="725"/>
        <v>1898.8235460705887</v>
      </c>
      <c r="EQ248" s="173">
        <f t="shared" si="726"/>
        <v>2.2399999999999998</v>
      </c>
      <c r="ER248" s="173">
        <f t="shared" ref="ER248:ER279" si="772">Vfwd22*CK248*(1+Diode_TC/1000*(Ta-25))</f>
        <v>3.5499999999999997E-2</v>
      </c>
      <c r="ES248" s="528"/>
      <c r="EU248" s="460">
        <f t="shared" si="727"/>
        <v>2275.4999999999995</v>
      </c>
      <c r="EV248" s="528">
        <f t="shared" si="728"/>
        <v>0.11821176470588235</v>
      </c>
      <c r="EW248" s="528">
        <f t="shared" si="729"/>
        <v>0.88178823529411754</v>
      </c>
      <c r="EX248" s="528">
        <f t="shared" si="730"/>
        <v>8.913576096071647E-5</v>
      </c>
      <c r="EY248" s="528">
        <f t="shared" si="731"/>
        <v>1.0144156838416705</v>
      </c>
      <c r="EZ248" s="528"/>
      <c r="FA248" s="625">
        <f t="shared" si="732"/>
        <v>8.3733333333333351E-3</v>
      </c>
      <c r="FB248" s="460">
        <f t="shared" si="733"/>
        <v>2022.8781529359642</v>
      </c>
      <c r="FC248" s="173">
        <f t="shared" si="734"/>
        <v>6.1972016990065519</v>
      </c>
      <c r="FD248" s="5">
        <f t="shared" si="735"/>
        <v>48.64</v>
      </c>
      <c r="FE248" s="173">
        <f t="shared" si="736"/>
        <v>0.88698909668983295</v>
      </c>
      <c r="FF248" s="5">
        <f t="shared" si="737"/>
        <v>88.698909668983291</v>
      </c>
      <c r="FG248">
        <f t="shared" si="738"/>
        <v>32</v>
      </c>
      <c r="FI248" s="562">
        <f t="shared" si="689"/>
        <v>-50</v>
      </c>
    </row>
    <row r="249" spans="5:165">
      <c r="E249" s="170">
        <v>33</v>
      </c>
      <c r="F249" s="217">
        <f t="shared" ref="F249:F280" si="773">IF(PLOT_TYPE=1, E249/100*Iout_max, min_I*EXP(O249*rr/100))</f>
        <v>3.3000000000000003</v>
      </c>
      <c r="G249" s="217">
        <f t="shared" si="742"/>
        <v>8.2500000000000004E-2</v>
      </c>
      <c r="H249" s="217">
        <f t="shared" si="743"/>
        <v>49.500000000000007</v>
      </c>
      <c r="I249" s="217">
        <f t="shared" si="744"/>
        <v>0.66</v>
      </c>
      <c r="J249" s="541">
        <f t="shared" si="745"/>
        <v>84.727420162931693</v>
      </c>
      <c r="K249" s="443">
        <f t="shared" si="746"/>
        <v>15.846617922801491</v>
      </c>
      <c r="L249" s="172">
        <f t="shared" si="747"/>
        <v>100.57403808573318</v>
      </c>
      <c r="M249" s="443"/>
      <c r="N249" s="217">
        <f t="shared" si="748"/>
        <v>0.15756171497552104</v>
      </c>
      <c r="O249" s="172">
        <f t="shared" si="749"/>
        <v>329.35355985994391</v>
      </c>
      <c r="P249" s="172">
        <f t="shared" si="750"/>
        <v>4.4499325421076863</v>
      </c>
      <c r="Q249" s="217">
        <f t="shared" si="626"/>
        <v>21.956903990662926</v>
      </c>
      <c r="R249" s="217">
        <f t="shared" si="751"/>
        <v>41.169194982492989</v>
      </c>
      <c r="S249" s="217">
        <f t="shared" si="752"/>
        <v>15</v>
      </c>
      <c r="T249" s="217">
        <f t="shared" si="753"/>
        <v>7.5147206578015524</v>
      </c>
      <c r="U249" s="217">
        <f t="shared" si="630"/>
        <v>1.0643148076526823</v>
      </c>
      <c r="V249" s="217">
        <f t="shared" si="631"/>
        <v>5.6905926761737993</v>
      </c>
      <c r="W249" s="197">
        <f t="shared" si="632"/>
        <v>111.24831355269215</v>
      </c>
      <c r="X249" s="443">
        <f t="shared" si="691"/>
        <v>143.78336481477041</v>
      </c>
      <c r="Z249" s="217">
        <f t="shared" si="633"/>
        <v>10</v>
      </c>
      <c r="AA249" s="173">
        <f t="shared" si="634"/>
        <v>7.572593760043496</v>
      </c>
      <c r="AB249" s="173">
        <f t="shared" si="754"/>
        <v>4.1567678537392041</v>
      </c>
      <c r="AC249" s="173"/>
      <c r="AD249" s="173">
        <f t="shared" si="636"/>
        <v>7.572593760043496</v>
      </c>
      <c r="AE249" s="545">
        <f t="shared" si="755"/>
        <v>87.156398575408204</v>
      </c>
      <c r="AF249" s="528">
        <f t="shared" si="756"/>
        <v>4.2121914251223949</v>
      </c>
      <c r="AH249" s="173">
        <f t="shared" si="757"/>
        <v>4.8873013295390626</v>
      </c>
      <c r="AI249" s="173">
        <f t="shared" si="758"/>
        <v>10</v>
      </c>
      <c r="AJ249" s="173">
        <f t="shared" si="759"/>
        <v>1.0498036563288047</v>
      </c>
      <c r="AL249" s="545">
        <f t="shared" si="760"/>
        <v>3300.0000000000005</v>
      </c>
      <c r="AM249" s="460">
        <f t="shared" si="761"/>
        <v>87.156398575408204</v>
      </c>
      <c r="AO249">
        <f t="shared" si="644"/>
        <v>3300.0000000000005</v>
      </c>
      <c r="AP249">
        <f t="shared" si="645"/>
        <v>87.156398575408204</v>
      </c>
      <c r="AR249" s="5">
        <f t="shared" si="616"/>
        <v>11.473626909156811</v>
      </c>
      <c r="AS249" s="5">
        <f t="shared" si="739"/>
        <v>1.4163065483315647</v>
      </c>
      <c r="AT249" s="5">
        <f t="shared" si="740"/>
        <v>10.057320360825248</v>
      </c>
      <c r="AU249" s="173">
        <f t="shared" si="741"/>
        <v>0.12344017803134649</v>
      </c>
      <c r="BA249" s="173">
        <f t="shared" si="692"/>
        <v>2.0284655779788037</v>
      </c>
      <c r="BB249" s="173">
        <f t="shared" si="693"/>
        <v>5.4054288203886705</v>
      </c>
      <c r="BC249" s="173">
        <f t="shared" si="694"/>
        <v>0.13312193330212099</v>
      </c>
      <c r="BD249" s="173"/>
      <c r="BE249" s="528">
        <f t="shared" si="695"/>
        <v>8.2293452020897648E-2</v>
      </c>
      <c r="BF249" s="528">
        <f t="shared" si="762"/>
        <v>1.6435633030759582</v>
      </c>
      <c r="BG249" s="528">
        <f t="shared" si="763"/>
        <v>0.1846134200496638</v>
      </c>
      <c r="BH249" s="528">
        <f t="shared" si="696"/>
        <v>8.8159892394599926E-2</v>
      </c>
      <c r="BI249">
        <f t="shared" si="697"/>
        <v>3.8127339073319264E-2</v>
      </c>
      <c r="BJ249" s="460">
        <f t="shared" si="698"/>
        <v>222.74075912298309</v>
      </c>
      <c r="BK249">
        <f t="shared" si="764"/>
        <v>1.8728556847794391</v>
      </c>
      <c r="BL249" s="460">
        <f t="shared" si="699"/>
        <v>2036.7574066144387</v>
      </c>
      <c r="BM249" s="173">
        <f t="shared" si="765"/>
        <v>2.050125</v>
      </c>
      <c r="BN249" s="173">
        <f t="shared" si="766"/>
        <v>3.6609375E-2</v>
      </c>
      <c r="BQ249" s="460">
        <f t="shared" si="700"/>
        <v>2086.734375</v>
      </c>
      <c r="BR249" s="528">
        <f t="shared" si="701"/>
        <v>0.12344017803134645</v>
      </c>
      <c r="BS249" s="528">
        <f t="shared" si="702"/>
        <v>0.87655982196865356</v>
      </c>
      <c r="BT249" s="528">
        <f t="shared" si="703"/>
        <v>8.860724563047176E-5</v>
      </c>
      <c r="BU249" s="528">
        <f t="shared" si="704"/>
        <v>1.1212906352803562</v>
      </c>
      <c r="BV249" s="528"/>
      <c r="BW249" s="625">
        <f t="shared" si="705"/>
        <v>8.7156398575408221E-3</v>
      </c>
      <c r="BX249" s="460">
        <f t="shared" si="706"/>
        <v>2130.0948823835279</v>
      </c>
      <c r="BY249" s="173">
        <f t="shared" si="707"/>
        <v>6.2535866639979671</v>
      </c>
      <c r="BZ249" s="5">
        <f t="shared" si="708"/>
        <v>50.160000000000004</v>
      </c>
      <c r="CA249" s="173">
        <f t="shared" si="709"/>
        <v>0.88914750800645548</v>
      </c>
      <c r="CB249" s="5">
        <f t="shared" si="710"/>
        <v>88.91475080064555</v>
      </c>
      <c r="CC249">
        <f t="shared" si="711"/>
        <v>33</v>
      </c>
      <c r="CE249" s="562">
        <f t="shared" si="767"/>
        <v>-50</v>
      </c>
      <c r="CG249" s="173">
        <f t="shared" si="768"/>
        <v>0.67522440714180354</v>
      </c>
      <c r="CH249" s="173">
        <f t="shared" si="769"/>
        <v>7.9147653879629826E-2</v>
      </c>
      <c r="CI249" s="170">
        <v>33</v>
      </c>
      <c r="CJ249" s="217">
        <f t="shared" si="712"/>
        <v>3.3000000000000003</v>
      </c>
      <c r="CK249" s="217">
        <f t="shared" si="654"/>
        <v>8.2500000000000004E-2</v>
      </c>
      <c r="CL249" s="217">
        <f t="shared" si="655"/>
        <v>49.500000000000007</v>
      </c>
      <c r="CM249" s="217">
        <f t="shared" si="656"/>
        <v>0.66</v>
      </c>
      <c r="CN249" s="541">
        <f t="shared" si="657"/>
        <v>85</v>
      </c>
      <c r="CO249" s="443">
        <f t="shared" si="770"/>
        <v>15.7</v>
      </c>
      <c r="CP249" s="443">
        <f t="shared" si="771"/>
        <v>100.7</v>
      </c>
      <c r="CQ249" s="443"/>
      <c r="CR249" s="217">
        <f t="shared" si="660"/>
        <v>0.15338645418326693</v>
      </c>
      <c r="CS249" s="172">
        <f t="shared" si="661"/>
        <v>321.65744915076539</v>
      </c>
      <c r="CT249" s="172">
        <f t="shared" si="662"/>
        <v>4.3459495351925632</v>
      </c>
      <c r="CU249" s="217">
        <f t="shared" si="663"/>
        <v>21.443829943384358</v>
      </c>
      <c r="CV249" s="217">
        <f t="shared" si="664"/>
        <v>40.207181143845673</v>
      </c>
      <c r="CW249" s="217">
        <f t="shared" si="665"/>
        <v>15</v>
      </c>
      <c r="CX249" s="217">
        <f t="shared" si="666"/>
        <v>7.6945210084033615</v>
      </c>
      <c r="CY249" s="217">
        <f t="shared" si="667"/>
        <v>1.0862853188334158</v>
      </c>
      <c r="CZ249" s="217">
        <f t="shared" si="668"/>
        <v>5.8811625541936525</v>
      </c>
      <c r="DA249" s="197">
        <f t="shared" si="669"/>
        <v>110.43528632903013</v>
      </c>
      <c r="DB249" s="443">
        <f t="shared" si="670"/>
        <v>143.52457574476853</v>
      </c>
      <c r="DD249" s="217">
        <f t="shared" si="671"/>
        <v>9.9999999999999982</v>
      </c>
      <c r="DE249" s="173">
        <f t="shared" si="672"/>
        <v>7.6433121019108263</v>
      </c>
      <c r="DF249" s="173">
        <f t="shared" si="673"/>
        <v>4.1649244760361679</v>
      </c>
      <c r="DG249" s="173"/>
      <c r="DH249" s="173">
        <f t="shared" si="674"/>
        <v>7.6433121019108281</v>
      </c>
      <c r="DI249" s="545">
        <f t="shared" si="675"/>
        <v>86.350000000000009</v>
      </c>
      <c r="DJ249" s="528">
        <f t="shared" si="676"/>
        <v>4.2204568023833167</v>
      </c>
      <c r="DL249" s="173">
        <f t="shared" si="677"/>
        <v>4.8873013295390626</v>
      </c>
      <c r="DM249" s="173">
        <f t="shared" si="678"/>
        <v>10</v>
      </c>
      <c r="DN249" s="173">
        <f t="shared" si="679"/>
        <v>1.0493428571428571</v>
      </c>
      <c r="DP249" s="545">
        <f t="shared" si="680"/>
        <v>3300.0000000000005</v>
      </c>
      <c r="DQ249" s="460">
        <f t="shared" si="681"/>
        <v>86.350000000000009</v>
      </c>
      <c r="DS249">
        <f t="shared" si="682"/>
        <v>3300.0000000000005</v>
      </c>
      <c r="DT249">
        <f t="shared" si="683"/>
        <v>86.350000000000009</v>
      </c>
      <c r="DV249" s="5">
        <f t="shared" si="684"/>
        <v>11.580775911986104</v>
      </c>
      <c r="DW249" s="5">
        <f t="shared" si="685"/>
        <v>1.4117647058823528</v>
      </c>
      <c r="DX249" s="5">
        <f t="shared" si="686"/>
        <v>10.16901120610375</v>
      </c>
      <c r="DY249" s="173">
        <f t="shared" si="687"/>
        <v>0.12190588235294116</v>
      </c>
      <c r="EA249" s="5">
        <f t="shared" si="713"/>
        <v>31.058823529411768</v>
      </c>
      <c r="EB249" s="5">
        <f t="shared" si="714"/>
        <v>1.4558823529411764</v>
      </c>
      <c r="EC249" s="5">
        <f t="shared" si="715"/>
        <v>2.0420529602520716</v>
      </c>
      <c r="ED249" s="5"/>
      <c r="EE249" s="173">
        <f t="shared" si="716"/>
        <v>2.0158197865297152</v>
      </c>
      <c r="EF249" s="173">
        <f t="shared" si="717"/>
        <v>5.4101574765960949</v>
      </c>
      <c r="EG249" s="173">
        <f t="shared" si="718"/>
        <v>0.13323838805107246</v>
      </c>
      <c r="EH249" s="173"/>
      <c r="EI249" s="528">
        <f t="shared" si="719"/>
        <v>8.1270588235294136E-2</v>
      </c>
      <c r="EJ249" s="528">
        <f t="shared" si="720"/>
        <v>1.7390890000000003</v>
      </c>
      <c r="EK249" s="528">
        <f t="shared" si="721"/>
        <v>1.079375E-2</v>
      </c>
      <c r="EL249" s="528">
        <f t="shared" si="722"/>
        <v>8.7563131150000015E-2</v>
      </c>
      <c r="EM249">
        <f t="shared" si="723"/>
        <v>3.8249999999999999E-2</v>
      </c>
      <c r="EN249" s="460">
        <f t="shared" si="724"/>
        <v>49.043749999999996</v>
      </c>
      <c r="EP249" s="460">
        <f t="shared" si="725"/>
        <v>1956.9664693852944</v>
      </c>
      <c r="EQ249" s="173">
        <f t="shared" si="726"/>
        <v>2.31</v>
      </c>
      <c r="ER249" s="173">
        <f t="shared" si="772"/>
        <v>3.6609375E-2</v>
      </c>
      <c r="ES249" s="528"/>
      <c r="EU249" s="460">
        <f t="shared" si="727"/>
        <v>2346.609375</v>
      </c>
      <c r="EV249" s="528">
        <f t="shared" si="728"/>
        <v>0.1219058823529412</v>
      </c>
      <c r="EW249" s="528">
        <f t="shared" si="729"/>
        <v>0.87809411764705869</v>
      </c>
      <c r="EX249" s="528">
        <f t="shared" si="730"/>
        <v>8.8762340252240853E-5</v>
      </c>
      <c r="EY249" s="528">
        <f t="shared" si="731"/>
        <v>1.095533996516419</v>
      </c>
      <c r="EZ249" s="528"/>
      <c r="FA249" s="625">
        <f t="shared" si="732"/>
        <v>8.6350000000000003E-3</v>
      </c>
      <c r="FB249" s="460">
        <f t="shared" si="733"/>
        <v>2104.2577588566714</v>
      </c>
      <c r="FC249" s="173">
        <f t="shared" si="734"/>
        <v>6.4078336032419658</v>
      </c>
      <c r="FD249" s="5">
        <f t="shared" si="735"/>
        <v>50.160000000000004</v>
      </c>
      <c r="FE249" s="173">
        <f t="shared" si="736"/>
        <v>0.88672301562429412</v>
      </c>
      <c r="FF249" s="5">
        <f t="shared" si="737"/>
        <v>88.672301562429411</v>
      </c>
      <c r="FG249">
        <f t="shared" si="738"/>
        <v>33</v>
      </c>
      <c r="FI249" s="562">
        <f t="shared" si="689"/>
        <v>-50</v>
      </c>
    </row>
    <row r="250" spans="5:165">
      <c r="E250" s="170">
        <v>34</v>
      </c>
      <c r="F250" s="217">
        <f t="shared" si="773"/>
        <v>3.4000000000000004</v>
      </c>
      <c r="G250" s="217">
        <f t="shared" si="742"/>
        <v>8.5000000000000006E-2</v>
      </c>
      <c r="H250" s="217">
        <f t="shared" si="743"/>
        <v>51.000000000000007</v>
      </c>
      <c r="I250" s="217">
        <f t="shared" si="744"/>
        <v>0.68</v>
      </c>
      <c r="J250" s="541">
        <f t="shared" si="745"/>
        <v>84.727420162931693</v>
      </c>
      <c r="K250" s="443">
        <f t="shared" si="746"/>
        <v>15.846617922801491</v>
      </c>
      <c r="L250" s="172">
        <f t="shared" si="747"/>
        <v>100.57403808573318</v>
      </c>
      <c r="M250" s="443"/>
      <c r="N250" s="217">
        <f t="shared" si="748"/>
        <v>0.15756171497552104</v>
      </c>
      <c r="O250" s="172">
        <f t="shared" si="749"/>
        <v>329.35355985994391</v>
      </c>
      <c r="P250" s="172">
        <f t="shared" si="750"/>
        <v>4.4499325421076863</v>
      </c>
      <c r="Q250" s="217">
        <f t="shared" si="626"/>
        <v>21.956903990662926</v>
      </c>
      <c r="R250" s="217">
        <f t="shared" si="751"/>
        <v>41.169194982492989</v>
      </c>
      <c r="S250" s="217">
        <f t="shared" si="752"/>
        <v>15</v>
      </c>
      <c r="T250" s="217">
        <f t="shared" si="753"/>
        <v>7.742439465613721</v>
      </c>
      <c r="U250" s="217">
        <f t="shared" si="630"/>
        <v>1.0965667715209453</v>
      </c>
      <c r="V250" s="217">
        <f t="shared" si="631"/>
        <v>5.8630348784820967</v>
      </c>
      <c r="W250" s="197">
        <f t="shared" si="632"/>
        <v>111.24831355269215</v>
      </c>
      <c r="X250" s="443">
        <f t="shared" si="691"/>
        <v>139.67257521926169</v>
      </c>
      <c r="Z250" s="217">
        <f t="shared" si="633"/>
        <v>10</v>
      </c>
      <c r="AA250" s="173">
        <f t="shared" si="634"/>
        <v>7.572593760043496</v>
      </c>
      <c r="AB250" s="173">
        <f t="shared" si="754"/>
        <v>4.1567678537392041</v>
      </c>
      <c r="AC250" s="173"/>
      <c r="AD250" s="173">
        <f t="shared" si="636"/>
        <v>7.572593760043496</v>
      </c>
      <c r="AE250" s="545">
        <f t="shared" si="755"/>
        <v>89.797501562541783</v>
      </c>
      <c r="AF250" s="528">
        <f t="shared" si="756"/>
        <v>4.2121914251223949</v>
      </c>
      <c r="AH250" s="173">
        <f t="shared" si="757"/>
        <v>4.960798706813633</v>
      </c>
      <c r="AI250" s="173">
        <f t="shared" si="758"/>
        <v>10</v>
      </c>
      <c r="AJ250" s="173">
        <f t="shared" si="759"/>
        <v>1.0513128580357383</v>
      </c>
      <c r="AL250" s="545">
        <f t="shared" si="760"/>
        <v>3400.0000000000005</v>
      </c>
      <c r="AM250" s="460">
        <f t="shared" si="761"/>
        <v>89.797501562541783</v>
      </c>
      <c r="AO250">
        <f t="shared" si="644"/>
        <v>3400.0000000000005</v>
      </c>
      <c r="AP250">
        <f t="shared" si="645"/>
        <v>89.797501562541783</v>
      </c>
      <c r="AR250" s="5">
        <f t="shared" si="616"/>
        <v>11.136167294181613</v>
      </c>
      <c r="AS250" s="5">
        <f t="shared" si="739"/>
        <v>1.4163065483315647</v>
      </c>
      <c r="AT250" s="5">
        <f t="shared" si="740"/>
        <v>9.719860745850049</v>
      </c>
      <c r="AU250" s="173">
        <f t="shared" si="741"/>
        <v>0.12718078948684183</v>
      </c>
      <c r="BA250" s="173">
        <f t="shared" si="692"/>
        <v>2.0589705314941722</v>
      </c>
      <c r="BB250" s="173">
        <f t="shared" si="693"/>
        <v>5.3938829875862107</v>
      </c>
      <c r="BC250" s="173">
        <f t="shared" si="694"/>
        <v>0.13283758887075062</v>
      </c>
      <c r="BD250" s="173"/>
      <c r="BE250" s="528">
        <f t="shared" si="695"/>
        <v>8.4787192991227889E-2</v>
      </c>
      <c r="BF250" s="528">
        <f t="shared" si="762"/>
        <v>1.6933682516540178</v>
      </c>
      <c r="BG250" s="528">
        <f t="shared" si="763"/>
        <v>0.19020776611177481</v>
      </c>
      <c r="BH250" s="528">
        <f t="shared" si="696"/>
        <v>9.0831404285345377E-2</v>
      </c>
      <c r="BI250">
        <f t="shared" si="697"/>
        <v>3.8127339073319264E-2</v>
      </c>
      <c r="BJ250" s="460">
        <f t="shared" si="698"/>
        <v>228.33510518509408</v>
      </c>
      <c r="BK250">
        <f t="shared" si="764"/>
        <v>1.9307757116030968</v>
      </c>
      <c r="BL250" s="460">
        <f t="shared" si="699"/>
        <v>2097.321954115685</v>
      </c>
      <c r="BM250" s="173">
        <f t="shared" si="765"/>
        <v>2.11225</v>
      </c>
      <c r="BN250" s="173">
        <f t="shared" si="766"/>
        <v>3.7718750000000002E-2</v>
      </c>
      <c r="BQ250" s="460">
        <f t="shared" si="700"/>
        <v>2149.9687499999995</v>
      </c>
      <c r="BR250" s="528">
        <f t="shared" si="701"/>
        <v>0.12718078948684183</v>
      </c>
      <c r="BS250" s="528">
        <f t="shared" si="702"/>
        <v>0.87281921051315836</v>
      </c>
      <c r="BT250" s="528">
        <f t="shared" si="703"/>
        <v>8.8229125084972855E-5</v>
      </c>
      <c r="BU250" s="528">
        <f t="shared" si="704"/>
        <v>1.2081772062396234</v>
      </c>
      <c r="BV250" s="528"/>
      <c r="BW250" s="625">
        <f t="shared" si="705"/>
        <v>8.9797501562541779E-3</v>
      </c>
      <c r="BX250" s="460">
        <f t="shared" si="706"/>
        <v>2217.2451855209629</v>
      </c>
      <c r="BY250" s="173">
        <f t="shared" si="707"/>
        <v>6.4645358896366485</v>
      </c>
      <c r="BZ250" s="5">
        <f t="shared" si="708"/>
        <v>51.680000000000007</v>
      </c>
      <c r="CA250" s="173">
        <f t="shared" si="709"/>
        <v>0.88881954614089798</v>
      </c>
      <c r="CB250" s="5">
        <f t="shared" si="710"/>
        <v>88.881954614089793</v>
      </c>
      <c r="CC250">
        <f t="shared" si="711"/>
        <v>34</v>
      </c>
      <c r="CE250" s="562">
        <f t="shared" si="767"/>
        <v>-50</v>
      </c>
      <c r="CG250" s="173">
        <f t="shared" si="768"/>
        <v>0.69568575281276746</v>
      </c>
      <c r="CH250" s="173">
        <f t="shared" si="769"/>
        <v>8.1546067633558011E-2</v>
      </c>
      <c r="CI250" s="170">
        <v>34</v>
      </c>
      <c r="CJ250" s="217">
        <f t="shared" si="712"/>
        <v>3.4000000000000004</v>
      </c>
      <c r="CK250" s="217">
        <f t="shared" si="654"/>
        <v>8.5000000000000006E-2</v>
      </c>
      <c r="CL250" s="217">
        <f t="shared" si="655"/>
        <v>51.000000000000007</v>
      </c>
      <c r="CM250" s="217">
        <f t="shared" si="656"/>
        <v>0.68</v>
      </c>
      <c r="CN250" s="541">
        <f t="shared" si="657"/>
        <v>85</v>
      </c>
      <c r="CO250" s="443">
        <f t="shared" si="770"/>
        <v>15.7</v>
      </c>
      <c r="CP250" s="443">
        <f t="shared" si="771"/>
        <v>100.7</v>
      </c>
      <c r="CQ250" s="443"/>
      <c r="CR250" s="217">
        <f t="shared" si="660"/>
        <v>0.15338645418326693</v>
      </c>
      <c r="CS250" s="172">
        <f t="shared" si="661"/>
        <v>321.65744915076539</v>
      </c>
      <c r="CT250" s="172">
        <f t="shared" si="662"/>
        <v>4.3459495351925632</v>
      </c>
      <c r="CU250" s="217">
        <f t="shared" si="663"/>
        <v>21.443829943384358</v>
      </c>
      <c r="CV250" s="217">
        <f t="shared" si="664"/>
        <v>40.207181143845673</v>
      </c>
      <c r="CW250" s="217">
        <f t="shared" si="665"/>
        <v>15</v>
      </c>
      <c r="CX250" s="217">
        <f t="shared" si="666"/>
        <v>7.9276883116883123</v>
      </c>
      <c r="CY250" s="217">
        <f t="shared" si="667"/>
        <v>1.1192030557677617</v>
      </c>
      <c r="CZ250" s="217">
        <f t="shared" si="668"/>
        <v>6.0593796012904297</v>
      </c>
      <c r="DA250" s="197">
        <f t="shared" si="669"/>
        <v>110.43528632903013</v>
      </c>
      <c r="DB250" s="443">
        <f t="shared" si="670"/>
        <v>139.30326469345184</v>
      </c>
      <c r="DD250" s="217">
        <f t="shared" si="671"/>
        <v>9.9999999999999982</v>
      </c>
      <c r="DE250" s="173">
        <f t="shared" si="672"/>
        <v>7.6433121019108263</v>
      </c>
      <c r="DF250" s="173">
        <f t="shared" si="673"/>
        <v>4.1649244760361679</v>
      </c>
      <c r="DG250" s="173"/>
      <c r="DH250" s="173">
        <f t="shared" si="674"/>
        <v>7.6433121019108281</v>
      </c>
      <c r="DI250" s="545">
        <f t="shared" si="675"/>
        <v>88.966666666666683</v>
      </c>
      <c r="DJ250" s="528">
        <f t="shared" si="676"/>
        <v>4.2204568023833167</v>
      </c>
      <c r="DL250" s="173">
        <f t="shared" si="677"/>
        <v>4.960798706813633</v>
      </c>
      <c r="DM250" s="173">
        <f t="shared" si="678"/>
        <v>10</v>
      </c>
      <c r="DN250" s="173">
        <f t="shared" si="679"/>
        <v>1.0508380952380953</v>
      </c>
      <c r="DP250" s="545">
        <f t="shared" si="680"/>
        <v>3400.0000000000005</v>
      </c>
      <c r="DQ250" s="460">
        <f t="shared" si="681"/>
        <v>88.966666666666683</v>
      </c>
      <c r="DS250">
        <f t="shared" si="682"/>
        <v>3400.0000000000005</v>
      </c>
      <c r="DT250">
        <f t="shared" si="683"/>
        <v>88.966666666666683</v>
      </c>
      <c r="DV250" s="5">
        <f t="shared" si="684"/>
        <v>11.240164855751216</v>
      </c>
      <c r="DW250" s="5">
        <f t="shared" si="685"/>
        <v>1.4117647058823528</v>
      </c>
      <c r="DX250" s="5">
        <f t="shared" si="686"/>
        <v>9.8284001498688625</v>
      </c>
      <c r="DY250" s="173">
        <f t="shared" si="687"/>
        <v>0.12560000000000002</v>
      </c>
      <c r="EA250" s="5">
        <f t="shared" si="713"/>
        <v>32</v>
      </c>
      <c r="EB250" s="5">
        <f t="shared" si="714"/>
        <v>1.5</v>
      </c>
      <c r="EC250" s="5">
        <f t="shared" si="715"/>
        <v>2.0334620999728679</v>
      </c>
      <c r="ED250" s="5"/>
      <c r="EE250" s="173">
        <f t="shared" si="716"/>
        <v>2.0461345670963742</v>
      </c>
      <c r="EF250" s="173">
        <f t="shared" si="717"/>
        <v>5.3987652909407604</v>
      </c>
      <c r="EG250" s="173">
        <f t="shared" si="718"/>
        <v>0.13295782755728619</v>
      </c>
      <c r="EH250" s="173"/>
      <c r="EI250" s="528">
        <f t="shared" si="719"/>
        <v>8.3733333333333326E-2</v>
      </c>
      <c r="EJ250" s="528">
        <f t="shared" si="720"/>
        <v>1.7917886666666669</v>
      </c>
      <c r="EK250" s="528">
        <f t="shared" si="721"/>
        <v>1.1120833333333335E-2</v>
      </c>
      <c r="EL250" s="528">
        <f t="shared" si="722"/>
        <v>9.0216559366666685E-2</v>
      </c>
      <c r="EM250">
        <f t="shared" si="723"/>
        <v>3.8249999999999999E-2</v>
      </c>
      <c r="EN250" s="460">
        <f t="shared" si="724"/>
        <v>49.370833333333337</v>
      </c>
      <c r="EP250" s="460">
        <f t="shared" si="725"/>
        <v>2015.1093926999999</v>
      </c>
      <c r="EQ250" s="173">
        <f t="shared" si="726"/>
        <v>2.38</v>
      </c>
      <c r="ER250" s="173">
        <f t="shared" si="772"/>
        <v>3.7718750000000002E-2</v>
      </c>
      <c r="ES250" s="528"/>
      <c r="EU250" s="460">
        <f t="shared" si="727"/>
        <v>2417.7187499999995</v>
      </c>
      <c r="EV250" s="528">
        <f t="shared" si="728"/>
        <v>0.12559999999999999</v>
      </c>
      <c r="EW250" s="528">
        <f t="shared" si="729"/>
        <v>0.87440000000000018</v>
      </c>
      <c r="EX250" s="528">
        <f t="shared" si="730"/>
        <v>8.8388919543765251E-5</v>
      </c>
      <c r="EY250" s="528">
        <f t="shared" si="731"/>
        <v>1.1804247370003182</v>
      </c>
      <c r="EZ250" s="528"/>
      <c r="FA250" s="625">
        <f t="shared" si="732"/>
        <v>8.896666666666669E-3</v>
      </c>
      <c r="FB250" s="460">
        <f t="shared" si="733"/>
        <v>2189.4097925865294</v>
      </c>
      <c r="FC250" s="173">
        <f t="shared" si="734"/>
        <v>6.6222379352865293</v>
      </c>
      <c r="FD250" s="5">
        <f t="shared" si="735"/>
        <v>51.680000000000007</v>
      </c>
      <c r="FE250" s="173">
        <f t="shared" si="736"/>
        <v>0.88641537323769659</v>
      </c>
      <c r="FF250" s="5">
        <f t="shared" si="737"/>
        <v>88.641537323769654</v>
      </c>
      <c r="FG250">
        <f t="shared" si="738"/>
        <v>34</v>
      </c>
      <c r="FI250" s="562">
        <f t="shared" si="689"/>
        <v>-50</v>
      </c>
    </row>
    <row r="251" spans="5:165">
      <c r="E251" s="170">
        <v>35</v>
      </c>
      <c r="F251" s="217">
        <f t="shared" si="773"/>
        <v>3.5</v>
      </c>
      <c r="G251" s="217">
        <f t="shared" si="742"/>
        <v>8.7499999999999994E-2</v>
      </c>
      <c r="H251" s="217">
        <f t="shared" si="743"/>
        <v>52.5</v>
      </c>
      <c r="I251" s="217">
        <f t="shared" si="744"/>
        <v>0.7</v>
      </c>
      <c r="J251" s="541">
        <f t="shared" si="745"/>
        <v>84.727420162931693</v>
      </c>
      <c r="K251" s="443">
        <f t="shared" si="746"/>
        <v>15.846617922801491</v>
      </c>
      <c r="L251" s="172">
        <f t="shared" si="747"/>
        <v>100.57403808573318</v>
      </c>
      <c r="M251" s="443"/>
      <c r="N251" s="217">
        <f t="shared" si="748"/>
        <v>0.15756171497552104</v>
      </c>
      <c r="O251" s="172">
        <f t="shared" si="749"/>
        <v>329.35355985994391</v>
      </c>
      <c r="P251" s="172">
        <f t="shared" si="750"/>
        <v>4.4499325421076863</v>
      </c>
      <c r="Q251" s="217">
        <f t="shared" si="626"/>
        <v>21.956903990662926</v>
      </c>
      <c r="R251" s="217">
        <f t="shared" si="751"/>
        <v>41.169194982492989</v>
      </c>
      <c r="S251" s="217">
        <f t="shared" si="752"/>
        <v>15</v>
      </c>
      <c r="T251" s="217">
        <f t="shared" si="753"/>
        <v>7.9701582734258887</v>
      </c>
      <c r="U251" s="217">
        <f t="shared" si="630"/>
        <v>1.1288187353892083</v>
      </c>
      <c r="V251" s="217">
        <f t="shared" si="631"/>
        <v>6.0354770807903932</v>
      </c>
      <c r="W251" s="197">
        <f t="shared" si="632"/>
        <v>111.24831355269215</v>
      </c>
      <c r="X251" s="443">
        <f t="shared" si="691"/>
        <v>135.79030839621717</v>
      </c>
      <c r="Z251" s="217">
        <f t="shared" si="633"/>
        <v>10</v>
      </c>
      <c r="AA251" s="173">
        <f t="shared" si="634"/>
        <v>7.572593760043496</v>
      </c>
      <c r="AB251" s="173">
        <f t="shared" si="754"/>
        <v>4.1567678537392041</v>
      </c>
      <c r="AC251" s="173"/>
      <c r="AD251" s="173">
        <f t="shared" si="636"/>
        <v>7.572593760043496</v>
      </c>
      <c r="AE251" s="545">
        <f t="shared" si="755"/>
        <v>92.438604549675361</v>
      </c>
      <c r="AF251" s="528">
        <f t="shared" si="756"/>
        <v>4.2121914251223949</v>
      </c>
      <c r="AH251" s="173">
        <f t="shared" si="757"/>
        <v>5.0332229568471663</v>
      </c>
      <c r="AI251" s="173">
        <f t="shared" si="758"/>
        <v>10</v>
      </c>
      <c r="AJ251" s="173">
        <f t="shared" si="759"/>
        <v>1.0528220597426716</v>
      </c>
      <c r="AL251" s="545">
        <f t="shared" si="760"/>
        <v>3500</v>
      </c>
      <c r="AM251" s="460">
        <f t="shared" si="761"/>
        <v>92.438604549675361</v>
      </c>
      <c r="AO251">
        <f t="shared" si="644"/>
        <v>3500</v>
      </c>
      <c r="AP251">
        <f t="shared" si="645"/>
        <v>92.438604549675361</v>
      </c>
      <c r="AR251" s="5">
        <f t="shared" si="616"/>
        <v>10.817991085776423</v>
      </c>
      <c r="AS251" s="5">
        <f t="shared" si="739"/>
        <v>1.4163065483315647</v>
      </c>
      <c r="AT251" s="5">
        <f t="shared" si="740"/>
        <v>9.4016845374448579</v>
      </c>
      <c r="AU251" s="173">
        <f t="shared" si="741"/>
        <v>0.13092140094233717</v>
      </c>
      <c r="BA251" s="173">
        <f t="shared" si="692"/>
        <v>2.0890300854889348</v>
      </c>
      <c r="BB251" s="173">
        <f t="shared" si="693"/>
        <v>5.382312387371754</v>
      </c>
      <c r="BC251" s="173">
        <f t="shared" si="694"/>
        <v>0.13255263448115537</v>
      </c>
      <c r="BD251" s="173"/>
      <c r="BE251" s="528">
        <f t="shared" si="695"/>
        <v>8.7280933961558116E-2</v>
      </c>
      <c r="BF251" s="528">
        <f t="shared" si="762"/>
        <v>1.7431732002320768</v>
      </c>
      <c r="BG251" s="528">
        <f t="shared" si="763"/>
        <v>0.19580211217388585</v>
      </c>
      <c r="BH251" s="528">
        <f t="shared" si="696"/>
        <v>9.3502916176090828E-2</v>
      </c>
      <c r="BI251">
        <f t="shared" si="697"/>
        <v>3.8127339073319264E-2</v>
      </c>
      <c r="BJ251" s="460">
        <f t="shared" si="698"/>
        <v>233.92945124720509</v>
      </c>
      <c r="BK251">
        <f t="shared" si="764"/>
        <v>1.9887658286756831</v>
      </c>
      <c r="BL251" s="460">
        <f t="shared" si="699"/>
        <v>2157.8865016169311</v>
      </c>
      <c r="BM251" s="173">
        <f t="shared" si="765"/>
        <v>2.1743749999999995</v>
      </c>
      <c r="BN251" s="173">
        <f t="shared" si="766"/>
        <v>3.8828124999999998E-2</v>
      </c>
      <c r="BQ251" s="460">
        <f t="shared" si="700"/>
        <v>2213.2031249999995</v>
      </c>
      <c r="BR251" s="528">
        <f t="shared" si="701"/>
        <v>0.13092140094233717</v>
      </c>
      <c r="BS251" s="528">
        <f t="shared" si="702"/>
        <v>0.86907859905766283</v>
      </c>
      <c r="BT251" s="528">
        <f t="shared" si="703"/>
        <v>8.7851004539473896E-5</v>
      </c>
      <c r="BU251" s="528">
        <f t="shared" si="704"/>
        <v>1.2989829665270141</v>
      </c>
      <c r="BV251" s="528"/>
      <c r="BW251" s="625">
        <f t="shared" si="705"/>
        <v>9.2438604549675372E-3</v>
      </c>
      <c r="BX251" s="460">
        <f t="shared" si="706"/>
        <v>2308.314677986521</v>
      </c>
      <c r="BY251" s="173">
        <f t="shared" si="707"/>
        <v>6.6794043046034517</v>
      </c>
      <c r="BZ251" s="5">
        <f t="shared" si="708"/>
        <v>53.2</v>
      </c>
      <c r="CA251" s="173">
        <f t="shared" si="709"/>
        <v>0.8884523922344707</v>
      </c>
      <c r="CB251" s="5">
        <f t="shared" si="710"/>
        <v>88.845239223447066</v>
      </c>
      <c r="CC251">
        <f t="shared" si="711"/>
        <v>35</v>
      </c>
      <c r="CE251" s="562">
        <f t="shared" si="767"/>
        <v>-50</v>
      </c>
      <c r="CG251" s="173">
        <f t="shared" si="768"/>
        <v>0.71614709848373104</v>
      </c>
      <c r="CH251" s="173">
        <f t="shared" si="769"/>
        <v>8.3944481387486169E-2</v>
      </c>
      <c r="CI251" s="170">
        <v>35</v>
      </c>
      <c r="CJ251" s="217">
        <f t="shared" si="712"/>
        <v>3.5</v>
      </c>
      <c r="CK251" s="217">
        <f t="shared" si="654"/>
        <v>8.7499999999999994E-2</v>
      </c>
      <c r="CL251" s="217">
        <f t="shared" si="655"/>
        <v>52.5</v>
      </c>
      <c r="CM251" s="217">
        <f t="shared" si="656"/>
        <v>0.7</v>
      </c>
      <c r="CN251" s="541">
        <f t="shared" si="657"/>
        <v>85</v>
      </c>
      <c r="CO251" s="443">
        <f t="shared" si="770"/>
        <v>15.7</v>
      </c>
      <c r="CP251" s="443">
        <f t="shared" si="771"/>
        <v>100.7</v>
      </c>
      <c r="CQ251" s="443"/>
      <c r="CR251" s="217">
        <f t="shared" si="660"/>
        <v>0.15338645418326693</v>
      </c>
      <c r="CS251" s="172">
        <f t="shared" si="661"/>
        <v>321.65744915076539</v>
      </c>
      <c r="CT251" s="172">
        <f t="shared" si="662"/>
        <v>4.3459495351925632</v>
      </c>
      <c r="CU251" s="217">
        <f t="shared" si="663"/>
        <v>21.443829943384358</v>
      </c>
      <c r="CV251" s="217">
        <f t="shared" si="664"/>
        <v>40.207181143845673</v>
      </c>
      <c r="CW251" s="217">
        <f t="shared" si="665"/>
        <v>15</v>
      </c>
      <c r="CX251" s="217">
        <f t="shared" si="666"/>
        <v>8.1608556149732614</v>
      </c>
      <c r="CY251" s="217">
        <f t="shared" si="667"/>
        <v>1.1521207927021075</v>
      </c>
      <c r="CZ251" s="217">
        <f t="shared" si="668"/>
        <v>6.237596648387207</v>
      </c>
      <c r="DA251" s="197">
        <f t="shared" si="669"/>
        <v>110.43528632903013</v>
      </c>
      <c r="DB251" s="443">
        <f t="shared" si="670"/>
        <v>135.32317141649608</v>
      </c>
      <c r="DD251" s="217">
        <f t="shared" si="671"/>
        <v>9.9999999999999982</v>
      </c>
      <c r="DE251" s="173">
        <f t="shared" si="672"/>
        <v>7.6433121019108263</v>
      </c>
      <c r="DF251" s="173">
        <f t="shared" si="673"/>
        <v>4.1649244760361679</v>
      </c>
      <c r="DG251" s="173"/>
      <c r="DH251" s="173">
        <f t="shared" si="674"/>
        <v>7.6433121019108281</v>
      </c>
      <c r="DI251" s="545">
        <f t="shared" si="675"/>
        <v>91.583333333333343</v>
      </c>
      <c r="DJ251" s="528">
        <f t="shared" si="676"/>
        <v>4.2204568023833167</v>
      </c>
      <c r="DL251" s="173">
        <f t="shared" si="677"/>
        <v>5.0332229568471663</v>
      </c>
      <c r="DM251" s="173">
        <f t="shared" si="678"/>
        <v>10</v>
      </c>
      <c r="DN251" s="173">
        <f t="shared" si="679"/>
        <v>1.0523333333333333</v>
      </c>
      <c r="DP251" s="545">
        <f t="shared" si="680"/>
        <v>3500</v>
      </c>
      <c r="DQ251" s="460">
        <f t="shared" si="681"/>
        <v>91.583333333333343</v>
      </c>
      <c r="DS251">
        <f t="shared" si="682"/>
        <v>3500</v>
      </c>
      <c r="DT251">
        <f t="shared" si="683"/>
        <v>91.583333333333343</v>
      </c>
      <c r="DV251" s="5">
        <f t="shared" si="684"/>
        <v>10.919017288444039</v>
      </c>
      <c r="DW251" s="5">
        <f t="shared" si="685"/>
        <v>1.4117647058823528</v>
      </c>
      <c r="DX251" s="5">
        <f t="shared" si="686"/>
        <v>9.5072525825616854</v>
      </c>
      <c r="DY251" s="173">
        <f t="shared" si="687"/>
        <v>0.12929411764705884</v>
      </c>
      <c r="EA251" s="5">
        <f t="shared" si="713"/>
        <v>32.941176470588232</v>
      </c>
      <c r="EB251" s="5">
        <f t="shared" si="714"/>
        <v>1.5441176470588232</v>
      </c>
      <c r="EC251" s="5">
        <f t="shared" si="715"/>
        <v>2.024871239693665</v>
      </c>
      <c r="ED251" s="5"/>
      <c r="EE251" s="173">
        <f t="shared" si="716"/>
        <v>2.0760067248370433</v>
      </c>
      <c r="EF251" s="173">
        <f t="shared" si="717"/>
        <v>5.3873490152174766</v>
      </c>
      <c r="EG251" s="173">
        <f t="shared" si="718"/>
        <v>0.13267667378653236</v>
      </c>
      <c r="EH251" s="173"/>
      <c r="EI251" s="528">
        <f t="shared" si="719"/>
        <v>8.6196078431372544E-2</v>
      </c>
      <c r="EJ251" s="528">
        <f t="shared" si="720"/>
        <v>1.8444883333333335</v>
      </c>
      <c r="EK251" s="528">
        <f t="shared" si="721"/>
        <v>1.1447916666666667E-2</v>
      </c>
      <c r="EL251" s="528">
        <f t="shared" si="722"/>
        <v>9.2869987583333341E-2</v>
      </c>
      <c r="EM251">
        <f t="shared" si="723"/>
        <v>3.8249999999999999E-2</v>
      </c>
      <c r="EN251" s="460">
        <f t="shared" si="724"/>
        <v>49.697916666666671</v>
      </c>
      <c r="EP251" s="460">
        <f t="shared" si="725"/>
        <v>2073.2523160147061</v>
      </c>
      <c r="EQ251" s="173">
        <f t="shared" si="726"/>
        <v>2.4499999999999997</v>
      </c>
      <c r="ER251" s="173">
        <f t="shared" si="772"/>
        <v>3.8828124999999998E-2</v>
      </c>
      <c r="ES251" s="528"/>
      <c r="EU251" s="460">
        <f t="shared" si="727"/>
        <v>2488.828125</v>
      </c>
      <c r="EV251" s="528">
        <f t="shared" si="728"/>
        <v>0.12929411764705881</v>
      </c>
      <c r="EW251" s="528">
        <f t="shared" si="729"/>
        <v>0.87070588235294133</v>
      </c>
      <c r="EX251" s="528">
        <f t="shared" si="730"/>
        <v>8.8015498835289621E-5</v>
      </c>
      <c r="EY251" s="528">
        <f t="shared" si="731"/>
        <v>1.2691446409612468</v>
      </c>
      <c r="EZ251" s="528"/>
      <c r="FA251" s="625">
        <f t="shared" si="732"/>
        <v>9.1583333333333343E-3</v>
      </c>
      <c r="FB251" s="460">
        <f t="shared" si="733"/>
        <v>2278.3909897934154</v>
      </c>
      <c r="FC251" s="173">
        <f t="shared" si="734"/>
        <v>6.8404714308081207</v>
      </c>
      <c r="FD251" s="5">
        <f t="shared" si="735"/>
        <v>53.2</v>
      </c>
      <c r="FE251" s="173">
        <f t="shared" si="736"/>
        <v>0.88606899200164968</v>
      </c>
      <c r="FF251" s="5">
        <f t="shared" si="737"/>
        <v>88.606899200164975</v>
      </c>
      <c r="FG251">
        <f t="shared" si="738"/>
        <v>35</v>
      </c>
      <c r="FI251" s="562">
        <f t="shared" si="689"/>
        <v>-50</v>
      </c>
    </row>
    <row r="252" spans="5:165">
      <c r="E252" s="170">
        <v>36</v>
      </c>
      <c r="F252" s="217">
        <f t="shared" si="773"/>
        <v>3.5999999999999996</v>
      </c>
      <c r="G252" s="217">
        <f t="shared" si="742"/>
        <v>0.09</v>
      </c>
      <c r="H252" s="217">
        <f t="shared" si="743"/>
        <v>53.999999999999993</v>
      </c>
      <c r="I252" s="217">
        <f t="shared" si="744"/>
        <v>0.72</v>
      </c>
      <c r="J252" s="541">
        <f t="shared" si="745"/>
        <v>84.727420162931693</v>
      </c>
      <c r="K252" s="443">
        <f t="shared" si="746"/>
        <v>15.846617922801491</v>
      </c>
      <c r="L252" s="172">
        <f t="shared" si="747"/>
        <v>100.57403808573318</v>
      </c>
      <c r="M252" s="443"/>
      <c r="N252" s="217">
        <f t="shared" si="748"/>
        <v>0.15756171497552104</v>
      </c>
      <c r="O252" s="172">
        <f t="shared" si="749"/>
        <v>329.35355985994391</v>
      </c>
      <c r="P252" s="172">
        <f t="shared" si="750"/>
        <v>4.4499325421076863</v>
      </c>
      <c r="Q252" s="217">
        <f t="shared" si="626"/>
        <v>21.956903990662926</v>
      </c>
      <c r="R252" s="217">
        <f t="shared" si="751"/>
        <v>41.169194982492989</v>
      </c>
      <c r="S252" s="217">
        <f t="shared" si="752"/>
        <v>15</v>
      </c>
      <c r="T252" s="217">
        <f t="shared" si="753"/>
        <v>8.1978770812380546</v>
      </c>
      <c r="U252" s="217">
        <f t="shared" si="630"/>
        <v>1.1610706992574711</v>
      </c>
      <c r="V252" s="217">
        <f t="shared" si="631"/>
        <v>6.207919283098688</v>
      </c>
      <c r="W252" s="197">
        <f t="shared" si="632"/>
        <v>111.24831355269215</v>
      </c>
      <c r="X252" s="443">
        <f t="shared" si="691"/>
        <v>132.11802398088378</v>
      </c>
      <c r="Z252" s="217">
        <f t="shared" si="633"/>
        <v>10</v>
      </c>
      <c r="AA252" s="173">
        <f t="shared" si="634"/>
        <v>7.572593760043496</v>
      </c>
      <c r="AB252" s="173">
        <f t="shared" si="754"/>
        <v>4.1567678537392041</v>
      </c>
      <c r="AC252" s="173"/>
      <c r="AD252" s="173">
        <f t="shared" si="636"/>
        <v>7.572593760043496</v>
      </c>
      <c r="AE252" s="545">
        <f t="shared" si="755"/>
        <v>95.079707536808925</v>
      </c>
      <c r="AF252" s="528">
        <f t="shared" si="756"/>
        <v>4.2121914251223949</v>
      </c>
      <c r="AH252" s="173">
        <f t="shared" si="757"/>
        <v>5.1046197563719531</v>
      </c>
      <c r="AI252" s="173">
        <f t="shared" si="758"/>
        <v>10</v>
      </c>
      <c r="AJ252" s="173">
        <f t="shared" si="759"/>
        <v>1.054331261449605</v>
      </c>
      <c r="AL252" s="545">
        <f t="shared" si="760"/>
        <v>3599.9999999999995</v>
      </c>
      <c r="AM252" s="460">
        <f t="shared" si="761"/>
        <v>95.079707536808925</v>
      </c>
      <c r="AO252">
        <f t="shared" si="644"/>
        <v>3599.9999999999995</v>
      </c>
      <c r="AP252">
        <f t="shared" si="645"/>
        <v>95.079707536808925</v>
      </c>
      <c r="AR252" s="5">
        <f t="shared" si="616"/>
        <v>10.517491333393746</v>
      </c>
      <c r="AS252" s="5">
        <f t="shared" si="739"/>
        <v>1.4163065483315647</v>
      </c>
      <c r="AT252" s="5">
        <f t="shared" si="740"/>
        <v>9.1011847850621805</v>
      </c>
      <c r="AU252" s="173">
        <f t="shared" si="741"/>
        <v>0.13466201239783251</v>
      </c>
      <c r="BA252" s="173">
        <f t="shared" si="692"/>
        <v>2.1186631980082198</v>
      </c>
      <c r="BB252" s="173">
        <f t="shared" si="693"/>
        <v>5.3707168596695656</v>
      </c>
      <c r="BC252" s="173">
        <f t="shared" si="694"/>
        <v>0.13226706619107795</v>
      </c>
      <c r="BD252" s="173"/>
      <c r="BE252" s="528">
        <f t="shared" si="695"/>
        <v>8.9774674931888343E-2</v>
      </c>
      <c r="BF252" s="528">
        <f t="shared" si="762"/>
        <v>1.792978148810136</v>
      </c>
      <c r="BG252" s="528">
        <f t="shared" si="763"/>
        <v>0.20139645823599681</v>
      </c>
      <c r="BH252" s="528">
        <f t="shared" si="696"/>
        <v>9.6174428066836251E-2</v>
      </c>
      <c r="BI252">
        <f t="shared" si="697"/>
        <v>3.8127339073319264E-2</v>
      </c>
      <c r="BJ252" s="460">
        <f t="shared" si="698"/>
        <v>239.52379730931605</v>
      </c>
      <c r="BK252">
        <f t="shared" si="764"/>
        <v>2.0468261633007629</v>
      </c>
      <c r="BL252" s="460">
        <f t="shared" si="699"/>
        <v>2218.4510491181768</v>
      </c>
      <c r="BM252" s="173">
        <f t="shared" si="765"/>
        <v>2.2364999999999995</v>
      </c>
      <c r="BN252" s="173">
        <f t="shared" si="766"/>
        <v>3.9937499999999994E-2</v>
      </c>
      <c r="BQ252" s="460">
        <f t="shared" si="700"/>
        <v>2276.4374999999995</v>
      </c>
      <c r="BR252" s="528">
        <f t="shared" si="701"/>
        <v>0.13466201239783251</v>
      </c>
      <c r="BS252" s="528">
        <f t="shared" si="702"/>
        <v>0.86533798760216751</v>
      </c>
      <c r="BT252" s="528">
        <f t="shared" si="703"/>
        <v>8.7472883993974991E-5</v>
      </c>
      <c r="BU252" s="528">
        <f t="shared" si="704"/>
        <v>1.3937651376492839</v>
      </c>
      <c r="BV252" s="528"/>
      <c r="BW252" s="625">
        <f t="shared" si="705"/>
        <v>9.507970753680893E-3</v>
      </c>
      <c r="BX252" s="460">
        <f t="shared" si="706"/>
        <v>2403.3605812869587</v>
      </c>
      <c r="BY252" s="173">
        <f t="shared" si="707"/>
        <v>6.8982491304051345</v>
      </c>
      <c r="BZ252" s="5">
        <f t="shared" si="708"/>
        <v>54.719999999999992</v>
      </c>
      <c r="CA252" s="173">
        <f t="shared" si="709"/>
        <v>0.88804860203336677</v>
      </c>
      <c r="CB252" s="5">
        <f t="shared" si="710"/>
        <v>88.804860203336673</v>
      </c>
      <c r="CC252">
        <f t="shared" si="711"/>
        <v>36</v>
      </c>
      <c r="CE252" s="562">
        <f t="shared" si="767"/>
        <v>-50</v>
      </c>
      <c r="CG252" s="173">
        <f t="shared" si="768"/>
        <v>0.73660844415469462</v>
      </c>
      <c r="CH252" s="173">
        <f t="shared" si="769"/>
        <v>8.6342895141414355E-2</v>
      </c>
      <c r="CI252" s="170">
        <v>36</v>
      </c>
      <c r="CJ252" s="217">
        <f t="shared" si="712"/>
        <v>3.5999999999999996</v>
      </c>
      <c r="CK252" s="217">
        <f t="shared" si="654"/>
        <v>0.09</v>
      </c>
      <c r="CL252" s="217">
        <f t="shared" si="655"/>
        <v>53.999999999999993</v>
      </c>
      <c r="CM252" s="217">
        <f t="shared" si="656"/>
        <v>0.72</v>
      </c>
      <c r="CN252" s="541">
        <f t="shared" si="657"/>
        <v>85</v>
      </c>
      <c r="CO252" s="443">
        <f t="shared" si="770"/>
        <v>15.7</v>
      </c>
      <c r="CP252" s="443">
        <f t="shared" si="771"/>
        <v>100.7</v>
      </c>
      <c r="CQ252" s="443"/>
      <c r="CR252" s="217">
        <f t="shared" si="660"/>
        <v>0.15338645418326693</v>
      </c>
      <c r="CS252" s="172">
        <f t="shared" si="661"/>
        <v>321.65744915076539</v>
      </c>
      <c r="CT252" s="172">
        <f t="shared" si="662"/>
        <v>4.3459495351925632</v>
      </c>
      <c r="CU252" s="217">
        <f t="shared" si="663"/>
        <v>21.443829943384358</v>
      </c>
      <c r="CV252" s="217">
        <f t="shared" si="664"/>
        <v>40.207181143845673</v>
      </c>
      <c r="CW252" s="217">
        <f t="shared" si="665"/>
        <v>15</v>
      </c>
      <c r="CX252" s="217">
        <f t="shared" si="666"/>
        <v>8.3940229182582105</v>
      </c>
      <c r="CY252" s="217">
        <f t="shared" si="667"/>
        <v>1.1850385296364534</v>
      </c>
      <c r="CZ252" s="217">
        <f t="shared" si="668"/>
        <v>6.4158136954839833</v>
      </c>
      <c r="DA252" s="197">
        <f t="shared" si="669"/>
        <v>110.43528632903013</v>
      </c>
      <c r="DB252" s="443">
        <f t="shared" si="670"/>
        <v>131.56419443270454</v>
      </c>
      <c r="DD252" s="217">
        <f t="shared" si="671"/>
        <v>9.9999999999999982</v>
      </c>
      <c r="DE252" s="173">
        <f t="shared" si="672"/>
        <v>7.6433121019108263</v>
      </c>
      <c r="DF252" s="173">
        <f t="shared" si="673"/>
        <v>4.1649244760361679</v>
      </c>
      <c r="DG252" s="173"/>
      <c r="DH252" s="173">
        <f t="shared" si="674"/>
        <v>7.6433121019108281</v>
      </c>
      <c r="DI252" s="545">
        <f t="shared" si="675"/>
        <v>94.2</v>
      </c>
      <c r="DJ252" s="528">
        <f t="shared" si="676"/>
        <v>4.2204568023833167</v>
      </c>
      <c r="DL252" s="173">
        <f t="shared" si="677"/>
        <v>5.1046197563719531</v>
      </c>
      <c r="DM252" s="173">
        <f t="shared" si="678"/>
        <v>10</v>
      </c>
      <c r="DN252" s="173">
        <f t="shared" si="679"/>
        <v>1.0538285714285713</v>
      </c>
      <c r="DP252" s="545">
        <f t="shared" si="680"/>
        <v>3599.9999999999995</v>
      </c>
      <c r="DQ252" s="460">
        <f t="shared" si="681"/>
        <v>94.2</v>
      </c>
      <c r="DS252">
        <f t="shared" si="682"/>
        <v>3599.9999999999995</v>
      </c>
      <c r="DT252">
        <f t="shared" si="683"/>
        <v>94.2</v>
      </c>
      <c r="DV252" s="5">
        <f t="shared" si="684"/>
        <v>10.615711252653927</v>
      </c>
      <c r="DW252" s="5">
        <f t="shared" si="685"/>
        <v>1.4117647058823528</v>
      </c>
      <c r="DX252" s="5">
        <f t="shared" si="686"/>
        <v>9.203946546771574</v>
      </c>
      <c r="DY252" s="173">
        <f t="shared" si="687"/>
        <v>0.13298823529411763</v>
      </c>
      <c r="EA252" s="5">
        <f t="shared" si="713"/>
        <v>33.882352941176464</v>
      </c>
      <c r="EB252" s="5">
        <f t="shared" si="714"/>
        <v>1.5882352941176467</v>
      </c>
      <c r="EC252" s="5">
        <f t="shared" si="715"/>
        <v>2.0162803794144621</v>
      </c>
      <c r="ED252" s="5"/>
      <c r="EE252" s="173">
        <f t="shared" si="716"/>
        <v>2.1054550996092476</v>
      </c>
      <c r="EF252" s="173">
        <f t="shared" si="717"/>
        <v>5.375908495953289</v>
      </c>
      <c r="EG252" s="173">
        <f t="shared" si="718"/>
        <v>0.13239492295916336</v>
      </c>
      <c r="EH252" s="173"/>
      <c r="EI252" s="528">
        <f t="shared" si="719"/>
        <v>8.8658823529411748E-2</v>
      </c>
      <c r="EJ252" s="528">
        <f t="shared" si="720"/>
        <v>1.8971880000000003</v>
      </c>
      <c r="EK252" s="528">
        <f t="shared" si="721"/>
        <v>1.1775000000000001E-2</v>
      </c>
      <c r="EL252" s="528">
        <f t="shared" si="722"/>
        <v>9.5523415800000011E-2</v>
      </c>
      <c r="EM252">
        <f t="shared" si="723"/>
        <v>3.8249999999999999E-2</v>
      </c>
      <c r="EN252" s="460">
        <f t="shared" si="724"/>
        <v>50.024999999999999</v>
      </c>
      <c r="EP252" s="460">
        <f t="shared" si="725"/>
        <v>2131.3952393294121</v>
      </c>
      <c r="EQ252" s="173">
        <f t="shared" si="726"/>
        <v>2.5199999999999996</v>
      </c>
      <c r="ER252" s="173">
        <f t="shared" si="772"/>
        <v>3.9937499999999994E-2</v>
      </c>
      <c r="ES252" s="528"/>
      <c r="EU252" s="460">
        <f t="shared" si="727"/>
        <v>2559.9374999999995</v>
      </c>
      <c r="EV252" s="528">
        <f t="shared" si="728"/>
        <v>0.1329882352941176</v>
      </c>
      <c r="EW252" s="528">
        <f t="shared" si="729"/>
        <v>0.86701176470588259</v>
      </c>
      <c r="EX252" s="528">
        <f t="shared" si="730"/>
        <v>8.7642078126814004E-5</v>
      </c>
      <c r="EY252" s="528">
        <f t="shared" si="731"/>
        <v>1.3617496154976798</v>
      </c>
      <c r="EZ252" s="528"/>
      <c r="FA252" s="625">
        <f t="shared" si="732"/>
        <v>9.4200000000000013E-3</v>
      </c>
      <c r="FB252" s="460">
        <f t="shared" si="733"/>
        <v>2371.2572575758068</v>
      </c>
      <c r="FC252" s="173">
        <f t="shared" si="734"/>
        <v>7.0625899969052188</v>
      </c>
      <c r="FD252" s="5">
        <f t="shared" si="735"/>
        <v>54.719999999999992</v>
      </c>
      <c r="FE252" s="173">
        <f t="shared" si="736"/>
        <v>0.88568640458001202</v>
      </c>
      <c r="FF252" s="5">
        <f t="shared" si="737"/>
        <v>88.568640458001198</v>
      </c>
      <c r="FG252">
        <f t="shared" si="738"/>
        <v>36</v>
      </c>
      <c r="FI252" s="562">
        <f t="shared" si="689"/>
        <v>-50</v>
      </c>
    </row>
    <row r="253" spans="5:165">
      <c r="E253" s="170">
        <v>37</v>
      </c>
      <c r="F253" s="217">
        <f t="shared" si="773"/>
        <v>3.7</v>
      </c>
      <c r="G253" s="217">
        <f t="shared" si="742"/>
        <v>9.2499999999999999E-2</v>
      </c>
      <c r="H253" s="217">
        <f t="shared" si="743"/>
        <v>55.5</v>
      </c>
      <c r="I253" s="217">
        <f t="shared" si="744"/>
        <v>0.74</v>
      </c>
      <c r="J253" s="541">
        <f t="shared" si="745"/>
        <v>84.727420162931693</v>
      </c>
      <c r="K253" s="443">
        <f t="shared" si="746"/>
        <v>15.846617922801491</v>
      </c>
      <c r="L253" s="172">
        <f t="shared" si="747"/>
        <v>100.57403808573318</v>
      </c>
      <c r="M253" s="443"/>
      <c r="N253" s="217">
        <f t="shared" si="748"/>
        <v>0.15756171497552104</v>
      </c>
      <c r="O253" s="172">
        <f t="shared" si="749"/>
        <v>329.35355985994391</v>
      </c>
      <c r="P253" s="172">
        <f t="shared" si="750"/>
        <v>4.4499325421076863</v>
      </c>
      <c r="Q253" s="217">
        <f t="shared" si="626"/>
        <v>21.956903990662926</v>
      </c>
      <c r="R253" s="217">
        <f t="shared" si="751"/>
        <v>41.169194982492989</v>
      </c>
      <c r="S253" s="217">
        <f t="shared" si="752"/>
        <v>15</v>
      </c>
      <c r="T253" s="217">
        <f t="shared" si="753"/>
        <v>8.4255958890502249</v>
      </c>
      <c r="U253" s="217">
        <f t="shared" si="630"/>
        <v>1.1933226631257345</v>
      </c>
      <c r="V253" s="217">
        <f t="shared" si="631"/>
        <v>6.3803614854069863</v>
      </c>
      <c r="W253" s="197">
        <f t="shared" si="632"/>
        <v>111.24831355269215</v>
      </c>
      <c r="X253" s="443">
        <f t="shared" si="691"/>
        <v>128.63913440434155</v>
      </c>
      <c r="Z253" s="217">
        <f t="shared" si="633"/>
        <v>10</v>
      </c>
      <c r="AA253" s="173">
        <f t="shared" si="634"/>
        <v>7.572593760043496</v>
      </c>
      <c r="AB253" s="173">
        <f t="shared" si="754"/>
        <v>4.1567678537392041</v>
      </c>
      <c r="AC253" s="173"/>
      <c r="AD253" s="173">
        <f t="shared" si="636"/>
        <v>7.572593760043496</v>
      </c>
      <c r="AE253" s="545">
        <f t="shared" si="755"/>
        <v>97.720810523942532</v>
      </c>
      <c r="AF253" s="528">
        <f t="shared" si="756"/>
        <v>4.2121914251223949</v>
      </c>
      <c r="AH253" s="173">
        <f t="shared" si="757"/>
        <v>5.1750316309132236</v>
      </c>
      <c r="AI253" s="173">
        <f t="shared" si="758"/>
        <v>10</v>
      </c>
      <c r="AJ253" s="173">
        <f t="shared" si="759"/>
        <v>1.0558404631565386</v>
      </c>
      <c r="AL253" s="545">
        <f t="shared" si="760"/>
        <v>3700</v>
      </c>
      <c r="AM253" s="460">
        <f t="shared" si="761"/>
        <v>97.720810523942532</v>
      </c>
      <c r="AO253">
        <f t="shared" si="644"/>
        <v>3700</v>
      </c>
      <c r="AP253">
        <f t="shared" si="645"/>
        <v>97.720810523942532</v>
      </c>
      <c r="AR253" s="5">
        <f t="shared" si="616"/>
        <v>10.23323481086959</v>
      </c>
      <c r="AS253" s="5">
        <f t="shared" si="739"/>
        <v>1.4163065483315647</v>
      </c>
      <c r="AT253" s="5">
        <f t="shared" si="740"/>
        <v>8.8169282625380241</v>
      </c>
      <c r="AU253" s="173">
        <f t="shared" si="741"/>
        <v>0.13840262385332788</v>
      </c>
      <c r="BA253" s="173">
        <f t="shared" si="692"/>
        <v>2.1478875191943665</v>
      </c>
      <c r="BB253" s="173">
        <f t="shared" si="693"/>
        <v>5.3590962426721163</v>
      </c>
      <c r="BC253" s="173">
        <f t="shared" si="694"/>
        <v>0.13198088001561137</v>
      </c>
      <c r="BD253" s="173"/>
      <c r="BE253" s="528">
        <f t="shared" si="695"/>
        <v>9.2268415902218612E-2</v>
      </c>
      <c r="BF253" s="528">
        <f t="shared" si="762"/>
        <v>1.8427830973881958</v>
      </c>
      <c r="BG253" s="528">
        <f t="shared" si="763"/>
        <v>0.2069908042981079</v>
      </c>
      <c r="BH253" s="528">
        <f t="shared" si="696"/>
        <v>9.884593995758173E-2</v>
      </c>
      <c r="BI253">
        <f t="shared" si="697"/>
        <v>3.8127339073319264E-2</v>
      </c>
      <c r="BJ253" s="460">
        <f t="shared" si="698"/>
        <v>245.11814337142718</v>
      </c>
      <c r="BK253">
        <f t="shared" si="764"/>
        <v>2.1049568430903802</v>
      </c>
      <c r="BL253" s="460">
        <f t="shared" si="699"/>
        <v>2279.0155966194238</v>
      </c>
      <c r="BM253" s="173">
        <f t="shared" si="765"/>
        <v>2.2986249999999999</v>
      </c>
      <c r="BN253" s="173">
        <f t="shared" si="766"/>
        <v>4.1046874999999997E-2</v>
      </c>
      <c r="BQ253" s="460">
        <f t="shared" si="700"/>
        <v>2339.671875</v>
      </c>
      <c r="BR253" s="528">
        <f t="shared" si="701"/>
        <v>0.13840262385332791</v>
      </c>
      <c r="BS253" s="528">
        <f t="shared" si="702"/>
        <v>0.86159737614667187</v>
      </c>
      <c r="BT253" s="528">
        <f t="shared" si="703"/>
        <v>8.7094763448476031E-5</v>
      </c>
      <c r="BU253" s="528">
        <f t="shared" si="704"/>
        <v>1.4925801291725036</v>
      </c>
      <c r="BV253" s="528"/>
      <c r="BW253" s="625">
        <f t="shared" si="705"/>
        <v>9.772081052394254E-3</v>
      </c>
      <c r="BX253" s="460">
        <f t="shared" si="706"/>
        <v>2502.4393049883461</v>
      </c>
      <c r="BY253" s="173">
        <f t="shared" si="707"/>
        <v>7.1211267766077695</v>
      </c>
      <c r="BZ253" s="5">
        <f t="shared" si="708"/>
        <v>56.24</v>
      </c>
      <c r="CA253" s="173">
        <f t="shared" si="709"/>
        <v>0.88761047760853884</v>
      </c>
      <c r="CB253" s="5">
        <f t="shared" si="710"/>
        <v>88.761047760853884</v>
      </c>
      <c r="CC253">
        <f t="shared" si="711"/>
        <v>37</v>
      </c>
      <c r="CE253" s="562">
        <f t="shared" si="767"/>
        <v>-50</v>
      </c>
      <c r="CG253" s="173">
        <f t="shared" si="768"/>
        <v>0.75706978982565853</v>
      </c>
      <c r="CH253" s="173">
        <f t="shared" si="769"/>
        <v>8.8741308895342541E-2</v>
      </c>
      <c r="CI253" s="170">
        <v>37</v>
      </c>
      <c r="CJ253" s="217">
        <f t="shared" si="712"/>
        <v>3.7</v>
      </c>
      <c r="CK253" s="217">
        <f t="shared" si="654"/>
        <v>9.2499999999999999E-2</v>
      </c>
      <c r="CL253" s="217">
        <f t="shared" si="655"/>
        <v>55.5</v>
      </c>
      <c r="CM253" s="217">
        <f t="shared" si="656"/>
        <v>0.74</v>
      </c>
      <c r="CN253" s="541">
        <f t="shared" si="657"/>
        <v>85</v>
      </c>
      <c r="CO253" s="443">
        <f t="shared" si="770"/>
        <v>15.7</v>
      </c>
      <c r="CP253" s="443">
        <f t="shared" si="771"/>
        <v>100.7</v>
      </c>
      <c r="CQ253" s="443"/>
      <c r="CR253" s="217">
        <f t="shared" si="660"/>
        <v>0.15338645418326693</v>
      </c>
      <c r="CS253" s="172">
        <f t="shared" si="661"/>
        <v>321.65744915076539</v>
      </c>
      <c r="CT253" s="172">
        <f t="shared" si="662"/>
        <v>4.3459495351925632</v>
      </c>
      <c r="CU253" s="217">
        <f t="shared" si="663"/>
        <v>21.443829943384358</v>
      </c>
      <c r="CV253" s="217">
        <f t="shared" si="664"/>
        <v>40.207181143845673</v>
      </c>
      <c r="CW253" s="217">
        <f t="shared" si="665"/>
        <v>15</v>
      </c>
      <c r="CX253" s="217">
        <f t="shared" si="666"/>
        <v>8.6271902215431631</v>
      </c>
      <c r="CY253" s="217">
        <f t="shared" si="667"/>
        <v>1.2179562665707995</v>
      </c>
      <c r="CZ253" s="217">
        <f t="shared" si="668"/>
        <v>6.5940307425807623</v>
      </c>
      <c r="DA253" s="197">
        <f t="shared" si="669"/>
        <v>110.43528632903013</v>
      </c>
      <c r="DB253" s="443">
        <f t="shared" si="670"/>
        <v>128.00840539398274</v>
      </c>
      <c r="DD253" s="217">
        <f t="shared" si="671"/>
        <v>9.9999999999999982</v>
      </c>
      <c r="DE253" s="173">
        <f t="shared" si="672"/>
        <v>7.6433121019108263</v>
      </c>
      <c r="DF253" s="173">
        <f t="shared" si="673"/>
        <v>4.1649244760361679</v>
      </c>
      <c r="DG253" s="173"/>
      <c r="DH253" s="173">
        <f t="shared" si="674"/>
        <v>7.6433121019108281</v>
      </c>
      <c r="DI253" s="545">
        <f t="shared" si="675"/>
        <v>96.816666666666691</v>
      </c>
      <c r="DJ253" s="528">
        <f t="shared" si="676"/>
        <v>4.2204568023833167</v>
      </c>
      <c r="DL253" s="173">
        <f t="shared" si="677"/>
        <v>5.1750316309132236</v>
      </c>
      <c r="DM253" s="173">
        <f t="shared" si="678"/>
        <v>10</v>
      </c>
      <c r="DN253" s="173">
        <f t="shared" si="679"/>
        <v>1.0553238095238096</v>
      </c>
      <c r="DP253" s="545">
        <f t="shared" si="680"/>
        <v>3700</v>
      </c>
      <c r="DQ253" s="460">
        <f t="shared" si="681"/>
        <v>96.816666666666691</v>
      </c>
      <c r="DS253">
        <f t="shared" si="682"/>
        <v>3700</v>
      </c>
      <c r="DT253">
        <f t="shared" si="683"/>
        <v>96.816666666666691</v>
      </c>
      <c r="DV253" s="5">
        <f t="shared" si="684"/>
        <v>10.328800137717334</v>
      </c>
      <c r="DW253" s="5">
        <f t="shared" si="685"/>
        <v>1.4117647058823528</v>
      </c>
      <c r="DX253" s="5">
        <f t="shared" si="686"/>
        <v>8.9170354318349805</v>
      </c>
      <c r="DY253" s="173">
        <f t="shared" si="687"/>
        <v>0.13668235294117648</v>
      </c>
      <c r="EA253" s="5">
        <f t="shared" si="713"/>
        <v>34.823529411764703</v>
      </c>
      <c r="EB253" s="5">
        <f t="shared" si="714"/>
        <v>1.6323529411764706</v>
      </c>
      <c r="EC253" s="5">
        <f t="shared" si="715"/>
        <v>2.0076895191352593</v>
      </c>
      <c r="ED253" s="5"/>
      <c r="EE253" s="173">
        <f t="shared" si="716"/>
        <v>2.1344972315214066</v>
      </c>
      <c r="EF253" s="173">
        <f t="shared" si="717"/>
        <v>5.3644435780387125</v>
      </c>
      <c r="EG253" s="173">
        <f t="shared" si="718"/>
        <v>0.13211257125522793</v>
      </c>
      <c r="EH253" s="173"/>
      <c r="EI253" s="528">
        <f t="shared" si="719"/>
        <v>9.1121568627450994E-2</v>
      </c>
      <c r="EJ253" s="528">
        <f t="shared" si="720"/>
        <v>1.9498876666666671</v>
      </c>
      <c r="EK253" s="528">
        <f t="shared" si="721"/>
        <v>1.2102083333333336E-2</v>
      </c>
      <c r="EL253" s="528">
        <f t="shared" si="722"/>
        <v>9.8176844016666695E-2</v>
      </c>
      <c r="EM253">
        <f t="shared" si="723"/>
        <v>3.8249999999999999E-2</v>
      </c>
      <c r="EN253" s="460">
        <f t="shared" si="724"/>
        <v>50.35208333333334</v>
      </c>
      <c r="EP253" s="460">
        <f t="shared" si="725"/>
        <v>2189.5381626441185</v>
      </c>
      <c r="EQ253" s="173">
        <f t="shared" si="726"/>
        <v>2.59</v>
      </c>
      <c r="ER253" s="173">
        <f t="shared" si="772"/>
        <v>4.1046874999999997E-2</v>
      </c>
      <c r="ES253" s="528"/>
      <c r="EU253" s="460">
        <f t="shared" si="727"/>
        <v>2631.046875</v>
      </c>
      <c r="EV253" s="528">
        <f t="shared" si="728"/>
        <v>0.13668235294117648</v>
      </c>
      <c r="EW253" s="528">
        <f t="shared" si="729"/>
        <v>0.86331764705882352</v>
      </c>
      <c r="EX253" s="528">
        <f t="shared" si="730"/>
        <v>8.7268657418338401E-5</v>
      </c>
      <c r="EY253" s="528">
        <f t="shared" si="731"/>
        <v>1.458294774418148</v>
      </c>
      <c r="EZ253" s="528"/>
      <c r="FA253" s="625">
        <f t="shared" si="732"/>
        <v>9.68166666666667E-3</v>
      </c>
      <c r="FB253" s="460">
        <f t="shared" si="733"/>
        <v>2468.0637097422332</v>
      </c>
      <c r="FC253" s="173">
        <f t="shared" si="734"/>
        <v>7.2886487473863513</v>
      </c>
      <c r="FD253" s="5">
        <f t="shared" si="735"/>
        <v>56.24</v>
      </c>
      <c r="FE253" s="173">
        <f t="shared" si="736"/>
        <v>0.8852698917559424</v>
      </c>
      <c r="FF253" s="5">
        <f t="shared" si="737"/>
        <v>88.526989175594238</v>
      </c>
      <c r="FG253">
        <f t="shared" si="738"/>
        <v>37</v>
      </c>
      <c r="FI253" s="562">
        <f t="shared" si="689"/>
        <v>-50</v>
      </c>
    </row>
    <row r="254" spans="5:165">
      <c r="E254" s="170">
        <v>38</v>
      </c>
      <c r="F254" s="217">
        <f t="shared" si="773"/>
        <v>3.8</v>
      </c>
      <c r="G254" s="217">
        <f t="shared" si="742"/>
        <v>9.5000000000000001E-2</v>
      </c>
      <c r="H254" s="217">
        <f t="shared" si="743"/>
        <v>57</v>
      </c>
      <c r="I254" s="217">
        <f t="shared" si="744"/>
        <v>0.76</v>
      </c>
      <c r="J254" s="541">
        <f t="shared" si="745"/>
        <v>84.727420162931693</v>
      </c>
      <c r="K254" s="443">
        <f t="shared" si="746"/>
        <v>15.846617922801491</v>
      </c>
      <c r="L254" s="172">
        <f t="shared" si="747"/>
        <v>100.57403808573318</v>
      </c>
      <c r="M254" s="443"/>
      <c r="N254" s="217">
        <f t="shared" si="748"/>
        <v>0.15756171497552104</v>
      </c>
      <c r="O254" s="172">
        <f t="shared" si="749"/>
        <v>329.35355985994391</v>
      </c>
      <c r="P254" s="172">
        <f t="shared" si="750"/>
        <v>4.4499325421076863</v>
      </c>
      <c r="Q254" s="217">
        <f t="shared" si="626"/>
        <v>21.956903990662926</v>
      </c>
      <c r="R254" s="217">
        <f t="shared" si="751"/>
        <v>41.169194982492989</v>
      </c>
      <c r="S254" s="217">
        <f t="shared" si="752"/>
        <v>15</v>
      </c>
      <c r="T254" s="217">
        <f t="shared" si="753"/>
        <v>8.6533146968623917</v>
      </c>
      <c r="U254" s="217">
        <f t="shared" si="630"/>
        <v>1.2255746269939973</v>
      </c>
      <c r="V254" s="217">
        <f t="shared" si="631"/>
        <v>6.5528036877152838</v>
      </c>
      <c r="W254" s="197">
        <f t="shared" si="632"/>
        <v>111.24831355269215</v>
      </c>
      <c r="X254" s="443">
        <f t="shared" si="691"/>
        <v>125.33875438776288</v>
      </c>
      <c r="Z254" s="217">
        <f t="shared" si="633"/>
        <v>10</v>
      </c>
      <c r="AA254" s="173">
        <f t="shared" si="634"/>
        <v>7.572593760043496</v>
      </c>
      <c r="AB254" s="173">
        <f t="shared" si="754"/>
        <v>4.1567678537392041</v>
      </c>
      <c r="AC254" s="173"/>
      <c r="AD254" s="173">
        <f t="shared" si="636"/>
        <v>7.572593760043496</v>
      </c>
      <c r="AE254" s="545">
        <f t="shared" si="755"/>
        <v>100.3619135110761</v>
      </c>
      <c r="AF254" s="528">
        <f t="shared" si="756"/>
        <v>4.2121914251223949</v>
      </c>
      <c r="AH254" s="173">
        <f t="shared" si="757"/>
        <v>5.2444982510018923</v>
      </c>
      <c r="AI254" s="173">
        <f t="shared" si="758"/>
        <v>10</v>
      </c>
      <c r="AJ254" s="173">
        <f t="shared" si="759"/>
        <v>1.0573496648634721</v>
      </c>
      <c r="AL254" s="545">
        <f t="shared" si="760"/>
        <v>3800</v>
      </c>
      <c r="AM254" s="460">
        <f t="shared" si="761"/>
        <v>100.3619135110761</v>
      </c>
      <c r="AO254">
        <f t="shared" si="644"/>
        <v>3800</v>
      </c>
      <c r="AP254">
        <f t="shared" si="645"/>
        <v>100.3619135110761</v>
      </c>
      <c r="AR254" s="5">
        <f t="shared" si="616"/>
        <v>9.9639391579519714</v>
      </c>
      <c r="AS254" s="5">
        <f t="shared" si="739"/>
        <v>1.4163065483315647</v>
      </c>
      <c r="AT254" s="5">
        <f t="shared" si="740"/>
        <v>8.5476326096204076</v>
      </c>
      <c r="AU254" s="173">
        <f t="shared" si="741"/>
        <v>0.1421432353088232</v>
      </c>
      <c r="BA254" s="173">
        <f t="shared" si="692"/>
        <v>2.1767195142294837</v>
      </c>
      <c r="BB254" s="173">
        <f t="shared" si="693"/>
        <v>5.3474503728137481</v>
      </c>
      <c r="BC254" s="173">
        <f t="shared" si="694"/>
        <v>0.13169407192655036</v>
      </c>
      <c r="BD254" s="173"/>
      <c r="BE254" s="528">
        <f t="shared" si="695"/>
        <v>9.4762156872548783E-2</v>
      </c>
      <c r="BF254" s="528">
        <f t="shared" si="762"/>
        <v>1.8925880459662547</v>
      </c>
      <c r="BG254" s="528">
        <f t="shared" si="763"/>
        <v>0.21258515036021888</v>
      </c>
      <c r="BH254" s="528">
        <f t="shared" si="696"/>
        <v>0.10151745184832717</v>
      </c>
      <c r="BI254">
        <f t="shared" si="697"/>
        <v>3.8127339073319264E-2</v>
      </c>
      <c r="BJ254" s="460">
        <f t="shared" si="698"/>
        <v>250.71248943353814</v>
      </c>
      <c r="BK254">
        <f t="shared" si="764"/>
        <v>2.1631579959659906</v>
      </c>
      <c r="BL254" s="460">
        <f t="shared" si="699"/>
        <v>2339.580144120669</v>
      </c>
      <c r="BM254" s="173">
        <f t="shared" si="765"/>
        <v>2.3607499999999995</v>
      </c>
      <c r="BN254" s="173">
        <f t="shared" si="766"/>
        <v>4.2156249999999999E-2</v>
      </c>
      <c r="BQ254" s="460">
        <f t="shared" si="700"/>
        <v>2402.9062499999995</v>
      </c>
      <c r="BR254" s="528">
        <f t="shared" si="701"/>
        <v>0.14214323530882317</v>
      </c>
      <c r="BS254" s="528">
        <f t="shared" si="702"/>
        <v>0.85785676469117678</v>
      </c>
      <c r="BT254" s="528">
        <f t="shared" si="703"/>
        <v>8.6716642902977099E-5</v>
      </c>
      <c r="BU254" s="528">
        <f t="shared" si="704"/>
        <v>1.5954835723387133</v>
      </c>
      <c r="BV254" s="528"/>
      <c r="BW254" s="625">
        <f t="shared" si="705"/>
        <v>1.003619135110761E-2</v>
      </c>
      <c r="BX254" s="460">
        <f t="shared" si="706"/>
        <v>2605.606480332724</v>
      </c>
      <c r="BY254" s="173">
        <f t="shared" si="707"/>
        <v>7.3480928744533918</v>
      </c>
      <c r="BZ254" s="5">
        <f t="shared" si="708"/>
        <v>57.76</v>
      </c>
      <c r="CA254" s="173">
        <f t="shared" si="709"/>
        <v>0.88714009963980101</v>
      </c>
      <c r="CB254" s="5">
        <f t="shared" si="710"/>
        <v>88.714009963980104</v>
      </c>
      <c r="CC254">
        <f t="shared" si="711"/>
        <v>38</v>
      </c>
      <c r="CE254" s="562">
        <f t="shared" si="767"/>
        <v>-50</v>
      </c>
      <c r="CG254" s="173">
        <f t="shared" si="768"/>
        <v>0.77753113549662212</v>
      </c>
      <c r="CH254" s="173">
        <f t="shared" si="769"/>
        <v>9.1139722649270713E-2</v>
      </c>
      <c r="CI254" s="170">
        <v>38</v>
      </c>
      <c r="CJ254" s="217">
        <f t="shared" si="712"/>
        <v>3.8</v>
      </c>
      <c r="CK254" s="217">
        <f t="shared" si="654"/>
        <v>9.5000000000000001E-2</v>
      </c>
      <c r="CL254" s="217">
        <f t="shared" si="655"/>
        <v>57</v>
      </c>
      <c r="CM254" s="217">
        <f t="shared" si="656"/>
        <v>0.76</v>
      </c>
      <c r="CN254" s="541">
        <f t="shared" si="657"/>
        <v>85</v>
      </c>
      <c r="CO254" s="443">
        <f t="shared" si="770"/>
        <v>15.7</v>
      </c>
      <c r="CP254" s="443">
        <f t="shared" si="771"/>
        <v>100.7</v>
      </c>
      <c r="CQ254" s="443"/>
      <c r="CR254" s="217">
        <f t="shared" si="660"/>
        <v>0.15338645418326693</v>
      </c>
      <c r="CS254" s="172">
        <f t="shared" si="661"/>
        <v>321.65744915076539</v>
      </c>
      <c r="CT254" s="172">
        <f t="shared" si="662"/>
        <v>4.3459495351925632</v>
      </c>
      <c r="CU254" s="217">
        <f t="shared" si="663"/>
        <v>21.443829943384358</v>
      </c>
      <c r="CV254" s="217">
        <f t="shared" si="664"/>
        <v>40.207181143845673</v>
      </c>
      <c r="CW254" s="217">
        <f t="shared" si="665"/>
        <v>15</v>
      </c>
      <c r="CX254" s="217">
        <f t="shared" si="666"/>
        <v>8.8603575248281121</v>
      </c>
      <c r="CY254" s="217">
        <f t="shared" si="667"/>
        <v>1.2508740035051453</v>
      </c>
      <c r="CZ254" s="217">
        <f t="shared" si="668"/>
        <v>6.7722477896775377</v>
      </c>
      <c r="DA254" s="197">
        <f t="shared" si="669"/>
        <v>110.43528632903013</v>
      </c>
      <c r="DB254" s="443">
        <f t="shared" si="670"/>
        <v>124.63976314677271</v>
      </c>
      <c r="DD254" s="217">
        <f t="shared" si="671"/>
        <v>9.9999999999999982</v>
      </c>
      <c r="DE254" s="173">
        <f t="shared" si="672"/>
        <v>7.6433121019108263</v>
      </c>
      <c r="DF254" s="173">
        <f t="shared" si="673"/>
        <v>4.1649244760361679</v>
      </c>
      <c r="DG254" s="173"/>
      <c r="DH254" s="173">
        <f t="shared" si="674"/>
        <v>7.6433121019108281</v>
      </c>
      <c r="DI254" s="545">
        <f t="shared" si="675"/>
        <v>99.433333333333337</v>
      </c>
      <c r="DJ254" s="528">
        <f t="shared" si="676"/>
        <v>4.2204568023833167</v>
      </c>
      <c r="DL254" s="173">
        <f t="shared" si="677"/>
        <v>5.2444982510018923</v>
      </c>
      <c r="DM254" s="173">
        <f t="shared" si="678"/>
        <v>10</v>
      </c>
      <c r="DN254" s="173">
        <f t="shared" si="679"/>
        <v>1.0568190476190475</v>
      </c>
      <c r="DP254" s="545">
        <f t="shared" si="680"/>
        <v>3800</v>
      </c>
      <c r="DQ254" s="460">
        <f t="shared" si="681"/>
        <v>99.433333333333337</v>
      </c>
      <c r="DS254">
        <f t="shared" si="682"/>
        <v>3800</v>
      </c>
      <c r="DT254">
        <f t="shared" si="683"/>
        <v>99.433333333333337</v>
      </c>
      <c r="DV254" s="5">
        <f t="shared" si="684"/>
        <v>10.056989607777405</v>
      </c>
      <c r="DW254" s="5">
        <f t="shared" si="685"/>
        <v>1.4117647058823528</v>
      </c>
      <c r="DX254" s="5">
        <f t="shared" si="686"/>
        <v>8.6452249018950518</v>
      </c>
      <c r="DY254" s="173">
        <f t="shared" si="687"/>
        <v>0.1403764705882353</v>
      </c>
      <c r="EA254" s="5">
        <f t="shared" si="713"/>
        <v>35.764705882352942</v>
      </c>
      <c r="EB254" s="5">
        <f t="shared" si="714"/>
        <v>1.6764705882352937</v>
      </c>
      <c r="EC254" s="5">
        <f t="shared" si="715"/>
        <v>1.9990986588560562</v>
      </c>
      <c r="ED254" s="5"/>
      <c r="EE254" s="173">
        <f t="shared" si="716"/>
        <v>2.1631494831089482</v>
      </c>
      <c r="EF254" s="173">
        <f t="shared" si="717"/>
        <v>5.3529541047031994</v>
      </c>
      <c r="EG254" s="173">
        <f t="shared" si="718"/>
        <v>0.13182961481386704</v>
      </c>
      <c r="EH254" s="173"/>
      <c r="EI254" s="528">
        <f t="shared" si="719"/>
        <v>9.3584313725490184E-2</v>
      </c>
      <c r="EJ254" s="528">
        <f t="shared" si="720"/>
        <v>2.0025873333333335</v>
      </c>
      <c r="EK254" s="528">
        <f t="shared" si="721"/>
        <v>1.2429166666666666E-2</v>
      </c>
      <c r="EL254" s="528">
        <f t="shared" si="722"/>
        <v>0.10083027223333334</v>
      </c>
      <c r="EM254">
        <f t="shared" si="723"/>
        <v>3.8249999999999999E-2</v>
      </c>
      <c r="EN254" s="460">
        <f t="shared" si="724"/>
        <v>50.679166666666667</v>
      </c>
      <c r="EP254" s="460">
        <f t="shared" si="725"/>
        <v>2247.681085958824</v>
      </c>
      <c r="EQ254" s="173">
        <f t="shared" si="726"/>
        <v>2.6599999999999997</v>
      </c>
      <c r="ER254" s="173">
        <f t="shared" si="772"/>
        <v>4.2156249999999999E-2</v>
      </c>
      <c r="ES254" s="528"/>
      <c r="EU254" s="460">
        <f t="shared" si="727"/>
        <v>2702.15625</v>
      </c>
      <c r="EV254" s="528">
        <f t="shared" si="728"/>
        <v>0.14037647058823527</v>
      </c>
      <c r="EW254" s="528">
        <f t="shared" si="729"/>
        <v>0.8596235294117649</v>
      </c>
      <c r="EX254" s="528">
        <f t="shared" si="730"/>
        <v>8.6895236709862771E-5</v>
      </c>
      <c r="EY254" s="528">
        <f t="shared" si="731"/>
        <v>1.5588344710856268</v>
      </c>
      <c r="EZ254" s="528"/>
      <c r="FA254" s="625">
        <f t="shared" si="732"/>
        <v>9.9433333333333353E-3</v>
      </c>
      <c r="FB254" s="460">
        <f t="shared" si="733"/>
        <v>2568.8646996556699</v>
      </c>
      <c r="FC254" s="173">
        <f t="shared" si="734"/>
        <v>7.5187020356144938</v>
      </c>
      <c r="FD254" s="5">
        <f t="shared" si="735"/>
        <v>57.76</v>
      </c>
      <c r="FE254" s="173">
        <f t="shared" si="736"/>
        <v>0.88482151450388113</v>
      </c>
      <c r="FF254" s="5">
        <f t="shared" si="737"/>
        <v>88.482151450388116</v>
      </c>
      <c r="FG254">
        <f t="shared" si="738"/>
        <v>38</v>
      </c>
      <c r="FI254" s="562">
        <f t="shared" si="689"/>
        <v>-50</v>
      </c>
    </row>
    <row r="255" spans="5:165">
      <c r="E255" s="170">
        <v>39</v>
      </c>
      <c r="F255" s="217">
        <f t="shared" si="773"/>
        <v>3.9000000000000004</v>
      </c>
      <c r="G255" s="217">
        <f t="shared" si="742"/>
        <v>9.7500000000000003E-2</v>
      </c>
      <c r="H255" s="217">
        <f t="shared" si="743"/>
        <v>58.500000000000007</v>
      </c>
      <c r="I255" s="217">
        <f t="shared" si="744"/>
        <v>0.78</v>
      </c>
      <c r="J255" s="541">
        <f t="shared" si="745"/>
        <v>84.727420162931693</v>
      </c>
      <c r="K255" s="443">
        <f t="shared" si="746"/>
        <v>15.846617922801491</v>
      </c>
      <c r="L255" s="172">
        <f t="shared" si="747"/>
        <v>100.57403808573318</v>
      </c>
      <c r="M255" s="443"/>
      <c r="N255" s="217">
        <f t="shared" si="748"/>
        <v>0.15756171497552104</v>
      </c>
      <c r="O255" s="172">
        <f t="shared" si="749"/>
        <v>329.35355985994391</v>
      </c>
      <c r="P255" s="172">
        <f t="shared" si="750"/>
        <v>4.4499325421076863</v>
      </c>
      <c r="Q255" s="217">
        <f t="shared" si="626"/>
        <v>21.956903990662926</v>
      </c>
      <c r="R255" s="217">
        <f t="shared" si="751"/>
        <v>41.169194982492989</v>
      </c>
      <c r="S255" s="217">
        <f t="shared" si="752"/>
        <v>15</v>
      </c>
      <c r="T255" s="217">
        <f t="shared" si="753"/>
        <v>8.8810335046745621</v>
      </c>
      <c r="U255" s="217">
        <f t="shared" si="630"/>
        <v>1.2578265908622608</v>
      </c>
      <c r="V255" s="217">
        <f t="shared" si="631"/>
        <v>6.7252458900235821</v>
      </c>
      <c r="W255" s="197">
        <f t="shared" si="632"/>
        <v>111.24831355269215</v>
      </c>
      <c r="X255" s="443">
        <f t="shared" si="691"/>
        <v>122.20348803408704</v>
      </c>
      <c r="Z255" s="217">
        <f t="shared" si="633"/>
        <v>10</v>
      </c>
      <c r="AA255" s="173">
        <f t="shared" si="634"/>
        <v>7.572593760043496</v>
      </c>
      <c r="AB255" s="173">
        <f t="shared" si="754"/>
        <v>4.1567678537392041</v>
      </c>
      <c r="AC255" s="173"/>
      <c r="AD255" s="173">
        <f t="shared" si="636"/>
        <v>7.572593760043496</v>
      </c>
      <c r="AE255" s="545">
        <f t="shared" si="755"/>
        <v>103.00301649820969</v>
      </c>
      <c r="AF255" s="528">
        <f t="shared" si="756"/>
        <v>4.2121914251223949</v>
      </c>
      <c r="AH255" s="173">
        <f t="shared" si="757"/>
        <v>5.3130566935212942</v>
      </c>
      <c r="AI255" s="173">
        <f t="shared" si="758"/>
        <v>10</v>
      </c>
      <c r="AJ255" s="173">
        <f t="shared" si="759"/>
        <v>1.0588588665704055</v>
      </c>
      <c r="AL255" s="545">
        <f t="shared" si="760"/>
        <v>3900.0000000000005</v>
      </c>
      <c r="AM255" s="460">
        <f t="shared" si="761"/>
        <v>103.00301649820969</v>
      </c>
      <c r="AO255">
        <f t="shared" si="644"/>
        <v>3900.0000000000005</v>
      </c>
      <c r="AP255">
        <f t="shared" si="645"/>
        <v>103.00301649820969</v>
      </c>
      <c r="AR255" s="5">
        <f t="shared" si="616"/>
        <v>9.7084535385173023</v>
      </c>
      <c r="AS255" s="5">
        <f t="shared" si="739"/>
        <v>1.4163065483315647</v>
      </c>
      <c r="AT255" s="5">
        <f t="shared" si="740"/>
        <v>8.2921469901857385</v>
      </c>
      <c r="AU255" s="173">
        <f t="shared" si="741"/>
        <v>0.14588384676431859</v>
      </c>
      <c r="BA255" s="173">
        <f t="shared" si="692"/>
        <v>2.2051745718069475</v>
      </c>
      <c r="BB255" s="173">
        <f t="shared" si="693"/>
        <v>5.3357790847437991</v>
      </c>
      <c r="BC255" s="173">
        <f t="shared" si="694"/>
        <v>0.13140663785172968</v>
      </c>
      <c r="BD255" s="173"/>
      <c r="BE255" s="528">
        <f t="shared" si="695"/>
        <v>9.7255897842879094E-2</v>
      </c>
      <c r="BF255" s="528">
        <f t="shared" si="762"/>
        <v>1.9423929945443144</v>
      </c>
      <c r="BG255" s="528">
        <f t="shared" si="763"/>
        <v>0.21817949642232992</v>
      </c>
      <c r="BH255" s="528">
        <f t="shared" si="696"/>
        <v>0.10418896373907263</v>
      </c>
      <c r="BI255">
        <f t="shared" si="697"/>
        <v>3.8127339073319264E-2</v>
      </c>
      <c r="BJ255" s="460">
        <f t="shared" si="698"/>
        <v>256.30683549564918</v>
      </c>
      <c r="BK255">
        <f t="shared" si="764"/>
        <v>2.221429750159404</v>
      </c>
      <c r="BL255" s="460">
        <f t="shared" si="699"/>
        <v>2400.1446916219156</v>
      </c>
      <c r="BM255" s="173">
        <f t="shared" si="765"/>
        <v>2.4228749999999999</v>
      </c>
      <c r="BN255" s="173">
        <f t="shared" si="766"/>
        <v>4.3265625000000002E-2</v>
      </c>
      <c r="BQ255" s="460">
        <f t="shared" si="700"/>
        <v>2466.140625</v>
      </c>
      <c r="BR255" s="528">
        <f t="shared" si="701"/>
        <v>0.14588384676431862</v>
      </c>
      <c r="BS255" s="528">
        <f t="shared" si="702"/>
        <v>0.85411615323568124</v>
      </c>
      <c r="BT255" s="528">
        <f t="shared" si="703"/>
        <v>8.633852235747818E-5</v>
      </c>
      <c r="BU255" s="528">
        <f t="shared" si="704"/>
        <v>1.7025303514246246</v>
      </c>
      <c r="BV255" s="528"/>
      <c r="BW255" s="625">
        <f t="shared" si="705"/>
        <v>1.0300301649820969E-2</v>
      </c>
      <c r="BX255" s="460">
        <f t="shared" si="706"/>
        <v>2712.9169915968032</v>
      </c>
      <c r="BY255" s="173">
        <f t="shared" si="707"/>
        <v>7.5792023082187185</v>
      </c>
      <c r="BZ255" s="5">
        <f t="shared" si="708"/>
        <v>59.280000000000008</v>
      </c>
      <c r="CA255" s="173">
        <f t="shared" si="709"/>
        <v>0.8866393548448448</v>
      </c>
      <c r="CB255" s="5">
        <f t="shared" si="710"/>
        <v>88.663935484484483</v>
      </c>
      <c r="CC255">
        <f t="shared" si="711"/>
        <v>39</v>
      </c>
      <c r="CE255" s="562">
        <f t="shared" si="767"/>
        <v>-50</v>
      </c>
      <c r="CG255" s="173">
        <f t="shared" si="768"/>
        <v>0.79799248116758603</v>
      </c>
      <c r="CH255" s="173">
        <f t="shared" si="769"/>
        <v>9.3538136403198885E-2</v>
      </c>
      <c r="CI255" s="170">
        <v>39</v>
      </c>
      <c r="CJ255" s="217">
        <f t="shared" si="712"/>
        <v>3.9000000000000004</v>
      </c>
      <c r="CK255" s="217">
        <f t="shared" si="654"/>
        <v>9.7500000000000003E-2</v>
      </c>
      <c r="CL255" s="217">
        <f t="shared" si="655"/>
        <v>58.500000000000007</v>
      </c>
      <c r="CM255" s="217">
        <f t="shared" si="656"/>
        <v>0.78</v>
      </c>
      <c r="CN255" s="541">
        <f t="shared" si="657"/>
        <v>85</v>
      </c>
      <c r="CO255" s="443">
        <f t="shared" si="770"/>
        <v>15.7</v>
      </c>
      <c r="CP255" s="443">
        <f t="shared" si="771"/>
        <v>100.7</v>
      </c>
      <c r="CQ255" s="443"/>
      <c r="CR255" s="217">
        <f t="shared" si="660"/>
        <v>0.15338645418326693</v>
      </c>
      <c r="CS255" s="172">
        <f t="shared" si="661"/>
        <v>321.65744915076539</v>
      </c>
      <c r="CT255" s="172">
        <f t="shared" si="662"/>
        <v>4.3459495351925632</v>
      </c>
      <c r="CU255" s="217">
        <f t="shared" si="663"/>
        <v>21.443829943384358</v>
      </c>
      <c r="CV255" s="217">
        <f t="shared" si="664"/>
        <v>40.207181143845673</v>
      </c>
      <c r="CW255" s="217">
        <f t="shared" si="665"/>
        <v>15</v>
      </c>
      <c r="CX255" s="217">
        <f t="shared" si="666"/>
        <v>9.0935248281130647</v>
      </c>
      <c r="CY255" s="217">
        <f t="shared" si="667"/>
        <v>1.2837917404394914</v>
      </c>
      <c r="CZ255" s="217">
        <f t="shared" si="668"/>
        <v>6.9504648367743176</v>
      </c>
      <c r="DA255" s="197">
        <f t="shared" si="669"/>
        <v>110.43528632903013</v>
      </c>
      <c r="DB255" s="443">
        <f t="shared" si="670"/>
        <v>121.4438717840349</v>
      </c>
      <c r="DD255" s="217">
        <f t="shared" si="671"/>
        <v>9.9999999999999982</v>
      </c>
      <c r="DE255" s="173">
        <f t="shared" si="672"/>
        <v>7.6433121019108263</v>
      </c>
      <c r="DF255" s="173">
        <f t="shared" si="673"/>
        <v>4.1649244760361679</v>
      </c>
      <c r="DG255" s="173"/>
      <c r="DH255" s="173">
        <f t="shared" si="674"/>
        <v>7.6433121019108281</v>
      </c>
      <c r="DI255" s="545">
        <f t="shared" si="675"/>
        <v>102.05000000000001</v>
      </c>
      <c r="DJ255" s="528">
        <f t="shared" si="676"/>
        <v>4.2204568023833167</v>
      </c>
      <c r="DL255" s="173">
        <f t="shared" si="677"/>
        <v>5.3130566935212942</v>
      </c>
      <c r="DM255" s="173">
        <f t="shared" si="678"/>
        <v>10</v>
      </c>
      <c r="DN255" s="173">
        <f t="shared" si="679"/>
        <v>1.0583142857142858</v>
      </c>
      <c r="DP255" s="545">
        <f t="shared" si="680"/>
        <v>3900.0000000000005</v>
      </c>
      <c r="DQ255" s="460">
        <f t="shared" si="681"/>
        <v>102.05000000000001</v>
      </c>
      <c r="DS255">
        <f t="shared" si="682"/>
        <v>3900.0000000000005</v>
      </c>
      <c r="DT255">
        <f t="shared" si="683"/>
        <v>102.05000000000001</v>
      </c>
      <c r="DV255" s="5">
        <f t="shared" si="684"/>
        <v>9.799118079372855</v>
      </c>
      <c r="DW255" s="5">
        <f t="shared" si="685"/>
        <v>1.4117647058823528</v>
      </c>
      <c r="DX255" s="5">
        <f t="shared" si="686"/>
        <v>8.3873533734905017</v>
      </c>
      <c r="DY255" s="173">
        <f t="shared" si="687"/>
        <v>0.14407058823529412</v>
      </c>
      <c r="EA255" s="5">
        <f t="shared" si="713"/>
        <v>36.705882352941181</v>
      </c>
      <c r="EB255" s="5">
        <f t="shared" si="714"/>
        <v>1.7205882352941173</v>
      </c>
      <c r="EC255" s="5">
        <f t="shared" si="715"/>
        <v>1.9905077985768536</v>
      </c>
      <c r="ED255" s="5"/>
      <c r="EE255" s="173">
        <f t="shared" si="716"/>
        <v>2.1914271471295756</v>
      </c>
      <c r="EF255" s="173">
        <f t="shared" si="717"/>
        <v>5.3414399174901206</v>
      </c>
      <c r="EG255" s="173">
        <f t="shared" si="718"/>
        <v>0.1315460497326979</v>
      </c>
      <c r="EH255" s="173"/>
      <c r="EI255" s="528">
        <f t="shared" si="719"/>
        <v>9.6047058823529416E-2</v>
      </c>
      <c r="EJ255" s="528">
        <f t="shared" si="720"/>
        <v>2.0552869999999999</v>
      </c>
      <c r="EK255" s="528">
        <f t="shared" si="721"/>
        <v>1.275625E-2</v>
      </c>
      <c r="EL255" s="528">
        <f t="shared" si="722"/>
        <v>0.10348370045000002</v>
      </c>
      <c r="EM255">
        <f t="shared" si="723"/>
        <v>3.8249999999999999E-2</v>
      </c>
      <c r="EN255" s="460">
        <f t="shared" si="724"/>
        <v>51.006250000000001</v>
      </c>
      <c r="EP255" s="460">
        <f t="shared" si="725"/>
        <v>2305.8240092735296</v>
      </c>
      <c r="EQ255" s="173">
        <f t="shared" si="726"/>
        <v>2.73</v>
      </c>
      <c r="ER255" s="173">
        <f t="shared" si="772"/>
        <v>4.3265625000000002E-2</v>
      </c>
      <c r="ES255" s="528"/>
      <c r="EU255" s="460">
        <f t="shared" si="727"/>
        <v>2773.265625</v>
      </c>
      <c r="EV255" s="528">
        <f t="shared" si="728"/>
        <v>0.14407058823529412</v>
      </c>
      <c r="EW255" s="528">
        <f t="shared" si="729"/>
        <v>0.85592941176470594</v>
      </c>
      <c r="EX255" s="528">
        <f t="shared" si="730"/>
        <v>8.6521816001387155E-5</v>
      </c>
      <c r="EY255" s="528">
        <f t="shared" si="731"/>
        <v>1.6634223290559886</v>
      </c>
      <c r="EZ255" s="528"/>
      <c r="FA255" s="625">
        <f t="shared" si="732"/>
        <v>1.0205000000000002E-2</v>
      </c>
      <c r="FB255" s="460">
        <f t="shared" si="733"/>
        <v>2673.71385087199</v>
      </c>
      <c r="FC255" s="173">
        <f t="shared" si="734"/>
        <v>7.7528034851455194</v>
      </c>
      <c r="FD255" s="5">
        <f t="shared" si="735"/>
        <v>59.280000000000008</v>
      </c>
      <c r="FE255" s="173">
        <f t="shared" si="736"/>
        <v>0.88434314123735647</v>
      </c>
      <c r="FF255" s="5">
        <f t="shared" si="737"/>
        <v>88.434314123735646</v>
      </c>
      <c r="FG255">
        <f t="shared" si="738"/>
        <v>39</v>
      </c>
      <c r="FI255" s="562">
        <f t="shared" si="689"/>
        <v>-50</v>
      </c>
    </row>
    <row r="256" spans="5:165">
      <c r="E256" s="170">
        <v>40</v>
      </c>
      <c r="F256" s="217">
        <f t="shared" si="773"/>
        <v>4</v>
      </c>
      <c r="G256" s="217">
        <f t="shared" si="742"/>
        <v>0.1</v>
      </c>
      <c r="H256" s="217">
        <f t="shared" si="743"/>
        <v>60</v>
      </c>
      <c r="I256" s="217">
        <f t="shared" si="744"/>
        <v>0.8</v>
      </c>
      <c r="J256" s="541">
        <f t="shared" si="745"/>
        <v>84.727420162931693</v>
      </c>
      <c r="K256" s="443">
        <f t="shared" si="746"/>
        <v>15.846617922801491</v>
      </c>
      <c r="L256" s="172">
        <f t="shared" si="747"/>
        <v>100.57403808573318</v>
      </c>
      <c r="M256" s="443"/>
      <c r="N256" s="217">
        <f t="shared" si="748"/>
        <v>0.15756171497552104</v>
      </c>
      <c r="O256" s="172">
        <f t="shared" si="749"/>
        <v>329.35355985994391</v>
      </c>
      <c r="P256" s="172">
        <f t="shared" si="750"/>
        <v>4.4499325421076863</v>
      </c>
      <c r="Q256" s="217">
        <f t="shared" si="626"/>
        <v>21.956903990662926</v>
      </c>
      <c r="R256" s="217">
        <f t="shared" si="751"/>
        <v>41.169194982492989</v>
      </c>
      <c r="S256" s="217">
        <f t="shared" si="752"/>
        <v>15</v>
      </c>
      <c r="T256" s="217">
        <f t="shared" si="753"/>
        <v>9.1087523124867289</v>
      </c>
      <c r="U256" s="217">
        <f t="shared" si="630"/>
        <v>1.2900785547305236</v>
      </c>
      <c r="V256" s="217">
        <f t="shared" si="631"/>
        <v>6.8976880923318777</v>
      </c>
      <c r="W256" s="197">
        <f t="shared" si="632"/>
        <v>111.24831355269215</v>
      </c>
      <c r="X256" s="443">
        <f t="shared" si="691"/>
        <v>119.22124709444847</v>
      </c>
      <c r="Z256" s="217">
        <f t="shared" si="633"/>
        <v>10</v>
      </c>
      <c r="AA256" s="173">
        <f t="shared" si="634"/>
        <v>7.572593760043496</v>
      </c>
      <c r="AB256" s="173">
        <f t="shared" si="754"/>
        <v>4.1567678537392041</v>
      </c>
      <c r="AC256" s="173"/>
      <c r="AD256" s="173">
        <f t="shared" si="636"/>
        <v>7.572593760043496</v>
      </c>
      <c r="AE256" s="545">
        <f t="shared" si="755"/>
        <v>105.64411948534327</v>
      </c>
      <c r="AF256" s="528">
        <f t="shared" si="756"/>
        <v>4.2121914251223949</v>
      </c>
      <c r="AH256" s="173">
        <f t="shared" si="757"/>
        <v>5.3807416730763942</v>
      </c>
      <c r="AI256" s="173">
        <f t="shared" si="758"/>
        <v>10</v>
      </c>
      <c r="AJ256" s="173">
        <f t="shared" si="759"/>
        <v>1.0603680682773391</v>
      </c>
      <c r="AL256" s="545">
        <f t="shared" si="760"/>
        <v>4000</v>
      </c>
      <c r="AM256" s="460">
        <f t="shared" si="761"/>
        <v>105.64411948534327</v>
      </c>
      <c r="AO256">
        <f t="shared" si="644"/>
        <v>4000</v>
      </c>
      <c r="AP256">
        <f t="shared" si="645"/>
        <v>105.64411948534327</v>
      </c>
      <c r="AR256" s="5">
        <f t="shared" si="616"/>
        <v>9.4657422000543718</v>
      </c>
      <c r="AS256" s="5">
        <f t="shared" si="739"/>
        <v>1.4163065483315647</v>
      </c>
      <c r="AT256" s="5">
        <f t="shared" si="740"/>
        <v>8.0494356517228063</v>
      </c>
      <c r="AU256" s="173">
        <f t="shared" si="741"/>
        <v>0.14962445821981391</v>
      </c>
      <c r="BA256" s="173">
        <f t="shared" si="692"/>
        <v>2.2332671001607629</v>
      </c>
      <c r="BB256" s="173">
        <f t="shared" si="693"/>
        <v>5.3240822112992268</v>
      </c>
      <c r="BC256" s="173">
        <f t="shared" si="694"/>
        <v>0.13111857367434962</v>
      </c>
      <c r="BD256" s="173"/>
      <c r="BE256" s="528">
        <f t="shared" si="695"/>
        <v>9.9749638813209265E-2</v>
      </c>
      <c r="BF256" s="528">
        <f t="shared" si="762"/>
        <v>1.9921979431223735</v>
      </c>
      <c r="BG256" s="528">
        <f t="shared" si="763"/>
        <v>0.22377384248444096</v>
      </c>
      <c r="BH256" s="528">
        <f t="shared" si="696"/>
        <v>0.10686047562981808</v>
      </c>
      <c r="BI256">
        <f t="shared" si="697"/>
        <v>3.8127339073319264E-2</v>
      </c>
      <c r="BJ256" s="460">
        <f t="shared" si="698"/>
        <v>261.9011815577602</v>
      </c>
      <c r="BK256">
        <f t="shared" si="764"/>
        <v>2.2797722342137217</v>
      </c>
      <c r="BL256" s="460">
        <f t="shared" si="699"/>
        <v>2460.7092391231608</v>
      </c>
      <c r="BM256" s="173">
        <f t="shared" si="765"/>
        <v>2.4849999999999999</v>
      </c>
      <c r="BN256" s="173">
        <f t="shared" si="766"/>
        <v>4.4374999999999998E-2</v>
      </c>
      <c r="BQ256" s="460">
        <f t="shared" si="700"/>
        <v>2529.375</v>
      </c>
      <c r="BR256" s="528">
        <f t="shared" si="701"/>
        <v>0.14962445821981388</v>
      </c>
      <c r="BS256" s="528">
        <f t="shared" si="702"/>
        <v>0.85037554178018582</v>
      </c>
      <c r="BT256" s="528">
        <f t="shared" si="703"/>
        <v>8.5960401811979235E-5</v>
      </c>
      <c r="BU256" s="528">
        <f t="shared" si="704"/>
        <v>1.813774633049313</v>
      </c>
      <c r="BV256" s="528"/>
      <c r="BW256" s="625">
        <f t="shared" si="705"/>
        <v>1.0564411948534328E-2</v>
      </c>
      <c r="BX256" s="460">
        <f t="shared" si="706"/>
        <v>2824.4250053996593</v>
      </c>
      <c r="BY256" s="173">
        <f t="shared" si="707"/>
        <v>7.8145092445228199</v>
      </c>
      <c r="BZ256" s="5">
        <f t="shared" si="708"/>
        <v>60.8</v>
      </c>
      <c r="CA256" s="173">
        <f t="shared" si="709"/>
        <v>0.88610995938666393</v>
      </c>
      <c r="CB256" s="5">
        <f t="shared" si="710"/>
        <v>88.610995938666392</v>
      </c>
      <c r="CC256">
        <f t="shared" si="711"/>
        <v>40</v>
      </c>
      <c r="CE256" s="562">
        <f t="shared" si="767"/>
        <v>-50</v>
      </c>
      <c r="CG256" s="173">
        <f t="shared" si="768"/>
        <v>0.81845382683854961</v>
      </c>
      <c r="CH256" s="173">
        <f t="shared" si="769"/>
        <v>9.5936550157127057E-2</v>
      </c>
      <c r="CI256" s="170">
        <v>40</v>
      </c>
      <c r="CJ256" s="217">
        <f t="shared" si="712"/>
        <v>4</v>
      </c>
      <c r="CK256" s="217">
        <f t="shared" si="654"/>
        <v>0.1</v>
      </c>
      <c r="CL256" s="217">
        <f t="shared" si="655"/>
        <v>60</v>
      </c>
      <c r="CM256" s="217">
        <f t="shared" si="656"/>
        <v>0.8</v>
      </c>
      <c r="CN256" s="541">
        <f t="shared" si="657"/>
        <v>85</v>
      </c>
      <c r="CO256" s="443">
        <f t="shared" si="770"/>
        <v>15.7</v>
      </c>
      <c r="CP256" s="443">
        <f t="shared" si="771"/>
        <v>100.7</v>
      </c>
      <c r="CQ256" s="443"/>
      <c r="CR256" s="217">
        <f t="shared" si="660"/>
        <v>0.15338645418326693</v>
      </c>
      <c r="CS256" s="172">
        <f t="shared" si="661"/>
        <v>321.65744915076539</v>
      </c>
      <c r="CT256" s="172">
        <f t="shared" si="662"/>
        <v>4.3459495351925632</v>
      </c>
      <c r="CU256" s="217">
        <f t="shared" si="663"/>
        <v>21.443829943384358</v>
      </c>
      <c r="CV256" s="217">
        <f t="shared" si="664"/>
        <v>40.207181143845673</v>
      </c>
      <c r="CW256" s="217">
        <f t="shared" si="665"/>
        <v>15</v>
      </c>
      <c r="CX256" s="217">
        <f t="shared" si="666"/>
        <v>9.3266921313980138</v>
      </c>
      <c r="CY256" s="217">
        <f t="shared" si="667"/>
        <v>1.316709477373837</v>
      </c>
      <c r="CZ256" s="217">
        <f t="shared" si="668"/>
        <v>7.128681883871093</v>
      </c>
      <c r="DA256" s="197">
        <f t="shared" si="669"/>
        <v>110.43528632903013</v>
      </c>
      <c r="DB256" s="443">
        <f t="shared" si="670"/>
        <v>118.40777498943407</v>
      </c>
      <c r="DD256" s="217">
        <f t="shared" si="671"/>
        <v>9.9999999999999982</v>
      </c>
      <c r="DE256" s="173">
        <f t="shared" si="672"/>
        <v>7.6433121019108263</v>
      </c>
      <c r="DF256" s="173">
        <f t="shared" si="673"/>
        <v>4.1649244760361679</v>
      </c>
      <c r="DG256" s="173"/>
      <c r="DH256" s="173">
        <f t="shared" si="674"/>
        <v>7.6433121019108281</v>
      </c>
      <c r="DI256" s="545">
        <f t="shared" si="675"/>
        <v>104.66666666666667</v>
      </c>
      <c r="DJ256" s="528">
        <f t="shared" si="676"/>
        <v>4.2204568023833167</v>
      </c>
      <c r="DL256" s="173">
        <f t="shared" si="677"/>
        <v>5.3807416730763942</v>
      </c>
      <c r="DM256" s="173">
        <f t="shared" si="678"/>
        <v>10</v>
      </c>
      <c r="DN256" s="173">
        <f t="shared" si="679"/>
        <v>1.0598095238095238</v>
      </c>
      <c r="DP256" s="545">
        <f t="shared" si="680"/>
        <v>4000</v>
      </c>
      <c r="DQ256" s="460">
        <f t="shared" si="681"/>
        <v>104.66666666666667</v>
      </c>
      <c r="DS256">
        <f t="shared" si="682"/>
        <v>4000</v>
      </c>
      <c r="DT256">
        <f t="shared" si="683"/>
        <v>104.66666666666667</v>
      </c>
      <c r="DV256" s="5">
        <f t="shared" si="684"/>
        <v>9.5541401273885338</v>
      </c>
      <c r="DW256" s="5">
        <f t="shared" si="685"/>
        <v>1.4117647058823528</v>
      </c>
      <c r="DX256" s="5">
        <f t="shared" si="686"/>
        <v>8.1423754215061805</v>
      </c>
      <c r="DY256" s="173">
        <f t="shared" si="687"/>
        <v>0.14776470588235294</v>
      </c>
      <c r="EA256" s="5">
        <f t="shared" si="713"/>
        <v>37.647058823529406</v>
      </c>
      <c r="EB256" s="5">
        <f t="shared" si="714"/>
        <v>1.7647058823529413</v>
      </c>
      <c r="EC256" s="5">
        <f t="shared" si="715"/>
        <v>1.9819169382976505</v>
      </c>
      <c r="ED256" s="5"/>
      <c r="EE256" s="173">
        <f t="shared" si="716"/>
        <v>2.2193445419939715</v>
      </c>
      <c r="EF256" s="173">
        <f t="shared" si="717"/>
        <v>5.3299008562312764</v>
      </c>
      <c r="EG256" s="173">
        <f t="shared" si="718"/>
        <v>0.13126187206718595</v>
      </c>
      <c r="EH256" s="173"/>
      <c r="EI256" s="528">
        <f t="shared" si="719"/>
        <v>9.850980392156862E-2</v>
      </c>
      <c r="EJ256" s="528">
        <f t="shared" si="720"/>
        <v>2.1079866666666671</v>
      </c>
      <c r="EK256" s="528">
        <f t="shared" si="721"/>
        <v>1.3083333333333334E-2</v>
      </c>
      <c r="EL256" s="528">
        <f t="shared" si="722"/>
        <v>0.10613712866666668</v>
      </c>
      <c r="EM256">
        <f t="shared" si="723"/>
        <v>3.8249999999999999E-2</v>
      </c>
      <c r="EN256" s="460">
        <f t="shared" si="724"/>
        <v>51.333333333333336</v>
      </c>
      <c r="EP256" s="460">
        <f t="shared" si="725"/>
        <v>2363.966932588236</v>
      </c>
      <c r="EQ256" s="173">
        <f t="shared" si="726"/>
        <v>2.8</v>
      </c>
      <c r="ER256" s="173">
        <f t="shared" si="772"/>
        <v>4.4374999999999998E-2</v>
      </c>
      <c r="ES256" s="528"/>
      <c r="EU256" s="460">
        <f t="shared" si="727"/>
        <v>2844.375</v>
      </c>
      <c r="EV256" s="528">
        <f t="shared" si="728"/>
        <v>0.14776470588235291</v>
      </c>
      <c r="EW256" s="528">
        <f t="shared" si="729"/>
        <v>0.85223529411764676</v>
      </c>
      <c r="EX256" s="528">
        <f t="shared" si="730"/>
        <v>8.614839529291147E-5</v>
      </c>
      <c r="EY256" s="528">
        <f t="shared" si="731"/>
        <v>1.7721112707124289</v>
      </c>
      <c r="EZ256" s="528"/>
      <c r="FA256" s="625">
        <f t="shared" si="732"/>
        <v>1.0466666666666668E-2</v>
      </c>
      <c r="FB256" s="460">
        <f t="shared" si="733"/>
        <v>2782.6640857743882</v>
      </c>
      <c r="FC256" s="173">
        <f t="shared" si="734"/>
        <v>7.9910060183626248</v>
      </c>
      <c r="FD256" s="5">
        <f t="shared" si="735"/>
        <v>60.8</v>
      </c>
      <c r="FE256" s="173">
        <f t="shared" si="736"/>
        <v>0.88383647106091812</v>
      </c>
      <c r="FF256" s="5">
        <f t="shared" si="737"/>
        <v>88.383647106091814</v>
      </c>
      <c r="FG256">
        <f t="shared" si="738"/>
        <v>40</v>
      </c>
      <c r="FI256" s="562">
        <f t="shared" si="689"/>
        <v>-50</v>
      </c>
    </row>
    <row r="257" spans="5:165">
      <c r="E257" s="170">
        <v>41</v>
      </c>
      <c r="F257" s="217">
        <f t="shared" si="773"/>
        <v>4.0999999999999996</v>
      </c>
      <c r="G257" s="217">
        <f t="shared" si="742"/>
        <v>0.10249999999999999</v>
      </c>
      <c r="H257" s="217">
        <f t="shared" si="743"/>
        <v>61.499999999999993</v>
      </c>
      <c r="I257" s="217">
        <f t="shared" si="744"/>
        <v>0.82</v>
      </c>
      <c r="J257" s="541">
        <f t="shared" si="745"/>
        <v>84.727420162931693</v>
      </c>
      <c r="K257" s="443">
        <f t="shared" si="746"/>
        <v>15.846617922801491</v>
      </c>
      <c r="L257" s="172">
        <f t="shared" si="747"/>
        <v>100.57403808573318</v>
      </c>
      <c r="M257" s="443"/>
      <c r="N257" s="217">
        <f t="shared" si="748"/>
        <v>0.15756171497552104</v>
      </c>
      <c r="O257" s="172">
        <f t="shared" si="749"/>
        <v>329.35355985994391</v>
      </c>
      <c r="P257" s="172">
        <f t="shared" si="750"/>
        <v>4.4499325421076863</v>
      </c>
      <c r="Q257" s="217">
        <f t="shared" si="626"/>
        <v>21.956903990662926</v>
      </c>
      <c r="R257" s="217">
        <f t="shared" si="751"/>
        <v>41.169194982492989</v>
      </c>
      <c r="S257" s="217">
        <f t="shared" si="752"/>
        <v>15</v>
      </c>
      <c r="T257" s="217">
        <f t="shared" si="753"/>
        <v>9.3364711202988957</v>
      </c>
      <c r="U257" s="217">
        <f t="shared" si="630"/>
        <v>1.3223305185987866</v>
      </c>
      <c r="V257" s="217">
        <f t="shared" si="631"/>
        <v>7.0701302946401734</v>
      </c>
      <c r="W257" s="197">
        <f t="shared" si="632"/>
        <v>111.24831355269215</v>
      </c>
      <c r="X257" s="443">
        <f t="shared" si="691"/>
        <v>116.38109521072653</v>
      </c>
      <c r="Z257" s="217">
        <f t="shared" si="633"/>
        <v>10</v>
      </c>
      <c r="AA257" s="173">
        <f t="shared" si="634"/>
        <v>7.572593760043496</v>
      </c>
      <c r="AB257" s="173">
        <f t="shared" si="754"/>
        <v>4.1567678537392041</v>
      </c>
      <c r="AC257" s="173"/>
      <c r="AD257" s="173">
        <f t="shared" si="636"/>
        <v>7.572593760043496</v>
      </c>
      <c r="AE257" s="545">
        <f t="shared" si="755"/>
        <v>108.28522247247685</v>
      </c>
      <c r="AF257" s="528">
        <f t="shared" si="756"/>
        <v>4.2121914251223949</v>
      </c>
      <c r="AH257" s="173">
        <f t="shared" si="757"/>
        <v>5.4475857474839691</v>
      </c>
      <c r="AI257" s="173">
        <f t="shared" si="758"/>
        <v>10</v>
      </c>
      <c r="AJ257" s="173">
        <f t="shared" si="759"/>
        <v>1.0618772699842725</v>
      </c>
      <c r="AL257" s="545">
        <f t="shared" si="760"/>
        <v>4100</v>
      </c>
      <c r="AM257" s="460">
        <f t="shared" si="761"/>
        <v>108.28522247247685</v>
      </c>
      <c r="AO257">
        <f t="shared" si="644"/>
        <v>4100</v>
      </c>
      <c r="AP257">
        <f t="shared" si="645"/>
        <v>108.28522247247685</v>
      </c>
      <c r="AR257" s="5">
        <f t="shared" si="616"/>
        <v>9.2348704390774348</v>
      </c>
      <c r="AS257" s="5">
        <f t="shared" si="739"/>
        <v>1.4163065483315647</v>
      </c>
      <c r="AT257" s="5">
        <f t="shared" si="740"/>
        <v>7.8185638907458701</v>
      </c>
      <c r="AU257" s="173">
        <f t="shared" si="741"/>
        <v>0.15336506967530927</v>
      </c>
      <c r="BA257" s="173">
        <f t="shared" si="692"/>
        <v>2.2610106123539038</v>
      </c>
      <c r="BB257" s="173">
        <f t="shared" si="693"/>
        <v>5.312359583476665</v>
      </c>
      <c r="BC257" s="173">
        <f t="shared" si="694"/>
        <v>0.13082987523228806</v>
      </c>
      <c r="BD257" s="173"/>
      <c r="BE257" s="528">
        <f t="shared" si="695"/>
        <v>0.10224337978353949</v>
      </c>
      <c r="BF257" s="528">
        <f t="shared" si="762"/>
        <v>2.0420028917004327</v>
      </c>
      <c r="BG257" s="528">
        <f t="shared" si="763"/>
        <v>0.22936818854655197</v>
      </c>
      <c r="BH257" s="528">
        <f t="shared" si="696"/>
        <v>0.10953198752056353</v>
      </c>
      <c r="BI257">
        <f t="shared" si="697"/>
        <v>3.8127339073319264E-2</v>
      </c>
      <c r="BJ257" s="460">
        <f t="shared" si="698"/>
        <v>267.49552761987121</v>
      </c>
      <c r="BK257">
        <f t="shared" si="764"/>
        <v>2.3381855769842863</v>
      </c>
      <c r="BL257" s="460">
        <f t="shared" si="699"/>
        <v>2521.2737866244074</v>
      </c>
      <c r="BM257" s="173">
        <f t="shared" si="765"/>
        <v>2.5471249999999994</v>
      </c>
      <c r="BN257" s="173">
        <f t="shared" si="766"/>
        <v>4.5484374999999994E-2</v>
      </c>
      <c r="BQ257" s="460">
        <f t="shared" si="700"/>
        <v>2592.6093749999995</v>
      </c>
      <c r="BR257" s="528">
        <f t="shared" si="701"/>
        <v>0.15336506967530925</v>
      </c>
      <c r="BS257" s="528">
        <f t="shared" si="702"/>
        <v>0.84663493032469095</v>
      </c>
      <c r="BT257" s="528">
        <f t="shared" si="703"/>
        <v>8.5582281266480303E-5</v>
      </c>
      <c r="BU257" s="528">
        <f t="shared" si="704"/>
        <v>1.9292698936138823</v>
      </c>
      <c r="BV257" s="528"/>
      <c r="BW257" s="625">
        <f t="shared" si="705"/>
        <v>1.0828522247247686E-2</v>
      </c>
      <c r="BX257" s="460">
        <f t="shared" si="706"/>
        <v>2940.1839981423968</v>
      </c>
      <c r="BY257" s="173">
        <f t="shared" si="707"/>
        <v>8.0540671597668041</v>
      </c>
      <c r="BZ257" s="5">
        <f t="shared" si="708"/>
        <v>62.319999999999993</v>
      </c>
      <c r="CA257" s="173">
        <f t="shared" si="709"/>
        <v>0.88555347893305569</v>
      </c>
      <c r="CB257" s="5">
        <f t="shared" si="710"/>
        <v>88.555347893305566</v>
      </c>
      <c r="CC257">
        <f t="shared" si="711"/>
        <v>41</v>
      </c>
      <c r="CE257" s="562">
        <f t="shared" si="767"/>
        <v>-50</v>
      </c>
      <c r="CG257" s="173">
        <f t="shared" si="768"/>
        <v>0.83891517250951331</v>
      </c>
      <c r="CH257" s="173">
        <f t="shared" si="769"/>
        <v>9.8334963911055229E-2</v>
      </c>
      <c r="CI257" s="170">
        <v>41</v>
      </c>
      <c r="CJ257" s="217">
        <f t="shared" si="712"/>
        <v>4.0999999999999996</v>
      </c>
      <c r="CK257" s="217">
        <f t="shared" si="654"/>
        <v>0.10249999999999999</v>
      </c>
      <c r="CL257" s="217">
        <f t="shared" si="655"/>
        <v>61.499999999999993</v>
      </c>
      <c r="CM257" s="217">
        <f t="shared" si="656"/>
        <v>0.82</v>
      </c>
      <c r="CN257" s="541">
        <f t="shared" si="657"/>
        <v>85</v>
      </c>
      <c r="CO257" s="443">
        <f t="shared" si="770"/>
        <v>15.7</v>
      </c>
      <c r="CP257" s="443">
        <f t="shared" si="771"/>
        <v>100.7</v>
      </c>
      <c r="CQ257" s="443"/>
      <c r="CR257" s="217">
        <f t="shared" si="660"/>
        <v>0.15338645418326693</v>
      </c>
      <c r="CS257" s="172">
        <f t="shared" si="661"/>
        <v>321.65744915076539</v>
      </c>
      <c r="CT257" s="172">
        <f t="shared" si="662"/>
        <v>4.3459495351925632</v>
      </c>
      <c r="CU257" s="217">
        <f t="shared" si="663"/>
        <v>21.443829943384358</v>
      </c>
      <c r="CV257" s="217">
        <f t="shared" si="664"/>
        <v>40.207181143845673</v>
      </c>
      <c r="CW257" s="217">
        <f t="shared" si="665"/>
        <v>15</v>
      </c>
      <c r="CX257" s="217">
        <f t="shared" si="666"/>
        <v>9.5598594346829628</v>
      </c>
      <c r="CY257" s="217">
        <f t="shared" si="667"/>
        <v>1.3496272143081829</v>
      </c>
      <c r="CZ257" s="217">
        <f t="shared" si="668"/>
        <v>7.3068989309678702</v>
      </c>
      <c r="DA257" s="197">
        <f t="shared" si="669"/>
        <v>110.43528632903013</v>
      </c>
      <c r="DB257" s="443">
        <f t="shared" si="670"/>
        <v>115.51978047749665</v>
      </c>
      <c r="DD257" s="217">
        <f t="shared" si="671"/>
        <v>9.9999999999999982</v>
      </c>
      <c r="DE257" s="173">
        <f t="shared" si="672"/>
        <v>7.6433121019108263</v>
      </c>
      <c r="DF257" s="173">
        <f t="shared" si="673"/>
        <v>4.1649244760361679</v>
      </c>
      <c r="DG257" s="173"/>
      <c r="DH257" s="173">
        <f t="shared" si="674"/>
        <v>7.6433121019108281</v>
      </c>
      <c r="DI257" s="545">
        <f t="shared" si="675"/>
        <v>107.28333333333333</v>
      </c>
      <c r="DJ257" s="528">
        <f t="shared" si="676"/>
        <v>4.2204568023833167</v>
      </c>
      <c r="DL257" s="173">
        <f t="shared" si="677"/>
        <v>5.4475857474839691</v>
      </c>
      <c r="DM257" s="173">
        <f t="shared" si="678"/>
        <v>10</v>
      </c>
      <c r="DN257" s="173">
        <f t="shared" si="679"/>
        <v>1.061304761904762</v>
      </c>
      <c r="DP257" s="545">
        <f t="shared" si="680"/>
        <v>4100</v>
      </c>
      <c r="DQ257" s="460">
        <f t="shared" si="681"/>
        <v>107.28333333333333</v>
      </c>
      <c r="DS257">
        <f t="shared" si="682"/>
        <v>4100</v>
      </c>
      <c r="DT257">
        <f t="shared" si="683"/>
        <v>107.28333333333333</v>
      </c>
      <c r="DV257" s="5">
        <f t="shared" si="684"/>
        <v>9.3211123194034489</v>
      </c>
      <c r="DW257" s="5">
        <f t="shared" si="685"/>
        <v>1.4117647058823528</v>
      </c>
      <c r="DX257" s="5">
        <f t="shared" si="686"/>
        <v>7.9093476135210956</v>
      </c>
      <c r="DY257" s="173">
        <f t="shared" si="687"/>
        <v>0.15145882352941176</v>
      </c>
      <c r="EA257" s="5">
        <f t="shared" si="713"/>
        <v>38.588235294117638</v>
      </c>
      <c r="EB257" s="5">
        <f t="shared" si="714"/>
        <v>1.8088235294117645</v>
      </c>
      <c r="EC257" s="5">
        <f t="shared" si="715"/>
        <v>1.9733260780184474</v>
      </c>
      <c r="ED257" s="5"/>
      <c r="EE257" s="173">
        <f t="shared" si="716"/>
        <v>2.2469150965224278</v>
      </c>
      <c r="EF257" s="173">
        <f t="shared" si="717"/>
        <v>5.3183367590209008</v>
      </c>
      <c r="EG257" s="173">
        <f t="shared" si="718"/>
        <v>0.13097707783000495</v>
      </c>
      <c r="EH257" s="173"/>
      <c r="EI257" s="528">
        <f t="shared" si="719"/>
        <v>0.10097254901960784</v>
      </c>
      <c r="EJ257" s="528">
        <f t="shared" si="720"/>
        <v>2.1606863333333335</v>
      </c>
      <c r="EK257" s="528">
        <f t="shared" si="721"/>
        <v>1.3410416666666666E-2</v>
      </c>
      <c r="EL257" s="528">
        <f t="shared" si="722"/>
        <v>0.10879055688333333</v>
      </c>
      <c r="EM257">
        <f t="shared" si="723"/>
        <v>3.8249999999999999E-2</v>
      </c>
      <c r="EN257" s="460">
        <f t="shared" si="724"/>
        <v>51.66041666666667</v>
      </c>
      <c r="EP257" s="460">
        <f t="shared" si="725"/>
        <v>2422.1098559029415</v>
      </c>
      <c r="EQ257" s="173">
        <f t="shared" si="726"/>
        <v>2.8699999999999997</v>
      </c>
      <c r="ER257" s="173">
        <f t="shared" si="772"/>
        <v>4.5484374999999994E-2</v>
      </c>
      <c r="ES257" s="528"/>
      <c r="EU257" s="460">
        <f t="shared" si="727"/>
        <v>2915.4843749999995</v>
      </c>
      <c r="EV257" s="528">
        <f t="shared" si="728"/>
        <v>0.15145882352941173</v>
      </c>
      <c r="EW257" s="528">
        <f t="shared" si="729"/>
        <v>0.84854117647058813</v>
      </c>
      <c r="EX257" s="528">
        <f t="shared" si="730"/>
        <v>8.5774974584435868E-5</v>
      </c>
      <c r="EY257" s="528">
        <f t="shared" si="731"/>
        <v>1.8849535440748282</v>
      </c>
      <c r="EZ257" s="528"/>
      <c r="FA257" s="625">
        <f t="shared" si="732"/>
        <v>1.0728333333333335E-2</v>
      </c>
      <c r="FB257" s="460">
        <f t="shared" si="733"/>
        <v>2895.7676523827458</v>
      </c>
      <c r="FC257" s="173">
        <f t="shared" si="734"/>
        <v>8.2333618832856867</v>
      </c>
      <c r="FD257" s="5">
        <f t="shared" si="735"/>
        <v>62.319999999999993</v>
      </c>
      <c r="FE257" s="173">
        <f t="shared" si="736"/>
        <v>0.88330305369564266</v>
      </c>
      <c r="FF257" s="5">
        <f t="shared" si="737"/>
        <v>88.330305369564272</v>
      </c>
      <c r="FG257">
        <f t="shared" si="738"/>
        <v>41</v>
      </c>
      <c r="FI257" s="562">
        <f t="shared" si="689"/>
        <v>-50</v>
      </c>
    </row>
    <row r="258" spans="5:165">
      <c r="E258" s="170">
        <v>42</v>
      </c>
      <c r="F258" s="217">
        <f t="shared" si="773"/>
        <v>4.2</v>
      </c>
      <c r="G258" s="217">
        <f t="shared" si="742"/>
        <v>0.105</v>
      </c>
      <c r="H258" s="217">
        <f t="shared" si="743"/>
        <v>63</v>
      </c>
      <c r="I258" s="217">
        <f t="shared" si="744"/>
        <v>0.84</v>
      </c>
      <c r="J258" s="541">
        <f t="shared" si="745"/>
        <v>84.723217668274827</v>
      </c>
      <c r="K258" s="443">
        <f t="shared" si="746"/>
        <v>15.849139419595611</v>
      </c>
      <c r="L258" s="172">
        <f t="shared" si="747"/>
        <v>100.57235708787044</v>
      </c>
      <c r="M258" s="443"/>
      <c r="N258" s="217">
        <f t="shared" si="748"/>
        <v>0.15758941998096115</v>
      </c>
      <c r="O258" s="172">
        <f t="shared" si="749"/>
        <v>329.39513317263527</v>
      </c>
      <c r="P258" s="172">
        <f t="shared" si="750"/>
        <v>4.4504942437547168</v>
      </c>
      <c r="Q258" s="217">
        <f t="shared" si="626"/>
        <v>21.959675544842352</v>
      </c>
      <c r="R258" s="217">
        <f t="shared" si="751"/>
        <v>41.174391646579409</v>
      </c>
      <c r="S258" s="217">
        <f t="shared" si="752"/>
        <v>15</v>
      </c>
      <c r="T258" s="217">
        <f t="shared" si="753"/>
        <v>9.5629828214525929</v>
      </c>
      <c r="U258" s="217">
        <f t="shared" si="630"/>
        <v>1.3544787015378217</v>
      </c>
      <c r="V258" s="217">
        <f t="shared" si="631"/>
        <v>7.2405063025408793</v>
      </c>
      <c r="W258" s="197">
        <f t="shared" si="632"/>
        <v>111.26235609386791</v>
      </c>
      <c r="X258" s="443">
        <f t="shared" si="691"/>
        <v>113.70116032446298</v>
      </c>
      <c r="Z258" s="217">
        <f t="shared" si="633"/>
        <v>10</v>
      </c>
      <c r="AA258" s="173">
        <f t="shared" si="634"/>
        <v>7.5713890087706606</v>
      </c>
      <c r="AB258" s="173">
        <f t="shared" si="754"/>
        <v>4.1566311514097309</v>
      </c>
      <c r="AC258" s="173"/>
      <c r="AD258" s="173">
        <f t="shared" si="636"/>
        <v>7.5713890087706606</v>
      </c>
      <c r="AE258" s="545">
        <f t="shared" si="755"/>
        <v>110.94397593716928</v>
      </c>
      <c r="AF258" s="528">
        <f t="shared" si="756"/>
        <v>4.2120529000951938</v>
      </c>
      <c r="AH258" s="173">
        <f t="shared" si="757"/>
        <v>5.5136195008360884</v>
      </c>
      <c r="AI258" s="173">
        <f t="shared" si="758"/>
        <v>10</v>
      </c>
      <c r="AJ258" s="173">
        <f t="shared" si="759"/>
        <v>1.0633965576783824</v>
      </c>
      <c r="AL258" s="545">
        <f t="shared" si="760"/>
        <v>4200</v>
      </c>
      <c r="AM258" s="460">
        <f t="shared" si="761"/>
        <v>110.94397593716928</v>
      </c>
      <c r="AO258">
        <f t="shared" si="644"/>
        <v>4200</v>
      </c>
      <c r="AP258">
        <f t="shared" si="645"/>
        <v>110.94397593716928</v>
      </c>
      <c r="AR258" s="5">
        <f t="shared" si="616"/>
        <v>9.0135583437745943</v>
      </c>
      <c r="AS258" s="5">
        <f t="shared" si="739"/>
        <v>1.4163768008652344</v>
      </c>
      <c r="AT258" s="5">
        <f t="shared" si="740"/>
        <v>7.5971815429093601</v>
      </c>
      <c r="AU258" s="173">
        <f t="shared" si="741"/>
        <v>0.15713847371315737</v>
      </c>
      <c r="BA258" s="173">
        <f t="shared" si="692"/>
        <v>2.2886566198912215</v>
      </c>
      <c r="BB258" s="173">
        <f t="shared" si="693"/>
        <v>5.3005079199602578</v>
      </c>
      <c r="BC258" s="173">
        <f t="shared" si="694"/>
        <v>0.13053799897000168</v>
      </c>
      <c r="BD258" s="173"/>
      <c r="BE258" s="528">
        <f t="shared" si="695"/>
        <v>0.10475898247543823</v>
      </c>
      <c r="BF258" s="528">
        <f t="shared" si="762"/>
        <v>2.0921057183814553</v>
      </c>
      <c r="BG258" s="528">
        <f t="shared" si="763"/>
        <v>0.23498826555771599</v>
      </c>
      <c r="BH258" s="528">
        <f t="shared" si="696"/>
        <v>0.11221760179980558</v>
      </c>
      <c r="BI258">
        <f t="shared" si="697"/>
        <v>3.8125447950723673E-2</v>
      </c>
      <c r="BJ258" s="460">
        <f t="shared" si="698"/>
        <v>273.11371350843967</v>
      </c>
      <c r="BK258">
        <f t="shared" si="764"/>
        <v>2.3970310917865492</v>
      </c>
      <c r="BL258" s="460">
        <f t="shared" si="699"/>
        <v>2582.1960161651386</v>
      </c>
      <c r="BM258" s="173">
        <f t="shared" si="765"/>
        <v>2.6092499999999998</v>
      </c>
      <c r="BN258" s="173">
        <f t="shared" si="766"/>
        <v>4.6593749999999996E-2</v>
      </c>
      <c r="BQ258" s="460">
        <f t="shared" si="700"/>
        <v>2655.84375</v>
      </c>
      <c r="BR258" s="528">
        <f t="shared" si="701"/>
        <v>0.15713847371315734</v>
      </c>
      <c r="BS258" s="528">
        <f t="shared" si="702"/>
        <v>0.84286152628684252</v>
      </c>
      <c r="BT258" s="528">
        <f t="shared" si="703"/>
        <v>8.5200845875460805E-5</v>
      </c>
      <c r="BU258" s="528">
        <f t="shared" si="704"/>
        <v>2.0498841564280257</v>
      </c>
      <c r="BV258" s="528"/>
      <c r="BW258" s="625">
        <f t="shared" si="705"/>
        <v>1.109439759371693E-2</v>
      </c>
      <c r="BX258" s="460">
        <f t="shared" si="706"/>
        <v>3061.0637548676182</v>
      </c>
      <c r="BY258" s="173">
        <f t="shared" si="707"/>
        <v>8.2991035210327553</v>
      </c>
      <c r="BZ258" s="5">
        <f t="shared" si="708"/>
        <v>63.84</v>
      </c>
      <c r="CA258" s="173">
        <f t="shared" si="709"/>
        <v>0.88495693575380963</v>
      </c>
      <c r="CB258" s="5">
        <f t="shared" si="710"/>
        <v>88.495693575380969</v>
      </c>
      <c r="CC258">
        <f t="shared" si="711"/>
        <v>42.000000000000007</v>
      </c>
      <c r="CE258" s="562">
        <f t="shared" si="767"/>
        <v>-50</v>
      </c>
      <c r="CG258" s="173">
        <f t="shared" si="768"/>
        <v>0.8448470588235294</v>
      </c>
      <c r="CH258" s="173">
        <f t="shared" si="769"/>
        <v>0.10073337766498341</v>
      </c>
      <c r="CI258" s="170">
        <v>42</v>
      </c>
      <c r="CJ258" s="217">
        <f t="shared" si="712"/>
        <v>4.2</v>
      </c>
      <c r="CK258" s="217">
        <f t="shared" si="654"/>
        <v>0.105</v>
      </c>
      <c r="CL258" s="217">
        <f t="shared" si="655"/>
        <v>63</v>
      </c>
      <c r="CM258" s="217">
        <f t="shared" si="656"/>
        <v>0.84</v>
      </c>
      <c r="CN258" s="541">
        <f t="shared" si="657"/>
        <v>85</v>
      </c>
      <c r="CO258" s="443">
        <f t="shared" si="770"/>
        <v>15.7</v>
      </c>
      <c r="CP258" s="443">
        <f t="shared" si="771"/>
        <v>100.7</v>
      </c>
      <c r="CQ258" s="443"/>
      <c r="CR258" s="217">
        <f t="shared" si="660"/>
        <v>0.15338645418326693</v>
      </c>
      <c r="CS258" s="172">
        <f t="shared" si="661"/>
        <v>321.65744915076539</v>
      </c>
      <c r="CT258" s="172">
        <f t="shared" si="662"/>
        <v>4.3459495351925632</v>
      </c>
      <c r="CU258" s="217">
        <f t="shared" si="663"/>
        <v>21.443829943384358</v>
      </c>
      <c r="CV258" s="217">
        <f t="shared" si="664"/>
        <v>40.207181143845673</v>
      </c>
      <c r="CW258" s="217">
        <f t="shared" si="665"/>
        <v>15</v>
      </c>
      <c r="CX258" s="217">
        <f t="shared" si="666"/>
        <v>9.7930267379679155</v>
      </c>
      <c r="CY258" s="217">
        <f t="shared" si="667"/>
        <v>1.3825449512425292</v>
      </c>
      <c r="CZ258" s="217">
        <f t="shared" si="668"/>
        <v>7.4851159780646492</v>
      </c>
      <c r="DA258" s="197">
        <f t="shared" si="669"/>
        <v>110.43528632903013</v>
      </c>
      <c r="DB258" s="443">
        <f t="shared" si="670"/>
        <v>112.76930951374672</v>
      </c>
      <c r="DD258" s="217">
        <f t="shared" si="671"/>
        <v>9.9999999999999982</v>
      </c>
      <c r="DE258" s="173">
        <f t="shared" si="672"/>
        <v>7.6433121019108263</v>
      </c>
      <c r="DF258" s="173">
        <f t="shared" si="673"/>
        <v>4.1649244760361679</v>
      </c>
      <c r="DG258" s="173"/>
      <c r="DH258" s="173">
        <f t="shared" si="674"/>
        <v>7.6433121019108281</v>
      </c>
      <c r="DI258" s="545">
        <f t="shared" si="675"/>
        <v>109.90000000000002</v>
      </c>
      <c r="DJ258" s="528">
        <f t="shared" si="676"/>
        <v>4.2204568023833167</v>
      </c>
      <c r="DL258" s="173">
        <f t="shared" si="677"/>
        <v>5.5136195008360884</v>
      </c>
      <c r="DM258" s="173">
        <f t="shared" si="678"/>
        <v>10</v>
      </c>
      <c r="DN258" s="173">
        <f t="shared" si="679"/>
        <v>1.0628</v>
      </c>
      <c r="DP258" s="545">
        <f t="shared" si="680"/>
        <v>4200</v>
      </c>
      <c r="DQ258" s="460">
        <f t="shared" si="681"/>
        <v>109.90000000000002</v>
      </c>
      <c r="DS258">
        <f t="shared" si="682"/>
        <v>4200</v>
      </c>
      <c r="DT258">
        <f t="shared" si="683"/>
        <v>109.90000000000002</v>
      </c>
      <c r="DV258" s="5">
        <f t="shared" si="684"/>
        <v>9.0991810737033667</v>
      </c>
      <c r="DW258" s="5">
        <f t="shared" si="685"/>
        <v>1.4117647058823528</v>
      </c>
      <c r="DX258" s="5">
        <f t="shared" si="686"/>
        <v>7.6874163678210135</v>
      </c>
      <c r="DY258" s="173">
        <f t="shared" si="687"/>
        <v>0.15515294117647058</v>
      </c>
      <c r="EA258" s="5">
        <f t="shared" si="713"/>
        <v>39.529411764705877</v>
      </c>
      <c r="EB258" s="5">
        <f t="shared" si="714"/>
        <v>1.8529411764705881</v>
      </c>
      <c r="EC258" s="5">
        <f t="shared" si="715"/>
        <v>1.9647352177392445</v>
      </c>
      <c r="ED258" s="5"/>
      <c r="EE258" s="173">
        <f t="shared" si="716"/>
        <v>2.274151425451338</v>
      </c>
      <c r="EF258" s="173">
        <f t="shared" si="717"/>
        <v>5.3067474621891497</v>
      </c>
      <c r="EG258" s="173">
        <f t="shared" si="718"/>
        <v>0.13069166299038379</v>
      </c>
      <c r="EH258" s="173"/>
      <c r="EI258" s="528">
        <f t="shared" si="719"/>
        <v>0.10343529411764704</v>
      </c>
      <c r="EJ258" s="528">
        <f t="shared" si="720"/>
        <v>2.2133860000000003</v>
      </c>
      <c r="EK258" s="528">
        <f t="shared" si="721"/>
        <v>1.3737500000000001E-2</v>
      </c>
      <c r="EL258" s="528">
        <f t="shared" si="722"/>
        <v>0.11144398510000002</v>
      </c>
      <c r="EM258">
        <f t="shared" si="723"/>
        <v>3.8249999999999999E-2</v>
      </c>
      <c r="EN258" s="460">
        <f t="shared" si="724"/>
        <v>51.987499999999997</v>
      </c>
      <c r="EP258" s="460">
        <f t="shared" si="725"/>
        <v>2480.2527792176475</v>
      </c>
      <c r="EQ258" s="173">
        <f t="shared" si="726"/>
        <v>2.94</v>
      </c>
      <c r="ER258" s="173">
        <f t="shared" si="772"/>
        <v>4.6593749999999996E-2</v>
      </c>
      <c r="ES258" s="528"/>
      <c r="EU258" s="460">
        <f t="shared" si="727"/>
        <v>2986.59375</v>
      </c>
      <c r="EV258" s="528">
        <f t="shared" si="728"/>
        <v>0.15515294117647055</v>
      </c>
      <c r="EW258" s="528">
        <f t="shared" si="729"/>
        <v>0.8448470588235294</v>
      </c>
      <c r="EX258" s="528">
        <f t="shared" si="730"/>
        <v>8.5401553875960251E-5</v>
      </c>
      <c r="EY258" s="528">
        <f t="shared" si="731"/>
        <v>2.0020007479428581</v>
      </c>
      <c r="EZ258" s="528"/>
      <c r="FA258" s="625">
        <f t="shared" si="732"/>
        <v>1.0990000000000003E-2</v>
      </c>
      <c r="FB258" s="460">
        <f t="shared" si="733"/>
        <v>3013.0761494967346</v>
      </c>
      <c r="FC258" s="173">
        <f t="shared" si="734"/>
        <v>8.4799226787143809</v>
      </c>
      <c r="FD258" s="5">
        <f t="shared" si="735"/>
        <v>63.84</v>
      </c>
      <c r="FE258" s="173">
        <f t="shared" si="736"/>
        <v>0.88274430662229886</v>
      </c>
      <c r="FF258" s="5">
        <f t="shared" si="737"/>
        <v>88.274430662229889</v>
      </c>
      <c r="FG258">
        <f t="shared" si="738"/>
        <v>42.000000000000007</v>
      </c>
      <c r="FI258" s="562">
        <f t="shared" si="689"/>
        <v>-50</v>
      </c>
    </row>
    <row r="259" spans="5:165">
      <c r="E259" s="170">
        <v>43</v>
      </c>
      <c r="F259" s="217">
        <f t="shared" si="773"/>
        <v>4.3</v>
      </c>
      <c r="G259" s="217">
        <f t="shared" si="742"/>
        <v>0.1075</v>
      </c>
      <c r="H259" s="217">
        <f t="shared" si="743"/>
        <v>64.5</v>
      </c>
      <c r="I259" s="217">
        <f t="shared" si="744"/>
        <v>0.86</v>
      </c>
      <c r="J259" s="541">
        <f t="shared" si="745"/>
        <v>84.71676966620916</v>
      </c>
      <c r="K259" s="443">
        <f t="shared" si="746"/>
        <v>15.852827058823529</v>
      </c>
      <c r="L259" s="172">
        <f t="shared" si="747"/>
        <v>100.56959672503268</v>
      </c>
      <c r="M259" s="443"/>
      <c r="N259" s="217">
        <f t="shared" si="748"/>
        <v>0.15763041291859547</v>
      </c>
      <c r="O259" s="172">
        <f t="shared" si="749"/>
        <v>329.45574137205824</v>
      </c>
      <c r="P259" s="172">
        <f t="shared" si="750"/>
        <v>4.4513131278713649</v>
      </c>
      <c r="Q259" s="217">
        <f t="shared" si="626"/>
        <v>21.963716091470548</v>
      </c>
      <c r="R259" s="217">
        <f t="shared" si="751"/>
        <v>41.18196767150728</v>
      </c>
      <c r="S259" s="217">
        <f t="shared" si="752"/>
        <v>15</v>
      </c>
      <c r="T259" s="217">
        <f t="shared" si="753"/>
        <v>9.7888717512376555</v>
      </c>
      <c r="U259" s="217">
        <f t="shared" si="630"/>
        <v>1.3865786133923557</v>
      </c>
      <c r="V259" s="217">
        <f t="shared" si="631"/>
        <v>7.4098115483743445</v>
      </c>
      <c r="W259" s="197">
        <f t="shared" si="632"/>
        <v>111.2828281967841</v>
      </c>
      <c r="X259" s="443">
        <f t="shared" si="691"/>
        <v>111.15569489747666</v>
      </c>
      <c r="Z259" s="217">
        <f t="shared" si="633"/>
        <v>10.000000000000002</v>
      </c>
      <c r="AA259" s="173">
        <f t="shared" si="634"/>
        <v>7.5696277739439042</v>
      </c>
      <c r="AB259" s="173">
        <f t="shared" si="754"/>
        <v>4.1564288836253525</v>
      </c>
      <c r="AC259" s="173"/>
      <c r="AD259" s="173">
        <f t="shared" si="636"/>
        <v>7.5696277739439024</v>
      </c>
      <c r="AE259" s="545">
        <f t="shared" si="755"/>
        <v>113.61192725490197</v>
      </c>
      <c r="AF259" s="528">
        <f t="shared" si="756"/>
        <v>4.2118479354070217</v>
      </c>
      <c r="AH259" s="173">
        <f t="shared" si="757"/>
        <v>5.5788717070577567</v>
      </c>
      <c r="AI259" s="173">
        <f t="shared" si="758"/>
        <v>10</v>
      </c>
      <c r="AJ259" s="173">
        <f t="shared" si="759"/>
        <v>1.2</v>
      </c>
      <c r="AL259" s="545">
        <f t="shared" si="760"/>
        <v>4300</v>
      </c>
      <c r="AM259" s="460">
        <f t="shared" si="761"/>
        <v>111.15569489747666</v>
      </c>
      <c r="AO259">
        <f t="shared" si="644"/>
        <v>4300</v>
      </c>
      <c r="AP259">
        <f t="shared" si="645"/>
        <v>111.15569489747666</v>
      </c>
      <c r="AR259" s="5">
        <f t="shared" si="616"/>
        <v>8.9963901617666995</v>
      </c>
      <c r="AS259" s="5">
        <f t="shared" si="739"/>
        <v>1.4164846047932373</v>
      </c>
      <c r="AT259" s="5">
        <f t="shared" si="740"/>
        <v>7.5799055569734621</v>
      </c>
      <c r="AU259" s="173">
        <f t="shared" si="741"/>
        <v>0.1574503305573699</v>
      </c>
      <c r="BA259" s="173">
        <f t="shared" si="692"/>
        <v>2.2909265269563601</v>
      </c>
      <c r="BB259" s="173">
        <f t="shared" si="693"/>
        <v>5.2995272413132284</v>
      </c>
      <c r="BC259" s="173">
        <f t="shared" si="694"/>
        <v>0.13051384735469443</v>
      </c>
      <c r="BD259" s="173"/>
      <c r="BE259" s="528">
        <f t="shared" si="695"/>
        <v>0.1049668870382466</v>
      </c>
      <c r="BF259" s="528">
        <f t="shared" si="762"/>
        <v>2.0960406392868753</v>
      </c>
      <c r="BG259" s="528">
        <f t="shared" si="763"/>
        <v>0.23541878504292377</v>
      </c>
      <c r="BH259" s="528">
        <f t="shared" si="696"/>
        <v>0.11242557963325907</v>
      </c>
      <c r="BI259">
        <f t="shared" si="697"/>
        <v>3.8122546349794124E-2</v>
      </c>
      <c r="BJ259" s="460">
        <f t="shared" si="698"/>
        <v>273.54133139271789</v>
      </c>
      <c r="BK259">
        <f t="shared" si="764"/>
        <v>2.4016721877061191</v>
      </c>
      <c r="BL259" s="460">
        <f t="shared" si="699"/>
        <v>2586.9744373510989</v>
      </c>
      <c r="BM259" s="173">
        <f t="shared" si="765"/>
        <v>2.6713749999999998</v>
      </c>
      <c r="BN259" s="173">
        <f t="shared" si="766"/>
        <v>4.7703124999999999E-2</v>
      </c>
      <c r="BQ259" s="460">
        <f t="shared" si="700"/>
        <v>2719.078125</v>
      </c>
      <c r="BR259" s="528">
        <f t="shared" si="701"/>
        <v>0.1574503305573699</v>
      </c>
      <c r="BS259" s="528">
        <f t="shared" si="702"/>
        <v>0.84254966944262988</v>
      </c>
      <c r="BT259" s="528">
        <f t="shared" si="703"/>
        <v>8.5169321756622401E-5</v>
      </c>
      <c r="BU259" s="528">
        <f t="shared" si="704"/>
        <v>2.059677854110034</v>
      </c>
      <c r="BV259" s="528"/>
      <c r="BW259" s="625">
        <f t="shared" si="705"/>
        <v>1.1115569489747668E-2</v>
      </c>
      <c r="BX259" s="460">
        <f t="shared" si="706"/>
        <v>3070.8785929215383</v>
      </c>
      <c r="BY259" s="173">
        <f t="shared" si="707"/>
        <v>8.3769311552726382</v>
      </c>
      <c r="BZ259" s="5">
        <f t="shared" si="708"/>
        <v>65.36</v>
      </c>
      <c r="CA259" s="173">
        <f t="shared" si="709"/>
        <v>0.88639436135967209</v>
      </c>
      <c r="CB259" s="5">
        <f t="shared" si="710"/>
        <v>88.639436135967202</v>
      </c>
      <c r="CC259">
        <f t="shared" si="711"/>
        <v>43</v>
      </c>
      <c r="CE259" s="562">
        <f t="shared" si="767"/>
        <v>-50</v>
      </c>
      <c r="CG259" s="173">
        <f t="shared" si="768"/>
        <v>0.84409136047666333</v>
      </c>
      <c r="CH259" s="173">
        <f t="shared" si="769"/>
        <v>0.1020398968288061</v>
      </c>
      <c r="CI259" s="170">
        <v>43</v>
      </c>
      <c r="CJ259" s="217">
        <f t="shared" si="712"/>
        <v>4.3</v>
      </c>
      <c r="CK259" s="217">
        <f t="shared" si="654"/>
        <v>0.1075</v>
      </c>
      <c r="CL259" s="217">
        <f t="shared" si="655"/>
        <v>64.5</v>
      </c>
      <c r="CM259" s="217">
        <f t="shared" si="656"/>
        <v>0.86</v>
      </c>
      <c r="CN259" s="541">
        <f t="shared" si="657"/>
        <v>85</v>
      </c>
      <c r="CO259" s="443">
        <f t="shared" si="770"/>
        <v>15.7</v>
      </c>
      <c r="CP259" s="443">
        <f t="shared" si="771"/>
        <v>100.7</v>
      </c>
      <c r="CQ259" s="443"/>
      <c r="CR259" s="217">
        <f t="shared" si="660"/>
        <v>0.15338645418326693</v>
      </c>
      <c r="CS259" s="172">
        <f t="shared" si="661"/>
        <v>321.65744915076539</v>
      </c>
      <c r="CT259" s="172">
        <f t="shared" si="662"/>
        <v>4.3459495351925632</v>
      </c>
      <c r="CU259" s="217">
        <f t="shared" si="663"/>
        <v>21.443829943384358</v>
      </c>
      <c r="CV259" s="217">
        <f t="shared" si="664"/>
        <v>40.207181143845673</v>
      </c>
      <c r="CW259" s="217">
        <f t="shared" si="665"/>
        <v>15</v>
      </c>
      <c r="CX259" s="217">
        <f t="shared" si="666"/>
        <v>10.026194041252865</v>
      </c>
      <c r="CY259" s="217">
        <f t="shared" si="667"/>
        <v>1.415462688176875</v>
      </c>
      <c r="CZ259" s="217">
        <f t="shared" si="668"/>
        <v>7.6633330251614256</v>
      </c>
      <c r="DA259" s="197">
        <f t="shared" si="669"/>
        <v>110.43528632903013</v>
      </c>
      <c r="DB259" s="443">
        <f t="shared" si="670"/>
        <v>110.14676743203169</v>
      </c>
      <c r="DD259" s="217">
        <f t="shared" si="671"/>
        <v>9.9999999999999982</v>
      </c>
      <c r="DE259" s="173">
        <f t="shared" si="672"/>
        <v>7.6433121019108263</v>
      </c>
      <c r="DF259" s="173">
        <f t="shared" si="673"/>
        <v>4.1649244760361679</v>
      </c>
      <c r="DG259" s="173"/>
      <c r="DH259" s="173">
        <f t="shared" si="674"/>
        <v>7.6433121019108281</v>
      </c>
      <c r="DI259" s="545">
        <f t="shared" si="675"/>
        <v>112.51666666666667</v>
      </c>
      <c r="DJ259" s="528">
        <f t="shared" si="676"/>
        <v>4.2204568023833167</v>
      </c>
      <c r="DL259" s="173">
        <f t="shared" si="677"/>
        <v>5.5788717070577567</v>
      </c>
      <c r="DM259" s="173">
        <f t="shared" si="678"/>
        <v>10.026194041252865</v>
      </c>
      <c r="DN259" s="173">
        <f t="shared" si="679"/>
        <v>1.2194029935206403</v>
      </c>
      <c r="DP259" s="545">
        <f t="shared" si="680"/>
        <v>4300</v>
      </c>
      <c r="DQ259" s="460">
        <f t="shared" si="681"/>
        <v>110.14676743203169</v>
      </c>
      <c r="DS259">
        <f t="shared" si="682"/>
        <v>4300</v>
      </c>
      <c r="DT259">
        <f t="shared" si="683"/>
        <v>110.14676743203169</v>
      </c>
      <c r="DV259" s="5">
        <f t="shared" si="684"/>
        <v>9.0787957133382999</v>
      </c>
      <c r="DW259" s="5">
        <f t="shared" si="685"/>
        <v>1.415462688176875</v>
      </c>
      <c r="DX259" s="5">
        <f t="shared" si="686"/>
        <v>7.6633330251614247</v>
      </c>
      <c r="DY259" s="173">
        <f t="shared" si="687"/>
        <v>0.15590863952333664</v>
      </c>
      <c r="EA259" s="5">
        <f t="shared" si="713"/>
        <v>40.576597061070416</v>
      </c>
      <c r="EB259" s="5">
        <f t="shared" si="714"/>
        <v>1.902027987237676</v>
      </c>
      <c r="EC259" s="5">
        <f t="shared" si="715"/>
        <v>2.0052129011071473</v>
      </c>
      <c r="ED259" s="5"/>
      <c r="EE259" s="173">
        <f t="shared" si="716"/>
        <v>2.2856544265113006</v>
      </c>
      <c r="EF259" s="173">
        <f t="shared" si="717"/>
        <v>5.3182678408344684</v>
      </c>
      <c r="EG259" s="173">
        <f t="shared" si="718"/>
        <v>0.13097538055074692</v>
      </c>
      <c r="EH259" s="173"/>
      <c r="EI259" s="528">
        <f t="shared" si="719"/>
        <v>0.10448432314861406</v>
      </c>
      <c r="EJ259" s="528">
        <f t="shared" si="720"/>
        <v>2.2241666666666671</v>
      </c>
      <c r="EK259" s="528">
        <f t="shared" si="721"/>
        <v>1.376834592900396E-2</v>
      </c>
      <c r="EL259" s="528">
        <f t="shared" si="722"/>
        <v>0.11169421936768431</v>
      </c>
      <c r="EM259">
        <f t="shared" si="723"/>
        <v>3.8249999999999999E-2</v>
      </c>
      <c r="EN259" s="460">
        <f t="shared" si="724"/>
        <v>52.018345929003956</v>
      </c>
      <c r="EP259" s="460">
        <f t="shared" si="725"/>
        <v>2492.3635551119692</v>
      </c>
      <c r="EQ259" s="173">
        <f t="shared" si="726"/>
        <v>3.01</v>
      </c>
      <c r="ER259" s="173">
        <f t="shared" si="772"/>
        <v>4.7703124999999999E-2</v>
      </c>
      <c r="ES259" s="528"/>
      <c r="EU259" s="460">
        <f t="shared" si="727"/>
        <v>3057.7031249999995</v>
      </c>
      <c r="EV259" s="528">
        <f t="shared" si="728"/>
        <v>0.15672648472292106</v>
      </c>
      <c r="EW259" s="528">
        <f t="shared" si="729"/>
        <v>0.84851918480562349</v>
      </c>
      <c r="EX259" s="528">
        <f t="shared" si="730"/>
        <v>8.5772751552064876E-5</v>
      </c>
      <c r="EY259" s="528">
        <f t="shared" si="731"/>
        <v>2.0264675705467905</v>
      </c>
      <c r="EZ259" s="528"/>
      <c r="FA259" s="625">
        <f t="shared" si="732"/>
        <v>1.1072456097361757E-2</v>
      </c>
      <c r="FB259" s="460">
        <f t="shared" si="733"/>
        <v>3042.8714689242488</v>
      </c>
      <c r="FC259" s="173">
        <f t="shared" si="734"/>
        <v>8.5929381490362182</v>
      </c>
      <c r="FD259" s="5">
        <f t="shared" si="735"/>
        <v>65.36</v>
      </c>
      <c r="FE259" s="173">
        <f t="shared" si="736"/>
        <v>0.88380531775872107</v>
      </c>
      <c r="FF259" s="5">
        <f t="shared" si="737"/>
        <v>88.3805317758721</v>
      </c>
      <c r="FG259">
        <f t="shared" si="738"/>
        <v>43</v>
      </c>
      <c r="FI259" s="562">
        <f t="shared" si="689"/>
        <v>-50</v>
      </c>
    </row>
    <row r="260" spans="5:165">
      <c r="E260" s="170">
        <v>44</v>
      </c>
      <c r="F260" s="217">
        <f t="shared" si="773"/>
        <v>4.4000000000000004</v>
      </c>
      <c r="G260" s="217">
        <f t="shared" si="742"/>
        <v>0.11</v>
      </c>
      <c r="H260" s="217">
        <f t="shared" si="743"/>
        <v>66</v>
      </c>
      <c r="I260" s="217">
        <f t="shared" si="744"/>
        <v>0.88</v>
      </c>
      <c r="J260" s="541">
        <f t="shared" si="745"/>
        <v>84.710182914260542</v>
      </c>
      <c r="K260" s="443">
        <f t="shared" si="746"/>
        <v>15.856381176470588</v>
      </c>
      <c r="L260" s="172">
        <f t="shared" si="747"/>
        <v>100.56656409073113</v>
      </c>
      <c r="M260" s="443"/>
      <c r="N260" s="217">
        <f t="shared" si="748"/>
        <v>0.1576705072887343</v>
      </c>
      <c r="O260" s="172">
        <f t="shared" si="749"/>
        <v>329.51391889670066</v>
      </c>
      <c r="P260" s="172">
        <f t="shared" si="750"/>
        <v>4.4520991708709774</v>
      </c>
      <c r="Q260" s="217">
        <f t="shared" si="626"/>
        <v>21.967594593113379</v>
      </c>
      <c r="R260" s="217">
        <f t="shared" si="751"/>
        <v>41.189239862087582</v>
      </c>
      <c r="S260" s="217">
        <f t="shared" si="752"/>
        <v>15</v>
      </c>
      <c r="T260" s="217">
        <f t="shared" si="753"/>
        <v>10.01475145890428</v>
      </c>
      <c r="U260" s="217">
        <f t="shared" si="630"/>
        <v>1.4186844293381895</v>
      </c>
      <c r="V260" s="217">
        <f t="shared" si="631"/>
        <v>7.5790948873746178</v>
      </c>
      <c r="W260" s="197">
        <f t="shared" si="632"/>
        <v>111.30247927177444</v>
      </c>
      <c r="X260" s="443">
        <f t="shared" si="691"/>
        <v>108.72189531476931</v>
      </c>
      <c r="Z260" s="217">
        <f t="shared" si="633"/>
        <v>10</v>
      </c>
      <c r="AA260" s="173">
        <f t="shared" si="634"/>
        <v>7.5679310849356334</v>
      </c>
      <c r="AB260" s="173">
        <f t="shared" si="754"/>
        <v>4.1562310495621668</v>
      </c>
      <c r="AC260" s="173"/>
      <c r="AD260" s="173">
        <f t="shared" si="636"/>
        <v>7.5679310849356334</v>
      </c>
      <c r="AE260" s="545">
        <f t="shared" si="755"/>
        <v>116.28012862745098</v>
      </c>
      <c r="AF260" s="528">
        <f t="shared" si="756"/>
        <v>4.2116474635563295</v>
      </c>
      <c r="AH260" s="173">
        <f t="shared" si="757"/>
        <v>5.6433694764403866</v>
      </c>
      <c r="AI260" s="173">
        <f t="shared" si="758"/>
        <v>10.01475145890428</v>
      </c>
      <c r="AJ260" s="173">
        <f t="shared" si="759"/>
        <v>1.2109270065957631</v>
      </c>
      <c r="AL260" s="545">
        <f t="shared" si="760"/>
        <v>4400</v>
      </c>
      <c r="AM260" s="460">
        <f t="shared" si="761"/>
        <v>108.72189531476931</v>
      </c>
      <c r="AO260">
        <f t="shared" si="644"/>
        <v>4400</v>
      </c>
      <c r="AP260">
        <f t="shared" si="645"/>
        <v>108.72189531476931</v>
      </c>
      <c r="AR260" s="5">
        <f t="shared" si="616"/>
        <v>9.1977793167128041</v>
      </c>
      <c r="AS260" s="5">
        <f t="shared" si="739"/>
        <v>1.4186844293381895</v>
      </c>
      <c r="AT260" s="5">
        <f t="shared" si="740"/>
        <v>7.7790948873746144</v>
      </c>
      <c r="AU260" s="173">
        <f t="shared" si="741"/>
        <v>0.15424206001119989</v>
      </c>
      <c r="BA260" s="173">
        <f t="shared" si="692"/>
        <v>2.2708108297285978</v>
      </c>
      <c r="BB260" s="173">
        <f t="shared" si="693"/>
        <v>5.3174399012553444</v>
      </c>
      <c r="BC260" s="173">
        <f t="shared" si="694"/>
        <v>0.13095499050934734</v>
      </c>
      <c r="BD260" s="173"/>
      <c r="BE260" s="528">
        <f t="shared" si="695"/>
        <v>0.10313163648825366</v>
      </c>
      <c r="BF260" s="528">
        <f t="shared" si="762"/>
        <v>2.0531093221625563</v>
      </c>
      <c r="BG260" s="528">
        <f t="shared" si="763"/>
        <v>0.23024629097247987</v>
      </c>
      <c r="BH260" s="528">
        <f t="shared" si="696"/>
        <v>0.10995734366705424</v>
      </c>
      <c r="BI260">
        <f t="shared" si="697"/>
        <v>3.8119582311417245E-2</v>
      </c>
      <c r="BJ260" s="460">
        <f t="shared" si="698"/>
        <v>268.36587328389709</v>
      </c>
      <c r="BK260">
        <f t="shared" si="764"/>
        <v>2.3516693301126073</v>
      </c>
      <c r="BL260" s="460">
        <f t="shared" si="699"/>
        <v>2534.5641756017617</v>
      </c>
      <c r="BM260" s="173">
        <f t="shared" si="765"/>
        <v>2.7334999999999998</v>
      </c>
      <c r="BN260" s="173">
        <f t="shared" si="766"/>
        <v>4.8812499999999995E-2</v>
      </c>
      <c r="BQ260" s="460">
        <f t="shared" si="700"/>
        <v>2782.3124999999995</v>
      </c>
      <c r="BR260" s="528">
        <f t="shared" si="701"/>
        <v>0.15469745473238047</v>
      </c>
      <c r="BS260" s="528">
        <f t="shared" si="702"/>
        <v>0.84825501310387341</v>
      </c>
      <c r="BT260" s="528">
        <f t="shared" si="703"/>
        <v>8.5746047696516254E-5</v>
      </c>
      <c r="BU260" s="528">
        <f t="shared" si="704"/>
        <v>1.9559735616849154</v>
      </c>
      <c r="BV260" s="528"/>
      <c r="BW260" s="625">
        <f t="shared" si="705"/>
        <v>1.0904289321378276E-2</v>
      </c>
      <c r="BX260" s="460">
        <f t="shared" si="706"/>
        <v>2969.9160648902443</v>
      </c>
      <c r="BY260" s="173">
        <f t="shared" si="707"/>
        <v>8.2867927404920056</v>
      </c>
      <c r="BZ260" s="5">
        <f t="shared" si="708"/>
        <v>66.88</v>
      </c>
      <c r="CA260" s="173">
        <f t="shared" si="709"/>
        <v>0.88975460521374694</v>
      </c>
      <c r="CB260" s="5">
        <f t="shared" si="710"/>
        <v>88.9754605213747</v>
      </c>
      <c r="CC260">
        <f t="shared" si="711"/>
        <v>44.000000000000007</v>
      </c>
      <c r="CE260" s="562">
        <f t="shared" si="767"/>
        <v>-50</v>
      </c>
      <c r="CG260" s="173">
        <f t="shared" si="768"/>
        <v>0.84409136047666333</v>
      </c>
      <c r="CH260" s="173">
        <f t="shared" si="769"/>
        <v>0.1020398968288061</v>
      </c>
      <c r="CI260" s="170">
        <v>44</v>
      </c>
      <c r="CJ260" s="217">
        <f t="shared" si="712"/>
        <v>4.4000000000000004</v>
      </c>
      <c r="CK260" s="217">
        <f t="shared" si="654"/>
        <v>0.11</v>
      </c>
      <c r="CL260" s="217">
        <f t="shared" si="655"/>
        <v>66</v>
      </c>
      <c r="CM260" s="217">
        <f t="shared" si="656"/>
        <v>0.88</v>
      </c>
      <c r="CN260" s="541">
        <f t="shared" si="657"/>
        <v>85</v>
      </c>
      <c r="CO260" s="443">
        <f t="shared" si="770"/>
        <v>15.7</v>
      </c>
      <c r="CP260" s="443">
        <f t="shared" si="771"/>
        <v>100.7</v>
      </c>
      <c r="CQ260" s="443"/>
      <c r="CR260" s="217">
        <f t="shared" si="660"/>
        <v>0.15338645418326693</v>
      </c>
      <c r="CS260" s="172">
        <f t="shared" si="661"/>
        <v>321.65744915076539</v>
      </c>
      <c r="CT260" s="172">
        <f t="shared" si="662"/>
        <v>4.3459495351925632</v>
      </c>
      <c r="CU260" s="217">
        <f t="shared" si="663"/>
        <v>21.443829943384358</v>
      </c>
      <c r="CV260" s="217">
        <f t="shared" si="664"/>
        <v>40.207181143845673</v>
      </c>
      <c r="CW260" s="217">
        <f t="shared" si="665"/>
        <v>15</v>
      </c>
      <c r="CX260" s="217">
        <f t="shared" si="666"/>
        <v>10.259361344537814</v>
      </c>
      <c r="CY260" s="217">
        <f t="shared" si="667"/>
        <v>1.4483804251112209</v>
      </c>
      <c r="CZ260" s="217">
        <f t="shared" si="668"/>
        <v>7.8415500722582037</v>
      </c>
      <c r="DA260" s="197">
        <f t="shared" si="669"/>
        <v>110.43528632903013</v>
      </c>
      <c r="DB260" s="443">
        <f t="shared" si="670"/>
        <v>107.64343180857642</v>
      </c>
      <c r="DD260" s="217">
        <f t="shared" si="671"/>
        <v>9.9999999999999982</v>
      </c>
      <c r="DE260" s="173">
        <f t="shared" si="672"/>
        <v>7.6433121019108263</v>
      </c>
      <c r="DF260" s="173">
        <f t="shared" si="673"/>
        <v>4.1649244760361679</v>
      </c>
      <c r="DG260" s="173"/>
      <c r="DH260" s="173">
        <f t="shared" si="674"/>
        <v>7.6433121019108281</v>
      </c>
      <c r="DI260" s="545">
        <f t="shared" si="675"/>
        <v>115.13333333333335</v>
      </c>
      <c r="DJ260" s="528">
        <f t="shared" si="676"/>
        <v>4.2204568023833167</v>
      </c>
      <c r="DL260" s="173">
        <f t="shared" si="677"/>
        <v>5.6433694764403866</v>
      </c>
      <c r="DM260" s="173">
        <f t="shared" si="678"/>
        <v>10.259361344537814</v>
      </c>
      <c r="DN260" s="173">
        <f t="shared" si="679"/>
        <v>1.3921195144724545</v>
      </c>
      <c r="DP260" s="545">
        <f t="shared" si="680"/>
        <v>4400</v>
      </c>
      <c r="DQ260" s="460">
        <f t="shared" si="681"/>
        <v>107.64343180857642</v>
      </c>
      <c r="DS260">
        <f t="shared" si="682"/>
        <v>4400</v>
      </c>
      <c r="DT260">
        <f t="shared" si="683"/>
        <v>107.64343180857642</v>
      </c>
      <c r="DV260" s="5">
        <f t="shared" si="684"/>
        <v>9.2899304973694239</v>
      </c>
      <c r="DW260" s="5">
        <f t="shared" si="685"/>
        <v>1.4483804251112209</v>
      </c>
      <c r="DX260" s="5">
        <f t="shared" si="686"/>
        <v>7.8415500722582028</v>
      </c>
      <c r="DY260" s="173">
        <f t="shared" si="687"/>
        <v>0.15590863952333664</v>
      </c>
      <c r="EA260" s="5">
        <f t="shared" si="713"/>
        <v>42.485825803262479</v>
      </c>
      <c r="EB260" s="5">
        <f t="shared" si="714"/>
        <v>1.9915230845279288</v>
      </c>
      <c r="EC260" s="5">
        <f t="shared" si="715"/>
        <v>2.0995631025113237</v>
      </c>
      <c r="ED260" s="5"/>
      <c r="EE260" s="173">
        <f t="shared" si="716"/>
        <v>2.3388091806162139</v>
      </c>
      <c r="EF260" s="173">
        <f t="shared" si="717"/>
        <v>5.4419484882957336</v>
      </c>
      <c r="EG260" s="173">
        <f t="shared" si="718"/>
        <v>0.13402131963332242</v>
      </c>
      <c r="EH260" s="173"/>
      <c r="EI260" s="528">
        <f t="shared" si="719"/>
        <v>0.10940056766669372</v>
      </c>
      <c r="EJ260" s="528">
        <f t="shared" si="720"/>
        <v>2.2241666666666662</v>
      </c>
      <c r="EK260" s="528">
        <f t="shared" si="721"/>
        <v>1.3455428976072051E-2</v>
      </c>
      <c r="EL260" s="528">
        <f t="shared" si="722"/>
        <v>0.10915571438205512</v>
      </c>
      <c r="EM260">
        <f t="shared" si="723"/>
        <v>3.8249999999999999E-2</v>
      </c>
      <c r="EN260" s="460">
        <f t="shared" si="724"/>
        <v>51.705428976072056</v>
      </c>
      <c r="EP260" s="460">
        <f t="shared" si="725"/>
        <v>2494.4283776914872</v>
      </c>
      <c r="EQ260" s="173">
        <f t="shared" si="726"/>
        <v>3.08</v>
      </c>
      <c r="ER260" s="173">
        <f t="shared" si="772"/>
        <v>4.8812499999999995E-2</v>
      </c>
      <c r="ES260" s="528"/>
      <c r="EU260" s="460">
        <f t="shared" si="727"/>
        <v>3128.8125</v>
      </c>
      <c r="EV260" s="528">
        <f t="shared" si="728"/>
        <v>0.16410085150004058</v>
      </c>
      <c r="EW260" s="528">
        <f t="shared" si="729"/>
        <v>0.88844410047792666</v>
      </c>
      <c r="EX260" s="528">
        <f t="shared" si="730"/>
        <v>8.9808570581285878E-5</v>
      </c>
      <c r="EY260" s="528">
        <f t="shared" si="731"/>
        <v>2.0264675705467905</v>
      </c>
      <c r="EZ260" s="528"/>
      <c r="FA260" s="625">
        <f t="shared" si="732"/>
        <v>1.1329955076370168E-2</v>
      </c>
      <c r="FB260" s="460">
        <f t="shared" si="733"/>
        <v>3090.4322861717096</v>
      </c>
      <c r="FC260" s="173">
        <f t="shared" si="734"/>
        <v>8.713673163863195</v>
      </c>
      <c r="FD260" s="5">
        <f t="shared" si="735"/>
        <v>66.88</v>
      </c>
      <c r="FE260" s="173">
        <f t="shared" si="736"/>
        <v>0.88473012622399361</v>
      </c>
      <c r="FF260" s="5">
        <f t="shared" si="737"/>
        <v>88.473012622399366</v>
      </c>
      <c r="FG260">
        <f t="shared" si="738"/>
        <v>44.000000000000007</v>
      </c>
      <c r="FI260" s="562">
        <f t="shared" si="689"/>
        <v>-50</v>
      </c>
    </row>
    <row r="261" spans="5:165">
      <c r="E261" s="170">
        <v>45</v>
      </c>
      <c r="F261" s="217">
        <f t="shared" si="773"/>
        <v>4.5</v>
      </c>
      <c r="G261" s="217">
        <f t="shared" si="742"/>
        <v>0.1125</v>
      </c>
      <c r="H261" s="217">
        <f t="shared" si="743"/>
        <v>67.5</v>
      </c>
      <c r="I261" s="217">
        <f t="shared" si="744"/>
        <v>0.9</v>
      </c>
      <c r="J261" s="541">
        <f t="shared" si="745"/>
        <v>84.703596162311911</v>
      </c>
      <c r="K261" s="443">
        <f t="shared" si="746"/>
        <v>15.859935294117646</v>
      </c>
      <c r="L261" s="172">
        <f t="shared" si="747"/>
        <v>100.56353145642956</v>
      </c>
      <c r="M261" s="443"/>
      <c r="N261" s="217">
        <f t="shared" si="748"/>
        <v>0.15771060407707704</v>
      </c>
      <c r="O261" s="172">
        <f t="shared" si="749"/>
        <v>329.57208844388975</v>
      </c>
      <c r="P261" s="172">
        <f t="shared" si="750"/>
        <v>4.4528851060863328</v>
      </c>
      <c r="Q261" s="217">
        <f t="shared" si="626"/>
        <v>21.971472562925985</v>
      </c>
      <c r="R261" s="217">
        <f t="shared" si="751"/>
        <v>41.196511055486219</v>
      </c>
      <c r="S261" s="217">
        <f t="shared" si="752"/>
        <v>15</v>
      </c>
      <c r="T261" s="217">
        <f t="shared" si="753"/>
        <v>10.240551667877666</v>
      </c>
      <c r="U261" s="217">
        <f t="shared" si="630"/>
        <v>1.4507839759135193</v>
      </c>
      <c r="V261" s="217">
        <f t="shared" si="631"/>
        <v>7.7482422050050799</v>
      </c>
      <c r="W261" s="197">
        <f t="shared" si="632"/>
        <v>111.32212765215833</v>
      </c>
      <c r="X261" s="443">
        <f t="shared" si="691"/>
        <v>106.39400090513064</v>
      </c>
      <c r="Z261" s="217">
        <f t="shared" si="633"/>
        <v>9.9999999999999982</v>
      </c>
      <c r="AA261" s="173">
        <f t="shared" si="634"/>
        <v>7.5662351563632955</v>
      </c>
      <c r="AB261" s="173">
        <f t="shared" si="754"/>
        <v>4.1560332035670529</v>
      </c>
      <c r="AC261" s="173"/>
      <c r="AD261" s="173">
        <f t="shared" si="636"/>
        <v>7.5662351563632972</v>
      </c>
      <c r="AE261" s="545">
        <f t="shared" si="755"/>
        <v>118.94951470588235</v>
      </c>
      <c r="AF261" s="528">
        <f t="shared" si="756"/>
        <v>4.2114469796146157</v>
      </c>
      <c r="AH261" s="173">
        <f t="shared" si="757"/>
        <v>5.707138387268051</v>
      </c>
      <c r="AI261" s="173">
        <f t="shared" si="758"/>
        <v>10.240551667877666</v>
      </c>
      <c r="AJ261" s="173">
        <f t="shared" si="759"/>
        <v>1.3781864206501229</v>
      </c>
      <c r="AL261" s="545">
        <f t="shared" si="760"/>
        <v>4500</v>
      </c>
      <c r="AM261" s="460">
        <f t="shared" si="761"/>
        <v>106.39400090513064</v>
      </c>
      <c r="AO261">
        <f t="shared" si="644"/>
        <v>4500</v>
      </c>
      <c r="AP261">
        <f t="shared" si="645"/>
        <v>106.39400090513064</v>
      </c>
      <c r="AR261" s="5">
        <f t="shared" si="616"/>
        <v>9.3990261809185984</v>
      </c>
      <c r="AS261" s="5">
        <f t="shared" si="739"/>
        <v>1.4507839759135193</v>
      </c>
      <c r="AT261" s="5">
        <f t="shared" si="740"/>
        <v>7.9482422050050792</v>
      </c>
      <c r="AU261" s="173">
        <f t="shared" si="741"/>
        <v>0.154354711646492</v>
      </c>
      <c r="BA261" s="173">
        <f t="shared" si="692"/>
        <v>2.3228580515434087</v>
      </c>
      <c r="BB261" s="173">
        <f t="shared" si="693"/>
        <v>5.43696882093972</v>
      </c>
      <c r="BC261" s="173">
        <f t="shared" si="694"/>
        <v>0.1338986831196135</v>
      </c>
      <c r="BD261" s="173"/>
      <c r="BE261" s="528">
        <f t="shared" si="695"/>
        <v>0.10791339055240083</v>
      </c>
      <c r="BF261" s="528">
        <f t="shared" si="762"/>
        <v>2.0543871114166041</v>
      </c>
      <c r="BG261" s="528">
        <f t="shared" si="763"/>
        <v>0.22529886216902084</v>
      </c>
      <c r="BH261" s="528">
        <f t="shared" si="696"/>
        <v>0.10759650696068086</v>
      </c>
      <c r="BI261">
        <f t="shared" si="697"/>
        <v>3.8116618273040359E-2</v>
      </c>
      <c r="BJ261" s="460">
        <f t="shared" si="698"/>
        <v>263.41548044206121</v>
      </c>
      <c r="BK261">
        <f t="shared" si="764"/>
        <v>2.3595325621331367</v>
      </c>
      <c r="BL261" s="460">
        <f t="shared" si="699"/>
        <v>2533.3124893717477</v>
      </c>
      <c r="BM261" s="173">
        <f t="shared" si="765"/>
        <v>2.7956249999999998</v>
      </c>
      <c r="BN261" s="173">
        <f t="shared" si="766"/>
        <v>4.9921874999999998E-2</v>
      </c>
      <c r="BQ261" s="460">
        <f t="shared" si="700"/>
        <v>2845.5468749999995</v>
      </c>
      <c r="BR261" s="528">
        <f t="shared" si="701"/>
        <v>0.16187008582860124</v>
      </c>
      <c r="BS261" s="528">
        <f t="shared" si="702"/>
        <v>0.88681889879611941</v>
      </c>
      <c r="BT261" s="528">
        <f t="shared" si="703"/>
        <v>8.9644286705833361E-5</v>
      </c>
      <c r="BU261" s="528">
        <f t="shared" si="704"/>
        <v>1.9591660157871249</v>
      </c>
      <c r="BV261" s="528"/>
      <c r="BW261" s="625">
        <f t="shared" si="705"/>
        <v>1.1157421677936305E-2</v>
      </c>
      <c r="BX261" s="460">
        <f t="shared" si="706"/>
        <v>3019.102066376488</v>
      </c>
      <c r="BY261" s="173">
        <f t="shared" si="707"/>
        <v>8.397961430748234</v>
      </c>
      <c r="BZ261" s="5">
        <f t="shared" si="708"/>
        <v>68.400000000000006</v>
      </c>
      <c r="CA261" s="173">
        <f t="shared" si="709"/>
        <v>0.89064864126216403</v>
      </c>
      <c r="CB261" s="5">
        <f t="shared" si="710"/>
        <v>89.064864126216406</v>
      </c>
      <c r="CC261">
        <f t="shared" si="711"/>
        <v>45</v>
      </c>
      <c r="CE261" s="562">
        <f t="shared" si="767"/>
        <v>-50</v>
      </c>
      <c r="CG261" s="173">
        <f t="shared" si="768"/>
        <v>0.84409136047666333</v>
      </c>
      <c r="CH261" s="173">
        <f t="shared" si="769"/>
        <v>0.1020398968288061</v>
      </c>
      <c r="CI261" s="170">
        <v>45</v>
      </c>
      <c r="CJ261" s="217">
        <f t="shared" si="712"/>
        <v>4.5</v>
      </c>
      <c r="CK261" s="217">
        <f t="shared" si="654"/>
        <v>0.1125</v>
      </c>
      <c r="CL261" s="217">
        <f t="shared" si="655"/>
        <v>67.5</v>
      </c>
      <c r="CM261" s="217">
        <f t="shared" si="656"/>
        <v>0.9</v>
      </c>
      <c r="CN261" s="541">
        <f t="shared" si="657"/>
        <v>85</v>
      </c>
      <c r="CO261" s="443">
        <f t="shared" si="770"/>
        <v>15.7</v>
      </c>
      <c r="CP261" s="443">
        <f t="shared" si="771"/>
        <v>100.7</v>
      </c>
      <c r="CQ261" s="443"/>
      <c r="CR261" s="217">
        <f t="shared" si="660"/>
        <v>0.15338645418326693</v>
      </c>
      <c r="CS261" s="172">
        <f t="shared" si="661"/>
        <v>321.65744915076539</v>
      </c>
      <c r="CT261" s="172">
        <f t="shared" si="662"/>
        <v>4.3459495351925632</v>
      </c>
      <c r="CU261" s="217">
        <f t="shared" si="663"/>
        <v>21.443829943384358</v>
      </c>
      <c r="CV261" s="217">
        <f t="shared" si="664"/>
        <v>40.207181143845673</v>
      </c>
      <c r="CW261" s="217">
        <f t="shared" si="665"/>
        <v>15</v>
      </c>
      <c r="CX261" s="217">
        <f t="shared" si="666"/>
        <v>10.492528647822766</v>
      </c>
      <c r="CY261" s="217">
        <f t="shared" si="667"/>
        <v>1.4812981620455667</v>
      </c>
      <c r="CZ261" s="217">
        <f t="shared" si="668"/>
        <v>8.0197671193549809</v>
      </c>
      <c r="DA261" s="197">
        <f t="shared" si="669"/>
        <v>110.43528632903013</v>
      </c>
      <c r="DB261" s="443">
        <f t="shared" si="670"/>
        <v>105.25135554616361</v>
      </c>
      <c r="DD261" s="217">
        <f t="shared" si="671"/>
        <v>9.9999999999999982</v>
      </c>
      <c r="DE261" s="173">
        <f t="shared" si="672"/>
        <v>7.6433121019108263</v>
      </c>
      <c r="DF261" s="173">
        <f t="shared" si="673"/>
        <v>4.1649244760361679</v>
      </c>
      <c r="DG261" s="173"/>
      <c r="DH261" s="173">
        <f t="shared" si="674"/>
        <v>7.6433121019108281</v>
      </c>
      <c r="DI261" s="545">
        <f t="shared" si="675"/>
        <v>117.75000000000003</v>
      </c>
      <c r="DJ261" s="528">
        <f t="shared" si="676"/>
        <v>4.2204568023833167</v>
      </c>
      <c r="DL261" s="173">
        <f t="shared" si="677"/>
        <v>5.707138387268051</v>
      </c>
      <c r="DM261" s="173">
        <f t="shared" si="678"/>
        <v>10.492528647822766</v>
      </c>
      <c r="DN261" s="173">
        <f t="shared" si="679"/>
        <v>1.5648360354242712</v>
      </c>
      <c r="DP261" s="545">
        <f t="shared" si="680"/>
        <v>4500</v>
      </c>
      <c r="DQ261" s="460">
        <f t="shared" si="681"/>
        <v>105.25135554616361</v>
      </c>
      <c r="DS261">
        <f t="shared" si="682"/>
        <v>4500</v>
      </c>
      <c r="DT261">
        <f t="shared" si="683"/>
        <v>105.25135554616361</v>
      </c>
      <c r="DV261" s="5">
        <f t="shared" si="684"/>
        <v>9.5010652814005461</v>
      </c>
      <c r="DW261" s="5">
        <f t="shared" si="685"/>
        <v>1.4812981620455667</v>
      </c>
      <c r="DX261" s="5">
        <f t="shared" si="686"/>
        <v>8.0197671193549791</v>
      </c>
      <c r="DY261" s="173">
        <f t="shared" si="687"/>
        <v>0.15590863952333664</v>
      </c>
      <c r="EA261" s="5">
        <f t="shared" si="713"/>
        <v>44.438944861367006</v>
      </c>
      <c r="EB261" s="5">
        <f t="shared" si="714"/>
        <v>2.0830755403765782</v>
      </c>
      <c r="EC261" s="5">
        <f t="shared" si="715"/>
        <v>2.1960822740627219</v>
      </c>
      <c r="ED261" s="5"/>
      <c r="EE261" s="173">
        <f t="shared" si="716"/>
        <v>2.3919639347211286</v>
      </c>
      <c r="EF261" s="173">
        <f t="shared" si="717"/>
        <v>5.5656291357570016</v>
      </c>
      <c r="EG261" s="173">
        <f t="shared" si="718"/>
        <v>0.13706725871589795</v>
      </c>
      <c r="EH261" s="173"/>
      <c r="EI261" s="528">
        <f t="shared" si="719"/>
        <v>0.11442982930013168</v>
      </c>
      <c r="EJ261" s="528">
        <f t="shared" si="720"/>
        <v>2.2241666666666671</v>
      </c>
      <c r="EK261" s="528">
        <f t="shared" si="721"/>
        <v>1.3156419443270451E-2</v>
      </c>
      <c r="EL261" s="528">
        <f t="shared" si="722"/>
        <v>0.10673003184023167</v>
      </c>
      <c r="EM261">
        <f t="shared" si="723"/>
        <v>3.8249999999999999E-2</v>
      </c>
      <c r="EN261" s="460">
        <f t="shared" si="724"/>
        <v>51.406419443270451</v>
      </c>
      <c r="EP261" s="460">
        <f t="shared" si="725"/>
        <v>2496.7329472503006</v>
      </c>
      <c r="EQ261" s="173">
        <f t="shared" si="726"/>
        <v>3.15</v>
      </c>
      <c r="ER261" s="173">
        <f t="shared" si="772"/>
        <v>4.9921874999999998E-2</v>
      </c>
      <c r="ES261" s="528"/>
      <c r="EU261" s="460">
        <f t="shared" si="727"/>
        <v>3199.921875</v>
      </c>
      <c r="EV261" s="528">
        <f t="shared" si="728"/>
        <v>0.17164474395019752</v>
      </c>
      <c r="EW261" s="528">
        <f t="shared" si="729"/>
        <v>0.92928683030361681</v>
      </c>
      <c r="EX261" s="528">
        <f t="shared" si="730"/>
        <v>9.3937167059454519E-5</v>
      </c>
      <c r="EY261" s="528">
        <f t="shared" si="731"/>
        <v>2.0264675705467923</v>
      </c>
      <c r="EZ261" s="528"/>
      <c r="FA261" s="625">
        <f t="shared" si="732"/>
        <v>1.1587454055378588E-2</v>
      </c>
      <c r="FB261" s="460">
        <f t="shared" si="733"/>
        <v>3139.0805360230443</v>
      </c>
      <c r="FC261" s="173">
        <f t="shared" si="734"/>
        <v>8.8357353582733449</v>
      </c>
      <c r="FD261" s="5">
        <f t="shared" si="735"/>
        <v>68.400000000000006</v>
      </c>
      <c r="FE261" s="173">
        <f t="shared" si="736"/>
        <v>0.88560042424291008</v>
      </c>
      <c r="FF261" s="5">
        <f t="shared" si="737"/>
        <v>88.560042424291012</v>
      </c>
      <c r="FG261">
        <f t="shared" si="738"/>
        <v>45</v>
      </c>
      <c r="FI261" s="562">
        <f t="shared" si="689"/>
        <v>-50</v>
      </c>
    </row>
    <row r="262" spans="5:165">
      <c r="E262" s="170">
        <v>46</v>
      </c>
      <c r="F262" s="217">
        <f t="shared" si="773"/>
        <v>4.6000000000000005</v>
      </c>
      <c r="G262" s="217">
        <f t="shared" si="742"/>
        <v>0.115</v>
      </c>
      <c r="H262" s="217">
        <f t="shared" si="743"/>
        <v>69.000000000000014</v>
      </c>
      <c r="I262" s="217">
        <f t="shared" si="744"/>
        <v>0.92</v>
      </c>
      <c r="J262" s="541">
        <f t="shared" si="745"/>
        <v>84.697009410363293</v>
      </c>
      <c r="K262" s="443">
        <f t="shared" si="746"/>
        <v>15.863489411764705</v>
      </c>
      <c r="L262" s="172">
        <f t="shared" si="747"/>
        <v>100.560498822128</v>
      </c>
      <c r="M262" s="443"/>
      <c r="N262" s="217">
        <f t="shared" si="748"/>
        <v>0.1577507032838425</v>
      </c>
      <c r="O262" s="172">
        <f t="shared" si="749"/>
        <v>329.63025001290384</v>
      </c>
      <c r="P262" s="172">
        <f t="shared" si="750"/>
        <v>4.453670933507679</v>
      </c>
      <c r="Q262" s="217">
        <f t="shared" si="626"/>
        <v>21.975350000860256</v>
      </c>
      <c r="R262" s="217">
        <f t="shared" si="751"/>
        <v>41.20378125161298</v>
      </c>
      <c r="S262" s="217">
        <f t="shared" si="752"/>
        <v>15</v>
      </c>
      <c r="T262" s="217">
        <f t="shared" si="753"/>
        <v>10.466272436661823</v>
      </c>
      <c r="U262" s="217">
        <f t="shared" si="630"/>
        <v>1.4828772599446043</v>
      </c>
      <c r="V262" s="217">
        <f t="shared" si="631"/>
        <v>7.9172536369455839</v>
      </c>
      <c r="W262" s="197">
        <f t="shared" si="632"/>
        <v>111.34177333769195</v>
      </c>
      <c r="X262" s="443">
        <f t="shared" si="691"/>
        <v>104.16524636387348</v>
      </c>
      <c r="Z262" s="217">
        <f t="shared" si="633"/>
        <v>10</v>
      </c>
      <c r="AA262" s="173">
        <f t="shared" si="634"/>
        <v>7.5645399877157802</v>
      </c>
      <c r="AB262" s="173">
        <f t="shared" si="754"/>
        <v>4.1558353456389341</v>
      </c>
      <c r="AC262" s="173"/>
      <c r="AD262" s="173">
        <f t="shared" si="636"/>
        <v>7.5645399877157802</v>
      </c>
      <c r="AE262" s="545">
        <f t="shared" si="755"/>
        <v>121.62008549019609</v>
      </c>
      <c r="AF262" s="528">
        <f t="shared" si="756"/>
        <v>4.2112464835807879</v>
      </c>
      <c r="AH262" s="173">
        <f t="shared" si="757"/>
        <v>5.7702026043491843</v>
      </c>
      <c r="AI262" s="173">
        <f t="shared" si="758"/>
        <v>10.466272436661823</v>
      </c>
      <c r="AJ262" s="173">
        <f t="shared" si="759"/>
        <v>1.5453869901198689</v>
      </c>
      <c r="AL262" s="545">
        <f t="shared" si="760"/>
        <v>4600.0000000000009</v>
      </c>
      <c r="AM262" s="460">
        <f t="shared" si="761"/>
        <v>104.16524636387348</v>
      </c>
      <c r="AO262">
        <f t="shared" si="644"/>
        <v>4600.0000000000009</v>
      </c>
      <c r="AP262">
        <f t="shared" si="645"/>
        <v>104.16524636387348</v>
      </c>
      <c r="AR262" s="5">
        <f t="shared" si="616"/>
        <v>9.6001308968901871</v>
      </c>
      <c r="AS262" s="5">
        <f t="shared" si="739"/>
        <v>1.4828772599446043</v>
      </c>
      <c r="AT262" s="5">
        <f t="shared" si="740"/>
        <v>8.1172536369455823</v>
      </c>
      <c r="AU262" s="173">
        <f t="shared" si="741"/>
        <v>0.15446427510951535</v>
      </c>
      <c r="BA262" s="173">
        <f t="shared" si="692"/>
        <v>2.3749005779446768</v>
      </c>
      <c r="BB262" s="173">
        <f t="shared" si="693"/>
        <v>5.5564497194120017</v>
      </c>
      <c r="BC262" s="173">
        <f t="shared" si="694"/>
        <v>0.13684119308983286</v>
      </c>
      <c r="BD262" s="173"/>
      <c r="BE262" s="528">
        <f t="shared" si="695"/>
        <v>0.11280305510243921</v>
      </c>
      <c r="BF262" s="528">
        <f t="shared" si="762"/>
        <v>2.0556234890374143</v>
      </c>
      <c r="BG262" s="528">
        <f t="shared" si="763"/>
        <v>0.22056212128784508</v>
      </c>
      <c r="BH262" s="528">
        <f t="shared" si="696"/>
        <v>0.10533620876597595</v>
      </c>
      <c r="BI262">
        <f t="shared" si="697"/>
        <v>3.811365423466348E-2</v>
      </c>
      <c r="BJ262" s="460">
        <f t="shared" si="698"/>
        <v>258.67577552250856</v>
      </c>
      <c r="BK262">
        <f t="shared" si="764"/>
        <v>2.3676781001755565</v>
      </c>
      <c r="BL262" s="460">
        <f t="shared" si="699"/>
        <v>2532.438528428338</v>
      </c>
      <c r="BM262" s="173">
        <f t="shared" si="765"/>
        <v>2.8577500000000002</v>
      </c>
      <c r="BN262" s="173">
        <f t="shared" si="766"/>
        <v>5.103125E-2</v>
      </c>
      <c r="BQ262" s="460">
        <f t="shared" si="700"/>
        <v>2908.78125</v>
      </c>
      <c r="BR262" s="528">
        <f t="shared" si="701"/>
        <v>0.16920458265365879</v>
      </c>
      <c r="BS262" s="528">
        <f t="shared" si="702"/>
        <v>0.92622400453061138</v>
      </c>
      <c r="BT262" s="528">
        <f t="shared" si="703"/>
        <v>9.3627560631244611E-5</v>
      </c>
      <c r="BU262" s="528">
        <f t="shared" si="704"/>
        <v>1.9622629584524125</v>
      </c>
      <c r="BV262" s="528"/>
      <c r="BW262" s="625">
        <f t="shared" si="705"/>
        <v>1.1410558865807937E-2</v>
      </c>
      <c r="BX262" s="460">
        <f t="shared" si="706"/>
        <v>3069.1957320631218</v>
      </c>
      <c r="BY262" s="173">
        <f t="shared" si="707"/>
        <v>8.5104155104914607</v>
      </c>
      <c r="BZ262" s="5">
        <f t="shared" si="708"/>
        <v>69.920000000000016</v>
      </c>
      <c r="CA262" s="173">
        <f t="shared" si="709"/>
        <v>0.89149087818675354</v>
      </c>
      <c r="CB262" s="5">
        <f t="shared" si="710"/>
        <v>89.149087818675355</v>
      </c>
      <c r="CC262">
        <f t="shared" si="711"/>
        <v>46.000000000000007</v>
      </c>
      <c r="CE262" s="562">
        <f t="shared" si="767"/>
        <v>-50</v>
      </c>
      <c r="CG262" s="173">
        <f t="shared" si="768"/>
        <v>0.84409136047666333</v>
      </c>
      <c r="CH262" s="173">
        <f t="shared" si="769"/>
        <v>0.1020398968288061</v>
      </c>
      <c r="CI262" s="170">
        <v>46</v>
      </c>
      <c r="CJ262" s="217">
        <f t="shared" si="712"/>
        <v>4.6000000000000005</v>
      </c>
      <c r="CK262" s="217">
        <f t="shared" si="654"/>
        <v>0.115</v>
      </c>
      <c r="CL262" s="217">
        <f t="shared" si="655"/>
        <v>69.000000000000014</v>
      </c>
      <c r="CM262" s="217">
        <f t="shared" si="656"/>
        <v>0.92</v>
      </c>
      <c r="CN262" s="541">
        <f t="shared" si="657"/>
        <v>85</v>
      </c>
      <c r="CO262" s="443">
        <f t="shared" si="770"/>
        <v>15.7</v>
      </c>
      <c r="CP262" s="443">
        <f t="shared" si="771"/>
        <v>100.7</v>
      </c>
      <c r="CQ262" s="443"/>
      <c r="CR262" s="217">
        <f t="shared" si="660"/>
        <v>0.15338645418326693</v>
      </c>
      <c r="CS262" s="172">
        <f t="shared" si="661"/>
        <v>321.65744915076539</v>
      </c>
      <c r="CT262" s="172">
        <f t="shared" si="662"/>
        <v>4.3459495351925632</v>
      </c>
      <c r="CU262" s="217">
        <f t="shared" si="663"/>
        <v>21.443829943384358</v>
      </c>
      <c r="CV262" s="217">
        <f t="shared" si="664"/>
        <v>40.207181143845673</v>
      </c>
      <c r="CW262" s="217">
        <f t="shared" si="665"/>
        <v>15</v>
      </c>
      <c r="CX262" s="217">
        <f t="shared" si="666"/>
        <v>10.725695951107719</v>
      </c>
      <c r="CY262" s="217">
        <f t="shared" si="667"/>
        <v>1.514215898979913</v>
      </c>
      <c r="CZ262" s="217">
        <f t="shared" si="668"/>
        <v>8.197984166451759</v>
      </c>
      <c r="DA262" s="197">
        <f t="shared" si="669"/>
        <v>110.43528632903013</v>
      </c>
      <c r="DB262" s="443">
        <f t="shared" si="670"/>
        <v>102.96328259950786</v>
      </c>
      <c r="DD262" s="217">
        <f t="shared" si="671"/>
        <v>9.9999999999999982</v>
      </c>
      <c r="DE262" s="173">
        <f t="shared" si="672"/>
        <v>7.6433121019108263</v>
      </c>
      <c r="DF262" s="173">
        <f t="shared" si="673"/>
        <v>4.1649244760361679</v>
      </c>
      <c r="DG262" s="173"/>
      <c r="DH262" s="173">
        <f t="shared" si="674"/>
        <v>7.6433121019108281</v>
      </c>
      <c r="DI262" s="545">
        <f t="shared" si="675"/>
        <v>120.36666666666669</v>
      </c>
      <c r="DJ262" s="528">
        <f t="shared" si="676"/>
        <v>4.2204568023833167</v>
      </c>
      <c r="DL262" s="173">
        <f t="shared" si="677"/>
        <v>5.7702026043491843</v>
      </c>
      <c r="DM262" s="173">
        <f t="shared" si="678"/>
        <v>10.725695951107719</v>
      </c>
      <c r="DN262" s="173">
        <f t="shared" si="679"/>
        <v>1.7375525563760879</v>
      </c>
      <c r="DP262" s="545">
        <f t="shared" si="680"/>
        <v>4600.0000000000009</v>
      </c>
      <c r="DQ262" s="460">
        <f t="shared" si="681"/>
        <v>102.96328259950786</v>
      </c>
      <c r="DS262">
        <f t="shared" si="682"/>
        <v>4600.0000000000009</v>
      </c>
      <c r="DT262">
        <f t="shared" si="683"/>
        <v>102.96328259950786</v>
      </c>
      <c r="DV262" s="5">
        <f t="shared" si="684"/>
        <v>9.7122000654316718</v>
      </c>
      <c r="DW262" s="5">
        <f t="shared" si="685"/>
        <v>1.514215898979913</v>
      </c>
      <c r="DX262" s="5">
        <f t="shared" si="686"/>
        <v>8.197984166451759</v>
      </c>
      <c r="DY262" s="173">
        <f t="shared" si="687"/>
        <v>0.15590863952333664</v>
      </c>
      <c r="EA262" s="5">
        <f t="shared" si="713"/>
        <v>46.435954235384003</v>
      </c>
      <c r="EB262" s="5">
        <f t="shared" si="714"/>
        <v>2.1766853547836251</v>
      </c>
      <c r="EC262" s="5">
        <f t="shared" si="715"/>
        <v>2.2947704157613447</v>
      </c>
      <c r="ED262" s="5"/>
      <c r="EE262" s="173">
        <f t="shared" si="716"/>
        <v>2.4451186888260432</v>
      </c>
      <c r="EF262" s="173">
        <f t="shared" si="717"/>
        <v>5.6893097832182695</v>
      </c>
      <c r="EG262" s="173">
        <f t="shared" si="718"/>
        <v>0.14011319779847348</v>
      </c>
      <c r="EH262" s="173"/>
      <c r="EI262" s="528">
        <f t="shared" si="719"/>
        <v>0.11957210804892779</v>
      </c>
      <c r="EJ262" s="528">
        <f t="shared" si="720"/>
        <v>2.2241666666666671</v>
      </c>
      <c r="EK262" s="528">
        <f t="shared" si="721"/>
        <v>1.2870410324938483E-2</v>
      </c>
      <c r="EL262" s="528">
        <f t="shared" si="722"/>
        <v>0.10440981375674836</v>
      </c>
      <c r="EM262">
        <f t="shared" si="723"/>
        <v>3.8249999999999999E-2</v>
      </c>
      <c r="EN262" s="460">
        <f t="shared" si="724"/>
        <v>51.120410324938483</v>
      </c>
      <c r="EP262" s="460">
        <f t="shared" si="725"/>
        <v>2499.2689987972817</v>
      </c>
      <c r="EQ262" s="173">
        <f t="shared" si="726"/>
        <v>3.22</v>
      </c>
      <c r="ER262" s="173">
        <f t="shared" si="772"/>
        <v>5.103125E-2</v>
      </c>
      <c r="ES262" s="528"/>
      <c r="EU262" s="460">
        <f t="shared" si="727"/>
        <v>3271.03125</v>
      </c>
      <c r="EV262" s="528">
        <f t="shared" si="728"/>
        <v>0.17935816207339167</v>
      </c>
      <c r="EW262" s="528">
        <f t="shared" si="729"/>
        <v>0.97104737428269339</v>
      </c>
      <c r="EX262" s="528">
        <f t="shared" si="730"/>
        <v>9.8158540986570758E-5</v>
      </c>
      <c r="EY262" s="528">
        <f t="shared" si="731"/>
        <v>2.0264675705467927</v>
      </c>
      <c r="EZ262" s="528"/>
      <c r="FA262" s="625">
        <f t="shared" si="732"/>
        <v>1.1844953034387002E-2</v>
      </c>
      <c r="FB262" s="460">
        <f t="shared" si="733"/>
        <v>3188.8162184782514</v>
      </c>
      <c r="FC262" s="173">
        <f t="shared" si="734"/>
        <v>8.9591164672755337</v>
      </c>
      <c r="FD262" s="5">
        <f t="shared" si="735"/>
        <v>69.920000000000016</v>
      </c>
      <c r="FE262" s="173">
        <f t="shared" si="736"/>
        <v>0.88641966507076198</v>
      </c>
      <c r="FF262" s="5">
        <f t="shared" si="737"/>
        <v>88.641966507076191</v>
      </c>
      <c r="FG262">
        <f t="shared" si="738"/>
        <v>46.000000000000007</v>
      </c>
      <c r="FI262" s="562">
        <f t="shared" si="689"/>
        <v>-50</v>
      </c>
    </row>
    <row r="263" spans="5:165">
      <c r="E263" s="170">
        <v>47</v>
      </c>
      <c r="F263" s="217">
        <f t="shared" si="773"/>
        <v>4.6999999999999993</v>
      </c>
      <c r="G263" s="217">
        <f t="shared" si="742"/>
        <v>0.11749999999999999</v>
      </c>
      <c r="H263" s="217">
        <f t="shared" si="743"/>
        <v>70.499999999999986</v>
      </c>
      <c r="I263" s="217">
        <f t="shared" si="744"/>
        <v>0.94</v>
      </c>
      <c r="J263" s="541">
        <f t="shared" si="745"/>
        <v>84.690422658414676</v>
      </c>
      <c r="K263" s="443">
        <f t="shared" si="746"/>
        <v>15.867043529411763</v>
      </c>
      <c r="L263" s="172">
        <f t="shared" si="747"/>
        <v>100.55746618782644</v>
      </c>
      <c r="M263" s="443"/>
      <c r="N263" s="217">
        <f t="shared" si="748"/>
        <v>0.1577908049092494</v>
      </c>
      <c r="O263" s="172">
        <f t="shared" si="749"/>
        <v>329.68840360302102</v>
      </c>
      <c r="P263" s="172">
        <f t="shared" si="750"/>
        <v>4.4544566531252618</v>
      </c>
      <c r="Q263" s="217">
        <f t="shared" si="626"/>
        <v>21.979226906868067</v>
      </c>
      <c r="R263" s="217">
        <f t="shared" si="751"/>
        <v>41.211050450377627</v>
      </c>
      <c r="S263" s="217">
        <f t="shared" si="752"/>
        <v>15</v>
      </c>
      <c r="T263" s="217">
        <f t="shared" si="753"/>
        <v>10.69191382370993</v>
      </c>
      <c r="U263" s="217">
        <f t="shared" si="630"/>
        <v>1.5149642882526249</v>
      </c>
      <c r="V263" s="217">
        <f t="shared" si="631"/>
        <v>8.0861293187159795</v>
      </c>
      <c r="W263" s="197">
        <f t="shared" si="632"/>
        <v>111.36141632813153</v>
      </c>
      <c r="X263" s="443">
        <f t="shared" si="691"/>
        <v>102.02943060241741</v>
      </c>
      <c r="Z263" s="217">
        <f t="shared" si="633"/>
        <v>10</v>
      </c>
      <c r="AA263" s="173">
        <f t="shared" si="634"/>
        <v>7.5628455784824302</v>
      </c>
      <c r="AB263" s="173">
        <f t="shared" si="754"/>
        <v>4.1556374757767287</v>
      </c>
      <c r="AC263" s="173"/>
      <c r="AD263" s="173">
        <f t="shared" si="636"/>
        <v>7.5628455784824302</v>
      </c>
      <c r="AE263" s="545">
        <f t="shared" si="755"/>
        <v>124.29184098039212</v>
      </c>
      <c r="AF263" s="528">
        <f t="shared" si="756"/>
        <v>4.2110459754537528</v>
      </c>
      <c r="AH263" s="173">
        <f t="shared" si="757"/>
        <v>5.8325849860115726</v>
      </c>
      <c r="AI263" s="173">
        <f t="shared" si="758"/>
        <v>10.69191382370993</v>
      </c>
      <c r="AJ263" s="173">
        <f t="shared" si="759"/>
        <v>1.7125287583036517</v>
      </c>
      <c r="AL263" s="545">
        <f t="shared" si="760"/>
        <v>4699.9999999999991</v>
      </c>
      <c r="AM263" s="460">
        <f t="shared" si="761"/>
        <v>102.02943060241741</v>
      </c>
      <c r="AO263">
        <f t="shared" si="644"/>
        <v>4699.9999999999991</v>
      </c>
      <c r="AP263">
        <f t="shared" si="645"/>
        <v>102.02943060241741</v>
      </c>
      <c r="AR263" s="5">
        <f t="shared" ref="AR263:AR316" si="774">1/AM263*1000</f>
        <v>9.8010936069686032</v>
      </c>
      <c r="AS263" s="5">
        <f t="shared" si="739"/>
        <v>1.5149642882526249</v>
      </c>
      <c r="AT263" s="5">
        <f t="shared" si="740"/>
        <v>8.2861293187159788</v>
      </c>
      <c r="AU263" s="173">
        <f t="shared" si="741"/>
        <v>0.15457094371341187</v>
      </c>
      <c r="BA263" s="173">
        <f t="shared" si="692"/>
        <v>2.4269383903386297</v>
      </c>
      <c r="BB263" s="173">
        <f t="shared" si="693"/>
        <v>5.6758826439048553</v>
      </c>
      <c r="BC263" s="173">
        <f t="shared" si="694"/>
        <v>0.13978252158322546</v>
      </c>
      <c r="BD263" s="173"/>
      <c r="BE263" s="528">
        <f t="shared" si="695"/>
        <v>0.11780059900998918</v>
      </c>
      <c r="BF263" s="528">
        <f t="shared" si="762"/>
        <v>2.0568210407020859</v>
      </c>
      <c r="BG263" s="528">
        <f t="shared" si="763"/>
        <v>0.21602289003290298</v>
      </c>
      <c r="BH263" s="528">
        <f t="shared" si="696"/>
        <v>0.10317016051072443</v>
      </c>
      <c r="BI263">
        <f t="shared" si="697"/>
        <v>3.8110690196286601E-2</v>
      </c>
      <c r="BJ263" s="460">
        <f t="shared" si="698"/>
        <v>254.13358022918959</v>
      </c>
      <c r="BK263">
        <f t="shared" si="764"/>
        <v>2.3761037328208907</v>
      </c>
      <c r="BL263" s="460">
        <f t="shared" si="699"/>
        <v>2531.925380451989</v>
      </c>
      <c r="BM263" s="173">
        <f t="shared" si="765"/>
        <v>2.9198749999999989</v>
      </c>
      <c r="BN263" s="173">
        <f t="shared" si="766"/>
        <v>5.2140624999999996E-2</v>
      </c>
      <c r="BQ263" s="460">
        <f t="shared" si="700"/>
        <v>2972.0156249999986</v>
      </c>
      <c r="BR263" s="528">
        <f t="shared" si="701"/>
        <v>0.17670089851498377</v>
      </c>
      <c r="BS263" s="528">
        <f t="shared" si="702"/>
        <v>0.96646931362141109</v>
      </c>
      <c r="BT263" s="528">
        <f t="shared" si="703"/>
        <v>9.769576670082447E-5</v>
      </c>
      <c r="BU263" s="528">
        <f t="shared" si="704"/>
        <v>1.9652702778440181</v>
      </c>
      <c r="BV263" s="528"/>
      <c r="BW263" s="625">
        <f t="shared" si="705"/>
        <v>1.1663700582592111E-2</v>
      </c>
      <c r="BX263" s="460">
        <f t="shared" si="706"/>
        <v>3120.2018863297058</v>
      </c>
      <c r="BY263" s="173">
        <f t="shared" si="707"/>
        <v>8.6241428917816911</v>
      </c>
      <c r="BZ263" s="5">
        <f t="shared" si="708"/>
        <v>71.439999999999984</v>
      </c>
      <c r="CA263" s="173">
        <f t="shared" si="709"/>
        <v>0.8922845785854665</v>
      </c>
      <c r="CB263" s="5">
        <f t="shared" si="710"/>
        <v>89.228457858546648</v>
      </c>
      <c r="CC263">
        <f t="shared" si="711"/>
        <v>46.999999999999993</v>
      </c>
      <c r="CE263" s="562">
        <f t="shared" si="767"/>
        <v>-50</v>
      </c>
      <c r="CG263" s="173">
        <f t="shared" si="768"/>
        <v>0.84409136047666333</v>
      </c>
      <c r="CH263" s="173">
        <f t="shared" si="769"/>
        <v>0.10203989682880613</v>
      </c>
      <c r="CI263" s="170">
        <v>47</v>
      </c>
      <c r="CJ263" s="217">
        <f t="shared" si="712"/>
        <v>4.6999999999999993</v>
      </c>
      <c r="CK263" s="217">
        <f t="shared" si="654"/>
        <v>0.11749999999999999</v>
      </c>
      <c r="CL263" s="217">
        <f t="shared" si="655"/>
        <v>70.499999999999986</v>
      </c>
      <c r="CM263" s="217">
        <f t="shared" si="656"/>
        <v>0.94</v>
      </c>
      <c r="CN263" s="541">
        <f t="shared" si="657"/>
        <v>85</v>
      </c>
      <c r="CO263" s="443">
        <f t="shared" si="770"/>
        <v>15.7</v>
      </c>
      <c r="CP263" s="443">
        <f t="shared" si="771"/>
        <v>100.7</v>
      </c>
      <c r="CQ263" s="443"/>
      <c r="CR263" s="217">
        <f t="shared" si="660"/>
        <v>0.15338645418326693</v>
      </c>
      <c r="CS263" s="172">
        <f t="shared" si="661"/>
        <v>321.65744915076539</v>
      </c>
      <c r="CT263" s="172">
        <f t="shared" si="662"/>
        <v>4.3459495351925632</v>
      </c>
      <c r="CU263" s="217">
        <f t="shared" si="663"/>
        <v>21.443829943384358</v>
      </c>
      <c r="CV263" s="217">
        <f t="shared" si="664"/>
        <v>40.207181143845673</v>
      </c>
      <c r="CW263" s="217">
        <f t="shared" si="665"/>
        <v>15</v>
      </c>
      <c r="CX263" s="217">
        <f t="shared" si="666"/>
        <v>10.958863254392663</v>
      </c>
      <c r="CY263" s="217">
        <f t="shared" si="667"/>
        <v>1.5471336359142582</v>
      </c>
      <c r="CZ263" s="217">
        <f t="shared" si="668"/>
        <v>8.3762012135485318</v>
      </c>
      <c r="DA263" s="197">
        <f t="shared" si="669"/>
        <v>110.43528632903013</v>
      </c>
      <c r="DB263" s="443">
        <f t="shared" si="670"/>
        <v>100.77257445909285</v>
      </c>
      <c r="DD263" s="217">
        <f t="shared" si="671"/>
        <v>9.9999999999999982</v>
      </c>
      <c r="DE263" s="173">
        <f t="shared" si="672"/>
        <v>7.6433121019108263</v>
      </c>
      <c r="DF263" s="173">
        <f t="shared" si="673"/>
        <v>4.1649244760361679</v>
      </c>
      <c r="DG263" s="173"/>
      <c r="DH263" s="173">
        <f t="shared" si="674"/>
        <v>7.6433121019108281</v>
      </c>
      <c r="DI263" s="545">
        <f t="shared" si="675"/>
        <v>122.98333333333333</v>
      </c>
      <c r="DJ263" s="528">
        <f t="shared" si="676"/>
        <v>4.2204568023833167</v>
      </c>
      <c r="DL263" s="173">
        <f t="shared" si="677"/>
        <v>5.8325849860115726</v>
      </c>
      <c r="DM263" s="173">
        <f t="shared" si="678"/>
        <v>10.958863254392663</v>
      </c>
      <c r="DN263" s="173">
        <f t="shared" si="679"/>
        <v>1.9102690773278981</v>
      </c>
      <c r="DP263" s="545">
        <f t="shared" si="680"/>
        <v>4699.9999999999991</v>
      </c>
      <c r="DQ263" s="460">
        <f t="shared" si="681"/>
        <v>100.77257445909285</v>
      </c>
      <c r="DS263">
        <f t="shared" si="682"/>
        <v>4699.9999999999991</v>
      </c>
      <c r="DT263">
        <f t="shared" si="683"/>
        <v>100.77257445909285</v>
      </c>
      <c r="DV263" s="5">
        <f t="shared" si="684"/>
        <v>9.9233348494627904</v>
      </c>
      <c r="DW263" s="5">
        <f t="shared" si="685"/>
        <v>1.5471336359142582</v>
      </c>
      <c r="DX263" s="5">
        <f t="shared" si="686"/>
        <v>8.3762012135485318</v>
      </c>
      <c r="DY263" s="173">
        <f t="shared" si="687"/>
        <v>0.15590863952333664</v>
      </c>
      <c r="EA263" s="5">
        <f t="shared" si="713"/>
        <v>48.476853925313414</v>
      </c>
      <c r="EB263" s="5">
        <f t="shared" si="714"/>
        <v>2.2723525277490668</v>
      </c>
      <c r="EC263" s="5">
        <f t="shared" si="715"/>
        <v>2.3956275276071857</v>
      </c>
      <c r="ED263" s="5"/>
      <c r="EE263" s="173">
        <f t="shared" si="716"/>
        <v>2.4982734429309557</v>
      </c>
      <c r="EF263" s="173">
        <f t="shared" si="717"/>
        <v>5.812990430679533</v>
      </c>
      <c r="EG263" s="173">
        <f t="shared" si="718"/>
        <v>0.14315913688104892</v>
      </c>
      <c r="EH263" s="173"/>
      <c r="EI263" s="528">
        <f t="shared" si="719"/>
        <v>0.12482740391308182</v>
      </c>
      <c r="EJ263" s="528">
        <f t="shared" si="720"/>
        <v>2.2241666666666666</v>
      </c>
      <c r="EK263" s="528">
        <f t="shared" si="721"/>
        <v>1.2596571807386606E-2</v>
      </c>
      <c r="EL263" s="528">
        <f t="shared" si="722"/>
        <v>0.10218832835766865</v>
      </c>
      <c r="EM263">
        <f t="shared" si="723"/>
        <v>3.8249999999999999E-2</v>
      </c>
      <c r="EN263" s="460">
        <f t="shared" si="724"/>
        <v>50.84657180738661</v>
      </c>
      <c r="EP263" s="460">
        <f t="shared" si="725"/>
        <v>2502.0289707448037</v>
      </c>
      <c r="EQ263" s="173">
        <f t="shared" si="726"/>
        <v>3.2899999999999991</v>
      </c>
      <c r="ER263" s="173">
        <f t="shared" si="772"/>
        <v>5.2140624999999996E-2</v>
      </c>
      <c r="ES263" s="528"/>
      <c r="EU263" s="460">
        <f t="shared" si="727"/>
        <v>3342.1406249999991</v>
      </c>
      <c r="EV263" s="528">
        <f t="shared" si="728"/>
        <v>0.18724110586962273</v>
      </c>
      <c r="EW263" s="528">
        <f t="shared" si="729"/>
        <v>1.0137257324151545</v>
      </c>
      <c r="EX263" s="528">
        <f t="shared" si="730"/>
        <v>1.0247269236263451E-4</v>
      </c>
      <c r="EY263" s="528">
        <f t="shared" si="731"/>
        <v>2.0264675705467909</v>
      </c>
      <c r="EZ263" s="528"/>
      <c r="FA263" s="625">
        <f t="shared" si="732"/>
        <v>1.2102452013395406E-2</v>
      </c>
      <c r="FB263" s="460">
        <f t="shared" si="733"/>
        <v>3239.6393335373259</v>
      </c>
      <c r="FC263" s="173">
        <f t="shared" si="734"/>
        <v>9.0838089292821298</v>
      </c>
      <c r="FD263" s="5">
        <f t="shared" si="735"/>
        <v>71.439999999999984</v>
      </c>
      <c r="FE263" s="173">
        <f t="shared" si="736"/>
        <v>0.88719101778630793</v>
      </c>
      <c r="FF263" s="5">
        <f t="shared" si="737"/>
        <v>88.719101778630787</v>
      </c>
      <c r="FG263">
        <f t="shared" si="738"/>
        <v>46.999999999999993</v>
      </c>
      <c r="FI263" s="562">
        <f t="shared" si="689"/>
        <v>-50</v>
      </c>
    </row>
    <row r="264" spans="5:165">
      <c r="E264" s="170">
        <v>48</v>
      </c>
      <c r="F264" s="217">
        <f t="shared" si="773"/>
        <v>4.8</v>
      </c>
      <c r="G264" s="217">
        <f t="shared" si="742"/>
        <v>0.12</v>
      </c>
      <c r="H264" s="217">
        <f t="shared" si="743"/>
        <v>72</v>
      </c>
      <c r="I264" s="217">
        <f t="shared" si="744"/>
        <v>0.96</v>
      </c>
      <c r="J264" s="541">
        <f t="shared" si="745"/>
        <v>84.683835906466044</v>
      </c>
      <c r="K264" s="443">
        <f t="shared" si="746"/>
        <v>15.870597647058823</v>
      </c>
      <c r="L264" s="172">
        <f t="shared" si="747"/>
        <v>100.55443355352486</v>
      </c>
      <c r="M264" s="443"/>
      <c r="N264" s="217">
        <f t="shared" si="748"/>
        <v>0.15783090895351665</v>
      </c>
      <c r="O264" s="172">
        <f t="shared" si="749"/>
        <v>329.74654921351936</v>
      </c>
      <c r="P264" s="172">
        <f t="shared" si="750"/>
        <v>4.4552422649293293</v>
      </c>
      <c r="Q264" s="217">
        <f t="shared" si="626"/>
        <v>21.98310328090129</v>
      </c>
      <c r="R264" s="217">
        <f t="shared" si="751"/>
        <v>41.21831865168992</v>
      </c>
      <c r="S264" s="217">
        <f t="shared" si="752"/>
        <v>15</v>
      </c>
      <c r="T264" s="217">
        <f t="shared" si="753"/>
        <v>10.917475887424397</v>
      </c>
      <c r="U264" s="217">
        <f t="shared" si="630"/>
        <v>1.5470450676536902</v>
      </c>
      <c r="V264" s="217">
        <f t="shared" si="631"/>
        <v>8.2548693856763347</v>
      </c>
      <c r="W264" s="197">
        <f t="shared" si="632"/>
        <v>111.38105662323322</v>
      </c>
      <c r="X264" s="443">
        <f t="shared" si="691"/>
        <v>99.980859131129776</v>
      </c>
      <c r="Z264" s="217">
        <f t="shared" si="633"/>
        <v>10</v>
      </c>
      <c r="AA264" s="173">
        <f t="shared" si="634"/>
        <v>7.5611519281530448</v>
      </c>
      <c r="AB264" s="173">
        <f t="shared" si="754"/>
        <v>4.1554395939793576</v>
      </c>
      <c r="AC264" s="173"/>
      <c r="AD264" s="173">
        <f t="shared" si="636"/>
        <v>7.5611519281530448</v>
      </c>
      <c r="AE264" s="545">
        <f t="shared" si="755"/>
        <v>126.96478117647057</v>
      </c>
      <c r="AF264" s="528">
        <f t="shared" si="756"/>
        <v>4.2108454552324162</v>
      </c>
      <c r="AH264" s="173">
        <f t="shared" si="757"/>
        <v>5.8943071809040575</v>
      </c>
      <c r="AI264" s="173">
        <f t="shared" si="758"/>
        <v>10.917475887424397</v>
      </c>
      <c r="AJ264" s="173">
        <f t="shared" si="759"/>
        <v>1.879611768462516</v>
      </c>
      <c r="AL264" s="545">
        <f t="shared" si="760"/>
        <v>4800</v>
      </c>
      <c r="AM264" s="460">
        <f t="shared" si="761"/>
        <v>99.980859131129776</v>
      </c>
      <c r="AO264">
        <f t="shared" si="644"/>
        <v>4800</v>
      </c>
      <c r="AP264">
        <f t="shared" si="645"/>
        <v>99.980859131129776</v>
      </c>
      <c r="AR264" s="5">
        <f t="shared" si="774"/>
        <v>10.001914453330023</v>
      </c>
      <c r="AS264" s="5">
        <f t="shared" si="739"/>
        <v>1.5470450676536902</v>
      </c>
      <c r="AT264" s="5">
        <f t="shared" si="740"/>
        <v>8.4548693856763339</v>
      </c>
      <c r="AU264" s="173">
        <f t="shared" si="741"/>
        <v>0.15467489497859274</v>
      </c>
      <c r="BA264" s="173">
        <f t="shared" si="692"/>
        <v>2.4789714720747216</v>
      </c>
      <c r="BB264" s="173">
        <f t="shared" si="693"/>
        <v>5.7952676404808132</v>
      </c>
      <c r="BC264" s="173">
        <f t="shared" si="694"/>
        <v>0.14272266973419417</v>
      </c>
      <c r="BD264" s="173"/>
      <c r="BE264" s="528">
        <f t="shared" si="695"/>
        <v>0.12290599118720626</v>
      </c>
      <c r="BF264" s="528">
        <f t="shared" si="762"/>
        <v>2.0579821408504064</v>
      </c>
      <c r="BG264" s="528">
        <f t="shared" si="763"/>
        <v>0.21166906671120228</v>
      </c>
      <c r="BH264" s="528">
        <f t="shared" si="696"/>
        <v>0.10109258736864961</v>
      </c>
      <c r="BI264">
        <f t="shared" si="697"/>
        <v>3.8107726157909722E-2</v>
      </c>
      <c r="BJ264" s="460">
        <f t="shared" si="698"/>
        <v>249.776792869112</v>
      </c>
      <c r="BK264">
        <f t="shared" si="764"/>
        <v>2.3848075937523854</v>
      </c>
      <c r="BL264" s="460">
        <f t="shared" si="699"/>
        <v>2531.7575122753747</v>
      </c>
      <c r="BM264" s="173">
        <f t="shared" si="765"/>
        <v>2.9819999999999998</v>
      </c>
      <c r="BN264" s="173">
        <f t="shared" si="766"/>
        <v>5.3249999999999999E-2</v>
      </c>
      <c r="BQ264" s="460">
        <f t="shared" si="700"/>
        <v>3035.2499999999995</v>
      </c>
      <c r="BR264" s="528">
        <f t="shared" si="701"/>
        <v>0.18435898678080936</v>
      </c>
      <c r="BS264" s="528">
        <f t="shared" si="702"/>
        <v>1.0075538107441215</v>
      </c>
      <c r="BT264" s="528">
        <f t="shared" si="703"/>
        <v>1.0184880228027934E-4</v>
      </c>
      <c r="BU264" s="528">
        <f t="shared" si="704"/>
        <v>1.9681933885133176</v>
      </c>
      <c r="BV264" s="528"/>
      <c r="BW264" s="625">
        <f t="shared" si="705"/>
        <v>1.1916846550593097E-2</v>
      </c>
      <c r="BX264" s="460">
        <f t="shared" si="706"/>
        <v>3172.1248813911216</v>
      </c>
      <c r="BY264" s="173">
        <f t="shared" si="707"/>
        <v>8.7391323936664946</v>
      </c>
      <c r="BZ264" s="5">
        <f t="shared" si="708"/>
        <v>72.959999999999994</v>
      </c>
      <c r="CA264" s="173">
        <f t="shared" si="709"/>
        <v>0.89303273930061988</v>
      </c>
      <c r="CB264" s="5">
        <f t="shared" si="710"/>
        <v>89.303273930061991</v>
      </c>
      <c r="CC264">
        <f t="shared" si="711"/>
        <v>48</v>
      </c>
      <c r="CE264" s="562">
        <f t="shared" si="767"/>
        <v>-50</v>
      </c>
      <c r="CG264" s="173">
        <f t="shared" si="768"/>
        <v>0.84409136047666333</v>
      </c>
      <c r="CH264" s="173">
        <f t="shared" si="769"/>
        <v>0.10203989682880611</v>
      </c>
      <c r="CI264" s="170">
        <v>48</v>
      </c>
      <c r="CJ264" s="217">
        <f t="shared" si="712"/>
        <v>4.8</v>
      </c>
      <c r="CK264" s="217">
        <f t="shared" si="654"/>
        <v>0.12</v>
      </c>
      <c r="CL264" s="217">
        <f t="shared" si="655"/>
        <v>72</v>
      </c>
      <c r="CM264" s="217">
        <f t="shared" si="656"/>
        <v>0.96</v>
      </c>
      <c r="CN264" s="541">
        <f t="shared" si="657"/>
        <v>85</v>
      </c>
      <c r="CO264" s="443">
        <f t="shared" si="770"/>
        <v>15.7</v>
      </c>
      <c r="CP264" s="443">
        <f t="shared" si="771"/>
        <v>100.7</v>
      </c>
      <c r="CQ264" s="443"/>
      <c r="CR264" s="217">
        <f t="shared" si="660"/>
        <v>0.15338645418326693</v>
      </c>
      <c r="CS264" s="172">
        <f t="shared" si="661"/>
        <v>321.65744915076539</v>
      </c>
      <c r="CT264" s="172">
        <f t="shared" si="662"/>
        <v>4.3459495351925632</v>
      </c>
      <c r="CU264" s="217">
        <f t="shared" si="663"/>
        <v>21.443829943384358</v>
      </c>
      <c r="CV264" s="217">
        <f t="shared" si="664"/>
        <v>40.207181143845673</v>
      </c>
      <c r="CW264" s="217">
        <f t="shared" si="665"/>
        <v>15</v>
      </c>
      <c r="CX264" s="217">
        <f t="shared" si="666"/>
        <v>11.192030557677615</v>
      </c>
      <c r="CY264" s="217">
        <f t="shared" si="667"/>
        <v>1.5800513728486045</v>
      </c>
      <c r="CZ264" s="217">
        <f t="shared" si="668"/>
        <v>8.5544182606453099</v>
      </c>
      <c r="DA264" s="197">
        <f t="shared" si="669"/>
        <v>110.43528632903013</v>
      </c>
      <c r="DB264" s="443">
        <f t="shared" si="670"/>
        <v>98.673145824528405</v>
      </c>
      <c r="DD264" s="217">
        <f t="shared" si="671"/>
        <v>9.9999999999999982</v>
      </c>
      <c r="DE264" s="173">
        <f t="shared" si="672"/>
        <v>7.6433121019108263</v>
      </c>
      <c r="DF264" s="173">
        <f t="shared" si="673"/>
        <v>4.1649244760361679</v>
      </c>
      <c r="DG264" s="173"/>
      <c r="DH264" s="173">
        <f t="shared" si="674"/>
        <v>7.6433121019108281</v>
      </c>
      <c r="DI264" s="545">
        <f t="shared" si="675"/>
        <v>125.6</v>
      </c>
      <c r="DJ264" s="528">
        <f t="shared" si="676"/>
        <v>4.2204568023833167</v>
      </c>
      <c r="DL264" s="173">
        <f t="shared" si="677"/>
        <v>5.8943071809040575</v>
      </c>
      <c r="DM264" s="173">
        <f t="shared" si="678"/>
        <v>11.192030557677615</v>
      </c>
      <c r="DN264" s="173">
        <f t="shared" si="679"/>
        <v>2.082985598279715</v>
      </c>
      <c r="DP264" s="545">
        <f t="shared" si="680"/>
        <v>4800</v>
      </c>
      <c r="DQ264" s="460">
        <f t="shared" si="681"/>
        <v>98.673145824528405</v>
      </c>
      <c r="DS264">
        <f t="shared" si="682"/>
        <v>4800</v>
      </c>
      <c r="DT264">
        <f t="shared" si="683"/>
        <v>98.673145824528405</v>
      </c>
      <c r="DV264" s="5">
        <f t="shared" si="684"/>
        <v>10.134469633493916</v>
      </c>
      <c r="DW264" s="5">
        <f t="shared" si="685"/>
        <v>1.5800513728486045</v>
      </c>
      <c r="DX264" s="5">
        <f t="shared" si="686"/>
        <v>8.5544182606453116</v>
      </c>
      <c r="DY264" s="173">
        <f t="shared" si="687"/>
        <v>0.15590863952333664</v>
      </c>
      <c r="EA264" s="5">
        <f t="shared" si="713"/>
        <v>50.561643931155345</v>
      </c>
      <c r="EB264" s="5">
        <f t="shared" si="714"/>
        <v>2.3700770592729068</v>
      </c>
      <c r="EC264" s="5">
        <f t="shared" si="715"/>
        <v>2.498653609600253</v>
      </c>
      <c r="ED264" s="5"/>
      <c r="EE264" s="173">
        <f t="shared" si="716"/>
        <v>2.5514281970358699</v>
      </c>
      <c r="EF264" s="173">
        <f t="shared" si="717"/>
        <v>5.936671078140801</v>
      </c>
      <c r="EG264" s="173">
        <f t="shared" si="718"/>
        <v>0.14620507596362445</v>
      </c>
      <c r="EH264" s="173"/>
      <c r="EI264" s="528">
        <f t="shared" si="719"/>
        <v>0.13019571689259418</v>
      </c>
      <c r="EJ264" s="528">
        <f t="shared" si="720"/>
        <v>2.2241666666666671</v>
      </c>
      <c r="EK264" s="528">
        <f t="shared" si="721"/>
        <v>1.2334143228066051E-2</v>
      </c>
      <c r="EL264" s="528">
        <f t="shared" si="722"/>
        <v>0.10005940485021721</v>
      </c>
      <c r="EM264">
        <f t="shared" si="723"/>
        <v>3.8249999999999999E-2</v>
      </c>
      <c r="EN264" s="460">
        <f t="shared" si="724"/>
        <v>50.584143228066047</v>
      </c>
      <c r="EP264" s="460">
        <f t="shared" si="725"/>
        <v>2505.0059316375446</v>
      </c>
      <c r="EQ264" s="173">
        <f t="shared" si="726"/>
        <v>3.36</v>
      </c>
      <c r="ER264" s="173">
        <f t="shared" si="772"/>
        <v>5.3249999999999999E-2</v>
      </c>
      <c r="ES264" s="528"/>
      <c r="EU264" s="460">
        <f t="shared" si="727"/>
        <v>3413.2499999999995</v>
      </c>
      <c r="EV264" s="528">
        <f t="shared" si="728"/>
        <v>0.19529357533889127</v>
      </c>
      <c r="EW264" s="528">
        <f t="shared" si="729"/>
        <v>1.0573219047010038</v>
      </c>
      <c r="EX264" s="528">
        <f t="shared" si="730"/>
        <v>1.0687962118764598E-4</v>
      </c>
      <c r="EY264" s="528">
        <f t="shared" si="731"/>
        <v>2.0264675705467927</v>
      </c>
      <c r="EZ264" s="528"/>
      <c r="FA264" s="625">
        <f t="shared" si="732"/>
        <v>1.2359950992403822E-2</v>
      </c>
      <c r="FB264" s="460">
        <f t="shared" si="733"/>
        <v>3291.5498812002797</v>
      </c>
      <c r="FC264" s="173">
        <f t="shared" si="734"/>
        <v>9.2098058128378231</v>
      </c>
      <c r="FD264" s="5">
        <f t="shared" si="735"/>
        <v>72.959999999999994</v>
      </c>
      <c r="FE264" s="173">
        <f t="shared" si="736"/>
        <v>0.88791739591285568</v>
      </c>
      <c r="FF264" s="5">
        <f t="shared" si="737"/>
        <v>88.791739591285562</v>
      </c>
      <c r="FG264">
        <f t="shared" si="738"/>
        <v>48</v>
      </c>
      <c r="FI264" s="562">
        <f t="shared" si="689"/>
        <v>-50</v>
      </c>
    </row>
    <row r="265" spans="5:165">
      <c r="E265" s="170">
        <v>49</v>
      </c>
      <c r="F265" s="217">
        <f t="shared" si="773"/>
        <v>4.9000000000000004</v>
      </c>
      <c r="G265" s="217">
        <f t="shared" si="742"/>
        <v>0.1225</v>
      </c>
      <c r="H265" s="217">
        <f t="shared" si="743"/>
        <v>73.5</v>
      </c>
      <c r="I265" s="217">
        <f t="shared" si="744"/>
        <v>0.98</v>
      </c>
      <c r="J265" s="541">
        <f t="shared" si="745"/>
        <v>84.677249154517426</v>
      </c>
      <c r="K265" s="443">
        <f t="shared" si="746"/>
        <v>15.874151764705882</v>
      </c>
      <c r="L265" s="172">
        <f t="shared" si="747"/>
        <v>100.55140091922331</v>
      </c>
      <c r="M265" s="443"/>
      <c r="N265" s="217">
        <f t="shared" si="748"/>
        <v>0.15787101541686308</v>
      </c>
      <c r="O265" s="172">
        <f t="shared" si="749"/>
        <v>329.80468684367708</v>
      </c>
      <c r="P265" s="172">
        <f t="shared" si="750"/>
        <v>4.4560277689101264</v>
      </c>
      <c r="Q265" s="217">
        <f t="shared" si="626"/>
        <v>21.986979122911805</v>
      </c>
      <c r="R265" s="217">
        <f t="shared" si="751"/>
        <v>41.225585855459634</v>
      </c>
      <c r="S265" s="217">
        <f t="shared" si="752"/>
        <v>15</v>
      </c>
      <c r="T265" s="217">
        <f t="shared" si="753"/>
        <v>11.142958686156877</v>
      </c>
      <c r="U265" s="217">
        <f t="shared" si="630"/>
        <v>1.5791196049588365</v>
      </c>
      <c r="V265" s="217">
        <f t="shared" si="631"/>
        <v>8.4234739730271198</v>
      </c>
      <c r="W265" s="197">
        <f t="shared" si="632"/>
        <v>111.40069422275313</v>
      </c>
      <c r="X265" s="443">
        <f t="shared" si="691"/>
        <v>98.014293361414587</v>
      </c>
      <c r="Z265" s="217">
        <f t="shared" si="633"/>
        <v>10</v>
      </c>
      <c r="AA265" s="173">
        <f t="shared" si="634"/>
        <v>7.5594590362178877</v>
      </c>
      <c r="AB265" s="173">
        <f t="shared" si="754"/>
        <v>4.1552417002457425</v>
      </c>
      <c r="AC265" s="173"/>
      <c r="AD265" s="173">
        <f t="shared" si="636"/>
        <v>7.5594590362178877</v>
      </c>
      <c r="AE265" s="545">
        <f t="shared" si="755"/>
        <v>129.63890607843138</v>
      </c>
      <c r="AF265" s="528">
        <f t="shared" si="756"/>
        <v>4.2106449229156855</v>
      </c>
      <c r="AH265" s="173">
        <f t="shared" si="757"/>
        <v>5.9553897157672786</v>
      </c>
      <c r="AI265" s="173">
        <f t="shared" si="758"/>
        <v>11.142958686156877</v>
      </c>
      <c r="AJ265" s="173">
        <f t="shared" si="759"/>
        <v>2.0466360638199088</v>
      </c>
      <c r="AL265" s="545">
        <f t="shared" si="760"/>
        <v>4900</v>
      </c>
      <c r="AM265" s="460">
        <f t="shared" si="761"/>
        <v>98.014293361414587</v>
      </c>
      <c r="AO265">
        <f t="shared" si="644"/>
        <v>4900</v>
      </c>
      <c r="AP265">
        <f t="shared" si="645"/>
        <v>98.014293361414587</v>
      </c>
      <c r="AR265" s="5">
        <f t="shared" si="774"/>
        <v>10.202593577985956</v>
      </c>
      <c r="AS265" s="5">
        <f t="shared" si="739"/>
        <v>1.5791196049588365</v>
      </c>
      <c r="AT265" s="5">
        <f t="shared" si="740"/>
        <v>8.623473973027119</v>
      </c>
      <c r="AU265" s="173">
        <f t="shared" si="741"/>
        <v>0.15477629221319653</v>
      </c>
      <c r="BA265" s="173">
        <f t="shared" si="692"/>
        <v>2.5309998082502054</v>
      </c>
      <c r="BB265" s="173">
        <f t="shared" si="693"/>
        <v>5.9146047541463345</v>
      </c>
      <c r="BC265" s="173">
        <f t="shared" si="694"/>
        <v>0.14566163865113327</v>
      </c>
      <c r="BD265" s="173"/>
      <c r="BE265" s="528">
        <f t="shared" si="695"/>
        <v>0.12811920058725154</v>
      </c>
      <c r="BF265" s="528">
        <f t="shared" si="762"/>
        <v>2.0591089738244333</v>
      </c>
      <c r="BG265" s="528">
        <f t="shared" si="763"/>
        <v>0.20748951849171163</v>
      </c>
      <c r="BH265" s="528">
        <f t="shared" si="696"/>
        <v>9.9098176846266817E-2</v>
      </c>
      <c r="BI265">
        <f t="shared" si="697"/>
        <v>3.8104762119532842E-2</v>
      </c>
      <c r="BJ265" s="460">
        <f t="shared" si="698"/>
        <v>245.59428061124447</v>
      </c>
      <c r="BK265">
        <f t="shared" si="764"/>
        <v>2.3937881321313772</v>
      </c>
      <c r="BL265" s="460">
        <f t="shared" si="699"/>
        <v>2531.9206318691959</v>
      </c>
      <c r="BM265" s="173">
        <f t="shared" si="765"/>
        <v>3.0441250000000002</v>
      </c>
      <c r="BN265" s="173">
        <f t="shared" si="766"/>
        <v>5.4359374999999995E-2</v>
      </c>
      <c r="BQ265" s="460">
        <f t="shared" si="700"/>
        <v>3098.4843750000005</v>
      </c>
      <c r="BR265" s="528">
        <f t="shared" si="701"/>
        <v>0.1921788008808773</v>
      </c>
      <c r="BS265" s="528">
        <f t="shared" si="702"/>
        <v>1.0494764819331126</v>
      </c>
      <c r="BT265" s="528">
        <f t="shared" si="703"/>
        <v>1.060865648726666E-4</v>
      </c>
      <c r="BU265" s="528">
        <f t="shared" si="704"/>
        <v>1.9710372780703167</v>
      </c>
      <c r="BV265" s="528"/>
      <c r="BW265" s="625">
        <f t="shared" si="705"/>
        <v>1.2169996514348063E-2</v>
      </c>
      <c r="BX265" s="460">
        <f t="shared" si="706"/>
        <v>3224.9686439635275</v>
      </c>
      <c r="BY265" s="173">
        <f t="shared" si="707"/>
        <v>8.855373650832723</v>
      </c>
      <c r="BZ265" s="5">
        <f t="shared" si="708"/>
        <v>74.48</v>
      </c>
      <c r="CA265" s="173">
        <f t="shared" si="709"/>
        <v>0.89373811788573854</v>
      </c>
      <c r="CB265" s="5">
        <f t="shared" si="710"/>
        <v>89.37381178857386</v>
      </c>
      <c r="CC265">
        <f t="shared" si="711"/>
        <v>49.000000000000007</v>
      </c>
      <c r="CE265" s="562">
        <f t="shared" si="767"/>
        <v>-50</v>
      </c>
      <c r="CG265" s="173">
        <f t="shared" si="768"/>
        <v>0.84409136047666333</v>
      </c>
      <c r="CH265" s="173">
        <f t="shared" si="769"/>
        <v>0.1020398968288061</v>
      </c>
      <c r="CI265" s="170">
        <v>49</v>
      </c>
      <c r="CJ265" s="217">
        <f t="shared" si="712"/>
        <v>4.9000000000000004</v>
      </c>
      <c r="CK265" s="217">
        <f t="shared" si="654"/>
        <v>0.1225</v>
      </c>
      <c r="CL265" s="217">
        <f t="shared" si="655"/>
        <v>73.5</v>
      </c>
      <c r="CM265" s="217">
        <f t="shared" si="656"/>
        <v>0.98</v>
      </c>
      <c r="CN265" s="541">
        <f t="shared" si="657"/>
        <v>85</v>
      </c>
      <c r="CO265" s="443">
        <f t="shared" si="770"/>
        <v>15.7</v>
      </c>
      <c r="CP265" s="443">
        <f t="shared" si="771"/>
        <v>100.7</v>
      </c>
      <c r="CQ265" s="443"/>
      <c r="CR265" s="217">
        <f t="shared" si="660"/>
        <v>0.15338645418326693</v>
      </c>
      <c r="CS265" s="172">
        <f t="shared" si="661"/>
        <v>321.65744915076539</v>
      </c>
      <c r="CT265" s="172">
        <f t="shared" si="662"/>
        <v>4.3459495351925632</v>
      </c>
      <c r="CU265" s="217">
        <f t="shared" si="663"/>
        <v>21.443829943384358</v>
      </c>
      <c r="CV265" s="217">
        <f t="shared" si="664"/>
        <v>40.207181143845673</v>
      </c>
      <c r="CW265" s="217">
        <f t="shared" si="665"/>
        <v>15</v>
      </c>
      <c r="CX265" s="217">
        <f t="shared" si="666"/>
        <v>11.425197860962568</v>
      </c>
      <c r="CY265" s="217">
        <f t="shared" si="667"/>
        <v>1.6129691097829508</v>
      </c>
      <c r="CZ265" s="217">
        <f t="shared" si="668"/>
        <v>8.7326353077420897</v>
      </c>
      <c r="DA265" s="197">
        <f t="shared" si="669"/>
        <v>110.43528632903013</v>
      </c>
      <c r="DB265" s="443">
        <f t="shared" si="670"/>
        <v>96.659408154640047</v>
      </c>
      <c r="DD265" s="217">
        <f t="shared" si="671"/>
        <v>9.9999999999999982</v>
      </c>
      <c r="DE265" s="173">
        <f t="shared" si="672"/>
        <v>7.6433121019108263</v>
      </c>
      <c r="DF265" s="173">
        <f t="shared" si="673"/>
        <v>4.1649244760361679</v>
      </c>
      <c r="DG265" s="173"/>
      <c r="DH265" s="173">
        <f t="shared" si="674"/>
        <v>7.6433121019108281</v>
      </c>
      <c r="DI265" s="545">
        <f t="shared" si="675"/>
        <v>128.2166666666667</v>
      </c>
      <c r="DJ265" s="528">
        <f t="shared" si="676"/>
        <v>4.2204568023833167</v>
      </c>
      <c r="DL265" s="173">
        <f t="shared" si="677"/>
        <v>5.9553897157672786</v>
      </c>
      <c r="DM265" s="173">
        <f t="shared" si="678"/>
        <v>11.425197860962568</v>
      </c>
      <c r="DN265" s="173">
        <f t="shared" si="679"/>
        <v>2.2557021192315316</v>
      </c>
      <c r="DP265" s="545">
        <f t="shared" si="680"/>
        <v>4900</v>
      </c>
      <c r="DQ265" s="460">
        <f t="shared" si="681"/>
        <v>96.659408154640047</v>
      </c>
      <c r="DS265">
        <f t="shared" si="682"/>
        <v>4900</v>
      </c>
      <c r="DT265">
        <f t="shared" si="683"/>
        <v>96.659408154640047</v>
      </c>
      <c r="DV265" s="5">
        <f t="shared" si="684"/>
        <v>10.34560441752504</v>
      </c>
      <c r="DW265" s="5">
        <f t="shared" si="685"/>
        <v>1.6129691097829508</v>
      </c>
      <c r="DX265" s="5">
        <f t="shared" si="686"/>
        <v>8.7326353077420897</v>
      </c>
      <c r="DY265" s="173">
        <f t="shared" si="687"/>
        <v>0.15590863952333667</v>
      </c>
      <c r="EA265" s="5">
        <f t="shared" si="713"/>
        <v>52.690324252909733</v>
      </c>
      <c r="EB265" s="5">
        <f t="shared" si="714"/>
        <v>2.4698589493551437</v>
      </c>
      <c r="EC265" s="5">
        <f t="shared" si="715"/>
        <v>2.6038486617405416</v>
      </c>
      <c r="ED265" s="5"/>
      <c r="EE265" s="173">
        <f t="shared" si="716"/>
        <v>2.6045829511407845</v>
      </c>
      <c r="EF265" s="173">
        <f t="shared" si="717"/>
        <v>6.0603517256020689</v>
      </c>
      <c r="EG265" s="173">
        <f t="shared" si="718"/>
        <v>0.14925101504619998</v>
      </c>
      <c r="EH265" s="173"/>
      <c r="EI265" s="528">
        <f t="shared" si="719"/>
        <v>0.13567704698746477</v>
      </c>
      <c r="EJ265" s="528">
        <f t="shared" si="720"/>
        <v>2.2241666666666671</v>
      </c>
      <c r="EK265" s="528">
        <f t="shared" si="721"/>
        <v>1.2082426019330007E-2</v>
      </c>
      <c r="EL265" s="528">
        <f t="shared" si="722"/>
        <v>9.8017376179804591E-2</v>
      </c>
      <c r="EM265">
        <f t="shared" si="723"/>
        <v>3.8249999999999999E-2</v>
      </c>
      <c r="EN265" s="460">
        <f t="shared" si="724"/>
        <v>50.332426019330008</v>
      </c>
      <c r="EP265" s="460">
        <f t="shared" si="725"/>
        <v>2508.1935158532665</v>
      </c>
      <c r="EQ265" s="173">
        <f t="shared" si="726"/>
        <v>3.43</v>
      </c>
      <c r="ER265" s="173">
        <f t="shared" si="772"/>
        <v>5.4359374999999995E-2</v>
      </c>
      <c r="ES265" s="528"/>
      <c r="EU265" s="460">
        <f t="shared" si="727"/>
        <v>3484.3593750000005</v>
      </c>
      <c r="EV265" s="528">
        <f t="shared" si="728"/>
        <v>0.20351557048119714</v>
      </c>
      <c r="EW265" s="528">
        <f t="shared" si="729"/>
        <v>1.1018358911402393</v>
      </c>
      <c r="EX265" s="528">
        <f t="shared" si="730"/>
        <v>1.1137932746160507E-4</v>
      </c>
      <c r="EY265" s="528">
        <f t="shared" si="731"/>
        <v>2.0264675705467892</v>
      </c>
      <c r="EZ265" s="528"/>
      <c r="FA265" s="625">
        <f t="shared" si="732"/>
        <v>1.2617449971412238E-2</v>
      </c>
      <c r="FB265" s="460">
        <f t="shared" si="733"/>
        <v>3344.5478614670992</v>
      </c>
      <c r="FC265" s="173">
        <f t="shared" si="734"/>
        <v>9.3371007523203655</v>
      </c>
      <c r="FD265" s="5">
        <f t="shared" si="735"/>
        <v>74.48</v>
      </c>
      <c r="FE265" s="173">
        <f t="shared" si="736"/>
        <v>0.88860148265075989</v>
      </c>
      <c r="FF265" s="5">
        <f t="shared" si="737"/>
        <v>88.860148265075992</v>
      </c>
      <c r="FG265">
        <f t="shared" si="738"/>
        <v>49.000000000000007</v>
      </c>
      <c r="FI265" s="562">
        <f t="shared" si="689"/>
        <v>-50</v>
      </c>
    </row>
    <row r="266" spans="5:165">
      <c r="E266" s="170">
        <v>50</v>
      </c>
      <c r="F266" s="217">
        <f t="shared" si="773"/>
        <v>5</v>
      </c>
      <c r="G266" s="217">
        <f t="shared" si="742"/>
        <v>0.125</v>
      </c>
      <c r="H266" s="217">
        <f t="shared" si="743"/>
        <v>75</v>
      </c>
      <c r="I266" s="217">
        <f t="shared" si="744"/>
        <v>1</v>
      </c>
      <c r="J266" s="541">
        <f t="shared" si="745"/>
        <v>84.670662402568794</v>
      </c>
      <c r="K266" s="443">
        <f t="shared" si="746"/>
        <v>15.87770588235294</v>
      </c>
      <c r="L266" s="172">
        <f t="shared" si="747"/>
        <v>100.54836828492174</v>
      </c>
      <c r="M266" s="443"/>
      <c r="N266" s="217">
        <f t="shared" si="748"/>
        <v>0.15791112429950757</v>
      </c>
      <c r="O266" s="172">
        <f t="shared" si="749"/>
        <v>329.8628164927718</v>
      </c>
      <c r="P266" s="172">
        <f t="shared" si="750"/>
        <v>4.4568131650578939</v>
      </c>
      <c r="Q266" s="217">
        <f t="shared" si="626"/>
        <v>21.990854432851453</v>
      </c>
      <c r="R266" s="217">
        <f t="shared" si="751"/>
        <v>41.232852061596475</v>
      </c>
      <c r="S266" s="217">
        <f t="shared" si="752"/>
        <v>15</v>
      </c>
      <c r="T266" s="217">
        <f t="shared" si="753"/>
        <v>11.36836227820838</v>
      </c>
      <c r="U266" s="217">
        <f t="shared" si="630"/>
        <v>1.6111879069740425</v>
      </c>
      <c r="V266" s="217">
        <f t="shared" si="631"/>
        <v>8.5919432158094775</v>
      </c>
      <c r="W266" s="197">
        <f t="shared" si="632"/>
        <v>111.42032912644736</v>
      </c>
      <c r="X266" s="443">
        <f t="shared" si="691"/>
        <v>96.124905876648654</v>
      </c>
      <c r="Z266" s="217">
        <f t="shared" si="633"/>
        <v>10</v>
      </c>
      <c r="AA266" s="173">
        <f t="shared" si="634"/>
        <v>7.5577669021676721</v>
      </c>
      <c r="AB266" s="173">
        <f t="shared" si="754"/>
        <v>4.155043794574798</v>
      </c>
      <c r="AC266" s="173"/>
      <c r="AD266" s="173">
        <f t="shared" si="636"/>
        <v>7.5577669021676721</v>
      </c>
      <c r="AE266" s="545">
        <f t="shared" si="755"/>
        <v>132.31421568627448</v>
      </c>
      <c r="AF266" s="528">
        <f t="shared" si="756"/>
        <v>4.210444378502463</v>
      </c>
      <c r="AH266" s="173">
        <f t="shared" si="757"/>
        <v>6.0158520751823836</v>
      </c>
      <c r="AI266" s="173">
        <f t="shared" si="758"/>
        <v>11.36836227820838</v>
      </c>
      <c r="AJ266" s="173">
        <f t="shared" si="759"/>
        <v>2.2136016875617628</v>
      </c>
      <c r="AL266" s="545">
        <f t="shared" si="760"/>
        <v>5000</v>
      </c>
      <c r="AM266" s="460">
        <f t="shared" si="761"/>
        <v>96.124905876648654</v>
      </c>
      <c r="AO266">
        <f t="shared" si="644"/>
        <v>5000</v>
      </c>
      <c r="AP266">
        <f t="shared" si="645"/>
        <v>96.124905876648654</v>
      </c>
      <c r="AR266" s="5">
        <f t="shared" si="774"/>
        <v>10.403131122783519</v>
      </c>
      <c r="AS266" s="5">
        <f t="shared" si="739"/>
        <v>1.6111879069740425</v>
      </c>
      <c r="AT266" s="5">
        <f t="shared" si="740"/>
        <v>8.7919432158094768</v>
      </c>
      <c r="AU266" s="173">
        <f t="shared" si="741"/>
        <v>0.15487528590747437</v>
      </c>
      <c r="BA266" s="173">
        <f t="shared" si="692"/>
        <v>2.5830233855378082</v>
      </c>
      <c r="BB266" s="173">
        <f t="shared" si="693"/>
        <v>6.0338940289524929</v>
      </c>
      <c r="BC266" s="173">
        <f t="shared" si="694"/>
        <v>0.14859942941890847</v>
      </c>
      <c r="BD266" s="173"/>
      <c r="BE266" s="528">
        <f t="shared" si="695"/>
        <v>0.13344019620470401</v>
      </c>
      <c r="BF266" s="528">
        <f t="shared" si="762"/>
        <v>2.0602035525192353</v>
      </c>
      <c r="BG266" s="528">
        <f t="shared" si="763"/>
        <v>0.20347398634901048</v>
      </c>
      <c r="BH266" s="528">
        <f t="shared" si="696"/>
        <v>9.7182033422791025E-2</v>
      </c>
      <c r="BI266">
        <f t="shared" si="697"/>
        <v>3.8101798081155956E-2</v>
      </c>
      <c r="BJ266" s="460">
        <f t="shared" si="698"/>
        <v>241.57578443016644</v>
      </c>
      <c r="BK266">
        <f t="shared" si="764"/>
        <v>2.403044086559206</v>
      </c>
      <c r="BL266" s="460">
        <f t="shared" si="699"/>
        <v>2532.4015665768966</v>
      </c>
      <c r="BM266" s="173">
        <f t="shared" si="765"/>
        <v>3.1062499999999997</v>
      </c>
      <c r="BN266" s="173">
        <f t="shared" si="766"/>
        <v>5.5468749999999997E-2</v>
      </c>
      <c r="BQ266" s="460">
        <f t="shared" si="700"/>
        <v>3161.71875</v>
      </c>
      <c r="BR266" s="528">
        <f t="shared" si="701"/>
        <v>0.20016029430705601</v>
      </c>
      <c r="BS266" s="528">
        <f t="shared" si="702"/>
        <v>1.0922363145788565</v>
      </c>
      <c r="BT266" s="528">
        <f t="shared" si="703"/>
        <v>1.104089521181258E-4</v>
      </c>
      <c r="BU266" s="528">
        <f t="shared" si="704"/>
        <v>1.9738065484429954</v>
      </c>
      <c r="BV266" s="528"/>
      <c r="BW266" s="625">
        <f t="shared" si="705"/>
        <v>1.2423150238445823E-2</v>
      </c>
      <c r="BX266" s="460">
        <f t="shared" si="706"/>
        <v>3278.7367165194714</v>
      </c>
      <c r="BY266" s="173">
        <f t="shared" si="707"/>
        <v>8.9728570330963695</v>
      </c>
      <c r="BZ266" s="5">
        <f t="shared" si="708"/>
        <v>76</v>
      </c>
      <c r="CA266" s="173">
        <f t="shared" si="709"/>
        <v>0.89440325597618187</v>
      </c>
      <c r="CB266" s="5">
        <f t="shared" si="710"/>
        <v>89.440325597618184</v>
      </c>
      <c r="CC266">
        <f t="shared" si="711"/>
        <v>50</v>
      </c>
      <c r="CE266" s="562">
        <f t="shared" si="767"/>
        <v>-50</v>
      </c>
      <c r="CG266" s="173">
        <f t="shared" si="768"/>
        <v>0.84409136047666333</v>
      </c>
      <c r="CH266" s="173">
        <f t="shared" si="769"/>
        <v>0.10203989682880611</v>
      </c>
      <c r="CI266" s="170">
        <v>50</v>
      </c>
      <c r="CJ266" s="217">
        <f t="shared" si="712"/>
        <v>5</v>
      </c>
      <c r="CK266" s="217">
        <f t="shared" si="654"/>
        <v>0.125</v>
      </c>
      <c r="CL266" s="217">
        <f t="shared" si="655"/>
        <v>75</v>
      </c>
      <c r="CM266" s="217">
        <f t="shared" si="656"/>
        <v>1</v>
      </c>
      <c r="CN266" s="541">
        <f t="shared" si="657"/>
        <v>85</v>
      </c>
      <c r="CO266" s="443">
        <f t="shared" si="770"/>
        <v>15.7</v>
      </c>
      <c r="CP266" s="443">
        <f t="shared" si="771"/>
        <v>100.7</v>
      </c>
      <c r="CQ266" s="443"/>
      <c r="CR266" s="217">
        <f t="shared" si="660"/>
        <v>0.15338645418326693</v>
      </c>
      <c r="CS266" s="172">
        <f t="shared" si="661"/>
        <v>321.65744915076539</v>
      </c>
      <c r="CT266" s="172">
        <f t="shared" si="662"/>
        <v>4.3459495351925632</v>
      </c>
      <c r="CU266" s="217">
        <f t="shared" si="663"/>
        <v>21.443829943384358</v>
      </c>
      <c r="CV266" s="217">
        <f t="shared" si="664"/>
        <v>40.207181143845673</v>
      </c>
      <c r="CW266" s="217">
        <f t="shared" si="665"/>
        <v>15</v>
      </c>
      <c r="CX266" s="217">
        <f t="shared" si="666"/>
        <v>11.658365164247517</v>
      </c>
      <c r="CY266" s="217">
        <f t="shared" si="667"/>
        <v>1.6458868467172965</v>
      </c>
      <c r="CZ266" s="217">
        <f t="shared" si="668"/>
        <v>8.9108523548388661</v>
      </c>
      <c r="DA266" s="197">
        <f t="shared" si="669"/>
        <v>110.43528632903013</v>
      </c>
      <c r="DB266" s="443">
        <f t="shared" si="670"/>
        <v>94.726219991547268</v>
      </c>
      <c r="DD266" s="217">
        <f t="shared" si="671"/>
        <v>9.9999999999999982</v>
      </c>
      <c r="DE266" s="173">
        <f t="shared" si="672"/>
        <v>7.6433121019108263</v>
      </c>
      <c r="DF266" s="173">
        <f t="shared" si="673"/>
        <v>4.1649244760361679</v>
      </c>
      <c r="DG266" s="173"/>
      <c r="DH266" s="173">
        <f t="shared" si="674"/>
        <v>7.6433121019108281</v>
      </c>
      <c r="DI266" s="545">
        <f t="shared" si="675"/>
        <v>130.83333333333334</v>
      </c>
      <c r="DJ266" s="528">
        <f t="shared" si="676"/>
        <v>4.2204568023833167</v>
      </c>
      <c r="DL266" s="173">
        <f t="shared" si="677"/>
        <v>6.0158520751823836</v>
      </c>
      <c r="DM266" s="173">
        <f t="shared" si="678"/>
        <v>11.658365164247517</v>
      </c>
      <c r="DN266" s="173">
        <f t="shared" si="679"/>
        <v>2.4284186401833461</v>
      </c>
      <c r="DP266" s="545">
        <f t="shared" si="680"/>
        <v>5000</v>
      </c>
      <c r="DQ266" s="460">
        <f t="shared" si="681"/>
        <v>94.726219991547268</v>
      </c>
      <c r="DS266">
        <f t="shared" si="682"/>
        <v>5000</v>
      </c>
      <c r="DT266">
        <f t="shared" si="683"/>
        <v>94.726219991547268</v>
      </c>
      <c r="DV266" s="5">
        <f t="shared" si="684"/>
        <v>10.556739201556161</v>
      </c>
      <c r="DW266" s="5">
        <f t="shared" si="685"/>
        <v>1.6458868467172965</v>
      </c>
      <c r="DX266" s="5">
        <f t="shared" si="686"/>
        <v>8.9108523548388643</v>
      </c>
      <c r="DY266" s="173">
        <f t="shared" si="687"/>
        <v>0.15590863952333667</v>
      </c>
      <c r="EA266" s="5">
        <f t="shared" si="713"/>
        <v>54.862894890576555</v>
      </c>
      <c r="EB266" s="5">
        <f t="shared" si="714"/>
        <v>2.5716981979957758</v>
      </c>
      <c r="EC266" s="5">
        <f t="shared" si="715"/>
        <v>2.7112126840280517</v>
      </c>
      <c r="ED266" s="5"/>
      <c r="EE266" s="173">
        <f t="shared" si="716"/>
        <v>2.6577377052456983</v>
      </c>
      <c r="EF266" s="173">
        <f t="shared" si="717"/>
        <v>6.1840323730633351</v>
      </c>
      <c r="EG266" s="173">
        <f t="shared" si="718"/>
        <v>0.15229695412877547</v>
      </c>
      <c r="EH266" s="173"/>
      <c r="EI266" s="528">
        <f t="shared" si="719"/>
        <v>0.14127139419769341</v>
      </c>
      <c r="EJ266" s="528">
        <f t="shared" si="720"/>
        <v>2.2241666666666671</v>
      </c>
      <c r="EK266" s="528">
        <f t="shared" si="721"/>
        <v>1.1840777498943408E-2</v>
      </c>
      <c r="EL266" s="528">
        <f t="shared" si="722"/>
        <v>9.6057028656208521E-2</v>
      </c>
      <c r="EM266">
        <f t="shared" si="723"/>
        <v>3.8249999999999999E-2</v>
      </c>
      <c r="EN266" s="460">
        <f t="shared" si="724"/>
        <v>50.090777498943403</v>
      </c>
      <c r="EP266" s="460">
        <f t="shared" si="725"/>
        <v>2511.5858670195125</v>
      </c>
      <c r="EQ266" s="173">
        <f t="shared" si="726"/>
        <v>3.5</v>
      </c>
      <c r="ER266" s="173">
        <f t="shared" si="772"/>
        <v>5.5468749999999997E-2</v>
      </c>
      <c r="ES266" s="528"/>
      <c r="EU266" s="460">
        <f t="shared" si="727"/>
        <v>3555.46875</v>
      </c>
      <c r="EV266" s="528">
        <f t="shared" si="728"/>
        <v>0.21190709129654009</v>
      </c>
      <c r="EW266" s="528">
        <f t="shared" si="729"/>
        <v>1.1472676917328604</v>
      </c>
      <c r="EX266" s="528">
        <f t="shared" si="730"/>
        <v>1.1597181118451171E-4</v>
      </c>
      <c r="EY266" s="528">
        <f t="shared" si="731"/>
        <v>2.0264675705467927</v>
      </c>
      <c r="EZ266" s="528"/>
      <c r="FA266" s="625">
        <f t="shared" si="732"/>
        <v>1.2874948950420651E-2</v>
      </c>
      <c r="FB266" s="460">
        <f t="shared" si="733"/>
        <v>3398.633274337798</v>
      </c>
      <c r="FC266" s="173">
        <f t="shared" si="734"/>
        <v>9.4656878913573106</v>
      </c>
      <c r="FD266" s="5">
        <f t="shared" si="735"/>
        <v>76</v>
      </c>
      <c r="FE266" s="173">
        <f t="shared" si="736"/>
        <v>0.88924575318003707</v>
      </c>
      <c r="FF266" s="5">
        <f t="shared" si="737"/>
        <v>88.924575318003704</v>
      </c>
      <c r="FG266">
        <f t="shared" si="738"/>
        <v>50</v>
      </c>
      <c r="FI266" s="562">
        <f t="shared" si="689"/>
        <v>-50</v>
      </c>
    </row>
    <row r="267" spans="5:165">
      <c r="E267" s="170">
        <v>51</v>
      </c>
      <c r="F267" s="217">
        <f t="shared" si="773"/>
        <v>5.0999999999999996</v>
      </c>
      <c r="G267" s="217">
        <f t="shared" si="742"/>
        <v>0.1275</v>
      </c>
      <c r="H267" s="217">
        <f t="shared" si="743"/>
        <v>76.5</v>
      </c>
      <c r="I267" s="217">
        <f t="shared" si="744"/>
        <v>1.02</v>
      </c>
      <c r="J267" s="541">
        <f t="shared" si="745"/>
        <v>84.664075650620177</v>
      </c>
      <c r="K267" s="443">
        <f t="shared" si="746"/>
        <v>15.881259999999999</v>
      </c>
      <c r="L267" s="172">
        <f t="shared" si="747"/>
        <v>100.54533565062017</v>
      </c>
      <c r="M267" s="443"/>
      <c r="N267" s="217">
        <f t="shared" si="748"/>
        <v>0.15795123560166902</v>
      </c>
      <c r="O267" s="172">
        <f t="shared" si="749"/>
        <v>329.9209381600815</v>
      </c>
      <c r="P267" s="172">
        <f t="shared" si="750"/>
        <v>4.4575984533628796</v>
      </c>
      <c r="Q267" s="217">
        <f t="shared" si="626"/>
        <v>21.994729210672102</v>
      </c>
      <c r="R267" s="217">
        <f t="shared" si="751"/>
        <v>41.240117270010188</v>
      </c>
      <c r="S267" s="217">
        <f t="shared" si="752"/>
        <v>15</v>
      </c>
      <c r="T267" s="217">
        <f t="shared" si="753"/>
        <v>11.593686721829293</v>
      </c>
      <c r="U267" s="217">
        <f t="shared" si="630"/>
        <v>1.643249980500229</v>
      </c>
      <c r="V267" s="217">
        <f t="shared" si="631"/>
        <v>8.7602772489054086</v>
      </c>
      <c r="W267" s="197">
        <f t="shared" si="632"/>
        <v>111.43996133407197</v>
      </c>
      <c r="X267" s="443">
        <f t="shared" si="691"/>
        <v>94.308240867888387</v>
      </c>
      <c r="Z267" s="217">
        <f t="shared" si="633"/>
        <v>10</v>
      </c>
      <c r="AA267" s="173">
        <f t="shared" si="634"/>
        <v>7.5560755254935703</v>
      </c>
      <c r="AB267" s="173">
        <f t="shared" si="754"/>
        <v>4.1548458769654486</v>
      </c>
      <c r="AC267" s="173"/>
      <c r="AD267" s="173">
        <f t="shared" si="636"/>
        <v>7.5560755254935703</v>
      </c>
      <c r="AE267" s="545">
        <f t="shared" si="755"/>
        <v>134.99070999999995</v>
      </c>
      <c r="AF267" s="528">
        <f t="shared" si="756"/>
        <v>4.2102438219916554</v>
      </c>
      <c r="AH267" s="173">
        <f t="shared" si="757"/>
        <v>6.0757127741760231</v>
      </c>
      <c r="AI267" s="173">
        <f t="shared" si="758"/>
        <v>11.593686721829293</v>
      </c>
      <c r="AJ267" s="173">
        <f t="shared" si="759"/>
        <v>2.3805086828365134</v>
      </c>
      <c r="AL267" s="545">
        <f t="shared" si="760"/>
        <v>5100</v>
      </c>
      <c r="AM267" s="460">
        <f t="shared" si="761"/>
        <v>94.308240867888387</v>
      </c>
      <c r="AO267">
        <f t="shared" si="644"/>
        <v>5100</v>
      </c>
      <c r="AP267">
        <f t="shared" si="645"/>
        <v>94.308240867888387</v>
      </c>
      <c r="AR267" s="5">
        <f t="shared" si="774"/>
        <v>10.603527229405637</v>
      </c>
      <c r="AS267" s="5">
        <f t="shared" si="739"/>
        <v>1.643249980500229</v>
      </c>
      <c r="AT267" s="5">
        <f t="shared" si="740"/>
        <v>8.9602772489054079</v>
      </c>
      <c r="AU267" s="173">
        <f t="shared" si="741"/>
        <v>0.15497201496716848</v>
      </c>
      <c r="BA267" s="173">
        <f t="shared" si="692"/>
        <v>2.6350421920333522</v>
      </c>
      <c r="BB267" s="173">
        <f t="shared" si="693"/>
        <v>6.1531355080840164</v>
      </c>
      <c r="BC267" s="173">
        <f t="shared" si="694"/>
        <v>0.15153604310104951</v>
      </c>
      <c r="BD267" s="173"/>
      <c r="BE267" s="528">
        <f t="shared" si="695"/>
        <v>0.13886894707591868</v>
      </c>
      <c r="BF267" s="528">
        <f t="shared" si="762"/>
        <v>2.0612677348800799</v>
      </c>
      <c r="BG267" s="528">
        <f t="shared" si="763"/>
        <v>0.19961300098289525</v>
      </c>
      <c r="BH267" s="528">
        <f t="shared" si="696"/>
        <v>9.5339638427679466E-2</v>
      </c>
      <c r="BI267">
        <f t="shared" si="697"/>
        <v>3.8098834042779077E-2</v>
      </c>
      <c r="BJ267" s="460">
        <f t="shared" si="698"/>
        <v>237.71183502567433</v>
      </c>
      <c r="BK267">
        <f t="shared" si="764"/>
        <v>2.4125744621455523</v>
      </c>
      <c r="BL267" s="460">
        <f t="shared" si="699"/>
        <v>2533.1881554093525</v>
      </c>
      <c r="BM267" s="173">
        <f t="shared" si="765"/>
        <v>3.1683749999999993</v>
      </c>
      <c r="BN267" s="173">
        <f t="shared" si="766"/>
        <v>5.6578125E-2</v>
      </c>
      <c r="BQ267" s="460">
        <f t="shared" si="700"/>
        <v>3224.9531249999995</v>
      </c>
      <c r="BR267" s="528">
        <f t="shared" si="701"/>
        <v>0.20830342061387799</v>
      </c>
      <c r="BS267" s="528">
        <f t="shared" si="702"/>
        <v>1.1358322974253303</v>
      </c>
      <c r="BT267" s="528">
        <f t="shared" si="703"/>
        <v>1.1481586179361568E-4</v>
      </c>
      <c r="BU267" s="528">
        <f t="shared" si="704"/>
        <v>1.9765054524434476</v>
      </c>
      <c r="BV267" s="528"/>
      <c r="BW267" s="625">
        <f t="shared" si="705"/>
        <v>1.2676307505597379E-2</v>
      </c>
      <c r="BX267" s="460">
        <f t="shared" si="706"/>
        <v>3333.4322938500472</v>
      </c>
      <c r="BY267" s="173">
        <f t="shared" si="707"/>
        <v>9.0915735742593959</v>
      </c>
      <c r="BZ267" s="5">
        <f t="shared" si="708"/>
        <v>77.52</v>
      </c>
      <c r="CA267" s="173">
        <f t="shared" si="709"/>
        <v>0.89503049997741435</v>
      </c>
      <c r="CB267" s="5">
        <f t="shared" si="710"/>
        <v>89.503049997741442</v>
      </c>
      <c r="CC267">
        <f t="shared" si="711"/>
        <v>51</v>
      </c>
      <c r="CE267" s="562">
        <f t="shared" si="767"/>
        <v>-50</v>
      </c>
      <c r="CG267" s="173">
        <f t="shared" si="768"/>
        <v>0.84409136047666333</v>
      </c>
      <c r="CH267" s="173">
        <f t="shared" si="769"/>
        <v>0.10203989682880611</v>
      </c>
      <c r="CI267" s="170">
        <v>51</v>
      </c>
      <c r="CJ267" s="217">
        <f t="shared" si="712"/>
        <v>5.0999999999999996</v>
      </c>
      <c r="CK267" s="217">
        <f t="shared" si="654"/>
        <v>0.1275</v>
      </c>
      <c r="CL267" s="217">
        <f t="shared" si="655"/>
        <v>76.5</v>
      </c>
      <c r="CM267" s="217">
        <f t="shared" si="656"/>
        <v>1.02</v>
      </c>
      <c r="CN267" s="541">
        <f t="shared" si="657"/>
        <v>85</v>
      </c>
      <c r="CO267" s="443">
        <f t="shared" si="770"/>
        <v>15.7</v>
      </c>
      <c r="CP267" s="443">
        <f t="shared" si="771"/>
        <v>100.7</v>
      </c>
      <c r="CQ267" s="443"/>
      <c r="CR267" s="217">
        <f t="shared" si="660"/>
        <v>0.15338645418326693</v>
      </c>
      <c r="CS267" s="172">
        <f t="shared" si="661"/>
        <v>321.65744915076539</v>
      </c>
      <c r="CT267" s="172">
        <f t="shared" si="662"/>
        <v>4.3459495351925632</v>
      </c>
      <c r="CU267" s="217">
        <f t="shared" si="663"/>
        <v>21.443829943384358</v>
      </c>
      <c r="CV267" s="217">
        <f t="shared" si="664"/>
        <v>40.207181143845673</v>
      </c>
      <c r="CW267" s="217">
        <f t="shared" si="665"/>
        <v>15</v>
      </c>
      <c r="CX267" s="217">
        <f t="shared" si="666"/>
        <v>11.891532467532466</v>
      </c>
      <c r="CY267" s="217">
        <f t="shared" si="667"/>
        <v>1.6788045836516423</v>
      </c>
      <c r="CZ267" s="217">
        <f t="shared" si="668"/>
        <v>9.0890694019356442</v>
      </c>
      <c r="DA267" s="197">
        <f t="shared" si="669"/>
        <v>110.43528632903013</v>
      </c>
      <c r="DB267" s="443">
        <f t="shared" si="670"/>
        <v>92.868843128967896</v>
      </c>
      <c r="DD267" s="217">
        <f t="shared" si="671"/>
        <v>9.9999999999999982</v>
      </c>
      <c r="DE267" s="173">
        <f t="shared" si="672"/>
        <v>7.6433121019108263</v>
      </c>
      <c r="DF267" s="173">
        <f t="shared" si="673"/>
        <v>4.1649244760361679</v>
      </c>
      <c r="DG267" s="173"/>
      <c r="DH267" s="173">
        <f t="shared" si="674"/>
        <v>7.6433121019108281</v>
      </c>
      <c r="DI267" s="545">
        <f t="shared" si="675"/>
        <v>133.44999999999999</v>
      </c>
      <c r="DJ267" s="528">
        <f t="shared" si="676"/>
        <v>4.2204568023833167</v>
      </c>
      <c r="DL267" s="173">
        <f t="shared" si="677"/>
        <v>6.0757127741760231</v>
      </c>
      <c r="DM267" s="173">
        <f t="shared" si="678"/>
        <v>11.891532467532466</v>
      </c>
      <c r="DN267" s="173">
        <f t="shared" si="679"/>
        <v>2.6011351611351596</v>
      </c>
      <c r="DP267" s="545">
        <f t="shared" si="680"/>
        <v>5100</v>
      </c>
      <c r="DQ267" s="460">
        <f t="shared" si="681"/>
        <v>92.868843128967896</v>
      </c>
      <c r="DS267">
        <f t="shared" si="682"/>
        <v>5100</v>
      </c>
      <c r="DT267">
        <f t="shared" si="683"/>
        <v>92.868843128967896</v>
      </c>
      <c r="DV267" s="5">
        <f t="shared" si="684"/>
        <v>10.767873985587286</v>
      </c>
      <c r="DW267" s="5">
        <f t="shared" si="685"/>
        <v>1.6788045836516423</v>
      </c>
      <c r="DX267" s="5">
        <f t="shared" si="686"/>
        <v>9.0890694019356442</v>
      </c>
      <c r="DY267" s="173">
        <f t="shared" si="687"/>
        <v>0.15590863952333664</v>
      </c>
      <c r="EA267" s="5">
        <f t="shared" si="713"/>
        <v>57.079355844155835</v>
      </c>
      <c r="EB267" s="5">
        <f t="shared" si="714"/>
        <v>2.6755948051948049</v>
      </c>
      <c r="EC267" s="5">
        <f t="shared" si="715"/>
        <v>2.8207456764627858</v>
      </c>
      <c r="ED267" s="5"/>
      <c r="EE267" s="173">
        <f t="shared" si="716"/>
        <v>2.7108924593506116</v>
      </c>
      <c r="EF267" s="173">
        <f t="shared" si="717"/>
        <v>6.3077130205246013</v>
      </c>
      <c r="EG267" s="173">
        <f t="shared" si="718"/>
        <v>0.15534289321135097</v>
      </c>
      <c r="EH267" s="173"/>
      <c r="EI267" s="528">
        <f t="shared" si="719"/>
        <v>0.14697875852328016</v>
      </c>
      <c r="EJ267" s="528">
        <f t="shared" si="720"/>
        <v>2.2241666666666666</v>
      </c>
      <c r="EK267" s="528">
        <f t="shared" si="721"/>
        <v>1.1608605391120987E-2</v>
      </c>
      <c r="EL267" s="528">
        <f t="shared" si="722"/>
        <v>9.4173557506086775E-2</v>
      </c>
      <c r="EM267">
        <f t="shared" si="723"/>
        <v>3.8249999999999999E-2</v>
      </c>
      <c r="EN267" s="460">
        <f t="shared" si="724"/>
        <v>49.858605391120982</v>
      </c>
      <c r="EP267" s="460">
        <f t="shared" si="725"/>
        <v>2515.1775880871546</v>
      </c>
      <c r="EQ267" s="173">
        <f t="shared" si="726"/>
        <v>3.5699999999999994</v>
      </c>
      <c r="ER267" s="173">
        <f t="shared" si="772"/>
        <v>5.6578125E-2</v>
      </c>
      <c r="ES267" s="528"/>
      <c r="EU267" s="460">
        <f t="shared" si="727"/>
        <v>3626.5781249999995</v>
      </c>
      <c r="EV267" s="528">
        <f t="shared" si="728"/>
        <v>0.22046813778492019</v>
      </c>
      <c r="EW267" s="528">
        <f t="shared" si="729"/>
        <v>1.1936173064788675</v>
      </c>
      <c r="EX267" s="528">
        <f t="shared" si="730"/>
        <v>1.2065707235636596E-4</v>
      </c>
      <c r="EY267" s="528">
        <f t="shared" si="731"/>
        <v>2.0264675705467892</v>
      </c>
      <c r="EZ267" s="528"/>
      <c r="FA267" s="625">
        <f t="shared" si="732"/>
        <v>1.313244792942906E-2</v>
      </c>
      <c r="FB267" s="460">
        <f t="shared" si="733"/>
        <v>3453.8061198123628</v>
      </c>
      <c r="FC267" s="173">
        <f t="shared" si="734"/>
        <v>9.5955618328995165</v>
      </c>
      <c r="FD267" s="5">
        <f t="shared" si="735"/>
        <v>77.52</v>
      </c>
      <c r="FE267" s="173">
        <f t="shared" si="736"/>
        <v>0.88985249442223402</v>
      </c>
      <c r="FF267" s="5">
        <f t="shared" si="737"/>
        <v>88.985249442223406</v>
      </c>
      <c r="FG267">
        <f t="shared" si="738"/>
        <v>51</v>
      </c>
      <c r="FI267" s="562">
        <f t="shared" si="689"/>
        <v>-50</v>
      </c>
    </row>
    <row r="268" spans="5:165">
      <c r="E268" s="170">
        <v>52</v>
      </c>
      <c r="F268" s="217">
        <f t="shared" si="773"/>
        <v>5.2</v>
      </c>
      <c r="G268" s="217">
        <f t="shared" si="742"/>
        <v>0.13</v>
      </c>
      <c r="H268" s="217">
        <f t="shared" si="743"/>
        <v>78</v>
      </c>
      <c r="I268" s="217">
        <f t="shared" si="744"/>
        <v>1.04</v>
      </c>
      <c r="J268" s="541">
        <f t="shared" si="745"/>
        <v>84.657488898671545</v>
      </c>
      <c r="K268" s="443">
        <f t="shared" si="746"/>
        <v>15.884814117647059</v>
      </c>
      <c r="L268" s="172">
        <f t="shared" si="747"/>
        <v>100.5423030163186</v>
      </c>
      <c r="M268" s="443"/>
      <c r="N268" s="217">
        <f t="shared" si="748"/>
        <v>0.15799134932356643</v>
      </c>
      <c r="O268" s="172">
        <f t="shared" si="749"/>
        <v>329.979051844884</v>
      </c>
      <c r="P268" s="172">
        <f t="shared" si="750"/>
        <v>4.4583836338153215</v>
      </c>
      <c r="Q268" s="217">
        <f t="shared" si="626"/>
        <v>21.998603456325601</v>
      </c>
      <c r="R268" s="217">
        <f t="shared" si="751"/>
        <v>41.2473814806105</v>
      </c>
      <c r="S268" s="217">
        <f t="shared" si="752"/>
        <v>15</v>
      </c>
      <c r="T268" s="217">
        <f t="shared" si="753"/>
        <v>11.818932075219449</v>
      </c>
      <c r="U268" s="217">
        <f t="shared" si="630"/>
        <v>1.6753058323332686</v>
      </c>
      <c r="V268" s="217">
        <f t="shared" si="631"/>
        <v>8.9284762070380186</v>
      </c>
      <c r="W268" s="197">
        <f t="shared" si="632"/>
        <v>111.45959084538303</v>
      </c>
      <c r="X268" s="443">
        <f t="shared" si="691"/>
        <v>92.560179051723424</v>
      </c>
      <c r="Z268" s="217">
        <f t="shared" si="633"/>
        <v>10</v>
      </c>
      <c r="AA268" s="173">
        <f t="shared" si="634"/>
        <v>7.5543849056872077</v>
      </c>
      <c r="AB268" s="173">
        <f t="shared" si="754"/>
        <v>4.1546479474166134</v>
      </c>
      <c r="AC268" s="173"/>
      <c r="AD268" s="173">
        <f t="shared" si="636"/>
        <v>7.5543849056872077</v>
      </c>
      <c r="AE268" s="545">
        <f t="shared" si="755"/>
        <v>137.66838901960782</v>
      </c>
      <c r="AF268" s="528">
        <f t="shared" si="756"/>
        <v>4.2100432533821683</v>
      </c>
      <c r="AH268" s="173">
        <f t="shared" si="757"/>
        <v>6.1349894244485244</v>
      </c>
      <c r="AI268" s="173">
        <f t="shared" si="758"/>
        <v>11.818932075219449</v>
      </c>
      <c r="AJ268" s="173">
        <f t="shared" si="759"/>
        <v>2.5473570927551474</v>
      </c>
      <c r="AL268" s="545">
        <f t="shared" si="760"/>
        <v>5200</v>
      </c>
      <c r="AM268" s="460">
        <f t="shared" si="761"/>
        <v>92.560179051723424</v>
      </c>
      <c r="AO268">
        <f t="shared" si="644"/>
        <v>5200</v>
      </c>
      <c r="AP268">
        <f t="shared" si="645"/>
        <v>92.560179051723424</v>
      </c>
      <c r="AR268" s="5">
        <f t="shared" si="774"/>
        <v>10.803782039371287</v>
      </c>
      <c r="AS268" s="5">
        <f t="shared" si="739"/>
        <v>1.6753058323332686</v>
      </c>
      <c r="AT268" s="5">
        <f t="shared" si="740"/>
        <v>9.1284762070380179</v>
      </c>
      <c r="AU268" s="173">
        <f t="shared" si="741"/>
        <v>0.15506660780716389</v>
      </c>
      <c r="BA268" s="173">
        <f t="shared" si="692"/>
        <v>2.687056217120698</v>
      </c>
      <c r="BB268" s="173">
        <f t="shared" si="693"/>
        <v>6.272329233938275</v>
      </c>
      <c r="BC268" s="173">
        <f t="shared" si="694"/>
        <v>0.15447148074169556</v>
      </c>
      <c r="BD268" s="173"/>
      <c r="BE268" s="528">
        <f t="shared" si="695"/>
        <v>0.14440542227933992</v>
      </c>
      <c r="BF268" s="528">
        <f t="shared" si="762"/>
        <v>2.0623032385306819</v>
      </c>
      <c r="BG268" s="528">
        <f t="shared" si="763"/>
        <v>0.19589780826325817</v>
      </c>
      <c r="BH268" s="528">
        <f t="shared" si="696"/>
        <v>9.3566814463553305E-2</v>
      </c>
      <c r="BI268">
        <f t="shared" si="697"/>
        <v>3.8095870004402191E-2</v>
      </c>
      <c r="BJ268" s="460">
        <f t="shared" si="698"/>
        <v>233.99367826766039</v>
      </c>
      <c r="BK268">
        <f t="shared" si="764"/>
        <v>2.4223785102761632</v>
      </c>
      <c r="BL268" s="460">
        <f t="shared" si="699"/>
        <v>2534.269153541235</v>
      </c>
      <c r="BM268" s="173">
        <f t="shared" si="765"/>
        <v>3.2304999999999997</v>
      </c>
      <c r="BN268" s="173">
        <f t="shared" si="766"/>
        <v>5.7687499999999996E-2</v>
      </c>
      <c r="BQ268" s="460">
        <f t="shared" si="700"/>
        <v>3288.1875</v>
      </c>
      <c r="BR268" s="528">
        <f t="shared" si="701"/>
        <v>0.21660813341900986</v>
      </c>
      <c r="BS268" s="528">
        <f t="shared" si="702"/>
        <v>1.1802634205675013</v>
      </c>
      <c r="BT268" s="528">
        <f t="shared" si="703"/>
        <v>1.1930719181266012E-4</v>
      </c>
      <c r="BU268" s="528">
        <f t="shared" si="704"/>
        <v>1.9791379262519821</v>
      </c>
      <c r="BV268" s="528"/>
      <c r="BW268" s="625">
        <f t="shared" si="705"/>
        <v>1.292946811492506E-2</v>
      </c>
      <c r="BX268" s="460">
        <f t="shared" si="706"/>
        <v>3389.0582555452315</v>
      </c>
      <c r="BY268" s="173">
        <f t="shared" si="707"/>
        <v>9.2115149090864641</v>
      </c>
      <c r="BZ268" s="5">
        <f t="shared" si="708"/>
        <v>79.040000000000006</v>
      </c>
      <c r="CA268" s="173">
        <f t="shared" si="709"/>
        <v>0.89562201942282993</v>
      </c>
      <c r="CB268" s="5">
        <f t="shared" si="710"/>
        <v>89.562201942282996</v>
      </c>
      <c r="CC268">
        <f t="shared" si="711"/>
        <v>52</v>
      </c>
      <c r="CE268" s="562">
        <f t="shared" si="767"/>
        <v>-50</v>
      </c>
      <c r="CG268" s="173">
        <f t="shared" si="768"/>
        <v>0.84409136047666333</v>
      </c>
      <c r="CH268" s="173">
        <f t="shared" si="769"/>
        <v>0.1020398968288061</v>
      </c>
      <c r="CI268" s="170">
        <v>52</v>
      </c>
      <c r="CJ268" s="217">
        <f t="shared" si="712"/>
        <v>5.2</v>
      </c>
      <c r="CK268" s="217">
        <f t="shared" si="654"/>
        <v>0.13</v>
      </c>
      <c r="CL268" s="217">
        <f t="shared" si="655"/>
        <v>78</v>
      </c>
      <c r="CM268" s="217">
        <f t="shared" si="656"/>
        <v>1.04</v>
      </c>
      <c r="CN268" s="541">
        <f t="shared" si="657"/>
        <v>85</v>
      </c>
      <c r="CO268" s="443">
        <f t="shared" si="770"/>
        <v>15.7</v>
      </c>
      <c r="CP268" s="443">
        <f t="shared" si="771"/>
        <v>100.7</v>
      </c>
      <c r="CQ268" s="443"/>
      <c r="CR268" s="217">
        <f t="shared" si="660"/>
        <v>0.15338645418326693</v>
      </c>
      <c r="CS268" s="172">
        <f t="shared" si="661"/>
        <v>321.65744915076539</v>
      </c>
      <c r="CT268" s="172">
        <f t="shared" si="662"/>
        <v>4.3459495351925632</v>
      </c>
      <c r="CU268" s="217">
        <f t="shared" si="663"/>
        <v>21.443829943384358</v>
      </c>
      <c r="CV268" s="217">
        <f t="shared" si="664"/>
        <v>40.207181143845673</v>
      </c>
      <c r="CW268" s="217">
        <f t="shared" si="665"/>
        <v>15</v>
      </c>
      <c r="CX268" s="217">
        <f t="shared" si="666"/>
        <v>12.124699770817418</v>
      </c>
      <c r="CY268" s="217">
        <f t="shared" si="667"/>
        <v>1.7117223205859886</v>
      </c>
      <c r="CZ268" s="217">
        <f t="shared" si="668"/>
        <v>9.267286449032424</v>
      </c>
      <c r="DA268" s="197">
        <f t="shared" si="669"/>
        <v>110.43528632903013</v>
      </c>
      <c r="DB268" s="443">
        <f t="shared" si="670"/>
        <v>91.082903838026184</v>
      </c>
      <c r="DD268" s="217">
        <f t="shared" si="671"/>
        <v>9.9999999999999982</v>
      </c>
      <c r="DE268" s="173">
        <f t="shared" si="672"/>
        <v>7.6433121019108263</v>
      </c>
      <c r="DF268" s="173">
        <f t="shared" si="673"/>
        <v>4.1649244760361679</v>
      </c>
      <c r="DG268" s="173"/>
      <c r="DH268" s="173">
        <f t="shared" si="674"/>
        <v>7.6433121019108281</v>
      </c>
      <c r="DI268" s="545">
        <f t="shared" si="675"/>
        <v>136.06666666666669</v>
      </c>
      <c r="DJ268" s="528">
        <f t="shared" si="676"/>
        <v>4.2204568023833167</v>
      </c>
      <c r="DL268" s="173">
        <f t="shared" si="677"/>
        <v>6.1349894244485244</v>
      </c>
      <c r="DM268" s="173">
        <f t="shared" si="678"/>
        <v>12.124699770817418</v>
      </c>
      <c r="DN268" s="173">
        <f t="shared" si="679"/>
        <v>2.7738516820869767</v>
      </c>
      <c r="DP268" s="545">
        <f t="shared" si="680"/>
        <v>5200</v>
      </c>
      <c r="DQ268" s="460">
        <f t="shared" si="681"/>
        <v>91.082903838026184</v>
      </c>
      <c r="DS268">
        <f t="shared" si="682"/>
        <v>5200</v>
      </c>
      <c r="DT268">
        <f t="shared" si="683"/>
        <v>91.082903838026184</v>
      </c>
      <c r="DV268" s="5">
        <f t="shared" si="684"/>
        <v>10.979008769618412</v>
      </c>
      <c r="DW268" s="5">
        <f t="shared" si="685"/>
        <v>1.7117223205859886</v>
      </c>
      <c r="DX268" s="5">
        <f t="shared" si="686"/>
        <v>9.267286449032424</v>
      </c>
      <c r="DY268" s="173">
        <f t="shared" si="687"/>
        <v>0.15590863952333664</v>
      </c>
      <c r="EA268" s="5">
        <f t="shared" si="713"/>
        <v>59.339707113647613</v>
      </c>
      <c r="EB268" s="5">
        <f t="shared" si="714"/>
        <v>2.7815487709522317</v>
      </c>
      <c r="EC268" s="5">
        <f t="shared" si="715"/>
        <v>2.9324476390447423</v>
      </c>
      <c r="ED268" s="5"/>
      <c r="EE268" s="173">
        <f t="shared" si="716"/>
        <v>2.7640472134555263</v>
      </c>
      <c r="EF268" s="173">
        <f t="shared" si="717"/>
        <v>6.4313936679858683</v>
      </c>
      <c r="EG268" s="173">
        <f t="shared" si="718"/>
        <v>0.1583888322939265</v>
      </c>
      <c r="EH268" s="173"/>
      <c r="EI268" s="528">
        <f t="shared" si="719"/>
        <v>0.1527991399642252</v>
      </c>
      <c r="EJ268" s="528">
        <f t="shared" si="720"/>
        <v>2.2241666666666666</v>
      </c>
      <c r="EK268" s="528">
        <f t="shared" si="721"/>
        <v>1.1385362979753273E-2</v>
      </c>
      <c r="EL268" s="528">
        <f t="shared" si="722"/>
        <v>9.2362527554046614E-2</v>
      </c>
      <c r="EM268">
        <f t="shared" si="723"/>
        <v>3.8249999999999999E-2</v>
      </c>
      <c r="EN268" s="460">
        <f t="shared" si="724"/>
        <v>49.635362979753275</v>
      </c>
      <c r="EP268" s="460">
        <f t="shared" si="725"/>
        <v>2518.9636971646914</v>
      </c>
      <c r="EQ268" s="173">
        <f t="shared" si="726"/>
        <v>3.6399999999999997</v>
      </c>
      <c r="ER268" s="173">
        <f t="shared" si="772"/>
        <v>5.7687499999999996E-2</v>
      </c>
      <c r="ES268" s="528"/>
      <c r="EU268" s="460">
        <f t="shared" si="727"/>
        <v>3697.6875</v>
      </c>
      <c r="EV268" s="528">
        <f t="shared" si="728"/>
        <v>0.22919870994633779</v>
      </c>
      <c r="EW268" s="528">
        <f t="shared" si="729"/>
        <v>1.2408847353782615</v>
      </c>
      <c r="EX268" s="528">
        <f t="shared" si="730"/>
        <v>1.2543511097716788E-4</v>
      </c>
      <c r="EY268" s="528">
        <f t="shared" si="731"/>
        <v>2.0264675705467909</v>
      </c>
      <c r="EZ268" s="528"/>
      <c r="FA268" s="625">
        <f t="shared" si="732"/>
        <v>1.3389946908437476E-2</v>
      </c>
      <c r="FB268" s="460">
        <f t="shared" si="733"/>
        <v>3510.0663978908051</v>
      </c>
      <c r="FC268" s="173">
        <f t="shared" si="734"/>
        <v>9.7267175950554972</v>
      </c>
      <c r="FD268" s="5">
        <f t="shared" si="735"/>
        <v>79.040000000000006</v>
      </c>
      <c r="FE268" s="173">
        <f t="shared" si="736"/>
        <v>0.89042382259274522</v>
      </c>
      <c r="FF268" s="5">
        <f t="shared" si="737"/>
        <v>89.042382259274518</v>
      </c>
      <c r="FG268">
        <f t="shared" si="738"/>
        <v>52</v>
      </c>
      <c r="FI268" s="562">
        <f t="shared" si="689"/>
        <v>-50</v>
      </c>
    </row>
    <row r="269" spans="5:165">
      <c r="E269" s="170">
        <v>53</v>
      </c>
      <c r="F269" s="217">
        <f t="shared" si="773"/>
        <v>5.3000000000000007</v>
      </c>
      <c r="G269" s="217">
        <f t="shared" si="742"/>
        <v>0.13250000000000001</v>
      </c>
      <c r="H269" s="217">
        <f t="shared" si="743"/>
        <v>79.500000000000014</v>
      </c>
      <c r="I269" s="217">
        <f t="shared" si="744"/>
        <v>1.06</v>
      </c>
      <c r="J269" s="541">
        <f t="shared" si="745"/>
        <v>84.650902146722927</v>
      </c>
      <c r="K269" s="443">
        <f t="shared" si="746"/>
        <v>15.888368235294116</v>
      </c>
      <c r="L269" s="172">
        <f t="shared" si="747"/>
        <v>100.53927038201704</v>
      </c>
      <c r="M269" s="443"/>
      <c r="N269" s="217">
        <f t="shared" si="748"/>
        <v>0.15803146546541869</v>
      </c>
      <c r="O269" s="172">
        <f t="shared" si="749"/>
        <v>330.0371575464568</v>
      </c>
      <c r="P269" s="172">
        <f t="shared" si="750"/>
        <v>4.4591687064054613</v>
      </c>
      <c r="Q269" s="217">
        <f t="shared" si="626"/>
        <v>22.002477169763786</v>
      </c>
      <c r="R269" s="217">
        <f t="shared" si="751"/>
        <v>41.2546446933071</v>
      </c>
      <c r="S269" s="217">
        <f t="shared" si="752"/>
        <v>15</v>
      </c>
      <c r="T269" s="217">
        <f t="shared" si="753"/>
        <v>12.044098396528188</v>
      </c>
      <c r="U269" s="217">
        <f t="shared" si="630"/>
        <v>1.7073554692639905</v>
      </c>
      <c r="V269" s="217">
        <f t="shared" si="631"/>
        <v>9.096540224771724</v>
      </c>
      <c r="W269" s="197">
        <f t="shared" si="632"/>
        <v>111.47921766013648</v>
      </c>
      <c r="X269" s="443">
        <f t="shared" si="691"/>
        <v>90.876906488855198</v>
      </c>
      <c r="Z269" s="217">
        <f t="shared" si="633"/>
        <v>10</v>
      </c>
      <c r="AA269" s="173">
        <f t="shared" si="634"/>
        <v>7.5526950422406696</v>
      </c>
      <c r="AB269" s="173">
        <f t="shared" si="754"/>
        <v>4.1544500059272105</v>
      </c>
      <c r="AC269" s="173"/>
      <c r="AD269" s="173">
        <f t="shared" si="636"/>
        <v>7.5526950422406696</v>
      </c>
      <c r="AE269" s="545">
        <f t="shared" si="755"/>
        <v>140.34725274509805</v>
      </c>
      <c r="AF269" s="528">
        <f t="shared" si="756"/>
        <v>4.2098426726729059</v>
      </c>
      <c r="AH269" s="173">
        <f t="shared" si="757"/>
        <v>6.1936987948966946</v>
      </c>
      <c r="AI269" s="173">
        <f t="shared" si="758"/>
        <v>12.044098396528188</v>
      </c>
      <c r="AJ269" s="173">
        <f t="shared" si="759"/>
        <v>2.7141469603912505</v>
      </c>
      <c r="AL269" s="545">
        <f t="shared" si="760"/>
        <v>5300.0000000000009</v>
      </c>
      <c r="AM269" s="460">
        <f t="shared" si="761"/>
        <v>90.876906488855198</v>
      </c>
      <c r="AO269">
        <f t="shared" si="644"/>
        <v>5300.0000000000009</v>
      </c>
      <c r="AP269">
        <f t="shared" si="645"/>
        <v>90.876906488855198</v>
      </c>
      <c r="AR269" s="5">
        <f t="shared" si="774"/>
        <v>11.003895694035714</v>
      </c>
      <c r="AS269" s="5">
        <f t="shared" si="739"/>
        <v>1.7073554692639905</v>
      </c>
      <c r="AT269" s="5">
        <f t="shared" si="740"/>
        <v>9.2965402247717233</v>
      </c>
      <c r="AU269" s="173">
        <f t="shared" si="741"/>
        <v>0.15515918332353915</v>
      </c>
      <c r="BA269" s="173">
        <f t="shared" si="692"/>
        <v>2.7390654513517543</v>
      </c>
      <c r="BB269" s="173">
        <f t="shared" si="693"/>
        <v>6.3914752481954817</v>
      </c>
      <c r="BC269" s="173">
        <f t="shared" si="694"/>
        <v>0.15740574336732405</v>
      </c>
      <c r="BD269" s="173"/>
      <c r="BE269" s="528">
        <f t="shared" si="695"/>
        <v>0.1500495909357758</v>
      </c>
      <c r="BF269" s="528">
        <f t="shared" si="762"/>
        <v>2.0633116537749698</v>
      </c>
      <c r="BG269" s="528">
        <f t="shared" si="763"/>
        <v>0.19232030296462427</v>
      </c>
      <c r="BH269" s="528">
        <f t="shared" si="696"/>
        <v>9.1859693784875684E-2</v>
      </c>
      <c r="BI269">
        <f t="shared" si="697"/>
        <v>3.8092905966025319E-2</v>
      </c>
      <c r="BJ269" s="460">
        <f t="shared" si="698"/>
        <v>230.4132089306496</v>
      </c>
      <c r="BK269">
        <f t="shared" si="764"/>
        <v>2.4324557107333895</v>
      </c>
      <c r="BL269" s="460">
        <f t="shared" si="699"/>
        <v>2535.6341474262708</v>
      </c>
      <c r="BM269" s="173">
        <f t="shared" si="765"/>
        <v>3.2926250000000001</v>
      </c>
      <c r="BN269" s="173">
        <f t="shared" si="766"/>
        <v>5.8796874999999998E-2</v>
      </c>
      <c r="BQ269" s="460">
        <f t="shared" si="700"/>
        <v>3351.421875</v>
      </c>
      <c r="BR269" s="528">
        <f t="shared" si="701"/>
        <v>0.22507438640366367</v>
      </c>
      <c r="BS269" s="528">
        <f t="shared" si="702"/>
        <v>1.2255286754488648</v>
      </c>
      <c r="BT269" s="528">
        <f t="shared" si="703"/>
        <v>1.2388284022509939E-4</v>
      </c>
      <c r="BU269" s="528">
        <f t="shared" si="704"/>
        <v>1.9817076183410287</v>
      </c>
      <c r="BV269" s="528"/>
      <c r="BW269" s="625">
        <f t="shared" si="705"/>
        <v>1.318263188044193E-2</v>
      </c>
      <c r="BX269" s="460">
        <f t="shared" si="706"/>
        <v>3445.617194914224</v>
      </c>
      <c r="BY269" s="173">
        <f t="shared" si="707"/>
        <v>9.3326732173404956</v>
      </c>
      <c r="BZ269" s="5">
        <f t="shared" si="708"/>
        <v>80.560000000000016</v>
      </c>
      <c r="CA269" s="173">
        <f t="shared" si="709"/>
        <v>0.89617982330132551</v>
      </c>
      <c r="CB269" s="5">
        <f t="shared" si="710"/>
        <v>89.617982330132548</v>
      </c>
      <c r="CC269">
        <f t="shared" si="711"/>
        <v>53</v>
      </c>
      <c r="CE269" s="562">
        <f t="shared" si="767"/>
        <v>-50</v>
      </c>
      <c r="CG269" s="173">
        <f t="shared" si="768"/>
        <v>0.84409136047666333</v>
      </c>
      <c r="CH269" s="173">
        <f t="shared" si="769"/>
        <v>0.10203989682880608</v>
      </c>
      <c r="CI269" s="170">
        <v>53</v>
      </c>
      <c r="CJ269" s="217">
        <f t="shared" si="712"/>
        <v>5.3000000000000007</v>
      </c>
      <c r="CK269" s="217">
        <f t="shared" si="654"/>
        <v>0.13250000000000001</v>
      </c>
      <c r="CL269" s="217">
        <f t="shared" si="655"/>
        <v>79.500000000000014</v>
      </c>
      <c r="CM269" s="217">
        <f t="shared" si="656"/>
        <v>1.06</v>
      </c>
      <c r="CN269" s="541">
        <f t="shared" si="657"/>
        <v>85</v>
      </c>
      <c r="CO269" s="443">
        <f t="shared" si="770"/>
        <v>15.7</v>
      </c>
      <c r="CP269" s="443">
        <f t="shared" si="771"/>
        <v>100.7</v>
      </c>
      <c r="CQ269" s="443"/>
      <c r="CR269" s="217">
        <f t="shared" si="660"/>
        <v>0.15338645418326693</v>
      </c>
      <c r="CS269" s="172">
        <f t="shared" si="661"/>
        <v>321.65744915076539</v>
      </c>
      <c r="CT269" s="172">
        <f t="shared" si="662"/>
        <v>4.3459495351925632</v>
      </c>
      <c r="CU269" s="217">
        <f t="shared" si="663"/>
        <v>21.443829943384358</v>
      </c>
      <c r="CV269" s="217">
        <f t="shared" si="664"/>
        <v>40.207181143845673</v>
      </c>
      <c r="CW269" s="217">
        <f t="shared" si="665"/>
        <v>15</v>
      </c>
      <c r="CX269" s="217">
        <f t="shared" si="666"/>
        <v>12.357867074102371</v>
      </c>
      <c r="CY269" s="217">
        <f t="shared" si="667"/>
        <v>1.7446400575203349</v>
      </c>
      <c r="CZ269" s="217">
        <f t="shared" si="668"/>
        <v>9.4455034961292021</v>
      </c>
      <c r="DA269" s="197">
        <f t="shared" si="669"/>
        <v>110.43528632903013</v>
      </c>
      <c r="DB269" s="443">
        <f t="shared" si="670"/>
        <v>89.364358482591712</v>
      </c>
      <c r="DD269" s="217">
        <f t="shared" si="671"/>
        <v>9.9999999999999982</v>
      </c>
      <c r="DE269" s="173">
        <f t="shared" si="672"/>
        <v>7.6433121019108263</v>
      </c>
      <c r="DF269" s="173">
        <f t="shared" si="673"/>
        <v>4.1649244760361679</v>
      </c>
      <c r="DG269" s="173"/>
      <c r="DH269" s="173">
        <f t="shared" si="674"/>
        <v>7.6433121019108281</v>
      </c>
      <c r="DI269" s="545">
        <f t="shared" si="675"/>
        <v>138.68333333333337</v>
      </c>
      <c r="DJ269" s="528">
        <f t="shared" si="676"/>
        <v>4.2204568023833167</v>
      </c>
      <c r="DL269" s="173">
        <f t="shared" si="677"/>
        <v>6.1936987948966946</v>
      </c>
      <c r="DM269" s="173">
        <f t="shared" si="678"/>
        <v>12.357867074102371</v>
      </c>
      <c r="DN269" s="173">
        <f t="shared" si="679"/>
        <v>2.946568203038793</v>
      </c>
      <c r="DP269" s="545">
        <f t="shared" si="680"/>
        <v>5300.0000000000009</v>
      </c>
      <c r="DQ269" s="460">
        <f t="shared" si="681"/>
        <v>89.364358482591712</v>
      </c>
      <c r="DS269">
        <f t="shared" si="682"/>
        <v>5300.0000000000009</v>
      </c>
      <c r="DT269">
        <f t="shared" si="683"/>
        <v>89.364358482591712</v>
      </c>
      <c r="DV269" s="5">
        <f t="shared" si="684"/>
        <v>11.190143553649538</v>
      </c>
      <c r="DW269" s="5">
        <f t="shared" si="685"/>
        <v>1.7446400575203349</v>
      </c>
      <c r="DX269" s="5">
        <f t="shared" si="686"/>
        <v>9.4455034961292021</v>
      </c>
      <c r="DY269" s="173">
        <f t="shared" si="687"/>
        <v>0.15590863952333664</v>
      </c>
      <c r="EA269" s="5">
        <f t="shared" si="713"/>
        <v>61.64394869905184</v>
      </c>
      <c r="EB269" s="5">
        <f t="shared" si="714"/>
        <v>2.8895600952680551</v>
      </c>
      <c r="EC269" s="5">
        <f t="shared" si="715"/>
        <v>3.0463185717739214</v>
      </c>
      <c r="ED269" s="5"/>
      <c r="EE269" s="173">
        <f t="shared" si="716"/>
        <v>2.8172019675604409</v>
      </c>
      <c r="EF269" s="173">
        <f t="shared" si="717"/>
        <v>6.5550743154471363</v>
      </c>
      <c r="EG269" s="173">
        <f t="shared" si="718"/>
        <v>0.16143477137650206</v>
      </c>
      <c r="EH269" s="173"/>
      <c r="EI269" s="528">
        <f t="shared" si="719"/>
        <v>0.1587325385205284</v>
      </c>
      <c r="EJ269" s="528">
        <f t="shared" si="720"/>
        <v>2.2241666666666662</v>
      </c>
      <c r="EK269" s="528">
        <f t="shared" si="721"/>
        <v>1.1170544810323963E-2</v>
      </c>
      <c r="EL269" s="528">
        <f t="shared" si="722"/>
        <v>9.0619838354913648E-2</v>
      </c>
      <c r="EM269">
        <f t="shared" si="723"/>
        <v>3.8249999999999999E-2</v>
      </c>
      <c r="EN269" s="460">
        <f t="shared" si="724"/>
        <v>49.420544810323968</v>
      </c>
      <c r="EP269" s="460">
        <f t="shared" si="725"/>
        <v>2522.9395883524321</v>
      </c>
      <c r="EQ269" s="173">
        <f t="shared" si="726"/>
        <v>3.7100000000000004</v>
      </c>
      <c r="ER269" s="173">
        <f t="shared" si="772"/>
        <v>5.8796874999999998E-2</v>
      </c>
      <c r="ES269" s="528"/>
      <c r="EU269" s="460">
        <f t="shared" si="727"/>
        <v>3768.7968750000005</v>
      </c>
      <c r="EV269" s="528">
        <f t="shared" si="728"/>
        <v>0.23809880778079257</v>
      </c>
      <c r="EW269" s="528">
        <f t="shared" si="729"/>
        <v>1.2890699784310422</v>
      </c>
      <c r="EX269" s="528">
        <f t="shared" si="730"/>
        <v>1.3030592704691744E-4</v>
      </c>
      <c r="EY269" s="528">
        <f t="shared" si="731"/>
        <v>2.0264675705467892</v>
      </c>
      <c r="EZ269" s="528"/>
      <c r="FA269" s="625">
        <f t="shared" si="732"/>
        <v>1.3647445887445889E-2</v>
      </c>
      <c r="FB269" s="460">
        <f t="shared" si="733"/>
        <v>3567.4141085731171</v>
      </c>
      <c r="FC269" s="173">
        <f t="shared" si="734"/>
        <v>9.8591505719255501</v>
      </c>
      <c r="FD269" s="5">
        <f t="shared" si="735"/>
        <v>80.560000000000016</v>
      </c>
      <c r="FE269" s="173">
        <f t="shared" si="736"/>
        <v>0.89096169882636855</v>
      </c>
      <c r="FF269" s="5">
        <f t="shared" si="737"/>
        <v>89.096169882636858</v>
      </c>
      <c r="FG269">
        <f t="shared" si="738"/>
        <v>53</v>
      </c>
      <c r="FI269" s="562">
        <f t="shared" si="689"/>
        <v>-50</v>
      </c>
    </row>
    <row r="270" spans="5:165">
      <c r="E270" s="170">
        <v>54</v>
      </c>
      <c r="F270" s="217">
        <f t="shared" si="773"/>
        <v>5.4</v>
      </c>
      <c r="G270" s="217">
        <f t="shared" si="742"/>
        <v>0.13500000000000001</v>
      </c>
      <c r="H270" s="217">
        <f t="shared" si="743"/>
        <v>81</v>
      </c>
      <c r="I270" s="217">
        <f t="shared" si="744"/>
        <v>1.08</v>
      </c>
      <c r="J270" s="541">
        <f t="shared" si="745"/>
        <v>84.644315394774296</v>
      </c>
      <c r="K270" s="443">
        <f t="shared" si="746"/>
        <v>15.891922352941176</v>
      </c>
      <c r="L270" s="172">
        <f t="shared" si="747"/>
        <v>100.53623774771548</v>
      </c>
      <c r="M270" s="443"/>
      <c r="N270" s="217">
        <f t="shared" si="748"/>
        <v>0.15807158402744481</v>
      </c>
      <c r="O270" s="172">
        <f t="shared" si="749"/>
        <v>330.09525526407742</v>
      </c>
      <c r="P270" s="172">
        <f t="shared" si="750"/>
        <v>4.459953671123535</v>
      </c>
      <c r="Q270" s="217">
        <f t="shared" si="626"/>
        <v>22.006350350938494</v>
      </c>
      <c r="R270" s="217">
        <f t="shared" si="751"/>
        <v>41.261906908009678</v>
      </c>
      <c r="S270" s="217">
        <f t="shared" si="752"/>
        <v>15</v>
      </c>
      <c r="T270" s="217">
        <f t="shared" si="753"/>
        <v>12.269185743854406</v>
      </c>
      <c r="U270" s="217">
        <f t="shared" si="630"/>
        <v>1.7393988980781865</v>
      </c>
      <c r="V270" s="217">
        <f t="shared" si="631"/>
        <v>9.2644694365124707</v>
      </c>
      <c r="W270" s="197">
        <f t="shared" si="632"/>
        <v>111.49884177808839</v>
      </c>
      <c r="X270" s="443">
        <f t="shared" si="691"/>
        <v>89.254886806605441</v>
      </c>
      <c r="Z270" s="217">
        <f t="shared" si="633"/>
        <v>10</v>
      </c>
      <c r="AA270" s="173">
        <f t="shared" si="634"/>
        <v>7.5510059346464882</v>
      </c>
      <c r="AB270" s="173">
        <f t="shared" si="754"/>
        <v>4.1542520524961599</v>
      </c>
      <c r="AC270" s="173"/>
      <c r="AD270" s="173">
        <f t="shared" si="636"/>
        <v>7.5510059346464882</v>
      </c>
      <c r="AE270" s="545">
        <f t="shared" si="755"/>
        <v>143.02730117647059</v>
      </c>
      <c r="AF270" s="528">
        <f t="shared" si="756"/>
        <v>4.2096420798627765</v>
      </c>
      <c r="AH270" s="173">
        <f t="shared" si="757"/>
        <v>6.2518568670207317</v>
      </c>
      <c r="AI270" s="173">
        <f t="shared" si="758"/>
        <v>12.269185743854406</v>
      </c>
      <c r="AJ270" s="173">
        <f t="shared" si="759"/>
        <v>2.8808783287810416</v>
      </c>
      <c r="AL270" s="545">
        <f t="shared" si="760"/>
        <v>5400</v>
      </c>
      <c r="AM270" s="460">
        <f t="shared" si="761"/>
        <v>89.254886806605441</v>
      </c>
      <c r="AO270">
        <f t="shared" si="644"/>
        <v>5400</v>
      </c>
      <c r="AP270">
        <f t="shared" si="645"/>
        <v>89.254886806605441</v>
      </c>
      <c r="AR270" s="5">
        <f t="shared" si="774"/>
        <v>11.203868334590656</v>
      </c>
      <c r="AS270" s="5">
        <f t="shared" si="739"/>
        <v>1.7393988980781865</v>
      </c>
      <c r="AT270" s="5">
        <f t="shared" si="740"/>
        <v>9.46446943651247</v>
      </c>
      <c r="AU270" s="173">
        <f t="shared" si="741"/>
        <v>0.15524985175950276</v>
      </c>
      <c r="BA270" s="173">
        <f t="shared" si="692"/>
        <v>2.7910698863396211</v>
      </c>
      <c r="BB270" s="173">
        <f t="shared" si="693"/>
        <v>6.5105735918812515</v>
      </c>
      <c r="BC270" s="173">
        <f t="shared" si="694"/>
        <v>0.16033883198829121</v>
      </c>
      <c r="BD270" s="173"/>
      <c r="BE270" s="528">
        <f t="shared" si="695"/>
        <v>0.15580142220863732</v>
      </c>
      <c r="BF270" s="528">
        <f t="shared" si="762"/>
        <v>2.0642944551795086</v>
      </c>
      <c r="BG270" s="528">
        <f t="shared" si="763"/>
        <v>0.18887296973457973</v>
      </c>
      <c r="BH270" s="528">
        <f t="shared" si="696"/>
        <v>9.0214690128581007E-2</v>
      </c>
      <c r="BI270">
        <f t="shared" si="697"/>
        <v>3.8089941927648432E-2</v>
      </c>
      <c r="BJ270" s="460">
        <f t="shared" si="698"/>
        <v>226.96291166222815</v>
      </c>
      <c r="BK270">
        <f t="shared" si="764"/>
        <v>2.4428057558734801</v>
      </c>
      <c r="BL270" s="460">
        <f t="shared" si="699"/>
        <v>2537.2734791789549</v>
      </c>
      <c r="BM270" s="173">
        <f t="shared" si="765"/>
        <v>3.3547499999999997</v>
      </c>
      <c r="BN270" s="173">
        <f t="shared" si="766"/>
        <v>5.9906250000000001E-2</v>
      </c>
      <c r="BQ270" s="460">
        <f t="shared" si="700"/>
        <v>3414.6562499999995</v>
      </c>
      <c r="BR270" s="528">
        <f t="shared" si="701"/>
        <v>0.23370213331295597</v>
      </c>
      <c r="BS270" s="528">
        <f t="shared" si="702"/>
        <v>1.2716270548590463</v>
      </c>
      <c r="BT270" s="528">
        <f t="shared" si="703"/>
        <v>1.2854270521684739E-4</v>
      </c>
      <c r="BU270" s="528">
        <f t="shared" si="704"/>
        <v>1.984217915285744</v>
      </c>
      <c r="BV270" s="528"/>
      <c r="BW270" s="625">
        <f t="shared" si="705"/>
        <v>1.3435798629697132E-2</v>
      </c>
      <c r="BX270" s="460">
        <f t="shared" si="706"/>
        <v>3503.1114447926607</v>
      </c>
      <c r="BY270" s="173">
        <f t="shared" si="707"/>
        <v>9.4550411739716154</v>
      </c>
      <c r="BZ270" s="5">
        <f t="shared" si="708"/>
        <v>82.08</v>
      </c>
      <c r="CA270" s="173">
        <f t="shared" si="709"/>
        <v>0.89670577461148071</v>
      </c>
      <c r="CB270" s="5">
        <f t="shared" si="710"/>
        <v>89.670577461148071</v>
      </c>
      <c r="CC270">
        <f t="shared" si="711"/>
        <v>54</v>
      </c>
      <c r="CE270" s="562">
        <f t="shared" si="767"/>
        <v>-50</v>
      </c>
      <c r="CG270" s="173">
        <f t="shared" si="768"/>
        <v>0.84409136047666333</v>
      </c>
      <c r="CH270" s="173">
        <f t="shared" si="769"/>
        <v>0.1020398968288061</v>
      </c>
      <c r="CI270" s="170">
        <v>54</v>
      </c>
      <c r="CJ270" s="217">
        <f t="shared" si="712"/>
        <v>5.4</v>
      </c>
      <c r="CK270" s="217">
        <f t="shared" si="654"/>
        <v>0.13500000000000001</v>
      </c>
      <c r="CL270" s="217">
        <f t="shared" si="655"/>
        <v>81</v>
      </c>
      <c r="CM270" s="217">
        <f t="shared" si="656"/>
        <v>1.08</v>
      </c>
      <c r="CN270" s="541">
        <f t="shared" si="657"/>
        <v>85</v>
      </c>
      <c r="CO270" s="443">
        <f t="shared" si="770"/>
        <v>15.7</v>
      </c>
      <c r="CP270" s="443">
        <f t="shared" si="771"/>
        <v>100.7</v>
      </c>
      <c r="CQ270" s="443"/>
      <c r="CR270" s="217">
        <f t="shared" si="660"/>
        <v>0.15338645418326693</v>
      </c>
      <c r="CS270" s="172">
        <f t="shared" si="661"/>
        <v>321.65744915076539</v>
      </c>
      <c r="CT270" s="172">
        <f t="shared" si="662"/>
        <v>4.3459495351925632</v>
      </c>
      <c r="CU270" s="217">
        <f t="shared" si="663"/>
        <v>21.443829943384358</v>
      </c>
      <c r="CV270" s="217">
        <f t="shared" si="664"/>
        <v>40.207181143845673</v>
      </c>
      <c r="CW270" s="217">
        <f t="shared" si="665"/>
        <v>15</v>
      </c>
      <c r="CX270" s="217">
        <f t="shared" si="666"/>
        <v>12.591034377387318</v>
      </c>
      <c r="CY270" s="217">
        <f t="shared" si="667"/>
        <v>1.7775577944546803</v>
      </c>
      <c r="CZ270" s="217">
        <f t="shared" si="668"/>
        <v>9.6237205432259767</v>
      </c>
      <c r="DA270" s="197">
        <f t="shared" si="669"/>
        <v>110.43528632903013</v>
      </c>
      <c r="DB270" s="443">
        <f t="shared" si="670"/>
        <v>87.709462955136345</v>
      </c>
      <c r="DD270" s="217">
        <f t="shared" si="671"/>
        <v>9.9999999999999982</v>
      </c>
      <c r="DE270" s="173">
        <f t="shared" si="672"/>
        <v>7.6433121019108263</v>
      </c>
      <c r="DF270" s="173">
        <f t="shared" si="673"/>
        <v>4.1649244760361679</v>
      </c>
      <c r="DG270" s="173"/>
      <c r="DH270" s="173">
        <f t="shared" si="674"/>
        <v>7.6433121019108281</v>
      </c>
      <c r="DI270" s="545">
        <f t="shared" si="675"/>
        <v>141.30000000000004</v>
      </c>
      <c r="DJ270" s="528">
        <f t="shared" si="676"/>
        <v>4.2204568023833167</v>
      </c>
      <c r="DL270" s="173">
        <f t="shared" si="677"/>
        <v>6.2518568670207317</v>
      </c>
      <c r="DM270" s="173">
        <f t="shared" si="678"/>
        <v>12.591034377387318</v>
      </c>
      <c r="DN270" s="173">
        <f t="shared" si="679"/>
        <v>3.1192847239906065</v>
      </c>
      <c r="DP270" s="545">
        <f t="shared" si="680"/>
        <v>5400</v>
      </c>
      <c r="DQ270" s="460">
        <f t="shared" si="681"/>
        <v>87.709462955136345</v>
      </c>
      <c r="DS270">
        <f t="shared" si="682"/>
        <v>5400</v>
      </c>
      <c r="DT270">
        <f t="shared" si="683"/>
        <v>87.709462955136345</v>
      </c>
      <c r="DV270" s="5">
        <f t="shared" si="684"/>
        <v>11.401278337680656</v>
      </c>
      <c r="DW270" s="5">
        <f t="shared" si="685"/>
        <v>1.7775577944546803</v>
      </c>
      <c r="DX270" s="5">
        <f t="shared" si="686"/>
        <v>9.6237205432259767</v>
      </c>
      <c r="DY270" s="173">
        <f t="shared" si="687"/>
        <v>0.15590863952333664</v>
      </c>
      <c r="EA270" s="5">
        <f t="shared" si="713"/>
        <v>63.992080600368496</v>
      </c>
      <c r="EB270" s="5">
        <f t="shared" si="714"/>
        <v>2.9996287781422732</v>
      </c>
      <c r="EC270" s="5">
        <f t="shared" si="715"/>
        <v>3.1623584746503202</v>
      </c>
      <c r="ED270" s="5"/>
      <c r="EE270" s="173">
        <f t="shared" si="716"/>
        <v>2.8703567216653538</v>
      </c>
      <c r="EF270" s="173">
        <f t="shared" si="717"/>
        <v>6.6787549629084015</v>
      </c>
      <c r="EG270" s="173">
        <f t="shared" si="718"/>
        <v>0.16448071045907753</v>
      </c>
      <c r="EH270" s="173"/>
      <c r="EI270" s="528">
        <f t="shared" si="719"/>
        <v>0.16477895419218958</v>
      </c>
      <c r="EJ270" s="528">
        <f t="shared" si="720"/>
        <v>2.2241666666666666</v>
      </c>
      <c r="EK270" s="528">
        <f t="shared" si="721"/>
        <v>1.0963682869392043E-2</v>
      </c>
      <c r="EL270" s="528">
        <f t="shared" si="722"/>
        <v>8.8941693200193059E-2</v>
      </c>
      <c r="EM270">
        <f t="shared" si="723"/>
        <v>3.8249999999999999E-2</v>
      </c>
      <c r="EN270" s="460">
        <f t="shared" si="724"/>
        <v>49.213682869392038</v>
      </c>
      <c r="EP270" s="460">
        <f t="shared" si="725"/>
        <v>2527.1009969284414</v>
      </c>
      <c r="EQ270" s="173">
        <f t="shared" si="726"/>
        <v>3.78</v>
      </c>
      <c r="ER270" s="173">
        <f t="shared" si="772"/>
        <v>5.9906250000000001E-2</v>
      </c>
      <c r="ES270" s="528"/>
      <c r="EU270" s="460">
        <f t="shared" si="727"/>
        <v>3839.90625</v>
      </c>
      <c r="EV270" s="528">
        <f t="shared" si="728"/>
        <v>0.24716843128828433</v>
      </c>
      <c r="EW270" s="528">
        <f t="shared" si="729"/>
        <v>1.3381730356372081</v>
      </c>
      <c r="EX270" s="528">
        <f t="shared" si="730"/>
        <v>1.3526952056561449E-4</v>
      </c>
      <c r="EY270" s="528">
        <f t="shared" si="731"/>
        <v>2.0264675705467892</v>
      </c>
      <c r="EZ270" s="528"/>
      <c r="FA270" s="625">
        <f t="shared" si="732"/>
        <v>1.39049448664543E-2</v>
      </c>
      <c r="FB270" s="460">
        <f t="shared" si="733"/>
        <v>3625.8492518593016</v>
      </c>
      <c r="FC270" s="173">
        <f t="shared" si="734"/>
        <v>9.9928564987877415</v>
      </c>
      <c r="FD270" s="5">
        <f t="shared" si="735"/>
        <v>82.08</v>
      </c>
      <c r="FE270" s="173">
        <f t="shared" si="736"/>
        <v>0.89146794311829225</v>
      </c>
      <c r="FF270" s="5">
        <f t="shared" si="737"/>
        <v>89.146794311829225</v>
      </c>
      <c r="FG270">
        <f t="shared" si="738"/>
        <v>54</v>
      </c>
      <c r="FI270" s="562">
        <f t="shared" si="689"/>
        <v>-50</v>
      </c>
    </row>
    <row r="271" spans="5:165">
      <c r="E271" s="170">
        <v>55</v>
      </c>
      <c r="F271" s="217">
        <f t="shared" si="773"/>
        <v>5.5</v>
      </c>
      <c r="G271" s="217">
        <f t="shared" si="742"/>
        <v>0.13750000000000001</v>
      </c>
      <c r="H271" s="217">
        <f t="shared" si="743"/>
        <v>82.5</v>
      </c>
      <c r="I271" s="217">
        <f t="shared" si="744"/>
        <v>1.1000000000000001</v>
      </c>
      <c r="J271" s="541">
        <f t="shared" si="745"/>
        <v>84.637728642825678</v>
      </c>
      <c r="K271" s="443">
        <f t="shared" si="746"/>
        <v>15.895476470588235</v>
      </c>
      <c r="L271" s="172">
        <f t="shared" si="747"/>
        <v>100.53320511341391</v>
      </c>
      <c r="M271" s="443"/>
      <c r="N271" s="217">
        <f t="shared" si="748"/>
        <v>0.15811170500986385</v>
      </c>
      <c r="O271" s="172">
        <f t="shared" si="749"/>
        <v>330.15334499702368</v>
      </c>
      <c r="P271" s="172">
        <f t="shared" si="750"/>
        <v>4.4607385279597862</v>
      </c>
      <c r="Q271" s="217">
        <f t="shared" si="626"/>
        <v>22.010222999801577</v>
      </c>
      <c r="R271" s="217">
        <f t="shared" si="751"/>
        <v>41.26916812462796</v>
      </c>
      <c r="S271" s="217">
        <f t="shared" si="752"/>
        <v>15</v>
      </c>
      <c r="T271" s="217">
        <f t="shared" si="753"/>
        <v>12.494194175246617</v>
      </c>
      <c r="U271" s="217">
        <f t="shared" si="630"/>
        <v>1.7714361255566169</v>
      </c>
      <c r="V271" s="217">
        <f t="shared" si="631"/>
        <v>9.4322639765079668</v>
      </c>
      <c r="W271" s="197">
        <f t="shared" si="632"/>
        <v>111.51846319899464</v>
      </c>
      <c r="X271" s="443">
        <f t="shared" si="691"/>
        <v>87.690836399578316</v>
      </c>
      <c r="Z271" s="217">
        <f t="shared" si="633"/>
        <v>10</v>
      </c>
      <c r="AA271" s="173">
        <f t="shared" si="634"/>
        <v>7.5493175823976557</v>
      </c>
      <c r="AB271" s="173">
        <f t="shared" si="754"/>
        <v>4.1540540871223817</v>
      </c>
      <c r="AC271" s="173"/>
      <c r="AD271" s="173">
        <f t="shared" si="636"/>
        <v>7.5493175823976557</v>
      </c>
      <c r="AE271" s="545">
        <f t="shared" si="755"/>
        <v>145.70853431372549</v>
      </c>
      <c r="AF271" s="528">
        <f t="shared" si="756"/>
        <v>4.2094414749506806</v>
      </c>
      <c r="AH271" s="173">
        <f t="shared" si="757"/>
        <v>6.3094788857340509</v>
      </c>
      <c r="AI271" s="173">
        <f t="shared" si="758"/>
        <v>12.494194175246617</v>
      </c>
      <c r="AJ271" s="173">
        <f t="shared" si="759"/>
        <v>3.0475512409234202</v>
      </c>
      <c r="AL271" s="545">
        <f t="shared" si="760"/>
        <v>5500</v>
      </c>
      <c r="AM271" s="460">
        <f t="shared" si="761"/>
        <v>87.690836399578316</v>
      </c>
      <c r="AO271">
        <f t="shared" si="644"/>
        <v>5500</v>
      </c>
      <c r="AP271">
        <f t="shared" si="645"/>
        <v>87.690836399578316</v>
      </c>
      <c r="AR271" s="5">
        <f t="shared" si="774"/>
        <v>11.403700102064583</v>
      </c>
      <c r="AS271" s="5">
        <f t="shared" si="739"/>
        <v>1.7714361255566169</v>
      </c>
      <c r="AT271" s="5">
        <f t="shared" si="740"/>
        <v>9.6322639765079661</v>
      </c>
      <c r="AU271" s="173">
        <f t="shared" si="741"/>
        <v>0.15533871547848818</v>
      </c>
      <c r="BA271" s="173">
        <f t="shared" si="692"/>
        <v>2.8430695146632239</v>
      </c>
      <c r="BB271" s="173">
        <f t="shared" si="693"/>
        <v>6.6296243054224515</v>
      </c>
      <c r="BC271" s="173">
        <f t="shared" si="694"/>
        <v>0.16327074760020785</v>
      </c>
      <c r="BD271" s="173"/>
      <c r="BE271" s="528">
        <f t="shared" si="695"/>
        <v>0.16166088530414757</v>
      </c>
      <c r="BF271" s="528">
        <f t="shared" si="762"/>
        <v>2.0652530119141144</v>
      </c>
      <c r="BG271" s="528">
        <f t="shared" si="763"/>
        <v>0.18554883039124823</v>
      </c>
      <c r="BH271" s="528">
        <f t="shared" si="696"/>
        <v>8.8628473564873439E-2</v>
      </c>
      <c r="BI271">
        <f t="shared" si="697"/>
        <v>3.8086977889271553E-2</v>
      </c>
      <c r="BJ271" s="460">
        <f t="shared" si="698"/>
        <v>223.63580828051977</v>
      </c>
      <c r="BK271">
        <f t="shared" si="764"/>
        <v>2.4534285366070399</v>
      </c>
      <c r="BL271" s="460">
        <f t="shared" si="699"/>
        <v>2539.1781790636551</v>
      </c>
      <c r="BM271" s="173">
        <f t="shared" si="765"/>
        <v>3.4168749999999997</v>
      </c>
      <c r="BN271" s="173">
        <f t="shared" si="766"/>
        <v>6.1015625000000004E-2</v>
      </c>
      <c r="BQ271" s="460">
        <f t="shared" si="700"/>
        <v>3477.8906249999995</v>
      </c>
      <c r="BR271" s="528">
        <f t="shared" si="701"/>
        <v>0.24249132795622136</v>
      </c>
      <c r="BS271" s="528">
        <f t="shared" si="702"/>
        <v>1.3185575529314435</v>
      </c>
      <c r="BT271" s="528">
        <f t="shared" si="703"/>
        <v>1.3328668510965389E-4</v>
      </c>
      <c r="BU271" s="528">
        <f t="shared" si="704"/>
        <v>1.9866719648454982</v>
      </c>
      <c r="BV271" s="528"/>
      <c r="BW271" s="625">
        <f t="shared" si="705"/>
        <v>1.3688968202566506E-2</v>
      </c>
      <c r="BX271" s="460">
        <f t="shared" si="706"/>
        <v>3561.5431006208396</v>
      </c>
      <c r="BY271" s="173">
        <f t="shared" si="707"/>
        <v>9.5786119046844949</v>
      </c>
      <c r="BZ271" s="5">
        <f t="shared" si="708"/>
        <v>83.6</v>
      </c>
      <c r="CA271" s="173">
        <f t="shared" si="709"/>
        <v>0.89720160336276766</v>
      </c>
      <c r="CB271" s="5">
        <f t="shared" si="710"/>
        <v>89.720160336276763</v>
      </c>
      <c r="CC271">
        <f t="shared" si="711"/>
        <v>55.000000000000007</v>
      </c>
      <c r="CE271" s="562">
        <f t="shared" si="767"/>
        <v>-50</v>
      </c>
      <c r="CG271" s="173">
        <f t="shared" si="768"/>
        <v>0.84409136047666333</v>
      </c>
      <c r="CH271" s="173">
        <f t="shared" si="769"/>
        <v>0.10203989682880611</v>
      </c>
      <c r="CI271" s="170">
        <v>55</v>
      </c>
      <c r="CJ271" s="217">
        <f t="shared" si="712"/>
        <v>5.5</v>
      </c>
      <c r="CK271" s="217">
        <f t="shared" si="654"/>
        <v>0.13750000000000001</v>
      </c>
      <c r="CL271" s="217">
        <f t="shared" si="655"/>
        <v>82.5</v>
      </c>
      <c r="CM271" s="217">
        <f t="shared" si="656"/>
        <v>1.1000000000000001</v>
      </c>
      <c r="CN271" s="541">
        <f t="shared" si="657"/>
        <v>85</v>
      </c>
      <c r="CO271" s="443">
        <f t="shared" si="770"/>
        <v>15.7</v>
      </c>
      <c r="CP271" s="443">
        <f t="shared" si="771"/>
        <v>100.7</v>
      </c>
      <c r="CQ271" s="443"/>
      <c r="CR271" s="217">
        <f t="shared" si="660"/>
        <v>0.15338645418326693</v>
      </c>
      <c r="CS271" s="172">
        <f t="shared" si="661"/>
        <v>321.65744915076539</v>
      </c>
      <c r="CT271" s="172">
        <f t="shared" si="662"/>
        <v>4.3459495351925632</v>
      </c>
      <c r="CU271" s="217">
        <f t="shared" si="663"/>
        <v>21.443829943384358</v>
      </c>
      <c r="CV271" s="217">
        <f t="shared" si="664"/>
        <v>40.207181143845673</v>
      </c>
      <c r="CW271" s="217">
        <f t="shared" si="665"/>
        <v>15</v>
      </c>
      <c r="CX271" s="217">
        <f t="shared" si="666"/>
        <v>12.824201680672267</v>
      </c>
      <c r="CY271" s="217">
        <f t="shared" si="667"/>
        <v>1.8104755313890259</v>
      </c>
      <c r="CZ271" s="217">
        <f t="shared" si="668"/>
        <v>9.801937590322753</v>
      </c>
      <c r="DA271" s="197">
        <f t="shared" si="669"/>
        <v>110.43528632903013</v>
      </c>
      <c r="DB271" s="443">
        <f t="shared" si="670"/>
        <v>86.11474544686115</v>
      </c>
      <c r="DD271" s="217">
        <f t="shared" si="671"/>
        <v>9.9999999999999982</v>
      </c>
      <c r="DE271" s="173">
        <f t="shared" si="672"/>
        <v>7.6433121019108263</v>
      </c>
      <c r="DF271" s="173">
        <f t="shared" si="673"/>
        <v>4.1649244760361679</v>
      </c>
      <c r="DG271" s="173"/>
      <c r="DH271" s="173">
        <f t="shared" si="674"/>
        <v>7.6433121019108281</v>
      </c>
      <c r="DI271" s="545">
        <f t="shared" si="675"/>
        <v>143.91666666666669</v>
      </c>
      <c r="DJ271" s="528">
        <f t="shared" si="676"/>
        <v>4.2204568023833167</v>
      </c>
      <c r="DL271" s="173">
        <f t="shared" si="677"/>
        <v>6.3094788857340509</v>
      </c>
      <c r="DM271" s="173">
        <f t="shared" si="678"/>
        <v>12.824201680672267</v>
      </c>
      <c r="DN271" s="173">
        <f t="shared" si="679"/>
        <v>3.2920012449424201</v>
      </c>
      <c r="DP271" s="545">
        <f t="shared" si="680"/>
        <v>5500</v>
      </c>
      <c r="DQ271" s="460">
        <f t="shared" si="681"/>
        <v>86.11474544686115</v>
      </c>
      <c r="DS271">
        <f t="shared" si="682"/>
        <v>5500</v>
      </c>
      <c r="DT271">
        <f t="shared" si="683"/>
        <v>86.11474544686115</v>
      </c>
      <c r="DV271" s="5">
        <f t="shared" si="684"/>
        <v>11.612413121711779</v>
      </c>
      <c r="DW271" s="5">
        <f t="shared" si="685"/>
        <v>1.8104755313890259</v>
      </c>
      <c r="DX271" s="5">
        <f t="shared" si="686"/>
        <v>9.801937590322753</v>
      </c>
      <c r="DY271" s="173">
        <f t="shared" si="687"/>
        <v>0.15590863952333664</v>
      </c>
      <c r="EA271" s="5">
        <f t="shared" si="713"/>
        <v>66.384102817597622</v>
      </c>
      <c r="EB271" s="5">
        <f t="shared" si="714"/>
        <v>3.1117548195748888</v>
      </c>
      <c r="EC271" s="5">
        <f t="shared" si="715"/>
        <v>3.2805673476739434</v>
      </c>
      <c r="ED271" s="5"/>
      <c r="EE271" s="173">
        <f t="shared" si="716"/>
        <v>2.9235114757702676</v>
      </c>
      <c r="EF271" s="173">
        <f t="shared" si="717"/>
        <v>6.8024356103696677</v>
      </c>
      <c r="EG271" s="173">
        <f t="shared" si="718"/>
        <v>0.167526649541653</v>
      </c>
      <c r="EH271" s="173"/>
      <c r="EI271" s="528">
        <f t="shared" si="719"/>
        <v>0.17093838697920893</v>
      </c>
      <c r="EJ271" s="528">
        <f t="shared" si="720"/>
        <v>2.2241666666666666</v>
      </c>
      <c r="EK271" s="528">
        <f t="shared" si="721"/>
        <v>1.0764343180857644E-2</v>
      </c>
      <c r="EL271" s="528">
        <f t="shared" si="722"/>
        <v>8.73245715056441E-2</v>
      </c>
      <c r="EM271">
        <f t="shared" si="723"/>
        <v>3.8249999999999999E-2</v>
      </c>
      <c r="EN271" s="460">
        <f t="shared" si="724"/>
        <v>49.014343180857644</v>
      </c>
      <c r="EP271" s="460">
        <f t="shared" si="725"/>
        <v>2531.4439683323767</v>
      </c>
      <c r="EQ271" s="173">
        <f t="shared" si="726"/>
        <v>3.8499999999999996</v>
      </c>
      <c r="ER271" s="173">
        <f t="shared" si="772"/>
        <v>6.1015625000000004E-2</v>
      </c>
      <c r="ES271" s="528"/>
      <c r="EU271" s="460">
        <f t="shared" si="727"/>
        <v>3911.0156249999995</v>
      </c>
      <c r="EV271" s="528">
        <f t="shared" si="728"/>
        <v>0.2564075804688134</v>
      </c>
      <c r="EW271" s="528">
        <f t="shared" si="729"/>
        <v>1.3881939069967606</v>
      </c>
      <c r="EX271" s="528">
        <f t="shared" si="730"/>
        <v>1.4032589153325912E-4</v>
      </c>
      <c r="EY271" s="528">
        <f t="shared" si="731"/>
        <v>2.0264675705467941</v>
      </c>
      <c r="EZ271" s="528"/>
      <c r="FA271" s="625">
        <f t="shared" si="732"/>
        <v>1.4162443845462712E-2</v>
      </c>
      <c r="FB271" s="460">
        <f t="shared" si="733"/>
        <v>3685.371827749364</v>
      </c>
      <c r="FC271" s="173">
        <f t="shared" si="734"/>
        <v>10.127831421081741</v>
      </c>
      <c r="FD271" s="5">
        <f t="shared" si="735"/>
        <v>83.6</v>
      </c>
      <c r="FE271" s="173">
        <f t="shared" si="736"/>
        <v>0.89194424678854001</v>
      </c>
      <c r="FF271" s="5">
        <f t="shared" si="737"/>
        <v>89.194424678854006</v>
      </c>
      <c r="FG271">
        <f t="shared" si="738"/>
        <v>55.000000000000007</v>
      </c>
      <c r="FI271" s="562">
        <f t="shared" si="689"/>
        <v>-50</v>
      </c>
    </row>
    <row r="272" spans="5:165">
      <c r="E272" s="170">
        <v>56</v>
      </c>
      <c r="F272" s="217">
        <f t="shared" si="773"/>
        <v>5.6000000000000005</v>
      </c>
      <c r="G272" s="217">
        <f t="shared" si="742"/>
        <v>0.14000000000000001</v>
      </c>
      <c r="H272" s="217">
        <f t="shared" si="743"/>
        <v>84.000000000000014</v>
      </c>
      <c r="I272" s="217">
        <f t="shared" si="744"/>
        <v>1.1200000000000001</v>
      </c>
      <c r="J272" s="541">
        <f t="shared" si="745"/>
        <v>84.631141890877046</v>
      </c>
      <c r="K272" s="443">
        <f t="shared" si="746"/>
        <v>15.899030588235293</v>
      </c>
      <c r="L272" s="172">
        <f t="shared" si="747"/>
        <v>100.53017247911234</v>
      </c>
      <c r="M272" s="443"/>
      <c r="N272" s="217">
        <f t="shared" si="748"/>
        <v>0.1581518284128948</v>
      </c>
      <c r="O272" s="172">
        <f t="shared" si="749"/>
        <v>330.21142674457252</v>
      </c>
      <c r="P272" s="172">
        <f t="shared" si="750"/>
        <v>4.4615232769044466</v>
      </c>
      <c r="Q272" s="217">
        <f t="shared" si="626"/>
        <v>22.014095116304834</v>
      </c>
      <c r="R272" s="217">
        <f t="shared" si="751"/>
        <v>41.276428343071565</v>
      </c>
      <c r="S272" s="217">
        <f t="shared" si="752"/>
        <v>15</v>
      </c>
      <c r="T272" s="217">
        <f t="shared" si="753"/>
        <v>12.719123748703023</v>
      </c>
      <c r="U272" s="217">
        <f t="shared" si="630"/>
        <v>1.8034671584750204</v>
      </c>
      <c r="V272" s="217">
        <f t="shared" si="631"/>
        <v>9.5999239788479027</v>
      </c>
      <c r="W272" s="197">
        <f t="shared" si="632"/>
        <v>111.53808192261116</v>
      </c>
      <c r="X272" s="443">
        <f t="shared" si="691"/>
        <v>86.181702242497622</v>
      </c>
      <c r="Z272" s="217">
        <f t="shared" si="633"/>
        <v>10</v>
      </c>
      <c r="AA272" s="173">
        <f t="shared" si="634"/>
        <v>7.5476299849876165</v>
      </c>
      <c r="AB272" s="173">
        <f t="shared" si="754"/>
        <v>4.1538561098047948</v>
      </c>
      <c r="AC272" s="173"/>
      <c r="AD272" s="173">
        <f t="shared" si="636"/>
        <v>7.5476299849876165</v>
      </c>
      <c r="AE272" s="545">
        <f t="shared" si="755"/>
        <v>148.39095215686274</v>
      </c>
      <c r="AF272" s="528">
        <f t="shared" si="756"/>
        <v>4.2092408579355256</v>
      </c>
      <c r="AH272" s="173">
        <f t="shared" si="757"/>
        <v>6.3665794060337717</v>
      </c>
      <c r="AI272" s="173">
        <f t="shared" si="758"/>
        <v>12.719123748703023</v>
      </c>
      <c r="AJ272" s="173">
        <f t="shared" si="759"/>
        <v>3.2141657397800163</v>
      </c>
      <c r="AL272" s="545">
        <f t="shared" si="760"/>
        <v>5600.0000000000009</v>
      </c>
      <c r="AM272" s="460">
        <f t="shared" si="761"/>
        <v>86.181702242497622</v>
      </c>
      <c r="AO272">
        <f t="shared" si="644"/>
        <v>5600.0000000000009</v>
      </c>
      <c r="AP272">
        <f t="shared" si="645"/>
        <v>86.181702242497622</v>
      </c>
      <c r="AR272" s="5">
        <f t="shared" si="774"/>
        <v>11.603391137322923</v>
      </c>
      <c r="AS272" s="5">
        <f t="shared" si="739"/>
        <v>1.8034671584750204</v>
      </c>
      <c r="AT272" s="5">
        <f t="shared" si="740"/>
        <v>9.799923978847902</v>
      </c>
      <c r="AU272" s="173">
        <f t="shared" si="741"/>
        <v>0.15542586965581748</v>
      </c>
      <c r="BA272" s="173">
        <f t="shared" si="692"/>
        <v>2.895064329782032</v>
      </c>
      <c r="BB272" s="173">
        <f t="shared" si="693"/>
        <v>6.7486274286971959</v>
      </c>
      <c r="BC272" s="173">
        <f t="shared" si="694"/>
        <v>0.16620149118517019</v>
      </c>
      <c r="BD272" s="173"/>
      <c r="BE272" s="528">
        <f t="shared" si="695"/>
        <v>0.16762794947152571</v>
      </c>
      <c r="BF272" s="528">
        <f t="shared" si="762"/>
        <v>2.066188597003269</v>
      </c>
      <c r="BG272" s="528">
        <f t="shared" si="763"/>
        <v>0.1823413967720533</v>
      </c>
      <c r="BH272" s="528">
        <f t="shared" si="696"/>
        <v>8.7097947997052158E-2</v>
      </c>
      <c r="BI272">
        <f t="shared" si="697"/>
        <v>3.8084013850894667E-2</v>
      </c>
      <c r="BJ272" s="460">
        <f t="shared" si="698"/>
        <v>220.42541062294796</v>
      </c>
      <c r="BK272">
        <f t="shared" si="764"/>
        <v>2.4643241299647927</v>
      </c>
      <c r="BL272" s="460">
        <f t="shared" si="699"/>
        <v>2541.3399050947946</v>
      </c>
      <c r="BM272" s="173">
        <f t="shared" si="765"/>
        <v>3.4789999999999996</v>
      </c>
      <c r="BN272" s="173">
        <f t="shared" si="766"/>
        <v>6.2125E-2</v>
      </c>
      <c r="BQ272" s="460">
        <f t="shared" si="700"/>
        <v>3541.1249999999995</v>
      </c>
      <c r="BR272" s="528">
        <f t="shared" si="701"/>
        <v>0.25144192420728856</v>
      </c>
      <c r="BS272" s="528">
        <f t="shared" si="702"/>
        <v>1.3663191651409237</v>
      </c>
      <c r="BT272" s="528">
        <f t="shared" si="703"/>
        <v>1.3811467836087103E-4</v>
      </c>
      <c r="BU272" s="528">
        <f t="shared" si="704"/>
        <v>1.9890726966468422</v>
      </c>
      <c r="BV272" s="528"/>
      <c r="BW272" s="625">
        <f t="shared" si="705"/>
        <v>1.3942140450170623E-2</v>
      </c>
      <c r="BX272" s="460">
        <f t="shared" si="706"/>
        <v>3620.9140411235858</v>
      </c>
      <c r="BY272" s="173">
        <f t="shared" si="707"/>
        <v>9.703378946218379</v>
      </c>
      <c r="BZ272" s="5">
        <f t="shared" si="708"/>
        <v>85.120000000000019</v>
      </c>
      <c r="CA272" s="173">
        <f t="shared" si="709"/>
        <v>0.89766891821349348</v>
      </c>
      <c r="CB272" s="5">
        <f t="shared" si="710"/>
        <v>89.766891821349347</v>
      </c>
      <c r="CC272">
        <f t="shared" si="711"/>
        <v>56.000000000000007</v>
      </c>
      <c r="CE272" s="562">
        <f t="shared" si="767"/>
        <v>-50</v>
      </c>
      <c r="CG272" s="173">
        <f t="shared" si="768"/>
        <v>0.84409136047666333</v>
      </c>
      <c r="CH272" s="173">
        <f t="shared" si="769"/>
        <v>0.1020398968288061</v>
      </c>
      <c r="CI272" s="170">
        <v>56</v>
      </c>
      <c r="CJ272" s="217">
        <f t="shared" si="712"/>
        <v>5.6000000000000005</v>
      </c>
      <c r="CK272" s="217">
        <f t="shared" si="654"/>
        <v>0.14000000000000001</v>
      </c>
      <c r="CL272" s="217">
        <f t="shared" si="655"/>
        <v>84.000000000000014</v>
      </c>
      <c r="CM272" s="217">
        <f t="shared" si="656"/>
        <v>1.1200000000000001</v>
      </c>
      <c r="CN272" s="541">
        <f t="shared" si="657"/>
        <v>85</v>
      </c>
      <c r="CO272" s="443">
        <f t="shared" si="770"/>
        <v>15.7</v>
      </c>
      <c r="CP272" s="443">
        <f t="shared" si="771"/>
        <v>100.7</v>
      </c>
      <c r="CQ272" s="443"/>
      <c r="CR272" s="217">
        <f t="shared" si="660"/>
        <v>0.15338645418326693</v>
      </c>
      <c r="CS272" s="172">
        <f t="shared" si="661"/>
        <v>321.65744915076539</v>
      </c>
      <c r="CT272" s="172">
        <f t="shared" si="662"/>
        <v>4.3459495351925632</v>
      </c>
      <c r="CU272" s="217">
        <f t="shared" si="663"/>
        <v>21.443829943384358</v>
      </c>
      <c r="CV272" s="217">
        <f t="shared" si="664"/>
        <v>40.207181143845673</v>
      </c>
      <c r="CW272" s="217">
        <f t="shared" si="665"/>
        <v>15</v>
      </c>
      <c r="CX272" s="217">
        <f t="shared" si="666"/>
        <v>13.057368983957222</v>
      </c>
      <c r="CY272" s="217">
        <f t="shared" si="667"/>
        <v>1.8433932683233725</v>
      </c>
      <c r="CZ272" s="217">
        <f t="shared" si="668"/>
        <v>9.9801546374195329</v>
      </c>
      <c r="DA272" s="197">
        <f t="shared" si="669"/>
        <v>110.43528632903013</v>
      </c>
      <c r="DB272" s="443">
        <f t="shared" si="670"/>
        <v>84.576982135310018</v>
      </c>
      <c r="DD272" s="217">
        <f t="shared" si="671"/>
        <v>9.9999999999999982</v>
      </c>
      <c r="DE272" s="173">
        <f t="shared" si="672"/>
        <v>7.6433121019108263</v>
      </c>
      <c r="DF272" s="173">
        <f t="shared" si="673"/>
        <v>4.1649244760361679</v>
      </c>
      <c r="DG272" s="173"/>
      <c r="DH272" s="173">
        <f t="shared" si="674"/>
        <v>7.6433121019108281</v>
      </c>
      <c r="DI272" s="545">
        <f t="shared" si="675"/>
        <v>146.53333333333336</v>
      </c>
      <c r="DJ272" s="528">
        <f t="shared" si="676"/>
        <v>4.2204568023833167</v>
      </c>
      <c r="DL272" s="173">
        <f t="shared" si="677"/>
        <v>6.3665794060337717</v>
      </c>
      <c r="DM272" s="173">
        <f t="shared" si="678"/>
        <v>13.057368983957222</v>
      </c>
      <c r="DN272" s="173">
        <f t="shared" si="679"/>
        <v>3.4647177658942381</v>
      </c>
      <c r="DP272" s="545">
        <f t="shared" si="680"/>
        <v>5600.0000000000009</v>
      </c>
      <c r="DQ272" s="460">
        <f t="shared" si="681"/>
        <v>84.576982135310018</v>
      </c>
      <c r="DS272">
        <f t="shared" si="682"/>
        <v>5600.0000000000009</v>
      </c>
      <c r="DT272">
        <f t="shared" si="683"/>
        <v>84.576982135310018</v>
      </c>
      <c r="DV272" s="5">
        <f t="shared" si="684"/>
        <v>11.823547905742906</v>
      </c>
      <c r="DW272" s="5">
        <f t="shared" si="685"/>
        <v>1.8433932683233725</v>
      </c>
      <c r="DX272" s="5">
        <f t="shared" si="686"/>
        <v>9.9801546374195329</v>
      </c>
      <c r="DY272" s="173">
        <f t="shared" si="687"/>
        <v>0.15590863952333664</v>
      </c>
      <c r="EA272" s="5">
        <f t="shared" si="713"/>
        <v>68.82001535073924</v>
      </c>
      <c r="EB272" s="5">
        <f t="shared" si="714"/>
        <v>3.2259382195659021</v>
      </c>
      <c r="EC272" s="5">
        <f t="shared" si="715"/>
        <v>3.4009451908447903</v>
      </c>
      <c r="ED272" s="5"/>
      <c r="EE272" s="173">
        <f t="shared" si="716"/>
        <v>2.9766662298751827</v>
      </c>
      <c r="EF272" s="173">
        <f t="shared" si="717"/>
        <v>6.9261162578309365</v>
      </c>
      <c r="EG272" s="173">
        <f t="shared" si="718"/>
        <v>0.17057258862422858</v>
      </c>
      <c r="EH272" s="173"/>
      <c r="EI272" s="528">
        <f t="shared" si="719"/>
        <v>0.17721083688158668</v>
      </c>
      <c r="EJ272" s="528">
        <f t="shared" si="720"/>
        <v>2.2241666666666666</v>
      </c>
      <c r="EK272" s="528">
        <f t="shared" si="721"/>
        <v>1.0572122766913753E-2</v>
      </c>
      <c r="EL272" s="528">
        <f t="shared" si="722"/>
        <v>8.5765204157328981E-2</v>
      </c>
      <c r="EM272">
        <f t="shared" si="723"/>
        <v>3.8249999999999999E-2</v>
      </c>
      <c r="EN272" s="460">
        <f t="shared" si="724"/>
        <v>48.822122766913751</v>
      </c>
      <c r="EP272" s="460">
        <f t="shared" si="725"/>
        <v>2535.9648304724965</v>
      </c>
      <c r="EQ272" s="173">
        <f t="shared" si="726"/>
        <v>3.92</v>
      </c>
      <c r="ER272" s="173">
        <f t="shared" si="772"/>
        <v>6.2125E-2</v>
      </c>
      <c r="ES272" s="528"/>
      <c r="EU272" s="460">
        <f t="shared" si="727"/>
        <v>3982.125</v>
      </c>
      <c r="EV272" s="528">
        <f t="shared" si="728"/>
        <v>0.26581625532238001</v>
      </c>
      <c r="EW272" s="528">
        <f t="shared" si="729"/>
        <v>1.4391325925097005</v>
      </c>
      <c r="EX272" s="528">
        <f t="shared" si="730"/>
        <v>1.4547503994985156E-4</v>
      </c>
      <c r="EY272" s="528">
        <f t="shared" si="731"/>
        <v>2.0264675705467892</v>
      </c>
      <c r="EZ272" s="528"/>
      <c r="FA272" s="625">
        <f t="shared" si="732"/>
        <v>1.4419942824471127E-2</v>
      </c>
      <c r="FB272" s="460">
        <f t="shared" si="733"/>
        <v>3745.9818362432907</v>
      </c>
      <c r="FC272" s="173">
        <f t="shared" si="734"/>
        <v>10.264071666715786</v>
      </c>
      <c r="FD272" s="5">
        <f t="shared" si="735"/>
        <v>85.120000000000019</v>
      </c>
      <c r="FE272" s="173">
        <f t="shared" si="736"/>
        <v>0.89239218364907114</v>
      </c>
      <c r="FF272" s="5">
        <f t="shared" si="737"/>
        <v>89.239218364907117</v>
      </c>
      <c r="FG272">
        <f t="shared" si="738"/>
        <v>56.000000000000007</v>
      </c>
      <c r="FI272" s="562">
        <f t="shared" si="689"/>
        <v>-50</v>
      </c>
    </row>
    <row r="273" spans="5:165">
      <c r="E273" s="170">
        <v>57</v>
      </c>
      <c r="F273" s="217">
        <f t="shared" si="773"/>
        <v>5.6999999999999993</v>
      </c>
      <c r="G273" s="217">
        <f t="shared" si="742"/>
        <v>0.14249999999999999</v>
      </c>
      <c r="H273" s="217">
        <f t="shared" si="743"/>
        <v>85.499999999999986</v>
      </c>
      <c r="I273" s="217">
        <f t="shared" si="744"/>
        <v>1.1399999999999999</v>
      </c>
      <c r="J273" s="541">
        <f t="shared" si="745"/>
        <v>84.624555138928429</v>
      </c>
      <c r="K273" s="443">
        <f t="shared" si="746"/>
        <v>15.902584705882353</v>
      </c>
      <c r="L273" s="172">
        <f t="shared" si="747"/>
        <v>100.52713984481078</v>
      </c>
      <c r="M273" s="443"/>
      <c r="N273" s="217">
        <f t="shared" si="748"/>
        <v>0.15819195423675675</v>
      </c>
      <c r="O273" s="172">
        <f t="shared" si="749"/>
        <v>330.26950050600158</v>
      </c>
      <c r="P273" s="172">
        <f t="shared" si="750"/>
        <v>4.4623079179477552</v>
      </c>
      <c r="Q273" s="217">
        <f t="shared" si="626"/>
        <v>22.017966700400105</v>
      </c>
      <c r="R273" s="217">
        <f t="shared" si="751"/>
        <v>41.283687563250197</v>
      </c>
      <c r="S273" s="217">
        <f t="shared" si="752"/>
        <v>15</v>
      </c>
      <c r="T273" s="217">
        <f t="shared" si="753"/>
        <v>12.943974522171523</v>
      </c>
      <c r="U273" s="217">
        <f t="shared" si="630"/>
        <v>1.8354920036041107</v>
      </c>
      <c r="V273" s="217">
        <f t="shared" si="631"/>
        <v>9.7674495774641397</v>
      </c>
      <c r="W273" s="197">
        <f t="shared" si="632"/>
        <v>111.55769794869384</v>
      </c>
      <c r="X273" s="443">
        <f t="shared" si="691"/>
        <v>84.724641999752478</v>
      </c>
      <c r="Z273" s="217">
        <f t="shared" si="633"/>
        <v>10</v>
      </c>
      <c r="AA273" s="173">
        <f t="shared" si="634"/>
        <v>7.5459431419102643</v>
      </c>
      <c r="AB273" s="173">
        <f t="shared" si="754"/>
        <v>4.1536581205423166</v>
      </c>
      <c r="AC273" s="173"/>
      <c r="AD273" s="173">
        <f t="shared" si="636"/>
        <v>7.5459431419102643</v>
      </c>
      <c r="AE273" s="545">
        <f t="shared" si="755"/>
        <v>151.07455470588232</v>
      </c>
      <c r="AF273" s="528">
        <f t="shared" si="756"/>
        <v>4.2090402288162148</v>
      </c>
      <c r="AH273" s="173">
        <f t="shared" si="757"/>
        <v>6.4231723359367248</v>
      </c>
      <c r="AI273" s="173">
        <f t="shared" si="758"/>
        <v>12.943974522171523</v>
      </c>
      <c r="AJ273" s="173">
        <f t="shared" si="759"/>
        <v>3.3807218682752023</v>
      </c>
      <c r="AL273" s="545">
        <f t="shared" si="760"/>
        <v>5699.9999999999991</v>
      </c>
      <c r="AM273" s="460">
        <f t="shared" si="761"/>
        <v>84.724641999752478</v>
      </c>
      <c r="AO273">
        <f t="shared" si="644"/>
        <v>5699.9999999999991</v>
      </c>
      <c r="AP273">
        <f t="shared" si="645"/>
        <v>84.724641999752478</v>
      </c>
      <c r="AR273" s="5">
        <f t="shared" si="774"/>
        <v>11.80294158106825</v>
      </c>
      <c r="AS273" s="5">
        <f t="shared" si="739"/>
        <v>1.8354920036041107</v>
      </c>
      <c r="AT273" s="5">
        <f t="shared" si="740"/>
        <v>9.967449577464139</v>
      </c>
      <c r="AU273" s="173">
        <f t="shared" si="741"/>
        <v>0.15551140289876667</v>
      </c>
      <c r="BA273" s="173">
        <f t="shared" si="692"/>
        <v>2.9470543259596078</v>
      </c>
      <c r="BB273" s="173">
        <f t="shared" si="693"/>
        <v>6.8675830010796322</v>
      </c>
      <c r="BC273" s="173">
        <f t="shared" si="694"/>
        <v>0.16913106371286313</v>
      </c>
      <c r="BD273" s="173"/>
      <c r="BE273" s="528">
        <f t="shared" si="695"/>
        <v>0.17370258400314476</v>
      </c>
      <c r="BF273" s="528">
        <f t="shared" si="762"/>
        <v>2.0671023956198722</v>
      </c>
      <c r="BG273" s="528">
        <f t="shared" si="763"/>
        <v>0.1792446284633506</v>
      </c>
      <c r="BH273" s="528">
        <f t="shared" si="696"/>
        <v>8.5620230990446924E-2</v>
      </c>
      <c r="BI273">
        <f t="shared" si="697"/>
        <v>3.8081049812517795E-2</v>
      </c>
      <c r="BJ273" s="460">
        <f t="shared" si="698"/>
        <v>217.3256782758684</v>
      </c>
      <c r="BK273">
        <f t="shared" si="764"/>
        <v>2.4754927880609521</v>
      </c>
      <c r="BL273" s="460">
        <f t="shared" si="699"/>
        <v>2543.7508888893321</v>
      </c>
      <c r="BM273" s="173">
        <f t="shared" si="765"/>
        <v>3.5411249999999992</v>
      </c>
      <c r="BN273" s="173">
        <f t="shared" si="766"/>
        <v>6.3234374999999995E-2</v>
      </c>
      <c r="BQ273" s="460">
        <f t="shared" si="700"/>
        <v>3604.3593749999991</v>
      </c>
      <c r="BR273" s="528">
        <f t="shared" si="701"/>
        <v>0.26055387600471713</v>
      </c>
      <c r="BS273" s="528">
        <f t="shared" si="702"/>
        <v>1.4149108883015378</v>
      </c>
      <c r="BT273" s="528">
        <f t="shared" si="703"/>
        <v>1.4302658356322285E-4</v>
      </c>
      <c r="BU273" s="528">
        <f t="shared" si="704"/>
        <v>1.991422840753899</v>
      </c>
      <c r="BV273" s="528"/>
      <c r="BW273" s="625">
        <f t="shared" si="705"/>
        <v>1.4195315233904712E-2</v>
      </c>
      <c r="BX273" s="460">
        <f t="shared" si="706"/>
        <v>3681.2259468776219</v>
      </c>
      <c r="BY273" s="173">
        <f t="shared" si="707"/>
        <v>9.8293362107669537</v>
      </c>
      <c r="BZ273" s="5">
        <f t="shared" si="708"/>
        <v>86.639999999999986</v>
      </c>
      <c r="CA273" s="173">
        <f t="shared" si="709"/>
        <v>0.89810921690917678</v>
      </c>
      <c r="CB273" s="5">
        <f t="shared" si="710"/>
        <v>89.810921690917681</v>
      </c>
      <c r="CC273">
        <f t="shared" si="711"/>
        <v>56.999999999999993</v>
      </c>
      <c r="CE273" s="562">
        <f t="shared" si="767"/>
        <v>-50</v>
      </c>
      <c r="CG273" s="173">
        <f t="shared" si="768"/>
        <v>0.84409136047666333</v>
      </c>
      <c r="CH273" s="173">
        <f t="shared" si="769"/>
        <v>0.10203989682880611</v>
      </c>
      <c r="CI273" s="170">
        <v>57</v>
      </c>
      <c r="CJ273" s="217">
        <f t="shared" si="712"/>
        <v>5.6999999999999993</v>
      </c>
      <c r="CK273" s="217">
        <f t="shared" si="654"/>
        <v>0.14249999999999999</v>
      </c>
      <c r="CL273" s="217">
        <f t="shared" si="655"/>
        <v>85.499999999999986</v>
      </c>
      <c r="CM273" s="217">
        <f t="shared" si="656"/>
        <v>1.1399999999999999</v>
      </c>
      <c r="CN273" s="541">
        <f t="shared" si="657"/>
        <v>85</v>
      </c>
      <c r="CO273" s="443">
        <f t="shared" si="770"/>
        <v>15.7</v>
      </c>
      <c r="CP273" s="443">
        <f t="shared" si="771"/>
        <v>100.7</v>
      </c>
      <c r="CQ273" s="443"/>
      <c r="CR273" s="217">
        <f t="shared" si="660"/>
        <v>0.15338645418326693</v>
      </c>
      <c r="CS273" s="172">
        <f t="shared" si="661"/>
        <v>321.65744915076539</v>
      </c>
      <c r="CT273" s="172">
        <f t="shared" si="662"/>
        <v>4.3459495351925632</v>
      </c>
      <c r="CU273" s="217">
        <f t="shared" si="663"/>
        <v>21.443829943384358</v>
      </c>
      <c r="CV273" s="217">
        <f t="shared" si="664"/>
        <v>40.207181143845673</v>
      </c>
      <c r="CW273" s="217">
        <f t="shared" si="665"/>
        <v>15</v>
      </c>
      <c r="CX273" s="217">
        <f t="shared" si="666"/>
        <v>13.290536287242167</v>
      </c>
      <c r="CY273" s="217">
        <f t="shared" si="667"/>
        <v>1.8763110052577177</v>
      </c>
      <c r="CZ273" s="217">
        <f t="shared" si="668"/>
        <v>10.158371684516307</v>
      </c>
      <c r="DA273" s="197">
        <f t="shared" si="669"/>
        <v>110.43528632903013</v>
      </c>
      <c r="DB273" s="443">
        <f t="shared" si="670"/>
        <v>83.093175431181805</v>
      </c>
      <c r="DD273" s="217">
        <f t="shared" si="671"/>
        <v>9.9999999999999982</v>
      </c>
      <c r="DE273" s="173">
        <f t="shared" si="672"/>
        <v>7.6433121019108263</v>
      </c>
      <c r="DF273" s="173">
        <f t="shared" si="673"/>
        <v>4.1649244760361679</v>
      </c>
      <c r="DG273" s="173"/>
      <c r="DH273" s="173">
        <f t="shared" si="674"/>
        <v>7.6433121019108281</v>
      </c>
      <c r="DI273" s="545">
        <f t="shared" si="675"/>
        <v>149.15</v>
      </c>
      <c r="DJ273" s="528">
        <f t="shared" si="676"/>
        <v>4.2204568023833167</v>
      </c>
      <c r="DL273" s="173">
        <f t="shared" si="677"/>
        <v>6.4231723359367248</v>
      </c>
      <c r="DM273" s="173">
        <f t="shared" si="678"/>
        <v>13.290536287242167</v>
      </c>
      <c r="DN273" s="173">
        <f t="shared" si="679"/>
        <v>3.6374342868460499</v>
      </c>
      <c r="DP273" s="545">
        <f t="shared" si="680"/>
        <v>5699.9999999999991</v>
      </c>
      <c r="DQ273" s="460">
        <f t="shared" si="681"/>
        <v>83.093175431181805</v>
      </c>
      <c r="DS273">
        <f t="shared" si="682"/>
        <v>5699.9999999999991</v>
      </c>
      <c r="DT273">
        <f t="shared" si="683"/>
        <v>83.093175431181805</v>
      </c>
      <c r="DV273" s="5">
        <f t="shared" si="684"/>
        <v>12.034682689774026</v>
      </c>
      <c r="DW273" s="5">
        <f t="shared" si="685"/>
        <v>1.8763110052577177</v>
      </c>
      <c r="DX273" s="5">
        <f t="shared" si="686"/>
        <v>10.158371684516309</v>
      </c>
      <c r="DY273" s="173">
        <f t="shared" si="687"/>
        <v>0.15590863952333661</v>
      </c>
      <c r="EA273" s="5">
        <f t="shared" si="713"/>
        <v>71.299818199793265</v>
      </c>
      <c r="EB273" s="5">
        <f t="shared" si="714"/>
        <v>3.3421789781153097</v>
      </c>
      <c r="EC273" s="5">
        <f t="shared" si="715"/>
        <v>3.5234920041628564</v>
      </c>
      <c r="ED273" s="5"/>
      <c r="EE273" s="173">
        <f t="shared" si="716"/>
        <v>3.0298209839800951</v>
      </c>
      <c r="EF273" s="173">
        <f t="shared" si="717"/>
        <v>7.0497969052922009</v>
      </c>
      <c r="EG273" s="173">
        <f t="shared" si="718"/>
        <v>0.17361852770680403</v>
      </c>
      <c r="EH273" s="173"/>
      <c r="EI273" s="528">
        <f t="shared" si="719"/>
        <v>0.18359630389932224</v>
      </c>
      <c r="EJ273" s="528">
        <f t="shared" si="720"/>
        <v>2.2241666666666666</v>
      </c>
      <c r="EK273" s="528">
        <f t="shared" si="721"/>
        <v>1.0386646928897725E-2</v>
      </c>
      <c r="EL273" s="528">
        <f t="shared" si="722"/>
        <v>8.4260551452814483E-2</v>
      </c>
      <c r="EM273">
        <f t="shared" si="723"/>
        <v>3.8249999999999999E-2</v>
      </c>
      <c r="EN273" s="460">
        <f t="shared" si="724"/>
        <v>48.636646928897726</v>
      </c>
      <c r="EP273" s="460">
        <f t="shared" si="725"/>
        <v>2540.6601689477011</v>
      </c>
      <c r="EQ273" s="173">
        <f t="shared" si="726"/>
        <v>3.9899999999999993</v>
      </c>
      <c r="ER273" s="173">
        <f t="shared" si="772"/>
        <v>6.3234374999999995E-2</v>
      </c>
      <c r="ES273" s="528"/>
      <c r="EU273" s="460">
        <f t="shared" si="727"/>
        <v>4053.2343749999995</v>
      </c>
      <c r="EV273" s="528">
        <f t="shared" si="728"/>
        <v>0.27539445584898337</v>
      </c>
      <c r="EW273" s="528">
        <f t="shared" si="729"/>
        <v>1.4909890921760247</v>
      </c>
      <c r="EX273" s="528">
        <f t="shared" si="730"/>
        <v>1.5071696581539138E-4</v>
      </c>
      <c r="EY273" s="528">
        <f t="shared" si="731"/>
        <v>2.0264675705467892</v>
      </c>
      <c r="EZ273" s="528"/>
      <c r="FA273" s="625">
        <f t="shared" si="732"/>
        <v>1.4677441803479534E-2</v>
      </c>
      <c r="FB273" s="460">
        <f t="shared" si="733"/>
        <v>3807.6792773410921</v>
      </c>
      <c r="FC273" s="173">
        <f t="shared" si="734"/>
        <v>10.401573821288792</v>
      </c>
      <c r="FD273" s="5">
        <f t="shared" si="735"/>
        <v>86.639999999999986</v>
      </c>
      <c r="FE273" s="173">
        <f t="shared" si="736"/>
        <v>0.89281322002831209</v>
      </c>
      <c r="FF273" s="5">
        <f t="shared" si="737"/>
        <v>89.281322002831203</v>
      </c>
      <c r="FG273">
        <f t="shared" si="738"/>
        <v>56.999999999999993</v>
      </c>
      <c r="FI273" s="562">
        <f t="shared" si="689"/>
        <v>-50</v>
      </c>
    </row>
    <row r="274" spans="5:165">
      <c r="E274" s="170">
        <v>58</v>
      </c>
      <c r="F274" s="217">
        <f t="shared" si="773"/>
        <v>5.8</v>
      </c>
      <c r="G274" s="217">
        <f t="shared" si="742"/>
        <v>0.14499999999999999</v>
      </c>
      <c r="H274" s="217">
        <f t="shared" si="743"/>
        <v>87</v>
      </c>
      <c r="I274" s="217">
        <f t="shared" si="744"/>
        <v>1.1599999999999999</v>
      </c>
      <c r="J274" s="541">
        <f t="shared" si="745"/>
        <v>84.617968386979797</v>
      </c>
      <c r="K274" s="443">
        <f t="shared" si="746"/>
        <v>15.90613882352941</v>
      </c>
      <c r="L274" s="172">
        <f t="shared" si="747"/>
        <v>100.52410721050921</v>
      </c>
      <c r="M274" s="443"/>
      <c r="N274" s="217">
        <f t="shared" si="748"/>
        <v>0.15823208248166878</v>
      </c>
      <c r="O274" s="172">
        <f t="shared" si="749"/>
        <v>330.32756628058792</v>
      </c>
      <c r="P274" s="172">
        <f t="shared" si="750"/>
        <v>4.4630924510799437</v>
      </c>
      <c r="Q274" s="217">
        <f t="shared" si="626"/>
        <v>22.021837752039193</v>
      </c>
      <c r="R274" s="217">
        <f t="shared" si="751"/>
        <v>41.29094578507349</v>
      </c>
      <c r="S274" s="217">
        <f t="shared" si="752"/>
        <v>15</v>
      </c>
      <c r="T274" s="217">
        <f t="shared" si="753"/>
        <v>13.168746553549846</v>
      </c>
      <c r="U274" s="217">
        <f t="shared" si="630"/>
        <v>1.8675106677095963</v>
      </c>
      <c r="V274" s="217">
        <f t="shared" si="631"/>
        <v>9.9348409061309848</v>
      </c>
      <c r="W274" s="197">
        <f t="shared" si="632"/>
        <v>111.57731127699859</v>
      </c>
      <c r="X274" s="443">
        <f t="shared" si="691"/>
        <v>83.317006158986757</v>
      </c>
      <c r="Z274" s="217">
        <f t="shared" si="633"/>
        <v>10</v>
      </c>
      <c r="AA274" s="173">
        <f t="shared" si="634"/>
        <v>7.5442570526599511</v>
      </c>
      <c r="AB274" s="173">
        <f t="shared" si="754"/>
        <v>4.1534601193338716</v>
      </c>
      <c r="AC274" s="173"/>
      <c r="AD274" s="173">
        <f t="shared" si="636"/>
        <v>7.5442570526599511</v>
      </c>
      <c r="AE274" s="545">
        <f t="shared" si="755"/>
        <v>153.75934196078427</v>
      </c>
      <c r="AF274" s="528">
        <f t="shared" si="756"/>
        <v>4.2088395875916564</v>
      </c>
      <c r="AH274" s="173">
        <f t="shared" si="757"/>
        <v>6.4792709760398495</v>
      </c>
      <c r="AI274" s="173">
        <f t="shared" si="758"/>
        <v>13.168746553549846</v>
      </c>
      <c r="AJ274" s="173">
        <f t="shared" si="759"/>
        <v>3.5472196692961822</v>
      </c>
      <c r="AL274" s="545">
        <f t="shared" si="760"/>
        <v>5800</v>
      </c>
      <c r="AM274" s="460">
        <f t="shared" si="761"/>
        <v>83.317006158986757</v>
      </c>
      <c r="AO274">
        <f t="shared" si="644"/>
        <v>5800</v>
      </c>
      <c r="AP274">
        <f t="shared" si="645"/>
        <v>83.317006158986757</v>
      </c>
      <c r="AR274" s="5">
        <f t="shared" si="774"/>
        <v>12.002351573840581</v>
      </c>
      <c r="AS274" s="5">
        <f t="shared" si="739"/>
        <v>1.8675106677095963</v>
      </c>
      <c r="AT274" s="5">
        <f t="shared" si="740"/>
        <v>10.134840906130986</v>
      </c>
      <c r="AU274" s="173">
        <f t="shared" si="741"/>
        <v>0.15559539780353387</v>
      </c>
      <c r="BA274" s="173">
        <f t="shared" si="692"/>
        <v>2.9990394981949922</v>
      </c>
      <c r="BB274" s="173">
        <f t="shared" si="693"/>
        <v>6.9864910614802422</v>
      </c>
      <c r="BC274" s="173">
        <f t="shared" si="694"/>
        <v>0.17205946614155268</v>
      </c>
      <c r="BD274" s="173"/>
      <c r="BE274" s="528">
        <f t="shared" si="695"/>
        <v>0.1798847582346734</v>
      </c>
      <c r="BF274" s="528">
        <f t="shared" si="762"/>
        <v>2.0679955125350267</v>
      </c>
      <c r="BG274" s="528">
        <f t="shared" si="763"/>
        <v>0.17625289483147355</v>
      </c>
      <c r="BH274" s="528">
        <f t="shared" si="696"/>
        <v>8.4192635653951811E-2</v>
      </c>
      <c r="BI274">
        <f t="shared" si="697"/>
        <v>3.8078085774140909E-2</v>
      </c>
      <c r="BJ274" s="460">
        <f t="shared" si="698"/>
        <v>214.33098060561446</v>
      </c>
      <c r="BK274">
        <f t="shared" si="764"/>
        <v>2.4869349282921296</v>
      </c>
      <c r="BL274" s="460">
        <f t="shared" si="699"/>
        <v>2546.4038870292661</v>
      </c>
      <c r="BM274" s="173">
        <f t="shared" si="765"/>
        <v>3.6032499999999996</v>
      </c>
      <c r="BN274" s="173">
        <f t="shared" si="766"/>
        <v>6.4343749999999991E-2</v>
      </c>
      <c r="BQ274" s="460">
        <f t="shared" si="700"/>
        <v>3667.5937499999995</v>
      </c>
      <c r="BR274" s="528">
        <f t="shared" si="701"/>
        <v>0.26982713735201008</v>
      </c>
      <c r="BS274" s="528">
        <f t="shared" si="702"/>
        <v>1.4643317205642996</v>
      </c>
      <c r="BT274" s="528">
        <f t="shared" si="703"/>
        <v>1.4802229944458058E-4</v>
      </c>
      <c r="BU274" s="528">
        <f t="shared" si="704"/>
        <v>1.9937249443735696</v>
      </c>
      <c r="BV274" s="528"/>
      <c r="BW274" s="625">
        <f t="shared" si="705"/>
        <v>1.4448492424567461E-2</v>
      </c>
      <c r="BX274" s="460">
        <f t="shared" si="706"/>
        <v>3742.4803170138912</v>
      </c>
      <c r="BY274" s="173">
        <f t="shared" si="707"/>
        <v>9.9564779540431552</v>
      </c>
      <c r="BZ274" s="5">
        <f t="shared" si="708"/>
        <v>88.16</v>
      </c>
      <c r="CA274" s="173">
        <f t="shared" si="709"/>
        <v>0.89852389566300295</v>
      </c>
      <c r="CB274" s="5">
        <f t="shared" si="710"/>
        <v>89.852389566300289</v>
      </c>
      <c r="CC274">
        <f t="shared" si="711"/>
        <v>57.999999999999993</v>
      </c>
      <c r="CE274" s="562">
        <f t="shared" si="767"/>
        <v>-50</v>
      </c>
      <c r="CG274" s="173">
        <f t="shared" si="768"/>
        <v>0.84409136047666333</v>
      </c>
      <c r="CH274" s="173">
        <f t="shared" si="769"/>
        <v>0.1020398968288061</v>
      </c>
      <c r="CI274" s="170">
        <v>58</v>
      </c>
      <c r="CJ274" s="217">
        <f t="shared" si="712"/>
        <v>5.8</v>
      </c>
      <c r="CK274" s="217">
        <f t="shared" si="654"/>
        <v>0.14499999999999999</v>
      </c>
      <c r="CL274" s="217">
        <f t="shared" si="655"/>
        <v>87</v>
      </c>
      <c r="CM274" s="217">
        <f t="shared" si="656"/>
        <v>1.1599999999999999</v>
      </c>
      <c r="CN274" s="541">
        <f t="shared" si="657"/>
        <v>85</v>
      </c>
      <c r="CO274" s="443">
        <f t="shared" si="770"/>
        <v>15.7</v>
      </c>
      <c r="CP274" s="443">
        <f t="shared" si="771"/>
        <v>100.7</v>
      </c>
      <c r="CQ274" s="443"/>
      <c r="CR274" s="217">
        <f t="shared" si="660"/>
        <v>0.15338645418326693</v>
      </c>
      <c r="CS274" s="172">
        <f t="shared" si="661"/>
        <v>321.65744915076539</v>
      </c>
      <c r="CT274" s="172">
        <f t="shared" si="662"/>
        <v>4.3459495351925632</v>
      </c>
      <c r="CU274" s="217">
        <f t="shared" si="663"/>
        <v>21.443829943384358</v>
      </c>
      <c r="CV274" s="217">
        <f t="shared" si="664"/>
        <v>40.207181143845673</v>
      </c>
      <c r="CW274" s="217">
        <f t="shared" si="665"/>
        <v>15</v>
      </c>
      <c r="CX274" s="217">
        <f t="shared" si="666"/>
        <v>13.523703590527118</v>
      </c>
      <c r="CY274" s="217">
        <f t="shared" si="667"/>
        <v>1.9092287421920635</v>
      </c>
      <c r="CZ274" s="217">
        <f t="shared" si="668"/>
        <v>10.336588731613084</v>
      </c>
      <c r="DA274" s="197">
        <f t="shared" si="669"/>
        <v>110.43528632903013</v>
      </c>
      <c r="DB274" s="443">
        <f t="shared" si="670"/>
        <v>81.660534475471778</v>
      </c>
      <c r="DD274" s="217">
        <f t="shared" si="671"/>
        <v>9.9999999999999982</v>
      </c>
      <c r="DE274" s="173">
        <f t="shared" si="672"/>
        <v>7.6433121019108263</v>
      </c>
      <c r="DF274" s="173">
        <f t="shared" si="673"/>
        <v>4.1649244760361679</v>
      </c>
      <c r="DG274" s="173"/>
      <c r="DH274" s="173">
        <f t="shared" si="674"/>
        <v>7.6433121019108281</v>
      </c>
      <c r="DI274" s="545">
        <f t="shared" si="675"/>
        <v>151.76666666666668</v>
      </c>
      <c r="DJ274" s="528">
        <f t="shared" si="676"/>
        <v>4.2204568023833167</v>
      </c>
      <c r="DL274" s="173">
        <f t="shared" si="677"/>
        <v>6.4792709760398495</v>
      </c>
      <c r="DM274" s="173">
        <f t="shared" si="678"/>
        <v>13.523703590527118</v>
      </c>
      <c r="DN274" s="173">
        <f t="shared" si="679"/>
        <v>3.8101508077978652</v>
      </c>
      <c r="DP274" s="545">
        <f t="shared" si="680"/>
        <v>5800</v>
      </c>
      <c r="DQ274" s="460">
        <f t="shared" si="681"/>
        <v>81.660534475471778</v>
      </c>
      <c r="DS274">
        <f t="shared" si="682"/>
        <v>5800</v>
      </c>
      <c r="DT274">
        <f t="shared" si="683"/>
        <v>81.660534475471778</v>
      </c>
      <c r="DV274" s="5">
        <f t="shared" si="684"/>
        <v>12.245817473805149</v>
      </c>
      <c r="DW274" s="5">
        <f t="shared" si="685"/>
        <v>1.9092287421920635</v>
      </c>
      <c r="DX274" s="5">
        <f t="shared" si="686"/>
        <v>10.336588731613086</v>
      </c>
      <c r="DY274" s="173">
        <f t="shared" si="687"/>
        <v>0.15590863952333661</v>
      </c>
      <c r="EA274" s="5">
        <f t="shared" si="713"/>
        <v>73.823511364759781</v>
      </c>
      <c r="EB274" s="5">
        <f t="shared" si="714"/>
        <v>3.4604770952231152</v>
      </c>
      <c r="EC274" s="5">
        <f t="shared" si="715"/>
        <v>3.6482077876281473</v>
      </c>
      <c r="ED274" s="5"/>
      <c r="EE274" s="173">
        <f t="shared" si="716"/>
        <v>3.0829757380850094</v>
      </c>
      <c r="EF274" s="173">
        <f t="shared" si="717"/>
        <v>7.173477552753468</v>
      </c>
      <c r="EG274" s="173">
        <f t="shared" si="718"/>
        <v>0.17666446678937953</v>
      </c>
      <c r="EH274" s="173"/>
      <c r="EI274" s="528">
        <f t="shared" si="719"/>
        <v>0.19009478803241617</v>
      </c>
      <c r="EJ274" s="528">
        <f t="shared" si="720"/>
        <v>2.2241666666666671</v>
      </c>
      <c r="EK274" s="528">
        <f t="shared" si="721"/>
        <v>1.0207566809433972E-2</v>
      </c>
      <c r="EL274" s="528">
        <f t="shared" si="722"/>
        <v>8.280778332431768E-2</v>
      </c>
      <c r="EM274">
        <f t="shared" si="723"/>
        <v>3.8249999999999999E-2</v>
      </c>
      <c r="EN274" s="460">
        <f t="shared" si="724"/>
        <v>48.45756680943397</v>
      </c>
      <c r="EP274" s="460">
        <f t="shared" si="725"/>
        <v>2545.5268048328348</v>
      </c>
      <c r="EQ274" s="173">
        <f t="shared" si="726"/>
        <v>4.0599999999999996</v>
      </c>
      <c r="ER274" s="173">
        <f t="shared" si="772"/>
        <v>6.4343749999999991E-2</v>
      </c>
      <c r="ES274" s="528"/>
      <c r="EU274" s="460">
        <f t="shared" si="727"/>
        <v>4124.3437499999991</v>
      </c>
      <c r="EV274" s="528">
        <f t="shared" si="728"/>
        <v>0.28514218204862424</v>
      </c>
      <c r="EW274" s="528">
        <f t="shared" si="729"/>
        <v>1.5437634059957364</v>
      </c>
      <c r="EX274" s="528">
        <f t="shared" si="730"/>
        <v>1.5605166912987891E-4</v>
      </c>
      <c r="EY274" s="528">
        <f t="shared" si="731"/>
        <v>2.0264675705467909</v>
      </c>
      <c r="EZ274" s="528"/>
      <c r="FA274" s="625">
        <f t="shared" si="732"/>
        <v>1.4934940782487952E-2</v>
      </c>
      <c r="FB274" s="460">
        <f t="shared" si="733"/>
        <v>3870.4641510427696</v>
      </c>
      <c r="FC274" s="173">
        <f t="shared" si="734"/>
        <v>10.540334705875605</v>
      </c>
      <c r="FD274" s="5">
        <f t="shared" si="735"/>
        <v>88.16</v>
      </c>
      <c r="FE274" s="173">
        <f t="shared" si="736"/>
        <v>0.89320872378715299</v>
      </c>
      <c r="FF274" s="5">
        <f t="shared" si="737"/>
        <v>89.320872378715293</v>
      </c>
      <c r="FG274">
        <f t="shared" si="738"/>
        <v>57.999999999999993</v>
      </c>
      <c r="FI274" s="562">
        <f t="shared" si="689"/>
        <v>-50</v>
      </c>
    </row>
    <row r="275" spans="5:165">
      <c r="E275" s="170">
        <v>59</v>
      </c>
      <c r="F275" s="217">
        <f t="shared" si="773"/>
        <v>5.8999999999999995</v>
      </c>
      <c r="G275" s="217">
        <f t="shared" si="742"/>
        <v>0.14749999999999999</v>
      </c>
      <c r="H275" s="217">
        <f t="shared" si="743"/>
        <v>88.499999999999986</v>
      </c>
      <c r="I275" s="217">
        <f t="shared" si="744"/>
        <v>1.18</v>
      </c>
      <c r="J275" s="541">
        <f t="shared" si="745"/>
        <v>84.611381635031179</v>
      </c>
      <c r="K275" s="443">
        <f t="shared" si="746"/>
        <v>15.90969294117647</v>
      </c>
      <c r="L275" s="172">
        <f t="shared" si="747"/>
        <v>100.52107457620765</v>
      </c>
      <c r="M275" s="443"/>
      <c r="N275" s="217">
        <f t="shared" si="748"/>
        <v>0.15827221314785006</v>
      </c>
      <c r="O275" s="172">
        <f t="shared" si="749"/>
        <v>330.38562406760872</v>
      </c>
      <c r="P275" s="172">
        <f t="shared" si="750"/>
        <v>4.4638768762912475</v>
      </c>
      <c r="Q275" s="217">
        <f t="shared" si="626"/>
        <v>22.025708271173915</v>
      </c>
      <c r="R275" s="217">
        <f t="shared" si="751"/>
        <v>41.29820300845109</v>
      </c>
      <c r="S275" s="217">
        <f t="shared" si="752"/>
        <v>15</v>
      </c>
      <c r="T275" s="217">
        <f t="shared" si="753"/>
        <v>13.393439900685527</v>
      </c>
      <c r="U275" s="217">
        <f t="shared" si="630"/>
        <v>1.8995231575521725</v>
      </c>
      <c r="V275" s="217">
        <f t="shared" si="631"/>
        <v>10.102098098465344</v>
      </c>
      <c r="W275" s="197">
        <f t="shared" si="632"/>
        <v>111.5969219072812</v>
      </c>
      <c r="X275" s="443">
        <f t="shared" si="691"/>
        <v>81.956321952447638</v>
      </c>
      <c r="Z275" s="217">
        <f t="shared" si="633"/>
        <v>10</v>
      </c>
      <c r="AA275" s="173">
        <f t="shared" si="634"/>
        <v>7.542571716731473</v>
      </c>
      <c r="AB275" s="173">
        <f t="shared" si="754"/>
        <v>4.1532621061783725</v>
      </c>
      <c r="AC275" s="173"/>
      <c r="AD275" s="173">
        <f t="shared" si="636"/>
        <v>7.542571716731473</v>
      </c>
      <c r="AE275" s="545">
        <f t="shared" si="755"/>
        <v>156.44531392156858</v>
      </c>
      <c r="AF275" s="528">
        <f t="shared" si="756"/>
        <v>4.2086389342607502</v>
      </c>
      <c r="AH275" s="173">
        <f t="shared" si="757"/>
        <v>6.5348880560237523</v>
      </c>
      <c r="AI275" s="173">
        <f t="shared" si="758"/>
        <v>13.393439900685527</v>
      </c>
      <c r="AJ275" s="173">
        <f t="shared" si="759"/>
        <v>3.7136591856929826</v>
      </c>
      <c r="AL275" s="545">
        <f t="shared" si="760"/>
        <v>5899.9999999999991</v>
      </c>
      <c r="AM275" s="460">
        <f t="shared" si="761"/>
        <v>81.956321952447638</v>
      </c>
      <c r="AO275">
        <f t="shared" si="644"/>
        <v>5899.9999999999991</v>
      </c>
      <c r="AP275">
        <f t="shared" si="645"/>
        <v>81.956321952447638</v>
      </c>
      <c r="AR275" s="5">
        <f t="shared" si="774"/>
        <v>12.201621256017516</v>
      </c>
      <c r="AS275" s="5">
        <f t="shared" si="739"/>
        <v>1.8995231575521725</v>
      </c>
      <c r="AT275" s="5">
        <f t="shared" si="740"/>
        <v>10.302098098465343</v>
      </c>
      <c r="AU275" s="173">
        <f t="shared" si="741"/>
        <v>0.15567793145647577</v>
      </c>
      <c r="BA275" s="173">
        <f t="shared" si="692"/>
        <v>3.0510198421609371</v>
      </c>
      <c r="BB275" s="173">
        <f t="shared" si="693"/>
        <v>7.1053516483820349</v>
      </c>
      <c r="BC275" s="173">
        <f t="shared" si="694"/>
        <v>0.17498669941897718</v>
      </c>
      <c r="BD275" s="173"/>
      <c r="BE275" s="528">
        <f t="shared" si="695"/>
        <v>0.186174441545195</v>
      </c>
      <c r="BF275" s="528">
        <f t="shared" si="762"/>
        <v>2.0688689788223757</v>
      </c>
      <c r="BG275" s="528">
        <f t="shared" si="763"/>
        <v>0.17336094085305076</v>
      </c>
      <c r="BH275" s="528">
        <f t="shared" si="696"/>
        <v>8.2812654334539659E-2</v>
      </c>
      <c r="BI275">
        <f t="shared" si="697"/>
        <v>3.807512173576403E-2</v>
      </c>
      <c r="BJ275" s="460">
        <f t="shared" si="698"/>
        <v>211.43606258881479</v>
      </c>
      <c r="BK275">
        <f t="shared" si="764"/>
        <v>2.4986511246314125</v>
      </c>
      <c r="BL275" s="460">
        <f t="shared" si="699"/>
        <v>2549.292137290925</v>
      </c>
      <c r="BM275" s="173">
        <f t="shared" si="765"/>
        <v>3.6653749999999987</v>
      </c>
      <c r="BN275" s="173">
        <f t="shared" si="766"/>
        <v>6.5453124999999987E-2</v>
      </c>
      <c r="BQ275" s="460">
        <f t="shared" si="700"/>
        <v>3730.8281249999986</v>
      </c>
      <c r="BR275" s="528">
        <f t="shared" si="701"/>
        <v>0.27926166231779248</v>
      </c>
      <c r="BS275" s="528">
        <f t="shared" si="702"/>
        <v>1.5145806614149588</v>
      </c>
      <c r="BT275" s="528">
        <f t="shared" si="703"/>
        <v>1.5310172486773734E-4</v>
      </c>
      <c r="BU275" s="528">
        <f t="shared" si="704"/>
        <v>1.9959813869105569</v>
      </c>
      <c r="BV275" s="528"/>
      <c r="BW275" s="625">
        <f t="shared" si="705"/>
        <v>1.4701671901576818E-2</v>
      </c>
      <c r="BX275" s="460">
        <f t="shared" si="706"/>
        <v>3804.678484269753</v>
      </c>
      <c r="BY275" s="173">
        <f t="shared" si="707"/>
        <v>10.084798746560677</v>
      </c>
      <c r="BZ275" s="5">
        <f t="shared" si="708"/>
        <v>89.679999999999993</v>
      </c>
      <c r="CA275" s="173">
        <f t="shared" si="709"/>
        <v>0.89891425760122279</v>
      </c>
      <c r="CB275" s="5">
        <f t="shared" si="710"/>
        <v>89.891425760122274</v>
      </c>
      <c r="CC275">
        <f t="shared" si="711"/>
        <v>59</v>
      </c>
      <c r="CE275" s="562">
        <f t="shared" si="767"/>
        <v>-50</v>
      </c>
      <c r="CG275" s="173">
        <f t="shared" si="768"/>
        <v>0.84409136047666333</v>
      </c>
      <c r="CH275" s="173">
        <f t="shared" si="769"/>
        <v>0.1020398968288061</v>
      </c>
      <c r="CI275" s="170">
        <v>59</v>
      </c>
      <c r="CJ275" s="217">
        <f t="shared" si="712"/>
        <v>5.8999999999999995</v>
      </c>
      <c r="CK275" s="217">
        <f t="shared" si="654"/>
        <v>0.14749999999999999</v>
      </c>
      <c r="CL275" s="217">
        <f t="shared" si="655"/>
        <v>88.499999999999986</v>
      </c>
      <c r="CM275" s="217">
        <f t="shared" si="656"/>
        <v>1.18</v>
      </c>
      <c r="CN275" s="541">
        <f t="shared" si="657"/>
        <v>85</v>
      </c>
      <c r="CO275" s="443">
        <f t="shared" si="770"/>
        <v>15.7</v>
      </c>
      <c r="CP275" s="443">
        <f t="shared" si="771"/>
        <v>100.7</v>
      </c>
      <c r="CQ275" s="443"/>
      <c r="CR275" s="217">
        <f t="shared" si="660"/>
        <v>0.15338645418326693</v>
      </c>
      <c r="CS275" s="172">
        <f t="shared" si="661"/>
        <v>321.65744915076539</v>
      </c>
      <c r="CT275" s="172">
        <f t="shared" si="662"/>
        <v>4.3459495351925632</v>
      </c>
      <c r="CU275" s="217">
        <f t="shared" si="663"/>
        <v>21.443829943384358</v>
      </c>
      <c r="CV275" s="217">
        <f t="shared" si="664"/>
        <v>40.207181143845673</v>
      </c>
      <c r="CW275" s="217">
        <f t="shared" si="665"/>
        <v>15</v>
      </c>
      <c r="CX275" s="217">
        <f t="shared" si="666"/>
        <v>13.756870893812069</v>
      </c>
      <c r="CY275" s="217">
        <f t="shared" si="667"/>
        <v>1.9421464791264096</v>
      </c>
      <c r="CZ275" s="217">
        <f t="shared" si="668"/>
        <v>10.514805778709862</v>
      </c>
      <c r="DA275" s="197">
        <f t="shared" si="669"/>
        <v>110.43528632903013</v>
      </c>
      <c r="DB275" s="443">
        <f t="shared" si="670"/>
        <v>80.276457619955309</v>
      </c>
      <c r="DD275" s="217">
        <f t="shared" si="671"/>
        <v>9.9999999999999982</v>
      </c>
      <c r="DE275" s="173">
        <f t="shared" si="672"/>
        <v>7.6433121019108263</v>
      </c>
      <c r="DF275" s="173">
        <f t="shared" si="673"/>
        <v>4.1649244760361679</v>
      </c>
      <c r="DG275" s="173"/>
      <c r="DH275" s="173">
        <f t="shared" si="674"/>
        <v>7.6433121019108281</v>
      </c>
      <c r="DI275" s="545">
        <f t="shared" si="675"/>
        <v>154.38333333333335</v>
      </c>
      <c r="DJ275" s="528">
        <f t="shared" si="676"/>
        <v>4.2204568023833167</v>
      </c>
      <c r="DL275" s="173">
        <f t="shared" si="677"/>
        <v>6.5348880560237523</v>
      </c>
      <c r="DM275" s="173">
        <f t="shared" si="678"/>
        <v>13.756870893812069</v>
      </c>
      <c r="DN275" s="173">
        <f t="shared" si="679"/>
        <v>3.9828673287496805</v>
      </c>
      <c r="DP275" s="545">
        <f t="shared" si="680"/>
        <v>5899.9999999999991</v>
      </c>
      <c r="DQ275" s="460">
        <f t="shared" si="681"/>
        <v>80.276457619955309</v>
      </c>
      <c r="DS275">
        <f t="shared" si="682"/>
        <v>5899.9999999999991</v>
      </c>
      <c r="DT275">
        <f t="shared" si="683"/>
        <v>80.276457619955309</v>
      </c>
      <c r="DV275" s="5">
        <f t="shared" si="684"/>
        <v>12.456952257836273</v>
      </c>
      <c r="DW275" s="5">
        <f t="shared" si="685"/>
        <v>1.9421464791264096</v>
      </c>
      <c r="DX275" s="5">
        <f t="shared" si="686"/>
        <v>10.514805778709864</v>
      </c>
      <c r="DY275" s="173">
        <f t="shared" si="687"/>
        <v>0.15590863952333661</v>
      </c>
      <c r="EA275" s="5">
        <f t="shared" si="713"/>
        <v>76.391094845638776</v>
      </c>
      <c r="EB275" s="5">
        <f t="shared" si="714"/>
        <v>3.5808325708893176</v>
      </c>
      <c r="EC275" s="5">
        <f t="shared" si="715"/>
        <v>3.7750925412406597</v>
      </c>
      <c r="ED275" s="5"/>
      <c r="EE275" s="173">
        <f t="shared" si="716"/>
        <v>3.1361304921899231</v>
      </c>
      <c r="EF275" s="173">
        <f t="shared" si="717"/>
        <v>7.297158200214735</v>
      </c>
      <c r="EG275" s="173">
        <f t="shared" si="718"/>
        <v>0.17971040587195505</v>
      </c>
      <c r="EH275" s="173"/>
      <c r="EI275" s="528">
        <f t="shared" si="719"/>
        <v>0.1967062892808682</v>
      </c>
      <c r="EJ275" s="528">
        <f t="shared" si="720"/>
        <v>2.2241666666666671</v>
      </c>
      <c r="EK275" s="528">
        <f t="shared" si="721"/>
        <v>1.0034557202494413E-2</v>
      </c>
      <c r="EL275" s="528">
        <f t="shared" si="722"/>
        <v>8.1404261573058065E-2</v>
      </c>
      <c r="EM275">
        <f t="shared" si="723"/>
        <v>3.8249999999999999E-2</v>
      </c>
      <c r="EN275" s="460">
        <f t="shared" si="724"/>
        <v>48.284557202494419</v>
      </c>
      <c r="EP275" s="460">
        <f t="shared" si="725"/>
        <v>2550.5617747230881</v>
      </c>
      <c r="EQ275" s="173">
        <f t="shared" si="726"/>
        <v>4.129999999999999</v>
      </c>
      <c r="ER275" s="173">
        <f t="shared" si="772"/>
        <v>6.5453124999999987E-2</v>
      </c>
      <c r="ES275" s="528"/>
      <c r="EU275" s="460">
        <f t="shared" si="727"/>
        <v>4195.4531249999991</v>
      </c>
      <c r="EV275" s="528">
        <f t="shared" si="728"/>
        <v>0.29505943392130229</v>
      </c>
      <c r="EW275" s="528">
        <f t="shared" si="729"/>
        <v>1.5974555339688346</v>
      </c>
      <c r="EX275" s="528">
        <f t="shared" si="730"/>
        <v>1.6147914989331409E-4</v>
      </c>
      <c r="EY275" s="528">
        <f t="shared" si="731"/>
        <v>2.0264675705467927</v>
      </c>
      <c r="EZ275" s="528"/>
      <c r="FA275" s="625">
        <f t="shared" si="732"/>
        <v>1.5192439761496368E-2</v>
      </c>
      <c r="FB275" s="460">
        <f t="shared" si="733"/>
        <v>3934.3364573483191</v>
      </c>
      <c r="FC275" s="173">
        <f t="shared" si="734"/>
        <v>10.680351357071405</v>
      </c>
      <c r="FD275" s="5">
        <f t="shared" si="735"/>
        <v>89.679999999999993</v>
      </c>
      <c r="FE275" s="173">
        <f t="shared" si="736"/>
        <v>0.8935799724427842</v>
      </c>
      <c r="FF275" s="5">
        <f t="shared" si="737"/>
        <v>89.357997244278422</v>
      </c>
      <c r="FG275">
        <f t="shared" si="738"/>
        <v>59</v>
      </c>
      <c r="FI275" s="562">
        <f t="shared" si="689"/>
        <v>-50</v>
      </c>
    </row>
    <row r="276" spans="5:165">
      <c r="E276" s="170">
        <v>60</v>
      </c>
      <c r="F276" s="217">
        <f t="shared" si="773"/>
        <v>6</v>
      </c>
      <c r="G276" s="217">
        <f t="shared" si="742"/>
        <v>0.15</v>
      </c>
      <c r="H276" s="217">
        <f t="shared" si="743"/>
        <v>90</v>
      </c>
      <c r="I276" s="217">
        <f t="shared" si="744"/>
        <v>1.2</v>
      </c>
      <c r="J276" s="541">
        <f t="shared" si="745"/>
        <v>84.604794883082562</v>
      </c>
      <c r="K276" s="443">
        <f t="shared" si="746"/>
        <v>15.913247058823529</v>
      </c>
      <c r="L276" s="172">
        <f t="shared" si="747"/>
        <v>100.51804194190609</v>
      </c>
      <c r="M276" s="443"/>
      <c r="N276" s="217">
        <f t="shared" si="748"/>
        <v>0.15831234623551971</v>
      </c>
      <c r="O276" s="172">
        <f t="shared" si="749"/>
        <v>330.4436738663411</v>
      </c>
      <c r="P276" s="172">
        <f t="shared" si="750"/>
        <v>4.4646611935718976</v>
      </c>
      <c r="Q276" s="217">
        <f t="shared" si="626"/>
        <v>22.029578257756075</v>
      </c>
      <c r="R276" s="217">
        <f t="shared" si="751"/>
        <v>41.305459233292638</v>
      </c>
      <c r="S276" s="217">
        <f t="shared" si="752"/>
        <v>15</v>
      </c>
      <c r="T276" s="217">
        <f t="shared" si="753"/>
        <v>13.618054621376031</v>
      </c>
      <c r="U276" s="217">
        <f t="shared" si="630"/>
        <v>1.9315294798875389</v>
      </c>
      <c r="V276" s="217">
        <f t="shared" si="631"/>
        <v>10.269221287927003</v>
      </c>
      <c r="W276" s="197">
        <f t="shared" si="632"/>
        <v>111.61652983929743</v>
      </c>
      <c r="X276" s="443">
        <f t="shared" si="691"/>
        <v>80.640278860812558</v>
      </c>
      <c r="Z276" s="217">
        <f t="shared" si="633"/>
        <v>10</v>
      </c>
      <c r="AA276" s="173">
        <f t="shared" si="634"/>
        <v>7.5408871336200844</v>
      </c>
      <c r="AB276" s="173">
        <f t="shared" si="754"/>
        <v>4.1530640810747386</v>
      </c>
      <c r="AC276" s="173"/>
      <c r="AD276" s="173">
        <f t="shared" si="636"/>
        <v>7.5408871336200844</v>
      </c>
      <c r="AE276" s="545">
        <f t="shared" si="755"/>
        <v>159.13247058823529</v>
      </c>
      <c r="AF276" s="528">
        <f t="shared" si="756"/>
        <v>4.2084382688224009</v>
      </c>
      <c r="AH276" s="173">
        <f t="shared" si="757"/>
        <v>6.590035768383312</v>
      </c>
      <c r="AI276" s="173">
        <f t="shared" si="758"/>
        <v>13.618054621376031</v>
      </c>
      <c r="AJ276" s="173">
        <f t="shared" si="759"/>
        <v>3.8800404602785408</v>
      </c>
      <c r="AL276" s="545">
        <f t="shared" si="760"/>
        <v>6000</v>
      </c>
      <c r="AM276" s="460">
        <f t="shared" si="761"/>
        <v>80.640278860812558</v>
      </c>
      <c r="AO276">
        <f t="shared" si="644"/>
        <v>6000</v>
      </c>
      <c r="AP276">
        <f t="shared" si="645"/>
        <v>80.640278860812558</v>
      </c>
      <c r="AR276" s="5">
        <f t="shared" si="774"/>
        <v>12.400750767814541</v>
      </c>
      <c r="AS276" s="5">
        <f t="shared" si="739"/>
        <v>1.9315294798875389</v>
      </c>
      <c r="AT276" s="5">
        <f t="shared" si="740"/>
        <v>10.469221287927002</v>
      </c>
      <c r="AU276" s="173">
        <f t="shared" si="741"/>
        <v>0.15575907588601137</v>
      </c>
      <c r="BA276" s="173">
        <f t="shared" si="692"/>
        <v>3.1029953541482636</v>
      </c>
      <c r="BB276" s="173">
        <f t="shared" si="693"/>
        <v>7.2241647998732681</v>
      </c>
      <c r="BC276" s="173">
        <f t="shared" si="694"/>
        <v>0.17791276448315346</v>
      </c>
      <c r="BD276" s="173"/>
      <c r="BE276" s="528">
        <f t="shared" si="695"/>
        <v>0.19257160335731416</v>
      </c>
      <c r="BF276" s="528">
        <f t="shared" si="762"/>
        <v>2.0697237579025929</v>
      </c>
      <c r="BG276" s="528">
        <f t="shared" si="763"/>
        <v>0.17056385630834059</v>
      </c>
      <c r="BH276" s="528">
        <f t="shared" si="696"/>
        <v>8.1477943916579976E-2</v>
      </c>
      <c r="BI276">
        <f t="shared" si="697"/>
        <v>3.807215769738715E-2</v>
      </c>
      <c r="BJ276" s="460">
        <f t="shared" si="698"/>
        <v>208.63601400572773</v>
      </c>
      <c r="BK276">
        <f t="shared" si="764"/>
        <v>2.5106420998958376</v>
      </c>
      <c r="BL276" s="460">
        <f t="shared" si="699"/>
        <v>2552.4093191822153</v>
      </c>
      <c r="BM276" s="173">
        <f t="shared" si="765"/>
        <v>3.7274999999999991</v>
      </c>
      <c r="BN276" s="173">
        <f t="shared" si="766"/>
        <v>6.6562499999999997E-2</v>
      </c>
      <c r="BQ276" s="460">
        <f t="shared" si="700"/>
        <v>3794.0624999999991</v>
      </c>
      <c r="BR276" s="528">
        <f t="shared" si="701"/>
        <v>0.28885740503597124</v>
      </c>
      <c r="BS276" s="528">
        <f t="shared" si="702"/>
        <v>1.5656567116718392</v>
      </c>
      <c r="BT276" s="528">
        <f t="shared" si="703"/>
        <v>1.5826475883019015E-4</v>
      </c>
      <c r="BU276" s="528">
        <f t="shared" si="704"/>
        <v>1.9981943935592117</v>
      </c>
      <c r="BV276" s="528"/>
      <c r="BW276" s="625">
        <f t="shared" si="705"/>
        <v>1.4954853552263135E-2</v>
      </c>
      <c r="BX276" s="460">
        <f t="shared" si="706"/>
        <v>3867.8216285781155</v>
      </c>
      <c r="BY276" s="173">
        <f t="shared" si="707"/>
        <v>10.21429344776033</v>
      </c>
      <c r="BZ276" s="5">
        <f t="shared" si="708"/>
        <v>91.2</v>
      </c>
      <c r="CA276" s="173">
        <f t="shared" si="709"/>
        <v>0.89928152038034137</v>
      </c>
      <c r="CB276" s="5">
        <f t="shared" si="710"/>
        <v>89.928152038034142</v>
      </c>
      <c r="CC276">
        <f t="shared" si="711"/>
        <v>60</v>
      </c>
      <c r="CE276" s="562">
        <f t="shared" si="767"/>
        <v>-50</v>
      </c>
      <c r="CG276" s="173">
        <f t="shared" si="768"/>
        <v>0.84409136047666333</v>
      </c>
      <c r="CH276" s="173">
        <f t="shared" si="769"/>
        <v>0.10203989682880611</v>
      </c>
      <c r="CI276" s="170">
        <v>60</v>
      </c>
      <c r="CJ276" s="217">
        <f t="shared" si="712"/>
        <v>6</v>
      </c>
      <c r="CK276" s="217">
        <f t="shared" si="654"/>
        <v>0.15</v>
      </c>
      <c r="CL276" s="217">
        <f t="shared" si="655"/>
        <v>90</v>
      </c>
      <c r="CM276" s="217">
        <f t="shared" si="656"/>
        <v>1.2</v>
      </c>
      <c r="CN276" s="541">
        <f t="shared" si="657"/>
        <v>85</v>
      </c>
      <c r="CO276" s="443">
        <f t="shared" si="770"/>
        <v>15.7</v>
      </c>
      <c r="CP276" s="443">
        <f t="shared" si="771"/>
        <v>100.7</v>
      </c>
      <c r="CQ276" s="443"/>
      <c r="CR276" s="217">
        <f t="shared" si="660"/>
        <v>0.15338645418326693</v>
      </c>
      <c r="CS276" s="172">
        <f t="shared" si="661"/>
        <v>321.65744915076539</v>
      </c>
      <c r="CT276" s="172">
        <f t="shared" si="662"/>
        <v>4.3459495351925632</v>
      </c>
      <c r="CU276" s="217">
        <f t="shared" si="663"/>
        <v>21.443829943384358</v>
      </c>
      <c r="CV276" s="217">
        <f t="shared" si="664"/>
        <v>40.207181143845673</v>
      </c>
      <c r="CW276" s="217">
        <f t="shared" si="665"/>
        <v>15</v>
      </c>
      <c r="CX276" s="217">
        <f t="shared" si="666"/>
        <v>13.99003819709702</v>
      </c>
      <c r="CY276" s="217">
        <f t="shared" si="667"/>
        <v>1.9750642160607557</v>
      </c>
      <c r="CZ276" s="217">
        <f t="shared" si="668"/>
        <v>10.69302282580664</v>
      </c>
      <c r="DA276" s="197">
        <f t="shared" si="669"/>
        <v>110.43528632903013</v>
      </c>
      <c r="DB276" s="443">
        <f t="shared" si="670"/>
        <v>78.938516659622721</v>
      </c>
      <c r="DD276" s="217">
        <f t="shared" si="671"/>
        <v>9.9999999999999982</v>
      </c>
      <c r="DE276" s="173">
        <f t="shared" si="672"/>
        <v>7.6433121019108263</v>
      </c>
      <c r="DF276" s="173">
        <f t="shared" si="673"/>
        <v>4.1649244760361679</v>
      </c>
      <c r="DG276" s="173"/>
      <c r="DH276" s="173">
        <f t="shared" si="674"/>
        <v>7.6433121019108281</v>
      </c>
      <c r="DI276" s="545">
        <f t="shared" si="675"/>
        <v>157.00000000000003</v>
      </c>
      <c r="DJ276" s="528">
        <f t="shared" si="676"/>
        <v>4.2204568023833167</v>
      </c>
      <c r="DL276" s="173">
        <f t="shared" si="677"/>
        <v>6.590035768383312</v>
      </c>
      <c r="DM276" s="173">
        <f t="shared" si="678"/>
        <v>13.99003819709702</v>
      </c>
      <c r="DN276" s="173">
        <f t="shared" si="679"/>
        <v>4.1555838497014959</v>
      </c>
      <c r="DP276" s="545">
        <f t="shared" si="680"/>
        <v>6000</v>
      </c>
      <c r="DQ276" s="460">
        <f t="shared" si="681"/>
        <v>78.938516659622721</v>
      </c>
      <c r="DS276">
        <f t="shared" si="682"/>
        <v>6000</v>
      </c>
      <c r="DT276">
        <f t="shared" si="683"/>
        <v>78.938516659622721</v>
      </c>
      <c r="DV276" s="5">
        <f t="shared" si="684"/>
        <v>12.668087041867395</v>
      </c>
      <c r="DW276" s="5">
        <f t="shared" si="685"/>
        <v>1.9750642160607557</v>
      </c>
      <c r="DX276" s="5">
        <f t="shared" si="686"/>
        <v>10.69302282580664</v>
      </c>
      <c r="DY276" s="173">
        <f t="shared" si="687"/>
        <v>0.15590863952333664</v>
      </c>
      <c r="EA276" s="5">
        <f t="shared" si="713"/>
        <v>79.002568642430234</v>
      </c>
      <c r="EB276" s="5">
        <f t="shared" si="714"/>
        <v>3.703245405113917</v>
      </c>
      <c r="EC276" s="5">
        <f t="shared" si="715"/>
        <v>3.9041462650003953</v>
      </c>
      <c r="ED276" s="5"/>
      <c r="EE276" s="173">
        <f t="shared" si="716"/>
        <v>3.1892852462948378</v>
      </c>
      <c r="EF276" s="173">
        <f t="shared" si="717"/>
        <v>7.4208388476760012</v>
      </c>
      <c r="EG276" s="173">
        <f t="shared" si="718"/>
        <v>0.18275634495453058</v>
      </c>
      <c r="EH276" s="173"/>
      <c r="EI276" s="528">
        <f t="shared" si="719"/>
        <v>0.2034308076446785</v>
      </c>
      <c r="EJ276" s="528">
        <f t="shared" si="720"/>
        <v>2.2241666666666671</v>
      </c>
      <c r="EK276" s="528">
        <f t="shared" si="721"/>
        <v>9.8673145824528397E-3</v>
      </c>
      <c r="EL276" s="528">
        <f t="shared" si="722"/>
        <v>8.0047523880173763E-2</v>
      </c>
      <c r="EM276">
        <f t="shared" si="723"/>
        <v>3.8249999999999999E-2</v>
      </c>
      <c r="EN276" s="460">
        <f t="shared" si="724"/>
        <v>48.117314582452835</v>
      </c>
      <c r="EP276" s="460">
        <f t="shared" si="725"/>
        <v>2555.7623127739726</v>
      </c>
      <c r="EQ276" s="173">
        <f t="shared" si="726"/>
        <v>4.1999999999999993</v>
      </c>
      <c r="ER276" s="173">
        <f t="shared" si="772"/>
        <v>6.6562499999999997E-2</v>
      </c>
      <c r="ES276" s="528"/>
      <c r="EU276" s="460">
        <f t="shared" si="727"/>
        <v>4266.5624999999991</v>
      </c>
      <c r="EV276" s="528">
        <f t="shared" si="728"/>
        <v>0.30514621146701776</v>
      </c>
      <c r="EW276" s="528">
        <f t="shared" si="729"/>
        <v>1.6520654760953184</v>
      </c>
      <c r="EX276" s="528">
        <f t="shared" si="730"/>
        <v>1.6699940810569689E-4</v>
      </c>
      <c r="EY276" s="528">
        <f t="shared" si="731"/>
        <v>2.0264675705467927</v>
      </c>
      <c r="EZ276" s="528"/>
      <c r="FA276" s="625">
        <f t="shared" si="732"/>
        <v>1.5449938740504781E-2</v>
      </c>
      <c r="FB276" s="460">
        <f t="shared" si="733"/>
        <v>3999.2961962577397</v>
      </c>
      <c r="FC276" s="173">
        <f t="shared" si="734"/>
        <v>10.821621009031709</v>
      </c>
      <c r="FD276" s="5">
        <f t="shared" si="735"/>
        <v>91.2</v>
      </c>
      <c r="FE276" s="173">
        <f t="shared" si="736"/>
        <v>0.89392816050164792</v>
      </c>
      <c r="FF276" s="5">
        <f t="shared" si="737"/>
        <v>89.392816050164797</v>
      </c>
      <c r="FG276">
        <f t="shared" si="738"/>
        <v>60</v>
      </c>
      <c r="FI276" s="562">
        <f t="shared" si="689"/>
        <v>-50</v>
      </c>
    </row>
    <row r="277" spans="5:165">
      <c r="E277" s="170">
        <v>61</v>
      </c>
      <c r="F277" s="217">
        <f t="shared" si="773"/>
        <v>6.1</v>
      </c>
      <c r="G277" s="217">
        <f t="shared" si="742"/>
        <v>0.1525</v>
      </c>
      <c r="H277" s="217">
        <f t="shared" si="743"/>
        <v>91.5</v>
      </c>
      <c r="I277" s="217">
        <f t="shared" si="744"/>
        <v>1.22</v>
      </c>
      <c r="J277" s="541">
        <f t="shared" si="745"/>
        <v>84.59820813113393</v>
      </c>
      <c r="K277" s="443">
        <f t="shared" si="746"/>
        <v>15.916801176470587</v>
      </c>
      <c r="L277" s="172">
        <f t="shared" si="747"/>
        <v>100.51500930760452</v>
      </c>
      <c r="M277" s="443"/>
      <c r="N277" s="217">
        <f t="shared" si="748"/>
        <v>0.15835248174489691</v>
      </c>
      <c r="O277" s="172">
        <f t="shared" si="749"/>
        <v>330.50171567606185</v>
      </c>
      <c r="P277" s="172">
        <f t="shared" si="750"/>
        <v>4.4654454029121249</v>
      </c>
      <c r="Q277" s="217">
        <f t="shared" si="626"/>
        <v>22.033447711737455</v>
      </c>
      <c r="R277" s="217">
        <f t="shared" si="751"/>
        <v>41.312714459507731</v>
      </c>
      <c r="S277" s="217">
        <f t="shared" si="752"/>
        <v>15</v>
      </c>
      <c r="T277" s="217">
        <f t="shared" si="753"/>
        <v>13.842590773368761</v>
      </c>
      <c r="U277" s="217">
        <f t="shared" si="630"/>
        <v>1.9635296414663981</v>
      </c>
      <c r="V277" s="217">
        <f t="shared" si="631"/>
        <v>10.436210607818802</v>
      </c>
      <c r="W277" s="197">
        <f t="shared" si="632"/>
        <v>111.63613507280313</v>
      </c>
      <c r="X277" s="443">
        <f t="shared" si="691"/>
        <v>79.366715520721257</v>
      </c>
      <c r="Z277" s="217">
        <f t="shared" si="633"/>
        <v>10</v>
      </c>
      <c r="AA277" s="173">
        <f t="shared" si="634"/>
        <v>7.5392033028214884</v>
      </c>
      <c r="AB277" s="173">
        <f t="shared" si="754"/>
        <v>4.1528660440218905</v>
      </c>
      <c r="AC277" s="173"/>
      <c r="AD277" s="173">
        <f t="shared" si="636"/>
        <v>7.5392033028214884</v>
      </c>
      <c r="AE277" s="545">
        <f t="shared" si="755"/>
        <v>161.82081196078428</v>
      </c>
      <c r="AF277" s="528">
        <f t="shared" si="756"/>
        <v>4.2082375912755152</v>
      </c>
      <c r="AH277" s="173">
        <f t="shared" si="757"/>
        <v>6.6447257996384588</v>
      </c>
      <c r="AI277" s="173">
        <f t="shared" si="758"/>
        <v>13.842590773368761</v>
      </c>
      <c r="AJ277" s="173">
        <f t="shared" si="759"/>
        <v>4.0463635358287116</v>
      </c>
      <c r="AL277" s="545">
        <f t="shared" si="760"/>
        <v>6100</v>
      </c>
      <c r="AM277" s="460">
        <f t="shared" si="761"/>
        <v>79.366715520721257</v>
      </c>
      <c r="AO277">
        <f t="shared" si="644"/>
        <v>6100</v>
      </c>
      <c r="AP277">
        <f t="shared" si="645"/>
        <v>79.366715520721257</v>
      </c>
      <c r="AR277" s="5">
        <f t="shared" si="774"/>
        <v>12.599740249285199</v>
      </c>
      <c r="AS277" s="5">
        <f t="shared" si="739"/>
        <v>1.9635296414663981</v>
      </c>
      <c r="AT277" s="5">
        <f t="shared" si="740"/>
        <v>10.636210607818802</v>
      </c>
      <c r="AU277" s="173">
        <f t="shared" si="741"/>
        <v>0.15583889847076743</v>
      </c>
      <c r="BA277" s="173">
        <f t="shared" si="692"/>
        <v>3.1549660310156051</v>
      </c>
      <c r="BB277" s="173">
        <f t="shared" si="693"/>
        <v>7.3429305536769371</v>
      </c>
      <c r="BC277" s="173">
        <f t="shared" si="694"/>
        <v>0.18083766226310263</v>
      </c>
      <c r="BD277" s="173"/>
      <c r="BE277" s="528">
        <f t="shared" si="695"/>
        <v>0.19907621313724722</v>
      </c>
      <c r="BF277" s="528">
        <f t="shared" si="762"/>
        <v>2.0705607510025703</v>
      </c>
      <c r="BG277" s="528">
        <f t="shared" si="763"/>
        <v>0.16785704795766185</v>
      </c>
      <c r="BH277" s="528">
        <f t="shared" si="696"/>
        <v>8.0186312544665309E-2</v>
      </c>
      <c r="BI277">
        <f t="shared" si="697"/>
        <v>3.8069193659010264E-2</v>
      </c>
      <c r="BJ277" s="460">
        <f t="shared" si="698"/>
        <v>205.92624161667212</v>
      </c>
      <c r="BK277">
        <f t="shared" si="764"/>
        <v>2.5229087188813097</v>
      </c>
      <c r="BL277" s="460">
        <f t="shared" si="699"/>
        <v>2555.7495183011551</v>
      </c>
      <c r="BM277" s="173">
        <f t="shared" si="765"/>
        <v>3.7896249999999996</v>
      </c>
      <c r="BN277" s="173">
        <f t="shared" si="766"/>
        <v>6.7671874999999992E-2</v>
      </c>
      <c r="BQ277" s="460">
        <f t="shared" si="700"/>
        <v>3857.2968749999995</v>
      </c>
      <c r="BR277" s="528">
        <f t="shared" si="701"/>
        <v>0.29861431970587082</v>
      </c>
      <c r="BS277" s="528">
        <f t="shared" si="702"/>
        <v>1.6175588734836686</v>
      </c>
      <c r="BT277" s="528">
        <f t="shared" si="703"/>
        <v>1.6351130046391986E-4</v>
      </c>
      <c r="BU277" s="528">
        <f t="shared" si="704"/>
        <v>2.0003660475955201</v>
      </c>
      <c r="BV277" s="528"/>
      <c r="BW277" s="625">
        <f t="shared" si="705"/>
        <v>1.5208037271230625E-2</v>
      </c>
      <c r="BX277" s="460">
        <f t="shared" si="706"/>
        <v>3931.9107893567539</v>
      </c>
      <c r="BY277" s="173">
        <f t="shared" si="707"/>
        <v>10.344957182657909</v>
      </c>
      <c r="BZ277" s="5">
        <f t="shared" si="708"/>
        <v>92.72</v>
      </c>
      <c r="CA277" s="173">
        <f t="shared" si="709"/>
        <v>0.8996268230692227</v>
      </c>
      <c r="CB277" s="5">
        <f t="shared" si="710"/>
        <v>89.962682306922275</v>
      </c>
      <c r="CC277">
        <f t="shared" si="711"/>
        <v>61</v>
      </c>
      <c r="CE277" s="562">
        <f t="shared" si="767"/>
        <v>-50</v>
      </c>
      <c r="CG277" s="173">
        <f t="shared" si="768"/>
        <v>0.84409136047666333</v>
      </c>
      <c r="CH277" s="173">
        <f t="shared" si="769"/>
        <v>0.1020398968288061</v>
      </c>
      <c r="CI277" s="170">
        <v>61</v>
      </c>
      <c r="CJ277" s="217">
        <f t="shared" si="712"/>
        <v>6.1</v>
      </c>
      <c r="CK277" s="217">
        <f t="shared" si="654"/>
        <v>0.1525</v>
      </c>
      <c r="CL277" s="217">
        <f t="shared" si="655"/>
        <v>91.5</v>
      </c>
      <c r="CM277" s="217">
        <f t="shared" si="656"/>
        <v>1.22</v>
      </c>
      <c r="CN277" s="541">
        <f t="shared" si="657"/>
        <v>85</v>
      </c>
      <c r="CO277" s="443">
        <f t="shared" si="770"/>
        <v>15.7</v>
      </c>
      <c r="CP277" s="443">
        <f t="shared" si="771"/>
        <v>100.7</v>
      </c>
      <c r="CQ277" s="443"/>
      <c r="CR277" s="217">
        <f t="shared" si="660"/>
        <v>0.15338645418326693</v>
      </c>
      <c r="CS277" s="172">
        <f t="shared" si="661"/>
        <v>321.65744915076539</v>
      </c>
      <c r="CT277" s="172">
        <f t="shared" si="662"/>
        <v>4.3459495351925632</v>
      </c>
      <c r="CU277" s="217">
        <f t="shared" si="663"/>
        <v>21.443829943384358</v>
      </c>
      <c r="CV277" s="217">
        <f t="shared" si="664"/>
        <v>40.207181143845673</v>
      </c>
      <c r="CW277" s="217">
        <f t="shared" si="665"/>
        <v>15</v>
      </c>
      <c r="CX277" s="217">
        <f t="shared" si="666"/>
        <v>14.223205500381971</v>
      </c>
      <c r="CY277" s="217">
        <f t="shared" si="667"/>
        <v>2.007981952995102</v>
      </c>
      <c r="CZ277" s="217">
        <f t="shared" si="668"/>
        <v>10.871239872903418</v>
      </c>
      <c r="DA277" s="197">
        <f t="shared" si="669"/>
        <v>110.43528632903013</v>
      </c>
      <c r="DB277" s="443">
        <f t="shared" si="670"/>
        <v>77.644442616022332</v>
      </c>
      <c r="DD277" s="217">
        <f t="shared" si="671"/>
        <v>9.9999999999999982</v>
      </c>
      <c r="DE277" s="173">
        <f t="shared" si="672"/>
        <v>7.6433121019108263</v>
      </c>
      <c r="DF277" s="173">
        <f t="shared" si="673"/>
        <v>4.1649244760361679</v>
      </c>
      <c r="DG277" s="173"/>
      <c r="DH277" s="173">
        <f t="shared" si="674"/>
        <v>7.6433121019108281</v>
      </c>
      <c r="DI277" s="545">
        <f t="shared" si="675"/>
        <v>159.61666666666667</v>
      </c>
      <c r="DJ277" s="528">
        <f t="shared" si="676"/>
        <v>4.2204568023833167</v>
      </c>
      <c r="DL277" s="173">
        <f t="shared" si="677"/>
        <v>6.6447257996384588</v>
      </c>
      <c r="DM277" s="173">
        <f t="shared" si="678"/>
        <v>14.223205500381971</v>
      </c>
      <c r="DN277" s="173">
        <f t="shared" si="679"/>
        <v>4.3283003706533112</v>
      </c>
      <c r="DP277" s="545">
        <f t="shared" si="680"/>
        <v>6100</v>
      </c>
      <c r="DQ277" s="460">
        <f t="shared" si="681"/>
        <v>77.644442616022332</v>
      </c>
      <c r="DS277">
        <f t="shared" si="682"/>
        <v>6100</v>
      </c>
      <c r="DT277">
        <f t="shared" si="683"/>
        <v>77.644442616022332</v>
      </c>
      <c r="DV277" s="5">
        <f t="shared" si="684"/>
        <v>12.879221825898519</v>
      </c>
      <c r="DW277" s="5">
        <f t="shared" si="685"/>
        <v>2.007981952995102</v>
      </c>
      <c r="DX277" s="5">
        <f t="shared" si="686"/>
        <v>10.871239872903416</v>
      </c>
      <c r="DY277" s="173">
        <f t="shared" si="687"/>
        <v>0.15590863952333667</v>
      </c>
      <c r="EA277" s="5">
        <f t="shared" si="713"/>
        <v>81.657932755134141</v>
      </c>
      <c r="EB277" s="5">
        <f t="shared" si="714"/>
        <v>3.8277155978969128</v>
      </c>
      <c r="EC277" s="5">
        <f t="shared" si="715"/>
        <v>4.0353689589073527</v>
      </c>
      <c r="ED277" s="5"/>
      <c r="EE277" s="173">
        <f t="shared" si="716"/>
        <v>3.2424400003997516</v>
      </c>
      <c r="EF277" s="173">
        <f t="shared" si="717"/>
        <v>7.5445194951372683</v>
      </c>
      <c r="EG277" s="173">
        <f t="shared" si="718"/>
        <v>0.18580228403710611</v>
      </c>
      <c r="EH277" s="173"/>
      <c r="EI277" s="528">
        <f t="shared" si="719"/>
        <v>0.21026834312384682</v>
      </c>
      <c r="EJ277" s="528">
        <f t="shared" si="720"/>
        <v>2.2241666666666666</v>
      </c>
      <c r="EK277" s="528">
        <f t="shared" si="721"/>
        <v>9.7055553270027906E-3</v>
      </c>
      <c r="EL277" s="528">
        <f t="shared" si="722"/>
        <v>7.8735269390334831E-2</v>
      </c>
      <c r="EM277">
        <f t="shared" si="723"/>
        <v>3.8249999999999999E-2</v>
      </c>
      <c r="EN277" s="460">
        <f t="shared" si="724"/>
        <v>47.955555327002791</v>
      </c>
      <c r="EP277" s="460">
        <f t="shared" si="725"/>
        <v>2561.1258345078513</v>
      </c>
      <c r="EQ277" s="173">
        <f t="shared" si="726"/>
        <v>4.2699999999999996</v>
      </c>
      <c r="ER277" s="173">
        <f t="shared" si="772"/>
        <v>6.7671874999999992E-2</v>
      </c>
      <c r="ES277" s="528"/>
      <c r="EU277" s="460">
        <f t="shared" si="727"/>
        <v>4337.671875</v>
      </c>
      <c r="EV277" s="528">
        <f t="shared" si="728"/>
        <v>0.31540251468577024</v>
      </c>
      <c r="EW277" s="528">
        <f t="shared" si="729"/>
        <v>1.707593232375189</v>
      </c>
      <c r="EX277" s="528">
        <f t="shared" si="730"/>
        <v>1.7261244376702727E-4</v>
      </c>
      <c r="EY277" s="528">
        <f t="shared" si="731"/>
        <v>2.0264675705467892</v>
      </c>
      <c r="EZ277" s="528"/>
      <c r="FA277" s="625">
        <f t="shared" si="732"/>
        <v>1.570743771951319E-2</v>
      </c>
      <c r="FB277" s="460">
        <f t="shared" si="733"/>
        <v>4065.3433677710282</v>
      </c>
      <c r="FC277" s="173">
        <f t="shared" si="734"/>
        <v>10.96414107727888</v>
      </c>
      <c r="FD277" s="5">
        <f t="shared" si="735"/>
        <v>92.72</v>
      </c>
      <c r="FE277" s="173">
        <f t="shared" si="736"/>
        <v>0.89425440608986695</v>
      </c>
      <c r="FF277" s="5">
        <f t="shared" si="737"/>
        <v>89.42544060898669</v>
      </c>
      <c r="FG277">
        <f t="shared" si="738"/>
        <v>61</v>
      </c>
      <c r="FI277" s="562">
        <f t="shared" si="689"/>
        <v>-50</v>
      </c>
    </row>
    <row r="278" spans="5:165">
      <c r="E278" s="170">
        <v>62</v>
      </c>
      <c r="F278" s="217">
        <f t="shared" si="773"/>
        <v>6.2</v>
      </c>
      <c r="G278" s="217">
        <f t="shared" si="742"/>
        <v>0.155</v>
      </c>
      <c r="H278" s="217">
        <f t="shared" si="743"/>
        <v>93</v>
      </c>
      <c r="I278" s="217">
        <f t="shared" si="744"/>
        <v>1.24</v>
      </c>
      <c r="J278" s="541">
        <f t="shared" si="745"/>
        <v>84.591621379185312</v>
      </c>
      <c r="K278" s="443">
        <f t="shared" si="746"/>
        <v>15.920355294117646</v>
      </c>
      <c r="L278" s="172">
        <f t="shared" si="747"/>
        <v>100.51197667330295</v>
      </c>
      <c r="M278" s="443"/>
      <c r="N278" s="217">
        <f t="shared" si="748"/>
        <v>0.15839261967620086</v>
      </c>
      <c r="O278" s="172">
        <f t="shared" si="749"/>
        <v>330.55974949604803</v>
      </c>
      <c r="P278" s="172">
        <f t="shared" si="750"/>
        <v>4.4662295043021603</v>
      </c>
      <c r="Q278" s="217">
        <f t="shared" si="626"/>
        <v>22.037316633069867</v>
      </c>
      <c r="R278" s="217">
        <f t="shared" si="751"/>
        <v>41.319968687006003</v>
      </c>
      <c r="S278" s="217">
        <f t="shared" si="752"/>
        <v>15</v>
      </c>
      <c r="T278" s="217">
        <f t="shared" si="753"/>
        <v>14.067048414361146</v>
      </c>
      <c r="U278" s="217">
        <f t="shared" si="630"/>
        <v>1.9955236490344652</v>
      </c>
      <c r="V278" s="217">
        <f t="shared" si="631"/>
        <v>10.603066191286871</v>
      </c>
      <c r="W278" s="197">
        <f t="shared" si="632"/>
        <v>111.65573760755397</v>
      </c>
      <c r="X278" s="443">
        <f t="shared" si="691"/>
        <v>78.13360787995164</v>
      </c>
      <c r="Z278" s="217">
        <f t="shared" si="633"/>
        <v>10</v>
      </c>
      <c r="AA278" s="173">
        <f t="shared" si="634"/>
        <v>7.5375202238318355</v>
      </c>
      <c r="AB278" s="173">
        <f t="shared" si="754"/>
        <v>4.152667995018744</v>
      </c>
      <c r="AC278" s="173"/>
      <c r="AD278" s="173">
        <f t="shared" si="636"/>
        <v>7.5375202238318355</v>
      </c>
      <c r="AE278" s="545">
        <f t="shared" si="755"/>
        <v>164.51033803921572</v>
      </c>
      <c r="AF278" s="528">
        <f t="shared" si="756"/>
        <v>4.2080369016189945</v>
      </c>
      <c r="AH278" s="173">
        <f t="shared" si="757"/>
        <v>6.6989693592515014</v>
      </c>
      <c r="AI278" s="173">
        <f t="shared" si="758"/>
        <v>14.067048414361146</v>
      </c>
      <c r="AJ278" s="173">
        <f t="shared" si="759"/>
        <v>4.2126284550823305</v>
      </c>
      <c r="AL278" s="545">
        <f t="shared" si="760"/>
        <v>6200</v>
      </c>
      <c r="AM278" s="460">
        <f t="shared" si="761"/>
        <v>78.13360787995164</v>
      </c>
      <c r="AO278">
        <f t="shared" si="644"/>
        <v>6200</v>
      </c>
      <c r="AP278">
        <f t="shared" si="645"/>
        <v>78.13360787995164</v>
      </c>
      <c r="AR278" s="5">
        <f t="shared" si="774"/>
        <v>12.798589840321334</v>
      </c>
      <c r="AS278" s="5">
        <f t="shared" si="739"/>
        <v>1.9955236490344652</v>
      </c>
      <c r="AT278" s="5">
        <f t="shared" si="740"/>
        <v>10.803066191286868</v>
      </c>
      <c r="AU278" s="173">
        <f t="shared" si="741"/>
        <v>0.15591746230882914</v>
      </c>
      <c r="BA278" s="173">
        <f t="shared" si="692"/>
        <v>3.2069318701439649</v>
      </c>
      <c r="BB278" s="173">
        <f t="shared" si="693"/>
        <v>7.4616489471774994</v>
      </c>
      <c r="BC278" s="173">
        <f t="shared" si="694"/>
        <v>0.18376139367950861</v>
      </c>
      <c r="BD278" s="173"/>
      <c r="BE278" s="528">
        <f t="shared" si="695"/>
        <v>0.20568824039490136</v>
      </c>
      <c r="BF278" s="528">
        <f t="shared" si="762"/>
        <v>2.0713808020943731</v>
      </c>
      <c r="BG278" s="528">
        <f t="shared" si="763"/>
        <v>0.16523621436926497</v>
      </c>
      <c r="BH278" s="528">
        <f t="shared" si="696"/>
        <v>7.8935707611682879E-2</v>
      </c>
      <c r="BI278">
        <f t="shared" si="697"/>
        <v>3.8066229620633392E-2</v>
      </c>
      <c r="BJ278" s="460">
        <f t="shared" si="698"/>
        <v>203.30244398989836</v>
      </c>
      <c r="BK278">
        <f t="shared" si="764"/>
        <v>2.5354519822726269</v>
      </c>
      <c r="BL278" s="460">
        <f t="shared" si="699"/>
        <v>2559.3071940908558</v>
      </c>
      <c r="BM278" s="173">
        <f t="shared" si="765"/>
        <v>3.8517499999999996</v>
      </c>
      <c r="BN278" s="173">
        <f t="shared" si="766"/>
        <v>6.8781250000000002E-2</v>
      </c>
      <c r="BQ278" s="460">
        <f t="shared" si="700"/>
        <v>3920.5312499999995</v>
      </c>
      <c r="BR278" s="528">
        <f t="shared" si="701"/>
        <v>0.30853236059235201</v>
      </c>
      <c r="BS278" s="528">
        <f t="shared" si="702"/>
        <v>1.6702861503274524</v>
      </c>
      <c r="BT278" s="528">
        <f t="shared" si="703"/>
        <v>1.6884124903517674E-4</v>
      </c>
      <c r="BU278" s="528">
        <f t="shared" si="704"/>
        <v>2.0024983015119209</v>
      </c>
      <c r="BV278" s="528"/>
      <c r="BW278" s="625">
        <f t="shared" si="705"/>
        <v>1.5461222959779778E-2</v>
      </c>
      <c r="BX278" s="460">
        <f t="shared" si="706"/>
        <v>3996.9468766405403</v>
      </c>
      <c r="BY278" s="173">
        <f t="shared" si="707"/>
        <v>10.476785320731395</v>
      </c>
      <c r="BZ278" s="5">
        <f t="shared" si="708"/>
        <v>94.24</v>
      </c>
      <c r="CA278" s="173">
        <f t="shared" si="709"/>
        <v>0.89995123237747787</v>
      </c>
      <c r="CB278" s="5">
        <f t="shared" si="710"/>
        <v>89.995123237747791</v>
      </c>
      <c r="CC278">
        <f t="shared" si="711"/>
        <v>62</v>
      </c>
      <c r="CE278" s="562">
        <f t="shared" si="767"/>
        <v>-50</v>
      </c>
      <c r="CG278" s="173">
        <f t="shared" si="768"/>
        <v>0.84409136047666333</v>
      </c>
      <c r="CH278" s="173">
        <f t="shared" si="769"/>
        <v>0.10203989682880611</v>
      </c>
      <c r="CI278" s="170">
        <v>62</v>
      </c>
      <c r="CJ278" s="217">
        <f t="shared" si="712"/>
        <v>6.2</v>
      </c>
      <c r="CK278" s="217">
        <f t="shared" si="654"/>
        <v>0.155</v>
      </c>
      <c r="CL278" s="217">
        <f t="shared" si="655"/>
        <v>93</v>
      </c>
      <c r="CM278" s="217">
        <f t="shared" si="656"/>
        <v>1.24</v>
      </c>
      <c r="CN278" s="541">
        <f t="shared" si="657"/>
        <v>85</v>
      </c>
      <c r="CO278" s="443">
        <f t="shared" si="770"/>
        <v>15.7</v>
      </c>
      <c r="CP278" s="443">
        <f t="shared" si="771"/>
        <v>100.7</v>
      </c>
      <c r="CQ278" s="443"/>
      <c r="CR278" s="217">
        <f t="shared" si="660"/>
        <v>0.15338645418326693</v>
      </c>
      <c r="CS278" s="172">
        <f t="shared" si="661"/>
        <v>321.65744915076539</v>
      </c>
      <c r="CT278" s="172">
        <f t="shared" si="662"/>
        <v>4.3459495351925632</v>
      </c>
      <c r="CU278" s="217">
        <f t="shared" si="663"/>
        <v>21.443829943384358</v>
      </c>
      <c r="CV278" s="217">
        <f t="shared" si="664"/>
        <v>40.207181143845673</v>
      </c>
      <c r="CW278" s="217">
        <f t="shared" si="665"/>
        <v>15</v>
      </c>
      <c r="CX278" s="217">
        <f t="shared" si="666"/>
        <v>14.45637280366692</v>
      </c>
      <c r="CY278" s="217">
        <f t="shared" si="667"/>
        <v>2.0408996899294478</v>
      </c>
      <c r="CZ278" s="217">
        <f t="shared" si="668"/>
        <v>11.049456920000194</v>
      </c>
      <c r="DA278" s="197">
        <f t="shared" si="669"/>
        <v>110.43528632903013</v>
      </c>
      <c r="DB278" s="443">
        <f t="shared" si="670"/>
        <v>76.392112896409074</v>
      </c>
      <c r="DD278" s="217">
        <f t="shared" si="671"/>
        <v>9.9999999999999982</v>
      </c>
      <c r="DE278" s="173">
        <f t="shared" si="672"/>
        <v>7.6433121019108263</v>
      </c>
      <c r="DF278" s="173">
        <f t="shared" si="673"/>
        <v>4.1649244760361679</v>
      </c>
      <c r="DG278" s="173"/>
      <c r="DH278" s="173">
        <f t="shared" si="674"/>
        <v>7.6433121019108281</v>
      </c>
      <c r="DI278" s="545">
        <f t="shared" si="675"/>
        <v>162.23333333333335</v>
      </c>
      <c r="DJ278" s="528">
        <f t="shared" si="676"/>
        <v>4.2204568023833167</v>
      </c>
      <c r="DL278" s="173">
        <f t="shared" si="677"/>
        <v>6.6989693592515014</v>
      </c>
      <c r="DM278" s="173">
        <f t="shared" si="678"/>
        <v>14.45637280366692</v>
      </c>
      <c r="DN278" s="173">
        <f t="shared" si="679"/>
        <v>4.5010168916051256</v>
      </c>
      <c r="DP278" s="545">
        <f t="shared" si="680"/>
        <v>6200</v>
      </c>
      <c r="DQ278" s="460">
        <f t="shared" si="681"/>
        <v>76.392112896409074</v>
      </c>
      <c r="DS278">
        <f t="shared" si="682"/>
        <v>6200</v>
      </c>
      <c r="DT278">
        <f t="shared" si="683"/>
        <v>76.392112896409074</v>
      </c>
      <c r="DV278" s="5">
        <f t="shared" si="684"/>
        <v>13.090356609929643</v>
      </c>
      <c r="DW278" s="5">
        <f t="shared" si="685"/>
        <v>2.0408996899294478</v>
      </c>
      <c r="DX278" s="5">
        <f t="shared" si="686"/>
        <v>11.049456920000194</v>
      </c>
      <c r="DY278" s="173">
        <f t="shared" si="687"/>
        <v>0.15590863952333664</v>
      </c>
      <c r="EA278" s="5">
        <f t="shared" si="713"/>
        <v>84.357187183750511</v>
      </c>
      <c r="EB278" s="5">
        <f t="shared" si="714"/>
        <v>3.9542431492383052</v>
      </c>
      <c r="EC278" s="5">
        <f t="shared" si="715"/>
        <v>4.1687606229615337</v>
      </c>
      <c r="ED278" s="5"/>
      <c r="EE278" s="173">
        <f t="shared" si="716"/>
        <v>3.2955947545046653</v>
      </c>
      <c r="EF278" s="173">
        <f t="shared" si="717"/>
        <v>7.6682001425985344</v>
      </c>
      <c r="EG278" s="173">
        <f t="shared" si="718"/>
        <v>0.18884822311968158</v>
      </c>
      <c r="EH278" s="173"/>
      <c r="EI278" s="528">
        <f t="shared" si="719"/>
        <v>0.2172188957183733</v>
      </c>
      <c r="EJ278" s="528">
        <f t="shared" si="720"/>
        <v>2.2241666666666666</v>
      </c>
      <c r="EK278" s="528">
        <f t="shared" si="721"/>
        <v>9.5490141120511338E-3</v>
      </c>
      <c r="EL278" s="528">
        <f t="shared" si="722"/>
        <v>7.7465345690490725E-2</v>
      </c>
      <c r="EM278">
        <f t="shared" si="723"/>
        <v>3.8249999999999999E-2</v>
      </c>
      <c r="EN278" s="460">
        <f t="shared" si="724"/>
        <v>47.799014112051132</v>
      </c>
      <c r="EP278" s="460">
        <f t="shared" si="725"/>
        <v>2566.649922187582</v>
      </c>
      <c r="EQ278" s="173">
        <f t="shared" si="726"/>
        <v>4.34</v>
      </c>
      <c r="ER278" s="173">
        <f t="shared" si="772"/>
        <v>6.8781250000000002E-2</v>
      </c>
      <c r="ES278" s="528"/>
      <c r="EU278" s="460">
        <f t="shared" si="727"/>
        <v>4408.78125</v>
      </c>
      <c r="EV278" s="528">
        <f t="shared" si="728"/>
        <v>0.32582834357755996</v>
      </c>
      <c r="EW278" s="528">
        <f t="shared" si="729"/>
        <v>1.7640388028084455</v>
      </c>
      <c r="EX278" s="528">
        <f t="shared" si="730"/>
        <v>1.7831825687730519E-4</v>
      </c>
      <c r="EY278" s="528">
        <f t="shared" si="731"/>
        <v>2.0264675705467909</v>
      </c>
      <c r="EZ278" s="528"/>
      <c r="FA278" s="625">
        <f t="shared" si="732"/>
        <v>1.5964936698521601E-2</v>
      </c>
      <c r="FB278" s="460">
        <f t="shared" si="733"/>
        <v>4132.4779718881955</v>
      </c>
      <c r="FC278" s="173">
        <f t="shared" si="734"/>
        <v>11.107909144075775</v>
      </c>
      <c r="FD278" s="5">
        <f t="shared" si="735"/>
        <v>94.24</v>
      </c>
      <c r="FE278" s="173">
        <f t="shared" si="736"/>
        <v>0.89455975695839973</v>
      </c>
      <c r="FF278" s="5">
        <f t="shared" si="737"/>
        <v>89.455975695839967</v>
      </c>
      <c r="FG278">
        <f t="shared" si="738"/>
        <v>62</v>
      </c>
      <c r="FI278" s="562">
        <f t="shared" si="689"/>
        <v>-50</v>
      </c>
    </row>
    <row r="279" spans="5:165">
      <c r="E279" s="170">
        <v>63</v>
      </c>
      <c r="F279" s="217">
        <f t="shared" si="773"/>
        <v>6.3</v>
      </c>
      <c r="G279" s="217">
        <f t="shared" si="742"/>
        <v>0.1575</v>
      </c>
      <c r="H279" s="217">
        <f t="shared" si="743"/>
        <v>94.5</v>
      </c>
      <c r="I279" s="217">
        <f t="shared" si="744"/>
        <v>1.26</v>
      </c>
      <c r="J279" s="541">
        <f t="shared" si="745"/>
        <v>84.585034627236681</v>
      </c>
      <c r="K279" s="443">
        <f t="shared" si="746"/>
        <v>15.923909411764706</v>
      </c>
      <c r="L279" s="172">
        <f t="shared" si="747"/>
        <v>100.50894403900139</v>
      </c>
      <c r="M279" s="443"/>
      <c r="N279" s="217">
        <f t="shared" si="748"/>
        <v>0.15843276002965076</v>
      </c>
      <c r="O279" s="172">
        <f t="shared" si="749"/>
        <v>330.61777532557619</v>
      </c>
      <c r="P279" s="172">
        <f t="shared" si="750"/>
        <v>4.4670134977322293</v>
      </c>
      <c r="Q279" s="217">
        <f t="shared" si="626"/>
        <v>22.041185021705079</v>
      </c>
      <c r="R279" s="217">
        <f t="shared" si="751"/>
        <v>41.327221915697024</v>
      </c>
      <c r="S279" s="217">
        <f t="shared" si="752"/>
        <v>15</v>
      </c>
      <c r="T279" s="217">
        <f t="shared" si="753"/>
        <v>14.291427602000683</v>
      </c>
      <c r="U279" s="217">
        <f t="shared" si="630"/>
        <v>2.0275115093324736</v>
      </c>
      <c r="V279" s="217">
        <f t="shared" si="631"/>
        <v>10.769788171320846</v>
      </c>
      <c r="W279" s="197">
        <f t="shared" si="632"/>
        <v>111.67533744330576</v>
      </c>
      <c r="X279" s="443">
        <f t="shared" si="691"/>
        <v>76.939058463698842</v>
      </c>
      <c r="Z279" s="217">
        <f t="shared" si="633"/>
        <v>10</v>
      </c>
      <c r="AA279" s="173">
        <f t="shared" si="634"/>
        <v>7.535837896147731</v>
      </c>
      <c r="AB279" s="173">
        <f t="shared" si="754"/>
        <v>4.1524699340642242</v>
      </c>
      <c r="AC279" s="173"/>
      <c r="AD279" s="173">
        <f t="shared" si="636"/>
        <v>7.535837896147731</v>
      </c>
      <c r="AE279" s="545">
        <f t="shared" si="755"/>
        <v>167.20104882352939</v>
      </c>
      <c r="AF279" s="528">
        <f t="shared" si="756"/>
        <v>4.2078361998517471</v>
      </c>
      <c r="AH279" s="173">
        <f t="shared" si="757"/>
        <v>6.7527772064536533</v>
      </c>
      <c r="AI279" s="173">
        <f t="shared" si="758"/>
        <v>14.291427602000683</v>
      </c>
      <c r="AJ279" s="173">
        <f t="shared" si="759"/>
        <v>4.3788352607412468</v>
      </c>
      <c r="AL279" s="545">
        <f t="shared" si="760"/>
        <v>6300</v>
      </c>
      <c r="AM279" s="460">
        <f t="shared" si="761"/>
        <v>76.939058463698842</v>
      </c>
      <c r="AO279">
        <f t="shared" si="644"/>
        <v>6300</v>
      </c>
      <c r="AP279">
        <f t="shared" si="645"/>
        <v>76.939058463698842</v>
      </c>
      <c r="AR279" s="5">
        <f t="shared" si="774"/>
        <v>12.997299680653319</v>
      </c>
      <c r="AS279" s="5">
        <f t="shared" si="739"/>
        <v>2.0275115093324736</v>
      </c>
      <c r="AT279" s="5">
        <f t="shared" si="740"/>
        <v>10.969788171320845</v>
      </c>
      <c r="AU279" s="173">
        <f t="shared" si="741"/>
        <v>0.15599482655235347</v>
      </c>
      <c r="BA279" s="173">
        <f t="shared" si="692"/>
        <v>3.2588928693955337</v>
      </c>
      <c r="BB279" s="173">
        <f t="shared" si="693"/>
        <v>7.5803200174450822</v>
      </c>
      <c r="BC279" s="173">
        <f t="shared" si="694"/>
        <v>0.18668395964531423</v>
      </c>
      <c r="BD279" s="173"/>
      <c r="BE279" s="528">
        <f t="shared" si="695"/>
        <v>0.2124076546839411</v>
      </c>
      <c r="BF279" s="528">
        <f t="shared" si="762"/>
        <v>2.0721847023708908</v>
      </c>
      <c r="BG279" s="528">
        <f t="shared" si="763"/>
        <v>0.16269732310847385</v>
      </c>
      <c r="BH279" s="528">
        <f t="shared" si="696"/>
        <v>7.772420487366441E-2</v>
      </c>
      <c r="BI279">
        <f t="shared" si="697"/>
        <v>3.8063265582256506E-2</v>
      </c>
      <c r="BJ279" s="460">
        <f t="shared" si="698"/>
        <v>200.76058869073034</v>
      </c>
      <c r="BK279">
        <f t="shared" si="764"/>
        <v>2.548273021247943</v>
      </c>
      <c r="BL279" s="460">
        <f t="shared" si="699"/>
        <v>2563.0771506192268</v>
      </c>
      <c r="BM279" s="173">
        <f t="shared" si="765"/>
        <v>3.9138749999999991</v>
      </c>
      <c r="BN279" s="173">
        <f t="shared" si="766"/>
        <v>6.9890624999999998E-2</v>
      </c>
      <c r="BQ279" s="460">
        <f t="shared" si="700"/>
        <v>3983.7656249999991</v>
      </c>
      <c r="BR279" s="528">
        <f t="shared" si="701"/>
        <v>0.31861148202591161</v>
      </c>
      <c r="BS279" s="528">
        <f t="shared" si="702"/>
        <v>1.7238375470063583</v>
      </c>
      <c r="BT279" s="528">
        <f t="shared" si="703"/>
        <v>1.7425450394426657E-4</v>
      </c>
      <c r="BU279" s="528">
        <f t="shared" si="704"/>
        <v>2.0045929871200512</v>
      </c>
      <c r="BV279" s="528"/>
      <c r="BW279" s="625">
        <f t="shared" si="705"/>
        <v>1.5714410525383873E-2</v>
      </c>
      <c r="BX279" s="460">
        <f t="shared" si="706"/>
        <v>4062.9306811816496</v>
      </c>
      <c r="BY279" s="173">
        <f t="shared" si="707"/>
        <v>10.609773456800877</v>
      </c>
      <c r="BZ279" s="5">
        <f t="shared" si="708"/>
        <v>95.76</v>
      </c>
      <c r="CA279" s="173">
        <f t="shared" si="709"/>
        <v>0.90025574830137489</v>
      </c>
      <c r="CB279" s="5">
        <f t="shared" si="710"/>
        <v>90.025574830137487</v>
      </c>
      <c r="CC279">
        <f t="shared" si="711"/>
        <v>63</v>
      </c>
      <c r="CE279" s="562">
        <f t="shared" si="767"/>
        <v>-50</v>
      </c>
      <c r="CG279" s="173">
        <f t="shared" si="768"/>
        <v>0.84409136047666333</v>
      </c>
      <c r="CH279" s="173">
        <f t="shared" si="769"/>
        <v>0.1020398968288061</v>
      </c>
      <c r="CI279" s="170">
        <v>63</v>
      </c>
      <c r="CJ279" s="217">
        <f t="shared" si="712"/>
        <v>6.3</v>
      </c>
      <c r="CK279" s="217">
        <f t="shared" si="654"/>
        <v>0.1575</v>
      </c>
      <c r="CL279" s="217">
        <f t="shared" si="655"/>
        <v>94.5</v>
      </c>
      <c r="CM279" s="217">
        <f t="shared" si="656"/>
        <v>1.26</v>
      </c>
      <c r="CN279" s="541">
        <f t="shared" si="657"/>
        <v>85</v>
      </c>
      <c r="CO279" s="443">
        <f t="shared" si="770"/>
        <v>15.7</v>
      </c>
      <c r="CP279" s="443">
        <f t="shared" si="771"/>
        <v>100.7</v>
      </c>
      <c r="CQ279" s="443"/>
      <c r="CR279" s="217">
        <f t="shared" si="660"/>
        <v>0.15338645418326693</v>
      </c>
      <c r="CS279" s="172">
        <f t="shared" si="661"/>
        <v>321.65744915076539</v>
      </c>
      <c r="CT279" s="172">
        <f t="shared" si="662"/>
        <v>4.3459495351925632</v>
      </c>
      <c r="CU279" s="217">
        <f t="shared" si="663"/>
        <v>21.443829943384358</v>
      </c>
      <c r="CV279" s="217">
        <f t="shared" si="664"/>
        <v>40.207181143845673</v>
      </c>
      <c r="CW279" s="217">
        <f t="shared" si="665"/>
        <v>15</v>
      </c>
      <c r="CX279" s="217">
        <f t="shared" si="666"/>
        <v>14.689540106951872</v>
      </c>
      <c r="CY279" s="217">
        <f t="shared" si="667"/>
        <v>2.0738174268637937</v>
      </c>
      <c r="CZ279" s="217">
        <f t="shared" si="668"/>
        <v>11.227673967096974</v>
      </c>
      <c r="DA279" s="197">
        <f t="shared" si="669"/>
        <v>110.43528632903013</v>
      </c>
      <c r="DB279" s="443">
        <f t="shared" si="670"/>
        <v>75.179539675831137</v>
      </c>
      <c r="DD279" s="217">
        <f t="shared" si="671"/>
        <v>9.9999999999999982</v>
      </c>
      <c r="DE279" s="173">
        <f t="shared" si="672"/>
        <v>7.6433121019108263</v>
      </c>
      <c r="DF279" s="173">
        <f t="shared" si="673"/>
        <v>4.1649244760361679</v>
      </c>
      <c r="DG279" s="173"/>
      <c r="DH279" s="173">
        <f t="shared" si="674"/>
        <v>7.6433121019108281</v>
      </c>
      <c r="DI279" s="545">
        <f t="shared" si="675"/>
        <v>164.85</v>
      </c>
      <c r="DJ279" s="528">
        <f t="shared" si="676"/>
        <v>4.2204568023833167</v>
      </c>
      <c r="DL279" s="173">
        <f t="shared" si="677"/>
        <v>6.7527772064536533</v>
      </c>
      <c r="DM279" s="173">
        <f t="shared" si="678"/>
        <v>14.689540106951872</v>
      </c>
      <c r="DN279" s="173">
        <f t="shared" si="679"/>
        <v>4.6737334125569419</v>
      </c>
      <c r="DP279" s="545">
        <f t="shared" si="680"/>
        <v>6300</v>
      </c>
      <c r="DQ279" s="460">
        <f t="shared" si="681"/>
        <v>75.179539675831137</v>
      </c>
      <c r="DS279">
        <f t="shared" si="682"/>
        <v>6300</v>
      </c>
      <c r="DT279">
        <f t="shared" si="683"/>
        <v>75.179539675831137</v>
      </c>
      <c r="DV279" s="5">
        <f t="shared" si="684"/>
        <v>13.301491393960768</v>
      </c>
      <c r="DW279" s="5">
        <f t="shared" si="685"/>
        <v>2.0738174268637937</v>
      </c>
      <c r="DX279" s="5">
        <f t="shared" si="686"/>
        <v>11.227673967096974</v>
      </c>
      <c r="DY279" s="173">
        <f t="shared" si="687"/>
        <v>0.15590863952333661</v>
      </c>
      <c r="EA279" s="5">
        <f t="shared" si="713"/>
        <v>87.100331928279331</v>
      </c>
      <c r="EB279" s="5">
        <f t="shared" si="714"/>
        <v>4.0828280591380937</v>
      </c>
      <c r="EC279" s="5">
        <f t="shared" si="715"/>
        <v>4.304321257162937</v>
      </c>
      <c r="ED279" s="5"/>
      <c r="EE279" s="173">
        <f t="shared" si="716"/>
        <v>3.3487495086095795</v>
      </c>
      <c r="EF279" s="173">
        <f t="shared" si="717"/>
        <v>7.7918807900598024</v>
      </c>
      <c r="EG279" s="173">
        <f t="shared" si="718"/>
        <v>0.19189416220225711</v>
      </c>
      <c r="EH279" s="173"/>
      <c r="EI279" s="528">
        <f t="shared" si="719"/>
        <v>0.224282465428258</v>
      </c>
      <c r="EJ279" s="528">
        <f t="shared" si="720"/>
        <v>2.2241666666666666</v>
      </c>
      <c r="EK279" s="528">
        <f t="shared" si="721"/>
        <v>9.3974424594788913E-3</v>
      </c>
      <c r="EL279" s="528">
        <f t="shared" si="722"/>
        <v>7.6235737028736886E-2</v>
      </c>
      <c r="EM279">
        <f t="shared" si="723"/>
        <v>3.8249999999999999E-2</v>
      </c>
      <c r="EN279" s="460">
        <f t="shared" si="724"/>
        <v>47.647442459478889</v>
      </c>
      <c r="EP279" s="460">
        <f t="shared" si="725"/>
        <v>2572.3323115831399</v>
      </c>
      <c r="EQ279" s="173">
        <f t="shared" si="726"/>
        <v>4.4099999999999993</v>
      </c>
      <c r="ER279" s="173">
        <f t="shared" si="772"/>
        <v>6.9890624999999998E-2</v>
      </c>
      <c r="ES279" s="528"/>
      <c r="EU279" s="460">
        <f t="shared" si="727"/>
        <v>4479.8906249999991</v>
      </c>
      <c r="EV279" s="528">
        <f t="shared" si="728"/>
        <v>0.33642369814238698</v>
      </c>
      <c r="EW279" s="528">
        <f t="shared" si="729"/>
        <v>1.821402187395089</v>
      </c>
      <c r="EX279" s="528">
        <f t="shared" si="730"/>
        <v>1.8411684743653082E-4</v>
      </c>
      <c r="EY279" s="528">
        <f t="shared" si="731"/>
        <v>2.0264675705467923</v>
      </c>
      <c r="EZ279" s="528"/>
      <c r="FA279" s="625">
        <f t="shared" si="732"/>
        <v>1.6222435677530019E-2</v>
      </c>
      <c r="FB279" s="460">
        <f t="shared" si="733"/>
        <v>4200.7000086092357</v>
      </c>
      <c r="FC279" s="173">
        <f t="shared" si="734"/>
        <v>11.252922945192374</v>
      </c>
      <c r="FD279" s="5">
        <f t="shared" si="735"/>
        <v>95.76</v>
      </c>
      <c r="FE279" s="173">
        <f t="shared" si="736"/>
        <v>0.89484519593062928</v>
      </c>
      <c r="FF279" s="5">
        <f t="shared" si="737"/>
        <v>89.484519593062927</v>
      </c>
      <c r="FG279">
        <f t="shared" si="738"/>
        <v>63</v>
      </c>
      <c r="FI279" s="562">
        <f t="shared" si="689"/>
        <v>-50</v>
      </c>
    </row>
    <row r="280" spans="5:165">
      <c r="E280" s="170">
        <v>64</v>
      </c>
      <c r="F280" s="217">
        <f t="shared" si="773"/>
        <v>6.4</v>
      </c>
      <c r="G280" s="217">
        <f t="shared" ref="G280:G316" si="775">IF(PLOT_TYPE=1, E280/100*Iout2, min_I*EXP(Q280*rr/100))</f>
        <v>0.16</v>
      </c>
      <c r="H280" s="217">
        <f t="shared" ref="H280:H316" si="776">F280*Vout</f>
        <v>96</v>
      </c>
      <c r="I280" s="217">
        <f t="shared" ref="I280:I316" si="777">Vout2*G280</f>
        <v>1.28</v>
      </c>
      <c r="J280" s="541">
        <f t="shared" ref="J280:J316" si="778">VIN_max-(F280/CG280/Nps+G280/CH280/(Nps/Nsec1sec2))*(Rdcr_pri+RON/1000)</f>
        <v>84.578447875288063</v>
      </c>
      <c r="K280" s="443">
        <f t="shared" ref="K280:K316" si="779">MAX((S280+Vfwd2+Rdcr_sec*F280/CG280)*Nps,(Vout2+Vfwd22+Rdcr_sec2*G280/CH280)*Nps/Nsec1sec2)</f>
        <v>15.927463529411764</v>
      </c>
      <c r="L280" s="172">
        <f t="shared" ref="L280:L316" si="780">MAX((Vout+Vfwd2+F280/CG280*Rdcr_sec)*Nps+J280, (Vout2+Vfwd22+G280/CH280*Rdcr_sec2)*Nps/Nsec1sec2+J280)</f>
        <v>100.50591140469983</v>
      </c>
      <c r="M280" s="443"/>
      <c r="N280" s="217">
        <f t="shared" ref="N280:N316" si="781">MAX((Vout+Vfwd2+F280/CG280*Rdcr_sec)*Nps/((Vout+Vfwd2+F280/CG280*Rdcr_sec)*Nps+J280), (Vout2+Vfwd22+G280/CH280*Rdcr_sec2)*Nps/Nsec1sec2/((Vout2+Vfwd22+G280/CH280*Rdcr_sec2)*Nps/Nsec1sec2+J280))</f>
        <v>0.15847290280546592</v>
      </c>
      <c r="O280" s="172">
        <f t="shared" ref="O280:O311" si="782">N280*J280*Isw_max*0.5*Efficiency*Pout/(Pout+Pout2)</f>
        <v>330.67579316392329</v>
      </c>
      <c r="P280" s="172">
        <f t="shared" ref="P280:P316" si="783">N280*J280*Isw_max*0.5*Efficiency*(Pout2/Pout_total)</f>
        <v>4.4677973831925639</v>
      </c>
      <c r="Q280" s="217">
        <f t="shared" ref="Q280:Q316" si="784">O280/Vout</f>
        <v>22.045052877594888</v>
      </c>
      <c r="R280" s="217">
        <f t="shared" ref="R280:R316" si="785">O280/Vout2</f>
        <v>41.334474145490411</v>
      </c>
      <c r="S280" s="217">
        <f t="shared" ref="S280:S316" si="786">MIN(Vout,O280/F280)</f>
        <v>15</v>
      </c>
      <c r="T280" s="217">
        <f t="shared" ref="T280:T316" si="787">MIN(2*(Vout*F280+Vout2*G280)/(Efficiency*J280*N280), Isw_max)</f>
        <v>14.515728393884986</v>
      </c>
      <c r="U280" s="217">
        <f t="shared" ref="U280:U316" si="788">L*T280/J280*1000000</f>
        <v>2.0594932290961787</v>
      </c>
      <c r="V280" s="217">
        <f t="shared" ref="V280:V316" si="789">L*T280/K280*1000000</f>
        <v>10.936376680754076</v>
      </c>
      <c r="W280" s="197">
        <f t="shared" ref="W280:W316" si="790">IF(1/((350000*L)*(1/J280+1/K280))&gt;Isw_min, 350, 0.001/((Isw_min*L)*(1/J280+1/K280)))</f>
        <v>111.69493457981406</v>
      </c>
      <c r="X280" s="443">
        <f t="shared" si="691"/>
        <v>75.781286632231428</v>
      </c>
      <c r="Z280" s="217">
        <f t="shared" ref="Z280:Z316" si="791">1/((W280*1000*L)*(1/J280+1/K280))</f>
        <v>10</v>
      </c>
      <c r="AA280" s="173">
        <f t="shared" ref="AA280:AA316" si="792">L*Z280/K280*1000000</f>
        <v>7.5341563192662271</v>
      </c>
      <c r="AB280" s="173">
        <f t="shared" ref="AB280:AB311" si="793">0.5*AA280*Z280*Nps*W280/1000*(Pout/(Pout+Pout2))</f>
        <v>4.1522718611572396</v>
      </c>
      <c r="AC280" s="173"/>
      <c r="AD280" s="173">
        <f t="shared" ref="AD280:AD316" si="794">L*Isw_min/K280*1000000</f>
        <v>7.5341563192662271</v>
      </c>
      <c r="AE280" s="545">
        <f t="shared" ref="AE280:AE311" si="795">MAX(10, F280/(0.5*AD280/1000000*Isw_min*Nps)/1000*Pout_total/Pout)</f>
        <v>169.89294431372548</v>
      </c>
      <c r="AF280" s="528">
        <f t="shared" ref="AF280:AF316" si="796">0.5*AD280/1000000*Isw_min*Nps*W280*1000*(Pout/Pout_total)</f>
        <v>4.2076354859726699</v>
      </c>
      <c r="AH280" s="173">
        <f t="shared" ref="AH280:AH315" si="797">SQRT((H280+I280)/(0.5*L*Fsw_DCM))</f>
        <v>6.8061596751626041</v>
      </c>
      <c r="AI280" s="173">
        <f t="shared" ref="AI280:AI311" si="798">MAX(IF(F280&gt;AB280,T280,AH280),Isw_min)</f>
        <v>14.515728393884986</v>
      </c>
      <c r="AJ280" s="173">
        <f t="shared" ref="AJ280:AJ311" si="799">IF(F280&gt;AF280, (AI280-Isw_min)/1.08*0.8+1.2, AE280*0.2/350+1)</f>
        <v>4.5449839954703597</v>
      </c>
      <c r="AL280" s="545">
        <f t="shared" ref="AL280:AL316" si="800">F280*1000</f>
        <v>6400</v>
      </c>
      <c r="AM280" s="460">
        <f t="shared" ref="AM280:AM316" si="801">IF(F280&gt;AF280, X280, AE280)</f>
        <v>75.781286632231428</v>
      </c>
      <c r="AO280">
        <f t="shared" ref="AO280:AO316" si="802">IF(H280&gt;O280, "",AL280)</f>
        <v>6400</v>
      </c>
      <c r="AP280">
        <f t="shared" ref="AP280:AP316" si="803">IF(H280&gt;O280, "",AM280)</f>
        <v>75.781286632231428</v>
      </c>
      <c r="AR280" s="5">
        <f t="shared" si="774"/>
        <v>13.195869909850256</v>
      </c>
      <c r="AS280" s="5">
        <f t="shared" si="739"/>
        <v>2.0594932290961787</v>
      </c>
      <c r="AT280" s="5">
        <f t="shared" si="740"/>
        <v>11.136376680754077</v>
      </c>
      <c r="AU280" s="173">
        <f t="shared" si="741"/>
        <v>0.15607104671127736</v>
      </c>
      <c r="BA280" s="173">
        <f t="shared" si="692"/>
        <v>3.3108490270763347</v>
      </c>
      <c r="BB280" s="173">
        <f t="shared" si="693"/>
        <v>7.6989438012574576</v>
      </c>
      <c r="BC280" s="173">
        <f t="shared" si="694"/>
        <v>0.18960536106626213</v>
      </c>
      <c r="BD280" s="173"/>
      <c r="BE280" s="528">
        <f t="shared" si="695"/>
        <v>0.21923442560184622</v>
      </c>
      <c r="BF280" s="528">
        <f t="shared" ref="BF280:BF316" si="804">0.5*L280*AI280*AM280*1000*Tfall</f>
        <v>2.0729731943081204</v>
      </c>
      <c r="BG280" s="528">
        <f t="shared" ref="BG280:BG316" si="805">Qg*Vdd*AM280*1000*0+Qg*J280*AM280*1000</f>
        <v>0.16023659003366125</v>
      </c>
      <c r="BH280" s="528">
        <f t="shared" si="696"/>
        <v>7.6549998569999556E-2</v>
      </c>
      <c r="BI280">
        <f t="shared" si="697"/>
        <v>3.8060301543879627E-2</v>
      </c>
      <c r="BJ280" s="460">
        <f t="shared" si="698"/>
        <v>198.29689157754089</v>
      </c>
      <c r="BK280">
        <f t="shared" ref="BK280:BK316" si="806">(BF280+BG280*0+BH280+BI280*0+BE280*(1+RdsonTC*(Ta-25)))/(1-BE280*RdsonTC*ThetaJA)</f>
        <v>2.5613730927071092</v>
      </c>
      <c r="BL280" s="460">
        <f t="shared" si="699"/>
        <v>2567.0545100575073</v>
      </c>
      <c r="BM280" s="173">
        <f t="shared" ref="BM280:BM316" si="807">Vfwd2*F280*(1+Diode_TC/1000*(Ta-25))</f>
        <v>3.9759999999999995</v>
      </c>
      <c r="BN280" s="173">
        <f t="shared" ref="BN280:BN316" si="808">Vfwd22*G280*(1+Diode_TC/1000*(Ta-25))</f>
        <v>7.0999999999999994E-2</v>
      </c>
      <c r="BQ280" s="460">
        <f t="shared" si="700"/>
        <v>4046.9999999999995</v>
      </c>
      <c r="BR280" s="528">
        <f t="shared" si="701"/>
        <v>0.32885163840276932</v>
      </c>
      <c r="BS280" s="528">
        <f t="shared" si="702"/>
        <v>1.7782120696476187</v>
      </c>
      <c r="BT280" s="528">
        <f t="shared" si="703"/>
        <v>1.7975096472533817E-4</v>
      </c>
      <c r="BU280" s="528">
        <f t="shared" si="704"/>
        <v>2.0066518247314056</v>
      </c>
      <c r="BV280" s="528"/>
      <c r="BW280" s="625">
        <f t="shared" si="705"/>
        <v>1.5967599881213889E-2</v>
      </c>
      <c r="BX280" s="460">
        <f t="shared" si="706"/>
        <v>4129.862883627733</v>
      </c>
      <c r="BY280" s="173">
        <f t="shared" si="707"/>
        <v>10.743917393685241</v>
      </c>
      <c r="BZ280" s="5">
        <f t="shared" si="708"/>
        <v>97.28</v>
      </c>
      <c r="CA280" s="173">
        <f t="shared" si="709"/>
        <v>0.9005413092497857</v>
      </c>
      <c r="CB280" s="5">
        <f t="shared" si="710"/>
        <v>90.054130924978566</v>
      </c>
      <c r="CC280">
        <f t="shared" si="711"/>
        <v>64</v>
      </c>
      <c r="CE280" s="562">
        <f t="shared" ref="CE280:CE316" si="809">IF(ABS(F280-Ioutmax_Vinmax)&lt;Iout/200, AM280, -50)</f>
        <v>-50</v>
      </c>
      <c r="CG280" s="173">
        <f t="shared" ref="CG280:CG316" si="810">MIN(SQRT(2*DT280*1000*Ls1_*CL280)/CW280, 1-DY280)</f>
        <v>0.84409136047666333</v>
      </c>
      <c r="CH280" s="173">
        <f t="shared" ref="CH280:CH316" si="811">MIN(SQRT(2*DT280*1000*Ls2_*CM280)/Vout2, 1-DY280)</f>
        <v>0.1020398968288061</v>
      </c>
      <c r="CI280" s="170">
        <v>64</v>
      </c>
      <c r="CJ280" s="217">
        <f t="shared" si="712"/>
        <v>6.4</v>
      </c>
      <c r="CK280" s="217">
        <f t="shared" ref="CK280:CK316" si="812">IF(PLOT_TYPE=1, CI280/100*Iout2, min_I*EXP(CU280*rr/100))</f>
        <v>0.16</v>
      </c>
      <c r="CL280" s="217">
        <f t="shared" ref="CL280:CL316" si="813">CJ280*Vout</f>
        <v>96</v>
      </c>
      <c r="CM280" s="217">
        <f t="shared" ref="CM280:CM316" si="814">Vout2*CK280</f>
        <v>1.28</v>
      </c>
      <c r="CN280" s="541">
        <f t="shared" ref="CN280:CN316" si="815">VIN_max</f>
        <v>85</v>
      </c>
      <c r="CO280" s="443">
        <f t="shared" ref="CO280:CO316" si="816">(CW280+Vfwd2)*Nps</f>
        <v>15.7</v>
      </c>
      <c r="CP280" s="443">
        <f t="shared" ref="CP280:CP316" si="817">(Vout+Vfwd2)*Nps+CN280</f>
        <v>100.7</v>
      </c>
      <c r="CQ280" s="443"/>
      <c r="CR280" s="217">
        <f t="shared" ref="CR280:CR316" si="818">(Vout+Vfwd1)*Nps/((Vout+Vfwd1)*Nps+CN280)</f>
        <v>0.15338645418326693</v>
      </c>
      <c r="CS280" s="172">
        <f t="shared" ref="CS280:CS316" si="819">CR280*CN280*Isw_max*0.5*Efficiency*Pout/(Pout+Pout2)</f>
        <v>321.65744915076539</v>
      </c>
      <c r="CT280" s="172">
        <f t="shared" ref="CT280:CT316" si="820">CR280*CN280*Isw_max*0.5*Efficiency*(Pout2/Pout_total)</f>
        <v>4.3459495351925632</v>
      </c>
      <c r="CU280" s="217">
        <f t="shared" ref="CU280:CU316" si="821">CS280/Vout</f>
        <v>21.443829943384358</v>
      </c>
      <c r="CV280" s="217">
        <f t="shared" ref="CV280:CV316" si="822">CS280/Vout2</f>
        <v>40.207181143845673</v>
      </c>
      <c r="CW280" s="217">
        <f t="shared" ref="CW280:CW316" si="823">MIN(Vout,CS280/CJ280)</f>
        <v>15</v>
      </c>
      <c r="CX280" s="217">
        <f t="shared" ref="CX280:CX316" si="824">MIN(2*(Vout*CJ280+Vout2*CK280)/(Efficiency*CN280*CR280), Isw_max)</f>
        <v>14.922707410236821</v>
      </c>
      <c r="CY280" s="217">
        <f t="shared" ref="CY280:CY316" si="825">L*CX280/CN280*1000000</f>
        <v>2.1067351637981395</v>
      </c>
      <c r="CZ280" s="217">
        <f t="shared" ref="CZ280:CZ316" si="826">L*CX280/CO280*1000000</f>
        <v>11.405891014193751</v>
      </c>
      <c r="DA280" s="197">
        <f t="shared" ref="DA280:DA316" si="827">IF(1/((350000*L)*(1/CN280+1/CO280))&gt;Isw_min, 350, 0.001/((Isw_min*L)*(1/CN280+1/CO280)))</f>
        <v>110.43528632903013</v>
      </c>
      <c r="DB280" s="443">
        <f t="shared" ref="DB280:DB316" si="828">MIN(1/(CY280+CZ280)*1000, 350)</f>
        <v>74.004859368396282</v>
      </c>
      <c r="DD280" s="217">
        <f t="shared" ref="DD280:DD316" si="829">1/((DA280*1000*L)*(1/CN280+1/CO280))</f>
        <v>9.9999999999999982</v>
      </c>
      <c r="DE280" s="173">
        <f t="shared" ref="DE280:DE316" si="830">L*DD280/CO280*1000000</f>
        <v>7.6433121019108263</v>
      </c>
      <c r="DF280" s="173">
        <f t="shared" ref="DF280:DF316" si="831">0.5*DE280*DD280*Nps*DA280/1000*(Pout/(Pout+Pout2))</f>
        <v>4.1649244760361679</v>
      </c>
      <c r="DG280" s="173"/>
      <c r="DH280" s="173">
        <f t="shared" ref="DH280:DH316" si="832">L*Isw_min/CO280*1000000</f>
        <v>7.6433121019108281</v>
      </c>
      <c r="DI280" s="545">
        <f t="shared" ref="DI280:DI316" si="833">MAX(10, CJ280/(0.5*DH280/1000000*Isw_min*Nps)/1000*Pout_total/Pout)</f>
        <v>167.4666666666667</v>
      </c>
      <c r="DJ280" s="528">
        <f t="shared" ref="DJ280:DJ316" si="834">0.5*DH280/1000000*Isw_min*Nps*DA280*1000*(Pout/Pout_total)</f>
        <v>4.2204568023833167</v>
      </c>
      <c r="DL280" s="173">
        <f t="shared" ref="DL280:DL316" si="835">SQRT((CL280+CM280)/(0.5*L*Fsw_DCM))</f>
        <v>6.8061596751626041</v>
      </c>
      <c r="DM280" s="173">
        <f t="shared" ref="DM280:DM316" si="836">MAX(IF(CJ280&gt;DF280,CX280,DL280),Isw_min)</f>
        <v>14.922707410236821</v>
      </c>
      <c r="DN280" s="173">
        <f t="shared" ref="DN280:DN316" si="837">IF(CJ280&gt;DJ280, (DM280-Isw_min)/1.08*0.8+1.2, DI280*0.2/350+1)</f>
        <v>4.8464499335087572</v>
      </c>
      <c r="DP280" s="545">
        <f t="shared" ref="DP280:DP316" si="838">CJ280*1000</f>
        <v>6400</v>
      </c>
      <c r="DQ280" s="460">
        <f t="shared" ref="DQ280:DQ316" si="839">IF(CJ280&gt;DJ280, DB280, DI280)</f>
        <v>74.004859368396282</v>
      </c>
      <c r="DS280">
        <f t="shared" ref="DS280:DS316" si="840">IF(CL280&gt;CS280, "",DP280)</f>
        <v>6400</v>
      </c>
      <c r="DT280">
        <f t="shared" ref="DT280:DT316" si="841">IF(CL280&gt;CS280, "",DQ280)</f>
        <v>74.004859368396282</v>
      </c>
      <c r="DV280" s="5">
        <f t="shared" si="684"/>
        <v>13.512626177991891</v>
      </c>
      <c r="DW280" s="5">
        <f t="shared" ref="DW280:DW316" si="842">L*DM280/CN280*1000000</f>
        <v>2.1067351637981395</v>
      </c>
      <c r="DX280" s="5">
        <f t="shared" ref="DX280:DX316" si="843">DV280-DW280</f>
        <v>11.405891014193751</v>
      </c>
      <c r="DY280" s="173">
        <f t="shared" ref="DY280:DY316" si="844">DW280/DV280</f>
        <v>0.15590863952333661</v>
      </c>
      <c r="EA280" s="5">
        <f t="shared" si="713"/>
        <v>89.887366988720629</v>
      </c>
      <c r="EB280" s="5">
        <f t="shared" si="714"/>
        <v>4.213470327596279</v>
      </c>
      <c r="EC280" s="5">
        <f t="shared" si="715"/>
        <v>4.4420508615115617</v>
      </c>
      <c r="ED280" s="5"/>
      <c r="EE280" s="173">
        <f t="shared" si="716"/>
        <v>3.4019042627144933</v>
      </c>
      <c r="EF280" s="173">
        <f t="shared" si="717"/>
        <v>7.9155614375210686</v>
      </c>
      <c r="EG280" s="173">
        <f t="shared" si="718"/>
        <v>0.19494010128483261</v>
      </c>
      <c r="EH280" s="173"/>
      <c r="EI280" s="528">
        <f t="shared" si="719"/>
        <v>0.2314590522535008</v>
      </c>
      <c r="EJ280" s="528">
        <f t="shared" si="720"/>
        <v>2.2241666666666666</v>
      </c>
      <c r="EK280" s="528">
        <f t="shared" si="721"/>
        <v>9.2506074210495347E-3</v>
      </c>
      <c r="EL280" s="528">
        <f t="shared" si="722"/>
        <v>7.5044553637662881E-2</v>
      </c>
      <c r="EM280">
        <f t="shared" si="723"/>
        <v>3.8249999999999999E-2</v>
      </c>
      <c r="EN280" s="460">
        <f t="shared" si="724"/>
        <v>47.500607421049537</v>
      </c>
      <c r="EP280" s="460">
        <f t="shared" si="725"/>
        <v>2578.1708799788798</v>
      </c>
      <c r="EQ280" s="173">
        <f t="shared" si="726"/>
        <v>4.4799999999999995</v>
      </c>
      <c r="ER280" s="173">
        <f t="shared" ref="ER280:ER316" si="845">Vfwd22*CK280*(1+Diode_TC/1000*(Ta-25))</f>
        <v>7.0999999999999994E-2</v>
      </c>
      <c r="ES280" s="528"/>
      <c r="EU280" s="460">
        <f t="shared" si="727"/>
        <v>4550.9999999999991</v>
      </c>
      <c r="EV280" s="528">
        <f t="shared" si="728"/>
        <v>0.34718857838025119</v>
      </c>
      <c r="EW280" s="528">
        <f t="shared" si="729"/>
        <v>1.8796833861351181</v>
      </c>
      <c r="EX280" s="528">
        <f t="shared" si="730"/>
        <v>1.9000821544470396E-4</v>
      </c>
      <c r="EY280" s="528">
        <f t="shared" si="731"/>
        <v>2.0264675705467927</v>
      </c>
      <c r="EZ280" s="528"/>
      <c r="FA280" s="625">
        <f t="shared" si="732"/>
        <v>1.6479934656538429E-2</v>
      </c>
      <c r="FB280" s="460">
        <f t="shared" si="733"/>
        <v>4270.0094779341443</v>
      </c>
      <c r="FC280" s="173">
        <f t="shared" si="734"/>
        <v>11.399180357913025</v>
      </c>
      <c r="FD280" s="5">
        <f t="shared" si="735"/>
        <v>97.28</v>
      </c>
      <c r="FE280" s="173">
        <f t="shared" si="736"/>
        <v>0.89511164585183545</v>
      </c>
      <c r="FF280" s="5">
        <f t="shared" si="737"/>
        <v>89.51116458518355</v>
      </c>
      <c r="FG280">
        <f t="shared" si="738"/>
        <v>64</v>
      </c>
      <c r="FI280" s="562">
        <f t="shared" ref="FI280:FI316" si="846">IF(ABS(CJ280-Ioutmax_Vinmax)&lt;Iout/200, DQ280, -50)</f>
        <v>-50</v>
      </c>
    </row>
    <row r="281" spans="5:165">
      <c r="E281" s="170">
        <v>65</v>
      </c>
      <c r="F281" s="217">
        <f t="shared" ref="F281:F312" si="847">IF(PLOT_TYPE=1, E281/100*Iout_max, min_I*EXP(O281*rr/100))</f>
        <v>6.5</v>
      </c>
      <c r="G281" s="217">
        <f t="shared" si="775"/>
        <v>0.16250000000000001</v>
      </c>
      <c r="H281" s="217">
        <f t="shared" si="776"/>
        <v>97.5</v>
      </c>
      <c r="I281" s="217">
        <f t="shared" si="777"/>
        <v>1.3</v>
      </c>
      <c r="J281" s="541">
        <f t="shared" si="778"/>
        <v>84.571861123339431</v>
      </c>
      <c r="K281" s="443">
        <f t="shared" si="779"/>
        <v>15.931017647058823</v>
      </c>
      <c r="L281" s="172">
        <f t="shared" si="780"/>
        <v>100.50287877039825</v>
      </c>
      <c r="M281" s="443"/>
      <c r="N281" s="217">
        <f t="shared" si="781"/>
        <v>0.15851304800386559</v>
      </c>
      <c r="O281" s="172">
        <f t="shared" si="782"/>
        <v>330.73380301036576</v>
      </c>
      <c r="P281" s="172">
        <f t="shared" si="783"/>
        <v>4.468581160673387</v>
      </c>
      <c r="Q281" s="217">
        <f t="shared" si="784"/>
        <v>22.04892020069105</v>
      </c>
      <c r="R281" s="217">
        <f t="shared" si="785"/>
        <v>41.34172537629572</v>
      </c>
      <c r="S281" s="217">
        <f t="shared" si="786"/>
        <v>15</v>
      </c>
      <c r="T281" s="217">
        <f t="shared" si="787"/>
        <v>14.739950847561866</v>
      </c>
      <c r="U281" s="217">
        <f t="shared" si="788"/>
        <v>2.0914688150563676</v>
      </c>
      <c r="V281" s="217">
        <f t="shared" si="789"/>
        <v>11.102831852263863</v>
      </c>
      <c r="W281" s="197">
        <f t="shared" si="790"/>
        <v>111.71452901683463</v>
      </c>
      <c r="X281" s="443">
        <f t="shared" ref="X281:X316" si="848">MIN(1/(U281+V281+0.2)*1000, 350)</f>
        <v>74.658619724718179</v>
      </c>
      <c r="Z281" s="217">
        <f t="shared" si="791"/>
        <v>10</v>
      </c>
      <c r="AA281" s="173">
        <f t="shared" si="792"/>
        <v>7.5324754926848216</v>
      </c>
      <c r="AB281" s="173">
        <f t="shared" si="793"/>
        <v>4.1520737762967146</v>
      </c>
      <c r="AC281" s="173"/>
      <c r="AD281" s="173">
        <f t="shared" si="794"/>
        <v>7.5324754926848216</v>
      </c>
      <c r="AE281" s="545">
        <f t="shared" si="795"/>
        <v>172.58602450980391</v>
      </c>
      <c r="AF281" s="528">
        <f t="shared" si="796"/>
        <v>4.2074347599806714</v>
      </c>
      <c r="AH281" s="173">
        <f t="shared" si="797"/>
        <v>6.859126697154605</v>
      </c>
      <c r="AI281" s="173">
        <f t="shared" si="798"/>
        <v>14.739950847561866</v>
      </c>
      <c r="AJ281" s="173">
        <f t="shared" si="799"/>
        <v>4.7110747018976786</v>
      </c>
      <c r="AL281" s="545">
        <f t="shared" si="800"/>
        <v>6500</v>
      </c>
      <c r="AM281" s="460">
        <f t="shared" si="801"/>
        <v>74.658619724718179</v>
      </c>
      <c r="AO281">
        <f t="shared" si="802"/>
        <v>6500</v>
      </c>
      <c r="AP281">
        <f t="shared" si="803"/>
        <v>74.658619724718179</v>
      </c>
      <c r="AR281" s="5">
        <f t="shared" si="774"/>
        <v>13.394300667320231</v>
      </c>
      <c r="AS281" s="5">
        <f t="shared" si="739"/>
        <v>2.0914688150563676</v>
      </c>
      <c r="AT281" s="5">
        <f t="shared" si="740"/>
        <v>11.302831852263862</v>
      </c>
      <c r="AU281" s="173">
        <f t="shared" si="741"/>
        <v>0.15614617492940028</v>
      </c>
      <c r="BA281" s="173">
        <f t="shared" ref="BA281:BA316" si="849">AI281*SQRT(AU281/3)</f>
        <v>3.3628003419022678</v>
      </c>
      <c r="BB281" s="173">
        <f t="shared" ref="BB281:BB316" si="850">AI281*Npri_sec1*SQRT((1-AU281)/3)*(Pout/Pout_total)</f>
        <v>7.817520335120034</v>
      </c>
      <c r="BC281" s="173">
        <f t="shared" ref="BC281:BC316" si="851">AI281*Npri_sec2*SQRT((1-AU281)/3)*(Pout2/Pout_total)</f>
        <v>0.19252559884138751</v>
      </c>
      <c r="BD281" s="173"/>
      <c r="BE281" s="528">
        <f t="shared" ref="BE281:BE315" si="852">Rdson*BA281^2</f>
        <v>0.22616852278996022</v>
      </c>
      <c r="BF281" s="528">
        <f t="shared" si="804"/>
        <v>2.0737469753579356</v>
      </c>
      <c r="BG281" s="528">
        <f t="shared" si="805"/>
        <v>0.15785046047547688</v>
      </c>
      <c r="BH281" s="528">
        <f t="shared" ref="BH281:BH316" si="853">0.5*(Coss+Csw)*L281^2*AM281*1000</f>
        <v>7.5411392442321673E-2</v>
      </c>
      <c r="BI281">
        <f t="shared" ref="BI281:BI316" si="854">J281*IQ</f>
        <v>3.805733750550274E-2</v>
      </c>
      <c r="BJ281" s="460">
        <f t="shared" ref="BJ281:BJ316" si="855">(BG281+BI281)*1000</f>
        <v>195.90779798097964</v>
      </c>
      <c r="BK281">
        <f t="shared" si="806"/>
        <v>2.574753575062005</v>
      </c>
      <c r="BL281" s="460">
        <f t="shared" ref="BL281:BL316" si="856">SUM(BE281:BI281)*1000</f>
        <v>2571.2346885711968</v>
      </c>
      <c r="BM281" s="173">
        <f t="shared" si="807"/>
        <v>4.038125</v>
      </c>
      <c r="BN281" s="173">
        <f t="shared" si="808"/>
        <v>7.2109375000000003E-2</v>
      </c>
      <c r="BQ281" s="460">
        <f t="shared" ref="BQ281:BQ316" si="857">SUM(BM281:BP281)*1000</f>
        <v>4110.234375</v>
      </c>
      <c r="BR281" s="528">
        <f t="shared" ref="BR281:BR316" si="858">Rdcr_pri*BA281^2</f>
        <v>0.33925278418494031</v>
      </c>
      <c r="BS281" s="528">
        <f t="shared" ref="BS281:BS316" si="859">Rdcr_sec*BB281^2</f>
        <v>1.8334087257004574</v>
      </c>
      <c r="BT281" s="528">
        <f t="shared" ref="BT281:BT316" si="860">Rdcr_sec2*BC281^2</f>
        <v>1.8533053104617436E-4</v>
      </c>
      <c r="BU281" s="528">
        <f t="shared" ref="BU281:BU316" si="861">AI281^2.5*AM281^2.5*k_core</f>
        <v>2.0086764315124559</v>
      </c>
      <c r="BV281" s="528"/>
      <c r="BW281" s="625">
        <f t="shared" ref="BW281:BW316" si="862">0.5*Lleak*0.000000001*AI281^2*AM281*1000</f>
        <v>1.6220790945706595E-2</v>
      </c>
      <c r="BX281" s="460">
        <f t="shared" ref="BX281:BX316" si="863">SUM(BR281:BW281)*1000</f>
        <v>4197.7440628746062</v>
      </c>
      <c r="BY281" s="173">
        <f t="shared" ref="BY281:BY315" si="864">SUM(BE281:BI281,BM281:BP281,BR281:BW281)</f>
        <v>10.879213126445801</v>
      </c>
      <c r="BZ281" s="5">
        <f t="shared" ref="BZ281:BZ316" si="865">MIN(H281+I281,O281+P281)</f>
        <v>98.8</v>
      </c>
      <c r="CA281" s="173">
        <f t="shared" ref="CA281:CA316" si="866">BZ281/(BZ281+BY281)</f>
        <v>0.9008087967051378</v>
      </c>
      <c r="CB281" s="5">
        <f t="shared" ref="CB281:CB316" si="867">CA281*100</f>
        <v>90.080879670513781</v>
      </c>
      <c r="CC281">
        <f t="shared" ref="CC281:CC316" si="868">F281/Iout*100</f>
        <v>65</v>
      </c>
      <c r="CE281" s="562">
        <f t="shared" si="809"/>
        <v>-50</v>
      </c>
      <c r="CG281" s="173">
        <f t="shared" si="810"/>
        <v>0.84409136047666333</v>
      </c>
      <c r="CH281" s="173">
        <f t="shared" si="811"/>
        <v>0.1020398968288061</v>
      </c>
      <c r="CI281" s="170">
        <v>65</v>
      </c>
      <c r="CJ281" s="217">
        <f t="shared" ref="CJ281:CJ316" si="869">IF(PLOT_TYPE=1, CI281/100*Iout_max, min_I*EXP(CS281*rr/100))</f>
        <v>6.5</v>
      </c>
      <c r="CK281" s="217">
        <f t="shared" si="812"/>
        <v>0.16250000000000001</v>
      </c>
      <c r="CL281" s="217">
        <f t="shared" si="813"/>
        <v>97.5</v>
      </c>
      <c r="CM281" s="217">
        <f t="shared" si="814"/>
        <v>1.3</v>
      </c>
      <c r="CN281" s="541">
        <f t="shared" si="815"/>
        <v>85</v>
      </c>
      <c r="CO281" s="443">
        <f t="shared" si="816"/>
        <v>15.7</v>
      </c>
      <c r="CP281" s="443">
        <f t="shared" si="817"/>
        <v>100.7</v>
      </c>
      <c r="CQ281" s="443"/>
      <c r="CR281" s="217">
        <f t="shared" si="818"/>
        <v>0.15338645418326693</v>
      </c>
      <c r="CS281" s="172">
        <f t="shared" si="819"/>
        <v>321.65744915076539</v>
      </c>
      <c r="CT281" s="172">
        <f t="shared" si="820"/>
        <v>4.3459495351925632</v>
      </c>
      <c r="CU281" s="217">
        <f t="shared" si="821"/>
        <v>21.443829943384358</v>
      </c>
      <c r="CV281" s="217">
        <f t="shared" si="822"/>
        <v>40.207181143845673</v>
      </c>
      <c r="CW281" s="217">
        <f t="shared" si="823"/>
        <v>15</v>
      </c>
      <c r="CX281" s="217">
        <f t="shared" si="824"/>
        <v>15.155874713521772</v>
      </c>
      <c r="CY281" s="217">
        <f t="shared" si="825"/>
        <v>2.1396529007324854</v>
      </c>
      <c r="CZ281" s="217">
        <f t="shared" si="826"/>
        <v>11.584108061290529</v>
      </c>
      <c r="DA281" s="197">
        <f t="shared" si="827"/>
        <v>110.43528632903013</v>
      </c>
      <c r="DB281" s="443">
        <f t="shared" si="828"/>
        <v>72.866323070420947</v>
      </c>
      <c r="DD281" s="217">
        <f t="shared" si="829"/>
        <v>9.9999999999999982</v>
      </c>
      <c r="DE281" s="173">
        <f t="shared" si="830"/>
        <v>7.6433121019108263</v>
      </c>
      <c r="DF281" s="173">
        <f t="shared" si="831"/>
        <v>4.1649244760361679</v>
      </c>
      <c r="DG281" s="173"/>
      <c r="DH281" s="173">
        <f t="shared" si="832"/>
        <v>7.6433121019108281</v>
      </c>
      <c r="DI281" s="545">
        <f t="shared" si="833"/>
        <v>170.08333333333334</v>
      </c>
      <c r="DJ281" s="528">
        <f t="shared" si="834"/>
        <v>4.2204568023833167</v>
      </c>
      <c r="DL281" s="173">
        <f t="shared" si="835"/>
        <v>6.859126697154605</v>
      </c>
      <c r="DM281" s="173">
        <f t="shared" si="836"/>
        <v>15.155874713521772</v>
      </c>
      <c r="DN281" s="173">
        <f t="shared" si="837"/>
        <v>5.0191664544605716</v>
      </c>
      <c r="DP281" s="545">
        <f t="shared" si="838"/>
        <v>6500</v>
      </c>
      <c r="DQ281" s="460">
        <f t="shared" si="839"/>
        <v>72.866323070420947</v>
      </c>
      <c r="DS281">
        <f t="shared" si="840"/>
        <v>6500</v>
      </c>
      <c r="DT281">
        <f t="shared" si="841"/>
        <v>72.866323070420947</v>
      </c>
      <c r="DV281" s="5">
        <f t="shared" ref="DV281:DV316" si="870">1/DQ281*1000</f>
        <v>13.723760962023015</v>
      </c>
      <c r="DW281" s="5">
        <f t="shared" si="842"/>
        <v>2.1396529007324854</v>
      </c>
      <c r="DX281" s="5">
        <f t="shared" si="843"/>
        <v>11.584108061290529</v>
      </c>
      <c r="DY281" s="173">
        <f t="shared" si="844"/>
        <v>0.15590863952333661</v>
      </c>
      <c r="EA281" s="5">
        <f t="shared" ref="EA281:EA316" si="871">CJ281*DW281/Vout_ripple*1000</f>
        <v>92.718292365074362</v>
      </c>
      <c r="EB281" s="5">
        <f t="shared" ref="EB281:EB316" si="872">CK281*DW281/Vout_ripple2*1000</f>
        <v>4.3461699546128614</v>
      </c>
      <c r="EC281" s="5">
        <f t="shared" ref="EC281:EC316" si="873">CL281/Efficiency/CN281*DX281/Vinripple1</f>
        <v>4.5819494360074087</v>
      </c>
      <c r="ED281" s="5"/>
      <c r="EE281" s="173">
        <f t="shared" ref="EE281:EE316" si="874">DM281*SQRT(DY281/3)</f>
        <v>3.4550590168194071</v>
      </c>
      <c r="EF281" s="173">
        <f t="shared" ref="EF281:EF316" si="875">DM281*Npri_sec1*SQRT((1-DY281)/3)*(Pout/Pout_total)</f>
        <v>8.0392420849823356</v>
      </c>
      <c r="EG281" s="173">
        <f t="shared" ref="EG281:EG316" si="876">DM281*Npri_sec2*SQRT((1-DY281)/3)*(Pout2/Pout_total)</f>
        <v>0.19798604036740813</v>
      </c>
      <c r="EH281" s="173"/>
      <c r="EI281" s="528">
        <f t="shared" ref="EI281:EI316" si="877">Rdson*EE281^2</f>
        <v>0.23874865619410177</v>
      </c>
      <c r="EJ281" s="528">
        <f t="shared" ref="EJ281:EJ316" si="878">0.5*CP281*DM281*DQ281*1000*Trise</f>
        <v>2.2241666666666662</v>
      </c>
      <c r="EK281" s="528">
        <f t="shared" ref="EK281:EK316" si="879">Qg*Vdd*DQ281*1000</f>
        <v>9.1082903838026179E-3</v>
      </c>
      <c r="EL281" s="528">
        <f t="shared" ref="EL281:EL316" si="880">0.5*(Coss+Csw)*CP281^2*DQ281*1000</f>
        <v>7.3890022043237302E-2</v>
      </c>
      <c r="EM281">
        <f t="shared" ref="EM281:EM316" si="881">CN281*IQ</f>
        <v>3.8249999999999999E-2</v>
      </c>
      <c r="EN281" s="460">
        <f t="shared" ref="EN281:EN316" si="882">(EK281+EM281)*1000</f>
        <v>47.358290383802618</v>
      </c>
      <c r="EP281" s="460">
        <f t="shared" ref="EP281:EP316" si="883">SUM(EI281:EM281)*1000</f>
        <v>2584.1636352878086</v>
      </c>
      <c r="EQ281" s="173">
        <f t="shared" ref="EQ281:EQ316" si="884">Vfwd2*CJ281</f>
        <v>4.55</v>
      </c>
      <c r="ER281" s="173">
        <f t="shared" si="845"/>
        <v>7.2109375000000003E-2</v>
      </c>
      <c r="ES281" s="528"/>
      <c r="EU281" s="460">
        <f t="shared" ref="EU281:EU316" si="885">SUM(EQ281:ET281)*1000</f>
        <v>4622.109375</v>
      </c>
      <c r="EV281" s="528">
        <f t="shared" ref="EV281:EV316" si="886">Rdcr_pri*EE281^2</f>
        <v>0.35812298429115264</v>
      </c>
      <c r="EW281" s="528">
        <f t="shared" ref="EW281:EW316" si="887">Rdcr_sec*EF281^2</f>
        <v>1.9388823990285338</v>
      </c>
      <c r="EX281" s="528">
        <f t="shared" ref="EX281:EX316" si="888">Rdcr_sec2*EG281^2</f>
        <v>1.9599236090182481E-4</v>
      </c>
      <c r="EY281" s="528">
        <f t="shared" ref="EY281:EY316" si="889">DM281^2.5*DQ281^2.5*k_core</f>
        <v>2.0264675705467909</v>
      </c>
      <c r="EZ281" s="528"/>
      <c r="FA281" s="625">
        <f t="shared" ref="FA281:FA316" si="890">0.5*Lleak*0.000000001*DM281^2*DQ281*1000</f>
        <v>1.673743363554684E-2</v>
      </c>
      <c r="FB281" s="460">
        <f t="shared" ref="FB281:FB316" si="891">SUM(EV281:FA281)*1000</f>
        <v>4340.4063798629259</v>
      </c>
      <c r="FC281" s="173">
        <f t="shared" ref="FC281:FC316" si="892">SUM(EI281:EM281,EQ281:ET281,EV281:FA281)</f>
        <v>11.546679390150734</v>
      </c>
      <c r="FD281" s="5">
        <f t="shared" ref="FD281:FD316" si="893">MIN(CL281+CM281,CS281+CT281)</f>
        <v>98.8</v>
      </c>
      <c r="FE281" s="173">
        <f t="shared" ref="FE281:FE316" si="894">FD281/(FD281+FC281)</f>
        <v>0.89535997409287371</v>
      </c>
      <c r="FF281" s="5">
        <f t="shared" ref="FF281:FF316" si="895">FE281*100</f>
        <v>89.535997409287376</v>
      </c>
      <c r="FG281">
        <f t="shared" ref="FG281:FG316" si="896">CJ281/Iout*100</f>
        <v>65</v>
      </c>
      <c r="FI281" s="562">
        <f t="shared" si="846"/>
        <v>-50</v>
      </c>
    </row>
    <row r="282" spans="5:165">
      <c r="E282" s="170">
        <v>66</v>
      </c>
      <c r="F282" s="217">
        <f t="shared" si="847"/>
        <v>6.6000000000000005</v>
      </c>
      <c r="G282" s="217">
        <f t="shared" si="775"/>
        <v>0.16500000000000001</v>
      </c>
      <c r="H282" s="217">
        <f t="shared" si="776"/>
        <v>99.000000000000014</v>
      </c>
      <c r="I282" s="217">
        <f t="shared" si="777"/>
        <v>1.32</v>
      </c>
      <c r="J282" s="541">
        <f t="shared" si="778"/>
        <v>84.565274371390814</v>
      </c>
      <c r="K282" s="443">
        <f t="shared" si="779"/>
        <v>15.934571764705881</v>
      </c>
      <c r="L282" s="172">
        <f t="shared" si="780"/>
        <v>100.49984613609669</v>
      </c>
      <c r="M282" s="443"/>
      <c r="N282" s="217">
        <f t="shared" si="781"/>
        <v>0.15855319562506906</v>
      </c>
      <c r="O282" s="172">
        <f t="shared" si="782"/>
        <v>330.79180486418005</v>
      </c>
      <c r="P282" s="172">
        <f t="shared" si="783"/>
        <v>4.4693648301649223</v>
      </c>
      <c r="Q282" s="217">
        <f t="shared" si="784"/>
        <v>22.052786990945336</v>
      </c>
      <c r="R282" s="217">
        <f t="shared" si="785"/>
        <v>41.348975608022506</v>
      </c>
      <c r="S282" s="217">
        <f t="shared" si="786"/>
        <v>15</v>
      </c>
      <c r="T282" s="217">
        <f t="shared" si="787"/>
        <v>14.964095020529369</v>
      </c>
      <c r="U282" s="217">
        <f t="shared" si="788"/>
        <v>2.1234382739388624</v>
      </c>
      <c r="V282" s="217">
        <f t="shared" si="789"/>
        <v>11.269153818371654</v>
      </c>
      <c r="W282" s="197">
        <f t="shared" si="790"/>
        <v>111.73412075412305</v>
      </c>
      <c r="X282" s="443">
        <f t="shared" si="848"/>
        <v>73.569484996589523</v>
      </c>
      <c r="Z282" s="217">
        <f t="shared" si="791"/>
        <v>10</v>
      </c>
      <c r="AA282" s="173">
        <f t="shared" si="792"/>
        <v>7.5307954159014674</v>
      </c>
      <c r="AB282" s="173">
        <f t="shared" si="793"/>
        <v>4.1518756794815657</v>
      </c>
      <c r="AC282" s="173"/>
      <c r="AD282" s="173">
        <f t="shared" si="794"/>
        <v>7.5307954159014674</v>
      </c>
      <c r="AE282" s="545">
        <f t="shared" si="795"/>
        <v>175.2802894117647</v>
      </c>
      <c r="AF282" s="528">
        <f t="shared" si="796"/>
        <v>4.2072340218746547</v>
      </c>
      <c r="AH282" s="173">
        <f t="shared" si="797"/>
        <v>6.9116878236382009</v>
      </c>
      <c r="AI282" s="173">
        <f t="shared" si="798"/>
        <v>14.964095020529369</v>
      </c>
      <c r="AJ282" s="173">
        <f t="shared" si="799"/>
        <v>4.8771074226143467</v>
      </c>
      <c r="AL282" s="545">
        <f t="shared" si="800"/>
        <v>6600.0000000000009</v>
      </c>
      <c r="AM282" s="460">
        <f t="shared" si="801"/>
        <v>73.569484996589523</v>
      </c>
      <c r="AO282">
        <f t="shared" si="802"/>
        <v>6600.0000000000009</v>
      </c>
      <c r="AP282">
        <f t="shared" si="803"/>
        <v>73.569484996589523</v>
      </c>
      <c r="AR282" s="5">
        <f t="shared" si="774"/>
        <v>13.592592092310518</v>
      </c>
      <c r="AS282" s="5">
        <f t="shared" si="739"/>
        <v>2.1234382739388624</v>
      </c>
      <c r="AT282" s="5">
        <f t="shared" si="740"/>
        <v>11.469153818371655</v>
      </c>
      <c r="AU282" s="173">
        <f t="shared" si="741"/>
        <v>0.15622026023572907</v>
      </c>
      <c r="BA282" s="173">
        <f t="shared" si="849"/>
        <v>3.4147468129682026</v>
      </c>
      <c r="BB282" s="173">
        <f t="shared" si="850"/>
        <v>7.9360496552840525</v>
      </c>
      <c r="BC282" s="173">
        <f t="shared" si="851"/>
        <v>0.19544467386346609</v>
      </c>
      <c r="BD282" s="173"/>
      <c r="BE282" s="528">
        <f t="shared" si="852"/>
        <v>0.23320991593352994</v>
      </c>
      <c r="BF282" s="528">
        <f t="shared" si="804"/>
        <v>2.0745067013099812</v>
      </c>
      <c r="BG282" s="528">
        <f t="shared" si="805"/>
        <v>0.15553559210246282</v>
      </c>
      <c r="BH282" s="528">
        <f t="shared" si="853"/>
        <v>7.430679155812317E-2</v>
      </c>
      <c r="BI282">
        <f t="shared" si="854"/>
        <v>3.8054373467125868E-2</v>
      </c>
      <c r="BJ282" s="460">
        <f t="shared" si="855"/>
        <v>193.58996556958868</v>
      </c>
      <c r="BK282">
        <f t="shared" si="806"/>
        <v>2.5884159645345362</v>
      </c>
      <c r="BL282" s="460">
        <f t="shared" si="856"/>
        <v>2575.613374371223</v>
      </c>
      <c r="BM282" s="173">
        <f t="shared" si="807"/>
        <v>4.10025</v>
      </c>
      <c r="BN282" s="173">
        <f t="shared" si="808"/>
        <v>7.3218749999999999E-2</v>
      </c>
      <c r="BQ282" s="460">
        <f t="shared" si="857"/>
        <v>4173.46875</v>
      </c>
      <c r="BR282" s="528">
        <f t="shared" si="858"/>
        <v>0.34981487390029486</v>
      </c>
      <c r="BS282" s="528">
        <f t="shared" si="859"/>
        <v>1.8894265239340238</v>
      </c>
      <c r="BT282" s="528">
        <f t="shared" si="860"/>
        <v>1.9099310270798313E-4</v>
      </c>
      <c r="BU282" s="528">
        <f t="shared" si="861"/>
        <v>2.0106683290997376</v>
      </c>
      <c r="BV282" s="528"/>
      <c r="BW282" s="625">
        <f t="shared" si="862"/>
        <v>1.6473983642171407E-2</v>
      </c>
      <c r="BX282" s="460">
        <f t="shared" si="863"/>
        <v>4266.5747036789362</v>
      </c>
      <c r="BY282" s="173">
        <f t="shared" si="864"/>
        <v>11.015656828050158</v>
      </c>
      <c r="BZ282" s="5">
        <f t="shared" si="865"/>
        <v>100.32000000000001</v>
      </c>
      <c r="CA282" s="173">
        <f t="shared" si="866"/>
        <v>0.90105903946780463</v>
      </c>
      <c r="CB282" s="5">
        <f t="shared" si="867"/>
        <v>90.105903946780458</v>
      </c>
      <c r="CC282">
        <f t="shared" si="868"/>
        <v>66</v>
      </c>
      <c r="CE282" s="562">
        <f t="shared" si="809"/>
        <v>-50</v>
      </c>
      <c r="CG282" s="173">
        <f t="shared" si="810"/>
        <v>0.84409136047666333</v>
      </c>
      <c r="CH282" s="173">
        <f t="shared" si="811"/>
        <v>0.10203989682880608</v>
      </c>
      <c r="CI282" s="170">
        <v>66</v>
      </c>
      <c r="CJ282" s="217">
        <f t="shared" si="869"/>
        <v>6.6000000000000005</v>
      </c>
      <c r="CK282" s="217">
        <f t="shared" si="812"/>
        <v>0.16500000000000001</v>
      </c>
      <c r="CL282" s="217">
        <f t="shared" si="813"/>
        <v>99.000000000000014</v>
      </c>
      <c r="CM282" s="217">
        <f t="shared" si="814"/>
        <v>1.32</v>
      </c>
      <c r="CN282" s="541">
        <f t="shared" si="815"/>
        <v>85</v>
      </c>
      <c r="CO282" s="443">
        <f t="shared" si="816"/>
        <v>15.7</v>
      </c>
      <c r="CP282" s="443">
        <f t="shared" si="817"/>
        <v>100.7</v>
      </c>
      <c r="CQ282" s="443"/>
      <c r="CR282" s="217">
        <f t="shared" si="818"/>
        <v>0.15338645418326693</v>
      </c>
      <c r="CS282" s="172">
        <f t="shared" si="819"/>
        <v>321.65744915076539</v>
      </c>
      <c r="CT282" s="172">
        <f t="shared" si="820"/>
        <v>4.3459495351925632</v>
      </c>
      <c r="CU282" s="217">
        <f t="shared" si="821"/>
        <v>21.443829943384358</v>
      </c>
      <c r="CV282" s="217">
        <f t="shared" si="822"/>
        <v>40.207181143845673</v>
      </c>
      <c r="CW282" s="217">
        <f t="shared" si="823"/>
        <v>15</v>
      </c>
      <c r="CX282" s="217">
        <f t="shared" si="824"/>
        <v>15.389042016806723</v>
      </c>
      <c r="CY282" s="217">
        <f t="shared" si="825"/>
        <v>2.1725706376668317</v>
      </c>
      <c r="CZ282" s="217">
        <f t="shared" si="826"/>
        <v>11.762325108387305</v>
      </c>
      <c r="DA282" s="197">
        <f t="shared" si="827"/>
        <v>110.43528632903013</v>
      </c>
      <c r="DB282" s="443">
        <f t="shared" si="828"/>
        <v>71.762287872384263</v>
      </c>
      <c r="DD282" s="217">
        <f t="shared" si="829"/>
        <v>9.9999999999999982</v>
      </c>
      <c r="DE282" s="173">
        <f t="shared" si="830"/>
        <v>7.6433121019108263</v>
      </c>
      <c r="DF282" s="173">
        <f t="shared" si="831"/>
        <v>4.1649244760361679</v>
      </c>
      <c r="DG282" s="173"/>
      <c r="DH282" s="173">
        <f t="shared" si="832"/>
        <v>7.6433121019108281</v>
      </c>
      <c r="DI282" s="545">
        <f t="shared" si="833"/>
        <v>172.70000000000002</v>
      </c>
      <c r="DJ282" s="528">
        <f t="shared" si="834"/>
        <v>4.2204568023833167</v>
      </c>
      <c r="DL282" s="173">
        <f t="shared" si="835"/>
        <v>6.9116878236382009</v>
      </c>
      <c r="DM282" s="173">
        <f t="shared" si="836"/>
        <v>15.389042016806723</v>
      </c>
      <c r="DN282" s="173">
        <f t="shared" si="837"/>
        <v>5.191882975412387</v>
      </c>
      <c r="DP282" s="545">
        <f t="shared" si="838"/>
        <v>6600.0000000000009</v>
      </c>
      <c r="DQ282" s="460">
        <f t="shared" si="839"/>
        <v>71.762287872384263</v>
      </c>
      <c r="DS282">
        <f t="shared" si="840"/>
        <v>6600.0000000000009</v>
      </c>
      <c r="DT282">
        <f t="shared" si="841"/>
        <v>71.762287872384263</v>
      </c>
      <c r="DV282" s="5">
        <f t="shared" si="870"/>
        <v>13.93489574605414</v>
      </c>
      <c r="DW282" s="5">
        <f t="shared" si="842"/>
        <v>2.1725706376668317</v>
      </c>
      <c r="DX282" s="5">
        <f t="shared" si="843"/>
        <v>11.762325108387309</v>
      </c>
      <c r="DY282" s="173">
        <f t="shared" si="844"/>
        <v>0.15590863952333661</v>
      </c>
      <c r="EA282" s="5">
        <f t="shared" si="871"/>
        <v>95.593108057340601</v>
      </c>
      <c r="EB282" s="5">
        <f t="shared" si="872"/>
        <v>4.4809269401878407</v>
      </c>
      <c r="EC282" s="5">
        <f t="shared" si="873"/>
        <v>4.7240169806504806</v>
      </c>
      <c r="ED282" s="5"/>
      <c r="EE282" s="173">
        <f t="shared" si="874"/>
        <v>3.5082137709243213</v>
      </c>
      <c r="EF282" s="173">
        <f t="shared" si="875"/>
        <v>8.1629227324436027</v>
      </c>
      <c r="EG282" s="173">
        <f t="shared" si="876"/>
        <v>0.20103197944998366</v>
      </c>
      <c r="EH282" s="173"/>
      <c r="EI282" s="528">
        <f t="shared" si="877"/>
        <v>0.24615127725006095</v>
      </c>
      <c r="EJ282" s="528">
        <f t="shared" si="878"/>
        <v>2.2241666666666662</v>
      </c>
      <c r="EK282" s="528">
        <f t="shared" si="879"/>
        <v>8.9702859840480337E-3</v>
      </c>
      <c r="EL282" s="528">
        <f t="shared" si="880"/>
        <v>7.2770476254703398E-2</v>
      </c>
      <c r="EM282">
        <f t="shared" si="881"/>
        <v>3.8249999999999999E-2</v>
      </c>
      <c r="EN282" s="460">
        <f t="shared" si="882"/>
        <v>47.220285984048033</v>
      </c>
      <c r="EP282" s="460">
        <f t="shared" si="883"/>
        <v>2590.3087061554788</v>
      </c>
      <c r="EQ282" s="173">
        <f t="shared" si="884"/>
        <v>4.62</v>
      </c>
      <c r="ER282" s="173">
        <f t="shared" si="845"/>
        <v>7.3218749999999999E-2</v>
      </c>
      <c r="ES282" s="528"/>
      <c r="EU282" s="460">
        <f t="shared" si="885"/>
        <v>4693.21875</v>
      </c>
      <c r="EV282" s="528">
        <f t="shared" si="886"/>
        <v>0.36922691587509138</v>
      </c>
      <c r="EW282" s="528">
        <f t="shared" si="887"/>
        <v>1.998999226075336</v>
      </c>
      <c r="EX282" s="528">
        <f t="shared" si="888"/>
        <v>2.0206928380789326E-4</v>
      </c>
      <c r="EY282" s="528">
        <f t="shared" si="889"/>
        <v>2.0264675705467852</v>
      </c>
      <c r="EZ282" s="528"/>
      <c r="FA282" s="625">
        <f t="shared" si="890"/>
        <v>1.6994932614555255E-2</v>
      </c>
      <c r="FB282" s="460">
        <f t="shared" si="891"/>
        <v>4411.8907143955748</v>
      </c>
      <c r="FC282" s="173">
        <f t="shared" si="892"/>
        <v>11.695418170551054</v>
      </c>
      <c r="FD282" s="5">
        <f t="shared" si="893"/>
        <v>100.32000000000001</v>
      </c>
      <c r="FE282" s="173">
        <f t="shared" si="894"/>
        <v>0.89559099665419284</v>
      </c>
      <c r="FF282" s="5">
        <f t="shared" si="895"/>
        <v>89.559099665419282</v>
      </c>
      <c r="FG282">
        <f t="shared" si="896"/>
        <v>66</v>
      </c>
      <c r="FI282" s="562">
        <f t="shared" si="846"/>
        <v>-50</v>
      </c>
    </row>
    <row r="283" spans="5:165">
      <c r="E283" s="170">
        <v>67</v>
      </c>
      <c r="F283" s="217">
        <f t="shared" si="847"/>
        <v>6.7</v>
      </c>
      <c r="G283" s="217">
        <f t="shared" si="775"/>
        <v>0.16750000000000001</v>
      </c>
      <c r="H283" s="217">
        <f t="shared" si="776"/>
        <v>100.5</v>
      </c>
      <c r="I283" s="217">
        <f t="shared" si="777"/>
        <v>1.34</v>
      </c>
      <c r="J283" s="541">
        <f t="shared" si="778"/>
        <v>84.558687619442182</v>
      </c>
      <c r="K283" s="443">
        <f t="shared" si="779"/>
        <v>15.93812588235294</v>
      </c>
      <c r="L283" s="172">
        <f t="shared" si="780"/>
        <v>100.49681350179512</v>
      </c>
      <c r="M283" s="443"/>
      <c r="N283" s="217">
        <f t="shared" si="781"/>
        <v>0.15859334566929575</v>
      </c>
      <c r="O283" s="172">
        <f t="shared" si="782"/>
        <v>330.84979872464294</v>
      </c>
      <c r="P283" s="172">
        <f t="shared" si="783"/>
        <v>4.4701483916573972</v>
      </c>
      <c r="Q283" s="217">
        <f t="shared" si="784"/>
        <v>22.05665324830953</v>
      </c>
      <c r="R283" s="217">
        <f t="shared" si="785"/>
        <v>41.356224840580367</v>
      </c>
      <c r="S283" s="217">
        <f t="shared" si="786"/>
        <v>15</v>
      </c>
      <c r="T283" s="217">
        <f t="shared" si="787"/>
        <v>15.188160970235826</v>
      </c>
      <c r="U283" s="217">
        <f t="shared" si="788"/>
        <v>2.1554016124645274</v>
      </c>
      <c r="V283" s="217">
        <f t="shared" si="789"/>
        <v>11.435342711443262</v>
      </c>
      <c r="W283" s="197">
        <f t="shared" si="790"/>
        <v>111.75370979143493</v>
      </c>
      <c r="X283" s="443">
        <f t="shared" si="848"/>
        <v>72.512402268700527</v>
      </c>
      <c r="Z283" s="217">
        <f t="shared" si="791"/>
        <v>10</v>
      </c>
      <c r="AA283" s="173">
        <f t="shared" si="792"/>
        <v>7.5291160884145585</v>
      </c>
      <c r="AB283" s="173">
        <f t="shared" si="793"/>
        <v>4.151677570710711</v>
      </c>
      <c r="AC283" s="173"/>
      <c r="AD283" s="173">
        <f t="shared" si="794"/>
        <v>7.5291160884145585</v>
      </c>
      <c r="AE283" s="545">
        <f t="shared" si="795"/>
        <v>177.97573901960783</v>
      </c>
      <c r="AF283" s="528">
        <f t="shared" si="796"/>
        <v>4.2070332716535219</v>
      </c>
      <c r="AH283" s="173">
        <f t="shared" si="797"/>
        <v>6.9638522453623395</v>
      </c>
      <c r="AI283" s="173">
        <f t="shared" si="798"/>
        <v>15.188160970235826</v>
      </c>
      <c r="AJ283" s="173">
        <f t="shared" si="799"/>
        <v>5.0430822001746858</v>
      </c>
      <c r="AL283" s="545">
        <f t="shared" si="800"/>
        <v>6700</v>
      </c>
      <c r="AM283" s="460">
        <f t="shared" si="801"/>
        <v>72.512402268700527</v>
      </c>
      <c r="AO283">
        <f t="shared" si="802"/>
        <v>6700</v>
      </c>
      <c r="AP283">
        <f t="shared" si="803"/>
        <v>72.512402268700527</v>
      </c>
      <c r="AR283" s="5">
        <f t="shared" si="774"/>
        <v>13.790744323907788</v>
      </c>
      <c r="AS283" s="5">
        <f t="shared" si="739"/>
        <v>2.1554016124645274</v>
      </c>
      <c r="AT283" s="5">
        <f t="shared" si="740"/>
        <v>11.635342711443261</v>
      </c>
      <c r="AU283" s="173">
        <f t="shared" si="741"/>
        <v>0.15629334877363357</v>
      </c>
      <c r="BA283" s="173">
        <f t="shared" si="849"/>
        <v>3.4666884397198152</v>
      </c>
      <c r="BB283" s="173">
        <f t="shared" si="850"/>
        <v>8.0545317977631665</v>
      </c>
      <c r="BC283" s="173">
        <f t="shared" si="851"/>
        <v>0.19836258701942233</v>
      </c>
      <c r="BD283" s="173"/>
      <c r="BE283" s="528">
        <f t="shared" si="852"/>
        <v>0.24035857476174013</v>
      </c>
      <c r="BF283" s="528">
        <f t="shared" si="804"/>
        <v>2.0752529893567577</v>
      </c>
      <c r="BG283" s="528">
        <f t="shared" si="805"/>
        <v>0.15328883929935944</v>
      </c>
      <c r="BH283" s="528">
        <f t="shared" si="853"/>
        <v>7.3234694856214505E-2</v>
      </c>
      <c r="BI283">
        <f t="shared" si="854"/>
        <v>3.8051409428748982E-2</v>
      </c>
      <c r="BJ283" s="460">
        <f t="shared" si="855"/>
        <v>191.34024872810843</v>
      </c>
      <c r="BK283">
        <f t="shared" si="806"/>
        <v>2.6023618719145074</v>
      </c>
      <c r="BL283" s="460">
        <f t="shared" si="856"/>
        <v>2580.1865077028206</v>
      </c>
      <c r="BM283" s="173">
        <f t="shared" si="807"/>
        <v>4.162374999999999</v>
      </c>
      <c r="BN283" s="173">
        <f t="shared" si="808"/>
        <v>7.4328124999999995E-2</v>
      </c>
      <c r="BQ283" s="460">
        <f t="shared" si="857"/>
        <v>4236.7031249999991</v>
      </c>
      <c r="BR283" s="528">
        <f t="shared" si="858"/>
        <v>0.36053786214261019</v>
      </c>
      <c r="BS283" s="528">
        <f t="shared" si="859"/>
        <v>1.9462644744353386</v>
      </c>
      <c r="BT283" s="528">
        <f t="shared" si="860"/>
        <v>1.9673857964518947E-4</v>
      </c>
      <c r="BU283" s="528">
        <f t="shared" si="861"/>
        <v>2.0126289505501136</v>
      </c>
      <c r="BV283" s="528"/>
      <c r="BW283" s="625">
        <f t="shared" si="862"/>
        <v>1.6727177898431853E-2</v>
      </c>
      <c r="BX283" s="460">
        <f t="shared" si="863"/>
        <v>4336.3552036061392</v>
      </c>
      <c r="BY283" s="173">
        <f t="shared" si="864"/>
        <v>11.153244836308957</v>
      </c>
      <c r="BZ283" s="5">
        <f t="shared" si="865"/>
        <v>101.84</v>
      </c>
      <c r="CA283" s="173">
        <f t="shared" si="866"/>
        <v>0.90129281752668988</v>
      </c>
      <c r="CB283" s="5">
        <f t="shared" si="867"/>
        <v>90.129281752668987</v>
      </c>
      <c r="CC283">
        <f t="shared" si="868"/>
        <v>67</v>
      </c>
      <c r="CE283" s="562">
        <f t="shared" si="809"/>
        <v>-50</v>
      </c>
      <c r="CG283" s="173">
        <f t="shared" si="810"/>
        <v>0.84409136047666333</v>
      </c>
      <c r="CH283" s="173">
        <f t="shared" si="811"/>
        <v>0.1020398968288061</v>
      </c>
      <c r="CI283" s="170">
        <v>67</v>
      </c>
      <c r="CJ283" s="217">
        <f t="shared" si="869"/>
        <v>6.7</v>
      </c>
      <c r="CK283" s="217">
        <f t="shared" si="812"/>
        <v>0.16750000000000001</v>
      </c>
      <c r="CL283" s="217">
        <f t="shared" si="813"/>
        <v>100.5</v>
      </c>
      <c r="CM283" s="217">
        <f t="shared" si="814"/>
        <v>1.34</v>
      </c>
      <c r="CN283" s="541">
        <f t="shared" si="815"/>
        <v>85</v>
      </c>
      <c r="CO283" s="443">
        <f t="shared" si="816"/>
        <v>15.7</v>
      </c>
      <c r="CP283" s="443">
        <f t="shared" si="817"/>
        <v>100.7</v>
      </c>
      <c r="CQ283" s="443"/>
      <c r="CR283" s="217">
        <f t="shared" si="818"/>
        <v>0.15338645418326693</v>
      </c>
      <c r="CS283" s="172">
        <f t="shared" si="819"/>
        <v>321.65744915076539</v>
      </c>
      <c r="CT283" s="172">
        <f t="shared" si="820"/>
        <v>4.3459495351925632</v>
      </c>
      <c r="CU283" s="217">
        <f t="shared" si="821"/>
        <v>21.443829943384358</v>
      </c>
      <c r="CV283" s="217">
        <f t="shared" si="822"/>
        <v>40.207181143845673</v>
      </c>
      <c r="CW283" s="217">
        <f t="shared" si="823"/>
        <v>15</v>
      </c>
      <c r="CX283" s="217">
        <f t="shared" si="824"/>
        <v>15.622209320091674</v>
      </c>
      <c r="CY283" s="217">
        <f t="shared" si="825"/>
        <v>2.2054883746011775</v>
      </c>
      <c r="CZ283" s="217">
        <f t="shared" si="826"/>
        <v>11.940542155484081</v>
      </c>
      <c r="DA283" s="197">
        <f t="shared" si="827"/>
        <v>110.43528632903013</v>
      </c>
      <c r="DB283" s="443">
        <f t="shared" si="828"/>
        <v>70.691208948915857</v>
      </c>
      <c r="DD283" s="217">
        <f t="shared" si="829"/>
        <v>9.9999999999999982</v>
      </c>
      <c r="DE283" s="173">
        <f t="shared" si="830"/>
        <v>7.6433121019108263</v>
      </c>
      <c r="DF283" s="173">
        <f t="shared" si="831"/>
        <v>4.1649244760361679</v>
      </c>
      <c r="DG283" s="173"/>
      <c r="DH283" s="173">
        <f t="shared" si="832"/>
        <v>7.6433121019108281</v>
      </c>
      <c r="DI283" s="545">
        <f t="shared" si="833"/>
        <v>175.31666666666669</v>
      </c>
      <c r="DJ283" s="528">
        <f t="shared" si="834"/>
        <v>4.2204568023833167</v>
      </c>
      <c r="DL283" s="173">
        <f t="shared" si="835"/>
        <v>6.9638522453623395</v>
      </c>
      <c r="DM283" s="173">
        <f t="shared" si="836"/>
        <v>15.622209320091674</v>
      </c>
      <c r="DN283" s="173">
        <f t="shared" si="837"/>
        <v>5.3645994963642032</v>
      </c>
      <c r="DP283" s="545">
        <f t="shared" si="838"/>
        <v>6700</v>
      </c>
      <c r="DQ283" s="460">
        <f t="shared" si="839"/>
        <v>70.691208948915857</v>
      </c>
      <c r="DS283">
        <f t="shared" si="840"/>
        <v>6700</v>
      </c>
      <c r="DT283">
        <f t="shared" si="841"/>
        <v>70.691208948915857</v>
      </c>
      <c r="DV283" s="5">
        <f t="shared" si="870"/>
        <v>14.146030530085259</v>
      </c>
      <c r="DW283" s="5">
        <f t="shared" si="842"/>
        <v>2.2054883746011775</v>
      </c>
      <c r="DX283" s="5">
        <f t="shared" si="843"/>
        <v>11.940542155484081</v>
      </c>
      <c r="DY283" s="173">
        <f t="shared" si="844"/>
        <v>0.15590863952333664</v>
      </c>
      <c r="EA283" s="5">
        <f t="shared" si="871"/>
        <v>98.511814065519275</v>
      </c>
      <c r="EB283" s="5">
        <f t="shared" si="872"/>
        <v>4.617741284321216</v>
      </c>
      <c r="EC283" s="5">
        <f t="shared" si="873"/>
        <v>4.8682534954407712</v>
      </c>
      <c r="ED283" s="5"/>
      <c r="EE283" s="173">
        <f t="shared" si="874"/>
        <v>3.561368525029236</v>
      </c>
      <c r="EF283" s="173">
        <f t="shared" si="875"/>
        <v>8.2866033799048697</v>
      </c>
      <c r="EG283" s="173">
        <f t="shared" si="876"/>
        <v>0.20407791853255913</v>
      </c>
      <c r="EH283" s="173"/>
      <c r="EI283" s="528">
        <f t="shared" si="877"/>
        <v>0.25366691542137831</v>
      </c>
      <c r="EJ283" s="528">
        <f t="shared" si="878"/>
        <v>2.2241666666666671</v>
      </c>
      <c r="EK283" s="528">
        <f t="shared" si="879"/>
        <v>8.8364011186144818E-3</v>
      </c>
      <c r="EL283" s="528">
        <f t="shared" si="880"/>
        <v>7.168434974343918E-2</v>
      </c>
      <c r="EM283">
        <f t="shared" si="881"/>
        <v>3.8249999999999999E-2</v>
      </c>
      <c r="EN283" s="460">
        <f t="shared" si="882"/>
        <v>47.086401118614482</v>
      </c>
      <c r="EP283" s="460">
        <f t="shared" si="883"/>
        <v>2596.604332950099</v>
      </c>
      <c r="EQ283" s="173">
        <f t="shared" si="884"/>
        <v>4.6899999999999995</v>
      </c>
      <c r="ER283" s="173">
        <f t="shared" si="845"/>
        <v>7.4328124999999995E-2</v>
      </c>
      <c r="ES283" s="528"/>
      <c r="EU283" s="460">
        <f t="shared" si="885"/>
        <v>4764.328125</v>
      </c>
      <c r="EV283" s="528">
        <f t="shared" si="886"/>
        <v>0.38050037313206747</v>
      </c>
      <c r="EW283" s="528">
        <f t="shared" si="887"/>
        <v>2.0600338672755245</v>
      </c>
      <c r="EX283" s="528">
        <f t="shared" si="888"/>
        <v>2.0823898416290923E-4</v>
      </c>
      <c r="EY283" s="528">
        <f t="shared" si="889"/>
        <v>2.0264675705467909</v>
      </c>
      <c r="EZ283" s="528"/>
      <c r="FA283" s="625">
        <f t="shared" si="890"/>
        <v>1.7252431593563669E-2</v>
      </c>
      <c r="FB283" s="460">
        <f t="shared" si="891"/>
        <v>4484.4624815321095</v>
      </c>
      <c r="FC283" s="173">
        <f t="shared" si="892"/>
        <v>11.845394939482206</v>
      </c>
      <c r="FD283" s="5">
        <f t="shared" si="893"/>
        <v>101.84</v>
      </c>
      <c r="FE283" s="173">
        <f t="shared" si="894"/>
        <v>0.8958054819109541</v>
      </c>
      <c r="FF283" s="5">
        <f t="shared" si="895"/>
        <v>89.580548191095417</v>
      </c>
      <c r="FG283">
        <f t="shared" si="896"/>
        <v>67</v>
      </c>
      <c r="FI283" s="562">
        <f t="shared" si="846"/>
        <v>-50</v>
      </c>
    </row>
    <row r="284" spans="5:165">
      <c r="E284" s="170">
        <v>68</v>
      </c>
      <c r="F284" s="217">
        <f t="shared" si="847"/>
        <v>6.8000000000000007</v>
      </c>
      <c r="G284" s="217">
        <f t="shared" si="775"/>
        <v>0.17</v>
      </c>
      <c r="H284" s="217">
        <f t="shared" si="776"/>
        <v>102.00000000000001</v>
      </c>
      <c r="I284" s="217">
        <f t="shared" si="777"/>
        <v>1.36</v>
      </c>
      <c r="J284" s="541">
        <f t="shared" si="778"/>
        <v>84.552100867493564</v>
      </c>
      <c r="K284" s="443">
        <f t="shared" si="779"/>
        <v>15.94168</v>
      </c>
      <c r="L284" s="172">
        <f t="shared" si="780"/>
        <v>100.49378086749357</v>
      </c>
      <c r="M284" s="443"/>
      <c r="N284" s="217">
        <f t="shared" si="781"/>
        <v>0.15863349813676489</v>
      </c>
      <c r="O284" s="172">
        <f t="shared" si="782"/>
        <v>330.90778459103035</v>
      </c>
      <c r="P284" s="172">
        <f t="shared" si="783"/>
        <v>4.4709318451410329</v>
      </c>
      <c r="Q284" s="217">
        <f t="shared" si="784"/>
        <v>22.060518972735355</v>
      </c>
      <c r="R284" s="217">
        <f t="shared" si="785"/>
        <v>41.363473073878794</v>
      </c>
      <c r="S284" s="217">
        <f t="shared" si="786"/>
        <v>15</v>
      </c>
      <c r="T284" s="217">
        <f t="shared" si="787"/>
        <v>15.412148754079936</v>
      </c>
      <c r="U284" s="217">
        <f t="shared" si="788"/>
        <v>2.1873588373492736</v>
      </c>
      <c r="V284" s="217">
        <f t="shared" si="789"/>
        <v>11.6013986636891</v>
      </c>
      <c r="W284" s="197">
        <f t="shared" si="790"/>
        <v>111.77329612852581</v>
      </c>
      <c r="X284" s="443">
        <f t="shared" si="848"/>
        <v>71.485977216044446</v>
      </c>
      <c r="Z284" s="217">
        <f t="shared" si="791"/>
        <v>10</v>
      </c>
      <c r="AA284" s="173">
        <f t="shared" si="792"/>
        <v>7.5274375097229402</v>
      </c>
      <c r="AB284" s="173">
        <f t="shared" si="793"/>
        <v>4.1514794499830678</v>
      </c>
      <c r="AC284" s="173"/>
      <c r="AD284" s="173">
        <f t="shared" si="794"/>
        <v>7.5274375097229402</v>
      </c>
      <c r="AE284" s="545">
        <f t="shared" si="795"/>
        <v>180.67237333333333</v>
      </c>
      <c r="AF284" s="528">
        <f t="shared" si="796"/>
        <v>4.2068325093161754</v>
      </c>
      <c r="AH284" s="173">
        <f t="shared" si="797"/>
        <v>7.0156288113787504</v>
      </c>
      <c r="AI284" s="173">
        <f t="shared" si="798"/>
        <v>15.412148754079936</v>
      </c>
      <c r="AJ284" s="173">
        <f t="shared" si="799"/>
        <v>5.2089990770962489</v>
      </c>
      <c r="AL284" s="545">
        <f t="shared" si="800"/>
        <v>6800.0000000000009</v>
      </c>
      <c r="AM284" s="460">
        <f t="shared" si="801"/>
        <v>71.485977216044446</v>
      </c>
      <c r="AO284">
        <f t="shared" si="802"/>
        <v>6800.0000000000009</v>
      </c>
      <c r="AP284">
        <f t="shared" si="803"/>
        <v>71.485977216044446</v>
      </c>
      <c r="AR284" s="5">
        <f t="shared" si="774"/>
        <v>13.988757501038373</v>
      </c>
      <c r="AS284" s="5">
        <f t="shared" si="739"/>
        <v>2.1873588373492736</v>
      </c>
      <c r="AT284" s="5">
        <f t="shared" si="740"/>
        <v>11.801398663689099</v>
      </c>
      <c r="AU284" s="173">
        <f t="shared" si="741"/>
        <v>0.15636548401006364</v>
      </c>
      <c r="BA284" s="173">
        <f t="shared" si="849"/>
        <v>3.5186252219278678</v>
      </c>
      <c r="BB284" s="173">
        <f t="shared" si="850"/>
        <v>8.1729667983486252</v>
      </c>
      <c r="BC284" s="173">
        <f t="shared" si="851"/>
        <v>0.2012793391907034</v>
      </c>
      <c r="BD284" s="173"/>
      <c r="BE284" s="528">
        <f t="shared" si="852"/>
        <v>0.24761446904773873</v>
      </c>
      <c r="BF284" s="528">
        <f t="shared" si="804"/>
        <v>2.0759864208920384</v>
      </c>
      <c r="BG284" s="528">
        <f t="shared" si="805"/>
        <v>0.15110723890455843</v>
      </c>
      <c r="BH284" s="528">
        <f t="shared" si="853"/>
        <v>7.2193688340756332E-2</v>
      </c>
      <c r="BI284">
        <f t="shared" si="854"/>
        <v>3.8048445390372103E-2</v>
      </c>
      <c r="BJ284" s="460">
        <f t="shared" si="855"/>
        <v>189.15568429493055</v>
      </c>
      <c r="BK284">
        <f t="shared" si="806"/>
        <v>2.6165930197352996</v>
      </c>
      <c r="BL284" s="460">
        <f t="shared" si="856"/>
        <v>2584.950262575464</v>
      </c>
      <c r="BM284" s="173">
        <f t="shared" si="807"/>
        <v>4.2244999999999999</v>
      </c>
      <c r="BN284" s="173">
        <f t="shared" si="808"/>
        <v>7.5437500000000005E-2</v>
      </c>
      <c r="BQ284" s="460">
        <f t="shared" si="857"/>
        <v>4299.9374999999991</v>
      </c>
      <c r="BR284" s="528">
        <f t="shared" si="858"/>
        <v>0.37142170357160809</v>
      </c>
      <c r="BS284" s="528">
        <f t="shared" si="859"/>
        <v>2.0039215886072692</v>
      </c>
      <c r="BT284" s="528">
        <f t="shared" si="860"/>
        <v>2.0256686192523116E-4</v>
      </c>
      <c r="BU284" s="528">
        <f t="shared" si="861"/>
        <v>2.0145596466929927</v>
      </c>
      <c r="BV284" s="528"/>
      <c r="BW284" s="625">
        <f t="shared" si="862"/>
        <v>1.6980373646498324E-2</v>
      </c>
      <c r="BX284" s="460">
        <f t="shared" si="863"/>
        <v>4407.0858793802936</v>
      </c>
      <c r="BY284" s="173">
        <f t="shared" si="864"/>
        <v>11.291973641955758</v>
      </c>
      <c r="BZ284" s="5">
        <f t="shared" si="865"/>
        <v>103.36000000000001</v>
      </c>
      <c r="CA284" s="173">
        <f t="shared" si="866"/>
        <v>0.90151086559382543</v>
      </c>
      <c r="CB284" s="5">
        <f t="shared" si="867"/>
        <v>90.151086559382549</v>
      </c>
      <c r="CC284">
        <f t="shared" si="868"/>
        <v>68</v>
      </c>
      <c r="CE284" s="562">
        <f t="shared" si="809"/>
        <v>-50</v>
      </c>
      <c r="CG284" s="173">
        <f t="shared" si="810"/>
        <v>0.84409136047666333</v>
      </c>
      <c r="CH284" s="173">
        <f t="shared" si="811"/>
        <v>0.10203989682880611</v>
      </c>
      <c r="CI284" s="170">
        <v>68</v>
      </c>
      <c r="CJ284" s="217">
        <f t="shared" si="869"/>
        <v>6.8000000000000007</v>
      </c>
      <c r="CK284" s="217">
        <f t="shared" si="812"/>
        <v>0.17</v>
      </c>
      <c r="CL284" s="217">
        <f t="shared" si="813"/>
        <v>102.00000000000001</v>
      </c>
      <c r="CM284" s="217">
        <f t="shared" si="814"/>
        <v>1.36</v>
      </c>
      <c r="CN284" s="541">
        <f t="shared" si="815"/>
        <v>85</v>
      </c>
      <c r="CO284" s="443">
        <f t="shared" si="816"/>
        <v>15.7</v>
      </c>
      <c r="CP284" s="443">
        <f t="shared" si="817"/>
        <v>100.7</v>
      </c>
      <c r="CQ284" s="443"/>
      <c r="CR284" s="217">
        <f t="shared" si="818"/>
        <v>0.15338645418326693</v>
      </c>
      <c r="CS284" s="172">
        <f t="shared" si="819"/>
        <v>321.65744915076539</v>
      </c>
      <c r="CT284" s="172">
        <f t="shared" si="820"/>
        <v>4.3459495351925632</v>
      </c>
      <c r="CU284" s="217">
        <f t="shared" si="821"/>
        <v>21.443829943384358</v>
      </c>
      <c r="CV284" s="217">
        <f t="shared" si="822"/>
        <v>40.207181143845673</v>
      </c>
      <c r="CW284" s="217">
        <f t="shared" si="823"/>
        <v>15</v>
      </c>
      <c r="CX284" s="217">
        <f t="shared" si="824"/>
        <v>15.855376623376625</v>
      </c>
      <c r="CY284" s="217">
        <f t="shared" si="825"/>
        <v>2.2384061115355234</v>
      </c>
      <c r="CZ284" s="217">
        <f t="shared" si="826"/>
        <v>12.118759202580859</v>
      </c>
      <c r="DA284" s="197">
        <f t="shared" si="827"/>
        <v>110.43528632903013</v>
      </c>
      <c r="DB284" s="443">
        <f t="shared" si="828"/>
        <v>69.651632346725918</v>
      </c>
      <c r="DD284" s="217">
        <f t="shared" si="829"/>
        <v>9.9999999999999982</v>
      </c>
      <c r="DE284" s="173">
        <f t="shared" si="830"/>
        <v>7.6433121019108263</v>
      </c>
      <c r="DF284" s="173">
        <f t="shared" si="831"/>
        <v>4.1649244760361679</v>
      </c>
      <c r="DG284" s="173"/>
      <c r="DH284" s="173">
        <f t="shared" si="832"/>
        <v>7.6433121019108281</v>
      </c>
      <c r="DI284" s="545">
        <f t="shared" si="833"/>
        <v>177.93333333333337</v>
      </c>
      <c r="DJ284" s="528">
        <f t="shared" si="834"/>
        <v>4.2204568023833167</v>
      </c>
      <c r="DL284" s="173">
        <f t="shared" si="835"/>
        <v>7.0156288113787504</v>
      </c>
      <c r="DM284" s="173">
        <f t="shared" si="836"/>
        <v>15.855376623376625</v>
      </c>
      <c r="DN284" s="173">
        <f t="shared" si="837"/>
        <v>5.5373160173160185</v>
      </c>
      <c r="DP284" s="545">
        <f t="shared" si="838"/>
        <v>6800.0000000000009</v>
      </c>
      <c r="DQ284" s="460">
        <f t="shared" si="839"/>
        <v>69.651632346725918</v>
      </c>
      <c r="DS284">
        <f t="shared" si="840"/>
        <v>6800.0000000000009</v>
      </c>
      <c r="DT284">
        <f t="shared" si="841"/>
        <v>69.651632346725918</v>
      </c>
      <c r="DV284" s="5">
        <f t="shared" si="870"/>
        <v>14.357165314116383</v>
      </c>
      <c r="DW284" s="5">
        <f t="shared" si="842"/>
        <v>2.2384061115355234</v>
      </c>
      <c r="DX284" s="5">
        <f t="shared" si="843"/>
        <v>12.118759202580859</v>
      </c>
      <c r="DY284" s="173">
        <f t="shared" si="844"/>
        <v>0.15590863952333664</v>
      </c>
      <c r="EA284" s="5">
        <f t="shared" si="871"/>
        <v>101.4744103896104</v>
      </c>
      <c r="EB284" s="5">
        <f t="shared" si="872"/>
        <v>4.7566129870129874</v>
      </c>
      <c r="EC284" s="5">
        <f t="shared" si="873"/>
        <v>5.0146589803782868</v>
      </c>
      <c r="ED284" s="5"/>
      <c r="EE284" s="173">
        <f t="shared" si="874"/>
        <v>3.6145232791341497</v>
      </c>
      <c r="EF284" s="173">
        <f t="shared" si="875"/>
        <v>8.4102840273661368</v>
      </c>
      <c r="EG284" s="173">
        <f t="shared" si="876"/>
        <v>0.20712385761513469</v>
      </c>
      <c r="EH284" s="173"/>
      <c r="EI284" s="528">
        <f t="shared" si="877"/>
        <v>0.2612955707080537</v>
      </c>
      <c r="EJ284" s="528">
        <f t="shared" si="878"/>
        <v>2.2241666666666671</v>
      </c>
      <c r="EK284" s="528">
        <f t="shared" si="879"/>
        <v>8.7064540433407396E-3</v>
      </c>
      <c r="EL284" s="528">
        <f t="shared" si="880"/>
        <v>7.0630168129565074E-2</v>
      </c>
      <c r="EM284">
        <f t="shared" si="881"/>
        <v>3.8249999999999999E-2</v>
      </c>
      <c r="EN284" s="460">
        <f t="shared" si="882"/>
        <v>46.956454043340742</v>
      </c>
      <c r="EP284" s="460">
        <f t="shared" si="883"/>
        <v>2603.0488595476268</v>
      </c>
      <c r="EQ284" s="173">
        <f t="shared" si="884"/>
        <v>4.76</v>
      </c>
      <c r="ER284" s="173">
        <f t="shared" si="845"/>
        <v>7.5437500000000005E-2</v>
      </c>
      <c r="ES284" s="528"/>
      <c r="EU284" s="460">
        <f t="shared" si="885"/>
        <v>4835.4374999999991</v>
      </c>
      <c r="EV284" s="528">
        <f t="shared" si="886"/>
        <v>0.39194335606208058</v>
      </c>
      <c r="EW284" s="528">
        <f t="shared" si="887"/>
        <v>2.1219863226290991</v>
      </c>
      <c r="EX284" s="528">
        <f t="shared" si="888"/>
        <v>2.1450146196687296E-4</v>
      </c>
      <c r="EY284" s="528">
        <f t="shared" si="889"/>
        <v>2.0264675705467892</v>
      </c>
      <c r="EZ284" s="528"/>
      <c r="FA284" s="625">
        <f t="shared" si="890"/>
        <v>1.7509930572572087E-2</v>
      </c>
      <c r="FB284" s="460">
        <f t="shared" si="891"/>
        <v>4558.1216812725088</v>
      </c>
      <c r="FC284" s="173">
        <f t="shared" si="892"/>
        <v>11.996608040820133</v>
      </c>
      <c r="FD284" s="5">
        <f t="shared" si="893"/>
        <v>103.36000000000001</v>
      </c>
      <c r="FE284" s="173">
        <f t="shared" si="894"/>
        <v>0.8960041540353284</v>
      </c>
      <c r="FF284" s="5">
        <f t="shared" si="895"/>
        <v>89.600415403532836</v>
      </c>
      <c r="FG284">
        <f t="shared" si="896"/>
        <v>68</v>
      </c>
      <c r="FI284" s="562">
        <f t="shared" si="846"/>
        <v>-50</v>
      </c>
    </row>
    <row r="285" spans="5:165">
      <c r="E285" s="170">
        <v>69</v>
      </c>
      <c r="F285" s="217">
        <f t="shared" si="847"/>
        <v>6.8999999999999995</v>
      </c>
      <c r="G285" s="217">
        <f t="shared" si="775"/>
        <v>0.17249999999999999</v>
      </c>
      <c r="H285" s="217">
        <f t="shared" si="776"/>
        <v>103.49999999999999</v>
      </c>
      <c r="I285" s="217">
        <f t="shared" si="777"/>
        <v>1.38</v>
      </c>
      <c r="J285" s="541">
        <f t="shared" si="778"/>
        <v>84.545514115544933</v>
      </c>
      <c r="K285" s="443">
        <f t="shared" si="779"/>
        <v>15.945234117647058</v>
      </c>
      <c r="L285" s="172">
        <f t="shared" si="780"/>
        <v>100.49074823319199</v>
      </c>
      <c r="M285" s="443"/>
      <c r="N285" s="217">
        <f t="shared" si="781"/>
        <v>0.15867365302769595</v>
      </c>
      <c r="O285" s="172">
        <f t="shared" si="782"/>
        <v>330.96576246261878</v>
      </c>
      <c r="P285" s="172">
        <f t="shared" si="783"/>
        <v>4.4717151906060497</v>
      </c>
      <c r="Q285" s="217">
        <f t="shared" si="784"/>
        <v>22.064384164174587</v>
      </c>
      <c r="R285" s="217">
        <f t="shared" si="785"/>
        <v>41.370720307827348</v>
      </c>
      <c r="S285" s="217">
        <f t="shared" si="786"/>
        <v>15</v>
      </c>
      <c r="T285" s="217">
        <f t="shared" si="787"/>
        <v>15.63605842941079</v>
      </c>
      <c r="U285" s="217">
        <f t="shared" si="788"/>
        <v>2.2193099553040683</v>
      </c>
      <c r="V285" s="217">
        <f t="shared" si="789"/>
        <v>11.767321807164368</v>
      </c>
      <c r="W285" s="197">
        <f t="shared" si="790"/>
        <v>111.79287976515123</v>
      </c>
      <c r="X285" s="443">
        <f t="shared" si="848"/>
        <v>70.488895232028128</v>
      </c>
      <c r="Z285" s="217">
        <f t="shared" si="791"/>
        <v>10</v>
      </c>
      <c r="AA285" s="173">
        <f t="shared" si="792"/>
        <v>7.5257596793259056</v>
      </c>
      <c r="AB285" s="173">
        <f t="shared" si="793"/>
        <v>4.1512813172975527</v>
      </c>
      <c r="AC285" s="173"/>
      <c r="AD285" s="173">
        <f t="shared" si="794"/>
        <v>7.5257596793259056</v>
      </c>
      <c r="AE285" s="545">
        <f t="shared" si="795"/>
        <v>183.3701923529411</v>
      </c>
      <c r="AF285" s="528">
        <f t="shared" si="796"/>
        <v>4.2066317348615208</v>
      </c>
      <c r="AH285" s="173">
        <f t="shared" si="797"/>
        <v>7.0670260465670518</v>
      </c>
      <c r="AI285" s="173">
        <f t="shared" si="798"/>
        <v>15.63605842941079</v>
      </c>
      <c r="AJ285" s="173">
        <f t="shared" si="799"/>
        <v>5.3748580958598442</v>
      </c>
      <c r="AL285" s="545">
        <f t="shared" si="800"/>
        <v>6899.9999999999991</v>
      </c>
      <c r="AM285" s="460">
        <f t="shared" si="801"/>
        <v>70.488895232028128</v>
      </c>
      <c r="AO285">
        <f t="shared" si="802"/>
        <v>6899.9999999999991</v>
      </c>
      <c r="AP285">
        <f t="shared" si="803"/>
        <v>70.488895232028128</v>
      </c>
      <c r="AR285" s="5">
        <f t="shared" si="774"/>
        <v>14.186631762468433</v>
      </c>
      <c r="AS285" s="5">
        <f t="shared" si="739"/>
        <v>2.2193099553040683</v>
      </c>
      <c r="AT285" s="5">
        <f t="shared" si="740"/>
        <v>11.967321807164366</v>
      </c>
      <c r="AU285" s="173">
        <f t="shared" si="741"/>
        <v>0.15643670692682551</v>
      </c>
      <c r="BA285" s="173">
        <f t="shared" si="849"/>
        <v>3.5705571596647179</v>
      </c>
      <c r="BB285" s="173">
        <f t="shared" si="850"/>
        <v>8.2913546926230985</v>
      </c>
      <c r="BC285" s="173">
        <f t="shared" si="851"/>
        <v>0.20419493125361987</v>
      </c>
      <c r="BD285" s="173"/>
      <c r="BE285" s="528">
        <f t="shared" si="852"/>
        <v>0.25497756860865955</v>
      </c>
      <c r="BF285" s="528">
        <f t="shared" si="804"/>
        <v>2.0767075440692917</v>
      </c>
      <c r="BG285" s="528">
        <f t="shared" si="805"/>
        <v>0.14898799717071504</v>
      </c>
      <c r="BH285" s="528">
        <f t="shared" si="853"/>
        <v>7.118243885897331E-2</v>
      </c>
      <c r="BI285">
        <f t="shared" si="854"/>
        <v>3.8045481351995217E-2</v>
      </c>
      <c r="BJ285" s="460">
        <f t="shared" si="855"/>
        <v>187.03347852271023</v>
      </c>
      <c r="BK285">
        <f t="shared" si="806"/>
        <v>2.6311112398302527</v>
      </c>
      <c r="BL285" s="460">
        <f t="shared" si="856"/>
        <v>2589.9010300596346</v>
      </c>
      <c r="BM285" s="173">
        <f t="shared" si="807"/>
        <v>4.286624999999999</v>
      </c>
      <c r="BN285" s="173">
        <f t="shared" si="808"/>
        <v>7.6546874999999986E-2</v>
      </c>
      <c r="BQ285" s="460">
        <f t="shared" si="857"/>
        <v>4363.1718749999991</v>
      </c>
      <c r="BR285" s="528">
        <f t="shared" si="858"/>
        <v>0.3824663529129893</v>
      </c>
      <c r="BS285" s="528">
        <f t="shared" si="859"/>
        <v>2.0623968791664922</v>
      </c>
      <c r="BT285" s="528">
        <f t="shared" si="860"/>
        <v>2.0847784974835273E-4</v>
      </c>
      <c r="BU285" s="528">
        <f t="shared" si="861"/>
        <v>2.0164616919437264</v>
      </c>
      <c r="BV285" s="528"/>
      <c r="BW285" s="625">
        <f t="shared" si="862"/>
        <v>1.723357082226883E-2</v>
      </c>
      <c r="BX285" s="460">
        <f t="shared" si="863"/>
        <v>4478.7669726952254</v>
      </c>
      <c r="BY285" s="173">
        <f t="shared" si="864"/>
        <v>11.431839877754859</v>
      </c>
      <c r="BZ285" s="5">
        <f t="shared" si="865"/>
        <v>104.87999999999998</v>
      </c>
      <c r="CA285" s="173">
        <f t="shared" si="866"/>
        <v>0.90171387633649458</v>
      </c>
      <c r="CB285" s="5">
        <f t="shared" si="867"/>
        <v>90.171387633649459</v>
      </c>
      <c r="CC285">
        <f t="shared" si="868"/>
        <v>69</v>
      </c>
      <c r="CE285" s="562">
        <f t="shared" si="809"/>
        <v>-50</v>
      </c>
      <c r="CG285" s="173">
        <f t="shared" si="810"/>
        <v>0.84409136047666333</v>
      </c>
      <c r="CH285" s="173">
        <f t="shared" si="811"/>
        <v>0.1020398968288061</v>
      </c>
      <c r="CI285" s="170">
        <v>69</v>
      </c>
      <c r="CJ285" s="217">
        <f t="shared" si="869"/>
        <v>6.8999999999999995</v>
      </c>
      <c r="CK285" s="217">
        <f t="shared" si="812"/>
        <v>0.17249999999999999</v>
      </c>
      <c r="CL285" s="217">
        <f t="shared" si="813"/>
        <v>103.49999999999999</v>
      </c>
      <c r="CM285" s="217">
        <f t="shared" si="814"/>
        <v>1.38</v>
      </c>
      <c r="CN285" s="541">
        <f t="shared" si="815"/>
        <v>85</v>
      </c>
      <c r="CO285" s="443">
        <f t="shared" si="816"/>
        <v>15.7</v>
      </c>
      <c r="CP285" s="443">
        <f t="shared" si="817"/>
        <v>100.7</v>
      </c>
      <c r="CQ285" s="443"/>
      <c r="CR285" s="217">
        <f t="shared" si="818"/>
        <v>0.15338645418326693</v>
      </c>
      <c r="CS285" s="172">
        <f t="shared" si="819"/>
        <v>321.65744915076539</v>
      </c>
      <c r="CT285" s="172">
        <f t="shared" si="820"/>
        <v>4.3459495351925632</v>
      </c>
      <c r="CU285" s="217">
        <f t="shared" si="821"/>
        <v>21.443829943384358</v>
      </c>
      <c r="CV285" s="217">
        <f t="shared" si="822"/>
        <v>40.207181143845673</v>
      </c>
      <c r="CW285" s="217">
        <f t="shared" si="823"/>
        <v>15</v>
      </c>
      <c r="CX285" s="217">
        <f t="shared" si="824"/>
        <v>16.088543926661572</v>
      </c>
      <c r="CY285" s="217">
        <f t="shared" si="825"/>
        <v>2.2713238484698688</v>
      </c>
      <c r="CZ285" s="217">
        <f t="shared" si="826"/>
        <v>12.296976249677636</v>
      </c>
      <c r="DA285" s="197">
        <f t="shared" si="827"/>
        <v>110.43528632903013</v>
      </c>
      <c r="DB285" s="443">
        <f t="shared" si="828"/>
        <v>68.642188399671923</v>
      </c>
      <c r="DD285" s="217">
        <f t="shared" si="829"/>
        <v>9.9999999999999982</v>
      </c>
      <c r="DE285" s="173">
        <f t="shared" si="830"/>
        <v>7.6433121019108263</v>
      </c>
      <c r="DF285" s="173">
        <f t="shared" si="831"/>
        <v>4.1649244760361679</v>
      </c>
      <c r="DG285" s="173"/>
      <c r="DH285" s="173">
        <f t="shared" si="832"/>
        <v>7.6433121019108281</v>
      </c>
      <c r="DI285" s="545">
        <f t="shared" si="833"/>
        <v>180.55</v>
      </c>
      <c r="DJ285" s="528">
        <f t="shared" si="834"/>
        <v>4.2204568023833167</v>
      </c>
      <c r="DL285" s="173">
        <f t="shared" si="835"/>
        <v>7.0670260465670518</v>
      </c>
      <c r="DM285" s="173">
        <f t="shared" si="836"/>
        <v>16.088543926661572</v>
      </c>
      <c r="DN285" s="173">
        <f t="shared" si="837"/>
        <v>5.7100325382678312</v>
      </c>
      <c r="DP285" s="545">
        <f t="shared" si="838"/>
        <v>6899.9999999999991</v>
      </c>
      <c r="DQ285" s="460">
        <f t="shared" si="839"/>
        <v>68.642188399671923</v>
      </c>
      <c r="DS285">
        <f t="shared" si="840"/>
        <v>6899.9999999999991</v>
      </c>
      <c r="DT285">
        <f t="shared" si="841"/>
        <v>68.642188399671923</v>
      </c>
      <c r="DV285" s="5">
        <f t="shared" si="870"/>
        <v>14.568300098147505</v>
      </c>
      <c r="DW285" s="5">
        <f t="shared" si="842"/>
        <v>2.2713238484698688</v>
      </c>
      <c r="DX285" s="5">
        <f t="shared" si="843"/>
        <v>12.296976249677636</v>
      </c>
      <c r="DY285" s="173">
        <f t="shared" si="844"/>
        <v>0.15590863952333661</v>
      </c>
      <c r="EA285" s="5">
        <f t="shared" si="871"/>
        <v>104.48089702961396</v>
      </c>
      <c r="EB285" s="5">
        <f t="shared" si="872"/>
        <v>4.897542048263154</v>
      </c>
      <c r="EC285" s="5">
        <f t="shared" si="873"/>
        <v>5.1632334354630229</v>
      </c>
      <c r="ED285" s="5"/>
      <c r="EE285" s="173">
        <f t="shared" si="874"/>
        <v>3.6676780332390626</v>
      </c>
      <c r="EF285" s="173">
        <f t="shared" si="875"/>
        <v>8.5339646748274021</v>
      </c>
      <c r="EG285" s="173">
        <f t="shared" si="876"/>
        <v>0.21016979669771016</v>
      </c>
      <c r="EH285" s="173"/>
      <c r="EI285" s="528">
        <f t="shared" si="877"/>
        <v>0.26903724311008714</v>
      </c>
      <c r="EJ285" s="528">
        <f t="shared" si="878"/>
        <v>2.2241666666666666</v>
      </c>
      <c r="EK285" s="528">
        <f t="shared" si="879"/>
        <v>8.5802735499589892E-3</v>
      </c>
      <c r="EL285" s="528">
        <f t="shared" si="880"/>
        <v>6.9606542504498922E-2</v>
      </c>
      <c r="EM285">
        <f t="shared" si="881"/>
        <v>3.8249999999999999E-2</v>
      </c>
      <c r="EN285" s="460">
        <f t="shared" si="882"/>
        <v>46.830273549958989</v>
      </c>
      <c r="EP285" s="460">
        <f t="shared" si="883"/>
        <v>2609.640725831212</v>
      </c>
      <c r="EQ285" s="173">
        <f t="shared" si="884"/>
        <v>4.8299999999999992</v>
      </c>
      <c r="ER285" s="173">
        <f t="shared" si="845"/>
        <v>7.6546874999999986E-2</v>
      </c>
      <c r="ES285" s="528"/>
      <c r="EU285" s="460">
        <f t="shared" si="885"/>
        <v>4906.5468749999991</v>
      </c>
      <c r="EV285" s="528">
        <f t="shared" si="886"/>
        <v>0.40355586466513071</v>
      </c>
      <c r="EW285" s="528">
        <f t="shared" si="887"/>
        <v>2.1848565921360588</v>
      </c>
      <c r="EX285" s="528">
        <f t="shared" si="888"/>
        <v>2.2085671721978409E-4</v>
      </c>
      <c r="EY285" s="528">
        <f t="shared" si="889"/>
        <v>2.0264675705467945</v>
      </c>
      <c r="EZ285" s="528"/>
      <c r="FA285" s="625">
        <f t="shared" si="890"/>
        <v>1.7767429551580494E-2</v>
      </c>
      <c r="FB285" s="460">
        <f t="shared" si="891"/>
        <v>4632.8683136167847</v>
      </c>
      <c r="FC285" s="173">
        <f t="shared" si="892"/>
        <v>12.149055914447995</v>
      </c>
      <c r="FD285" s="5">
        <f t="shared" si="893"/>
        <v>104.87999999999998</v>
      </c>
      <c r="FE285" s="173">
        <f t="shared" si="894"/>
        <v>0.89618769612796545</v>
      </c>
      <c r="FF285" s="5">
        <f t="shared" si="895"/>
        <v>89.618769612796541</v>
      </c>
      <c r="FG285">
        <f t="shared" si="896"/>
        <v>69</v>
      </c>
      <c r="FI285" s="562">
        <f t="shared" si="846"/>
        <v>-50</v>
      </c>
    </row>
    <row r="286" spans="5:165">
      <c r="E286" s="170">
        <v>70</v>
      </c>
      <c r="F286" s="217">
        <f t="shared" si="847"/>
        <v>7</v>
      </c>
      <c r="G286" s="217">
        <f t="shared" si="775"/>
        <v>0.17499999999999999</v>
      </c>
      <c r="H286" s="217">
        <f t="shared" si="776"/>
        <v>105</v>
      </c>
      <c r="I286" s="217">
        <f t="shared" si="777"/>
        <v>1.4</v>
      </c>
      <c r="J286" s="541">
        <f t="shared" si="778"/>
        <v>84.538927363596315</v>
      </c>
      <c r="K286" s="443">
        <f t="shared" si="779"/>
        <v>15.948788235294117</v>
      </c>
      <c r="L286" s="172">
        <f t="shared" si="780"/>
        <v>100.48771559889043</v>
      </c>
      <c r="M286" s="443"/>
      <c r="N286" s="217">
        <f t="shared" si="781"/>
        <v>0.15871381034230836</v>
      </c>
      <c r="O286" s="172">
        <f t="shared" si="782"/>
        <v>331.0237323386844</v>
      </c>
      <c r="P286" s="172">
        <f t="shared" si="783"/>
        <v>4.4724984280426687</v>
      </c>
      <c r="Q286" s="217">
        <f t="shared" si="784"/>
        <v>22.068248822578958</v>
      </c>
      <c r="R286" s="217">
        <f t="shared" si="785"/>
        <v>41.37796654233555</v>
      </c>
      <c r="S286" s="217">
        <f t="shared" si="786"/>
        <v>15</v>
      </c>
      <c r="T286" s="217">
        <f t="shared" si="787"/>
        <v>15.859890053527954</v>
      </c>
      <c r="U286" s="217">
        <f t="shared" si="788"/>
        <v>2.251254973034936</v>
      </c>
      <c r="V286" s="217">
        <f t="shared" si="789"/>
        <v>11.933112273769288</v>
      </c>
      <c r="W286" s="197">
        <f t="shared" si="790"/>
        <v>111.81246070106673</v>
      </c>
      <c r="X286" s="443">
        <f t="shared" si="848"/>
        <v>69.51991581153284</v>
      </c>
      <c r="Z286" s="217">
        <f t="shared" si="791"/>
        <v>10</v>
      </c>
      <c r="AA286" s="173">
        <f t="shared" si="792"/>
        <v>7.524082596723189</v>
      </c>
      <c r="AB286" s="173">
        <f t="shared" si="793"/>
        <v>4.1510831726530837</v>
      </c>
      <c r="AC286" s="173"/>
      <c r="AD286" s="173">
        <f t="shared" si="794"/>
        <v>7.524082596723189</v>
      </c>
      <c r="AE286" s="545">
        <f t="shared" si="795"/>
        <v>186.06919607843136</v>
      </c>
      <c r="AF286" s="528">
        <f t="shared" si="796"/>
        <v>4.2064309482884576</v>
      </c>
      <c r="AH286" s="173">
        <f t="shared" si="797"/>
        <v>7.1180521680208741</v>
      </c>
      <c r="AI286" s="173">
        <f t="shared" si="798"/>
        <v>15.859890053527954</v>
      </c>
      <c r="AJ286" s="173">
        <f t="shared" si="799"/>
        <v>5.5406592989095955</v>
      </c>
      <c r="AL286" s="545">
        <f t="shared" si="800"/>
        <v>7000</v>
      </c>
      <c r="AM286" s="460">
        <f t="shared" si="801"/>
        <v>69.51991581153284</v>
      </c>
      <c r="AO286">
        <f t="shared" si="802"/>
        <v>7000</v>
      </c>
      <c r="AP286">
        <f t="shared" si="803"/>
        <v>69.51991581153284</v>
      </c>
      <c r="AR286" s="5">
        <f t="shared" si="774"/>
        <v>14.384367246804223</v>
      </c>
      <c r="AS286" s="5">
        <f t="shared" si="739"/>
        <v>2.251254973034936</v>
      </c>
      <c r="AT286" s="5">
        <f t="shared" si="740"/>
        <v>12.133112273769287</v>
      </c>
      <c r="AU286" s="173">
        <f t="shared" si="741"/>
        <v>0.15650705619568339</v>
      </c>
      <c r="BA286" s="173">
        <f t="shared" si="849"/>
        <v>3.6224842532827992</v>
      </c>
      <c r="BB286" s="173">
        <f t="shared" si="850"/>
        <v>8.4096955159734019</v>
      </c>
      <c r="BC286" s="173">
        <f t="shared" si="851"/>
        <v>0.20710936407965871</v>
      </c>
      <c r="BD286" s="173"/>
      <c r="BE286" s="528">
        <f t="shared" si="852"/>
        <v>0.26244784330563681</v>
      </c>
      <c r="BF286" s="528">
        <f t="shared" si="804"/>
        <v>2.0774168761437863</v>
      </c>
      <c r="BG286" s="528">
        <f t="shared" si="805"/>
        <v>0.14692847782786264</v>
      </c>
      <c r="BH286" s="528">
        <f t="shared" si="853"/>
        <v>7.019968840497251E-2</v>
      </c>
      <c r="BI286">
        <f t="shared" si="854"/>
        <v>3.8042517313618338E-2</v>
      </c>
      <c r="BJ286" s="460">
        <f t="shared" si="855"/>
        <v>184.97099514148096</v>
      </c>
      <c r="BK286">
        <f t="shared" si="806"/>
        <v>2.6459184712369921</v>
      </c>
      <c r="BL286" s="460">
        <f t="shared" si="856"/>
        <v>2595.0354029958767</v>
      </c>
      <c r="BM286" s="173">
        <f t="shared" si="807"/>
        <v>4.348749999999999</v>
      </c>
      <c r="BN286" s="173">
        <f t="shared" si="808"/>
        <v>7.7656249999999996E-2</v>
      </c>
      <c r="BQ286" s="460">
        <f t="shared" si="857"/>
        <v>4426.4062499999991</v>
      </c>
      <c r="BR286" s="528">
        <f t="shared" si="858"/>
        <v>0.39367176495845518</v>
      </c>
      <c r="BS286" s="528">
        <f t="shared" si="859"/>
        <v>2.1216893601414943</v>
      </c>
      <c r="BT286" s="528">
        <f t="shared" si="860"/>
        <v>2.1447144344740313E-4</v>
      </c>
      <c r="BU286" s="528">
        <f t="shared" si="861"/>
        <v>2.018336289630688</v>
      </c>
      <c r="BV286" s="528"/>
      <c r="BW286" s="625">
        <f t="shared" si="862"/>
        <v>1.7486769365255103E-2</v>
      </c>
      <c r="BX286" s="460">
        <f t="shared" si="863"/>
        <v>4551.3986555393403</v>
      </c>
      <c r="BY286" s="173">
        <f t="shared" si="864"/>
        <v>11.572840308535216</v>
      </c>
      <c r="BZ286" s="5">
        <f t="shared" si="865"/>
        <v>106.4</v>
      </c>
      <c r="CA286" s="173">
        <f t="shared" si="866"/>
        <v>0.90190250333662658</v>
      </c>
      <c r="CB286" s="5">
        <f t="shared" si="867"/>
        <v>90.190250333662661</v>
      </c>
      <c r="CC286">
        <f t="shared" si="868"/>
        <v>70</v>
      </c>
      <c r="CE286" s="562">
        <f t="shared" si="809"/>
        <v>-50</v>
      </c>
      <c r="CG286" s="173">
        <f t="shared" si="810"/>
        <v>0.84409136047666333</v>
      </c>
      <c r="CH286" s="173">
        <f t="shared" si="811"/>
        <v>0.1020398968288061</v>
      </c>
      <c r="CI286" s="170">
        <v>70</v>
      </c>
      <c r="CJ286" s="217">
        <f t="shared" si="869"/>
        <v>7</v>
      </c>
      <c r="CK286" s="217">
        <f t="shared" si="812"/>
        <v>0.17499999999999999</v>
      </c>
      <c r="CL286" s="217">
        <f t="shared" si="813"/>
        <v>105</v>
      </c>
      <c r="CM286" s="217">
        <f t="shared" si="814"/>
        <v>1.4</v>
      </c>
      <c r="CN286" s="541">
        <f t="shared" si="815"/>
        <v>85</v>
      </c>
      <c r="CO286" s="443">
        <f t="shared" si="816"/>
        <v>15.7</v>
      </c>
      <c r="CP286" s="443">
        <f t="shared" si="817"/>
        <v>100.7</v>
      </c>
      <c r="CQ286" s="443"/>
      <c r="CR286" s="217">
        <f t="shared" si="818"/>
        <v>0.15338645418326693</v>
      </c>
      <c r="CS286" s="172">
        <f t="shared" si="819"/>
        <v>321.65744915076539</v>
      </c>
      <c r="CT286" s="172">
        <f t="shared" si="820"/>
        <v>4.3459495351925632</v>
      </c>
      <c r="CU286" s="217">
        <f t="shared" si="821"/>
        <v>21.443829943384358</v>
      </c>
      <c r="CV286" s="217">
        <f t="shared" si="822"/>
        <v>40.207181143845673</v>
      </c>
      <c r="CW286" s="217">
        <f t="shared" si="823"/>
        <v>15</v>
      </c>
      <c r="CX286" s="217">
        <f t="shared" si="824"/>
        <v>16.321711229946523</v>
      </c>
      <c r="CY286" s="217">
        <f t="shared" si="825"/>
        <v>2.3042415854042151</v>
      </c>
      <c r="CZ286" s="217">
        <f t="shared" si="826"/>
        <v>12.475193296774414</v>
      </c>
      <c r="DA286" s="197">
        <f t="shared" si="827"/>
        <v>110.43528632903013</v>
      </c>
      <c r="DB286" s="443">
        <f t="shared" si="828"/>
        <v>67.66158570824804</v>
      </c>
      <c r="DD286" s="217">
        <f t="shared" si="829"/>
        <v>9.9999999999999982</v>
      </c>
      <c r="DE286" s="173">
        <f t="shared" si="830"/>
        <v>7.6433121019108263</v>
      </c>
      <c r="DF286" s="173">
        <f t="shared" si="831"/>
        <v>4.1649244760361679</v>
      </c>
      <c r="DG286" s="173"/>
      <c r="DH286" s="173">
        <f t="shared" si="832"/>
        <v>7.6433121019108281</v>
      </c>
      <c r="DI286" s="545">
        <f t="shared" si="833"/>
        <v>183.16666666666669</v>
      </c>
      <c r="DJ286" s="528">
        <f t="shared" si="834"/>
        <v>4.2204568023833167</v>
      </c>
      <c r="DL286" s="173">
        <f t="shared" si="835"/>
        <v>7.1180521680208741</v>
      </c>
      <c r="DM286" s="173">
        <f t="shared" si="836"/>
        <v>16.321711229946523</v>
      </c>
      <c r="DN286" s="173">
        <f t="shared" si="837"/>
        <v>5.8827490592196465</v>
      </c>
      <c r="DP286" s="545">
        <f t="shared" si="838"/>
        <v>7000</v>
      </c>
      <c r="DQ286" s="460">
        <f t="shared" si="839"/>
        <v>67.66158570824804</v>
      </c>
      <c r="DS286">
        <f t="shared" si="840"/>
        <v>7000</v>
      </c>
      <c r="DT286">
        <f t="shared" si="841"/>
        <v>67.66158570824804</v>
      </c>
      <c r="DV286" s="5">
        <f t="shared" si="870"/>
        <v>14.779434882178627</v>
      </c>
      <c r="DW286" s="5">
        <f t="shared" si="842"/>
        <v>2.3042415854042151</v>
      </c>
      <c r="DX286" s="5">
        <f t="shared" si="843"/>
        <v>12.475193296774412</v>
      </c>
      <c r="DY286" s="173">
        <f t="shared" si="844"/>
        <v>0.15590863952333664</v>
      </c>
      <c r="EA286" s="5">
        <f t="shared" si="871"/>
        <v>107.53127398553005</v>
      </c>
      <c r="EB286" s="5">
        <f t="shared" si="872"/>
        <v>5.0405284680717202</v>
      </c>
      <c r="EC286" s="5">
        <f t="shared" si="873"/>
        <v>5.3139768606949822</v>
      </c>
      <c r="ED286" s="5"/>
      <c r="EE286" s="173">
        <f t="shared" si="874"/>
        <v>3.7208327873439773</v>
      </c>
      <c r="EF286" s="173">
        <f t="shared" si="875"/>
        <v>8.6576453222886691</v>
      </c>
      <c r="EG286" s="173">
        <f t="shared" si="876"/>
        <v>0.21321573578028566</v>
      </c>
      <c r="EH286" s="173"/>
      <c r="EI286" s="528">
        <f t="shared" si="877"/>
        <v>0.27689193262747902</v>
      </c>
      <c r="EJ286" s="528">
        <f t="shared" si="878"/>
        <v>2.2241666666666671</v>
      </c>
      <c r="EK286" s="528">
        <f t="shared" si="879"/>
        <v>8.457698213531005E-3</v>
      </c>
      <c r="EL286" s="528">
        <f t="shared" si="880"/>
        <v>6.8612163325863229E-2</v>
      </c>
      <c r="EM286">
        <f t="shared" si="881"/>
        <v>3.8249999999999999E-2</v>
      </c>
      <c r="EN286" s="460">
        <f t="shared" si="882"/>
        <v>46.707698213531003</v>
      </c>
      <c r="EP286" s="460">
        <f t="shared" si="883"/>
        <v>2616.3784608335409</v>
      </c>
      <c r="EQ286" s="173">
        <f t="shared" si="884"/>
        <v>4.8999999999999995</v>
      </c>
      <c r="ER286" s="173">
        <f t="shared" si="845"/>
        <v>7.7656249999999996E-2</v>
      </c>
      <c r="ES286" s="528"/>
      <c r="EU286" s="460">
        <f t="shared" si="885"/>
        <v>4977.65625</v>
      </c>
      <c r="EV286" s="528">
        <f t="shared" si="886"/>
        <v>0.41533789894121853</v>
      </c>
      <c r="EW286" s="528">
        <f t="shared" si="887"/>
        <v>2.248644675796406</v>
      </c>
      <c r="EX286" s="528">
        <f t="shared" si="888"/>
        <v>2.2730474992164294E-4</v>
      </c>
      <c r="EY286" s="528">
        <f t="shared" si="889"/>
        <v>2.0264675705467909</v>
      </c>
      <c r="EZ286" s="528"/>
      <c r="FA286" s="625">
        <f t="shared" si="890"/>
        <v>1.8024928530588905E-2</v>
      </c>
      <c r="FB286" s="460">
        <f t="shared" si="891"/>
        <v>4708.7023785649262</v>
      </c>
      <c r="FC286" s="173">
        <f t="shared" si="892"/>
        <v>12.302737089398468</v>
      </c>
      <c r="FD286" s="5">
        <f t="shared" si="893"/>
        <v>106.4</v>
      </c>
      <c r="FE286" s="173">
        <f t="shared" si="894"/>
        <v>0.89635675308705887</v>
      </c>
      <c r="FF286" s="5">
        <f t="shared" si="895"/>
        <v>89.635675308705885</v>
      </c>
      <c r="FG286">
        <f t="shared" si="896"/>
        <v>70</v>
      </c>
      <c r="FI286" s="562">
        <f t="shared" si="846"/>
        <v>-50</v>
      </c>
    </row>
    <row r="287" spans="5:165">
      <c r="E287" s="170">
        <v>71</v>
      </c>
      <c r="F287" s="217">
        <f t="shared" si="847"/>
        <v>7.1</v>
      </c>
      <c r="G287" s="217">
        <f t="shared" si="775"/>
        <v>0.17749999999999999</v>
      </c>
      <c r="H287" s="217">
        <f t="shared" si="776"/>
        <v>106.5</v>
      </c>
      <c r="I287" s="217">
        <f t="shared" si="777"/>
        <v>1.42</v>
      </c>
      <c r="J287" s="541">
        <f t="shared" si="778"/>
        <v>84.532340611647697</v>
      </c>
      <c r="K287" s="443">
        <f t="shared" si="779"/>
        <v>15.952342352941177</v>
      </c>
      <c r="L287" s="172">
        <f t="shared" si="780"/>
        <v>100.48468296458887</v>
      </c>
      <c r="M287" s="443"/>
      <c r="N287" s="217">
        <f t="shared" si="781"/>
        <v>0.15875397008082151</v>
      </c>
      <c r="O287" s="172">
        <f t="shared" si="782"/>
        <v>331.08169421850323</v>
      </c>
      <c r="P287" s="172">
        <f t="shared" si="783"/>
        <v>4.4732815574411111</v>
      </c>
      <c r="Q287" s="217">
        <f t="shared" si="784"/>
        <v>22.072112947900216</v>
      </c>
      <c r="R287" s="217">
        <f t="shared" si="785"/>
        <v>41.385211777312904</v>
      </c>
      <c r="S287" s="217">
        <f t="shared" si="786"/>
        <v>15</v>
      </c>
      <c r="T287" s="217">
        <f t="shared" si="787"/>
        <v>16.083643683681501</v>
      </c>
      <c r="U287" s="217">
        <f t="shared" si="788"/>
        <v>2.2831938972429691</v>
      </c>
      <c r="V287" s="217">
        <f t="shared" si="789"/>
        <v>12.098770195249314</v>
      </c>
      <c r="W287" s="197">
        <f t="shared" si="790"/>
        <v>111.83203893602776</v>
      </c>
      <c r="X287" s="443">
        <f t="shared" si="848"/>
        <v>68.577867402297557</v>
      </c>
      <c r="Z287" s="217">
        <f t="shared" si="791"/>
        <v>10</v>
      </c>
      <c r="AA287" s="173">
        <f t="shared" si="792"/>
        <v>7.5224062614149751</v>
      </c>
      <c r="AB287" s="173">
        <f t="shared" si="793"/>
        <v>4.1508850160485773</v>
      </c>
      <c r="AC287" s="173"/>
      <c r="AD287" s="173">
        <f t="shared" si="794"/>
        <v>7.5224062614149751</v>
      </c>
      <c r="AE287" s="545">
        <f t="shared" si="795"/>
        <v>188.76938450980393</v>
      </c>
      <c r="AF287" s="528">
        <f t="shared" si="796"/>
        <v>4.2062301495958918</v>
      </c>
      <c r="AH287" s="173">
        <f t="shared" si="797"/>
        <v>7.1687151003841816</v>
      </c>
      <c r="AI287" s="173">
        <f t="shared" si="798"/>
        <v>16.083643683681501</v>
      </c>
      <c r="AJ287" s="173">
        <f t="shared" si="799"/>
        <v>5.7064027286529644</v>
      </c>
      <c r="AL287" s="545">
        <f t="shared" si="800"/>
        <v>7100</v>
      </c>
      <c r="AM287" s="460">
        <f t="shared" si="801"/>
        <v>68.577867402297557</v>
      </c>
      <c r="AO287">
        <f t="shared" si="802"/>
        <v>7100</v>
      </c>
      <c r="AP287">
        <f t="shared" si="803"/>
        <v>68.577867402297557</v>
      </c>
      <c r="AR287" s="5">
        <f t="shared" si="774"/>
        <v>14.581964092492282</v>
      </c>
      <c r="AS287" s="5">
        <f t="shared" si="739"/>
        <v>2.2831938972429691</v>
      </c>
      <c r="AT287" s="5">
        <f t="shared" si="740"/>
        <v>12.298770195249313</v>
      </c>
      <c r="AU287" s="173">
        <f t="shared" si="741"/>
        <v>0.15657656833886335</v>
      </c>
      <c r="BA287" s="173">
        <f t="shared" si="849"/>
        <v>3.6744065033949154</v>
      </c>
      <c r="BB287" s="173">
        <f t="shared" si="850"/>
        <v>8.5279893036020962</v>
      </c>
      <c r="BC287" s="173">
        <f t="shared" si="851"/>
        <v>0.2100226385357693</v>
      </c>
      <c r="BD287" s="173"/>
      <c r="BE287" s="528">
        <f t="shared" si="852"/>
        <v>0.27002526304381697</v>
      </c>
      <c r="BF287" s="528">
        <f t="shared" si="804"/>
        <v>2.078114905619413</v>
      </c>
      <c r="BG287" s="528">
        <f t="shared" si="805"/>
        <v>0.1449261911417857</v>
      </c>
      <c r="BH287" s="528">
        <f t="shared" si="853"/>
        <v>6.9244248898490984E-2</v>
      </c>
      <c r="BI287">
        <f t="shared" si="854"/>
        <v>3.8039553275241465E-2</v>
      </c>
      <c r="BJ287" s="460">
        <f t="shared" si="855"/>
        <v>182.96574441702717</v>
      </c>
      <c r="BK287">
        <f t="shared" si="806"/>
        <v>2.6610167584207525</v>
      </c>
      <c r="BL287" s="460">
        <f t="shared" si="856"/>
        <v>2600.3501619787485</v>
      </c>
      <c r="BM287" s="173">
        <f t="shared" si="807"/>
        <v>4.4108749999999999</v>
      </c>
      <c r="BN287" s="173">
        <f t="shared" si="808"/>
        <v>7.8765624999999992E-2</v>
      </c>
      <c r="BQ287" s="460">
        <f t="shared" si="857"/>
        <v>4489.640625</v>
      </c>
      <c r="BR287" s="528">
        <f t="shared" si="858"/>
        <v>0.40503789456572542</v>
      </c>
      <c r="BS287" s="528">
        <f t="shared" si="859"/>
        <v>2.1817980468705529</v>
      </c>
      <c r="BT287" s="528">
        <f t="shared" si="860"/>
        <v>2.2054754348763204E-4</v>
      </c>
      <c r="BU287" s="528">
        <f t="shared" si="861"/>
        <v>2.0201845768828894</v>
      </c>
      <c r="BV287" s="528"/>
      <c r="BW287" s="625">
        <f t="shared" si="862"/>
        <v>1.7739969218331465E-2</v>
      </c>
      <c r="BX287" s="460">
        <f t="shared" si="863"/>
        <v>4624.9810350809867</v>
      </c>
      <c r="BY287" s="173">
        <f t="shared" si="864"/>
        <v>11.714971822059736</v>
      </c>
      <c r="BZ287" s="5">
        <f t="shared" si="865"/>
        <v>107.92</v>
      </c>
      <c r="CA287" s="173">
        <f t="shared" si="866"/>
        <v>0.90207736380392078</v>
      </c>
      <c r="CB287" s="5">
        <f t="shared" si="867"/>
        <v>90.207736380392078</v>
      </c>
      <c r="CC287">
        <f t="shared" si="868"/>
        <v>71</v>
      </c>
      <c r="CE287" s="562">
        <f t="shared" si="809"/>
        <v>-50</v>
      </c>
      <c r="CG287" s="173">
        <f t="shared" si="810"/>
        <v>0.84409136047666333</v>
      </c>
      <c r="CH287" s="173">
        <f t="shared" si="811"/>
        <v>0.1020398968288061</v>
      </c>
      <c r="CI287" s="170">
        <v>71</v>
      </c>
      <c r="CJ287" s="217">
        <f t="shared" si="869"/>
        <v>7.1</v>
      </c>
      <c r="CK287" s="217">
        <f t="shared" si="812"/>
        <v>0.17749999999999999</v>
      </c>
      <c r="CL287" s="217">
        <f t="shared" si="813"/>
        <v>106.5</v>
      </c>
      <c r="CM287" s="217">
        <f t="shared" si="814"/>
        <v>1.42</v>
      </c>
      <c r="CN287" s="541">
        <f t="shared" si="815"/>
        <v>85</v>
      </c>
      <c r="CO287" s="443">
        <f t="shared" si="816"/>
        <v>15.7</v>
      </c>
      <c r="CP287" s="443">
        <f t="shared" si="817"/>
        <v>100.7</v>
      </c>
      <c r="CQ287" s="443"/>
      <c r="CR287" s="217">
        <f t="shared" si="818"/>
        <v>0.15338645418326693</v>
      </c>
      <c r="CS287" s="172">
        <f t="shared" si="819"/>
        <v>321.65744915076539</v>
      </c>
      <c r="CT287" s="172">
        <f t="shared" si="820"/>
        <v>4.3459495351925632</v>
      </c>
      <c r="CU287" s="217">
        <f t="shared" si="821"/>
        <v>21.443829943384358</v>
      </c>
      <c r="CV287" s="217">
        <f t="shared" si="822"/>
        <v>40.207181143845673</v>
      </c>
      <c r="CW287" s="217">
        <f t="shared" si="823"/>
        <v>15</v>
      </c>
      <c r="CX287" s="217">
        <f t="shared" si="824"/>
        <v>16.554878533231474</v>
      </c>
      <c r="CY287" s="217">
        <f t="shared" si="825"/>
        <v>2.3371593223385609</v>
      </c>
      <c r="CZ287" s="217">
        <f t="shared" si="826"/>
        <v>12.65341034387119</v>
      </c>
      <c r="DA287" s="197">
        <f t="shared" si="827"/>
        <v>110.43528632903013</v>
      </c>
      <c r="DB287" s="443">
        <f t="shared" si="828"/>
        <v>66.708605627850176</v>
      </c>
      <c r="DD287" s="217">
        <f t="shared" si="829"/>
        <v>9.9999999999999982</v>
      </c>
      <c r="DE287" s="173">
        <f t="shared" si="830"/>
        <v>7.6433121019108263</v>
      </c>
      <c r="DF287" s="173">
        <f t="shared" si="831"/>
        <v>4.1649244760361679</v>
      </c>
      <c r="DG287" s="173"/>
      <c r="DH287" s="173">
        <f t="shared" si="832"/>
        <v>7.6433121019108281</v>
      </c>
      <c r="DI287" s="545">
        <f t="shared" si="833"/>
        <v>185.78333333333333</v>
      </c>
      <c r="DJ287" s="528">
        <f t="shared" si="834"/>
        <v>4.2204568023833167</v>
      </c>
      <c r="DL287" s="173">
        <f t="shared" si="835"/>
        <v>7.1687151003841816</v>
      </c>
      <c r="DM287" s="173">
        <f t="shared" si="836"/>
        <v>16.554878533231474</v>
      </c>
      <c r="DN287" s="173">
        <f t="shared" si="837"/>
        <v>6.0554655801714619</v>
      </c>
      <c r="DP287" s="545">
        <f t="shared" si="838"/>
        <v>7100</v>
      </c>
      <c r="DQ287" s="460">
        <f t="shared" si="839"/>
        <v>66.708605627850176</v>
      </c>
      <c r="DS287">
        <f t="shared" si="840"/>
        <v>7100</v>
      </c>
      <c r="DT287">
        <f t="shared" si="841"/>
        <v>66.708605627850176</v>
      </c>
      <c r="DV287" s="5">
        <f t="shared" si="870"/>
        <v>14.990569666209753</v>
      </c>
      <c r="DW287" s="5">
        <f t="shared" si="842"/>
        <v>2.3371593223385609</v>
      </c>
      <c r="DX287" s="5">
        <f t="shared" si="843"/>
        <v>12.653410343871192</v>
      </c>
      <c r="DY287" s="173">
        <f t="shared" si="844"/>
        <v>0.15590863952333661</v>
      </c>
      <c r="EA287" s="5">
        <f t="shared" si="871"/>
        <v>110.62554125735856</v>
      </c>
      <c r="EB287" s="5">
        <f t="shared" si="872"/>
        <v>5.1855722464386824</v>
      </c>
      <c r="EC287" s="5">
        <f t="shared" si="873"/>
        <v>5.4668892560741655</v>
      </c>
      <c r="ED287" s="5"/>
      <c r="EE287" s="173">
        <f t="shared" si="874"/>
        <v>3.773987541448891</v>
      </c>
      <c r="EF287" s="173">
        <f t="shared" si="875"/>
        <v>8.7813259697499362</v>
      </c>
      <c r="EG287" s="173">
        <f t="shared" si="876"/>
        <v>0.21626167486286119</v>
      </c>
      <c r="EH287" s="173"/>
      <c r="EI287" s="528">
        <f t="shared" si="877"/>
        <v>0.28485963926022889</v>
      </c>
      <c r="EJ287" s="528">
        <f t="shared" si="878"/>
        <v>2.2241666666666666</v>
      </c>
      <c r="EK287" s="528">
        <f t="shared" si="879"/>
        <v>8.3385757034812706E-3</v>
      </c>
      <c r="EL287" s="528">
        <f t="shared" si="880"/>
        <v>6.7645794828315842E-2</v>
      </c>
      <c r="EM287">
        <f t="shared" si="881"/>
        <v>3.8249999999999999E-2</v>
      </c>
      <c r="EN287" s="460">
        <f t="shared" si="882"/>
        <v>46.588575703481268</v>
      </c>
      <c r="EP287" s="460">
        <f t="shared" si="883"/>
        <v>2623.2606764586922</v>
      </c>
      <c r="EQ287" s="173">
        <f t="shared" si="884"/>
        <v>4.97</v>
      </c>
      <c r="ER287" s="173">
        <f t="shared" si="845"/>
        <v>7.8765624999999992E-2</v>
      </c>
      <c r="ES287" s="528"/>
      <c r="EU287" s="460">
        <f t="shared" si="885"/>
        <v>5048.765625</v>
      </c>
      <c r="EV287" s="528">
        <f t="shared" si="886"/>
        <v>0.42728945889034337</v>
      </c>
      <c r="EW287" s="528">
        <f t="shared" si="887"/>
        <v>2.3133505736101396</v>
      </c>
      <c r="EX287" s="528">
        <f t="shared" si="888"/>
        <v>2.3384556007244943E-4</v>
      </c>
      <c r="EY287" s="528">
        <f t="shared" si="889"/>
        <v>2.0264675705467892</v>
      </c>
      <c r="EZ287" s="528"/>
      <c r="FA287" s="625">
        <f t="shared" si="890"/>
        <v>1.828242750959732E-2</v>
      </c>
      <c r="FB287" s="460">
        <f t="shared" si="891"/>
        <v>4785.6238761169425</v>
      </c>
      <c r="FC287" s="173">
        <f t="shared" si="892"/>
        <v>12.457650177575635</v>
      </c>
      <c r="FD287" s="5">
        <f t="shared" si="893"/>
        <v>107.92</v>
      </c>
      <c r="FE287" s="173">
        <f t="shared" si="894"/>
        <v>0.89651193424029563</v>
      </c>
      <c r="FF287" s="5">
        <f t="shared" si="895"/>
        <v>89.651193424029557</v>
      </c>
      <c r="FG287">
        <f t="shared" si="896"/>
        <v>71</v>
      </c>
      <c r="FI287" s="562">
        <f t="shared" si="846"/>
        <v>-50</v>
      </c>
    </row>
    <row r="288" spans="5:165">
      <c r="E288" s="170">
        <v>72</v>
      </c>
      <c r="F288" s="217">
        <f t="shared" si="847"/>
        <v>7.1999999999999993</v>
      </c>
      <c r="G288" s="217">
        <f t="shared" si="775"/>
        <v>0.18</v>
      </c>
      <c r="H288" s="217">
        <f t="shared" si="776"/>
        <v>107.99999999999999</v>
      </c>
      <c r="I288" s="217">
        <f t="shared" si="777"/>
        <v>1.44</v>
      </c>
      <c r="J288" s="541">
        <f t="shared" si="778"/>
        <v>84.525753859699066</v>
      </c>
      <c r="K288" s="443">
        <f t="shared" si="779"/>
        <v>15.955896470588234</v>
      </c>
      <c r="L288" s="172">
        <f t="shared" si="780"/>
        <v>100.48165033028729</v>
      </c>
      <c r="M288" s="443"/>
      <c r="N288" s="217">
        <f t="shared" si="781"/>
        <v>0.1587941322434549</v>
      </c>
      <c r="O288" s="172">
        <f t="shared" si="782"/>
        <v>331.13964810135121</v>
      </c>
      <c r="P288" s="172">
        <f t="shared" si="783"/>
        <v>4.47406457879159</v>
      </c>
      <c r="Q288" s="217">
        <f t="shared" si="784"/>
        <v>22.075976540090082</v>
      </c>
      <c r="R288" s="217">
        <f t="shared" si="785"/>
        <v>41.392456012668902</v>
      </c>
      <c r="S288" s="217">
        <f t="shared" si="786"/>
        <v>15</v>
      </c>
      <c r="T288" s="217">
        <f t="shared" si="787"/>
        <v>16.307319377072091</v>
      </c>
      <c r="U288" s="217">
        <f t="shared" si="788"/>
        <v>2.3151267346243318</v>
      </c>
      <c r="V288" s="217">
        <f t="shared" si="789"/>
        <v>12.264295703195348</v>
      </c>
      <c r="W288" s="197">
        <f t="shared" si="790"/>
        <v>111.85161446978977</v>
      </c>
      <c r="X288" s="443">
        <f t="shared" si="848"/>
        <v>67.661642679693514</v>
      </c>
      <c r="Z288" s="217">
        <f t="shared" si="791"/>
        <v>10</v>
      </c>
      <c r="AA288" s="173">
        <f t="shared" si="792"/>
        <v>7.5207306729018937</v>
      </c>
      <c r="AB288" s="173">
        <f t="shared" si="793"/>
        <v>4.1506868474829535</v>
      </c>
      <c r="AC288" s="173"/>
      <c r="AD288" s="173">
        <f t="shared" si="794"/>
        <v>7.5207306729018937</v>
      </c>
      <c r="AE288" s="545">
        <f t="shared" si="795"/>
        <v>191.4707576470588</v>
      </c>
      <c r="AF288" s="528">
        <f t="shared" si="796"/>
        <v>4.2060293387827254</v>
      </c>
      <c r="AH288" s="173">
        <f t="shared" si="797"/>
        <v>7.21902249021886</v>
      </c>
      <c r="AI288" s="173">
        <f t="shared" si="798"/>
        <v>16.307319377072091</v>
      </c>
      <c r="AJ288" s="173">
        <f t="shared" si="799"/>
        <v>5.8720884274608078</v>
      </c>
      <c r="AL288" s="545">
        <f t="shared" si="800"/>
        <v>7199.9999999999991</v>
      </c>
      <c r="AM288" s="460">
        <f t="shared" si="801"/>
        <v>67.661642679693514</v>
      </c>
      <c r="AO288">
        <f t="shared" si="802"/>
        <v>7199.9999999999991</v>
      </c>
      <c r="AP288">
        <f t="shared" si="803"/>
        <v>67.661642679693514</v>
      </c>
      <c r="AR288" s="5">
        <f t="shared" si="774"/>
        <v>14.779422437819679</v>
      </c>
      <c r="AS288" s="5">
        <f t="shared" si="739"/>
        <v>2.3151267346243318</v>
      </c>
      <c r="AT288" s="5">
        <f t="shared" si="740"/>
        <v>12.464295703195347</v>
      </c>
      <c r="AU288" s="173">
        <f t="shared" si="741"/>
        <v>0.15664527787635718</v>
      </c>
      <c r="BA288" s="173">
        <f t="shared" si="849"/>
        <v>3.7263239108561517</v>
      </c>
      <c r="BB288" s="173">
        <f t="shared" si="850"/>
        <v>8.6462360905382027</v>
      </c>
      <c r="BC288" s="173">
        <f t="shared" si="851"/>
        <v>0.21293475548462712</v>
      </c>
      <c r="BD288" s="173"/>
      <c r="BE288" s="528">
        <f t="shared" si="852"/>
        <v>0.27770979777236571</v>
      </c>
      <c r="BF288" s="528">
        <f t="shared" si="804"/>
        <v>2.0788020942189727</v>
      </c>
      <c r="BG288" s="528">
        <f t="shared" si="805"/>
        <v>0.14297878387216709</v>
      </c>
      <c r="BH288" s="528">
        <f t="shared" si="853"/>
        <v>6.8314997393007809E-2</v>
      </c>
      <c r="BI288">
        <f t="shared" si="854"/>
        <v>3.8036589236864579E-2</v>
      </c>
      <c r="BJ288" s="460">
        <f t="shared" si="855"/>
        <v>181.01537310903166</v>
      </c>
      <c r="BK288">
        <f t="shared" si="806"/>
        <v>2.6764082497911406</v>
      </c>
      <c r="BL288" s="460">
        <f t="shared" si="856"/>
        <v>2605.8422624933778</v>
      </c>
      <c r="BM288" s="173">
        <f t="shared" si="807"/>
        <v>4.472999999999999</v>
      </c>
      <c r="BN288" s="173">
        <f t="shared" si="808"/>
        <v>7.9874999999999988E-2</v>
      </c>
      <c r="BQ288" s="460">
        <f t="shared" si="857"/>
        <v>4552.8749999999991</v>
      </c>
      <c r="BR288" s="528">
        <f t="shared" si="858"/>
        <v>0.41656469665854851</v>
      </c>
      <c r="BS288" s="528">
        <f t="shared" si="859"/>
        <v>2.2427219559997602</v>
      </c>
      <c r="BT288" s="528">
        <f t="shared" si="860"/>
        <v>2.2670605046648971E-4</v>
      </c>
      <c r="BU288" s="528">
        <f t="shared" si="861"/>
        <v>2.0220076291198636</v>
      </c>
      <c r="BV288" s="528"/>
      <c r="BW288" s="625">
        <f t="shared" si="862"/>
        <v>1.7993170327504474E-2</v>
      </c>
      <c r="BX288" s="460">
        <f t="shared" si="863"/>
        <v>4699.5141581561438</v>
      </c>
      <c r="BY288" s="173">
        <f t="shared" si="864"/>
        <v>11.858231420649519</v>
      </c>
      <c r="BZ288" s="5">
        <f t="shared" si="865"/>
        <v>109.43999999999998</v>
      </c>
      <c r="CA288" s="173">
        <f t="shared" si="866"/>
        <v>0.90223904106625907</v>
      </c>
      <c r="CB288" s="5">
        <f t="shared" si="867"/>
        <v>90.223904106625909</v>
      </c>
      <c r="CC288">
        <f t="shared" si="868"/>
        <v>72</v>
      </c>
      <c r="CE288" s="562">
        <f t="shared" si="809"/>
        <v>-50</v>
      </c>
      <c r="CG288" s="173">
        <f t="shared" si="810"/>
        <v>0.84409136047666333</v>
      </c>
      <c r="CH288" s="173">
        <f t="shared" si="811"/>
        <v>0.10203989682880611</v>
      </c>
      <c r="CI288" s="170">
        <v>72</v>
      </c>
      <c r="CJ288" s="217">
        <f t="shared" si="869"/>
        <v>7.1999999999999993</v>
      </c>
      <c r="CK288" s="217">
        <f t="shared" si="812"/>
        <v>0.18</v>
      </c>
      <c r="CL288" s="217">
        <f t="shared" si="813"/>
        <v>107.99999999999999</v>
      </c>
      <c r="CM288" s="217">
        <f t="shared" si="814"/>
        <v>1.44</v>
      </c>
      <c r="CN288" s="541">
        <f t="shared" si="815"/>
        <v>85</v>
      </c>
      <c r="CO288" s="443">
        <f t="shared" si="816"/>
        <v>15.7</v>
      </c>
      <c r="CP288" s="443">
        <f t="shared" si="817"/>
        <v>100.7</v>
      </c>
      <c r="CQ288" s="443"/>
      <c r="CR288" s="217">
        <f t="shared" si="818"/>
        <v>0.15338645418326693</v>
      </c>
      <c r="CS288" s="172">
        <f t="shared" si="819"/>
        <v>321.65744915076539</v>
      </c>
      <c r="CT288" s="172">
        <f t="shared" si="820"/>
        <v>4.3459495351925632</v>
      </c>
      <c r="CU288" s="217">
        <f t="shared" si="821"/>
        <v>21.443829943384358</v>
      </c>
      <c r="CV288" s="217">
        <f t="shared" si="822"/>
        <v>40.207181143845673</v>
      </c>
      <c r="CW288" s="217">
        <f t="shared" si="823"/>
        <v>15</v>
      </c>
      <c r="CX288" s="217">
        <f t="shared" si="824"/>
        <v>16.788045836516421</v>
      </c>
      <c r="CY288" s="217">
        <f t="shared" si="825"/>
        <v>2.3700770592729068</v>
      </c>
      <c r="CZ288" s="217">
        <f t="shared" si="826"/>
        <v>12.831627390967967</v>
      </c>
      <c r="DA288" s="197">
        <f t="shared" si="827"/>
        <v>110.43528632903013</v>
      </c>
      <c r="DB288" s="443">
        <f t="shared" si="828"/>
        <v>65.78209721635227</v>
      </c>
      <c r="DD288" s="217">
        <f t="shared" si="829"/>
        <v>9.9999999999999982</v>
      </c>
      <c r="DE288" s="173">
        <f t="shared" si="830"/>
        <v>7.6433121019108263</v>
      </c>
      <c r="DF288" s="173">
        <f t="shared" si="831"/>
        <v>4.1649244760361679</v>
      </c>
      <c r="DG288" s="173"/>
      <c r="DH288" s="173">
        <f t="shared" si="832"/>
        <v>7.6433121019108281</v>
      </c>
      <c r="DI288" s="545">
        <f t="shared" si="833"/>
        <v>188.4</v>
      </c>
      <c r="DJ288" s="528">
        <f t="shared" si="834"/>
        <v>4.2204568023833167</v>
      </c>
      <c r="DL288" s="173">
        <f t="shared" si="835"/>
        <v>7.21902249021886</v>
      </c>
      <c r="DM288" s="173">
        <f t="shared" si="836"/>
        <v>16.788045836516421</v>
      </c>
      <c r="DN288" s="173">
        <f t="shared" si="837"/>
        <v>6.2281821011232745</v>
      </c>
      <c r="DP288" s="545">
        <f t="shared" si="838"/>
        <v>7199.9999999999991</v>
      </c>
      <c r="DQ288" s="460">
        <f t="shared" si="839"/>
        <v>65.78209721635227</v>
      </c>
      <c r="DS288">
        <f t="shared" si="840"/>
        <v>7199.9999999999991</v>
      </c>
      <c r="DT288">
        <f t="shared" si="841"/>
        <v>65.78209721635227</v>
      </c>
      <c r="DV288" s="5">
        <f t="shared" si="870"/>
        <v>15.201704450240872</v>
      </c>
      <c r="DW288" s="5">
        <f t="shared" si="842"/>
        <v>2.3700770592729068</v>
      </c>
      <c r="DX288" s="5">
        <f t="shared" si="843"/>
        <v>12.831627390967965</v>
      </c>
      <c r="DY288" s="173">
        <f t="shared" si="844"/>
        <v>0.15590863952333667</v>
      </c>
      <c r="EA288" s="5">
        <f t="shared" si="871"/>
        <v>113.7636988450995</v>
      </c>
      <c r="EB288" s="5">
        <f t="shared" si="872"/>
        <v>5.3326733833640398</v>
      </c>
      <c r="EC288" s="5">
        <f t="shared" si="873"/>
        <v>5.6219706216005676</v>
      </c>
      <c r="ED288" s="5"/>
      <c r="EE288" s="173">
        <f t="shared" si="874"/>
        <v>3.8271422955538044</v>
      </c>
      <c r="EF288" s="173">
        <f t="shared" si="875"/>
        <v>8.9050066172111997</v>
      </c>
      <c r="EG288" s="173">
        <f t="shared" si="876"/>
        <v>0.21930761394543666</v>
      </c>
      <c r="EH288" s="173"/>
      <c r="EI288" s="528">
        <f t="shared" si="877"/>
        <v>0.29294036300833687</v>
      </c>
      <c r="EJ288" s="528">
        <f t="shared" si="878"/>
        <v>2.2241666666666671</v>
      </c>
      <c r="EK288" s="528">
        <f t="shared" si="879"/>
        <v>8.2227621520440334E-3</v>
      </c>
      <c r="EL288" s="528">
        <f t="shared" si="880"/>
        <v>6.6706269900144805E-2</v>
      </c>
      <c r="EM288">
        <f t="shared" si="881"/>
        <v>3.8249999999999999E-2</v>
      </c>
      <c r="EN288" s="460">
        <f t="shared" si="882"/>
        <v>46.472762152044034</v>
      </c>
      <c r="EP288" s="460">
        <f t="shared" si="883"/>
        <v>2630.2860617271931</v>
      </c>
      <c r="EQ288" s="173">
        <f t="shared" si="884"/>
        <v>5.0399999999999991</v>
      </c>
      <c r="ER288" s="173">
        <f t="shared" si="845"/>
        <v>7.9874999999999988E-2</v>
      </c>
      <c r="ES288" s="528"/>
      <c r="EU288" s="460">
        <f t="shared" si="885"/>
        <v>5119.8749999999991</v>
      </c>
      <c r="EV288" s="528">
        <f t="shared" si="886"/>
        <v>0.43941054451250527</v>
      </c>
      <c r="EW288" s="528">
        <f t="shared" si="887"/>
        <v>2.3789742855772578</v>
      </c>
      <c r="EX288" s="528">
        <f t="shared" si="888"/>
        <v>2.4047914767220344E-4</v>
      </c>
      <c r="EY288" s="528">
        <f t="shared" si="889"/>
        <v>2.0264675705467869</v>
      </c>
      <c r="EZ288" s="528"/>
      <c r="FA288" s="625">
        <f t="shared" si="890"/>
        <v>1.8539926488605727E-2</v>
      </c>
      <c r="FB288" s="460">
        <f t="shared" si="891"/>
        <v>4863.6328062728271</v>
      </c>
      <c r="FC288" s="173">
        <f t="shared" si="892"/>
        <v>12.61379386800002</v>
      </c>
      <c r="FD288" s="5">
        <f t="shared" si="893"/>
        <v>109.43999999999998</v>
      </c>
      <c r="FE288" s="173">
        <f t="shared" si="894"/>
        <v>0.89665381576223913</v>
      </c>
      <c r="FF288" s="5">
        <f t="shared" si="895"/>
        <v>89.665381576223908</v>
      </c>
      <c r="FG288">
        <f t="shared" si="896"/>
        <v>72</v>
      </c>
      <c r="FI288" s="562">
        <f t="shared" si="846"/>
        <v>-50</v>
      </c>
    </row>
    <row r="289" spans="5:165">
      <c r="E289" s="170">
        <v>73</v>
      </c>
      <c r="F289" s="217">
        <f t="shared" si="847"/>
        <v>7.3</v>
      </c>
      <c r="G289" s="217">
        <f t="shared" si="775"/>
        <v>0.1825</v>
      </c>
      <c r="H289" s="217">
        <f t="shared" si="776"/>
        <v>109.5</v>
      </c>
      <c r="I289" s="217">
        <f t="shared" si="777"/>
        <v>1.46</v>
      </c>
      <c r="J289" s="541">
        <f t="shared" si="778"/>
        <v>84.519167107750448</v>
      </c>
      <c r="K289" s="443">
        <f t="shared" si="779"/>
        <v>15.959450588235294</v>
      </c>
      <c r="L289" s="172">
        <f t="shared" si="780"/>
        <v>100.47861769598575</v>
      </c>
      <c r="M289" s="443"/>
      <c r="N289" s="217">
        <f t="shared" si="781"/>
        <v>0.15883429683042799</v>
      </c>
      <c r="O289" s="172">
        <f t="shared" si="782"/>
        <v>331.1975939865045</v>
      </c>
      <c r="P289" s="172">
        <f t="shared" si="783"/>
        <v>4.4748474920843275</v>
      </c>
      <c r="Q289" s="217">
        <f t="shared" si="784"/>
        <v>22.0798395991003</v>
      </c>
      <c r="R289" s="217">
        <f t="shared" si="785"/>
        <v>41.399699248313063</v>
      </c>
      <c r="S289" s="217">
        <f t="shared" si="786"/>
        <v>15</v>
      </c>
      <c r="T289" s="217">
        <f t="shared" si="787"/>
        <v>16.53091719085101</v>
      </c>
      <c r="U289" s="217">
        <f t="shared" si="788"/>
        <v>2.3470534918702648</v>
      </c>
      <c r="V289" s="217">
        <f t="shared" si="789"/>
        <v>12.429688929043946</v>
      </c>
      <c r="W289" s="197">
        <f t="shared" si="790"/>
        <v>111.87118730210817</v>
      </c>
      <c r="X289" s="443">
        <f t="shared" si="848"/>
        <v>66.770194204819475</v>
      </c>
      <c r="Z289" s="217">
        <f t="shared" si="791"/>
        <v>10</v>
      </c>
      <c r="AA289" s="173">
        <f t="shared" si="792"/>
        <v>7.5190558306850166</v>
      </c>
      <c r="AB289" s="173">
        <f t="shared" si="793"/>
        <v>4.1504886669551251</v>
      </c>
      <c r="AC289" s="173"/>
      <c r="AD289" s="173">
        <f t="shared" si="794"/>
        <v>7.5190558306850166</v>
      </c>
      <c r="AE289" s="545">
        <f t="shared" si="795"/>
        <v>194.17331549019607</v>
      </c>
      <c r="AF289" s="528">
        <f t="shared" si="796"/>
        <v>4.2058285158478599</v>
      </c>
      <c r="AH289" s="173">
        <f t="shared" si="797"/>
        <v>7.2689817194773045</v>
      </c>
      <c r="AI289" s="173">
        <f t="shared" si="798"/>
        <v>16.53091719085101</v>
      </c>
      <c r="AJ289" s="173">
        <f t="shared" si="799"/>
        <v>6.0377164376674148</v>
      </c>
      <c r="AL289" s="545">
        <f t="shared" si="800"/>
        <v>7300</v>
      </c>
      <c r="AM289" s="460">
        <f t="shared" si="801"/>
        <v>66.770194204819475</v>
      </c>
      <c r="AO289">
        <f t="shared" si="802"/>
        <v>7300</v>
      </c>
      <c r="AP289">
        <f t="shared" si="803"/>
        <v>66.770194204819475</v>
      </c>
      <c r="AR289" s="5">
        <f t="shared" si="774"/>
        <v>14.976742420914212</v>
      </c>
      <c r="AS289" s="5">
        <f t="shared" si="739"/>
        <v>2.3470534918702648</v>
      </c>
      <c r="AT289" s="5">
        <f t="shared" si="740"/>
        <v>12.629688929043947</v>
      </c>
      <c r="AU289" s="173">
        <f t="shared" si="741"/>
        <v>0.15671321746127725</v>
      </c>
      <c r="BA289" s="173">
        <f t="shared" si="849"/>
        <v>3.77823647674726</v>
      </c>
      <c r="BB289" s="173">
        <f t="shared" si="850"/>
        <v>8.7644359116470021</v>
      </c>
      <c r="BC289" s="173">
        <f t="shared" si="851"/>
        <v>0.21584571578487519</v>
      </c>
      <c r="BD289" s="173"/>
      <c r="BE289" s="528">
        <f t="shared" si="852"/>
        <v>0.28550141748447094</v>
      </c>
      <c r="BF289" s="528">
        <f t="shared" si="804"/>
        <v>2.0794788786946277</v>
      </c>
      <c r="BG289" s="528">
        <f t="shared" si="805"/>
        <v>0.14108403004535219</v>
      </c>
      <c r="BH289" s="528">
        <f t="shared" si="853"/>
        <v>6.7410871672584902E-2</v>
      </c>
      <c r="BI289">
        <f t="shared" si="854"/>
        <v>3.80336251984877E-2</v>
      </c>
      <c r="BJ289" s="460">
        <f t="shared" si="855"/>
        <v>179.11765524383989</v>
      </c>
      <c r="BK289">
        <f t="shared" si="806"/>
        <v>2.6920951964896735</v>
      </c>
      <c r="BL289" s="460">
        <f t="shared" si="856"/>
        <v>2611.5088230955234</v>
      </c>
      <c r="BM289" s="173">
        <f t="shared" si="807"/>
        <v>4.535124999999999</v>
      </c>
      <c r="BN289" s="173">
        <f t="shared" si="808"/>
        <v>8.0984374999999997E-2</v>
      </c>
      <c r="BQ289" s="460">
        <f t="shared" si="857"/>
        <v>4616.1093749999991</v>
      </c>
      <c r="BR289" s="528">
        <f t="shared" si="858"/>
        <v>0.42825212622670644</v>
      </c>
      <c r="BS289" s="528">
        <f t="shared" si="859"/>
        <v>2.3044601054810281</v>
      </c>
      <c r="BT289" s="528">
        <f t="shared" si="860"/>
        <v>2.3294686511342557E-4</v>
      </c>
      <c r="BU289" s="528">
        <f t="shared" si="861"/>
        <v>2.0238064641810092</v>
      </c>
      <c r="BV289" s="528"/>
      <c r="BW289" s="625">
        <f t="shared" si="862"/>
        <v>1.8246372641701109E-2</v>
      </c>
      <c r="BX289" s="460">
        <f t="shared" si="863"/>
        <v>4774.9980153955576</v>
      </c>
      <c r="BY289" s="173">
        <f t="shared" si="864"/>
        <v>12.002616213491081</v>
      </c>
      <c r="BZ289" s="5">
        <f t="shared" si="865"/>
        <v>110.96</v>
      </c>
      <c r="CA289" s="173">
        <f t="shared" si="866"/>
        <v>0.90238808685843341</v>
      </c>
      <c r="CB289" s="5">
        <f t="shared" si="867"/>
        <v>90.238808685843338</v>
      </c>
      <c r="CC289">
        <f t="shared" si="868"/>
        <v>73</v>
      </c>
      <c r="CE289" s="562">
        <f t="shared" si="809"/>
        <v>-50</v>
      </c>
      <c r="CG289" s="173">
        <f t="shared" si="810"/>
        <v>0.84409136047666333</v>
      </c>
      <c r="CH289" s="173">
        <f t="shared" si="811"/>
        <v>0.10203989682880608</v>
      </c>
      <c r="CI289" s="170">
        <v>73</v>
      </c>
      <c r="CJ289" s="217">
        <f t="shared" si="869"/>
        <v>7.3</v>
      </c>
      <c r="CK289" s="217">
        <f t="shared" si="812"/>
        <v>0.1825</v>
      </c>
      <c r="CL289" s="217">
        <f t="shared" si="813"/>
        <v>109.5</v>
      </c>
      <c r="CM289" s="217">
        <f t="shared" si="814"/>
        <v>1.46</v>
      </c>
      <c r="CN289" s="541">
        <f t="shared" si="815"/>
        <v>85</v>
      </c>
      <c r="CO289" s="443">
        <f t="shared" si="816"/>
        <v>15.7</v>
      </c>
      <c r="CP289" s="443">
        <f t="shared" si="817"/>
        <v>100.7</v>
      </c>
      <c r="CQ289" s="443"/>
      <c r="CR289" s="217">
        <f t="shared" si="818"/>
        <v>0.15338645418326693</v>
      </c>
      <c r="CS289" s="172">
        <f t="shared" si="819"/>
        <v>321.65744915076539</v>
      </c>
      <c r="CT289" s="172">
        <f t="shared" si="820"/>
        <v>4.3459495351925632</v>
      </c>
      <c r="CU289" s="217">
        <f t="shared" si="821"/>
        <v>21.443829943384358</v>
      </c>
      <c r="CV289" s="217">
        <f t="shared" si="822"/>
        <v>40.207181143845673</v>
      </c>
      <c r="CW289" s="217">
        <f t="shared" si="823"/>
        <v>15</v>
      </c>
      <c r="CX289" s="217">
        <f t="shared" si="824"/>
        <v>17.021213139801375</v>
      </c>
      <c r="CY289" s="217">
        <f t="shared" si="825"/>
        <v>2.4029947962072531</v>
      </c>
      <c r="CZ289" s="217">
        <f t="shared" si="826"/>
        <v>13.009844438064746</v>
      </c>
      <c r="DA289" s="197">
        <f t="shared" si="827"/>
        <v>110.43528632903013</v>
      </c>
      <c r="DB289" s="443">
        <f t="shared" si="828"/>
        <v>64.880972596950159</v>
      </c>
      <c r="DD289" s="217">
        <f t="shared" si="829"/>
        <v>9.9999999999999982</v>
      </c>
      <c r="DE289" s="173">
        <f t="shared" si="830"/>
        <v>7.6433121019108263</v>
      </c>
      <c r="DF289" s="173">
        <f t="shared" si="831"/>
        <v>4.1649244760361679</v>
      </c>
      <c r="DG289" s="173"/>
      <c r="DH289" s="173">
        <f t="shared" si="832"/>
        <v>7.6433121019108281</v>
      </c>
      <c r="DI289" s="545">
        <f t="shared" si="833"/>
        <v>191.01666666666668</v>
      </c>
      <c r="DJ289" s="528">
        <f t="shared" si="834"/>
        <v>4.2204568023833167</v>
      </c>
      <c r="DL289" s="173">
        <f t="shared" si="835"/>
        <v>7.2689817194773045</v>
      </c>
      <c r="DM289" s="173">
        <f t="shared" si="836"/>
        <v>17.021213139801375</v>
      </c>
      <c r="DN289" s="173">
        <f t="shared" si="837"/>
        <v>6.4008986220750934</v>
      </c>
      <c r="DP289" s="545">
        <f t="shared" si="838"/>
        <v>7300</v>
      </c>
      <c r="DQ289" s="460">
        <f t="shared" si="839"/>
        <v>64.880972596950159</v>
      </c>
      <c r="DS289">
        <f t="shared" si="840"/>
        <v>7300</v>
      </c>
      <c r="DT289">
        <f t="shared" si="841"/>
        <v>64.880972596950159</v>
      </c>
      <c r="DV289" s="5">
        <f t="shared" si="870"/>
        <v>15.412839234272003</v>
      </c>
      <c r="DW289" s="5">
        <f t="shared" si="842"/>
        <v>2.4029947962072531</v>
      </c>
      <c r="DX289" s="5">
        <f t="shared" si="843"/>
        <v>13.00984443806475</v>
      </c>
      <c r="DY289" s="173">
        <f t="shared" si="844"/>
        <v>0.15590863952333661</v>
      </c>
      <c r="EA289" s="5">
        <f t="shared" si="871"/>
        <v>116.94574674875298</v>
      </c>
      <c r="EB289" s="5">
        <f t="shared" si="872"/>
        <v>5.481831878847796</v>
      </c>
      <c r="EC289" s="5">
        <f t="shared" si="873"/>
        <v>5.779220957274199</v>
      </c>
      <c r="ED289" s="5"/>
      <c r="EE289" s="173">
        <f t="shared" si="874"/>
        <v>3.880297049658719</v>
      </c>
      <c r="EF289" s="173">
        <f t="shared" si="875"/>
        <v>9.0286872646724685</v>
      </c>
      <c r="EG289" s="173">
        <f t="shared" si="876"/>
        <v>0.22235355302801221</v>
      </c>
      <c r="EH289" s="173"/>
      <c r="EI289" s="528">
        <f t="shared" si="877"/>
        <v>0.30113410387180323</v>
      </c>
      <c r="EJ289" s="528">
        <f t="shared" si="878"/>
        <v>2.2241666666666662</v>
      </c>
      <c r="EK289" s="528">
        <f t="shared" si="879"/>
        <v>8.1101215746187689E-3</v>
      </c>
      <c r="EL289" s="528">
        <f t="shared" si="880"/>
        <v>6.5792485380964716E-2</v>
      </c>
      <c r="EM289">
        <f t="shared" si="881"/>
        <v>3.8249999999999999E-2</v>
      </c>
      <c r="EN289" s="460">
        <f t="shared" si="882"/>
        <v>46.360121574618766</v>
      </c>
      <c r="EP289" s="460">
        <f t="shared" si="883"/>
        <v>2637.4533774940533</v>
      </c>
      <c r="EQ289" s="173">
        <f t="shared" si="884"/>
        <v>5.1099999999999994</v>
      </c>
      <c r="ER289" s="173">
        <f t="shared" si="845"/>
        <v>8.0984374999999997E-2</v>
      </c>
      <c r="ES289" s="528"/>
      <c r="EU289" s="460">
        <f t="shared" si="885"/>
        <v>5190.9843749999991</v>
      </c>
      <c r="EV289" s="528">
        <f t="shared" si="886"/>
        <v>0.45170115580770476</v>
      </c>
      <c r="EW289" s="528">
        <f t="shared" si="887"/>
        <v>2.4455158116977649</v>
      </c>
      <c r="EX289" s="528">
        <f t="shared" si="888"/>
        <v>2.4720551272090519E-4</v>
      </c>
      <c r="EY289" s="528">
        <f t="shared" si="889"/>
        <v>2.0264675705467923</v>
      </c>
      <c r="EZ289" s="528"/>
      <c r="FA289" s="625">
        <f t="shared" si="890"/>
        <v>1.8797425467614141E-2</v>
      </c>
      <c r="FB289" s="460">
        <f t="shared" si="891"/>
        <v>4942.7291690325974</v>
      </c>
      <c r="FC289" s="173">
        <f t="shared" si="892"/>
        <v>12.77116692152665</v>
      </c>
      <c r="FD289" s="5">
        <f t="shared" si="893"/>
        <v>110.96</v>
      </c>
      <c r="FE289" s="173">
        <f t="shared" si="894"/>
        <v>0.8967829428972699</v>
      </c>
      <c r="FF289" s="5">
        <f t="shared" si="895"/>
        <v>89.678294289726992</v>
      </c>
      <c r="FG289">
        <f t="shared" si="896"/>
        <v>73</v>
      </c>
      <c r="FI289" s="562">
        <f t="shared" si="846"/>
        <v>-50</v>
      </c>
    </row>
    <row r="290" spans="5:165">
      <c r="E290" s="170">
        <v>74</v>
      </c>
      <c r="F290" s="217">
        <f t="shared" si="847"/>
        <v>7.4</v>
      </c>
      <c r="G290" s="217">
        <f t="shared" si="775"/>
        <v>0.185</v>
      </c>
      <c r="H290" s="217">
        <f t="shared" si="776"/>
        <v>111</v>
      </c>
      <c r="I290" s="217">
        <f t="shared" si="777"/>
        <v>1.48</v>
      </c>
      <c r="J290" s="541">
        <f t="shared" si="778"/>
        <v>84.512580355801816</v>
      </c>
      <c r="K290" s="443">
        <f t="shared" si="779"/>
        <v>15.963004705882351</v>
      </c>
      <c r="L290" s="172">
        <f t="shared" si="780"/>
        <v>100.47558506168417</v>
      </c>
      <c r="M290" s="443"/>
      <c r="N290" s="217">
        <f t="shared" si="781"/>
        <v>0.15887446384196033</v>
      </c>
      <c r="O290" s="172">
        <f t="shared" si="782"/>
        <v>331.25553187323857</v>
      </c>
      <c r="P290" s="172">
        <f t="shared" si="783"/>
        <v>4.4756302973095341</v>
      </c>
      <c r="Q290" s="217">
        <f t="shared" si="784"/>
        <v>22.083702124882571</v>
      </c>
      <c r="R290" s="217">
        <f t="shared" si="785"/>
        <v>41.406941484154821</v>
      </c>
      <c r="S290" s="217">
        <f t="shared" si="786"/>
        <v>15</v>
      </c>
      <c r="T290" s="217">
        <f t="shared" si="787"/>
        <v>16.754437182120228</v>
      </c>
      <c r="U290" s="217">
        <f t="shared" si="788"/>
        <v>2.378974175667095</v>
      </c>
      <c r="V290" s="217">
        <f t="shared" si="789"/>
        <v>12.594950004077543</v>
      </c>
      <c r="W290" s="197">
        <f t="shared" si="790"/>
        <v>111.89075743273835</v>
      </c>
      <c r="X290" s="443">
        <f t="shared" si="848"/>
        <v>65.902530430122994</v>
      </c>
      <c r="Z290" s="217">
        <f t="shared" si="791"/>
        <v>10</v>
      </c>
      <c r="AA290" s="173">
        <f t="shared" si="792"/>
        <v>7.5173817342658626</v>
      </c>
      <c r="AB290" s="173">
        <f t="shared" si="793"/>
        <v>4.1502904744640103</v>
      </c>
      <c r="AC290" s="173"/>
      <c r="AD290" s="173">
        <f t="shared" si="794"/>
        <v>7.5173817342658626</v>
      </c>
      <c r="AE290" s="545">
        <f t="shared" si="795"/>
        <v>196.87705803921568</v>
      </c>
      <c r="AF290" s="528">
        <f t="shared" si="796"/>
        <v>4.2056276807901973</v>
      </c>
      <c r="AH290" s="173">
        <f t="shared" si="797"/>
        <v>7.3185999181472381</v>
      </c>
      <c r="AI290" s="173">
        <f t="shared" si="798"/>
        <v>16.754437182120228</v>
      </c>
      <c r="AJ290" s="173">
        <f t="shared" si="799"/>
        <v>6.2032868015705391</v>
      </c>
      <c r="AL290" s="545">
        <f t="shared" si="800"/>
        <v>7400</v>
      </c>
      <c r="AM290" s="460">
        <f t="shared" si="801"/>
        <v>65.902530430122994</v>
      </c>
      <c r="AO290">
        <f t="shared" si="802"/>
        <v>7400</v>
      </c>
      <c r="AP290">
        <f t="shared" si="803"/>
        <v>65.902530430122994</v>
      </c>
      <c r="AR290" s="5">
        <f t="shared" si="774"/>
        <v>15.173924179744636</v>
      </c>
      <c r="AS290" s="5">
        <f t="shared" si="739"/>
        <v>2.378974175667095</v>
      </c>
      <c r="AT290" s="5">
        <f t="shared" si="740"/>
        <v>12.794950004077542</v>
      </c>
      <c r="AU290" s="173">
        <f t="shared" si="741"/>
        <v>0.1567804180043775</v>
      </c>
      <c r="BA290" s="173">
        <f t="shared" si="849"/>
        <v>3.8301442023593748</v>
      </c>
      <c r="BB290" s="173">
        <f t="shared" si="850"/>
        <v>8.8825888016390699</v>
      </c>
      <c r="BC290" s="173">
        <f t="shared" si="851"/>
        <v>0.21875552029134648</v>
      </c>
      <c r="BD290" s="173"/>
      <c r="BE290" s="528">
        <f t="shared" si="852"/>
        <v>0.29340009221734265</v>
      </c>
      <c r="BF290" s="528">
        <f t="shared" si="804"/>
        <v>2.0801456724934377</v>
      </c>
      <c r="BG290" s="528">
        <f t="shared" si="805"/>
        <v>0.13923982246566111</v>
      </c>
      <c r="BH290" s="528">
        <f t="shared" si="853"/>
        <v>6.6530866201136019E-2</v>
      </c>
      <c r="BI290">
        <f t="shared" si="854"/>
        <v>3.8030661160110814E-2</v>
      </c>
      <c r="BJ290" s="460">
        <f t="shared" si="855"/>
        <v>177.2704836257719</v>
      </c>
      <c r="BK290">
        <f t="shared" si="806"/>
        <v>2.708079951428068</v>
      </c>
      <c r="BL290" s="460">
        <f t="shared" si="856"/>
        <v>2617.3471145376884</v>
      </c>
      <c r="BM290" s="173">
        <f t="shared" si="807"/>
        <v>4.5972499999999998</v>
      </c>
      <c r="BN290" s="173">
        <f t="shared" si="808"/>
        <v>8.2093749999999993E-2</v>
      </c>
      <c r="BQ290" s="460">
        <f t="shared" si="857"/>
        <v>4679.34375</v>
      </c>
      <c r="BR290" s="528">
        <f t="shared" si="858"/>
        <v>0.44010013832601391</v>
      </c>
      <c r="BS290" s="528">
        <f t="shared" si="859"/>
        <v>2.3670115145701143</v>
      </c>
      <c r="BT290" s="528">
        <f t="shared" si="860"/>
        <v>2.3926988828968851E-4</v>
      </c>
      <c r="BU290" s="528">
        <f t="shared" si="861"/>
        <v>2.0255820461277456</v>
      </c>
      <c r="BV290" s="528"/>
      <c r="BW290" s="625">
        <f t="shared" si="862"/>
        <v>1.8499576112573995E-2</v>
      </c>
      <c r="BX290" s="460">
        <f t="shared" si="863"/>
        <v>4851.432545024737</v>
      </c>
      <c r="BY290" s="173">
        <f t="shared" si="864"/>
        <v>12.148123409562427</v>
      </c>
      <c r="BZ290" s="5">
        <f t="shared" si="865"/>
        <v>112.48</v>
      </c>
      <c r="CA290" s="173">
        <f t="shared" si="866"/>
        <v>0.90252502342797591</v>
      </c>
      <c r="CB290" s="5">
        <f t="shared" si="867"/>
        <v>90.252502342797598</v>
      </c>
      <c r="CC290">
        <f t="shared" si="868"/>
        <v>74</v>
      </c>
      <c r="CE290" s="562">
        <f t="shared" si="809"/>
        <v>-50</v>
      </c>
      <c r="CG290" s="173">
        <f t="shared" si="810"/>
        <v>0.84409136047666333</v>
      </c>
      <c r="CH290" s="173">
        <f t="shared" si="811"/>
        <v>0.10203989682880608</v>
      </c>
      <c r="CI290" s="170">
        <v>74</v>
      </c>
      <c r="CJ290" s="217">
        <f t="shared" si="869"/>
        <v>7.4</v>
      </c>
      <c r="CK290" s="217">
        <f t="shared" si="812"/>
        <v>0.185</v>
      </c>
      <c r="CL290" s="217">
        <f t="shared" si="813"/>
        <v>111</v>
      </c>
      <c r="CM290" s="217">
        <f t="shared" si="814"/>
        <v>1.48</v>
      </c>
      <c r="CN290" s="541">
        <f t="shared" si="815"/>
        <v>85</v>
      </c>
      <c r="CO290" s="443">
        <f t="shared" si="816"/>
        <v>15.7</v>
      </c>
      <c r="CP290" s="443">
        <f t="shared" si="817"/>
        <v>100.7</v>
      </c>
      <c r="CQ290" s="443"/>
      <c r="CR290" s="217">
        <f t="shared" si="818"/>
        <v>0.15338645418326693</v>
      </c>
      <c r="CS290" s="172">
        <f t="shared" si="819"/>
        <v>321.65744915076539</v>
      </c>
      <c r="CT290" s="172">
        <f t="shared" si="820"/>
        <v>4.3459495351925632</v>
      </c>
      <c r="CU290" s="217">
        <f t="shared" si="821"/>
        <v>21.443829943384358</v>
      </c>
      <c r="CV290" s="217">
        <f t="shared" si="822"/>
        <v>40.207181143845673</v>
      </c>
      <c r="CW290" s="217">
        <f t="shared" si="823"/>
        <v>15</v>
      </c>
      <c r="CX290" s="217">
        <f t="shared" si="824"/>
        <v>17.254380443086326</v>
      </c>
      <c r="CY290" s="217">
        <f t="shared" si="825"/>
        <v>2.4359125331415989</v>
      </c>
      <c r="CZ290" s="217">
        <f t="shared" si="826"/>
        <v>13.188061485161525</v>
      </c>
      <c r="DA290" s="197">
        <f t="shared" si="827"/>
        <v>110.43528632903013</v>
      </c>
      <c r="DB290" s="443">
        <f t="shared" si="828"/>
        <v>64.004202696991371</v>
      </c>
      <c r="DD290" s="217">
        <f t="shared" si="829"/>
        <v>9.9999999999999982</v>
      </c>
      <c r="DE290" s="173">
        <f t="shared" si="830"/>
        <v>7.6433121019108263</v>
      </c>
      <c r="DF290" s="173">
        <f t="shared" si="831"/>
        <v>4.1649244760361679</v>
      </c>
      <c r="DG290" s="173"/>
      <c r="DH290" s="173">
        <f t="shared" si="832"/>
        <v>7.6433121019108281</v>
      </c>
      <c r="DI290" s="545">
        <f t="shared" si="833"/>
        <v>193.63333333333338</v>
      </c>
      <c r="DJ290" s="528">
        <f t="shared" si="834"/>
        <v>4.2204568023833167</v>
      </c>
      <c r="DL290" s="173">
        <f t="shared" si="835"/>
        <v>7.3185999181472381</v>
      </c>
      <c r="DM290" s="173">
        <f t="shared" si="836"/>
        <v>17.254380443086326</v>
      </c>
      <c r="DN290" s="173">
        <f t="shared" si="837"/>
        <v>6.5736151430269087</v>
      </c>
      <c r="DP290" s="545">
        <f t="shared" si="838"/>
        <v>7400</v>
      </c>
      <c r="DQ290" s="460">
        <f t="shared" si="839"/>
        <v>64.004202696991371</v>
      </c>
      <c r="DS290">
        <f t="shared" si="840"/>
        <v>7400</v>
      </c>
      <c r="DT290">
        <f t="shared" si="841"/>
        <v>64.004202696991371</v>
      </c>
      <c r="DV290" s="5">
        <f t="shared" si="870"/>
        <v>15.623974018303125</v>
      </c>
      <c r="DW290" s="5">
        <f t="shared" si="842"/>
        <v>2.4359125331415989</v>
      </c>
      <c r="DX290" s="5">
        <f t="shared" si="843"/>
        <v>13.188061485161526</v>
      </c>
      <c r="DY290" s="173">
        <f t="shared" si="844"/>
        <v>0.15590863952333661</v>
      </c>
      <c r="EA290" s="5">
        <f t="shared" si="871"/>
        <v>120.17168496831889</v>
      </c>
      <c r="EB290" s="5">
        <f t="shared" si="872"/>
        <v>5.6330477328899473</v>
      </c>
      <c r="EC290" s="5">
        <f t="shared" si="873"/>
        <v>5.9386402630950474</v>
      </c>
      <c r="ED290" s="5"/>
      <c r="EE290" s="173">
        <f t="shared" si="874"/>
        <v>3.9334518037636332</v>
      </c>
      <c r="EF290" s="173">
        <f t="shared" si="875"/>
        <v>9.1523679121337356</v>
      </c>
      <c r="EG290" s="173">
        <f t="shared" si="876"/>
        <v>0.22539949211058771</v>
      </c>
      <c r="EH290" s="173"/>
      <c r="EI290" s="528">
        <f t="shared" si="877"/>
        <v>0.30944086185062758</v>
      </c>
      <c r="EJ290" s="528">
        <f t="shared" si="878"/>
        <v>2.2241666666666662</v>
      </c>
      <c r="EK290" s="528">
        <f t="shared" si="879"/>
        <v>8.0005253371239222E-3</v>
      </c>
      <c r="EL290" s="528">
        <f t="shared" si="880"/>
        <v>6.4903397740681393E-2</v>
      </c>
      <c r="EM290">
        <f t="shared" si="881"/>
        <v>3.8249999999999999E-2</v>
      </c>
      <c r="EN290" s="460">
        <f t="shared" si="882"/>
        <v>46.250525337123918</v>
      </c>
      <c r="EP290" s="460">
        <f t="shared" si="883"/>
        <v>2644.7614515950995</v>
      </c>
      <c r="EQ290" s="173">
        <f t="shared" si="884"/>
        <v>5.18</v>
      </c>
      <c r="ER290" s="173">
        <f t="shared" si="845"/>
        <v>8.2093749999999993E-2</v>
      </c>
      <c r="ES290" s="528"/>
      <c r="EU290" s="460">
        <f t="shared" si="885"/>
        <v>5262.09375</v>
      </c>
      <c r="EV290" s="528">
        <f t="shared" si="886"/>
        <v>0.46416129277594137</v>
      </c>
      <c r="EW290" s="528">
        <f t="shared" si="887"/>
        <v>2.512975151971657</v>
      </c>
      <c r="EX290" s="528">
        <f t="shared" si="888"/>
        <v>2.5402465521855448E-4</v>
      </c>
      <c r="EY290" s="528">
        <f t="shared" si="889"/>
        <v>2.0264675705467892</v>
      </c>
      <c r="EZ290" s="528"/>
      <c r="FA290" s="625">
        <f t="shared" si="890"/>
        <v>1.9054924446622556E-2</v>
      </c>
      <c r="FB290" s="460">
        <f t="shared" si="891"/>
        <v>5022.9129643962297</v>
      </c>
      <c r="FC290" s="173">
        <f t="shared" si="892"/>
        <v>12.929768165991328</v>
      </c>
      <c r="FD290" s="5">
        <f t="shared" si="893"/>
        <v>112.48</v>
      </c>
      <c r="FE290" s="173">
        <f t="shared" si="894"/>
        <v>0.89689983200608747</v>
      </c>
      <c r="FF290" s="5">
        <f t="shared" si="895"/>
        <v>89.689983200608751</v>
      </c>
      <c r="FG290">
        <f t="shared" si="896"/>
        <v>74</v>
      </c>
      <c r="FI290" s="562">
        <f t="shared" si="846"/>
        <v>-50</v>
      </c>
    </row>
    <row r="291" spans="5:165">
      <c r="E291" s="170">
        <v>75</v>
      </c>
      <c r="F291" s="217">
        <f t="shared" si="847"/>
        <v>7.5</v>
      </c>
      <c r="G291" s="217">
        <f t="shared" si="775"/>
        <v>0.1875</v>
      </c>
      <c r="H291" s="217">
        <f t="shared" si="776"/>
        <v>112.5</v>
      </c>
      <c r="I291" s="217">
        <f t="shared" si="777"/>
        <v>1.5</v>
      </c>
      <c r="J291" s="541">
        <f t="shared" si="778"/>
        <v>84.505993603853199</v>
      </c>
      <c r="K291" s="443">
        <f t="shared" si="779"/>
        <v>15.966558823529411</v>
      </c>
      <c r="L291" s="172">
        <f t="shared" si="780"/>
        <v>100.47255242738261</v>
      </c>
      <c r="M291" s="443"/>
      <c r="N291" s="217">
        <f t="shared" si="781"/>
        <v>0.15891463327827146</v>
      </c>
      <c r="O291" s="172">
        <f t="shared" si="782"/>
        <v>331.3134617608294</v>
      </c>
      <c r="P291" s="172">
        <f t="shared" si="783"/>
        <v>4.4764129944574282</v>
      </c>
      <c r="Q291" s="217">
        <f t="shared" si="784"/>
        <v>22.087564117388627</v>
      </c>
      <c r="R291" s="217">
        <f t="shared" si="785"/>
        <v>41.414182720103675</v>
      </c>
      <c r="S291" s="217">
        <f t="shared" si="786"/>
        <v>15</v>
      </c>
      <c r="T291" s="217">
        <f t="shared" si="787"/>
        <v>16.977879407932448</v>
      </c>
      <c r="U291" s="217">
        <f t="shared" si="788"/>
        <v>2.4108887926962348</v>
      </c>
      <c r="V291" s="217">
        <f t="shared" si="789"/>
        <v>12.760079059424642</v>
      </c>
      <c r="W291" s="197">
        <f t="shared" si="790"/>
        <v>111.9103248614357</v>
      </c>
      <c r="X291" s="443">
        <f t="shared" si="848"/>
        <v>65.057712020523198</v>
      </c>
      <c r="Z291" s="217">
        <f t="shared" si="791"/>
        <v>10</v>
      </c>
      <c r="AA291" s="173">
        <f t="shared" si="792"/>
        <v>7.5157083831463929</v>
      </c>
      <c r="AB291" s="173">
        <f t="shared" si="793"/>
        <v>4.1500922700085283</v>
      </c>
      <c r="AC291" s="173"/>
      <c r="AD291" s="173">
        <f t="shared" si="794"/>
        <v>7.5157083831463929</v>
      </c>
      <c r="AE291" s="545">
        <f t="shared" si="795"/>
        <v>199.58198529411763</v>
      </c>
      <c r="AF291" s="528">
        <f t="shared" si="796"/>
        <v>4.2054268336086418</v>
      </c>
      <c r="AH291" s="173">
        <f t="shared" si="797"/>
        <v>7.3678839761300727</v>
      </c>
      <c r="AI291" s="173">
        <f t="shared" si="798"/>
        <v>16.977879407932448</v>
      </c>
      <c r="AJ291" s="173">
        <f t="shared" si="799"/>
        <v>6.3687995614314437</v>
      </c>
      <c r="AL291" s="545">
        <f t="shared" si="800"/>
        <v>7500</v>
      </c>
      <c r="AM291" s="460">
        <f t="shared" si="801"/>
        <v>65.057712020523198</v>
      </c>
      <c r="AO291">
        <f t="shared" si="802"/>
        <v>7500</v>
      </c>
      <c r="AP291">
        <f t="shared" si="803"/>
        <v>65.057712020523198</v>
      </c>
      <c r="AR291" s="5">
        <f t="shared" si="774"/>
        <v>15.370967852120877</v>
      </c>
      <c r="AS291" s="5">
        <f t="shared" si="739"/>
        <v>2.4108887926962348</v>
      </c>
      <c r="AT291" s="5">
        <f t="shared" si="740"/>
        <v>12.960079059424643</v>
      </c>
      <c r="AU291" s="173">
        <f t="shared" si="741"/>
        <v>0.1568469087887385</v>
      </c>
      <c r="BA291" s="173">
        <f t="shared" si="849"/>
        <v>3.8820470891799368</v>
      </c>
      <c r="BB291" s="173">
        <f t="shared" si="850"/>
        <v>9.0006947950786067</v>
      </c>
      <c r="BC291" s="173">
        <f t="shared" si="851"/>
        <v>0.22166416985526924</v>
      </c>
      <c r="BD291" s="173"/>
      <c r="BE291" s="528">
        <f t="shared" si="852"/>
        <v>0.30140579205220841</v>
      </c>
      <c r="BF291" s="528">
        <f t="shared" si="804"/>
        <v>2.080802867291355</v>
      </c>
      <c r="BG291" s="528">
        <f t="shared" si="805"/>
        <v>0.13744416489719141</v>
      </c>
      <c r="BH291" s="528">
        <f t="shared" si="853"/>
        <v>6.5674028391649264E-2</v>
      </c>
      <c r="BI291">
        <f t="shared" si="854"/>
        <v>3.8027697121733942E-2</v>
      </c>
      <c r="BJ291" s="460">
        <f t="shared" si="855"/>
        <v>175.47186201892535</v>
      </c>
      <c r="BK291">
        <f t="shared" si="806"/>
        <v>2.7243649685595748</v>
      </c>
      <c r="BL291" s="460">
        <f t="shared" si="856"/>
        <v>2623.3545497541381</v>
      </c>
      <c r="BM291" s="173">
        <f t="shared" si="807"/>
        <v>4.6593749999999998</v>
      </c>
      <c r="BN291" s="173">
        <f t="shared" si="808"/>
        <v>8.3203124999999989E-2</v>
      </c>
      <c r="BQ291" s="460">
        <f t="shared" si="857"/>
        <v>4742.578125</v>
      </c>
      <c r="BR291" s="528">
        <f t="shared" si="858"/>
        <v>0.45210868807831261</v>
      </c>
      <c r="BS291" s="528">
        <f t="shared" si="859"/>
        <v>2.4303752038246533</v>
      </c>
      <c r="BT291" s="528">
        <f t="shared" si="860"/>
        <v>2.4567502098812828E-4</v>
      </c>
      <c r="BU291" s="528">
        <f t="shared" si="861"/>
        <v>2.0273352887484148</v>
      </c>
      <c r="BV291" s="528"/>
      <c r="BW291" s="625">
        <f t="shared" si="862"/>
        <v>1.8752780694322013E-2</v>
      </c>
      <c r="BX291" s="460">
        <f t="shared" si="863"/>
        <v>4928.8176363666907</v>
      </c>
      <c r="BY291" s="173">
        <f t="shared" si="864"/>
        <v>12.294750311120829</v>
      </c>
      <c r="BZ291" s="5">
        <f t="shared" si="865"/>
        <v>114</v>
      </c>
      <c r="CA291" s="173">
        <f t="shared" si="866"/>
        <v>0.90265034547490441</v>
      </c>
      <c r="CB291" s="5">
        <f t="shared" si="867"/>
        <v>90.265034547490444</v>
      </c>
      <c r="CC291">
        <f t="shared" si="868"/>
        <v>75</v>
      </c>
      <c r="CE291" s="562">
        <f t="shared" si="809"/>
        <v>-50</v>
      </c>
      <c r="CG291" s="173">
        <f t="shared" si="810"/>
        <v>0.84409136047666333</v>
      </c>
      <c r="CH291" s="173">
        <f t="shared" si="811"/>
        <v>0.1020398968288061</v>
      </c>
      <c r="CI291" s="170">
        <v>75</v>
      </c>
      <c r="CJ291" s="217">
        <f t="shared" si="869"/>
        <v>7.5</v>
      </c>
      <c r="CK291" s="217">
        <f t="shared" si="812"/>
        <v>0.1875</v>
      </c>
      <c r="CL291" s="217">
        <f t="shared" si="813"/>
        <v>112.5</v>
      </c>
      <c r="CM291" s="217">
        <f t="shared" si="814"/>
        <v>1.5</v>
      </c>
      <c r="CN291" s="541">
        <f t="shared" si="815"/>
        <v>85</v>
      </c>
      <c r="CO291" s="443">
        <f t="shared" si="816"/>
        <v>15.7</v>
      </c>
      <c r="CP291" s="443">
        <f t="shared" si="817"/>
        <v>100.7</v>
      </c>
      <c r="CQ291" s="443"/>
      <c r="CR291" s="217">
        <f t="shared" si="818"/>
        <v>0.15338645418326693</v>
      </c>
      <c r="CS291" s="172">
        <f t="shared" si="819"/>
        <v>321.65744915076539</v>
      </c>
      <c r="CT291" s="172">
        <f t="shared" si="820"/>
        <v>4.3459495351925632</v>
      </c>
      <c r="CU291" s="217">
        <f t="shared" si="821"/>
        <v>21.443829943384358</v>
      </c>
      <c r="CV291" s="217">
        <f t="shared" si="822"/>
        <v>40.207181143845673</v>
      </c>
      <c r="CW291" s="217">
        <f t="shared" si="823"/>
        <v>15</v>
      </c>
      <c r="CX291" s="217">
        <f t="shared" si="824"/>
        <v>17.487547746371277</v>
      </c>
      <c r="CY291" s="217">
        <f t="shared" si="825"/>
        <v>2.4688302700759448</v>
      </c>
      <c r="CZ291" s="217">
        <f t="shared" si="826"/>
        <v>13.366278532258301</v>
      </c>
      <c r="DA291" s="197">
        <f t="shared" si="827"/>
        <v>110.43528632903013</v>
      </c>
      <c r="DB291" s="443">
        <f t="shared" si="828"/>
        <v>63.15081332769816</v>
      </c>
      <c r="DD291" s="217">
        <f t="shared" si="829"/>
        <v>9.9999999999999982</v>
      </c>
      <c r="DE291" s="173">
        <f t="shared" si="830"/>
        <v>7.6433121019108263</v>
      </c>
      <c r="DF291" s="173">
        <f t="shared" si="831"/>
        <v>4.1649244760361679</v>
      </c>
      <c r="DG291" s="173"/>
      <c r="DH291" s="173">
        <f t="shared" si="832"/>
        <v>7.6433121019108281</v>
      </c>
      <c r="DI291" s="545">
        <f t="shared" si="833"/>
        <v>196.25000000000003</v>
      </c>
      <c r="DJ291" s="528">
        <f t="shared" si="834"/>
        <v>4.2204568023833167</v>
      </c>
      <c r="DL291" s="173">
        <f t="shared" si="835"/>
        <v>7.3678839761300727</v>
      </c>
      <c r="DM291" s="173">
        <f t="shared" si="836"/>
        <v>17.487547746371277</v>
      </c>
      <c r="DN291" s="173">
        <f t="shared" si="837"/>
        <v>6.7463316639787232</v>
      </c>
      <c r="DP291" s="545">
        <f t="shared" si="838"/>
        <v>7500</v>
      </c>
      <c r="DQ291" s="460">
        <f t="shared" si="839"/>
        <v>63.15081332769816</v>
      </c>
      <c r="DS291">
        <f t="shared" si="840"/>
        <v>7500</v>
      </c>
      <c r="DT291">
        <f t="shared" si="841"/>
        <v>63.15081332769816</v>
      </c>
      <c r="DV291" s="5">
        <f t="shared" si="870"/>
        <v>15.835108802334249</v>
      </c>
      <c r="DW291" s="5">
        <f t="shared" si="842"/>
        <v>2.4688302700759448</v>
      </c>
      <c r="DX291" s="5">
        <f t="shared" si="843"/>
        <v>13.366278532258304</v>
      </c>
      <c r="DY291" s="173">
        <f t="shared" si="844"/>
        <v>0.15590863952333661</v>
      </c>
      <c r="EA291" s="5">
        <f t="shared" si="871"/>
        <v>123.44151350379722</v>
      </c>
      <c r="EB291" s="5">
        <f t="shared" si="872"/>
        <v>5.7863209454904956</v>
      </c>
      <c r="EC291" s="5">
        <f t="shared" si="873"/>
        <v>6.1002285390631199</v>
      </c>
      <c r="ED291" s="5"/>
      <c r="EE291" s="173">
        <f t="shared" si="874"/>
        <v>3.986606557868547</v>
      </c>
      <c r="EF291" s="173">
        <f t="shared" si="875"/>
        <v>9.2760485595950026</v>
      </c>
      <c r="EG291" s="173">
        <f t="shared" si="876"/>
        <v>0.22844543119316324</v>
      </c>
      <c r="EH291" s="173"/>
      <c r="EI291" s="528">
        <f t="shared" si="877"/>
        <v>0.31786063694481009</v>
      </c>
      <c r="EJ291" s="528">
        <f t="shared" si="878"/>
        <v>2.2241666666666666</v>
      </c>
      <c r="EK291" s="528">
        <f t="shared" si="879"/>
        <v>7.89385166596227E-3</v>
      </c>
      <c r="EL291" s="528">
        <f t="shared" si="880"/>
        <v>6.4038019104138991E-2</v>
      </c>
      <c r="EM291">
        <f t="shared" si="881"/>
        <v>3.8249999999999999E-2</v>
      </c>
      <c r="EN291" s="460">
        <f t="shared" si="882"/>
        <v>46.143851665962274</v>
      </c>
      <c r="EP291" s="460">
        <f t="shared" si="883"/>
        <v>2652.2091743815786</v>
      </c>
      <c r="EQ291" s="173">
        <f t="shared" si="884"/>
        <v>5.25</v>
      </c>
      <c r="ER291" s="173">
        <f t="shared" si="845"/>
        <v>8.3203124999999989E-2</v>
      </c>
      <c r="ES291" s="528"/>
      <c r="EU291" s="460">
        <f t="shared" si="885"/>
        <v>5333.203125</v>
      </c>
      <c r="EV291" s="528">
        <f t="shared" si="886"/>
        <v>0.47679095541721511</v>
      </c>
      <c r="EW291" s="528">
        <f t="shared" si="887"/>
        <v>2.5813523063989359</v>
      </c>
      <c r="EX291" s="528">
        <f t="shared" si="888"/>
        <v>2.6093657516515137E-4</v>
      </c>
      <c r="EY291" s="528">
        <f t="shared" si="889"/>
        <v>2.0264675705467909</v>
      </c>
      <c r="EZ291" s="528"/>
      <c r="FA291" s="625">
        <f t="shared" si="890"/>
        <v>1.931242342563097E-2</v>
      </c>
      <c r="FB291" s="460">
        <f t="shared" si="891"/>
        <v>5104.1841923637385</v>
      </c>
      <c r="FC291" s="173">
        <f t="shared" si="892"/>
        <v>13.089596491745317</v>
      </c>
      <c r="FD291" s="5">
        <f t="shared" si="893"/>
        <v>114</v>
      </c>
      <c r="FE291" s="173">
        <f t="shared" si="894"/>
        <v>0.89700497245189137</v>
      </c>
      <c r="FF291" s="5">
        <f t="shared" si="895"/>
        <v>89.70049724518914</v>
      </c>
      <c r="FG291">
        <f t="shared" si="896"/>
        <v>75</v>
      </c>
      <c r="FI291" s="562">
        <f t="shared" si="846"/>
        <v>-50</v>
      </c>
    </row>
    <row r="292" spans="5:165">
      <c r="E292" s="170">
        <v>76</v>
      </c>
      <c r="F292" s="217">
        <f t="shared" si="847"/>
        <v>7.6</v>
      </c>
      <c r="G292" s="217">
        <f t="shared" si="775"/>
        <v>0.19</v>
      </c>
      <c r="H292" s="217">
        <f t="shared" si="776"/>
        <v>114</v>
      </c>
      <c r="I292" s="217">
        <f t="shared" si="777"/>
        <v>1.52</v>
      </c>
      <c r="J292" s="541">
        <f t="shared" si="778"/>
        <v>84.499406851904567</v>
      </c>
      <c r="K292" s="443">
        <f t="shared" si="779"/>
        <v>15.97011294117647</v>
      </c>
      <c r="L292" s="172">
        <f t="shared" si="780"/>
        <v>100.46951979308103</v>
      </c>
      <c r="M292" s="443"/>
      <c r="N292" s="217">
        <f t="shared" si="781"/>
        <v>0.15895480513958099</v>
      </c>
      <c r="O292" s="172">
        <f t="shared" si="782"/>
        <v>331.37138364855264</v>
      </c>
      <c r="P292" s="172">
        <f t="shared" si="783"/>
        <v>4.4771955835182222</v>
      </c>
      <c r="Q292" s="217">
        <f t="shared" si="784"/>
        <v>22.091425576570177</v>
      </c>
      <c r="R292" s="217">
        <f t="shared" si="785"/>
        <v>41.42142295606908</v>
      </c>
      <c r="S292" s="217">
        <f t="shared" si="786"/>
        <v>15</v>
      </c>
      <c r="T292" s="217">
        <f t="shared" si="787"/>
        <v>17.201243925291184</v>
      </c>
      <c r="U292" s="217">
        <f t="shared" si="788"/>
        <v>2.4427973496341973</v>
      </c>
      <c r="V292" s="217">
        <f t="shared" si="789"/>
        <v>12.925076226060067</v>
      </c>
      <c r="W292" s="197">
        <f t="shared" si="790"/>
        <v>111.92988958795553</v>
      </c>
      <c r="X292" s="443">
        <f t="shared" si="848"/>
        <v>64.234848461338686</v>
      </c>
      <c r="Z292" s="217">
        <f t="shared" si="791"/>
        <v>9.9999999999999982</v>
      </c>
      <c r="AA292" s="173">
        <f t="shared" si="792"/>
        <v>7.5140357768290107</v>
      </c>
      <c r="AB292" s="173">
        <f t="shared" si="793"/>
        <v>4.149894053587591</v>
      </c>
      <c r="AC292" s="173"/>
      <c r="AD292" s="173">
        <f t="shared" si="794"/>
        <v>7.5140357768290125</v>
      </c>
      <c r="AE292" s="545">
        <f t="shared" si="795"/>
        <v>202.28809725490194</v>
      </c>
      <c r="AF292" s="528">
        <f t="shared" si="796"/>
        <v>4.2052259743020945</v>
      </c>
      <c r="AH292" s="173">
        <f t="shared" si="797"/>
        <v>7.4168405544088518</v>
      </c>
      <c r="AI292" s="173">
        <f t="shared" si="798"/>
        <v>17.201243925291184</v>
      </c>
      <c r="AJ292" s="173">
        <f t="shared" si="799"/>
        <v>6.5342547594749512</v>
      </c>
      <c r="AL292" s="545">
        <f t="shared" si="800"/>
        <v>7600</v>
      </c>
      <c r="AM292" s="460">
        <f t="shared" si="801"/>
        <v>64.234848461338686</v>
      </c>
      <c r="AO292">
        <f t="shared" si="802"/>
        <v>7600</v>
      </c>
      <c r="AP292">
        <f t="shared" si="803"/>
        <v>64.234848461338686</v>
      </c>
      <c r="AR292" s="5">
        <f t="shared" si="774"/>
        <v>15.567873575694266</v>
      </c>
      <c r="AS292" s="5">
        <f t="shared" si="739"/>
        <v>2.4427973496341973</v>
      </c>
      <c r="AT292" s="5">
        <f t="shared" si="740"/>
        <v>13.125076226060068</v>
      </c>
      <c r="AU292" s="173">
        <f t="shared" si="741"/>
        <v>0.15691271757551242</v>
      </c>
      <c r="BA292" s="173">
        <f t="shared" si="849"/>
        <v>3.9339451388797264</v>
      </c>
      <c r="BB292" s="173">
        <f t="shared" si="850"/>
        <v>9.1187539263911237</v>
      </c>
      <c r="BC292" s="173">
        <f t="shared" si="851"/>
        <v>0.22457166532445591</v>
      </c>
      <c r="BD292" s="173"/>
      <c r="BE292" s="528">
        <f t="shared" si="852"/>
        <v>0.30951848711430857</v>
      </c>
      <c r="BF292" s="528">
        <f t="shared" si="804"/>
        <v>2.0814508344076144</v>
      </c>
      <c r="BG292" s="528">
        <f t="shared" si="805"/>
        <v>0.13569516485512734</v>
      </c>
      <c r="BH292" s="528">
        <f t="shared" si="853"/>
        <v>6.4839455166259871E-2</v>
      </c>
      <c r="BI292">
        <f t="shared" si="854"/>
        <v>3.8024733083357055E-2</v>
      </c>
      <c r="BJ292" s="460">
        <f t="shared" si="855"/>
        <v>173.71989793848439</v>
      </c>
      <c r="BK292">
        <f t="shared" si="806"/>
        <v>2.7409528023676426</v>
      </c>
      <c r="BL292" s="460">
        <f t="shared" si="856"/>
        <v>2629.5286746266675</v>
      </c>
      <c r="BM292" s="173">
        <f t="shared" si="807"/>
        <v>4.7214999999999989</v>
      </c>
      <c r="BN292" s="173">
        <f t="shared" si="808"/>
        <v>8.4312499999999999E-2</v>
      </c>
      <c r="BQ292" s="460">
        <f t="shared" si="857"/>
        <v>4805.8124999999991</v>
      </c>
      <c r="BR292" s="528">
        <f t="shared" si="858"/>
        <v>0.46427773067146288</v>
      </c>
      <c r="BS292" s="528">
        <f t="shared" si="859"/>
        <v>2.4945501951022062</v>
      </c>
      <c r="BT292" s="528">
        <f t="shared" si="860"/>
        <v>2.5216216433299714E-4</v>
      </c>
      <c r="BU292" s="528">
        <f t="shared" si="861"/>
        <v>2.0290670587925335</v>
      </c>
      <c r="BV292" s="528"/>
      <c r="BW292" s="625">
        <f t="shared" si="862"/>
        <v>1.9005986343524867E-2</v>
      </c>
      <c r="BX292" s="460">
        <f t="shared" si="863"/>
        <v>5007.1531330740609</v>
      </c>
      <c r="BY292" s="173">
        <f t="shared" si="864"/>
        <v>12.442494307700727</v>
      </c>
      <c r="BZ292" s="5">
        <f t="shared" si="865"/>
        <v>115.52</v>
      </c>
      <c r="CA292" s="173">
        <f t="shared" si="866"/>
        <v>0.90276452194045775</v>
      </c>
      <c r="CB292" s="5">
        <f t="shared" si="867"/>
        <v>90.276452194045774</v>
      </c>
      <c r="CC292">
        <f t="shared" si="868"/>
        <v>76</v>
      </c>
      <c r="CE292" s="562">
        <f t="shared" si="809"/>
        <v>-50</v>
      </c>
      <c r="CG292" s="173">
        <f t="shared" si="810"/>
        <v>0.84409136047666333</v>
      </c>
      <c r="CH292" s="173">
        <f t="shared" si="811"/>
        <v>0.1020398968288061</v>
      </c>
      <c r="CI292" s="170">
        <v>76</v>
      </c>
      <c r="CJ292" s="217">
        <f t="shared" si="869"/>
        <v>7.6</v>
      </c>
      <c r="CK292" s="217">
        <f t="shared" si="812"/>
        <v>0.19</v>
      </c>
      <c r="CL292" s="217">
        <f t="shared" si="813"/>
        <v>114</v>
      </c>
      <c r="CM292" s="217">
        <f t="shared" si="814"/>
        <v>1.52</v>
      </c>
      <c r="CN292" s="541">
        <f t="shared" si="815"/>
        <v>85</v>
      </c>
      <c r="CO292" s="443">
        <f t="shared" si="816"/>
        <v>15.7</v>
      </c>
      <c r="CP292" s="443">
        <f t="shared" si="817"/>
        <v>100.7</v>
      </c>
      <c r="CQ292" s="443"/>
      <c r="CR292" s="217">
        <f t="shared" si="818"/>
        <v>0.15338645418326693</v>
      </c>
      <c r="CS292" s="172">
        <f t="shared" si="819"/>
        <v>321.65744915076539</v>
      </c>
      <c r="CT292" s="172">
        <f t="shared" si="820"/>
        <v>4.3459495351925632</v>
      </c>
      <c r="CU292" s="217">
        <f t="shared" si="821"/>
        <v>21.443829943384358</v>
      </c>
      <c r="CV292" s="217">
        <f t="shared" si="822"/>
        <v>40.207181143845673</v>
      </c>
      <c r="CW292" s="217">
        <f t="shared" si="823"/>
        <v>15</v>
      </c>
      <c r="CX292" s="217">
        <f t="shared" si="824"/>
        <v>17.720715049656224</v>
      </c>
      <c r="CY292" s="217">
        <f t="shared" si="825"/>
        <v>2.5017480070102907</v>
      </c>
      <c r="CZ292" s="217">
        <f t="shared" si="826"/>
        <v>13.544495579355075</v>
      </c>
      <c r="DA292" s="197">
        <f t="shared" si="827"/>
        <v>110.43528632903013</v>
      </c>
      <c r="DB292" s="443">
        <f t="shared" si="828"/>
        <v>62.319881573386354</v>
      </c>
      <c r="DD292" s="217">
        <f t="shared" si="829"/>
        <v>9.9999999999999982</v>
      </c>
      <c r="DE292" s="173">
        <f t="shared" si="830"/>
        <v>7.6433121019108263</v>
      </c>
      <c r="DF292" s="173">
        <f t="shared" si="831"/>
        <v>4.1649244760361679</v>
      </c>
      <c r="DG292" s="173"/>
      <c r="DH292" s="173">
        <f t="shared" si="832"/>
        <v>7.6433121019108281</v>
      </c>
      <c r="DI292" s="545">
        <f t="shared" si="833"/>
        <v>198.86666666666667</v>
      </c>
      <c r="DJ292" s="528">
        <f t="shared" si="834"/>
        <v>4.2204568023833167</v>
      </c>
      <c r="DL292" s="173">
        <f t="shared" si="835"/>
        <v>7.4168405544088518</v>
      </c>
      <c r="DM292" s="173">
        <f t="shared" si="836"/>
        <v>17.720715049656224</v>
      </c>
      <c r="DN292" s="173">
        <f t="shared" si="837"/>
        <v>6.9190481849305367</v>
      </c>
      <c r="DP292" s="545">
        <f t="shared" si="838"/>
        <v>7600</v>
      </c>
      <c r="DQ292" s="460">
        <f t="shared" si="839"/>
        <v>62.319881573386354</v>
      </c>
      <c r="DS292">
        <f t="shared" si="840"/>
        <v>7600</v>
      </c>
      <c r="DT292">
        <f t="shared" si="841"/>
        <v>62.319881573386354</v>
      </c>
      <c r="DV292" s="5">
        <f t="shared" si="870"/>
        <v>16.046243586365367</v>
      </c>
      <c r="DW292" s="5">
        <f t="shared" si="842"/>
        <v>2.5017480070102907</v>
      </c>
      <c r="DX292" s="5">
        <f t="shared" si="843"/>
        <v>13.544495579355077</v>
      </c>
      <c r="DY292" s="173">
        <f t="shared" si="844"/>
        <v>0.15590863952333664</v>
      </c>
      <c r="EA292" s="5">
        <f t="shared" si="871"/>
        <v>126.75523235518804</v>
      </c>
      <c r="EB292" s="5">
        <f t="shared" si="872"/>
        <v>5.9416515166494399</v>
      </c>
      <c r="EC292" s="5">
        <f t="shared" si="873"/>
        <v>6.2639857851784111</v>
      </c>
      <c r="ED292" s="5"/>
      <c r="EE292" s="173">
        <f t="shared" si="874"/>
        <v>4.0397613119734608</v>
      </c>
      <c r="EF292" s="173">
        <f t="shared" si="875"/>
        <v>9.3997292070562679</v>
      </c>
      <c r="EG292" s="173">
        <f t="shared" si="876"/>
        <v>0.23149137027573868</v>
      </c>
      <c r="EH292" s="173"/>
      <c r="EI292" s="528">
        <f t="shared" si="877"/>
        <v>0.32639342915435071</v>
      </c>
      <c r="EJ292" s="528">
        <f t="shared" si="878"/>
        <v>2.2241666666666671</v>
      </c>
      <c r="EK292" s="528">
        <f t="shared" si="879"/>
        <v>7.7899851966732941E-3</v>
      </c>
      <c r="EL292" s="528">
        <f t="shared" si="880"/>
        <v>6.3195413589610866E-2</v>
      </c>
      <c r="EM292">
        <f t="shared" si="881"/>
        <v>3.8249999999999999E-2</v>
      </c>
      <c r="EN292" s="460">
        <f t="shared" si="882"/>
        <v>46.039985196673292</v>
      </c>
      <c r="EP292" s="460">
        <f t="shared" si="883"/>
        <v>2659.7954946073023</v>
      </c>
      <c r="EQ292" s="173">
        <f t="shared" si="884"/>
        <v>5.3199999999999994</v>
      </c>
      <c r="ER292" s="173">
        <f t="shared" si="845"/>
        <v>8.4312499999999999E-2</v>
      </c>
      <c r="ES292" s="528"/>
      <c r="EU292" s="460">
        <f t="shared" si="885"/>
        <v>5404.3125</v>
      </c>
      <c r="EV292" s="528">
        <f t="shared" si="886"/>
        <v>0.4895901437315261</v>
      </c>
      <c r="EW292" s="528">
        <f t="shared" si="887"/>
        <v>2.6506472749795997</v>
      </c>
      <c r="EX292" s="528">
        <f t="shared" si="888"/>
        <v>2.6794127256069575E-4</v>
      </c>
      <c r="EY292" s="528">
        <f t="shared" si="889"/>
        <v>2.0264675705467887</v>
      </c>
      <c r="EZ292" s="528"/>
      <c r="FA292" s="625">
        <f t="shared" si="890"/>
        <v>1.9569922404639385E-2</v>
      </c>
      <c r="FB292" s="460">
        <f t="shared" si="891"/>
        <v>5186.5428529351148</v>
      </c>
      <c r="FC292" s="173">
        <f t="shared" si="892"/>
        <v>13.250650847542415</v>
      </c>
      <c r="FD292" s="5">
        <f t="shared" si="893"/>
        <v>115.52</v>
      </c>
      <c r="FE292" s="173">
        <f t="shared" si="894"/>
        <v>0.89709882834070254</v>
      </c>
      <c r="FF292" s="5">
        <f t="shared" si="895"/>
        <v>89.709882834070257</v>
      </c>
      <c r="FG292">
        <f t="shared" si="896"/>
        <v>76</v>
      </c>
      <c r="FI292" s="562">
        <f t="shared" si="846"/>
        <v>-50</v>
      </c>
    </row>
    <row r="293" spans="5:165">
      <c r="E293" s="170">
        <v>77</v>
      </c>
      <c r="F293" s="217">
        <f t="shared" si="847"/>
        <v>7.7</v>
      </c>
      <c r="G293" s="217">
        <f t="shared" si="775"/>
        <v>0.1925</v>
      </c>
      <c r="H293" s="217">
        <f t="shared" si="776"/>
        <v>115.5</v>
      </c>
      <c r="I293" s="217">
        <f t="shared" si="777"/>
        <v>1.54</v>
      </c>
      <c r="J293" s="541">
        <f t="shared" si="778"/>
        <v>84.492820099955949</v>
      </c>
      <c r="K293" s="443">
        <f t="shared" si="779"/>
        <v>15.973667058823528</v>
      </c>
      <c r="L293" s="172">
        <f t="shared" si="780"/>
        <v>100.46648715877947</v>
      </c>
      <c r="M293" s="443"/>
      <c r="N293" s="217">
        <f t="shared" si="781"/>
        <v>0.15899497942610843</v>
      </c>
      <c r="O293" s="172">
        <f t="shared" si="782"/>
        <v>331.4292975356837</v>
      </c>
      <c r="P293" s="172">
        <f t="shared" si="783"/>
        <v>4.4779780644821265</v>
      </c>
      <c r="Q293" s="217">
        <f t="shared" si="784"/>
        <v>22.095286502378915</v>
      </c>
      <c r="R293" s="217">
        <f t="shared" si="785"/>
        <v>41.428662191960463</v>
      </c>
      <c r="S293" s="217">
        <f t="shared" si="786"/>
        <v>15</v>
      </c>
      <c r="T293" s="217">
        <f t="shared" si="787"/>
        <v>17.424530791150801</v>
      </c>
      <c r="U293" s="217">
        <f t="shared" si="788"/>
        <v>2.474699853152595</v>
      </c>
      <c r="V293" s="217">
        <f t="shared" si="789"/>
        <v>13.08994163480515</v>
      </c>
      <c r="W293" s="197">
        <f t="shared" si="790"/>
        <v>111.94945161205312</v>
      </c>
      <c r="X293" s="443">
        <f t="shared" si="848"/>
        <v>63.433094927269842</v>
      </c>
      <c r="Z293" s="217">
        <f t="shared" si="791"/>
        <v>10</v>
      </c>
      <c r="AA293" s="173">
        <f t="shared" si="792"/>
        <v>7.5123639148165697</v>
      </c>
      <c r="AB293" s="173">
        <f t="shared" si="793"/>
        <v>4.1496958252001228</v>
      </c>
      <c r="AC293" s="173"/>
      <c r="AD293" s="173">
        <f t="shared" si="794"/>
        <v>7.5123639148165697</v>
      </c>
      <c r="AE293" s="545">
        <f t="shared" si="795"/>
        <v>204.99539392156862</v>
      </c>
      <c r="AF293" s="528">
        <f t="shared" si="796"/>
        <v>4.2050251028694579</v>
      </c>
      <c r="AH293" s="173">
        <f t="shared" si="797"/>
        <v>7.4654760955570234</v>
      </c>
      <c r="AI293" s="173">
        <f t="shared" si="798"/>
        <v>17.424530791150801</v>
      </c>
      <c r="AJ293" s="173">
        <f t="shared" si="799"/>
        <v>6.6996524378894824</v>
      </c>
      <c r="AL293" s="545">
        <f t="shared" si="800"/>
        <v>7700</v>
      </c>
      <c r="AM293" s="460">
        <f t="shared" si="801"/>
        <v>63.433094927269842</v>
      </c>
      <c r="AO293">
        <f t="shared" si="802"/>
        <v>7700</v>
      </c>
      <c r="AP293">
        <f t="shared" si="803"/>
        <v>63.433094927269842</v>
      </c>
      <c r="AR293" s="5">
        <f t="shared" si="774"/>
        <v>15.764641487957743</v>
      </c>
      <c r="AS293" s="5">
        <f t="shared" si="739"/>
        <v>2.474699853152595</v>
      </c>
      <c r="AT293" s="5">
        <f t="shared" si="740"/>
        <v>13.289941634805148</v>
      </c>
      <c r="AU293" s="173">
        <f t="shared" si="741"/>
        <v>0.1569778707015293</v>
      </c>
      <c r="BA293" s="173">
        <f t="shared" si="849"/>
        <v>3.9858383533008896</v>
      </c>
      <c r="BB293" s="173">
        <f t="shared" si="850"/>
        <v>9.2367662298705202</v>
      </c>
      <c r="BC293" s="173">
        <f t="shared" si="851"/>
        <v>0.22747800754347794</v>
      </c>
      <c r="BD293" s="173"/>
      <c r="BE293" s="528">
        <f t="shared" si="852"/>
        <v>0.31773814757288693</v>
      </c>
      <c r="BF293" s="528">
        <f t="shared" si="804"/>
        <v>2.0820899261102834</v>
      </c>
      <c r="BG293" s="528">
        <f t="shared" si="805"/>
        <v>0.13399102695183099</v>
      </c>
      <c r="BH293" s="528">
        <f t="shared" si="853"/>
        <v>6.4026289781061077E-2</v>
      </c>
      <c r="BI293">
        <f t="shared" si="854"/>
        <v>3.8021769044980176E-2</v>
      </c>
      <c r="BJ293" s="460">
        <f t="shared" si="855"/>
        <v>172.01279599681115</v>
      </c>
      <c r="BK293">
        <f t="shared" si="806"/>
        <v>2.7578461075580791</v>
      </c>
      <c r="BL293" s="460">
        <f t="shared" si="856"/>
        <v>2635.8671594610428</v>
      </c>
      <c r="BM293" s="173">
        <f t="shared" si="807"/>
        <v>4.7836249999999998</v>
      </c>
      <c r="BN293" s="173">
        <f t="shared" si="808"/>
        <v>8.5421874999999994E-2</v>
      </c>
      <c r="BQ293" s="460">
        <f t="shared" si="857"/>
        <v>4869.046875</v>
      </c>
      <c r="BR293" s="528">
        <f t="shared" si="858"/>
        <v>0.47660722135933037</v>
      </c>
      <c r="BS293" s="528">
        <f t="shared" si="859"/>
        <v>2.5595355115582938</v>
      </c>
      <c r="BT293" s="528">
        <f t="shared" si="860"/>
        <v>2.5873121957975303E-4</v>
      </c>
      <c r="BU293" s="528">
        <f t="shared" si="861"/>
        <v>2.0307781789585957</v>
      </c>
      <c r="BV293" s="528"/>
      <c r="BW293" s="625">
        <f t="shared" si="862"/>
        <v>1.9259193018990407E-2</v>
      </c>
      <c r="BX293" s="460">
        <f t="shared" si="863"/>
        <v>5086.4388361147903</v>
      </c>
      <c r="BY293" s="173">
        <f t="shared" si="864"/>
        <v>12.591352870575832</v>
      </c>
      <c r="BZ293" s="5">
        <f t="shared" si="865"/>
        <v>117.04</v>
      </c>
      <c r="CA293" s="173">
        <f t="shared" si="866"/>
        <v>0.90286799765835157</v>
      </c>
      <c r="CB293" s="5">
        <f t="shared" si="867"/>
        <v>90.286799765835156</v>
      </c>
      <c r="CC293">
        <f t="shared" si="868"/>
        <v>77</v>
      </c>
      <c r="CE293" s="562">
        <f t="shared" si="809"/>
        <v>-50</v>
      </c>
      <c r="CG293" s="173">
        <f t="shared" si="810"/>
        <v>0.84409136047666333</v>
      </c>
      <c r="CH293" s="173">
        <f t="shared" si="811"/>
        <v>0.1020398968288061</v>
      </c>
      <c r="CI293" s="170">
        <v>77</v>
      </c>
      <c r="CJ293" s="217">
        <f t="shared" si="869"/>
        <v>7.7</v>
      </c>
      <c r="CK293" s="217">
        <f t="shared" si="812"/>
        <v>0.1925</v>
      </c>
      <c r="CL293" s="217">
        <f t="shared" si="813"/>
        <v>115.5</v>
      </c>
      <c r="CM293" s="217">
        <f t="shared" si="814"/>
        <v>1.54</v>
      </c>
      <c r="CN293" s="541">
        <f t="shared" si="815"/>
        <v>85</v>
      </c>
      <c r="CO293" s="443">
        <f t="shared" si="816"/>
        <v>15.7</v>
      </c>
      <c r="CP293" s="443">
        <f t="shared" si="817"/>
        <v>100.7</v>
      </c>
      <c r="CQ293" s="443"/>
      <c r="CR293" s="217">
        <f t="shared" si="818"/>
        <v>0.15338645418326693</v>
      </c>
      <c r="CS293" s="172">
        <f t="shared" si="819"/>
        <v>321.65744915076539</v>
      </c>
      <c r="CT293" s="172">
        <f t="shared" si="820"/>
        <v>4.3459495351925632</v>
      </c>
      <c r="CU293" s="217">
        <f t="shared" si="821"/>
        <v>21.443829943384358</v>
      </c>
      <c r="CV293" s="217">
        <f t="shared" si="822"/>
        <v>40.207181143845673</v>
      </c>
      <c r="CW293" s="217">
        <f t="shared" si="823"/>
        <v>15</v>
      </c>
      <c r="CX293" s="217">
        <f t="shared" si="824"/>
        <v>17.953882352941179</v>
      </c>
      <c r="CY293" s="217">
        <f t="shared" si="825"/>
        <v>2.534665743944637</v>
      </c>
      <c r="CZ293" s="217">
        <f t="shared" si="826"/>
        <v>13.722712626451857</v>
      </c>
      <c r="DA293" s="197">
        <f t="shared" si="827"/>
        <v>110.43528632903013</v>
      </c>
      <c r="DB293" s="443">
        <f t="shared" si="828"/>
        <v>61.510532462043656</v>
      </c>
      <c r="DD293" s="217">
        <f t="shared" si="829"/>
        <v>9.9999999999999982</v>
      </c>
      <c r="DE293" s="173">
        <f t="shared" si="830"/>
        <v>7.6433121019108263</v>
      </c>
      <c r="DF293" s="173">
        <f t="shared" si="831"/>
        <v>4.1649244760361679</v>
      </c>
      <c r="DG293" s="173"/>
      <c r="DH293" s="173">
        <f t="shared" si="832"/>
        <v>7.6433121019108281</v>
      </c>
      <c r="DI293" s="545">
        <f t="shared" si="833"/>
        <v>201.48333333333335</v>
      </c>
      <c r="DJ293" s="528">
        <f t="shared" si="834"/>
        <v>4.2204568023833167</v>
      </c>
      <c r="DL293" s="173">
        <f t="shared" si="835"/>
        <v>7.4654760955570234</v>
      </c>
      <c r="DM293" s="173">
        <f t="shared" si="836"/>
        <v>17.953882352941179</v>
      </c>
      <c r="DN293" s="173">
        <f t="shared" si="837"/>
        <v>7.0917647058823547</v>
      </c>
      <c r="DP293" s="545">
        <f t="shared" si="838"/>
        <v>7700</v>
      </c>
      <c r="DQ293" s="460">
        <f t="shared" si="839"/>
        <v>61.510532462043656</v>
      </c>
      <c r="DS293">
        <f t="shared" si="840"/>
        <v>7700</v>
      </c>
      <c r="DT293">
        <f t="shared" si="841"/>
        <v>61.510532462043656</v>
      </c>
      <c r="DV293" s="5">
        <f t="shared" si="870"/>
        <v>16.257378370396495</v>
      </c>
      <c r="DW293" s="5">
        <f t="shared" si="842"/>
        <v>2.534665743944637</v>
      </c>
      <c r="DX293" s="5">
        <f t="shared" si="843"/>
        <v>13.722712626451859</v>
      </c>
      <c r="DY293" s="173">
        <f t="shared" si="844"/>
        <v>0.15590863952333661</v>
      </c>
      <c r="EA293" s="5">
        <f t="shared" si="871"/>
        <v>130.11284152249135</v>
      </c>
      <c r="EB293" s="5">
        <f t="shared" si="872"/>
        <v>6.099039446366783</v>
      </c>
      <c r="EC293" s="5">
        <f t="shared" si="873"/>
        <v>6.4299120014409308</v>
      </c>
      <c r="ED293" s="5"/>
      <c r="EE293" s="173">
        <f t="shared" si="874"/>
        <v>4.0929160660783754</v>
      </c>
      <c r="EF293" s="173">
        <f t="shared" si="875"/>
        <v>9.5234098545175367</v>
      </c>
      <c r="EG293" s="173">
        <f t="shared" si="876"/>
        <v>0.23453730935831427</v>
      </c>
      <c r="EH293" s="173"/>
      <c r="EI293" s="528">
        <f t="shared" si="877"/>
        <v>0.33503923847924966</v>
      </c>
      <c r="EJ293" s="528">
        <f t="shared" si="878"/>
        <v>2.2241666666666666</v>
      </c>
      <c r="EK293" s="528">
        <f t="shared" si="879"/>
        <v>7.6888165577554566E-3</v>
      </c>
      <c r="EL293" s="528">
        <f t="shared" si="880"/>
        <v>6.2374693932602907E-2</v>
      </c>
      <c r="EM293">
        <f t="shared" si="881"/>
        <v>3.8249999999999999E-2</v>
      </c>
      <c r="EN293" s="460">
        <f t="shared" si="882"/>
        <v>45.938816557755452</v>
      </c>
      <c r="EP293" s="460">
        <f t="shared" si="883"/>
        <v>2667.519415636275</v>
      </c>
      <c r="EQ293" s="173">
        <f t="shared" si="884"/>
        <v>5.39</v>
      </c>
      <c r="ER293" s="173">
        <f t="shared" si="845"/>
        <v>8.5421874999999994E-2</v>
      </c>
      <c r="ES293" s="528"/>
      <c r="EU293" s="460">
        <f t="shared" si="885"/>
        <v>5475.4218749999991</v>
      </c>
      <c r="EV293" s="528">
        <f t="shared" si="886"/>
        <v>0.50255885771887443</v>
      </c>
      <c r="EW293" s="528">
        <f t="shared" si="887"/>
        <v>2.7208600577136517</v>
      </c>
      <c r="EX293" s="528">
        <f t="shared" si="888"/>
        <v>2.7503874740518805E-4</v>
      </c>
      <c r="EY293" s="528">
        <f t="shared" si="889"/>
        <v>2.0264675705467892</v>
      </c>
      <c r="EZ293" s="528"/>
      <c r="FA293" s="625">
        <f t="shared" si="890"/>
        <v>1.9827421383647802E-2</v>
      </c>
      <c r="FB293" s="460">
        <f t="shared" si="891"/>
        <v>5269.9889461103685</v>
      </c>
      <c r="FC293" s="173">
        <f t="shared" si="892"/>
        <v>13.412930236746643</v>
      </c>
      <c r="FD293" s="5">
        <f t="shared" si="893"/>
        <v>117.04</v>
      </c>
      <c r="FE293" s="173">
        <f t="shared" si="894"/>
        <v>0.89718184012881286</v>
      </c>
      <c r="FF293" s="5">
        <f t="shared" si="895"/>
        <v>89.718184012881281</v>
      </c>
      <c r="FG293">
        <f t="shared" si="896"/>
        <v>77</v>
      </c>
      <c r="FI293" s="562">
        <f t="shared" si="846"/>
        <v>-50</v>
      </c>
    </row>
    <row r="294" spans="5:165">
      <c r="E294" s="170">
        <v>78</v>
      </c>
      <c r="F294" s="217">
        <f t="shared" si="847"/>
        <v>7.8000000000000007</v>
      </c>
      <c r="G294" s="217">
        <f t="shared" si="775"/>
        <v>0.19500000000000001</v>
      </c>
      <c r="H294" s="217">
        <f t="shared" si="776"/>
        <v>117.00000000000001</v>
      </c>
      <c r="I294" s="217">
        <f t="shared" si="777"/>
        <v>1.56</v>
      </c>
      <c r="J294" s="541">
        <f t="shared" si="778"/>
        <v>84.486233348007318</v>
      </c>
      <c r="K294" s="443">
        <f t="shared" si="779"/>
        <v>15.977221176470588</v>
      </c>
      <c r="L294" s="172">
        <f t="shared" si="780"/>
        <v>100.46345452447791</v>
      </c>
      <c r="M294" s="443"/>
      <c r="N294" s="217">
        <f t="shared" si="781"/>
        <v>0.15903515613807345</v>
      </c>
      <c r="O294" s="172">
        <f t="shared" si="782"/>
        <v>331.48720342149801</v>
      </c>
      <c r="P294" s="172">
        <f t="shared" si="783"/>
        <v>4.4787604373393508</v>
      </c>
      <c r="Q294" s="217">
        <f t="shared" si="784"/>
        <v>22.099146894766534</v>
      </c>
      <c r="R294" s="217">
        <f t="shared" si="785"/>
        <v>41.435900427687251</v>
      </c>
      <c r="S294" s="217">
        <f t="shared" si="786"/>
        <v>15</v>
      </c>
      <c r="T294" s="217">
        <f t="shared" si="787"/>
        <v>17.64774006241657</v>
      </c>
      <c r="U294" s="217">
        <f t="shared" si="788"/>
        <v>2.5065963099181494</v>
      </c>
      <c r="V294" s="217">
        <f t="shared" si="789"/>
        <v>13.25467541632794</v>
      </c>
      <c r="W294" s="197">
        <f t="shared" si="790"/>
        <v>111.96901093348379</v>
      </c>
      <c r="X294" s="443">
        <f t="shared" si="848"/>
        <v>62.651649389292658</v>
      </c>
      <c r="Z294" s="217">
        <f t="shared" si="791"/>
        <v>9.9999999999999982</v>
      </c>
      <c r="AA294" s="173">
        <f t="shared" si="792"/>
        <v>7.5106927966123518</v>
      </c>
      <c r="AB294" s="173">
        <f t="shared" si="793"/>
        <v>4.1494975848450304</v>
      </c>
      <c r="AC294" s="173"/>
      <c r="AD294" s="173">
        <f t="shared" si="794"/>
        <v>7.5106927966123536</v>
      </c>
      <c r="AE294" s="545">
        <f t="shared" si="795"/>
        <v>207.70387529411767</v>
      </c>
      <c r="AF294" s="528">
        <f t="shared" si="796"/>
        <v>4.2048242193096321</v>
      </c>
      <c r="AH294" s="173">
        <f t="shared" si="797"/>
        <v>7.5137968336349674</v>
      </c>
      <c r="AI294" s="173">
        <f t="shared" si="798"/>
        <v>17.64774006241657</v>
      </c>
      <c r="AJ294" s="173">
        <f t="shared" si="799"/>
        <v>6.864992638827089</v>
      </c>
      <c r="AL294" s="545">
        <f t="shared" si="800"/>
        <v>7800.0000000000009</v>
      </c>
      <c r="AM294" s="460">
        <f t="shared" si="801"/>
        <v>62.651649389292658</v>
      </c>
      <c r="AO294">
        <f t="shared" si="802"/>
        <v>7800.0000000000009</v>
      </c>
      <c r="AP294">
        <f t="shared" si="803"/>
        <v>62.651649389292658</v>
      </c>
      <c r="AR294" s="5">
        <f t="shared" si="774"/>
        <v>15.961271726246091</v>
      </c>
      <c r="AS294" s="5">
        <f t="shared" si="739"/>
        <v>2.5065963099181494</v>
      </c>
      <c r="AT294" s="5">
        <f t="shared" si="740"/>
        <v>13.454675416327941</v>
      </c>
      <c r="AU294" s="173">
        <f t="shared" si="741"/>
        <v>0.15704239316948665</v>
      </c>
      <c r="BA294" s="173">
        <f t="shared" si="849"/>
        <v>4.037726734445874</v>
      </c>
      <c r="BB294" s="173">
        <f t="shared" si="850"/>
        <v>9.3547317396856435</v>
      </c>
      <c r="BC294" s="173">
        <f t="shared" si="851"/>
        <v>0.23038319735382687</v>
      </c>
      <c r="BD294" s="173"/>
      <c r="BE294" s="528">
        <f t="shared" si="852"/>
        <v>0.32606474364117888</v>
      </c>
      <c r="BF294" s="528">
        <f t="shared" si="804"/>
        <v>2.0827204768226029</v>
      </c>
      <c r="BG294" s="528">
        <f t="shared" si="805"/>
        <v>0.13233004674853299</v>
      </c>
      <c r="BH294" s="528">
        <f t="shared" si="853"/>
        <v>6.3233718892182406E-2</v>
      </c>
      <c r="BI294">
        <f t="shared" si="854"/>
        <v>3.801880500660329E-2</v>
      </c>
      <c r="BJ294" s="460">
        <f t="shared" si="855"/>
        <v>170.34885175513628</v>
      </c>
      <c r="BK294">
        <f t="shared" si="806"/>
        <v>2.7750476389424392</v>
      </c>
      <c r="BL294" s="460">
        <f t="shared" si="856"/>
        <v>2642.3677911111008</v>
      </c>
      <c r="BM294" s="173">
        <f t="shared" si="807"/>
        <v>4.8457499999999998</v>
      </c>
      <c r="BN294" s="173">
        <f t="shared" si="808"/>
        <v>8.6531250000000004E-2</v>
      </c>
      <c r="BQ294" s="460">
        <f t="shared" si="857"/>
        <v>4932.28125</v>
      </c>
      <c r="BR294" s="528">
        <f t="shared" si="858"/>
        <v>0.48909711546176826</v>
      </c>
      <c r="BS294" s="528">
        <f t="shared" si="859"/>
        <v>2.6253301776444595</v>
      </c>
      <c r="BT294" s="528">
        <f t="shared" si="860"/>
        <v>2.6538208811486169E-4</v>
      </c>
      <c r="BU294" s="528">
        <f t="shared" si="861"/>
        <v>2.0324694306569975</v>
      </c>
      <c r="BV294" s="528"/>
      <c r="BW294" s="625">
        <f t="shared" si="862"/>
        <v>1.9512400681613522E-2</v>
      </c>
      <c r="BX294" s="460">
        <f t="shared" si="863"/>
        <v>5166.6745065329542</v>
      </c>
      <c r="BY294" s="173">
        <f t="shared" si="864"/>
        <v>12.741323547644052</v>
      </c>
      <c r="BZ294" s="5">
        <f t="shared" si="865"/>
        <v>118.56000000000002</v>
      </c>
      <c r="CA294" s="173">
        <f t="shared" si="866"/>
        <v>0.90296119488071469</v>
      </c>
      <c r="CB294" s="5">
        <f t="shared" si="867"/>
        <v>90.296119488071469</v>
      </c>
      <c r="CC294">
        <f t="shared" si="868"/>
        <v>78</v>
      </c>
      <c r="CE294" s="562">
        <f t="shared" si="809"/>
        <v>-50</v>
      </c>
      <c r="CG294" s="173">
        <f t="shared" si="810"/>
        <v>0.84409136047666333</v>
      </c>
      <c r="CH294" s="173">
        <f t="shared" si="811"/>
        <v>0.10203989682880608</v>
      </c>
      <c r="CI294" s="170">
        <v>78</v>
      </c>
      <c r="CJ294" s="217">
        <f t="shared" si="869"/>
        <v>7.8000000000000007</v>
      </c>
      <c r="CK294" s="217">
        <f t="shared" si="812"/>
        <v>0.19500000000000001</v>
      </c>
      <c r="CL294" s="217">
        <f t="shared" si="813"/>
        <v>117.00000000000001</v>
      </c>
      <c r="CM294" s="217">
        <f t="shared" si="814"/>
        <v>1.56</v>
      </c>
      <c r="CN294" s="541">
        <f t="shared" si="815"/>
        <v>85</v>
      </c>
      <c r="CO294" s="443">
        <f t="shared" si="816"/>
        <v>15.7</v>
      </c>
      <c r="CP294" s="443">
        <f t="shared" si="817"/>
        <v>100.7</v>
      </c>
      <c r="CQ294" s="443"/>
      <c r="CR294" s="217">
        <f t="shared" si="818"/>
        <v>0.15338645418326693</v>
      </c>
      <c r="CS294" s="172">
        <f t="shared" si="819"/>
        <v>321.65744915076539</v>
      </c>
      <c r="CT294" s="172">
        <f t="shared" si="820"/>
        <v>4.3459495351925632</v>
      </c>
      <c r="CU294" s="217">
        <f t="shared" si="821"/>
        <v>21.443829943384358</v>
      </c>
      <c r="CV294" s="217">
        <f t="shared" si="822"/>
        <v>40.207181143845673</v>
      </c>
      <c r="CW294" s="217">
        <f t="shared" si="823"/>
        <v>15</v>
      </c>
      <c r="CX294" s="217">
        <f t="shared" si="824"/>
        <v>18.187049656226129</v>
      </c>
      <c r="CY294" s="217">
        <f t="shared" si="825"/>
        <v>2.5675834808789828</v>
      </c>
      <c r="CZ294" s="217">
        <f t="shared" si="826"/>
        <v>13.900929673548635</v>
      </c>
      <c r="DA294" s="197">
        <f t="shared" si="827"/>
        <v>110.43528632903013</v>
      </c>
      <c r="DB294" s="443">
        <f t="shared" si="828"/>
        <v>60.721935892017449</v>
      </c>
      <c r="DD294" s="217">
        <f t="shared" si="829"/>
        <v>9.9999999999999982</v>
      </c>
      <c r="DE294" s="173">
        <f t="shared" si="830"/>
        <v>7.6433121019108263</v>
      </c>
      <c r="DF294" s="173">
        <f t="shared" si="831"/>
        <v>4.1649244760361679</v>
      </c>
      <c r="DG294" s="173"/>
      <c r="DH294" s="173">
        <f t="shared" si="832"/>
        <v>7.6433121019108281</v>
      </c>
      <c r="DI294" s="545">
        <f t="shared" si="833"/>
        <v>204.10000000000002</v>
      </c>
      <c r="DJ294" s="528">
        <f t="shared" si="834"/>
        <v>4.2204568023833167</v>
      </c>
      <c r="DL294" s="173">
        <f t="shared" si="835"/>
        <v>7.5137968336349674</v>
      </c>
      <c r="DM294" s="173">
        <f t="shared" si="836"/>
        <v>18.187049656226129</v>
      </c>
      <c r="DN294" s="173">
        <f t="shared" si="837"/>
        <v>7.2644812268341701</v>
      </c>
      <c r="DP294" s="545">
        <f t="shared" si="838"/>
        <v>7800.0000000000009</v>
      </c>
      <c r="DQ294" s="460">
        <f t="shared" si="839"/>
        <v>60.721935892017449</v>
      </c>
      <c r="DS294">
        <f t="shared" si="840"/>
        <v>7800.0000000000009</v>
      </c>
      <c r="DT294">
        <f t="shared" si="841"/>
        <v>60.721935892017449</v>
      </c>
      <c r="DV294" s="5">
        <f t="shared" si="870"/>
        <v>16.468513154427619</v>
      </c>
      <c r="DW294" s="5">
        <f t="shared" si="842"/>
        <v>2.5675834808789828</v>
      </c>
      <c r="DX294" s="5">
        <f t="shared" si="843"/>
        <v>13.900929673548635</v>
      </c>
      <c r="DY294" s="173">
        <f t="shared" si="844"/>
        <v>0.15590863952333661</v>
      </c>
      <c r="EA294" s="5">
        <f t="shared" si="871"/>
        <v>133.51434100570711</v>
      </c>
      <c r="EB294" s="5">
        <f t="shared" si="872"/>
        <v>6.2584847346425203</v>
      </c>
      <c r="EC294" s="5">
        <f t="shared" si="873"/>
        <v>6.598007187850671</v>
      </c>
      <c r="ED294" s="5"/>
      <c r="EE294" s="173">
        <f t="shared" si="874"/>
        <v>4.1460708201832892</v>
      </c>
      <c r="EF294" s="173">
        <f t="shared" si="875"/>
        <v>9.6470905019788038</v>
      </c>
      <c r="EG294" s="173">
        <f t="shared" si="876"/>
        <v>0.23758324844088982</v>
      </c>
      <c r="EH294" s="173"/>
      <c r="EI294" s="528">
        <f t="shared" si="877"/>
        <v>0.34379806491950665</v>
      </c>
      <c r="EJ294" s="528">
        <f t="shared" si="878"/>
        <v>2.2241666666666662</v>
      </c>
      <c r="EK294" s="528">
        <f t="shared" si="879"/>
        <v>7.5902419865021805E-3</v>
      </c>
      <c r="EL294" s="528">
        <f t="shared" si="880"/>
        <v>6.1575018369364395E-2</v>
      </c>
      <c r="EM294">
        <f t="shared" si="881"/>
        <v>3.8249999999999999E-2</v>
      </c>
      <c r="EN294" s="460">
        <f t="shared" si="882"/>
        <v>45.840241986502186</v>
      </c>
      <c r="EP294" s="460">
        <f t="shared" si="883"/>
        <v>2675.3799919420394</v>
      </c>
      <c r="EQ294" s="173">
        <f t="shared" si="884"/>
        <v>5.46</v>
      </c>
      <c r="ER294" s="173">
        <f t="shared" si="845"/>
        <v>8.6531250000000004E-2</v>
      </c>
      <c r="ES294" s="528"/>
      <c r="EU294" s="460">
        <f t="shared" si="885"/>
        <v>5546.53125</v>
      </c>
      <c r="EV294" s="528">
        <f t="shared" si="886"/>
        <v>0.51569709737925995</v>
      </c>
      <c r="EW294" s="528">
        <f t="shared" si="887"/>
        <v>2.7919906546010891</v>
      </c>
      <c r="EX294" s="528">
        <f t="shared" si="888"/>
        <v>2.822289996986279E-4</v>
      </c>
      <c r="EY294" s="528">
        <f t="shared" si="889"/>
        <v>2.0264675705467909</v>
      </c>
      <c r="EZ294" s="528"/>
      <c r="FA294" s="625">
        <f t="shared" si="890"/>
        <v>2.008492036265621E-2</v>
      </c>
      <c r="FB294" s="460">
        <f t="shared" si="891"/>
        <v>5354.5224718894951</v>
      </c>
      <c r="FC294" s="173">
        <f t="shared" si="892"/>
        <v>13.576433713831532</v>
      </c>
      <c r="FD294" s="5">
        <f t="shared" si="893"/>
        <v>118.56000000000002</v>
      </c>
      <c r="FE294" s="173">
        <f t="shared" si="894"/>
        <v>0.89725442610904682</v>
      </c>
      <c r="FF294" s="5">
        <f t="shared" si="895"/>
        <v>89.725442610904679</v>
      </c>
      <c r="FG294">
        <f t="shared" si="896"/>
        <v>78</v>
      </c>
      <c r="FI294" s="562">
        <f t="shared" si="846"/>
        <v>-50</v>
      </c>
    </row>
    <row r="295" spans="5:165">
      <c r="E295" s="170">
        <v>79</v>
      </c>
      <c r="F295" s="217">
        <f t="shared" si="847"/>
        <v>7.9</v>
      </c>
      <c r="G295" s="217">
        <f t="shared" si="775"/>
        <v>0.19750000000000001</v>
      </c>
      <c r="H295" s="217">
        <f t="shared" si="776"/>
        <v>118.5</v>
      </c>
      <c r="I295" s="217">
        <f t="shared" si="777"/>
        <v>1.58</v>
      </c>
      <c r="J295" s="541">
        <f t="shared" si="778"/>
        <v>84.4796465960587</v>
      </c>
      <c r="K295" s="443">
        <f t="shared" si="779"/>
        <v>15.980775294117647</v>
      </c>
      <c r="L295" s="172">
        <f t="shared" si="780"/>
        <v>100.46042189017635</v>
      </c>
      <c r="M295" s="443"/>
      <c r="N295" s="217">
        <f t="shared" si="781"/>
        <v>0.15907533527569576</v>
      </c>
      <c r="O295" s="172">
        <f t="shared" si="782"/>
        <v>331.54510130527126</v>
      </c>
      <c r="P295" s="172">
        <f t="shared" si="783"/>
        <v>4.47954270208011</v>
      </c>
      <c r="Q295" s="217">
        <f t="shared" si="784"/>
        <v>22.103006753684749</v>
      </c>
      <c r="R295" s="217">
        <f t="shared" si="785"/>
        <v>41.443137663158907</v>
      </c>
      <c r="S295" s="217">
        <f t="shared" si="786"/>
        <v>15</v>
      </c>
      <c r="T295" s="217">
        <f t="shared" si="787"/>
        <v>17.870871795944698</v>
      </c>
      <c r="U295" s="217">
        <f t="shared" si="788"/>
        <v>2.5384867265926903</v>
      </c>
      <c r="V295" s="217">
        <f t="shared" si="789"/>
        <v>13.419277701143406</v>
      </c>
      <c r="W295" s="197">
        <f t="shared" si="790"/>
        <v>111.98856755200273</v>
      </c>
      <c r="X295" s="443">
        <f t="shared" si="848"/>
        <v>61.889749938637543</v>
      </c>
      <c r="Z295" s="217">
        <f t="shared" si="791"/>
        <v>10</v>
      </c>
      <c r="AA295" s="173">
        <f t="shared" si="792"/>
        <v>7.5090224217200978</v>
      </c>
      <c r="AB295" s="173">
        <f t="shared" si="793"/>
        <v>4.1492993325212391</v>
      </c>
      <c r="AC295" s="173"/>
      <c r="AD295" s="173">
        <f t="shared" si="794"/>
        <v>7.5090224217200978</v>
      </c>
      <c r="AE295" s="545">
        <f t="shared" si="795"/>
        <v>210.41354137254905</v>
      </c>
      <c r="AF295" s="528">
        <f t="shared" si="796"/>
        <v>4.2046233236215214</v>
      </c>
      <c r="AH295" s="173">
        <f t="shared" si="797"/>
        <v>7.5618088035173425</v>
      </c>
      <c r="AI295" s="173">
        <f t="shared" si="798"/>
        <v>17.870871795944698</v>
      </c>
      <c r="AJ295" s="173">
        <f t="shared" si="799"/>
        <v>7.0302754044034801</v>
      </c>
      <c r="AL295" s="545">
        <f t="shared" si="800"/>
        <v>7900</v>
      </c>
      <c r="AM295" s="460">
        <f t="shared" si="801"/>
        <v>61.889749938637543</v>
      </c>
      <c r="AO295">
        <f t="shared" si="802"/>
        <v>7900</v>
      </c>
      <c r="AP295">
        <f t="shared" si="803"/>
        <v>61.889749938637543</v>
      </c>
      <c r="AR295" s="5">
        <f t="shared" si="774"/>
        <v>16.157764427736097</v>
      </c>
      <c r="AS295" s="5">
        <f t="shared" si="739"/>
        <v>2.5384867265926903</v>
      </c>
      <c r="AT295" s="5">
        <f t="shared" si="740"/>
        <v>13.619277701143407</v>
      </c>
      <c r="AU295" s="173">
        <f t="shared" si="741"/>
        <v>0.15710630873137216</v>
      </c>
      <c r="BA295" s="173">
        <f t="shared" si="849"/>
        <v>4.089610284467196</v>
      </c>
      <c r="BB295" s="173">
        <f t="shared" si="850"/>
        <v>9.4726504898863446</v>
      </c>
      <c r="BC295" s="173">
        <f t="shared" si="851"/>
        <v>0.23328723559406372</v>
      </c>
      <c r="BD295" s="173"/>
      <c r="BE295" s="528">
        <f t="shared" si="852"/>
        <v>0.33449824557639724</v>
      </c>
      <c r="BF295" s="528">
        <f t="shared" si="804"/>
        <v>2.0833428042388111</v>
      </c>
      <c r="BG295" s="528">
        <f t="shared" si="805"/>
        <v>0.13071060506836363</v>
      </c>
      <c r="BH295" s="528">
        <f t="shared" si="853"/>
        <v>6.2460969842015934E-2</v>
      </c>
      <c r="BI295">
        <f t="shared" si="854"/>
        <v>3.8015840968226411E-2</v>
      </c>
      <c r="BJ295" s="460">
        <f t="shared" si="855"/>
        <v>168.72644603659003</v>
      </c>
      <c r="BK295">
        <f t="shared" si="806"/>
        <v>2.7925602515018464</v>
      </c>
      <c r="BL295" s="460">
        <f t="shared" si="856"/>
        <v>2649.0284656938143</v>
      </c>
      <c r="BM295" s="173">
        <f t="shared" si="807"/>
        <v>4.9078749999999998</v>
      </c>
      <c r="BN295" s="173">
        <f t="shared" si="808"/>
        <v>8.7640625E-2</v>
      </c>
      <c r="BQ295" s="460">
        <f t="shared" si="857"/>
        <v>4995.5156249999991</v>
      </c>
      <c r="BR295" s="528">
        <f t="shared" si="858"/>
        <v>0.50174736836459577</v>
      </c>
      <c r="BS295" s="528">
        <f t="shared" si="859"/>
        <v>2.6919332191063203</v>
      </c>
      <c r="BT295" s="528">
        <f t="shared" si="860"/>
        <v>2.7211467145560098E-4</v>
      </c>
      <c r="BU295" s="528">
        <f t="shared" si="861"/>
        <v>2.0341415565675978</v>
      </c>
      <c r="BV295" s="528"/>
      <c r="BW295" s="625">
        <f t="shared" si="862"/>
        <v>1.976560929424561E-2</v>
      </c>
      <c r="BX295" s="460">
        <f t="shared" si="863"/>
        <v>5247.8598680042151</v>
      </c>
      <c r="BY295" s="173">
        <f t="shared" si="864"/>
        <v>12.892403958698029</v>
      </c>
      <c r="BZ295" s="5">
        <f t="shared" si="865"/>
        <v>120.08</v>
      </c>
      <c r="CA295" s="173">
        <f t="shared" si="866"/>
        <v>0.90304451468966074</v>
      </c>
      <c r="CB295" s="5">
        <f t="shared" si="867"/>
        <v>90.304451468966079</v>
      </c>
      <c r="CC295">
        <f t="shared" si="868"/>
        <v>79</v>
      </c>
      <c r="CE295" s="562">
        <f t="shared" si="809"/>
        <v>-50</v>
      </c>
      <c r="CG295" s="173">
        <f t="shared" si="810"/>
        <v>0.84409136047666333</v>
      </c>
      <c r="CH295" s="173">
        <f t="shared" si="811"/>
        <v>0.1020398968288061</v>
      </c>
      <c r="CI295" s="170">
        <v>79</v>
      </c>
      <c r="CJ295" s="217">
        <f t="shared" si="869"/>
        <v>7.9</v>
      </c>
      <c r="CK295" s="217">
        <f t="shared" si="812"/>
        <v>0.19750000000000001</v>
      </c>
      <c r="CL295" s="217">
        <f t="shared" si="813"/>
        <v>118.5</v>
      </c>
      <c r="CM295" s="217">
        <f t="shared" si="814"/>
        <v>1.58</v>
      </c>
      <c r="CN295" s="541">
        <f t="shared" si="815"/>
        <v>85</v>
      </c>
      <c r="CO295" s="443">
        <f t="shared" si="816"/>
        <v>15.7</v>
      </c>
      <c r="CP295" s="443">
        <f t="shared" si="817"/>
        <v>100.7</v>
      </c>
      <c r="CQ295" s="443"/>
      <c r="CR295" s="217">
        <f t="shared" si="818"/>
        <v>0.15338645418326693</v>
      </c>
      <c r="CS295" s="172">
        <f t="shared" si="819"/>
        <v>321.65744915076539</v>
      </c>
      <c r="CT295" s="172">
        <f t="shared" si="820"/>
        <v>4.3459495351925632</v>
      </c>
      <c r="CU295" s="217">
        <f t="shared" si="821"/>
        <v>21.443829943384358</v>
      </c>
      <c r="CV295" s="217">
        <f t="shared" si="822"/>
        <v>40.207181143845673</v>
      </c>
      <c r="CW295" s="217">
        <f t="shared" si="823"/>
        <v>15</v>
      </c>
      <c r="CX295" s="217">
        <f t="shared" si="824"/>
        <v>18.420216959511077</v>
      </c>
      <c r="CY295" s="217">
        <f t="shared" si="825"/>
        <v>2.6005012178133282</v>
      </c>
      <c r="CZ295" s="217">
        <f t="shared" si="826"/>
        <v>14.07914672064541</v>
      </c>
      <c r="DA295" s="197">
        <f t="shared" si="827"/>
        <v>110.43528632903013</v>
      </c>
      <c r="DB295" s="443">
        <f t="shared" si="828"/>
        <v>59.953303792118511</v>
      </c>
      <c r="DD295" s="217">
        <f t="shared" si="829"/>
        <v>9.9999999999999982</v>
      </c>
      <c r="DE295" s="173">
        <f t="shared" si="830"/>
        <v>7.6433121019108263</v>
      </c>
      <c r="DF295" s="173">
        <f t="shared" si="831"/>
        <v>4.1649244760361679</v>
      </c>
      <c r="DG295" s="173"/>
      <c r="DH295" s="173">
        <f t="shared" si="832"/>
        <v>7.6433121019108281</v>
      </c>
      <c r="DI295" s="545">
        <f t="shared" si="833"/>
        <v>206.7166666666667</v>
      </c>
      <c r="DJ295" s="528">
        <f t="shared" si="834"/>
        <v>4.2204568023833167</v>
      </c>
      <c r="DL295" s="173">
        <f t="shared" si="835"/>
        <v>7.5618088035173425</v>
      </c>
      <c r="DM295" s="173">
        <f t="shared" si="836"/>
        <v>18.420216959511077</v>
      </c>
      <c r="DN295" s="173">
        <f t="shared" si="837"/>
        <v>7.4371977477859827</v>
      </c>
      <c r="DP295" s="545">
        <f t="shared" si="838"/>
        <v>7900</v>
      </c>
      <c r="DQ295" s="460">
        <f t="shared" si="839"/>
        <v>59.953303792118511</v>
      </c>
      <c r="DS295">
        <f t="shared" si="840"/>
        <v>7900</v>
      </c>
      <c r="DT295">
        <f t="shared" si="841"/>
        <v>59.953303792118511</v>
      </c>
      <c r="DV295" s="5">
        <f t="shared" si="870"/>
        <v>16.679647938458739</v>
      </c>
      <c r="DW295" s="5">
        <f t="shared" si="842"/>
        <v>2.6005012178133282</v>
      </c>
      <c r="DX295" s="5">
        <f t="shared" si="843"/>
        <v>14.079146720645412</v>
      </c>
      <c r="DY295" s="173">
        <f t="shared" si="844"/>
        <v>0.15590863952333661</v>
      </c>
      <c r="EA295" s="5">
        <f t="shared" si="871"/>
        <v>136.95973080483529</v>
      </c>
      <c r="EB295" s="5">
        <f t="shared" si="872"/>
        <v>6.4199873814766537</v>
      </c>
      <c r="EC295" s="5">
        <f t="shared" si="873"/>
        <v>6.7682713444076317</v>
      </c>
      <c r="ED295" s="5"/>
      <c r="EE295" s="173">
        <f t="shared" si="874"/>
        <v>4.199225574288203</v>
      </c>
      <c r="EF295" s="173">
        <f t="shared" si="875"/>
        <v>9.7707711494400691</v>
      </c>
      <c r="EG295" s="173">
        <f t="shared" si="876"/>
        <v>0.24062918752346527</v>
      </c>
      <c r="EH295" s="173"/>
      <c r="EI295" s="528">
        <f t="shared" si="877"/>
        <v>0.35266990847512175</v>
      </c>
      <c r="EJ295" s="528">
        <f t="shared" si="878"/>
        <v>2.2241666666666666</v>
      </c>
      <c r="EK295" s="528">
        <f t="shared" si="879"/>
        <v>7.4941629740148136E-3</v>
      </c>
      <c r="EL295" s="528">
        <f t="shared" si="880"/>
        <v>6.079558775709399E-2</v>
      </c>
      <c r="EM295">
        <f t="shared" si="881"/>
        <v>3.8249999999999999E-2</v>
      </c>
      <c r="EN295" s="460">
        <f t="shared" si="882"/>
        <v>45.744162974014813</v>
      </c>
      <c r="EP295" s="460">
        <f t="shared" si="883"/>
        <v>2683.3763258728973</v>
      </c>
      <c r="EQ295" s="173">
        <f t="shared" si="884"/>
        <v>5.53</v>
      </c>
      <c r="ER295" s="173">
        <f t="shared" si="845"/>
        <v>8.7640625E-2</v>
      </c>
      <c r="ES295" s="528"/>
      <c r="EU295" s="460">
        <f t="shared" si="885"/>
        <v>5617.640625</v>
      </c>
      <c r="EV295" s="528">
        <f t="shared" si="886"/>
        <v>0.52900486271268266</v>
      </c>
      <c r="EW295" s="528">
        <f t="shared" si="887"/>
        <v>2.8640390656419124</v>
      </c>
      <c r="EX295" s="528">
        <f t="shared" si="888"/>
        <v>2.8951202944101507E-4</v>
      </c>
      <c r="EY295" s="528">
        <f t="shared" si="889"/>
        <v>2.0264675705467909</v>
      </c>
      <c r="EZ295" s="528"/>
      <c r="FA295" s="625">
        <f t="shared" si="890"/>
        <v>2.0342419341664628E-2</v>
      </c>
      <c r="FB295" s="460">
        <f t="shared" si="891"/>
        <v>5440.143430272492</v>
      </c>
      <c r="FC295" s="173">
        <f t="shared" si="892"/>
        <v>13.74116038114539</v>
      </c>
      <c r="FD295" s="5">
        <f t="shared" si="893"/>
        <v>120.08</v>
      </c>
      <c r="FE295" s="173">
        <f t="shared" si="894"/>
        <v>0.89731698378635916</v>
      </c>
      <c r="FF295" s="5">
        <f t="shared" si="895"/>
        <v>89.731698378635912</v>
      </c>
      <c r="FG295">
        <f t="shared" si="896"/>
        <v>79</v>
      </c>
      <c r="FI295" s="562">
        <f t="shared" si="846"/>
        <v>-50</v>
      </c>
    </row>
    <row r="296" spans="5:165">
      <c r="E296" s="170">
        <v>80</v>
      </c>
      <c r="F296" s="217">
        <f t="shared" si="847"/>
        <v>8</v>
      </c>
      <c r="G296" s="217">
        <f t="shared" si="775"/>
        <v>0.2</v>
      </c>
      <c r="H296" s="217">
        <f t="shared" si="776"/>
        <v>120</v>
      </c>
      <c r="I296" s="217">
        <f t="shared" si="777"/>
        <v>1.6</v>
      </c>
      <c r="J296" s="541">
        <f t="shared" si="778"/>
        <v>84.473059844110068</v>
      </c>
      <c r="K296" s="443">
        <f t="shared" si="779"/>
        <v>15.984329411764705</v>
      </c>
      <c r="L296" s="172">
        <f t="shared" si="780"/>
        <v>100.45738925587477</v>
      </c>
      <c r="M296" s="443"/>
      <c r="N296" s="217">
        <f t="shared" si="781"/>
        <v>0.15911551683919495</v>
      </c>
      <c r="O296" s="172">
        <f t="shared" si="782"/>
        <v>331.60299118627836</v>
      </c>
      <c r="P296" s="172">
        <f t="shared" si="783"/>
        <v>4.4803248586946065</v>
      </c>
      <c r="Q296" s="217">
        <f t="shared" si="784"/>
        <v>22.106866079085226</v>
      </c>
      <c r="R296" s="217">
        <f t="shared" si="785"/>
        <v>41.450373898284795</v>
      </c>
      <c r="S296" s="217">
        <f t="shared" si="786"/>
        <v>15</v>
      </c>
      <c r="T296" s="217">
        <f t="shared" si="787"/>
        <v>18.093926048542464</v>
      </c>
      <c r="U296" s="217">
        <f t="shared" si="788"/>
        <v>2.570371109833177</v>
      </c>
      <c r="V296" s="217">
        <f t="shared" si="789"/>
        <v>13.583748619613706</v>
      </c>
      <c r="W296" s="197">
        <f t="shared" si="790"/>
        <v>112.00812146736517</v>
      </c>
      <c r="X296" s="443">
        <f t="shared" si="848"/>
        <v>61.146672309083144</v>
      </c>
      <c r="Z296" s="217">
        <f t="shared" si="791"/>
        <v>9.9999999999999982</v>
      </c>
      <c r="AA296" s="173">
        <f t="shared" si="792"/>
        <v>7.5073527896439742</v>
      </c>
      <c r="AB296" s="173">
        <f t="shared" si="793"/>
        <v>4.1491010682276555</v>
      </c>
      <c r="AC296" s="173"/>
      <c r="AD296" s="173">
        <f t="shared" si="794"/>
        <v>7.5073527896439751</v>
      </c>
      <c r="AE296" s="545">
        <f t="shared" si="795"/>
        <v>213.12439215686271</v>
      </c>
      <c r="AF296" s="528">
        <f t="shared" si="796"/>
        <v>4.204422415804026</v>
      </c>
      <c r="AH296" s="173">
        <f t="shared" si="797"/>
        <v>7.6095178496907341</v>
      </c>
      <c r="AI296" s="173">
        <f t="shared" si="798"/>
        <v>18.093926048542464</v>
      </c>
      <c r="AJ296" s="173">
        <f t="shared" si="799"/>
        <v>7.1955007766981218</v>
      </c>
      <c r="AL296" s="545">
        <f t="shared" si="800"/>
        <v>8000</v>
      </c>
      <c r="AM296" s="460">
        <f t="shared" si="801"/>
        <v>61.146672309083144</v>
      </c>
      <c r="AO296">
        <f t="shared" si="802"/>
        <v>8000</v>
      </c>
      <c r="AP296">
        <f t="shared" si="803"/>
        <v>61.146672309083144</v>
      </c>
      <c r="AR296" s="5">
        <f t="shared" si="774"/>
        <v>16.354119729446882</v>
      </c>
      <c r="AS296" s="5">
        <f t="shared" si="739"/>
        <v>2.570371109833177</v>
      </c>
      <c r="AT296" s="5">
        <f t="shared" si="740"/>
        <v>13.783748619613705</v>
      </c>
      <c r="AU296" s="173">
        <f t="shared" si="741"/>
        <v>0.15716963996570363</v>
      </c>
      <c r="BA296" s="173">
        <f t="shared" si="849"/>
        <v>4.1414890056579923</v>
      </c>
      <c r="BB296" s="173">
        <f t="shared" si="850"/>
        <v>9.5905225144091322</v>
      </c>
      <c r="BC296" s="173">
        <f t="shared" si="851"/>
        <v>0.23619012309995829</v>
      </c>
      <c r="BD296" s="173"/>
      <c r="BE296" s="528">
        <f t="shared" si="852"/>
        <v>0.34303862367972054</v>
      </c>
      <c r="BF296" s="528">
        <f t="shared" si="804"/>
        <v>2.0839572103572777</v>
      </c>
      <c r="BG296" s="528">
        <f t="shared" si="805"/>
        <v>0.12913116273083419</v>
      </c>
      <c r="BH296" s="528">
        <f t="shared" si="853"/>
        <v>6.1707308146555062E-2</v>
      </c>
      <c r="BI296">
        <f t="shared" si="854"/>
        <v>3.8012876929849532E-2</v>
      </c>
      <c r="BJ296" s="460">
        <f t="shared" si="855"/>
        <v>167.14403966068372</v>
      </c>
      <c r="BK296">
        <f t="shared" si="806"/>
        <v>2.8103869006217583</v>
      </c>
      <c r="BL296" s="460">
        <f t="shared" si="856"/>
        <v>2655.8471818442372</v>
      </c>
      <c r="BM296" s="173">
        <f t="shared" si="807"/>
        <v>4.97</v>
      </c>
      <c r="BN296" s="173">
        <f t="shared" si="808"/>
        <v>8.8749999999999996E-2</v>
      </c>
      <c r="BQ296" s="460">
        <f t="shared" si="857"/>
        <v>5058.75</v>
      </c>
      <c r="BR296" s="528">
        <f t="shared" si="858"/>
        <v>0.51455793551958073</v>
      </c>
      <c r="BS296" s="528">
        <f t="shared" si="859"/>
        <v>2.7593436629816535</v>
      </c>
      <c r="BT296" s="528">
        <f t="shared" si="860"/>
        <v>2.7892887124986729E-4</v>
      </c>
      <c r="BU296" s="528">
        <f t="shared" si="861"/>
        <v>2.0357952630095379</v>
      </c>
      <c r="BV296" s="528"/>
      <c r="BW296" s="625">
        <f t="shared" si="862"/>
        <v>2.0018818821573851E-2</v>
      </c>
      <c r="BX296" s="460">
        <f t="shared" si="863"/>
        <v>5329.9946092035962</v>
      </c>
      <c r="BY296" s="173">
        <f t="shared" si="864"/>
        <v>13.044591791047832</v>
      </c>
      <c r="BZ296" s="5">
        <f t="shared" si="865"/>
        <v>121.6</v>
      </c>
      <c r="CA296" s="173">
        <f t="shared" si="866"/>
        <v>0.90311833830436017</v>
      </c>
      <c r="CB296" s="5">
        <f t="shared" si="867"/>
        <v>90.311833830436015</v>
      </c>
      <c r="CC296">
        <f t="shared" si="868"/>
        <v>80</v>
      </c>
      <c r="CE296" s="562">
        <f t="shared" si="809"/>
        <v>-50</v>
      </c>
      <c r="CG296" s="173">
        <f t="shared" si="810"/>
        <v>0.84409136047666333</v>
      </c>
      <c r="CH296" s="173">
        <f t="shared" si="811"/>
        <v>0.10203989682880611</v>
      </c>
      <c r="CI296" s="170">
        <v>80</v>
      </c>
      <c r="CJ296" s="217">
        <f t="shared" si="869"/>
        <v>8</v>
      </c>
      <c r="CK296" s="217">
        <f t="shared" si="812"/>
        <v>0.2</v>
      </c>
      <c r="CL296" s="217">
        <f t="shared" si="813"/>
        <v>120</v>
      </c>
      <c r="CM296" s="217">
        <f t="shared" si="814"/>
        <v>1.6</v>
      </c>
      <c r="CN296" s="541">
        <f t="shared" si="815"/>
        <v>85</v>
      </c>
      <c r="CO296" s="443">
        <f t="shared" si="816"/>
        <v>15.7</v>
      </c>
      <c r="CP296" s="443">
        <f t="shared" si="817"/>
        <v>100.7</v>
      </c>
      <c r="CQ296" s="443"/>
      <c r="CR296" s="217">
        <f t="shared" si="818"/>
        <v>0.15338645418326693</v>
      </c>
      <c r="CS296" s="172">
        <f t="shared" si="819"/>
        <v>321.65744915076539</v>
      </c>
      <c r="CT296" s="172">
        <f t="shared" si="820"/>
        <v>4.3459495351925632</v>
      </c>
      <c r="CU296" s="217">
        <f t="shared" si="821"/>
        <v>21.443829943384358</v>
      </c>
      <c r="CV296" s="217">
        <f t="shared" si="822"/>
        <v>40.207181143845673</v>
      </c>
      <c r="CW296" s="217">
        <f t="shared" si="823"/>
        <v>15</v>
      </c>
      <c r="CX296" s="217">
        <f t="shared" si="824"/>
        <v>18.653384262796028</v>
      </c>
      <c r="CY296" s="217">
        <f t="shared" si="825"/>
        <v>2.6334189547476741</v>
      </c>
      <c r="CZ296" s="217">
        <f t="shared" si="826"/>
        <v>14.257363767742186</v>
      </c>
      <c r="DA296" s="197">
        <f t="shared" si="827"/>
        <v>110.43528632903013</v>
      </c>
      <c r="DB296" s="443">
        <f t="shared" si="828"/>
        <v>59.203887494717037</v>
      </c>
      <c r="DD296" s="217">
        <f t="shared" si="829"/>
        <v>9.9999999999999982</v>
      </c>
      <c r="DE296" s="173">
        <f t="shared" si="830"/>
        <v>7.6433121019108263</v>
      </c>
      <c r="DF296" s="173">
        <f t="shared" si="831"/>
        <v>4.1649244760361679</v>
      </c>
      <c r="DG296" s="173"/>
      <c r="DH296" s="173">
        <f t="shared" si="832"/>
        <v>7.6433121019108281</v>
      </c>
      <c r="DI296" s="545">
        <f t="shared" si="833"/>
        <v>209.33333333333334</v>
      </c>
      <c r="DJ296" s="528">
        <f t="shared" si="834"/>
        <v>4.2204568023833167</v>
      </c>
      <c r="DL296" s="173">
        <f t="shared" si="835"/>
        <v>7.6095178496907341</v>
      </c>
      <c r="DM296" s="173">
        <f t="shared" si="836"/>
        <v>18.653384262796028</v>
      </c>
      <c r="DN296" s="173">
        <f t="shared" si="837"/>
        <v>7.6099142687377981</v>
      </c>
      <c r="DP296" s="545">
        <f t="shared" si="838"/>
        <v>8000</v>
      </c>
      <c r="DQ296" s="460">
        <f t="shared" si="839"/>
        <v>59.203887494717037</v>
      </c>
      <c r="DS296">
        <f t="shared" si="840"/>
        <v>8000</v>
      </c>
      <c r="DT296">
        <f t="shared" si="841"/>
        <v>59.203887494717037</v>
      </c>
      <c r="DV296" s="5">
        <f t="shared" si="870"/>
        <v>16.89078272248986</v>
      </c>
      <c r="DW296" s="5">
        <f t="shared" si="842"/>
        <v>2.6334189547476741</v>
      </c>
      <c r="DX296" s="5">
        <f t="shared" si="843"/>
        <v>14.257363767742186</v>
      </c>
      <c r="DY296" s="173">
        <f t="shared" si="844"/>
        <v>0.15590863952333664</v>
      </c>
      <c r="EA296" s="5">
        <f t="shared" si="871"/>
        <v>140.44901091987595</v>
      </c>
      <c r="EB296" s="5">
        <f t="shared" si="872"/>
        <v>6.5835473868691867</v>
      </c>
      <c r="EC296" s="5">
        <f t="shared" si="873"/>
        <v>6.9407044711118147</v>
      </c>
      <c r="ED296" s="5"/>
      <c r="EE296" s="173">
        <f t="shared" si="874"/>
        <v>4.2523803283931167</v>
      </c>
      <c r="EF296" s="173">
        <f t="shared" si="875"/>
        <v>9.8944517969013361</v>
      </c>
      <c r="EG296" s="173">
        <f t="shared" si="876"/>
        <v>0.24367512660604079</v>
      </c>
      <c r="EH296" s="173"/>
      <c r="EI296" s="528">
        <f t="shared" si="877"/>
        <v>0.36165476914609507</v>
      </c>
      <c r="EJ296" s="528">
        <f t="shared" si="878"/>
        <v>2.2241666666666671</v>
      </c>
      <c r="EK296" s="528">
        <f t="shared" si="879"/>
        <v>7.4004859368396294E-3</v>
      </c>
      <c r="EL296" s="528">
        <f t="shared" si="880"/>
        <v>6.0035642910130319E-2</v>
      </c>
      <c r="EM296">
        <f t="shared" si="881"/>
        <v>3.8249999999999999E-2</v>
      </c>
      <c r="EN296" s="460">
        <f t="shared" si="882"/>
        <v>45.65048593683963</v>
      </c>
      <c r="EP296" s="460">
        <f t="shared" si="883"/>
        <v>2691.5075646597325</v>
      </c>
      <c r="EQ296" s="173">
        <f t="shared" si="884"/>
        <v>5.6</v>
      </c>
      <c r="ER296" s="173">
        <f t="shared" si="845"/>
        <v>8.8749999999999996E-2</v>
      </c>
      <c r="ES296" s="528"/>
      <c r="EU296" s="460">
        <f t="shared" si="885"/>
        <v>5688.75</v>
      </c>
      <c r="EV296" s="528">
        <f t="shared" si="886"/>
        <v>0.54248215371914255</v>
      </c>
      <c r="EW296" s="528">
        <f t="shared" si="887"/>
        <v>2.9370052908361219</v>
      </c>
      <c r="EX296" s="528">
        <f t="shared" si="888"/>
        <v>2.9688783663235006E-4</v>
      </c>
      <c r="EY296" s="528">
        <f t="shared" si="889"/>
        <v>2.0264675705467909</v>
      </c>
      <c r="EZ296" s="528"/>
      <c r="FA296" s="625">
        <f t="shared" si="890"/>
        <v>2.0599918320673042E-2</v>
      </c>
      <c r="FB296" s="460">
        <f t="shared" si="891"/>
        <v>5526.8518212593608</v>
      </c>
      <c r="FC296" s="173">
        <f t="shared" si="892"/>
        <v>13.907109385919092</v>
      </c>
      <c r="FD296" s="5">
        <f t="shared" si="893"/>
        <v>121.6</v>
      </c>
      <c r="FE296" s="173">
        <f t="shared" si="894"/>
        <v>0.89736989115226296</v>
      </c>
      <c r="FF296" s="5">
        <f t="shared" si="895"/>
        <v>89.736989115226294</v>
      </c>
      <c r="FG296">
        <f t="shared" si="896"/>
        <v>80</v>
      </c>
      <c r="FI296" s="562">
        <f t="shared" si="846"/>
        <v>-50</v>
      </c>
    </row>
    <row r="297" spans="5:165">
      <c r="E297" s="170">
        <v>81</v>
      </c>
      <c r="F297" s="217">
        <f t="shared" si="847"/>
        <v>8.1000000000000014</v>
      </c>
      <c r="G297" s="217">
        <f t="shared" si="775"/>
        <v>0.20250000000000001</v>
      </c>
      <c r="H297" s="217">
        <f t="shared" si="776"/>
        <v>121.50000000000003</v>
      </c>
      <c r="I297" s="217">
        <f t="shared" si="777"/>
        <v>1.62</v>
      </c>
      <c r="J297" s="541">
        <f t="shared" si="778"/>
        <v>84.466473092161451</v>
      </c>
      <c r="K297" s="443">
        <f t="shared" si="779"/>
        <v>15.987883529411764</v>
      </c>
      <c r="L297" s="172">
        <f t="shared" si="780"/>
        <v>100.45435662157321</v>
      </c>
      <c r="M297" s="443"/>
      <c r="N297" s="217">
        <f t="shared" si="781"/>
        <v>0.15915570082879077</v>
      </c>
      <c r="O297" s="172">
        <f t="shared" si="782"/>
        <v>331.6608730637949</v>
      </c>
      <c r="P297" s="172">
        <f t="shared" si="783"/>
        <v>4.4811069071730509</v>
      </c>
      <c r="Q297" s="217">
        <f t="shared" si="784"/>
        <v>22.110724870919661</v>
      </c>
      <c r="R297" s="217">
        <f t="shared" si="785"/>
        <v>41.457609132974362</v>
      </c>
      <c r="S297" s="217">
        <f t="shared" si="786"/>
        <v>15</v>
      </c>
      <c r="T297" s="217">
        <f t="shared" si="787"/>
        <v>18.316902876968175</v>
      </c>
      <c r="U297" s="217">
        <f t="shared" si="788"/>
        <v>2.6022494662916849</v>
      </c>
      <c r="V297" s="217">
        <f t="shared" si="789"/>
        <v>13.74808830194832</v>
      </c>
      <c r="W297" s="197">
        <f t="shared" si="790"/>
        <v>112.02767267932627</v>
      </c>
      <c r="X297" s="443">
        <f t="shared" si="848"/>
        <v>60.421727580629437</v>
      </c>
      <c r="Z297" s="217">
        <f t="shared" si="791"/>
        <v>10</v>
      </c>
      <c r="AA297" s="173">
        <f t="shared" si="792"/>
        <v>7.5056838998885995</v>
      </c>
      <c r="AB297" s="173">
        <f t="shared" si="793"/>
        <v>4.1489027919632031</v>
      </c>
      <c r="AC297" s="173"/>
      <c r="AD297" s="173">
        <f t="shared" si="794"/>
        <v>7.5056838998885995</v>
      </c>
      <c r="AE297" s="545">
        <f t="shared" si="795"/>
        <v>215.83642764705885</v>
      </c>
      <c r="AF297" s="528">
        <f t="shared" si="796"/>
        <v>4.2042214958560455</v>
      </c>
      <c r="AH297" s="173">
        <f t="shared" si="797"/>
        <v>7.6569296345579305</v>
      </c>
      <c r="AI297" s="173">
        <f t="shared" si="798"/>
        <v>18.316902876968175</v>
      </c>
      <c r="AJ297" s="173">
        <f t="shared" si="799"/>
        <v>7.3606687977542045</v>
      </c>
      <c r="AL297" s="545">
        <f t="shared" si="800"/>
        <v>8100.0000000000018</v>
      </c>
      <c r="AM297" s="460">
        <f t="shared" si="801"/>
        <v>60.421727580629437</v>
      </c>
      <c r="AO297">
        <f t="shared" si="802"/>
        <v>8100.0000000000018</v>
      </c>
      <c r="AP297">
        <f t="shared" si="803"/>
        <v>60.421727580629437</v>
      </c>
      <c r="AR297" s="5">
        <f t="shared" si="774"/>
        <v>16.550337768240002</v>
      </c>
      <c r="AS297" s="5">
        <f t="shared" si="739"/>
        <v>2.6022494662916849</v>
      </c>
      <c r="AT297" s="5">
        <f t="shared" si="740"/>
        <v>13.948088301948317</v>
      </c>
      <c r="AU297" s="173">
        <f t="shared" si="741"/>
        <v>0.15723240834911453</v>
      </c>
      <c r="BA297" s="173">
        <f t="shared" si="849"/>
        <v>4.1933629004432165</v>
      </c>
      <c r="BB297" s="173">
        <f t="shared" si="850"/>
        <v>9.7083478470823295</v>
      </c>
      <c r="BC297" s="173">
        <f t="shared" si="851"/>
        <v>0.23909186070461583</v>
      </c>
      <c r="BD297" s="173"/>
      <c r="BE297" s="528">
        <f t="shared" si="852"/>
        <v>0.35168584829627092</v>
      </c>
      <c r="BF297" s="528">
        <f t="shared" si="804"/>
        <v>2.0845639824380062</v>
      </c>
      <c r="BG297" s="528">
        <f t="shared" si="805"/>
        <v>0.12759025567177865</v>
      </c>
      <c r="BH297" s="528">
        <f t="shared" si="853"/>
        <v>6.0972035166671497E-2</v>
      </c>
      <c r="BI297">
        <f t="shared" si="854"/>
        <v>3.8009912891472653E-2</v>
      </c>
      <c r="BJ297" s="460">
        <f t="shared" si="855"/>
        <v>165.60016856325129</v>
      </c>
      <c r="BK297">
        <f t="shared" si="806"/>
        <v>2.8285306424892984</v>
      </c>
      <c r="BL297" s="460">
        <f t="shared" si="856"/>
        <v>2662.8220344641995</v>
      </c>
      <c r="BM297" s="173">
        <f t="shared" si="807"/>
        <v>5.0321250000000006</v>
      </c>
      <c r="BN297" s="173">
        <f t="shared" si="808"/>
        <v>8.9859375000000005E-2</v>
      </c>
      <c r="BQ297" s="460">
        <f t="shared" si="857"/>
        <v>5121.984375</v>
      </c>
      <c r="BR297" s="528">
        <f t="shared" si="858"/>
        <v>0.52752877244440644</v>
      </c>
      <c r="BS297" s="528">
        <f t="shared" si="859"/>
        <v>2.8275605375984432</v>
      </c>
      <c r="BT297" s="528">
        <f t="shared" si="860"/>
        <v>2.8582458927597709E-4</v>
      </c>
      <c r="BU297" s="528">
        <f t="shared" si="861"/>
        <v>2.0374312221391193</v>
      </c>
      <c r="BV297" s="528"/>
      <c r="BW297" s="625">
        <f t="shared" si="862"/>
        <v>2.0272029230009106E-2</v>
      </c>
      <c r="BX297" s="460">
        <f t="shared" si="863"/>
        <v>5413.0783860012534</v>
      </c>
      <c r="BY297" s="173">
        <f t="shared" si="864"/>
        <v>13.197884795465454</v>
      </c>
      <c r="BZ297" s="5">
        <f t="shared" si="865"/>
        <v>123.12000000000003</v>
      </c>
      <c r="CA297" s="173">
        <f t="shared" si="866"/>
        <v>0.90318302829252473</v>
      </c>
      <c r="CB297" s="5">
        <f t="shared" si="867"/>
        <v>90.318302829252474</v>
      </c>
      <c r="CC297">
        <f t="shared" si="868"/>
        <v>81.000000000000014</v>
      </c>
      <c r="CE297" s="562">
        <f t="shared" si="809"/>
        <v>-50</v>
      </c>
      <c r="CG297" s="173">
        <f t="shared" si="810"/>
        <v>0.84409136047666333</v>
      </c>
      <c r="CH297" s="173">
        <f t="shared" si="811"/>
        <v>0.10203989682880608</v>
      </c>
      <c r="CI297" s="170">
        <v>81</v>
      </c>
      <c r="CJ297" s="217">
        <f t="shared" si="869"/>
        <v>8.1000000000000014</v>
      </c>
      <c r="CK297" s="217">
        <f t="shared" si="812"/>
        <v>0.20250000000000001</v>
      </c>
      <c r="CL297" s="217">
        <f t="shared" si="813"/>
        <v>121.50000000000003</v>
      </c>
      <c r="CM297" s="217">
        <f t="shared" si="814"/>
        <v>1.62</v>
      </c>
      <c r="CN297" s="541">
        <f t="shared" si="815"/>
        <v>85</v>
      </c>
      <c r="CO297" s="443">
        <f t="shared" si="816"/>
        <v>15.7</v>
      </c>
      <c r="CP297" s="443">
        <f t="shared" si="817"/>
        <v>100.7</v>
      </c>
      <c r="CQ297" s="443"/>
      <c r="CR297" s="217">
        <f t="shared" si="818"/>
        <v>0.15338645418326693</v>
      </c>
      <c r="CS297" s="172">
        <f t="shared" si="819"/>
        <v>321.65744915076539</v>
      </c>
      <c r="CT297" s="172">
        <f t="shared" si="820"/>
        <v>4.3459495351925632</v>
      </c>
      <c r="CU297" s="217">
        <f t="shared" si="821"/>
        <v>21.443829943384358</v>
      </c>
      <c r="CV297" s="217">
        <f t="shared" si="822"/>
        <v>40.207181143845673</v>
      </c>
      <c r="CW297" s="217">
        <f t="shared" si="823"/>
        <v>15</v>
      </c>
      <c r="CX297" s="217">
        <f t="shared" si="824"/>
        <v>18.886551566080982</v>
      </c>
      <c r="CY297" s="217">
        <f t="shared" si="825"/>
        <v>2.6663366916820213</v>
      </c>
      <c r="CZ297" s="217">
        <f t="shared" si="826"/>
        <v>14.435580814838968</v>
      </c>
      <c r="DA297" s="197">
        <f t="shared" si="827"/>
        <v>110.43528632903013</v>
      </c>
      <c r="DB297" s="443">
        <f t="shared" si="828"/>
        <v>58.472975303424207</v>
      </c>
      <c r="DD297" s="217">
        <f t="shared" si="829"/>
        <v>9.9999999999999982</v>
      </c>
      <c r="DE297" s="173">
        <f t="shared" si="830"/>
        <v>7.6433121019108263</v>
      </c>
      <c r="DF297" s="173">
        <f t="shared" si="831"/>
        <v>4.1649244760361679</v>
      </c>
      <c r="DG297" s="173"/>
      <c r="DH297" s="173">
        <f t="shared" si="832"/>
        <v>7.6433121019108281</v>
      </c>
      <c r="DI297" s="545">
        <f t="shared" si="833"/>
        <v>211.95000000000005</v>
      </c>
      <c r="DJ297" s="528">
        <f t="shared" si="834"/>
        <v>4.2204568023833167</v>
      </c>
      <c r="DL297" s="173">
        <f t="shared" si="835"/>
        <v>7.6569296345579305</v>
      </c>
      <c r="DM297" s="173">
        <f t="shared" si="836"/>
        <v>18.886551566080982</v>
      </c>
      <c r="DN297" s="173">
        <f t="shared" si="837"/>
        <v>7.7826307896896161</v>
      </c>
      <c r="DP297" s="545">
        <f t="shared" si="838"/>
        <v>8100.0000000000018</v>
      </c>
      <c r="DQ297" s="460">
        <f t="shared" si="839"/>
        <v>58.472975303424207</v>
      </c>
      <c r="DS297">
        <f t="shared" si="840"/>
        <v>8100.0000000000018</v>
      </c>
      <c r="DT297">
        <f t="shared" si="841"/>
        <v>58.472975303424207</v>
      </c>
      <c r="DV297" s="5">
        <f t="shared" si="870"/>
        <v>17.101917506520991</v>
      </c>
      <c r="DW297" s="5">
        <f t="shared" si="842"/>
        <v>2.6663366916820213</v>
      </c>
      <c r="DX297" s="5">
        <f t="shared" si="843"/>
        <v>14.435580814838969</v>
      </c>
      <c r="DY297" s="173">
        <f t="shared" si="844"/>
        <v>0.15590863952333664</v>
      </c>
      <c r="EA297" s="5">
        <f t="shared" si="871"/>
        <v>143.98218135082919</v>
      </c>
      <c r="EB297" s="5">
        <f t="shared" si="872"/>
        <v>6.7491647508201167</v>
      </c>
      <c r="EC297" s="5">
        <f t="shared" si="873"/>
        <v>7.1153065679632244</v>
      </c>
      <c r="ED297" s="5"/>
      <c r="EE297" s="173">
        <f t="shared" si="874"/>
        <v>4.3055350824980323</v>
      </c>
      <c r="EF297" s="173">
        <f t="shared" si="875"/>
        <v>10.018132444362605</v>
      </c>
      <c r="EG297" s="173">
        <f t="shared" si="876"/>
        <v>0.24672106568861638</v>
      </c>
      <c r="EH297" s="173"/>
      <c r="EI297" s="528">
        <f t="shared" si="877"/>
        <v>0.37075264693242671</v>
      </c>
      <c r="EJ297" s="528">
        <f t="shared" si="878"/>
        <v>2.2241666666666662</v>
      </c>
      <c r="EK297" s="528">
        <f t="shared" si="879"/>
        <v>7.3091219129280249E-3</v>
      </c>
      <c r="EL297" s="528">
        <f t="shared" si="880"/>
        <v>5.9294462133462018E-2</v>
      </c>
      <c r="EM297">
        <f t="shared" si="881"/>
        <v>3.8249999999999999E-2</v>
      </c>
      <c r="EN297" s="460">
        <f t="shared" si="882"/>
        <v>45.559121912928028</v>
      </c>
      <c r="EP297" s="460">
        <f t="shared" si="883"/>
        <v>2699.7728976454832</v>
      </c>
      <c r="EQ297" s="173">
        <f t="shared" si="884"/>
        <v>5.6700000000000008</v>
      </c>
      <c r="ER297" s="173">
        <f t="shared" si="845"/>
        <v>8.9859375000000005E-2</v>
      </c>
      <c r="ES297" s="528"/>
      <c r="EU297" s="460">
        <f t="shared" si="885"/>
        <v>5759.859375</v>
      </c>
      <c r="EV297" s="528">
        <f t="shared" si="886"/>
        <v>0.55612897039864007</v>
      </c>
      <c r="EW297" s="528">
        <f t="shared" si="887"/>
        <v>3.0108893301837196</v>
      </c>
      <c r="EX297" s="528">
        <f t="shared" si="888"/>
        <v>3.0435642127263281E-4</v>
      </c>
      <c r="EY297" s="528">
        <f t="shared" si="889"/>
        <v>2.0264675705467909</v>
      </c>
      <c r="EZ297" s="528"/>
      <c r="FA297" s="625">
        <f t="shared" si="890"/>
        <v>2.0857417299681453E-2</v>
      </c>
      <c r="FB297" s="460">
        <f t="shared" si="891"/>
        <v>5614.6476448501044</v>
      </c>
      <c r="FC297" s="173">
        <f t="shared" si="892"/>
        <v>14.074279917495589</v>
      </c>
      <c r="FD297" s="5">
        <f t="shared" si="893"/>
        <v>123.12000000000003</v>
      </c>
      <c r="FE297" s="173">
        <f t="shared" si="894"/>
        <v>0.89741350786665863</v>
      </c>
      <c r="FF297" s="5">
        <f t="shared" si="895"/>
        <v>89.741350786665862</v>
      </c>
      <c r="FG297">
        <f t="shared" si="896"/>
        <v>81.000000000000014</v>
      </c>
      <c r="FI297" s="562">
        <f t="shared" si="846"/>
        <v>-50</v>
      </c>
    </row>
    <row r="298" spans="5:165">
      <c r="E298" s="170">
        <v>82</v>
      </c>
      <c r="F298" s="217">
        <f t="shared" si="847"/>
        <v>8.1999999999999993</v>
      </c>
      <c r="G298" s="217">
        <f t="shared" si="775"/>
        <v>0.20499999999999999</v>
      </c>
      <c r="H298" s="217">
        <f t="shared" si="776"/>
        <v>122.99999999999999</v>
      </c>
      <c r="I298" s="217">
        <f t="shared" si="777"/>
        <v>1.64</v>
      </c>
      <c r="J298" s="541">
        <f t="shared" si="778"/>
        <v>84.459886340212833</v>
      </c>
      <c r="K298" s="443">
        <f t="shared" si="779"/>
        <v>15.991437647058822</v>
      </c>
      <c r="L298" s="172">
        <f t="shared" si="780"/>
        <v>100.45132398727165</v>
      </c>
      <c r="M298" s="443"/>
      <c r="N298" s="217">
        <f t="shared" si="781"/>
        <v>0.15919588724470296</v>
      </c>
      <c r="O298" s="172">
        <f t="shared" si="782"/>
        <v>331.71874693709577</v>
      </c>
      <c r="P298" s="172">
        <f t="shared" si="783"/>
        <v>4.4818888475056502</v>
      </c>
      <c r="Q298" s="217">
        <f t="shared" si="784"/>
        <v>22.114583129139717</v>
      </c>
      <c r="R298" s="217">
        <f t="shared" si="785"/>
        <v>41.464843367136972</v>
      </c>
      <c r="S298" s="217">
        <f t="shared" si="786"/>
        <v>15</v>
      </c>
      <c r="T298" s="217">
        <f t="shared" si="787"/>
        <v>18.539802337931267</v>
      </c>
      <c r="U298" s="217">
        <f t="shared" si="788"/>
        <v>2.6341218026154234</v>
      </c>
      <c r="V298" s="217">
        <f t="shared" si="789"/>
        <v>13.912296878204302</v>
      </c>
      <c r="W298" s="197">
        <f t="shared" si="790"/>
        <v>112.04722118764124</v>
      </c>
      <c r="X298" s="443">
        <f t="shared" si="848"/>
        <v>59.714260049244785</v>
      </c>
      <c r="Z298" s="217">
        <f t="shared" si="791"/>
        <v>10</v>
      </c>
      <c r="AA298" s="173">
        <f t="shared" si="792"/>
        <v>7.5040157519590274</v>
      </c>
      <c r="AB298" s="173">
        <f t="shared" si="793"/>
        <v>4.1487045037267958</v>
      </c>
      <c r="AC298" s="173"/>
      <c r="AD298" s="173">
        <f t="shared" si="794"/>
        <v>7.5040157519590274</v>
      </c>
      <c r="AE298" s="545">
        <f t="shared" si="795"/>
        <v>218.54964784313725</v>
      </c>
      <c r="AF298" s="528">
        <f t="shared" si="796"/>
        <v>4.2040205637764858</v>
      </c>
      <c r="AH298" s="173">
        <f t="shared" si="797"/>
        <v>7.7040496462822032</v>
      </c>
      <c r="AI298" s="173">
        <f t="shared" si="798"/>
        <v>18.539802337931267</v>
      </c>
      <c r="AJ298" s="173">
        <f t="shared" si="799"/>
        <v>7.5257795095787161</v>
      </c>
      <c r="AL298" s="545">
        <f t="shared" si="800"/>
        <v>8200</v>
      </c>
      <c r="AM298" s="460">
        <f t="shared" si="801"/>
        <v>59.714260049244785</v>
      </c>
      <c r="AO298">
        <f t="shared" si="802"/>
        <v>8200</v>
      </c>
      <c r="AP298">
        <f t="shared" si="803"/>
        <v>59.714260049244785</v>
      </c>
      <c r="AR298" s="5">
        <f t="shared" si="774"/>
        <v>16.746418680819726</v>
      </c>
      <c r="AS298" s="5">
        <f t="shared" si="739"/>
        <v>2.6341218026154234</v>
      </c>
      <c r="AT298" s="5">
        <f t="shared" si="740"/>
        <v>14.112296878204303</v>
      </c>
      <c r="AU298" s="173">
        <f t="shared" si="741"/>
        <v>0.15729463432276283</v>
      </c>
      <c r="BA298" s="173">
        <f t="shared" si="849"/>
        <v>4.2452319713715188</v>
      </c>
      <c r="BB298" s="173">
        <f t="shared" si="850"/>
        <v>9.8261265216309415</v>
      </c>
      <c r="BC298" s="173">
        <f t="shared" si="851"/>
        <v>0.24199244923859733</v>
      </c>
      <c r="BD298" s="173"/>
      <c r="BE298" s="528">
        <f t="shared" si="852"/>
        <v>0.36043988981509822</v>
      </c>
      <c r="BF298" s="528">
        <f t="shared" si="804"/>
        <v>2.0851633938908867</v>
      </c>
      <c r="BG298" s="528">
        <f t="shared" si="805"/>
        <v>0.12608649041622816</v>
      </c>
      <c r="BH298" s="528">
        <f t="shared" si="853"/>
        <v>6.0254485947809196E-2</v>
      </c>
      <c r="BI298">
        <f t="shared" si="854"/>
        <v>3.8006948853095773E-2</v>
      </c>
      <c r="BJ298" s="460">
        <f t="shared" si="855"/>
        <v>164.09343926932394</v>
      </c>
      <c r="BK298">
        <f t="shared" si="806"/>
        <v>2.8469946346458985</v>
      </c>
      <c r="BL298" s="460">
        <f t="shared" si="856"/>
        <v>2669.951208923118</v>
      </c>
      <c r="BM298" s="173">
        <f t="shared" si="807"/>
        <v>5.0942499999999988</v>
      </c>
      <c r="BN298" s="173">
        <f t="shared" si="808"/>
        <v>9.0968749999999987E-2</v>
      </c>
      <c r="BQ298" s="460">
        <f t="shared" si="857"/>
        <v>5185.2187499999991</v>
      </c>
      <c r="BR298" s="528">
        <f t="shared" si="858"/>
        <v>0.54065983472264723</v>
      </c>
      <c r="BS298" s="528">
        <f t="shared" si="859"/>
        <v>2.8965828725729694</v>
      </c>
      <c r="BT298" s="528">
        <f t="shared" si="860"/>
        <v>2.9280172744247554E-4</v>
      </c>
      <c r="BU298" s="528">
        <f t="shared" si="861"/>
        <v>2.0390500739902135</v>
      </c>
      <c r="BV298" s="528"/>
      <c r="BW298" s="625">
        <f t="shared" si="862"/>
        <v>2.0525240487582065E-2</v>
      </c>
      <c r="BX298" s="460">
        <f t="shared" si="863"/>
        <v>5497.1108235008551</v>
      </c>
      <c r="BY298" s="173">
        <f t="shared" si="864"/>
        <v>13.352280782423971</v>
      </c>
      <c r="BZ298" s="5">
        <f t="shared" si="865"/>
        <v>124.63999999999999</v>
      </c>
      <c r="CA298" s="173">
        <f t="shared" si="866"/>
        <v>0.90323892969435826</v>
      </c>
      <c r="CB298" s="5">
        <f t="shared" si="867"/>
        <v>90.323892969435832</v>
      </c>
      <c r="CC298">
        <f t="shared" si="868"/>
        <v>82</v>
      </c>
      <c r="CE298" s="562">
        <f t="shared" si="809"/>
        <v>-50</v>
      </c>
      <c r="CG298" s="173">
        <f t="shared" si="810"/>
        <v>0.84409136047666333</v>
      </c>
      <c r="CH298" s="173">
        <f t="shared" si="811"/>
        <v>0.1020398968288061</v>
      </c>
      <c r="CI298" s="170">
        <v>82</v>
      </c>
      <c r="CJ298" s="217">
        <f t="shared" si="869"/>
        <v>8.1999999999999993</v>
      </c>
      <c r="CK298" s="217">
        <f t="shared" si="812"/>
        <v>0.20499999999999999</v>
      </c>
      <c r="CL298" s="217">
        <f t="shared" si="813"/>
        <v>122.99999999999999</v>
      </c>
      <c r="CM298" s="217">
        <f t="shared" si="814"/>
        <v>1.64</v>
      </c>
      <c r="CN298" s="541">
        <f t="shared" si="815"/>
        <v>85</v>
      </c>
      <c r="CO298" s="443">
        <f t="shared" si="816"/>
        <v>15.7</v>
      </c>
      <c r="CP298" s="443">
        <f t="shared" si="817"/>
        <v>100.7</v>
      </c>
      <c r="CQ298" s="443"/>
      <c r="CR298" s="217">
        <f t="shared" si="818"/>
        <v>0.15338645418326693</v>
      </c>
      <c r="CS298" s="172">
        <f t="shared" si="819"/>
        <v>321.65744915076539</v>
      </c>
      <c r="CT298" s="172">
        <f t="shared" si="820"/>
        <v>4.3459495351925632</v>
      </c>
      <c r="CU298" s="217">
        <f t="shared" si="821"/>
        <v>21.443829943384358</v>
      </c>
      <c r="CV298" s="217">
        <f t="shared" si="822"/>
        <v>40.207181143845673</v>
      </c>
      <c r="CW298" s="217">
        <f t="shared" si="823"/>
        <v>15</v>
      </c>
      <c r="CX298" s="217">
        <f t="shared" si="824"/>
        <v>19.119718869365926</v>
      </c>
      <c r="CY298" s="217">
        <f t="shared" si="825"/>
        <v>2.6992544286163658</v>
      </c>
      <c r="CZ298" s="217">
        <f t="shared" si="826"/>
        <v>14.61379786193574</v>
      </c>
      <c r="DA298" s="197">
        <f t="shared" si="827"/>
        <v>110.43528632903013</v>
      </c>
      <c r="DB298" s="443">
        <f t="shared" si="828"/>
        <v>57.759890238748326</v>
      </c>
      <c r="DD298" s="217">
        <f t="shared" si="829"/>
        <v>9.9999999999999982</v>
      </c>
      <c r="DE298" s="173">
        <f t="shared" si="830"/>
        <v>7.6433121019108263</v>
      </c>
      <c r="DF298" s="173">
        <f t="shared" si="831"/>
        <v>4.1649244760361679</v>
      </c>
      <c r="DG298" s="173"/>
      <c r="DH298" s="173">
        <f t="shared" si="832"/>
        <v>7.6433121019108281</v>
      </c>
      <c r="DI298" s="545">
        <f t="shared" si="833"/>
        <v>214.56666666666666</v>
      </c>
      <c r="DJ298" s="528">
        <f t="shared" si="834"/>
        <v>4.2204568023833167</v>
      </c>
      <c r="DL298" s="173">
        <f t="shared" si="835"/>
        <v>7.7040496462822032</v>
      </c>
      <c r="DM298" s="173">
        <f t="shared" si="836"/>
        <v>19.119718869365926</v>
      </c>
      <c r="DN298" s="173">
        <f t="shared" si="837"/>
        <v>7.9553473106414261</v>
      </c>
      <c r="DP298" s="545">
        <f t="shared" si="838"/>
        <v>8200</v>
      </c>
      <c r="DQ298" s="460">
        <f t="shared" si="839"/>
        <v>57.759890238748326</v>
      </c>
      <c r="DS298">
        <f t="shared" si="840"/>
        <v>8200</v>
      </c>
      <c r="DT298">
        <f t="shared" si="841"/>
        <v>57.759890238748326</v>
      </c>
      <c r="DV298" s="5">
        <f t="shared" si="870"/>
        <v>17.313052290552104</v>
      </c>
      <c r="DW298" s="5">
        <f t="shared" si="842"/>
        <v>2.6992544286163658</v>
      </c>
      <c r="DX298" s="5">
        <f t="shared" si="843"/>
        <v>14.613797861935739</v>
      </c>
      <c r="DY298" s="173">
        <f t="shared" si="844"/>
        <v>0.15590863952333664</v>
      </c>
      <c r="EA298" s="5">
        <f t="shared" si="871"/>
        <v>147.55924209769466</v>
      </c>
      <c r="EB298" s="5">
        <f t="shared" si="872"/>
        <v>6.9168394733294365</v>
      </c>
      <c r="EC298" s="5">
        <f t="shared" si="873"/>
        <v>7.2920776349618475</v>
      </c>
      <c r="ED298" s="5"/>
      <c r="EE298" s="173">
        <f t="shared" si="874"/>
        <v>4.3586898366029443</v>
      </c>
      <c r="EF298" s="173">
        <f t="shared" si="875"/>
        <v>10.141813091823868</v>
      </c>
      <c r="EG298" s="173">
        <f t="shared" si="876"/>
        <v>0.24976700477119174</v>
      </c>
      <c r="EH298" s="173"/>
      <c r="EI298" s="528">
        <f t="shared" si="877"/>
        <v>0.37996354183411607</v>
      </c>
      <c r="EJ298" s="528">
        <f t="shared" si="878"/>
        <v>2.2241666666666666</v>
      </c>
      <c r="EK298" s="528">
        <f t="shared" si="879"/>
        <v>7.219986279843541E-3</v>
      </c>
      <c r="EL298" s="528">
        <f t="shared" si="880"/>
        <v>5.8571358936712503E-2</v>
      </c>
      <c r="EM298">
        <f t="shared" si="881"/>
        <v>3.8249999999999999E-2</v>
      </c>
      <c r="EN298" s="460">
        <f t="shared" si="882"/>
        <v>45.469986279843539</v>
      </c>
      <c r="EP298" s="460">
        <f t="shared" si="883"/>
        <v>2708.1715537173386</v>
      </c>
      <c r="EQ298" s="173">
        <f t="shared" si="884"/>
        <v>5.7399999999999993</v>
      </c>
      <c r="ER298" s="173">
        <f t="shared" si="845"/>
        <v>9.0968749999999987E-2</v>
      </c>
      <c r="ES298" s="528"/>
      <c r="EU298" s="460">
        <f t="shared" si="885"/>
        <v>5830.9687499999991</v>
      </c>
      <c r="EV298" s="528">
        <f t="shared" si="886"/>
        <v>0.56994531275117399</v>
      </c>
      <c r="EW298" s="528">
        <f t="shared" si="887"/>
        <v>3.0856911836847001</v>
      </c>
      <c r="EX298" s="528">
        <f t="shared" si="888"/>
        <v>3.1191778336186262E-4</v>
      </c>
      <c r="EY298" s="528">
        <f t="shared" si="889"/>
        <v>2.0264675705467892</v>
      </c>
      <c r="EZ298" s="528"/>
      <c r="FA298" s="625">
        <f t="shared" si="890"/>
        <v>2.111491627868986E-2</v>
      </c>
      <c r="FB298" s="460">
        <f t="shared" si="891"/>
        <v>5703.5309010447154</v>
      </c>
      <c r="FC298" s="173">
        <f t="shared" si="892"/>
        <v>14.242671204762052</v>
      </c>
      <c r="FD298" s="5">
        <f t="shared" si="893"/>
        <v>124.63999999999999</v>
      </c>
      <c r="FE298" s="173">
        <f t="shared" si="894"/>
        <v>0.89744817635482166</v>
      </c>
      <c r="FF298" s="5">
        <f t="shared" si="895"/>
        <v>89.744817635482164</v>
      </c>
      <c r="FG298">
        <f t="shared" si="896"/>
        <v>82</v>
      </c>
      <c r="FI298" s="562">
        <f t="shared" si="846"/>
        <v>-50</v>
      </c>
    </row>
    <row r="299" spans="5:165">
      <c r="E299" s="170">
        <v>83</v>
      </c>
      <c r="F299" s="217">
        <f t="shared" si="847"/>
        <v>8.2999999999999989</v>
      </c>
      <c r="G299" s="217">
        <f t="shared" si="775"/>
        <v>0.20749999999999999</v>
      </c>
      <c r="H299" s="217">
        <f t="shared" si="776"/>
        <v>124.49999999999999</v>
      </c>
      <c r="I299" s="217">
        <f t="shared" si="777"/>
        <v>1.66</v>
      </c>
      <c r="J299" s="541">
        <f t="shared" si="778"/>
        <v>84.453299588264201</v>
      </c>
      <c r="K299" s="443">
        <f t="shared" si="779"/>
        <v>15.994991764705881</v>
      </c>
      <c r="L299" s="172">
        <f t="shared" si="780"/>
        <v>100.44829135297009</v>
      </c>
      <c r="M299" s="443"/>
      <c r="N299" s="217">
        <f t="shared" si="781"/>
        <v>0.15923607608715123</v>
      </c>
      <c r="O299" s="172">
        <f t="shared" si="782"/>
        <v>331.77661280545601</v>
      </c>
      <c r="P299" s="172">
        <f t="shared" si="783"/>
        <v>4.4826706796826059</v>
      </c>
      <c r="Q299" s="217">
        <f t="shared" si="784"/>
        <v>22.118440853697066</v>
      </c>
      <c r="R299" s="217">
        <f t="shared" si="785"/>
        <v>41.472076600682001</v>
      </c>
      <c r="S299" s="217">
        <f t="shared" si="786"/>
        <v>15</v>
      </c>
      <c r="T299" s="217">
        <f t="shared" si="787"/>
        <v>18.762624488092399</v>
      </c>
      <c r="U299" s="217">
        <f t="shared" si="788"/>
        <v>2.6659881254467441</v>
      </c>
      <c r="V299" s="217">
        <f t="shared" si="789"/>
        <v>14.07637447828651</v>
      </c>
      <c r="W299" s="197">
        <f t="shared" si="790"/>
        <v>112.06676699206514</v>
      </c>
      <c r="X299" s="443">
        <f t="shared" si="848"/>
        <v>59.02364524884208</v>
      </c>
      <c r="Z299" s="217">
        <f t="shared" si="791"/>
        <v>10</v>
      </c>
      <c r="AA299" s="173">
        <f t="shared" si="792"/>
        <v>7.5023483453607511</v>
      </c>
      <c r="AB299" s="173">
        <f t="shared" si="793"/>
        <v>4.1485062035173454</v>
      </c>
      <c r="AC299" s="173"/>
      <c r="AD299" s="173">
        <f t="shared" si="794"/>
        <v>7.5023483453607511</v>
      </c>
      <c r="AE299" s="545">
        <f t="shared" si="795"/>
        <v>221.26405274509796</v>
      </c>
      <c r="AF299" s="528">
        <f t="shared" si="796"/>
        <v>4.2038196195642437</v>
      </c>
      <c r="AH299" s="173">
        <f t="shared" si="797"/>
        <v>7.7508832062024045</v>
      </c>
      <c r="AI299" s="173">
        <f t="shared" si="798"/>
        <v>18.762624488092399</v>
      </c>
      <c r="AJ299" s="173">
        <f t="shared" si="799"/>
        <v>7.6908329541425182</v>
      </c>
      <c r="AL299" s="545">
        <f t="shared" si="800"/>
        <v>8299.9999999999982</v>
      </c>
      <c r="AM299" s="460">
        <f t="shared" si="801"/>
        <v>59.02364524884208</v>
      </c>
      <c r="AO299">
        <f t="shared" si="802"/>
        <v>8299.9999999999982</v>
      </c>
      <c r="AP299">
        <f t="shared" si="803"/>
        <v>59.02364524884208</v>
      </c>
      <c r="AR299" s="5">
        <f t="shared" si="774"/>
        <v>16.942362603733255</v>
      </c>
      <c r="AS299" s="5">
        <f t="shared" si="739"/>
        <v>2.6659881254467441</v>
      </c>
      <c r="AT299" s="5">
        <f t="shared" si="740"/>
        <v>14.27637447828651</v>
      </c>
      <c r="AU299" s="173">
        <f t="shared" si="741"/>
        <v>0.15735633735399412</v>
      </c>
      <c r="BA299" s="173">
        <f t="shared" si="849"/>
        <v>4.2970962211077</v>
      </c>
      <c r="BB299" s="173">
        <f t="shared" si="850"/>
        <v>9.9438585716811563</v>
      </c>
      <c r="BC299" s="173">
        <f t="shared" si="851"/>
        <v>0.24489188953003005</v>
      </c>
      <c r="BD299" s="173"/>
      <c r="BE299" s="528">
        <f t="shared" si="852"/>
        <v>0.36930071866916153</v>
      </c>
      <c r="BF299" s="528">
        <f t="shared" si="804"/>
        <v>2.0857557051004818</v>
      </c>
      <c r="BG299" s="528">
        <f t="shared" si="805"/>
        <v>0.12461853987479719</v>
      </c>
      <c r="BH299" s="528">
        <f t="shared" si="853"/>
        <v>5.9554027214054915E-2</v>
      </c>
      <c r="BI299">
        <f t="shared" si="854"/>
        <v>3.8003984814718887E-2</v>
      </c>
      <c r="BJ299" s="460">
        <f t="shared" si="855"/>
        <v>162.62252468951607</v>
      </c>
      <c r="BK299">
        <f t="shared" si="806"/>
        <v>2.8657821366888925</v>
      </c>
      <c r="BL299" s="460">
        <f t="shared" si="856"/>
        <v>2677.2329756732142</v>
      </c>
      <c r="BM299" s="173">
        <f t="shared" si="807"/>
        <v>5.1563749999999988</v>
      </c>
      <c r="BN299" s="173">
        <f t="shared" si="808"/>
        <v>9.2078124999999997E-2</v>
      </c>
      <c r="BQ299" s="460">
        <f t="shared" si="857"/>
        <v>5248.4531249999982</v>
      </c>
      <c r="BR299" s="528">
        <f t="shared" si="858"/>
        <v>0.55395107800374221</v>
      </c>
      <c r="BS299" s="528">
        <f t="shared" si="859"/>
        <v>2.9664096988079041</v>
      </c>
      <c r="BT299" s="528">
        <f t="shared" si="860"/>
        <v>2.998601877879422E-4</v>
      </c>
      <c r="BU299" s="528">
        <f t="shared" si="861"/>
        <v>2.0406524283701653</v>
      </c>
      <c r="BV299" s="528"/>
      <c r="BW299" s="625">
        <f t="shared" si="862"/>
        <v>2.0778452563846871E-2</v>
      </c>
      <c r="BX299" s="460">
        <f t="shared" si="863"/>
        <v>5582.0915179334461</v>
      </c>
      <c r="BY299" s="173">
        <f t="shared" si="864"/>
        <v>13.50777761860666</v>
      </c>
      <c r="BZ299" s="5">
        <f t="shared" si="865"/>
        <v>126.15999999999998</v>
      </c>
      <c r="CA299" s="173">
        <f t="shared" si="866"/>
        <v>0.90328637106625564</v>
      </c>
      <c r="CB299" s="5">
        <f t="shared" si="867"/>
        <v>90.328637106625564</v>
      </c>
      <c r="CC299">
        <f t="shared" si="868"/>
        <v>82.999999999999986</v>
      </c>
      <c r="CE299" s="562">
        <f t="shared" si="809"/>
        <v>-50</v>
      </c>
      <c r="CG299" s="173">
        <f t="shared" si="810"/>
        <v>0.84409136047666333</v>
      </c>
      <c r="CH299" s="173">
        <f t="shared" si="811"/>
        <v>0.1020398968288061</v>
      </c>
      <c r="CI299" s="170">
        <v>83</v>
      </c>
      <c r="CJ299" s="217">
        <f t="shared" si="869"/>
        <v>8.2999999999999989</v>
      </c>
      <c r="CK299" s="217">
        <f t="shared" si="812"/>
        <v>0.20749999999999999</v>
      </c>
      <c r="CL299" s="217">
        <f t="shared" si="813"/>
        <v>124.49999999999999</v>
      </c>
      <c r="CM299" s="217">
        <f t="shared" si="814"/>
        <v>1.66</v>
      </c>
      <c r="CN299" s="541">
        <f t="shared" si="815"/>
        <v>85</v>
      </c>
      <c r="CO299" s="443">
        <f t="shared" si="816"/>
        <v>15.7</v>
      </c>
      <c r="CP299" s="443">
        <f t="shared" si="817"/>
        <v>100.7</v>
      </c>
      <c r="CQ299" s="443"/>
      <c r="CR299" s="217">
        <f t="shared" si="818"/>
        <v>0.15338645418326693</v>
      </c>
      <c r="CS299" s="172">
        <f t="shared" si="819"/>
        <v>321.65744915076539</v>
      </c>
      <c r="CT299" s="172">
        <f t="shared" si="820"/>
        <v>4.3459495351925632</v>
      </c>
      <c r="CU299" s="217">
        <f t="shared" si="821"/>
        <v>21.443829943384358</v>
      </c>
      <c r="CV299" s="217">
        <f t="shared" si="822"/>
        <v>40.207181143845673</v>
      </c>
      <c r="CW299" s="217">
        <f t="shared" si="823"/>
        <v>15</v>
      </c>
      <c r="CX299" s="217">
        <f t="shared" si="824"/>
        <v>19.352886172650877</v>
      </c>
      <c r="CY299" s="217">
        <f t="shared" si="825"/>
        <v>2.7321721655507121</v>
      </c>
      <c r="CZ299" s="217">
        <f t="shared" si="826"/>
        <v>14.792014909032519</v>
      </c>
      <c r="DA299" s="197">
        <f t="shared" si="827"/>
        <v>110.43528632903013</v>
      </c>
      <c r="DB299" s="443">
        <f t="shared" si="828"/>
        <v>57.063987946715208</v>
      </c>
      <c r="DD299" s="217">
        <f t="shared" si="829"/>
        <v>9.9999999999999982</v>
      </c>
      <c r="DE299" s="173">
        <f t="shared" si="830"/>
        <v>7.6433121019108263</v>
      </c>
      <c r="DF299" s="173">
        <f t="shared" si="831"/>
        <v>4.1649244760361679</v>
      </c>
      <c r="DG299" s="173"/>
      <c r="DH299" s="173">
        <f t="shared" si="832"/>
        <v>7.6433121019108281</v>
      </c>
      <c r="DI299" s="545">
        <f t="shared" si="833"/>
        <v>217.18333333333331</v>
      </c>
      <c r="DJ299" s="528">
        <f t="shared" si="834"/>
        <v>4.2204568023833167</v>
      </c>
      <c r="DL299" s="173">
        <f t="shared" si="835"/>
        <v>7.7508832062024045</v>
      </c>
      <c r="DM299" s="173">
        <f t="shared" si="836"/>
        <v>19.352886172650877</v>
      </c>
      <c r="DN299" s="173">
        <f t="shared" si="837"/>
        <v>8.1280638315932414</v>
      </c>
      <c r="DP299" s="545">
        <f t="shared" si="838"/>
        <v>8299.9999999999982</v>
      </c>
      <c r="DQ299" s="460">
        <f t="shared" si="839"/>
        <v>57.063987946715208</v>
      </c>
      <c r="DS299">
        <f t="shared" si="840"/>
        <v>8299.9999999999982</v>
      </c>
      <c r="DT299">
        <f t="shared" si="841"/>
        <v>57.063987946715208</v>
      </c>
      <c r="DV299" s="5">
        <f t="shared" si="870"/>
        <v>17.524187074583232</v>
      </c>
      <c r="DW299" s="5">
        <f t="shared" si="842"/>
        <v>2.7321721655507121</v>
      </c>
      <c r="DX299" s="5">
        <f t="shared" si="843"/>
        <v>14.79201490903252</v>
      </c>
      <c r="DY299" s="173">
        <f t="shared" si="844"/>
        <v>0.15590863952333664</v>
      </c>
      <c r="EA299" s="5">
        <f t="shared" si="871"/>
        <v>151.1801931604727</v>
      </c>
      <c r="EB299" s="5">
        <f t="shared" si="872"/>
        <v>7.0865715543971586</v>
      </c>
      <c r="EC299" s="5">
        <f t="shared" si="873"/>
        <v>7.4710176721077008</v>
      </c>
      <c r="ED299" s="5"/>
      <c r="EE299" s="173">
        <f t="shared" si="874"/>
        <v>4.4118445907078589</v>
      </c>
      <c r="EF299" s="173">
        <f t="shared" si="875"/>
        <v>10.265493739285136</v>
      </c>
      <c r="EG299" s="173">
        <f t="shared" si="876"/>
        <v>0.25281294385376729</v>
      </c>
      <c r="EH299" s="173"/>
      <c r="EI299" s="528">
        <f t="shared" si="877"/>
        <v>0.38928745385116392</v>
      </c>
      <c r="EJ299" s="528">
        <f t="shared" si="878"/>
        <v>2.2241666666666662</v>
      </c>
      <c r="EK299" s="528">
        <f t="shared" si="879"/>
        <v>7.1329984933394004E-3</v>
      </c>
      <c r="EL299" s="528">
        <f t="shared" si="880"/>
        <v>5.7865679913378612E-2</v>
      </c>
      <c r="EM299">
        <f t="shared" si="881"/>
        <v>3.8249999999999999E-2</v>
      </c>
      <c r="EN299" s="460">
        <f t="shared" si="882"/>
        <v>45.3829984933394</v>
      </c>
      <c r="EP299" s="460">
        <f t="shared" si="883"/>
        <v>2716.7027989245485</v>
      </c>
      <c r="EQ299" s="173">
        <f t="shared" si="884"/>
        <v>5.8099999999999987</v>
      </c>
      <c r="ER299" s="173">
        <f t="shared" si="845"/>
        <v>9.2078124999999997E-2</v>
      </c>
      <c r="ES299" s="528"/>
      <c r="EU299" s="460">
        <f t="shared" si="885"/>
        <v>5902.0781249999982</v>
      </c>
      <c r="EV299" s="528">
        <f t="shared" si="886"/>
        <v>0.58393118077674588</v>
      </c>
      <c r="EW299" s="528">
        <f t="shared" si="887"/>
        <v>3.1614108513390691</v>
      </c>
      <c r="EX299" s="528">
        <f t="shared" si="888"/>
        <v>3.1957192290004045E-4</v>
      </c>
      <c r="EY299" s="528">
        <f t="shared" si="889"/>
        <v>2.0264675705467874</v>
      </c>
      <c r="EZ299" s="528"/>
      <c r="FA299" s="625">
        <f t="shared" si="890"/>
        <v>2.1372415257698271E-2</v>
      </c>
      <c r="FB299" s="460">
        <f t="shared" si="891"/>
        <v>5793.5015898432002</v>
      </c>
      <c r="FC299" s="173">
        <f t="shared" si="892"/>
        <v>14.412282513767746</v>
      </c>
      <c r="FD299" s="5">
        <f t="shared" si="893"/>
        <v>126.15999999999998</v>
      </c>
      <c r="FE299" s="173">
        <f t="shared" si="894"/>
        <v>0.89747422282656464</v>
      </c>
      <c r="FF299" s="5">
        <f t="shared" si="895"/>
        <v>89.747422282656458</v>
      </c>
      <c r="FG299">
        <f t="shared" si="896"/>
        <v>82.999999999999986</v>
      </c>
      <c r="FI299" s="562">
        <f t="shared" si="846"/>
        <v>-50</v>
      </c>
    </row>
    <row r="300" spans="5:165">
      <c r="E300" s="170">
        <v>84</v>
      </c>
      <c r="F300" s="217">
        <f t="shared" si="847"/>
        <v>8.4</v>
      </c>
      <c r="G300" s="217">
        <f t="shared" si="775"/>
        <v>0.21</v>
      </c>
      <c r="H300" s="217">
        <f t="shared" si="776"/>
        <v>126</v>
      </c>
      <c r="I300" s="217">
        <f t="shared" si="777"/>
        <v>1.68</v>
      </c>
      <c r="J300" s="541">
        <f t="shared" si="778"/>
        <v>84.446712836315584</v>
      </c>
      <c r="K300" s="443">
        <f t="shared" si="779"/>
        <v>15.998545882352941</v>
      </c>
      <c r="L300" s="172">
        <f t="shared" si="780"/>
        <v>100.44525871866853</v>
      </c>
      <c r="M300" s="443"/>
      <c r="N300" s="217">
        <f t="shared" si="781"/>
        <v>0.15927626735635544</v>
      </c>
      <c r="O300" s="172">
        <f t="shared" si="782"/>
        <v>331.83447066815069</v>
      </c>
      <c r="P300" s="172">
        <f t="shared" si="783"/>
        <v>4.483452403694125</v>
      </c>
      <c r="Q300" s="217">
        <f t="shared" si="784"/>
        <v>22.122298044543378</v>
      </c>
      <c r="R300" s="217">
        <f t="shared" si="785"/>
        <v>41.479308833518836</v>
      </c>
      <c r="S300" s="217">
        <f t="shared" si="786"/>
        <v>15</v>
      </c>
      <c r="T300" s="217">
        <f t="shared" si="787"/>
        <v>18.985369384063425</v>
      </c>
      <c r="U300" s="217">
        <f t="shared" si="788"/>
        <v>2.6978484414231358</v>
      </c>
      <c r="V300" s="217">
        <f t="shared" si="789"/>
        <v>14.240321231947767</v>
      </c>
      <c r="W300" s="197">
        <f t="shared" si="790"/>
        <v>112.08631009235312</v>
      </c>
      <c r="X300" s="443">
        <f t="shared" si="848"/>
        <v>58.349288112941771</v>
      </c>
      <c r="Z300" s="217">
        <f t="shared" si="791"/>
        <v>10</v>
      </c>
      <c r="AA300" s="173">
        <f t="shared" si="792"/>
        <v>7.5006816795997056</v>
      </c>
      <c r="AB300" s="173">
        <f t="shared" si="793"/>
        <v>4.1483078913337721</v>
      </c>
      <c r="AC300" s="173"/>
      <c r="AD300" s="173">
        <f t="shared" si="794"/>
        <v>7.5006816795997056</v>
      </c>
      <c r="AE300" s="545">
        <f t="shared" si="795"/>
        <v>223.97964235294114</v>
      </c>
      <c r="AF300" s="528">
        <f t="shared" si="796"/>
        <v>4.2036186632182222</v>
      </c>
      <c r="AH300" s="173">
        <f t="shared" si="797"/>
        <v>7.7974354758471707</v>
      </c>
      <c r="AI300" s="173">
        <f t="shared" si="798"/>
        <v>18.985369384063425</v>
      </c>
      <c r="AJ300" s="173">
        <f t="shared" si="799"/>
        <v>7.8558291733803154</v>
      </c>
      <c r="AL300" s="545">
        <f t="shared" si="800"/>
        <v>8400</v>
      </c>
      <c r="AM300" s="460">
        <f t="shared" si="801"/>
        <v>58.349288112941771</v>
      </c>
      <c r="AO300">
        <f t="shared" si="802"/>
        <v>8400</v>
      </c>
      <c r="AP300">
        <f t="shared" si="803"/>
        <v>58.349288112941771</v>
      </c>
      <c r="AR300" s="5">
        <f t="shared" si="774"/>
        <v>17.138169673370903</v>
      </c>
      <c r="AS300" s="5">
        <f t="shared" si="739"/>
        <v>2.6978484414231358</v>
      </c>
      <c r="AT300" s="5">
        <f t="shared" si="740"/>
        <v>14.440321231947767</v>
      </c>
      <c r="AU300" s="173">
        <f t="shared" si="741"/>
        <v>0.15741753599364947</v>
      </c>
      <c r="BA300" s="173">
        <f t="shared" si="849"/>
        <v>4.348955652425663</v>
      </c>
      <c r="BB300" s="173">
        <f t="shared" si="850"/>
        <v>10.061544030764487</v>
      </c>
      <c r="BC300" s="173">
        <f t="shared" si="851"/>
        <v>0.24779018240470974</v>
      </c>
      <c r="BD300" s="173"/>
      <c r="BE300" s="528">
        <f t="shared" si="852"/>
        <v>0.37826830533530248</v>
      </c>
      <c r="BF300" s="528">
        <f t="shared" si="804"/>
        <v>2.0863411641925502</v>
      </c>
      <c r="BG300" s="528">
        <f t="shared" si="805"/>
        <v>0.12318513943692593</v>
      </c>
      <c r="BH300" s="528">
        <f t="shared" si="853"/>
        <v>5.8870055503866432E-2</v>
      </c>
      <c r="BI300">
        <f t="shared" si="854"/>
        <v>3.8001020776342015E-2</v>
      </c>
      <c r="BJ300" s="460">
        <f t="shared" si="855"/>
        <v>161.18616021326793</v>
      </c>
      <c r="BK300">
        <f t="shared" si="806"/>
        <v>2.8848965111165308</v>
      </c>
      <c r="BL300" s="460">
        <f t="shared" si="856"/>
        <v>2684.6656852449873</v>
      </c>
      <c r="BM300" s="173">
        <f t="shared" si="807"/>
        <v>5.2184999999999997</v>
      </c>
      <c r="BN300" s="173">
        <f t="shared" si="808"/>
        <v>9.3187499999999993E-2</v>
      </c>
      <c r="BQ300" s="460">
        <f t="shared" si="857"/>
        <v>5311.6875</v>
      </c>
      <c r="BR300" s="528">
        <f t="shared" si="858"/>
        <v>0.56740245800295375</v>
      </c>
      <c r="BS300" s="528">
        <f t="shared" si="859"/>
        <v>3.0370400484903746</v>
      </c>
      <c r="BT300" s="528">
        <f t="shared" si="860"/>
        <v>3.0699987248079661E-4</v>
      </c>
      <c r="BU300" s="528">
        <f t="shared" si="861"/>
        <v>2.0422388666229563</v>
      </c>
      <c r="BV300" s="528"/>
      <c r="BW300" s="625">
        <f t="shared" si="862"/>
        <v>2.1031665429791322E-2</v>
      </c>
      <c r="BX300" s="460">
        <f t="shared" si="863"/>
        <v>5668.0200384185564</v>
      </c>
      <c r="BY300" s="173">
        <f t="shared" si="864"/>
        <v>13.664373223663544</v>
      </c>
      <c r="BZ300" s="5">
        <f t="shared" si="865"/>
        <v>127.68</v>
      </c>
      <c r="CA300" s="173">
        <f t="shared" si="866"/>
        <v>0.9033256654508558</v>
      </c>
      <c r="CB300" s="5">
        <f t="shared" si="867"/>
        <v>90.332566545085584</v>
      </c>
      <c r="CC300">
        <f t="shared" si="868"/>
        <v>84.000000000000014</v>
      </c>
      <c r="CE300" s="562">
        <f t="shared" si="809"/>
        <v>-50</v>
      </c>
      <c r="CG300" s="173">
        <f t="shared" si="810"/>
        <v>0.84409136047666333</v>
      </c>
      <c r="CH300" s="173">
        <f t="shared" si="811"/>
        <v>0.1020398968288061</v>
      </c>
      <c r="CI300" s="170">
        <v>84</v>
      </c>
      <c r="CJ300" s="217">
        <f t="shared" si="869"/>
        <v>8.4</v>
      </c>
      <c r="CK300" s="217">
        <f t="shared" si="812"/>
        <v>0.21</v>
      </c>
      <c r="CL300" s="217">
        <f t="shared" si="813"/>
        <v>126</v>
      </c>
      <c r="CM300" s="217">
        <f t="shared" si="814"/>
        <v>1.68</v>
      </c>
      <c r="CN300" s="541">
        <f t="shared" si="815"/>
        <v>85</v>
      </c>
      <c r="CO300" s="443">
        <f t="shared" si="816"/>
        <v>15.7</v>
      </c>
      <c r="CP300" s="443">
        <f t="shared" si="817"/>
        <v>100.7</v>
      </c>
      <c r="CQ300" s="443"/>
      <c r="CR300" s="217">
        <f t="shared" si="818"/>
        <v>0.15338645418326693</v>
      </c>
      <c r="CS300" s="172">
        <f t="shared" si="819"/>
        <v>321.65744915076539</v>
      </c>
      <c r="CT300" s="172">
        <f t="shared" si="820"/>
        <v>4.3459495351925632</v>
      </c>
      <c r="CU300" s="217">
        <f t="shared" si="821"/>
        <v>21.443829943384358</v>
      </c>
      <c r="CV300" s="217">
        <f t="shared" si="822"/>
        <v>40.207181143845673</v>
      </c>
      <c r="CW300" s="217">
        <f t="shared" si="823"/>
        <v>15</v>
      </c>
      <c r="CX300" s="217">
        <f t="shared" si="824"/>
        <v>19.586053475935831</v>
      </c>
      <c r="CY300" s="217">
        <f t="shared" si="825"/>
        <v>2.7650899024850584</v>
      </c>
      <c r="CZ300" s="217">
        <f t="shared" si="826"/>
        <v>14.970231956129298</v>
      </c>
      <c r="DA300" s="197">
        <f t="shared" si="827"/>
        <v>110.43528632903013</v>
      </c>
      <c r="DB300" s="443">
        <f t="shared" si="828"/>
        <v>56.38465475687336</v>
      </c>
      <c r="DD300" s="217">
        <f t="shared" si="829"/>
        <v>9.9999999999999982</v>
      </c>
      <c r="DE300" s="173">
        <f t="shared" si="830"/>
        <v>7.6433121019108263</v>
      </c>
      <c r="DF300" s="173">
        <f t="shared" si="831"/>
        <v>4.1649244760361679</v>
      </c>
      <c r="DG300" s="173"/>
      <c r="DH300" s="173">
        <f t="shared" si="832"/>
        <v>7.6433121019108281</v>
      </c>
      <c r="DI300" s="545">
        <f t="shared" si="833"/>
        <v>219.80000000000004</v>
      </c>
      <c r="DJ300" s="528">
        <f t="shared" si="834"/>
        <v>4.2204568023833167</v>
      </c>
      <c r="DL300" s="173">
        <f t="shared" si="835"/>
        <v>7.7974354758471707</v>
      </c>
      <c r="DM300" s="173">
        <f t="shared" si="836"/>
        <v>19.586053475935831</v>
      </c>
      <c r="DN300" s="173">
        <f t="shared" si="837"/>
        <v>8.3007803525450594</v>
      </c>
      <c r="DP300" s="545">
        <f t="shared" si="838"/>
        <v>8400</v>
      </c>
      <c r="DQ300" s="460">
        <f t="shared" si="839"/>
        <v>56.38465475687336</v>
      </c>
      <c r="DS300">
        <f t="shared" si="840"/>
        <v>8400</v>
      </c>
      <c r="DT300">
        <f t="shared" si="841"/>
        <v>56.38465475687336</v>
      </c>
      <c r="DV300" s="5">
        <f t="shared" si="870"/>
        <v>17.735321858614356</v>
      </c>
      <c r="DW300" s="5">
        <f t="shared" si="842"/>
        <v>2.7650899024850584</v>
      </c>
      <c r="DX300" s="5">
        <f t="shared" si="843"/>
        <v>14.970231956129297</v>
      </c>
      <c r="DY300" s="173">
        <f t="shared" si="844"/>
        <v>0.15590863952333664</v>
      </c>
      <c r="EA300" s="5">
        <f t="shared" si="871"/>
        <v>154.84503453916327</v>
      </c>
      <c r="EB300" s="5">
        <f t="shared" si="872"/>
        <v>7.2583609940232767</v>
      </c>
      <c r="EC300" s="5">
        <f t="shared" si="873"/>
        <v>7.6521266794007756</v>
      </c>
      <c r="ED300" s="5"/>
      <c r="EE300" s="173">
        <f t="shared" si="874"/>
        <v>4.4649993448127736</v>
      </c>
      <c r="EF300" s="173">
        <f t="shared" si="875"/>
        <v>10.389174386746404</v>
      </c>
      <c r="EG300" s="173">
        <f t="shared" si="876"/>
        <v>0.25585888293634279</v>
      </c>
      <c r="EH300" s="173"/>
      <c r="EI300" s="528">
        <f t="shared" si="877"/>
        <v>0.39872438298356999</v>
      </c>
      <c r="EJ300" s="528">
        <f t="shared" si="878"/>
        <v>2.2241666666666671</v>
      </c>
      <c r="EK300" s="528">
        <f t="shared" si="879"/>
        <v>7.0480818446091694E-3</v>
      </c>
      <c r="EL300" s="528">
        <f t="shared" si="880"/>
        <v>5.7176802771552675E-2</v>
      </c>
      <c r="EM300">
        <f t="shared" si="881"/>
        <v>3.8249999999999999E-2</v>
      </c>
      <c r="EN300" s="460">
        <f t="shared" si="882"/>
        <v>45.298081844609172</v>
      </c>
      <c r="EP300" s="460">
        <f t="shared" si="883"/>
        <v>2725.3659342663987</v>
      </c>
      <c r="EQ300" s="173">
        <f t="shared" si="884"/>
        <v>5.88</v>
      </c>
      <c r="ER300" s="173">
        <f t="shared" si="845"/>
        <v>9.3187499999999993E-2</v>
      </c>
      <c r="ES300" s="528"/>
      <c r="EU300" s="460">
        <f t="shared" si="885"/>
        <v>5973.1875</v>
      </c>
      <c r="EV300" s="528">
        <f t="shared" si="886"/>
        <v>0.59808657447535496</v>
      </c>
      <c r="EW300" s="528">
        <f t="shared" si="887"/>
        <v>3.2380483331468257</v>
      </c>
      <c r="EX300" s="528">
        <f t="shared" si="888"/>
        <v>3.2731883988716584E-4</v>
      </c>
      <c r="EY300" s="528">
        <f t="shared" si="889"/>
        <v>2.0264675705467909</v>
      </c>
      <c r="EZ300" s="528"/>
      <c r="FA300" s="625">
        <f t="shared" si="890"/>
        <v>2.1629914236706693E-2</v>
      </c>
      <c r="FB300" s="460">
        <f t="shared" si="891"/>
        <v>5884.5597112455653</v>
      </c>
      <c r="FC300" s="173">
        <f t="shared" si="892"/>
        <v>14.583113145511962</v>
      </c>
      <c r="FD300" s="5">
        <f t="shared" si="893"/>
        <v>127.68</v>
      </c>
      <c r="FE300" s="173">
        <f t="shared" si="894"/>
        <v>0.89749195822394379</v>
      </c>
      <c r="FF300" s="5">
        <f t="shared" si="895"/>
        <v>89.749195822394384</v>
      </c>
      <c r="FG300">
        <f t="shared" si="896"/>
        <v>84.000000000000014</v>
      </c>
      <c r="FI300" s="562">
        <f t="shared" si="846"/>
        <v>-50</v>
      </c>
    </row>
    <row r="301" spans="5:165">
      <c r="E301" s="170">
        <v>85</v>
      </c>
      <c r="F301" s="217">
        <f t="shared" si="847"/>
        <v>8.5</v>
      </c>
      <c r="G301" s="217">
        <f t="shared" si="775"/>
        <v>0.21249999999999999</v>
      </c>
      <c r="H301" s="217">
        <f t="shared" si="776"/>
        <v>127.5</v>
      </c>
      <c r="I301" s="217">
        <f t="shared" si="777"/>
        <v>1.7</v>
      </c>
      <c r="J301" s="541">
        <f t="shared" si="778"/>
        <v>84.440126084366952</v>
      </c>
      <c r="K301" s="443">
        <f t="shared" si="779"/>
        <v>16.002099999999999</v>
      </c>
      <c r="L301" s="172">
        <f t="shared" si="780"/>
        <v>100.44222608436695</v>
      </c>
      <c r="M301" s="443"/>
      <c r="N301" s="217">
        <f t="shared" si="781"/>
        <v>0.15931646105253536</v>
      </c>
      <c r="O301" s="172">
        <f t="shared" si="782"/>
        <v>331.89232052445453</v>
      </c>
      <c r="P301" s="172">
        <f t="shared" si="783"/>
        <v>4.4842340195304082</v>
      </c>
      <c r="Q301" s="217">
        <f t="shared" si="784"/>
        <v>22.126154701630302</v>
      </c>
      <c r="R301" s="217">
        <f t="shared" si="785"/>
        <v>41.486540065556817</v>
      </c>
      <c r="S301" s="217">
        <f t="shared" si="786"/>
        <v>15</v>
      </c>
      <c r="T301" s="217">
        <f t="shared" si="787"/>
        <v>19.208037082407504</v>
      </c>
      <c r="U301" s="217">
        <f t="shared" si="788"/>
        <v>2.7297027571772379</v>
      </c>
      <c r="V301" s="217">
        <f t="shared" si="789"/>
        <v>14.404137268789102</v>
      </c>
      <c r="W301" s="197">
        <f t="shared" si="790"/>
        <v>112.1058504882602</v>
      </c>
      <c r="X301" s="443">
        <f t="shared" si="848"/>
        <v>57.690621264646829</v>
      </c>
      <c r="Z301" s="217">
        <f t="shared" si="791"/>
        <v>10</v>
      </c>
      <c r="AA301" s="173">
        <f t="shared" si="792"/>
        <v>7.4990157541822642</v>
      </c>
      <c r="AB301" s="173">
        <f t="shared" si="793"/>
        <v>4.1481095671749904</v>
      </c>
      <c r="AC301" s="173"/>
      <c r="AD301" s="173">
        <f t="shared" si="794"/>
        <v>7.4990157541822642</v>
      </c>
      <c r="AE301" s="545">
        <f t="shared" si="795"/>
        <v>226.69641666666664</v>
      </c>
      <c r="AF301" s="528">
        <f t="shared" si="796"/>
        <v>4.2034176947373245</v>
      </c>
      <c r="AH301" s="173">
        <f t="shared" si="797"/>
        <v>7.8437114635744676</v>
      </c>
      <c r="AI301" s="173">
        <f t="shared" si="798"/>
        <v>19.208037082407504</v>
      </c>
      <c r="AJ301" s="173">
        <f t="shared" si="799"/>
        <v>8.0207682091907433</v>
      </c>
      <c r="AL301" s="545">
        <f t="shared" si="800"/>
        <v>8500</v>
      </c>
      <c r="AM301" s="460">
        <f t="shared" si="801"/>
        <v>57.690621264646829</v>
      </c>
      <c r="AO301">
        <f t="shared" si="802"/>
        <v>8500</v>
      </c>
      <c r="AP301">
        <f t="shared" si="803"/>
        <v>57.690621264646829</v>
      </c>
      <c r="AR301" s="5">
        <f t="shared" si="774"/>
        <v>17.333840025966339</v>
      </c>
      <c r="AS301" s="5">
        <f t="shared" si="739"/>
        <v>2.7297027571772379</v>
      </c>
      <c r="AT301" s="5">
        <f t="shared" si="740"/>
        <v>14.604137268789101</v>
      </c>
      <c r="AU301" s="173">
        <f t="shared" si="741"/>
        <v>0.15747824792937423</v>
      </c>
      <c r="BA301" s="173">
        <f t="shared" si="849"/>
        <v>4.4008102682019068</v>
      </c>
      <c r="BB301" s="173">
        <f t="shared" si="850"/>
        <v>10.179182932321693</v>
      </c>
      <c r="BC301" s="173">
        <f t="shared" si="851"/>
        <v>0.25068732868619703</v>
      </c>
      <c r="BD301" s="173"/>
      <c r="BE301" s="528">
        <f t="shared" si="852"/>
        <v>0.38734262033422684</v>
      </c>
      <c r="BF301" s="528">
        <f t="shared" si="804"/>
        <v>2.0869200077470889</v>
      </c>
      <c r="BG301" s="528">
        <f t="shared" si="805"/>
        <v>0.12178508333680599</v>
      </c>
      <c r="BH301" s="528">
        <f t="shared" si="853"/>
        <v>5.820199543592277E-2</v>
      </c>
      <c r="BI301">
        <f t="shared" si="854"/>
        <v>3.7998056737965129E-2</v>
      </c>
      <c r="BJ301" s="460">
        <f t="shared" si="855"/>
        <v>159.78314007477113</v>
      </c>
      <c r="BK301">
        <f t="shared" si="806"/>
        <v>2.9043412243117874</v>
      </c>
      <c r="BL301" s="460">
        <f t="shared" si="856"/>
        <v>2692.2477635920095</v>
      </c>
      <c r="BM301" s="173">
        <f t="shared" si="807"/>
        <v>5.2806249999999988</v>
      </c>
      <c r="BN301" s="173">
        <f t="shared" si="808"/>
        <v>9.4296874999999988E-2</v>
      </c>
      <c r="BQ301" s="460">
        <f t="shared" si="857"/>
        <v>5374.9218749999991</v>
      </c>
      <c r="BR301" s="528">
        <f t="shared" si="858"/>
        <v>0.5810139305013402</v>
      </c>
      <c r="BS301" s="528">
        <f t="shared" si="859"/>
        <v>3.1084729550900776</v>
      </c>
      <c r="BT301" s="528">
        <f t="shared" si="860"/>
        <v>3.1422068381910695E-4</v>
      </c>
      <c r="BU301" s="528">
        <f t="shared" si="861"/>
        <v>2.0438099432704253</v>
      </c>
      <c r="BV301" s="528"/>
      <c r="BW301" s="625">
        <f t="shared" si="862"/>
        <v>2.1284879057753586E-2</v>
      </c>
      <c r="BX301" s="460">
        <f t="shared" si="863"/>
        <v>5754.8959286034151</v>
      </c>
      <c r="BY301" s="173">
        <f t="shared" si="864"/>
        <v>13.822065567195423</v>
      </c>
      <c r="BZ301" s="5">
        <f t="shared" si="865"/>
        <v>129.19999999999999</v>
      </c>
      <c r="CA301" s="173">
        <f t="shared" si="866"/>
        <v>0.90335711127943785</v>
      </c>
      <c r="CB301" s="5">
        <f t="shared" si="867"/>
        <v>90.335711127943782</v>
      </c>
      <c r="CC301">
        <f t="shared" si="868"/>
        <v>85</v>
      </c>
      <c r="CE301" s="562">
        <f t="shared" si="809"/>
        <v>-50</v>
      </c>
      <c r="CG301" s="173">
        <f t="shared" si="810"/>
        <v>0.84409136047666333</v>
      </c>
      <c r="CH301" s="173">
        <f t="shared" si="811"/>
        <v>0.1020398968288061</v>
      </c>
      <c r="CI301" s="170">
        <v>85</v>
      </c>
      <c r="CJ301" s="217">
        <f t="shared" si="869"/>
        <v>8.5</v>
      </c>
      <c r="CK301" s="217">
        <f t="shared" si="812"/>
        <v>0.21249999999999999</v>
      </c>
      <c r="CL301" s="217">
        <f t="shared" si="813"/>
        <v>127.5</v>
      </c>
      <c r="CM301" s="217">
        <f t="shared" si="814"/>
        <v>1.7</v>
      </c>
      <c r="CN301" s="541">
        <f t="shared" si="815"/>
        <v>85</v>
      </c>
      <c r="CO301" s="443">
        <f t="shared" si="816"/>
        <v>15.7</v>
      </c>
      <c r="CP301" s="443">
        <f t="shared" si="817"/>
        <v>100.7</v>
      </c>
      <c r="CQ301" s="443"/>
      <c r="CR301" s="217">
        <f t="shared" si="818"/>
        <v>0.15338645418326693</v>
      </c>
      <c r="CS301" s="172">
        <f t="shared" si="819"/>
        <v>321.65744915076539</v>
      </c>
      <c r="CT301" s="172">
        <f t="shared" si="820"/>
        <v>4.3459495351925632</v>
      </c>
      <c r="CU301" s="217">
        <f t="shared" si="821"/>
        <v>21.443829943384358</v>
      </c>
      <c r="CV301" s="217">
        <f t="shared" si="822"/>
        <v>40.207181143845673</v>
      </c>
      <c r="CW301" s="217">
        <f t="shared" si="823"/>
        <v>15</v>
      </c>
      <c r="CX301" s="217">
        <f t="shared" si="824"/>
        <v>19.819220779220778</v>
      </c>
      <c r="CY301" s="217">
        <f t="shared" si="825"/>
        <v>2.7980076394194038</v>
      </c>
      <c r="CZ301" s="217">
        <f t="shared" si="826"/>
        <v>15.148449003226073</v>
      </c>
      <c r="DA301" s="197">
        <f t="shared" si="827"/>
        <v>110.43528632903013</v>
      </c>
      <c r="DB301" s="443">
        <f t="shared" si="828"/>
        <v>55.721305877380743</v>
      </c>
      <c r="DD301" s="217">
        <f t="shared" si="829"/>
        <v>9.9999999999999982</v>
      </c>
      <c r="DE301" s="173">
        <f t="shared" si="830"/>
        <v>7.6433121019108263</v>
      </c>
      <c r="DF301" s="173">
        <f t="shared" si="831"/>
        <v>4.1649244760361679</v>
      </c>
      <c r="DG301" s="173"/>
      <c r="DH301" s="173">
        <f t="shared" si="832"/>
        <v>7.6433121019108281</v>
      </c>
      <c r="DI301" s="545">
        <f t="shared" si="833"/>
        <v>222.41666666666666</v>
      </c>
      <c r="DJ301" s="528">
        <f t="shared" si="834"/>
        <v>4.2204568023833167</v>
      </c>
      <c r="DL301" s="173">
        <f t="shared" si="835"/>
        <v>7.8437114635744676</v>
      </c>
      <c r="DM301" s="173">
        <f t="shared" si="836"/>
        <v>19.819220779220778</v>
      </c>
      <c r="DN301" s="173">
        <f t="shared" si="837"/>
        <v>8.4734968734968721</v>
      </c>
      <c r="DP301" s="545">
        <f t="shared" si="838"/>
        <v>8500</v>
      </c>
      <c r="DQ301" s="460">
        <f t="shared" si="839"/>
        <v>55.721305877380743</v>
      </c>
      <c r="DS301">
        <f t="shared" si="840"/>
        <v>8500</v>
      </c>
      <c r="DT301">
        <f t="shared" si="841"/>
        <v>55.721305877380743</v>
      </c>
      <c r="DV301" s="5">
        <f t="shared" si="870"/>
        <v>17.946456642645476</v>
      </c>
      <c r="DW301" s="5">
        <f t="shared" si="842"/>
        <v>2.7980076394194038</v>
      </c>
      <c r="DX301" s="5">
        <f t="shared" si="843"/>
        <v>15.148449003226073</v>
      </c>
      <c r="DY301" s="173">
        <f t="shared" si="844"/>
        <v>0.15590863952333664</v>
      </c>
      <c r="EA301" s="5">
        <f t="shared" si="871"/>
        <v>158.55376623376623</v>
      </c>
      <c r="EB301" s="5">
        <f t="shared" si="872"/>
        <v>7.4322077922077909</v>
      </c>
      <c r="EC301" s="5">
        <f t="shared" si="873"/>
        <v>7.8354046568410709</v>
      </c>
      <c r="ED301" s="5"/>
      <c r="EE301" s="173">
        <f t="shared" si="874"/>
        <v>4.5181540989176865</v>
      </c>
      <c r="EF301" s="173">
        <f t="shared" si="875"/>
        <v>10.51285503420767</v>
      </c>
      <c r="EG301" s="173">
        <f t="shared" si="876"/>
        <v>0.25890482201891829</v>
      </c>
      <c r="EH301" s="173"/>
      <c r="EI301" s="528">
        <f t="shared" si="877"/>
        <v>0.40827432923133389</v>
      </c>
      <c r="EJ301" s="528">
        <f t="shared" si="878"/>
        <v>2.2241666666666671</v>
      </c>
      <c r="EK301" s="528">
        <f t="shared" si="879"/>
        <v>6.9651632346725929E-3</v>
      </c>
      <c r="EL301" s="528">
        <f t="shared" si="880"/>
        <v>5.6504134503652062E-2</v>
      </c>
      <c r="EM301">
        <f t="shared" si="881"/>
        <v>3.8249999999999999E-2</v>
      </c>
      <c r="EN301" s="460">
        <f t="shared" si="882"/>
        <v>45.215163234672588</v>
      </c>
      <c r="EP301" s="460">
        <f t="shared" si="883"/>
        <v>2734.1602936363256</v>
      </c>
      <c r="EQ301" s="173">
        <f t="shared" si="884"/>
        <v>5.9499999999999993</v>
      </c>
      <c r="ER301" s="173">
        <f t="shared" si="845"/>
        <v>9.4296874999999988E-2</v>
      </c>
      <c r="ES301" s="528"/>
      <c r="EU301" s="460">
        <f t="shared" si="885"/>
        <v>6044.296875</v>
      </c>
      <c r="EV301" s="528">
        <f t="shared" si="886"/>
        <v>0.61241149384700078</v>
      </c>
      <c r="EW301" s="528">
        <f t="shared" si="887"/>
        <v>3.315603629107966</v>
      </c>
      <c r="EX301" s="528">
        <f t="shared" si="888"/>
        <v>3.3515853432323876E-4</v>
      </c>
      <c r="EY301" s="528">
        <f t="shared" si="889"/>
        <v>2.0264675705467927</v>
      </c>
      <c r="EZ301" s="528"/>
      <c r="FA301" s="625">
        <f t="shared" si="890"/>
        <v>2.1887413215715103E-2</v>
      </c>
      <c r="FB301" s="460">
        <f t="shared" si="891"/>
        <v>5976.7052652517987</v>
      </c>
      <c r="FC301" s="173">
        <f t="shared" si="892"/>
        <v>14.75516243388812</v>
      </c>
      <c r="FD301" s="5">
        <f t="shared" si="893"/>
        <v>129.19999999999999</v>
      </c>
      <c r="FE301" s="173">
        <f t="shared" si="894"/>
        <v>0.89750167910327994</v>
      </c>
      <c r="FF301" s="5">
        <f t="shared" si="895"/>
        <v>89.750167910327988</v>
      </c>
      <c r="FG301">
        <f t="shared" si="896"/>
        <v>85</v>
      </c>
      <c r="FI301" s="562">
        <f t="shared" si="846"/>
        <v>-50</v>
      </c>
    </row>
    <row r="302" spans="5:165">
      <c r="E302" s="170">
        <v>86</v>
      </c>
      <c r="F302" s="217">
        <f t="shared" si="847"/>
        <v>8.6</v>
      </c>
      <c r="G302" s="217">
        <f t="shared" si="775"/>
        <v>0.215</v>
      </c>
      <c r="H302" s="217">
        <f t="shared" si="776"/>
        <v>129</v>
      </c>
      <c r="I302" s="217">
        <f t="shared" si="777"/>
        <v>1.72</v>
      </c>
      <c r="J302" s="541">
        <f t="shared" si="778"/>
        <v>84.433539332418334</v>
      </c>
      <c r="K302" s="443">
        <f t="shared" si="779"/>
        <v>16.005654117647058</v>
      </c>
      <c r="L302" s="172">
        <f t="shared" si="780"/>
        <v>100.43919345006539</v>
      </c>
      <c r="M302" s="443"/>
      <c r="N302" s="217">
        <f t="shared" si="781"/>
        <v>0.15935665717591083</v>
      </c>
      <c r="O302" s="172">
        <f t="shared" si="782"/>
        <v>331.9501623736424</v>
      </c>
      <c r="P302" s="172">
        <f t="shared" si="783"/>
        <v>4.4850155271816572</v>
      </c>
      <c r="Q302" s="217">
        <f t="shared" si="784"/>
        <v>22.130010824909494</v>
      </c>
      <c r="R302" s="217">
        <f t="shared" si="785"/>
        <v>41.4937702967053</v>
      </c>
      <c r="S302" s="217">
        <f t="shared" si="786"/>
        <v>15</v>
      </c>
      <c r="T302" s="217">
        <f t="shared" si="787"/>
        <v>19.430627639639152</v>
      </c>
      <c r="U302" s="217">
        <f t="shared" si="788"/>
        <v>2.761551079336845</v>
      </c>
      <c r="V302" s="217">
        <f t="shared" si="789"/>
        <v>14.567822718259956</v>
      </c>
      <c r="W302" s="197">
        <f t="shared" si="790"/>
        <v>112.12538817954142</v>
      </c>
      <c r="X302" s="443">
        <f t="shared" si="848"/>
        <v>57.047103424601261</v>
      </c>
      <c r="Z302" s="217">
        <f t="shared" si="791"/>
        <v>10</v>
      </c>
      <c r="AA302" s="173">
        <f t="shared" si="792"/>
        <v>7.4973505686152384</v>
      </c>
      <c r="AB302" s="173">
        <f t="shared" si="793"/>
        <v>4.1479112310399131</v>
      </c>
      <c r="AC302" s="173"/>
      <c r="AD302" s="173">
        <f t="shared" si="794"/>
        <v>7.4973505686152384</v>
      </c>
      <c r="AE302" s="545">
        <f t="shared" si="795"/>
        <v>229.4143756862745</v>
      </c>
      <c r="AF302" s="528">
        <f t="shared" si="796"/>
        <v>4.2032167141204457</v>
      </c>
      <c r="AH302" s="173">
        <f t="shared" si="797"/>
        <v>7.8897160308606198</v>
      </c>
      <c r="AI302" s="173">
        <f t="shared" si="798"/>
        <v>19.430627639639152</v>
      </c>
      <c r="AJ302" s="173">
        <f t="shared" si="799"/>
        <v>8.1856501034364086</v>
      </c>
      <c r="AL302" s="545">
        <f t="shared" si="800"/>
        <v>8600</v>
      </c>
      <c r="AM302" s="460">
        <f t="shared" si="801"/>
        <v>57.047103424601261</v>
      </c>
      <c r="AO302">
        <f t="shared" si="802"/>
        <v>8600</v>
      </c>
      <c r="AP302">
        <f t="shared" si="803"/>
        <v>57.047103424601261</v>
      </c>
      <c r="AR302" s="5">
        <f t="shared" si="774"/>
        <v>17.529373797596797</v>
      </c>
      <c r="AS302" s="5">
        <f t="shared" si="739"/>
        <v>2.761551079336845</v>
      </c>
      <c r="AT302" s="5">
        <f t="shared" si="740"/>
        <v>14.767822718259952</v>
      </c>
      <c r="AU302" s="173">
        <f t="shared" si="741"/>
        <v>0.15753849003524825</v>
      </c>
      <c r="BA302" s="173">
        <f t="shared" si="849"/>
        <v>4.4526600714094418</v>
      </c>
      <c r="BB302" s="173">
        <f t="shared" si="850"/>
        <v>10.296775309706385</v>
      </c>
      <c r="BC302" s="173">
        <f t="shared" si="851"/>
        <v>0.25358332919590632</v>
      </c>
      <c r="BD302" s="173"/>
      <c r="BE302" s="528">
        <f t="shared" si="852"/>
        <v>0.39652363423047876</v>
      </c>
      <c r="BF302" s="528">
        <f t="shared" si="804"/>
        <v>2.0874924614621637</v>
      </c>
      <c r="BG302" s="528">
        <f t="shared" si="805"/>
        <v>0.12041722127004018</v>
      </c>
      <c r="BH302" s="528">
        <f t="shared" si="853"/>
        <v>5.7549298094622663E-2</v>
      </c>
      <c r="BI302">
        <f t="shared" si="854"/>
        <v>3.799509269958825E-2</v>
      </c>
      <c r="BJ302" s="460">
        <f t="shared" si="855"/>
        <v>158.41231396962843</v>
      </c>
      <c r="BK302">
        <f t="shared" si="806"/>
        <v>2.9241198476608785</v>
      </c>
      <c r="BL302" s="460">
        <f t="shared" si="856"/>
        <v>2699.9777077568942</v>
      </c>
      <c r="BM302" s="173">
        <f t="shared" si="807"/>
        <v>5.3427499999999997</v>
      </c>
      <c r="BN302" s="173">
        <f t="shared" si="808"/>
        <v>9.5406249999999998E-2</v>
      </c>
      <c r="BQ302" s="460">
        <f t="shared" si="857"/>
        <v>5438.15625</v>
      </c>
      <c r="BR302" s="528">
        <f t="shared" si="858"/>
        <v>0.59478545134571803</v>
      </c>
      <c r="BS302" s="528">
        <f t="shared" si="859"/>
        <v>3.1807074533573707</v>
      </c>
      <c r="BT302" s="528">
        <f t="shared" si="860"/>
        <v>3.2152252423039691E-4</v>
      </c>
      <c r="BU302" s="528">
        <f t="shared" si="861"/>
        <v>2.045366187541211</v>
      </c>
      <c r="BV302" s="528"/>
      <c r="BW302" s="625">
        <f t="shared" si="862"/>
        <v>2.153809342134454E-2</v>
      </c>
      <c r="BX302" s="460">
        <f t="shared" si="863"/>
        <v>5842.7187081898755</v>
      </c>
      <c r="BY302" s="173">
        <f t="shared" si="864"/>
        <v>13.980852665946768</v>
      </c>
      <c r="BZ302" s="5">
        <f t="shared" si="865"/>
        <v>130.72</v>
      </c>
      <c r="CA302" s="173">
        <f t="shared" si="866"/>
        <v>0.90338099321209486</v>
      </c>
      <c r="CB302" s="5">
        <f t="shared" si="867"/>
        <v>90.338099321209484</v>
      </c>
      <c r="CC302">
        <f t="shared" si="868"/>
        <v>86</v>
      </c>
      <c r="CE302" s="562">
        <f t="shared" si="809"/>
        <v>-50</v>
      </c>
      <c r="CG302" s="173">
        <f t="shared" si="810"/>
        <v>0.84409136047666333</v>
      </c>
      <c r="CH302" s="173">
        <f t="shared" si="811"/>
        <v>0.1020398968288061</v>
      </c>
      <c r="CI302" s="170">
        <v>86</v>
      </c>
      <c r="CJ302" s="217">
        <f t="shared" si="869"/>
        <v>8.6</v>
      </c>
      <c r="CK302" s="217">
        <f t="shared" si="812"/>
        <v>0.215</v>
      </c>
      <c r="CL302" s="217">
        <f t="shared" si="813"/>
        <v>129</v>
      </c>
      <c r="CM302" s="217">
        <f t="shared" si="814"/>
        <v>1.72</v>
      </c>
      <c r="CN302" s="541">
        <f t="shared" si="815"/>
        <v>85</v>
      </c>
      <c r="CO302" s="443">
        <f t="shared" si="816"/>
        <v>15.7</v>
      </c>
      <c r="CP302" s="443">
        <f t="shared" si="817"/>
        <v>100.7</v>
      </c>
      <c r="CQ302" s="443"/>
      <c r="CR302" s="217">
        <f t="shared" si="818"/>
        <v>0.15338645418326693</v>
      </c>
      <c r="CS302" s="172">
        <f t="shared" si="819"/>
        <v>321.65744915076539</v>
      </c>
      <c r="CT302" s="172">
        <f t="shared" si="820"/>
        <v>4.3459495351925632</v>
      </c>
      <c r="CU302" s="217">
        <f t="shared" si="821"/>
        <v>21.443829943384358</v>
      </c>
      <c r="CV302" s="217">
        <f t="shared" si="822"/>
        <v>40.207181143845673</v>
      </c>
      <c r="CW302" s="217">
        <f t="shared" si="823"/>
        <v>15</v>
      </c>
      <c r="CX302" s="217">
        <f t="shared" si="824"/>
        <v>20.052388082505729</v>
      </c>
      <c r="CY302" s="217">
        <f t="shared" si="825"/>
        <v>2.8309253763537501</v>
      </c>
      <c r="CZ302" s="217">
        <f t="shared" si="826"/>
        <v>15.326666050322851</v>
      </c>
      <c r="DA302" s="197">
        <f t="shared" si="827"/>
        <v>110.43528632903013</v>
      </c>
      <c r="DB302" s="443">
        <f t="shared" si="828"/>
        <v>55.073383716015847</v>
      </c>
      <c r="DD302" s="217">
        <f t="shared" si="829"/>
        <v>9.9999999999999982</v>
      </c>
      <c r="DE302" s="173">
        <f t="shared" si="830"/>
        <v>7.6433121019108263</v>
      </c>
      <c r="DF302" s="173">
        <f t="shared" si="831"/>
        <v>4.1649244760361679</v>
      </c>
      <c r="DG302" s="173"/>
      <c r="DH302" s="173">
        <f t="shared" si="832"/>
        <v>7.6433121019108281</v>
      </c>
      <c r="DI302" s="545">
        <f t="shared" si="833"/>
        <v>225.03333333333333</v>
      </c>
      <c r="DJ302" s="528">
        <f t="shared" si="834"/>
        <v>4.2204568023833167</v>
      </c>
      <c r="DL302" s="173">
        <f t="shared" si="835"/>
        <v>7.8897160308606198</v>
      </c>
      <c r="DM302" s="173">
        <f t="shared" si="836"/>
        <v>20.052388082505729</v>
      </c>
      <c r="DN302" s="173">
        <f t="shared" si="837"/>
        <v>8.6462133944486883</v>
      </c>
      <c r="DP302" s="545">
        <f t="shared" si="838"/>
        <v>8600</v>
      </c>
      <c r="DQ302" s="460">
        <f t="shared" si="839"/>
        <v>55.073383716015847</v>
      </c>
      <c r="DS302">
        <f t="shared" si="840"/>
        <v>8600</v>
      </c>
      <c r="DT302">
        <f t="shared" si="841"/>
        <v>55.073383716015847</v>
      </c>
      <c r="DV302" s="5">
        <f t="shared" si="870"/>
        <v>18.1575914266766</v>
      </c>
      <c r="DW302" s="5">
        <f t="shared" si="842"/>
        <v>2.8309253763537501</v>
      </c>
      <c r="DX302" s="5">
        <f t="shared" si="843"/>
        <v>15.326666050322849</v>
      </c>
      <c r="DY302" s="173">
        <f t="shared" si="844"/>
        <v>0.15590863952333664</v>
      </c>
      <c r="EA302" s="5">
        <f t="shared" si="871"/>
        <v>162.30638824428166</v>
      </c>
      <c r="EB302" s="5">
        <f t="shared" si="872"/>
        <v>7.6081119489507039</v>
      </c>
      <c r="EC302" s="5">
        <f t="shared" si="873"/>
        <v>8.0208516044285894</v>
      </c>
      <c r="ED302" s="5"/>
      <c r="EE302" s="173">
        <f t="shared" si="874"/>
        <v>4.5713088530226011</v>
      </c>
      <c r="EF302" s="173">
        <f t="shared" si="875"/>
        <v>10.636535681668937</v>
      </c>
      <c r="EG302" s="173">
        <f t="shared" si="876"/>
        <v>0.26195076110149385</v>
      </c>
      <c r="EH302" s="173"/>
      <c r="EI302" s="528">
        <f t="shared" si="877"/>
        <v>0.41793729259445622</v>
      </c>
      <c r="EJ302" s="528">
        <f t="shared" si="878"/>
        <v>2.2241666666666671</v>
      </c>
      <c r="EK302" s="528">
        <f t="shared" si="879"/>
        <v>6.8841729645019801E-3</v>
      </c>
      <c r="EL302" s="528">
        <f t="shared" si="880"/>
        <v>5.5847109683842155E-2</v>
      </c>
      <c r="EM302">
        <f t="shared" si="881"/>
        <v>3.8249999999999999E-2</v>
      </c>
      <c r="EN302" s="460">
        <f t="shared" si="882"/>
        <v>45.134172964501978</v>
      </c>
      <c r="EP302" s="460">
        <f t="shared" si="883"/>
        <v>2743.0852419094676</v>
      </c>
      <c r="EQ302" s="173">
        <f t="shared" si="884"/>
        <v>6.02</v>
      </c>
      <c r="ER302" s="173">
        <f t="shared" si="845"/>
        <v>9.5406249999999998E-2</v>
      </c>
      <c r="ES302" s="528"/>
      <c r="EU302" s="460">
        <f t="shared" si="885"/>
        <v>6115.4062499999991</v>
      </c>
      <c r="EV302" s="528">
        <f t="shared" si="886"/>
        <v>0.62690593889168422</v>
      </c>
      <c r="EW302" s="528">
        <f t="shared" si="887"/>
        <v>3.394076739222494</v>
      </c>
      <c r="EX302" s="528">
        <f t="shared" si="888"/>
        <v>3.430910062082595E-4</v>
      </c>
      <c r="EY302" s="528">
        <f t="shared" si="889"/>
        <v>2.0264675705467923</v>
      </c>
      <c r="EZ302" s="528"/>
      <c r="FA302" s="625">
        <f t="shared" si="890"/>
        <v>2.2144912194723514E-2</v>
      </c>
      <c r="FB302" s="460">
        <f t="shared" si="891"/>
        <v>6069.9382518619013</v>
      </c>
      <c r="FC302" s="173">
        <f t="shared" si="892"/>
        <v>14.928429743771369</v>
      </c>
      <c r="FD302" s="5">
        <f t="shared" si="893"/>
        <v>130.72</v>
      </c>
      <c r="FE302" s="173">
        <f t="shared" si="894"/>
        <v>0.89750366845674978</v>
      </c>
      <c r="FF302" s="5">
        <f t="shared" si="895"/>
        <v>89.750366845674975</v>
      </c>
      <c r="FG302">
        <f t="shared" si="896"/>
        <v>86</v>
      </c>
      <c r="FI302" s="562">
        <f t="shared" si="846"/>
        <v>-50</v>
      </c>
    </row>
    <row r="303" spans="5:165">
      <c r="E303" s="170">
        <v>87</v>
      </c>
      <c r="F303" s="217">
        <f t="shared" si="847"/>
        <v>8.6999999999999993</v>
      </c>
      <c r="G303" s="217">
        <f t="shared" si="775"/>
        <v>0.2175</v>
      </c>
      <c r="H303" s="217">
        <f t="shared" si="776"/>
        <v>130.5</v>
      </c>
      <c r="I303" s="217">
        <f t="shared" si="777"/>
        <v>1.74</v>
      </c>
      <c r="J303" s="541">
        <f t="shared" si="778"/>
        <v>84.426952580469703</v>
      </c>
      <c r="K303" s="443">
        <f t="shared" si="779"/>
        <v>16.009208235294118</v>
      </c>
      <c r="L303" s="172">
        <f t="shared" si="780"/>
        <v>100.43616081576383</v>
      </c>
      <c r="M303" s="443"/>
      <c r="N303" s="217">
        <f t="shared" si="781"/>
        <v>0.1593968557267017</v>
      </c>
      <c r="O303" s="172">
        <f t="shared" si="782"/>
        <v>332.00799621498885</v>
      </c>
      <c r="P303" s="172">
        <f t="shared" si="783"/>
        <v>4.4857969266380717</v>
      </c>
      <c r="Q303" s="217">
        <f t="shared" si="784"/>
        <v>22.133866414332591</v>
      </c>
      <c r="R303" s="217">
        <f t="shared" si="785"/>
        <v>41.500999526873606</v>
      </c>
      <c r="S303" s="217">
        <f t="shared" si="786"/>
        <v>15</v>
      </c>
      <c r="T303" s="217">
        <f t="shared" si="787"/>
        <v>19.653141112224279</v>
      </c>
      <c r="U303" s="217">
        <f t="shared" si="788"/>
        <v>2.7933934145249149</v>
      </c>
      <c r="V303" s="217">
        <f t="shared" si="789"/>
        <v>14.731377709658394</v>
      </c>
      <c r="W303" s="197">
        <f t="shared" si="790"/>
        <v>112.14492316595179</v>
      </c>
      <c r="X303" s="443">
        <f t="shared" si="848"/>
        <v>56.418217927543267</v>
      </c>
      <c r="Z303" s="217">
        <f t="shared" si="791"/>
        <v>10</v>
      </c>
      <c r="AA303" s="173">
        <f t="shared" si="792"/>
        <v>7.4956861224058775</v>
      </c>
      <c r="AB303" s="173">
        <f t="shared" si="793"/>
        <v>4.1477128829274577</v>
      </c>
      <c r="AC303" s="173"/>
      <c r="AD303" s="173">
        <f t="shared" si="794"/>
        <v>7.4956861224058775</v>
      </c>
      <c r="AE303" s="545">
        <f t="shared" si="795"/>
        <v>232.13351941176467</v>
      </c>
      <c r="AF303" s="528">
        <f t="shared" si="796"/>
        <v>4.2030157213664916</v>
      </c>
      <c r="AH303" s="173">
        <f t="shared" si="797"/>
        <v>7.9354538982611809</v>
      </c>
      <c r="AI303" s="173">
        <f t="shared" si="798"/>
        <v>19.653141112224279</v>
      </c>
      <c r="AJ303" s="173">
        <f t="shared" si="799"/>
        <v>8.3504748979439096</v>
      </c>
      <c r="AL303" s="545">
        <f t="shared" si="800"/>
        <v>8700</v>
      </c>
      <c r="AM303" s="460">
        <f t="shared" si="801"/>
        <v>56.418217927543267</v>
      </c>
      <c r="AO303">
        <f t="shared" si="802"/>
        <v>8700</v>
      </c>
      <c r="AP303">
        <f t="shared" si="803"/>
        <v>56.418217927543267</v>
      </c>
      <c r="AR303" s="5">
        <f t="shared" si="774"/>
        <v>17.724771124183309</v>
      </c>
      <c r="AS303" s="5">
        <f t="shared" si="739"/>
        <v>2.7933934145249149</v>
      </c>
      <c r="AT303" s="5">
        <f t="shared" si="740"/>
        <v>14.931377709658396</v>
      </c>
      <c r="AU303" s="173">
        <f t="shared" si="741"/>
        <v>0.15759827841803084</v>
      </c>
      <c r="BA303" s="173">
        <f t="shared" si="849"/>
        <v>4.5045050651121281</v>
      </c>
      <c r="BB303" s="173">
        <f t="shared" si="850"/>
        <v>10.414321196188412</v>
      </c>
      <c r="BC303" s="173">
        <f t="shared" si="851"/>
        <v>0.25647818475318923</v>
      </c>
      <c r="BD303" s="173"/>
      <c r="BE303" s="528">
        <f t="shared" si="852"/>
        <v>0.40581131763241635</v>
      </c>
      <c r="BF303" s="528">
        <f t="shared" si="804"/>
        <v>2.0880587407724636</v>
      </c>
      <c r="BG303" s="528">
        <f t="shared" si="805"/>
        <v>0.11908045524108253</v>
      </c>
      <c r="BH303" s="528">
        <f t="shared" si="853"/>
        <v>5.6911439525709338E-2</v>
      </c>
      <c r="BI303">
        <f t="shared" si="854"/>
        <v>3.7992128661211363E-2</v>
      </c>
      <c r="BJ303" s="460">
        <f t="shared" si="855"/>
        <v>157.0725839022939</v>
      </c>
      <c r="BK303">
        <f t="shared" si="806"/>
        <v>2.9442360588031873</v>
      </c>
      <c r="BL303" s="460">
        <f t="shared" si="856"/>
        <v>2707.8540818328834</v>
      </c>
      <c r="BM303" s="173">
        <f t="shared" si="807"/>
        <v>5.4048749999999988</v>
      </c>
      <c r="BN303" s="173">
        <f t="shared" si="808"/>
        <v>9.6515624999999994E-2</v>
      </c>
      <c r="BQ303" s="460">
        <f t="shared" si="857"/>
        <v>5501.3906249999991</v>
      </c>
      <c r="BR303" s="528">
        <f t="shared" si="858"/>
        <v>0.60871697644862455</v>
      </c>
      <c r="BS303" s="528">
        <f t="shared" si="859"/>
        <v>3.253742579321377</v>
      </c>
      <c r="BT303" s="528">
        <f t="shared" si="860"/>
        <v>3.2890529627145534E-4</v>
      </c>
      <c r="BU303" s="528">
        <f t="shared" si="861"/>
        <v>2.0469081047962874</v>
      </c>
      <c r="BV303" s="528"/>
      <c r="BW303" s="625">
        <f t="shared" si="862"/>
        <v>2.1791308495375396E-2</v>
      </c>
      <c r="BX303" s="460">
        <f t="shared" si="863"/>
        <v>5931.4878743579357</v>
      </c>
      <c r="BY303" s="173">
        <f t="shared" si="864"/>
        <v>14.140732581190818</v>
      </c>
      <c r="BZ303" s="5">
        <f t="shared" si="865"/>
        <v>132.24</v>
      </c>
      <c r="CA303" s="173">
        <f t="shared" si="866"/>
        <v>0.90339758292063743</v>
      </c>
      <c r="CB303" s="5">
        <f t="shared" si="867"/>
        <v>90.339758292063749</v>
      </c>
      <c r="CC303">
        <f t="shared" si="868"/>
        <v>86.999999999999986</v>
      </c>
      <c r="CE303" s="562">
        <f t="shared" si="809"/>
        <v>-50</v>
      </c>
      <c r="CG303" s="173">
        <f t="shared" si="810"/>
        <v>0.84409136047666333</v>
      </c>
      <c r="CH303" s="173">
        <f t="shared" si="811"/>
        <v>0.1020398968288061</v>
      </c>
      <c r="CI303" s="170">
        <v>87</v>
      </c>
      <c r="CJ303" s="217">
        <f t="shared" si="869"/>
        <v>8.6999999999999993</v>
      </c>
      <c r="CK303" s="217">
        <f t="shared" si="812"/>
        <v>0.2175</v>
      </c>
      <c r="CL303" s="217">
        <f t="shared" si="813"/>
        <v>130.5</v>
      </c>
      <c r="CM303" s="217">
        <f t="shared" si="814"/>
        <v>1.74</v>
      </c>
      <c r="CN303" s="541">
        <f t="shared" si="815"/>
        <v>85</v>
      </c>
      <c r="CO303" s="443">
        <f t="shared" si="816"/>
        <v>15.7</v>
      </c>
      <c r="CP303" s="443">
        <f t="shared" si="817"/>
        <v>100.7</v>
      </c>
      <c r="CQ303" s="443"/>
      <c r="CR303" s="217">
        <f t="shared" si="818"/>
        <v>0.15338645418326693</v>
      </c>
      <c r="CS303" s="172">
        <f t="shared" si="819"/>
        <v>321.65744915076539</v>
      </c>
      <c r="CT303" s="172">
        <f t="shared" si="820"/>
        <v>4.3459495351925632</v>
      </c>
      <c r="CU303" s="217">
        <f t="shared" si="821"/>
        <v>21.443829943384358</v>
      </c>
      <c r="CV303" s="217">
        <f t="shared" si="822"/>
        <v>40.207181143845673</v>
      </c>
      <c r="CW303" s="217">
        <f t="shared" si="823"/>
        <v>15</v>
      </c>
      <c r="CX303" s="217">
        <f t="shared" si="824"/>
        <v>20.28555538579068</v>
      </c>
      <c r="CY303" s="217">
        <f t="shared" si="825"/>
        <v>2.8638431132880964</v>
      </c>
      <c r="CZ303" s="217">
        <f t="shared" si="826"/>
        <v>15.504883097419629</v>
      </c>
      <c r="DA303" s="197">
        <f t="shared" si="827"/>
        <v>110.43528632903013</v>
      </c>
      <c r="DB303" s="443">
        <f t="shared" si="828"/>
        <v>54.440356316981166</v>
      </c>
      <c r="DD303" s="217">
        <f t="shared" si="829"/>
        <v>9.9999999999999982</v>
      </c>
      <c r="DE303" s="173">
        <f t="shared" si="830"/>
        <v>7.6433121019108263</v>
      </c>
      <c r="DF303" s="173">
        <f t="shared" si="831"/>
        <v>4.1649244760361679</v>
      </c>
      <c r="DG303" s="173"/>
      <c r="DH303" s="173">
        <f t="shared" si="832"/>
        <v>7.6433121019108281</v>
      </c>
      <c r="DI303" s="545">
        <f t="shared" si="833"/>
        <v>227.65</v>
      </c>
      <c r="DJ303" s="528">
        <f t="shared" si="834"/>
        <v>4.2204568023833167</v>
      </c>
      <c r="DL303" s="173">
        <f t="shared" si="835"/>
        <v>7.9354538982611809</v>
      </c>
      <c r="DM303" s="173">
        <f t="shared" si="836"/>
        <v>20.28555538579068</v>
      </c>
      <c r="DN303" s="173">
        <f t="shared" si="837"/>
        <v>8.8189299154005028</v>
      </c>
      <c r="DP303" s="545">
        <f t="shared" si="838"/>
        <v>8700</v>
      </c>
      <c r="DQ303" s="460">
        <f t="shared" si="839"/>
        <v>54.440356316981166</v>
      </c>
      <c r="DS303">
        <f t="shared" si="840"/>
        <v>8700</v>
      </c>
      <c r="DT303">
        <f t="shared" si="841"/>
        <v>54.440356316981166</v>
      </c>
      <c r="DV303" s="5">
        <f t="shared" si="870"/>
        <v>18.368726210707727</v>
      </c>
      <c r="DW303" s="5">
        <f t="shared" si="842"/>
        <v>2.8638431132880964</v>
      </c>
      <c r="DX303" s="5">
        <f t="shared" si="843"/>
        <v>15.504883097419631</v>
      </c>
      <c r="DY303" s="173">
        <f t="shared" si="844"/>
        <v>0.15590863952333664</v>
      </c>
      <c r="EA303" s="5">
        <f t="shared" si="871"/>
        <v>166.10290057070955</v>
      </c>
      <c r="EB303" s="5">
        <f t="shared" si="872"/>
        <v>7.786073464252012</v>
      </c>
      <c r="EC303" s="5">
        <f t="shared" si="873"/>
        <v>8.2084675221633336</v>
      </c>
      <c r="ED303" s="5"/>
      <c r="EE303" s="173">
        <f t="shared" si="874"/>
        <v>4.6244636071275149</v>
      </c>
      <c r="EF303" s="173">
        <f t="shared" si="875"/>
        <v>10.760216329130204</v>
      </c>
      <c r="EG303" s="173">
        <f t="shared" si="876"/>
        <v>0.26499670018406934</v>
      </c>
      <c r="EH303" s="173"/>
      <c r="EI303" s="528">
        <f t="shared" si="877"/>
        <v>0.42771327307293655</v>
      </c>
      <c r="EJ303" s="528">
        <f t="shared" si="878"/>
        <v>2.2241666666666662</v>
      </c>
      <c r="EK303" s="528">
        <f t="shared" si="879"/>
        <v>6.8050445396226457E-3</v>
      </c>
      <c r="EL303" s="528">
        <f t="shared" si="880"/>
        <v>5.5205188882878439E-2</v>
      </c>
      <c r="EM303">
        <f t="shared" si="881"/>
        <v>3.8249999999999999E-2</v>
      </c>
      <c r="EN303" s="460">
        <f t="shared" si="882"/>
        <v>45.055044539622649</v>
      </c>
      <c r="EP303" s="460">
        <f t="shared" si="883"/>
        <v>2752.140173162104</v>
      </c>
      <c r="EQ303" s="173">
        <f t="shared" si="884"/>
        <v>6.089999999999999</v>
      </c>
      <c r="ER303" s="173">
        <f t="shared" si="845"/>
        <v>9.6515624999999994E-2</v>
      </c>
      <c r="ES303" s="528"/>
      <c r="EU303" s="460">
        <f t="shared" si="885"/>
        <v>6186.5156249999991</v>
      </c>
      <c r="EV303" s="528">
        <f t="shared" si="886"/>
        <v>0.64156990960940474</v>
      </c>
      <c r="EW303" s="528">
        <f t="shared" si="887"/>
        <v>3.4734676634904083</v>
      </c>
      <c r="EX303" s="528">
        <f t="shared" si="888"/>
        <v>3.5111625554222774E-4</v>
      </c>
      <c r="EY303" s="528">
        <f t="shared" si="889"/>
        <v>2.0264675705467892</v>
      </c>
      <c r="EZ303" s="528"/>
      <c r="FA303" s="625">
        <f t="shared" si="890"/>
        <v>2.2402411173731925E-2</v>
      </c>
      <c r="FB303" s="460">
        <f t="shared" si="891"/>
        <v>6164.2586710758769</v>
      </c>
      <c r="FC303" s="173">
        <f t="shared" si="892"/>
        <v>15.10291446923798</v>
      </c>
      <c r="FD303" s="5">
        <f t="shared" si="893"/>
        <v>132.24</v>
      </c>
      <c r="FE303" s="173">
        <f t="shared" si="894"/>
        <v>0.89749819647831697</v>
      </c>
      <c r="FF303" s="5">
        <f t="shared" si="895"/>
        <v>89.7498196478317</v>
      </c>
      <c r="FG303">
        <f t="shared" si="896"/>
        <v>86.999999999999986</v>
      </c>
      <c r="FI303" s="562">
        <f t="shared" si="846"/>
        <v>-50</v>
      </c>
    </row>
    <row r="304" spans="5:165">
      <c r="E304" s="170">
        <v>88</v>
      </c>
      <c r="F304" s="217">
        <f t="shared" si="847"/>
        <v>8.8000000000000007</v>
      </c>
      <c r="G304" s="217">
        <f t="shared" si="775"/>
        <v>0.22</v>
      </c>
      <c r="H304" s="217">
        <f t="shared" si="776"/>
        <v>132</v>
      </c>
      <c r="I304" s="217">
        <f t="shared" si="777"/>
        <v>1.76</v>
      </c>
      <c r="J304" s="541">
        <f t="shared" si="778"/>
        <v>84.420365828521085</v>
      </c>
      <c r="K304" s="443">
        <f t="shared" si="779"/>
        <v>16.012762352941177</v>
      </c>
      <c r="L304" s="172">
        <f t="shared" si="780"/>
        <v>100.43312818146227</v>
      </c>
      <c r="M304" s="443"/>
      <c r="N304" s="217">
        <f t="shared" si="781"/>
        <v>0.15943705670512789</v>
      </c>
      <c r="O304" s="172">
        <f t="shared" si="782"/>
        <v>332.06582204776868</v>
      </c>
      <c r="P304" s="172">
        <f t="shared" si="783"/>
        <v>4.4865782178898526</v>
      </c>
      <c r="Q304" s="217">
        <f t="shared" si="784"/>
        <v>22.137721469851247</v>
      </c>
      <c r="R304" s="217">
        <f t="shared" si="785"/>
        <v>41.508227755971085</v>
      </c>
      <c r="S304" s="217">
        <f t="shared" si="786"/>
        <v>15</v>
      </c>
      <c r="T304" s="217">
        <f t="shared" si="787"/>
        <v>19.875577556580243</v>
      </c>
      <c r="U304" s="217">
        <f t="shared" si="788"/>
        <v>2.8252297693595669</v>
      </c>
      <c r="V304" s="217">
        <f t="shared" si="789"/>
        <v>14.894802372131293</v>
      </c>
      <c r="W304" s="197">
        <f t="shared" si="790"/>
        <v>112.1644554472463</v>
      </c>
      <c r="X304" s="443">
        <f t="shared" si="848"/>
        <v>55.803471338908253</v>
      </c>
      <c r="Z304" s="217">
        <f t="shared" si="791"/>
        <v>10</v>
      </c>
      <c r="AA304" s="173">
        <f t="shared" si="792"/>
        <v>7.4940224150618686</v>
      </c>
      <c r="AB304" s="173">
        <f t="shared" si="793"/>
        <v>4.1475145228365404</v>
      </c>
      <c r="AC304" s="173"/>
      <c r="AD304" s="173">
        <f t="shared" si="794"/>
        <v>7.4940224150618686</v>
      </c>
      <c r="AE304" s="545">
        <f t="shared" si="795"/>
        <v>234.85384784313729</v>
      </c>
      <c r="AF304" s="528">
        <f t="shared" si="796"/>
        <v>4.2028147164743599</v>
      </c>
      <c r="AH304" s="173">
        <f t="shared" si="797"/>
        <v>7.9809296510643479</v>
      </c>
      <c r="AI304" s="173">
        <f t="shared" si="798"/>
        <v>19.875577556580243</v>
      </c>
      <c r="AJ304" s="173">
        <f t="shared" si="799"/>
        <v>8.515242634503883</v>
      </c>
      <c r="AL304" s="545">
        <f t="shared" si="800"/>
        <v>8800</v>
      </c>
      <c r="AM304" s="460">
        <f t="shared" si="801"/>
        <v>55.803471338908253</v>
      </c>
      <c r="AO304">
        <f t="shared" si="802"/>
        <v>8800</v>
      </c>
      <c r="AP304">
        <f t="shared" si="803"/>
        <v>55.803471338908253</v>
      </c>
      <c r="AR304" s="5">
        <f t="shared" si="774"/>
        <v>17.920032141490864</v>
      </c>
      <c r="AS304" s="5">
        <f t="shared" si="739"/>
        <v>2.8252297693595669</v>
      </c>
      <c r="AT304" s="5">
        <f t="shared" si="740"/>
        <v>15.094802372131298</v>
      </c>
      <c r="AU304" s="173">
        <f t="shared" si="741"/>
        <v>0.15765762846028694</v>
      </c>
      <c r="BA304" s="173">
        <f t="shared" si="849"/>
        <v>4.5563452524593897</v>
      </c>
      <c r="BB304" s="173">
        <f t="shared" si="850"/>
        <v>10.531820624956994</v>
      </c>
      <c r="BC304" s="173">
        <f t="shared" si="851"/>
        <v>0.25937189617541145</v>
      </c>
      <c r="BD304" s="173"/>
      <c r="BE304" s="528">
        <f t="shared" si="852"/>
        <v>0.41520564119218445</v>
      </c>
      <c r="BF304" s="528">
        <f t="shared" si="804"/>
        <v>2.0886190514261402</v>
      </c>
      <c r="BG304" s="528">
        <f t="shared" si="805"/>
        <v>0.11777373662330066</v>
      </c>
      <c r="BH304" s="528">
        <f t="shared" si="853"/>
        <v>5.6287919333357042E-2</v>
      </c>
      <c r="BI304">
        <f t="shared" si="854"/>
        <v>3.7989164622834484E-2</v>
      </c>
      <c r="BJ304" s="460">
        <f t="shared" si="855"/>
        <v>155.76290124613516</v>
      </c>
      <c r="BK304">
        <f t="shared" si="806"/>
        <v>2.9646936430098396</v>
      </c>
      <c r="BL304" s="460">
        <f t="shared" si="856"/>
        <v>2715.8755131978173</v>
      </c>
      <c r="BM304" s="173">
        <f t="shared" si="807"/>
        <v>5.4669999999999996</v>
      </c>
      <c r="BN304" s="173">
        <f t="shared" si="808"/>
        <v>9.762499999999999E-2</v>
      </c>
      <c r="BQ304" s="460">
        <f t="shared" si="857"/>
        <v>5564.6249999999991</v>
      </c>
      <c r="BR304" s="528">
        <f t="shared" si="858"/>
        <v>0.62280846178827665</v>
      </c>
      <c r="BS304" s="528">
        <f t="shared" si="859"/>
        <v>3.3275773702880862</v>
      </c>
      <c r="BT304" s="528">
        <f t="shared" si="860"/>
        <v>3.3636890262814213E-4</v>
      </c>
      <c r="BU304" s="528">
        <f t="shared" si="861"/>
        <v>2.0484361778591644</v>
      </c>
      <c r="BV304" s="528"/>
      <c r="BW304" s="625">
        <f t="shared" si="862"/>
        <v>2.2044524255790256E-2</v>
      </c>
      <c r="BX304" s="460">
        <f t="shared" si="863"/>
        <v>6021.2029030939448</v>
      </c>
      <c r="BY304" s="173">
        <f t="shared" si="864"/>
        <v>14.301703416291764</v>
      </c>
      <c r="BZ304" s="5">
        <f t="shared" si="865"/>
        <v>133.76</v>
      </c>
      <c r="CA304" s="173">
        <f t="shared" si="866"/>
        <v>0.90340713981872178</v>
      </c>
      <c r="CB304" s="5">
        <f t="shared" si="867"/>
        <v>90.340713981872184</v>
      </c>
      <c r="CC304">
        <f t="shared" si="868"/>
        <v>88.000000000000014</v>
      </c>
      <c r="CE304" s="562">
        <f t="shared" si="809"/>
        <v>-50</v>
      </c>
      <c r="CG304" s="173">
        <f t="shared" si="810"/>
        <v>0.84409136047666333</v>
      </c>
      <c r="CH304" s="173">
        <f t="shared" si="811"/>
        <v>0.1020398968288061</v>
      </c>
      <c r="CI304" s="170">
        <v>88</v>
      </c>
      <c r="CJ304" s="217">
        <f t="shared" si="869"/>
        <v>8.8000000000000007</v>
      </c>
      <c r="CK304" s="217">
        <f t="shared" si="812"/>
        <v>0.22</v>
      </c>
      <c r="CL304" s="217">
        <f t="shared" si="813"/>
        <v>132</v>
      </c>
      <c r="CM304" s="217">
        <f t="shared" si="814"/>
        <v>1.76</v>
      </c>
      <c r="CN304" s="541">
        <f t="shared" si="815"/>
        <v>85</v>
      </c>
      <c r="CO304" s="443">
        <f t="shared" si="816"/>
        <v>15.7</v>
      </c>
      <c r="CP304" s="443">
        <f t="shared" si="817"/>
        <v>100.7</v>
      </c>
      <c r="CQ304" s="443"/>
      <c r="CR304" s="217">
        <f t="shared" si="818"/>
        <v>0.15338645418326693</v>
      </c>
      <c r="CS304" s="172">
        <f t="shared" si="819"/>
        <v>321.65744915076539</v>
      </c>
      <c r="CT304" s="172">
        <f t="shared" si="820"/>
        <v>4.3459495351925632</v>
      </c>
      <c r="CU304" s="217">
        <f t="shared" si="821"/>
        <v>21.443829943384358</v>
      </c>
      <c r="CV304" s="217">
        <f t="shared" si="822"/>
        <v>40.207181143845673</v>
      </c>
      <c r="CW304" s="217">
        <f t="shared" si="823"/>
        <v>15</v>
      </c>
      <c r="CX304" s="217">
        <f t="shared" si="824"/>
        <v>20.518722689075627</v>
      </c>
      <c r="CY304" s="217">
        <f t="shared" si="825"/>
        <v>2.8967608502224418</v>
      </c>
      <c r="CZ304" s="217">
        <f t="shared" si="826"/>
        <v>15.683100144516407</v>
      </c>
      <c r="DA304" s="197">
        <f t="shared" si="827"/>
        <v>110.43528632903013</v>
      </c>
      <c r="DB304" s="443">
        <f t="shared" si="828"/>
        <v>53.821715904288212</v>
      </c>
      <c r="DD304" s="217">
        <f t="shared" si="829"/>
        <v>9.9999999999999982</v>
      </c>
      <c r="DE304" s="173">
        <f t="shared" si="830"/>
        <v>7.6433121019108263</v>
      </c>
      <c r="DF304" s="173">
        <f t="shared" si="831"/>
        <v>4.1649244760361679</v>
      </c>
      <c r="DG304" s="173"/>
      <c r="DH304" s="173">
        <f t="shared" si="832"/>
        <v>7.6433121019108281</v>
      </c>
      <c r="DI304" s="545">
        <f t="shared" si="833"/>
        <v>230.26666666666671</v>
      </c>
      <c r="DJ304" s="528">
        <f t="shared" si="834"/>
        <v>4.2204568023833167</v>
      </c>
      <c r="DL304" s="173">
        <f t="shared" si="835"/>
        <v>7.9809296510643479</v>
      </c>
      <c r="DM304" s="173">
        <f t="shared" si="836"/>
        <v>20.518722689075627</v>
      </c>
      <c r="DN304" s="173">
        <f t="shared" si="837"/>
        <v>8.9916464363523154</v>
      </c>
      <c r="DP304" s="545">
        <f t="shared" si="838"/>
        <v>8800</v>
      </c>
      <c r="DQ304" s="460">
        <f t="shared" si="839"/>
        <v>53.821715904288212</v>
      </c>
      <c r="DS304">
        <f t="shared" si="840"/>
        <v>8800</v>
      </c>
      <c r="DT304">
        <f t="shared" si="841"/>
        <v>53.821715904288212</v>
      </c>
      <c r="DV304" s="5">
        <f t="shared" si="870"/>
        <v>18.579860994738848</v>
      </c>
      <c r="DW304" s="5">
        <f t="shared" si="842"/>
        <v>2.8967608502224418</v>
      </c>
      <c r="DX304" s="5">
        <f t="shared" si="843"/>
        <v>15.683100144516406</v>
      </c>
      <c r="DY304" s="173">
        <f t="shared" si="844"/>
        <v>0.15590863952333664</v>
      </c>
      <c r="EA304" s="5">
        <f t="shared" si="871"/>
        <v>169.94330321304992</v>
      </c>
      <c r="EB304" s="5">
        <f t="shared" si="872"/>
        <v>7.9660923381117152</v>
      </c>
      <c r="EC304" s="5">
        <f t="shared" si="873"/>
        <v>8.3982524100452949</v>
      </c>
      <c r="ED304" s="5"/>
      <c r="EE304" s="173">
        <f t="shared" si="874"/>
        <v>4.6776183612324278</v>
      </c>
      <c r="EF304" s="173">
        <f t="shared" si="875"/>
        <v>10.883896976591467</v>
      </c>
      <c r="EG304" s="173">
        <f t="shared" si="876"/>
        <v>0.26804263926664484</v>
      </c>
      <c r="EH304" s="173"/>
      <c r="EI304" s="528">
        <f t="shared" si="877"/>
        <v>0.43760227066677487</v>
      </c>
      <c r="EJ304" s="528">
        <f t="shared" si="878"/>
        <v>2.2241666666666662</v>
      </c>
      <c r="EK304" s="528">
        <f t="shared" si="879"/>
        <v>6.7277144880360257E-3</v>
      </c>
      <c r="EL304" s="528">
        <f t="shared" si="880"/>
        <v>5.4577857191027562E-2</v>
      </c>
      <c r="EM304">
        <f t="shared" si="881"/>
        <v>3.8249999999999999E-2</v>
      </c>
      <c r="EN304" s="460">
        <f t="shared" si="882"/>
        <v>44.977714488036021</v>
      </c>
      <c r="EP304" s="460">
        <f t="shared" si="883"/>
        <v>2761.3245090125047</v>
      </c>
      <c r="EQ304" s="173">
        <f t="shared" si="884"/>
        <v>6.16</v>
      </c>
      <c r="ER304" s="173">
        <f t="shared" si="845"/>
        <v>9.762499999999999E-2</v>
      </c>
      <c r="ES304" s="528"/>
      <c r="EU304" s="460">
        <f t="shared" si="885"/>
        <v>6257.625</v>
      </c>
      <c r="EV304" s="528">
        <f t="shared" si="886"/>
        <v>0.65640340600016234</v>
      </c>
      <c r="EW304" s="528">
        <f t="shared" si="887"/>
        <v>3.5537764019117066</v>
      </c>
      <c r="EX304" s="528">
        <f t="shared" si="888"/>
        <v>3.5923428232514351E-4</v>
      </c>
      <c r="EY304" s="528">
        <f t="shared" si="889"/>
        <v>2.0264675705467892</v>
      </c>
      <c r="EZ304" s="528"/>
      <c r="FA304" s="625">
        <f t="shared" si="890"/>
        <v>2.2659910152740336E-2</v>
      </c>
      <c r="FB304" s="460">
        <f t="shared" si="891"/>
        <v>6259.6665228937245</v>
      </c>
      <c r="FC304" s="173">
        <f t="shared" si="892"/>
        <v>15.278616031906228</v>
      </c>
      <c r="FD304" s="5">
        <f t="shared" si="893"/>
        <v>133.76</v>
      </c>
      <c r="FE304" s="173">
        <f t="shared" si="894"/>
        <v>0.89748552127835524</v>
      </c>
      <c r="FF304" s="5">
        <f t="shared" si="895"/>
        <v>89.748552127835524</v>
      </c>
      <c r="FG304">
        <f t="shared" si="896"/>
        <v>88.000000000000014</v>
      </c>
      <c r="FI304" s="562">
        <f t="shared" si="846"/>
        <v>-50</v>
      </c>
    </row>
    <row r="305" spans="5:169">
      <c r="E305" s="170">
        <v>89</v>
      </c>
      <c r="F305" s="217">
        <f t="shared" si="847"/>
        <v>8.9</v>
      </c>
      <c r="G305" s="217">
        <f t="shared" si="775"/>
        <v>0.2225</v>
      </c>
      <c r="H305" s="217">
        <f t="shared" si="776"/>
        <v>133.5</v>
      </c>
      <c r="I305" s="217">
        <f t="shared" si="777"/>
        <v>1.78</v>
      </c>
      <c r="J305" s="541">
        <f t="shared" si="778"/>
        <v>84.413779076572453</v>
      </c>
      <c r="K305" s="443">
        <f t="shared" si="779"/>
        <v>16.016316470588233</v>
      </c>
      <c r="L305" s="172">
        <f t="shared" si="780"/>
        <v>100.43009554716069</v>
      </c>
      <c r="M305" s="443"/>
      <c r="N305" s="217">
        <f t="shared" si="781"/>
        <v>0.15947726011140928</v>
      </c>
      <c r="O305" s="172">
        <f t="shared" si="782"/>
        <v>332.12363987125616</v>
      </c>
      <c r="P305" s="172">
        <f t="shared" si="783"/>
        <v>4.4873594009271951</v>
      </c>
      <c r="Q305" s="217">
        <f t="shared" si="784"/>
        <v>22.141575991417078</v>
      </c>
      <c r="R305" s="217">
        <f t="shared" si="785"/>
        <v>41.51545498390702</v>
      </c>
      <c r="S305" s="217">
        <f t="shared" si="786"/>
        <v>15</v>
      </c>
      <c r="T305" s="217">
        <f t="shared" si="787"/>
        <v>20.097937029075936</v>
      </c>
      <c r="U305" s="217">
        <f t="shared" si="788"/>
        <v>2.8570601504541</v>
      </c>
      <c r="V305" s="217">
        <f t="shared" si="789"/>
        <v>15.058096834674593</v>
      </c>
      <c r="W305" s="197">
        <f t="shared" si="790"/>
        <v>112.18398502317986</v>
      </c>
      <c r="X305" s="443">
        <f t="shared" si="848"/>
        <v>55.202392163696494</v>
      </c>
      <c r="Z305" s="217">
        <f t="shared" si="791"/>
        <v>10</v>
      </c>
      <c r="AA305" s="173">
        <f t="shared" si="792"/>
        <v>7.4923594460913367</v>
      </c>
      <c r="AB305" s="173">
        <f t="shared" si="793"/>
        <v>4.1473161507660725</v>
      </c>
      <c r="AC305" s="173"/>
      <c r="AD305" s="173">
        <f t="shared" si="794"/>
        <v>7.4923594460913367</v>
      </c>
      <c r="AE305" s="545">
        <f t="shared" si="795"/>
        <v>237.57536098039211</v>
      </c>
      <c r="AF305" s="528">
        <f t="shared" si="796"/>
        <v>4.2026136994429528</v>
      </c>
      <c r="AH305" s="173">
        <f t="shared" si="797"/>
        <v>8.026147744656063</v>
      </c>
      <c r="AI305" s="173">
        <f t="shared" si="798"/>
        <v>20.097937029075936</v>
      </c>
      <c r="AJ305" s="173">
        <f t="shared" si="799"/>
        <v>8.6799533548710635</v>
      </c>
      <c r="AL305" s="545">
        <f t="shared" si="800"/>
        <v>8900</v>
      </c>
      <c r="AM305" s="460">
        <f t="shared" si="801"/>
        <v>55.202392163696494</v>
      </c>
      <c r="AO305">
        <f t="shared" si="802"/>
        <v>8900</v>
      </c>
      <c r="AP305">
        <f t="shared" si="803"/>
        <v>55.202392163696494</v>
      </c>
      <c r="AR305" s="5">
        <f t="shared" si="774"/>
        <v>18.115156985128696</v>
      </c>
      <c r="AS305" s="5">
        <f t="shared" si="739"/>
        <v>2.8570601504541</v>
      </c>
      <c r="AT305" s="5">
        <f t="shared" si="740"/>
        <v>15.258096834674596</v>
      </c>
      <c r="AU305" s="173">
        <f t="shared" si="741"/>
        <v>0.1577165548606369</v>
      </c>
      <c r="BA305" s="173">
        <f t="shared" si="849"/>
        <v>4.608180636681305</v>
      </c>
      <c r="BB305" s="173">
        <f t="shared" si="850"/>
        <v>10.649273629123694</v>
      </c>
      <c r="BC305" s="173">
        <f t="shared" si="851"/>
        <v>0.26226446427802674</v>
      </c>
      <c r="BD305" s="173"/>
      <c r="BE305" s="528">
        <f t="shared" si="852"/>
        <v>0.42470657560569036</v>
      </c>
      <c r="BF305" s="528">
        <f t="shared" si="804"/>
        <v>2.0891735900231718</v>
      </c>
      <c r="BG305" s="528">
        <f t="shared" si="805"/>
        <v>0.11649606341511476</v>
      </c>
      <c r="BH305" s="528">
        <f t="shared" si="853"/>
        <v>5.5678259370823609E-2</v>
      </c>
      <c r="BI305">
        <f t="shared" si="854"/>
        <v>3.7986200584457605E-2</v>
      </c>
      <c r="BJ305" s="460">
        <f t="shared" si="855"/>
        <v>154.48226399957238</v>
      </c>
      <c r="BK305">
        <f t="shared" si="806"/>
        <v>2.9854964946887317</v>
      </c>
      <c r="BL305" s="460">
        <f t="shared" si="856"/>
        <v>2724.0406889992582</v>
      </c>
      <c r="BM305" s="173">
        <f t="shared" si="807"/>
        <v>5.5291249999999996</v>
      </c>
      <c r="BN305" s="173">
        <f t="shared" si="808"/>
        <v>9.8734374999999999E-2</v>
      </c>
      <c r="BQ305" s="460">
        <f t="shared" si="857"/>
        <v>5627.859375</v>
      </c>
      <c r="BR305" s="528">
        <f t="shared" si="858"/>
        <v>0.63705986340853549</v>
      </c>
      <c r="BS305" s="528">
        <f t="shared" si="859"/>
        <v>3.4022108648384801</v>
      </c>
      <c r="BT305" s="528">
        <f t="shared" si="860"/>
        <v>3.4391324611520184E-4</v>
      </c>
      <c r="BU305" s="528">
        <f t="shared" si="861"/>
        <v>2.0499508682581453</v>
      </c>
      <c r="BV305" s="528"/>
      <c r="BW305" s="625">
        <f t="shared" si="862"/>
        <v>2.2297740679603176E-2</v>
      </c>
      <c r="BX305" s="460">
        <f t="shared" si="863"/>
        <v>6111.8632504308789</v>
      </c>
      <c r="BY305" s="173">
        <f t="shared" si="864"/>
        <v>14.463763314430135</v>
      </c>
      <c r="BZ305" s="5">
        <f t="shared" si="865"/>
        <v>135.28</v>
      </c>
      <c r="CA305" s="173">
        <f t="shared" si="866"/>
        <v>0.90340991174330709</v>
      </c>
      <c r="CB305" s="5">
        <f t="shared" si="867"/>
        <v>90.340991174330711</v>
      </c>
      <c r="CC305">
        <f t="shared" si="868"/>
        <v>89</v>
      </c>
      <c r="CE305" s="562">
        <f t="shared" si="809"/>
        <v>-50</v>
      </c>
      <c r="CG305" s="173">
        <f t="shared" si="810"/>
        <v>0.84409136047666333</v>
      </c>
      <c r="CH305" s="173">
        <f t="shared" si="811"/>
        <v>0.1020398968288061</v>
      </c>
      <c r="CI305" s="170">
        <v>89</v>
      </c>
      <c r="CJ305" s="217">
        <f t="shared" si="869"/>
        <v>8.9</v>
      </c>
      <c r="CK305" s="217">
        <f t="shared" si="812"/>
        <v>0.2225</v>
      </c>
      <c r="CL305" s="217">
        <f t="shared" si="813"/>
        <v>133.5</v>
      </c>
      <c r="CM305" s="217">
        <f t="shared" si="814"/>
        <v>1.78</v>
      </c>
      <c r="CN305" s="541">
        <f t="shared" si="815"/>
        <v>85</v>
      </c>
      <c r="CO305" s="443">
        <f t="shared" si="816"/>
        <v>15.7</v>
      </c>
      <c r="CP305" s="443">
        <f t="shared" si="817"/>
        <v>100.7</v>
      </c>
      <c r="CQ305" s="443"/>
      <c r="CR305" s="217">
        <f t="shared" si="818"/>
        <v>0.15338645418326693</v>
      </c>
      <c r="CS305" s="172">
        <f t="shared" si="819"/>
        <v>321.65744915076539</v>
      </c>
      <c r="CT305" s="172">
        <f t="shared" si="820"/>
        <v>4.3459495351925632</v>
      </c>
      <c r="CU305" s="217">
        <f t="shared" si="821"/>
        <v>21.443829943384358</v>
      </c>
      <c r="CV305" s="217">
        <f t="shared" si="822"/>
        <v>40.207181143845673</v>
      </c>
      <c r="CW305" s="217">
        <f t="shared" si="823"/>
        <v>15</v>
      </c>
      <c r="CX305" s="217">
        <f t="shared" si="824"/>
        <v>20.751889992360582</v>
      </c>
      <c r="CY305" s="217">
        <f t="shared" si="825"/>
        <v>2.9296785871567881</v>
      </c>
      <c r="CZ305" s="217">
        <f t="shared" si="826"/>
        <v>15.861317191613184</v>
      </c>
      <c r="DA305" s="197">
        <f t="shared" si="827"/>
        <v>110.43528632903013</v>
      </c>
      <c r="DB305" s="443">
        <f t="shared" si="828"/>
        <v>53.21697752334115</v>
      </c>
      <c r="DD305" s="217">
        <f t="shared" si="829"/>
        <v>9.9999999999999982</v>
      </c>
      <c r="DE305" s="173">
        <f t="shared" si="830"/>
        <v>7.6433121019108263</v>
      </c>
      <c r="DF305" s="173">
        <f t="shared" si="831"/>
        <v>4.1649244760361679</v>
      </c>
      <c r="DG305" s="173"/>
      <c r="DH305" s="173">
        <f t="shared" si="832"/>
        <v>7.6433121019108281</v>
      </c>
      <c r="DI305" s="545">
        <f t="shared" si="833"/>
        <v>232.88333333333338</v>
      </c>
      <c r="DJ305" s="528">
        <f t="shared" si="834"/>
        <v>4.2204568023833167</v>
      </c>
      <c r="DL305" s="173">
        <f t="shared" si="835"/>
        <v>8.026147744656063</v>
      </c>
      <c r="DM305" s="173">
        <f t="shared" si="836"/>
        <v>20.751889992360582</v>
      </c>
      <c r="DN305" s="173">
        <f t="shared" si="837"/>
        <v>9.1643629573041334</v>
      </c>
      <c r="DP305" s="545">
        <f t="shared" si="838"/>
        <v>8900</v>
      </c>
      <c r="DQ305" s="460">
        <f t="shared" si="839"/>
        <v>53.21697752334115</v>
      </c>
      <c r="DS305">
        <f t="shared" si="840"/>
        <v>8900</v>
      </c>
      <c r="DT305">
        <f t="shared" si="841"/>
        <v>53.21697752334115</v>
      </c>
      <c r="DV305" s="5">
        <f t="shared" si="870"/>
        <v>18.790995778769968</v>
      </c>
      <c r="DW305" s="5">
        <f t="shared" si="842"/>
        <v>2.9296785871567881</v>
      </c>
      <c r="DX305" s="5">
        <f t="shared" si="843"/>
        <v>15.86131719161318</v>
      </c>
      <c r="DY305" s="173">
        <f t="shared" si="844"/>
        <v>0.15590863952333667</v>
      </c>
      <c r="EA305" s="5">
        <f t="shared" si="871"/>
        <v>173.82759617130276</v>
      </c>
      <c r="EB305" s="5">
        <f t="shared" si="872"/>
        <v>8.1481685705298172</v>
      </c>
      <c r="EC305" s="5">
        <f t="shared" si="873"/>
        <v>8.5902062680744784</v>
      </c>
      <c r="ED305" s="5"/>
      <c r="EE305" s="173">
        <f t="shared" si="874"/>
        <v>4.7307731153373433</v>
      </c>
      <c r="EF305" s="173">
        <f t="shared" si="875"/>
        <v>11.007577624052736</v>
      </c>
      <c r="EG305" s="173">
        <f t="shared" si="876"/>
        <v>0.2710885783492204</v>
      </c>
      <c r="EH305" s="173"/>
      <c r="EI305" s="528">
        <f t="shared" si="877"/>
        <v>0.44760428537597186</v>
      </c>
      <c r="EJ305" s="528">
        <f t="shared" si="878"/>
        <v>2.2241666666666671</v>
      </c>
      <c r="EK305" s="528">
        <f t="shared" si="879"/>
        <v>6.6521221904176434E-3</v>
      </c>
      <c r="EL305" s="528">
        <f t="shared" si="880"/>
        <v>5.3964622840566571E-2</v>
      </c>
      <c r="EM305">
        <f t="shared" si="881"/>
        <v>3.8249999999999999E-2</v>
      </c>
      <c r="EN305" s="460">
        <f t="shared" si="882"/>
        <v>44.902122190417643</v>
      </c>
      <c r="EP305" s="460">
        <f t="shared" si="883"/>
        <v>2770.6376970736233</v>
      </c>
      <c r="EQ305" s="173">
        <f t="shared" si="884"/>
        <v>6.2299999999999995</v>
      </c>
      <c r="ER305" s="173">
        <f t="shared" si="845"/>
        <v>9.8734374999999999E-2</v>
      </c>
      <c r="ES305" s="528"/>
      <c r="EU305" s="460">
        <f t="shared" si="885"/>
        <v>6328.734375</v>
      </c>
      <c r="EV305" s="528">
        <f t="shared" si="886"/>
        <v>0.67140642806395778</v>
      </c>
      <c r="EW305" s="528">
        <f t="shared" si="887"/>
        <v>3.635002954486394</v>
      </c>
      <c r="EX305" s="528">
        <f t="shared" si="888"/>
        <v>3.6744508655700705E-4</v>
      </c>
      <c r="EY305" s="528">
        <f t="shared" si="889"/>
        <v>2.0264675705467927</v>
      </c>
      <c r="EZ305" s="528"/>
      <c r="FA305" s="625">
        <f t="shared" si="890"/>
        <v>2.2917409131748757E-2</v>
      </c>
      <c r="FB305" s="460">
        <f t="shared" si="891"/>
        <v>6356.1618073154505</v>
      </c>
      <c r="FC305" s="173">
        <f t="shared" si="892"/>
        <v>15.455533879389073</v>
      </c>
      <c r="FD305" s="5">
        <f t="shared" si="893"/>
        <v>135.28</v>
      </c>
      <c r="FE305" s="173">
        <f t="shared" si="894"/>
        <v>0.89746588955092832</v>
      </c>
      <c r="FF305" s="5">
        <f t="shared" si="895"/>
        <v>89.746588955092832</v>
      </c>
      <c r="FG305">
        <f t="shared" si="896"/>
        <v>89</v>
      </c>
      <c r="FI305" s="562">
        <f t="shared" si="846"/>
        <v>-50</v>
      </c>
    </row>
    <row r="306" spans="5:169">
      <c r="E306" s="170">
        <v>90</v>
      </c>
      <c r="F306" s="217">
        <f t="shared" si="847"/>
        <v>9</v>
      </c>
      <c r="G306" s="217">
        <f t="shared" si="775"/>
        <v>0.22500000000000001</v>
      </c>
      <c r="H306" s="217">
        <f t="shared" si="776"/>
        <v>135</v>
      </c>
      <c r="I306" s="217">
        <f t="shared" si="777"/>
        <v>1.8</v>
      </c>
      <c r="J306" s="541">
        <f t="shared" si="778"/>
        <v>84.407192324623836</v>
      </c>
      <c r="K306" s="443">
        <f t="shared" si="779"/>
        <v>16.019870588235293</v>
      </c>
      <c r="L306" s="172">
        <f t="shared" si="780"/>
        <v>100.42706291285913</v>
      </c>
      <c r="M306" s="443"/>
      <c r="N306" s="217">
        <f t="shared" si="781"/>
        <v>0.15951746594576588</v>
      </c>
      <c r="O306" s="172">
        <f t="shared" si="782"/>
        <v>332.18144968472598</v>
      </c>
      <c r="P306" s="172">
        <f t="shared" si="783"/>
        <v>4.4881404757402983</v>
      </c>
      <c r="Q306" s="217">
        <f t="shared" si="784"/>
        <v>22.145429978981731</v>
      </c>
      <c r="R306" s="217">
        <f t="shared" si="785"/>
        <v>41.522681210590747</v>
      </c>
      <c r="S306" s="217">
        <f t="shared" si="786"/>
        <v>15</v>
      </c>
      <c r="T306" s="217">
        <f t="shared" si="787"/>
        <v>20.320219586031783</v>
      </c>
      <c r="U306" s="217">
        <f t="shared" si="788"/>
        <v>2.8888845644169825</v>
      </c>
      <c r="V306" s="217">
        <f t="shared" si="789"/>
        <v>15.221261226133443</v>
      </c>
      <c r="W306" s="197">
        <f t="shared" si="790"/>
        <v>112.20351189350743</v>
      </c>
      <c r="X306" s="443">
        <f t="shared" si="848"/>
        <v>54.614529640505872</v>
      </c>
      <c r="Z306" s="217">
        <f t="shared" si="791"/>
        <v>10</v>
      </c>
      <c r="AA306" s="173">
        <f t="shared" si="792"/>
        <v>7.4906972150028395</v>
      </c>
      <c r="AB306" s="173">
        <f t="shared" si="793"/>
        <v>4.1471177667149703</v>
      </c>
      <c r="AC306" s="173"/>
      <c r="AD306" s="173">
        <f t="shared" si="794"/>
        <v>7.4906972150028395</v>
      </c>
      <c r="AE306" s="545">
        <f t="shared" si="795"/>
        <v>240.29805882352937</v>
      </c>
      <c r="AF306" s="528">
        <f t="shared" si="796"/>
        <v>4.2024126702711699</v>
      </c>
      <c r="AH306" s="173">
        <f t="shared" si="797"/>
        <v>8.0711125096145917</v>
      </c>
      <c r="AI306" s="173">
        <f t="shared" si="798"/>
        <v>20.320219586031783</v>
      </c>
      <c r="AJ306" s="173">
        <f t="shared" si="799"/>
        <v>8.8446071007642821</v>
      </c>
      <c r="AL306" s="545">
        <f t="shared" si="800"/>
        <v>9000</v>
      </c>
      <c r="AM306" s="460">
        <f t="shared" si="801"/>
        <v>54.614529640505872</v>
      </c>
      <c r="AO306">
        <f t="shared" si="802"/>
        <v>9000</v>
      </c>
      <c r="AP306">
        <f t="shared" si="803"/>
        <v>54.614529640505872</v>
      </c>
      <c r="AR306" s="5">
        <f t="shared" si="774"/>
        <v>18.310145790550422</v>
      </c>
      <c r="AS306" s="5">
        <f t="shared" si="739"/>
        <v>2.8888845644169825</v>
      </c>
      <c r="AT306" s="5">
        <f t="shared" si="740"/>
        <v>15.421261226133439</v>
      </c>
      <c r="AU306" s="173">
        <f t="shared" si="741"/>
        <v>0.15777507167135121</v>
      </c>
      <c r="BA306" s="173">
        <f t="shared" si="849"/>
        <v>4.6600112210839812</v>
      </c>
      <c r="BB306" s="173">
        <f t="shared" si="850"/>
        <v>10.766680241725146</v>
      </c>
      <c r="BC306" s="173">
        <f t="shared" si="851"/>
        <v>0.26515588987464278</v>
      </c>
      <c r="BD306" s="173"/>
      <c r="BE306" s="528">
        <f t="shared" si="852"/>
        <v>0.43431409161257234</v>
      </c>
      <c r="BF306" s="528">
        <f t="shared" si="804"/>
        <v>2.0897225445182204</v>
      </c>
      <c r="BG306" s="528">
        <f t="shared" si="805"/>
        <v>0.11524647767712619</v>
      </c>
      <c r="BH306" s="528">
        <f t="shared" si="853"/>
        <v>5.5082002517469753E-2</v>
      </c>
      <c r="BI306">
        <f t="shared" si="854"/>
        <v>3.7983236546080726E-2</v>
      </c>
      <c r="BJ306" s="460">
        <f t="shared" si="855"/>
        <v>153.22971422320691</v>
      </c>
      <c r="BK306">
        <f t="shared" si="806"/>
        <v>3.0066486190143151</v>
      </c>
      <c r="BL306" s="460">
        <f t="shared" si="856"/>
        <v>2732.3483528714692</v>
      </c>
      <c r="BM306" s="173">
        <f t="shared" si="807"/>
        <v>5.5912499999999996</v>
      </c>
      <c r="BN306" s="173">
        <f t="shared" si="808"/>
        <v>9.9843749999999995E-2</v>
      </c>
      <c r="BQ306" s="460">
        <f t="shared" si="857"/>
        <v>5691.0937499999991</v>
      </c>
      <c r="BR306" s="528">
        <f t="shared" si="858"/>
        <v>0.65147113741885854</v>
      </c>
      <c r="BS306" s="528">
        <f t="shared" si="859"/>
        <v>3.4776421028266391</v>
      </c>
      <c r="BT306" s="528">
        <f t="shared" si="860"/>
        <v>3.5153822967606845E-4</v>
      </c>
      <c r="BU306" s="528">
        <f t="shared" si="861"/>
        <v>2.0514526173872589</v>
      </c>
      <c r="BV306" s="528"/>
      <c r="BW306" s="625">
        <f t="shared" si="862"/>
        <v>2.2550957744839294E-2</v>
      </c>
      <c r="BX306" s="460">
        <f t="shared" si="863"/>
        <v>6203.4683536072725</v>
      </c>
      <c r="BY306" s="173">
        <f t="shared" si="864"/>
        <v>14.626910456478742</v>
      </c>
      <c r="BZ306" s="5">
        <f t="shared" si="865"/>
        <v>136.80000000000001</v>
      </c>
      <c r="CA306" s="173">
        <f t="shared" si="866"/>
        <v>0.90340613559118588</v>
      </c>
      <c r="CB306" s="5">
        <f t="shared" si="867"/>
        <v>90.340613559118594</v>
      </c>
      <c r="CC306">
        <f t="shared" si="868"/>
        <v>90</v>
      </c>
      <c r="CE306" s="562">
        <f t="shared" si="809"/>
        <v>-50</v>
      </c>
      <c r="CG306" s="173">
        <f t="shared" si="810"/>
        <v>0.84409136047666333</v>
      </c>
      <c r="CH306" s="173">
        <f t="shared" si="811"/>
        <v>0.1020398968288061</v>
      </c>
      <c r="CI306" s="170">
        <v>90</v>
      </c>
      <c r="CJ306" s="217">
        <f t="shared" si="869"/>
        <v>9</v>
      </c>
      <c r="CK306" s="217">
        <f t="shared" si="812"/>
        <v>0.22500000000000001</v>
      </c>
      <c r="CL306" s="217">
        <f t="shared" si="813"/>
        <v>135</v>
      </c>
      <c r="CM306" s="217">
        <f t="shared" si="814"/>
        <v>1.8</v>
      </c>
      <c r="CN306" s="541">
        <f t="shared" si="815"/>
        <v>85</v>
      </c>
      <c r="CO306" s="443">
        <f t="shared" si="816"/>
        <v>15.7</v>
      </c>
      <c r="CP306" s="443">
        <f t="shared" si="817"/>
        <v>100.7</v>
      </c>
      <c r="CQ306" s="443"/>
      <c r="CR306" s="217">
        <f t="shared" si="818"/>
        <v>0.15338645418326693</v>
      </c>
      <c r="CS306" s="172">
        <f t="shared" si="819"/>
        <v>321.65744915076539</v>
      </c>
      <c r="CT306" s="172">
        <f t="shared" si="820"/>
        <v>4.3459495351925632</v>
      </c>
      <c r="CU306" s="217">
        <f t="shared" si="821"/>
        <v>21.443829943384358</v>
      </c>
      <c r="CV306" s="217">
        <f t="shared" si="822"/>
        <v>40.207181143845673</v>
      </c>
      <c r="CW306" s="217">
        <f t="shared" si="823"/>
        <v>15</v>
      </c>
      <c r="CX306" s="217">
        <f t="shared" si="824"/>
        <v>20.985057295645532</v>
      </c>
      <c r="CY306" s="217">
        <f t="shared" si="825"/>
        <v>2.9625963240911335</v>
      </c>
      <c r="CZ306" s="217">
        <f t="shared" si="826"/>
        <v>16.039534238709962</v>
      </c>
      <c r="DA306" s="197">
        <f t="shared" si="827"/>
        <v>110.43528632903013</v>
      </c>
      <c r="DB306" s="443">
        <f t="shared" si="828"/>
        <v>52.625677773081804</v>
      </c>
      <c r="DD306" s="217">
        <f t="shared" si="829"/>
        <v>9.9999999999999982</v>
      </c>
      <c r="DE306" s="173">
        <f t="shared" si="830"/>
        <v>7.6433121019108263</v>
      </c>
      <c r="DF306" s="173">
        <f t="shared" si="831"/>
        <v>4.1649244760361679</v>
      </c>
      <c r="DG306" s="173"/>
      <c r="DH306" s="173">
        <f t="shared" si="832"/>
        <v>7.6433121019108281</v>
      </c>
      <c r="DI306" s="545">
        <f t="shared" si="833"/>
        <v>235.50000000000006</v>
      </c>
      <c r="DJ306" s="528">
        <f t="shared" si="834"/>
        <v>4.2204568023833167</v>
      </c>
      <c r="DL306" s="173">
        <f t="shared" si="835"/>
        <v>8.0711125096145917</v>
      </c>
      <c r="DM306" s="173">
        <f t="shared" si="836"/>
        <v>20.985057295645532</v>
      </c>
      <c r="DN306" s="173">
        <f t="shared" si="837"/>
        <v>9.3370794782559496</v>
      </c>
      <c r="DP306" s="545">
        <f t="shared" si="838"/>
        <v>9000</v>
      </c>
      <c r="DQ306" s="460">
        <f t="shared" si="839"/>
        <v>52.625677773081804</v>
      </c>
      <c r="DS306">
        <f t="shared" si="840"/>
        <v>9000</v>
      </c>
      <c r="DT306">
        <f t="shared" si="841"/>
        <v>52.625677773081804</v>
      </c>
      <c r="DV306" s="5">
        <f t="shared" si="870"/>
        <v>19.002130562801092</v>
      </c>
      <c r="DW306" s="5">
        <f t="shared" si="842"/>
        <v>2.9625963240911335</v>
      </c>
      <c r="DX306" s="5">
        <f t="shared" si="843"/>
        <v>16.039534238709958</v>
      </c>
      <c r="DY306" s="173">
        <f t="shared" si="844"/>
        <v>0.15590863952333664</v>
      </c>
      <c r="EA306" s="5">
        <f t="shared" si="871"/>
        <v>177.75577944546802</v>
      </c>
      <c r="EB306" s="5">
        <f t="shared" si="872"/>
        <v>8.3323021615063126</v>
      </c>
      <c r="EC306" s="5">
        <f t="shared" si="873"/>
        <v>8.7843290962508878</v>
      </c>
      <c r="ED306" s="5"/>
      <c r="EE306" s="173">
        <f t="shared" si="874"/>
        <v>4.7839278694422571</v>
      </c>
      <c r="EF306" s="173">
        <f t="shared" si="875"/>
        <v>11.131258271514003</v>
      </c>
      <c r="EG306" s="173">
        <f t="shared" si="876"/>
        <v>0.2741345174317959</v>
      </c>
      <c r="EH306" s="173"/>
      <c r="EI306" s="528">
        <f t="shared" si="877"/>
        <v>0.45771931720052672</v>
      </c>
      <c r="EJ306" s="528">
        <f t="shared" si="878"/>
        <v>2.2241666666666671</v>
      </c>
      <c r="EK306" s="528">
        <f t="shared" si="879"/>
        <v>6.5782097216352253E-3</v>
      </c>
      <c r="EL306" s="528">
        <f t="shared" si="880"/>
        <v>5.3365015920115833E-2</v>
      </c>
      <c r="EM306">
        <f t="shared" si="881"/>
        <v>3.8249999999999999E-2</v>
      </c>
      <c r="EN306" s="460">
        <f t="shared" si="882"/>
        <v>44.828209721635226</v>
      </c>
      <c r="EP306" s="460">
        <f t="shared" si="883"/>
        <v>2780.079209508945</v>
      </c>
      <c r="EQ306" s="173">
        <f t="shared" si="884"/>
        <v>6.3</v>
      </c>
      <c r="ER306" s="173">
        <f t="shared" si="845"/>
        <v>9.9843749999999995E-2</v>
      </c>
      <c r="ES306" s="528"/>
      <c r="EU306" s="460">
        <f t="shared" si="885"/>
        <v>6399.84375</v>
      </c>
      <c r="EV306" s="528">
        <f t="shared" si="886"/>
        <v>0.68657897580079008</v>
      </c>
      <c r="EW306" s="528">
        <f t="shared" si="887"/>
        <v>3.7171473212144672</v>
      </c>
      <c r="EX306" s="528">
        <f t="shared" si="888"/>
        <v>3.7574866823781807E-4</v>
      </c>
      <c r="EY306" s="528">
        <f t="shared" si="889"/>
        <v>2.0264675705467909</v>
      </c>
      <c r="EZ306" s="528"/>
      <c r="FA306" s="625">
        <f t="shared" si="890"/>
        <v>2.3174908110757175E-2</v>
      </c>
      <c r="FB306" s="460">
        <f t="shared" si="891"/>
        <v>6453.7445243410439</v>
      </c>
      <c r="FC306" s="173">
        <f t="shared" si="892"/>
        <v>15.633667483849988</v>
      </c>
      <c r="FD306" s="5">
        <f t="shared" si="893"/>
        <v>136.80000000000001</v>
      </c>
      <c r="FE306" s="173">
        <f t="shared" si="894"/>
        <v>0.89743953719734293</v>
      </c>
      <c r="FF306" s="5">
        <f t="shared" si="895"/>
        <v>89.743953719734293</v>
      </c>
      <c r="FG306">
        <f t="shared" si="896"/>
        <v>90</v>
      </c>
      <c r="FI306" s="562">
        <f t="shared" si="846"/>
        <v>-50</v>
      </c>
    </row>
    <row r="307" spans="5:169">
      <c r="E307" s="170">
        <v>91</v>
      </c>
      <c r="F307" s="217">
        <f t="shared" si="847"/>
        <v>9.1</v>
      </c>
      <c r="G307" s="217">
        <f t="shared" si="775"/>
        <v>0.22750000000000001</v>
      </c>
      <c r="H307" s="217">
        <f t="shared" si="776"/>
        <v>136.5</v>
      </c>
      <c r="I307" s="217">
        <f t="shared" si="777"/>
        <v>1.82</v>
      </c>
      <c r="J307" s="541">
        <f t="shared" si="778"/>
        <v>84.400605572675204</v>
      </c>
      <c r="K307" s="443">
        <f t="shared" si="779"/>
        <v>16.023424705882352</v>
      </c>
      <c r="L307" s="172">
        <f t="shared" si="780"/>
        <v>100.42403027855755</v>
      </c>
      <c r="M307" s="443"/>
      <c r="N307" s="217">
        <f t="shared" si="781"/>
        <v>0.15955767420841763</v>
      </c>
      <c r="O307" s="172">
        <f t="shared" si="782"/>
        <v>332.23925148745229</v>
      </c>
      <c r="P307" s="172">
        <f t="shared" si="783"/>
        <v>4.4889214423193557</v>
      </c>
      <c r="Q307" s="217">
        <f t="shared" si="784"/>
        <v>22.149283432496819</v>
      </c>
      <c r="R307" s="217">
        <f t="shared" si="785"/>
        <v>41.529906435931537</v>
      </c>
      <c r="S307" s="217">
        <f t="shared" si="786"/>
        <v>15</v>
      </c>
      <c r="T307" s="217">
        <f t="shared" si="787"/>
        <v>20.542425283719854</v>
      </c>
      <c r="U307" s="217">
        <f t="shared" si="788"/>
        <v>2.9207030178518751</v>
      </c>
      <c r="V307" s="217">
        <f t="shared" si="789"/>
        <v>15.384295675202468</v>
      </c>
      <c r="W307" s="197">
        <f t="shared" si="790"/>
        <v>112.22303605798386</v>
      </c>
      <c r="X307" s="443">
        <f t="shared" si="848"/>
        <v>54.039452614246308</v>
      </c>
      <c r="Z307" s="217">
        <f t="shared" si="791"/>
        <v>10.000000000000002</v>
      </c>
      <c r="AA307" s="173">
        <f t="shared" si="792"/>
        <v>7.4890357213053766</v>
      </c>
      <c r="AB307" s="173">
        <f t="shared" si="793"/>
        <v>4.1469193706821503</v>
      </c>
      <c r="AC307" s="173"/>
      <c r="AD307" s="173">
        <f t="shared" si="794"/>
        <v>7.4890357213053749</v>
      </c>
      <c r="AE307" s="545">
        <f t="shared" si="795"/>
        <v>243.02194137254901</v>
      </c>
      <c r="AF307" s="528">
        <f t="shared" si="796"/>
        <v>4.2022116289579108</v>
      </c>
      <c r="AH307" s="173">
        <f t="shared" si="797"/>
        <v>8.1158281565510411</v>
      </c>
      <c r="AI307" s="173">
        <f t="shared" si="798"/>
        <v>20.542425283719854</v>
      </c>
      <c r="AJ307" s="173">
        <f t="shared" si="799"/>
        <v>9.0092039138665587</v>
      </c>
      <c r="AL307" s="545">
        <f t="shared" si="800"/>
        <v>9100</v>
      </c>
      <c r="AM307" s="460">
        <f t="shared" si="801"/>
        <v>54.039452614246308</v>
      </c>
      <c r="AO307">
        <f t="shared" si="802"/>
        <v>9100</v>
      </c>
      <c r="AP307">
        <f t="shared" si="803"/>
        <v>54.039452614246308</v>
      </c>
      <c r="AR307" s="5">
        <f t="shared" si="774"/>
        <v>18.50499869305434</v>
      </c>
      <c r="AS307" s="5">
        <f t="shared" ref="AS307:AS316" si="897">L*AI307/J307*1000000</f>
        <v>2.9207030178518751</v>
      </c>
      <c r="AT307" s="5">
        <f t="shared" ref="AT307:AT316" si="898">AR307-AS307</f>
        <v>15.584295675202466</v>
      </c>
      <c r="AU307" s="173">
        <f t="shared" ref="AU307:AU316" si="899">AS307/AR307</f>
        <v>0.15783319233349261</v>
      </c>
      <c r="BA307" s="173">
        <f t="shared" si="849"/>
        <v>4.7118370090452784</v>
      </c>
      <c r="BB307" s="173">
        <f t="shared" si="850"/>
        <v>10.884040495725634</v>
      </c>
      <c r="BC307" s="173">
        <f t="shared" si="851"/>
        <v>0.26804617377708623</v>
      </c>
      <c r="BD307" s="173"/>
      <c r="BE307" s="528">
        <f t="shared" si="852"/>
        <v>0.44402815999617512</v>
      </c>
      <c r="BF307" s="528">
        <f t="shared" si="804"/>
        <v>2.090266094690671</v>
      </c>
      <c r="BG307" s="528">
        <f t="shared" si="805"/>
        <v>0.11402406313645687</v>
      </c>
      <c r="BH307" s="528">
        <f t="shared" si="853"/>
        <v>5.4498711535569788E-2</v>
      </c>
      <c r="BI307">
        <f t="shared" si="854"/>
        <v>3.798027250770384E-2</v>
      </c>
      <c r="BJ307" s="460">
        <f t="shared" si="855"/>
        <v>152.0043356441607</v>
      </c>
      <c r="BK307">
        <f t="shared" si="806"/>
        <v>3.028154133680951</v>
      </c>
      <c r="BL307" s="460">
        <f t="shared" si="856"/>
        <v>2740.7973018665766</v>
      </c>
      <c r="BM307" s="173">
        <f t="shared" si="807"/>
        <v>5.6533749999999987</v>
      </c>
      <c r="BN307" s="173">
        <f t="shared" si="808"/>
        <v>0.100953125</v>
      </c>
      <c r="BQ307" s="460">
        <f t="shared" si="857"/>
        <v>5754.3281249999991</v>
      </c>
      <c r="BR307" s="528">
        <f t="shared" si="858"/>
        <v>0.6660422399942626</v>
      </c>
      <c r="BS307" s="528">
        <f t="shared" si="859"/>
        <v>3.5538701253778648</v>
      </c>
      <c r="BT307" s="528">
        <f t="shared" si="860"/>
        <v>3.5924375638267956E-4</v>
      </c>
      <c r="BU307" s="528">
        <f t="shared" si="861"/>
        <v>2.0529418475921326</v>
      </c>
      <c r="BV307" s="528"/>
      <c r="BW307" s="625">
        <f t="shared" si="862"/>
        <v>2.2804175430479915E-2</v>
      </c>
      <c r="BX307" s="460">
        <f t="shared" si="863"/>
        <v>6296.0176321511217</v>
      </c>
      <c r="BY307" s="173">
        <f t="shared" si="864"/>
        <v>14.791143059017697</v>
      </c>
      <c r="BZ307" s="5">
        <f t="shared" si="865"/>
        <v>138.32</v>
      </c>
      <c r="CA307" s="173">
        <f t="shared" si="866"/>
        <v>0.90339603791399858</v>
      </c>
      <c r="CB307" s="5">
        <f t="shared" si="867"/>
        <v>90.339603791399853</v>
      </c>
      <c r="CC307">
        <f t="shared" si="868"/>
        <v>90.999999999999986</v>
      </c>
      <c r="CE307" s="562">
        <f t="shared" si="809"/>
        <v>-50</v>
      </c>
      <c r="CG307" s="173">
        <f t="shared" si="810"/>
        <v>0.84409136047666333</v>
      </c>
      <c r="CH307" s="173">
        <f t="shared" si="811"/>
        <v>0.1020398968288061</v>
      </c>
      <c r="CI307" s="170">
        <v>91</v>
      </c>
      <c r="CJ307" s="217">
        <f t="shared" si="869"/>
        <v>9.1</v>
      </c>
      <c r="CK307" s="217">
        <f t="shared" si="812"/>
        <v>0.22750000000000001</v>
      </c>
      <c r="CL307" s="217">
        <f t="shared" si="813"/>
        <v>136.5</v>
      </c>
      <c r="CM307" s="217">
        <f t="shared" si="814"/>
        <v>1.82</v>
      </c>
      <c r="CN307" s="541">
        <f t="shared" si="815"/>
        <v>85</v>
      </c>
      <c r="CO307" s="443">
        <f t="shared" si="816"/>
        <v>15.7</v>
      </c>
      <c r="CP307" s="443">
        <f t="shared" si="817"/>
        <v>100.7</v>
      </c>
      <c r="CQ307" s="443"/>
      <c r="CR307" s="217">
        <f t="shared" si="818"/>
        <v>0.15338645418326693</v>
      </c>
      <c r="CS307" s="172">
        <f t="shared" si="819"/>
        <v>321.65744915076539</v>
      </c>
      <c r="CT307" s="172">
        <f t="shared" si="820"/>
        <v>4.3459495351925632</v>
      </c>
      <c r="CU307" s="217">
        <f t="shared" si="821"/>
        <v>21.443829943384358</v>
      </c>
      <c r="CV307" s="217">
        <f t="shared" si="822"/>
        <v>40.207181143845673</v>
      </c>
      <c r="CW307" s="217">
        <f t="shared" si="823"/>
        <v>15</v>
      </c>
      <c r="CX307" s="217">
        <f t="shared" si="824"/>
        <v>21.21822459893048</v>
      </c>
      <c r="CY307" s="217">
        <f t="shared" si="825"/>
        <v>2.9955140610254798</v>
      </c>
      <c r="CZ307" s="217">
        <f t="shared" si="826"/>
        <v>16.217751285806738</v>
      </c>
      <c r="DA307" s="197">
        <f t="shared" si="827"/>
        <v>110.43528632903013</v>
      </c>
      <c r="DB307" s="443">
        <f t="shared" si="828"/>
        <v>52.047373621729257</v>
      </c>
      <c r="DD307" s="217">
        <f t="shared" si="829"/>
        <v>9.9999999999999982</v>
      </c>
      <c r="DE307" s="173">
        <f t="shared" si="830"/>
        <v>7.6433121019108263</v>
      </c>
      <c r="DF307" s="173">
        <f t="shared" si="831"/>
        <v>4.1649244760361679</v>
      </c>
      <c r="DG307" s="173"/>
      <c r="DH307" s="173">
        <f t="shared" si="832"/>
        <v>7.6433121019108281</v>
      </c>
      <c r="DI307" s="545">
        <f t="shared" si="833"/>
        <v>238.11666666666667</v>
      </c>
      <c r="DJ307" s="528">
        <f t="shared" si="834"/>
        <v>4.2204568023833167</v>
      </c>
      <c r="DL307" s="173">
        <f t="shared" si="835"/>
        <v>8.1158281565510411</v>
      </c>
      <c r="DM307" s="173">
        <f t="shared" si="836"/>
        <v>21.21822459893048</v>
      </c>
      <c r="DN307" s="173">
        <f t="shared" si="837"/>
        <v>9.5097959992077623</v>
      </c>
      <c r="DP307" s="545">
        <f t="shared" si="838"/>
        <v>9100</v>
      </c>
      <c r="DQ307" s="460">
        <f t="shared" si="839"/>
        <v>52.047373621729257</v>
      </c>
      <c r="DS307">
        <f t="shared" si="840"/>
        <v>9100</v>
      </c>
      <c r="DT307">
        <f t="shared" si="841"/>
        <v>52.047373621729257</v>
      </c>
      <c r="DV307" s="5">
        <f t="shared" si="870"/>
        <v>19.21326534683222</v>
      </c>
      <c r="DW307" s="5">
        <f t="shared" si="842"/>
        <v>2.9955140610254798</v>
      </c>
      <c r="DX307" s="5">
        <f t="shared" si="843"/>
        <v>16.217751285806742</v>
      </c>
      <c r="DY307" s="173">
        <f t="shared" si="844"/>
        <v>0.15590863952333664</v>
      </c>
      <c r="EA307" s="5">
        <f t="shared" si="871"/>
        <v>181.72785303554576</v>
      </c>
      <c r="EB307" s="5">
        <f t="shared" si="872"/>
        <v>8.5184931110412094</v>
      </c>
      <c r="EC307" s="5">
        <f t="shared" si="873"/>
        <v>8.9806208945745229</v>
      </c>
      <c r="ED307" s="5"/>
      <c r="EE307" s="173">
        <f t="shared" si="874"/>
        <v>4.83708262354717</v>
      </c>
      <c r="EF307" s="173">
        <f t="shared" si="875"/>
        <v>11.254938918975268</v>
      </c>
      <c r="EG307" s="173">
        <f t="shared" si="876"/>
        <v>0.27718045651437134</v>
      </c>
      <c r="EH307" s="173"/>
      <c r="EI307" s="528">
        <f t="shared" si="877"/>
        <v>0.46794736614043947</v>
      </c>
      <c r="EJ307" s="528">
        <f t="shared" si="878"/>
        <v>2.2241666666666666</v>
      </c>
      <c r="EK307" s="528">
        <f t="shared" si="879"/>
        <v>6.5059217027161574E-3</v>
      </c>
      <c r="EL307" s="528">
        <f t="shared" si="880"/>
        <v>5.2778587173740933E-2</v>
      </c>
      <c r="EM307">
        <f t="shared" si="881"/>
        <v>3.8249999999999999E-2</v>
      </c>
      <c r="EN307" s="460">
        <f t="shared" si="882"/>
        <v>44.755921702716151</v>
      </c>
      <c r="EP307" s="460">
        <f t="shared" si="883"/>
        <v>2789.6485416835631</v>
      </c>
      <c r="EQ307" s="173">
        <f t="shared" si="884"/>
        <v>6.3699999999999992</v>
      </c>
      <c r="ER307" s="173">
        <f t="shared" si="845"/>
        <v>0.100953125</v>
      </c>
      <c r="ES307" s="528"/>
      <c r="EU307" s="460">
        <f t="shared" si="885"/>
        <v>6470.9531249999991</v>
      </c>
      <c r="EV307" s="528">
        <f t="shared" si="886"/>
        <v>0.70192104921065923</v>
      </c>
      <c r="EW307" s="528">
        <f t="shared" si="887"/>
        <v>3.8002095020959255</v>
      </c>
      <c r="EX307" s="528">
        <f t="shared" si="888"/>
        <v>3.8414502736757654E-4</v>
      </c>
      <c r="EY307" s="528">
        <f t="shared" si="889"/>
        <v>2.0264675705467927</v>
      </c>
      <c r="EZ307" s="528"/>
      <c r="FA307" s="625">
        <f t="shared" si="890"/>
        <v>2.3432407089765579E-2</v>
      </c>
      <c r="FB307" s="460">
        <f t="shared" si="891"/>
        <v>6552.4146739705102</v>
      </c>
      <c r="FC307" s="173">
        <f t="shared" si="892"/>
        <v>15.813016340654075</v>
      </c>
      <c r="FD307" s="5">
        <f t="shared" si="893"/>
        <v>138.32</v>
      </c>
      <c r="FE307" s="173">
        <f t="shared" si="894"/>
        <v>0.89740668990928418</v>
      </c>
      <c r="FF307" s="5">
        <f t="shared" si="895"/>
        <v>89.740668990928413</v>
      </c>
      <c r="FG307">
        <f t="shared" si="896"/>
        <v>90.999999999999986</v>
      </c>
      <c r="FI307" s="562">
        <f t="shared" si="846"/>
        <v>-50</v>
      </c>
    </row>
    <row r="308" spans="5:169">
      <c r="E308" s="170">
        <v>92</v>
      </c>
      <c r="F308" s="217">
        <f t="shared" si="847"/>
        <v>9.2000000000000011</v>
      </c>
      <c r="G308" s="217">
        <f t="shared" si="775"/>
        <v>0.23</v>
      </c>
      <c r="H308" s="217">
        <f t="shared" si="776"/>
        <v>138.00000000000003</v>
      </c>
      <c r="I308" s="217">
        <f t="shared" si="777"/>
        <v>1.84</v>
      </c>
      <c r="J308" s="541">
        <f t="shared" si="778"/>
        <v>84.394018820726586</v>
      </c>
      <c r="K308" s="443">
        <f t="shared" si="779"/>
        <v>16.026978823529411</v>
      </c>
      <c r="L308" s="172">
        <f t="shared" si="780"/>
        <v>100.420997644256</v>
      </c>
      <c r="M308" s="443"/>
      <c r="N308" s="217">
        <f t="shared" si="781"/>
        <v>0.15959788489958446</v>
      </c>
      <c r="O308" s="172">
        <f t="shared" si="782"/>
        <v>332.29704527870939</v>
      </c>
      <c r="P308" s="172">
        <f t="shared" si="783"/>
        <v>4.4897023006545629</v>
      </c>
      <c r="Q308" s="217">
        <f t="shared" si="784"/>
        <v>22.153136351913961</v>
      </c>
      <c r="R308" s="217">
        <f t="shared" si="785"/>
        <v>41.537130659838674</v>
      </c>
      <c r="S308" s="217">
        <f t="shared" si="786"/>
        <v>15</v>
      </c>
      <c r="T308" s="217">
        <f t="shared" si="787"/>
        <v>20.764554178363898</v>
      </c>
      <c r="U308" s="217">
        <f t="shared" si="788"/>
        <v>2.9525155173576261</v>
      </c>
      <c r="V308" s="217">
        <f t="shared" si="789"/>
        <v>15.547200310425962</v>
      </c>
      <c r="W308" s="197">
        <f t="shared" si="790"/>
        <v>112.24255751636404</v>
      </c>
      <c r="X308" s="443">
        <f t="shared" si="848"/>
        <v>53.476748481611899</v>
      </c>
      <c r="Z308" s="217">
        <f t="shared" si="791"/>
        <v>10</v>
      </c>
      <c r="AA308" s="173">
        <f t="shared" si="792"/>
        <v>7.4873749645083745</v>
      </c>
      <c r="AB308" s="173">
        <f t="shared" si="793"/>
        <v>4.1467209626665236</v>
      </c>
      <c r="AC308" s="173"/>
      <c r="AD308" s="173">
        <f t="shared" si="794"/>
        <v>7.4873749645083745</v>
      </c>
      <c r="AE308" s="545">
        <f t="shared" si="795"/>
        <v>245.74700862745101</v>
      </c>
      <c r="AF308" s="528">
        <f t="shared" si="796"/>
        <v>4.2020105755020776</v>
      </c>
      <c r="AH308" s="173">
        <f t="shared" si="797"/>
        <v>8.1602987807111695</v>
      </c>
      <c r="AI308" s="173">
        <f t="shared" si="798"/>
        <v>20.764554178363898</v>
      </c>
      <c r="AJ308" s="173">
        <f t="shared" si="799"/>
        <v>9.1737438358251104</v>
      </c>
      <c r="AL308" s="545">
        <f t="shared" si="800"/>
        <v>9200.0000000000018</v>
      </c>
      <c r="AM308" s="460">
        <f t="shared" si="801"/>
        <v>53.476748481611899</v>
      </c>
      <c r="AO308">
        <f t="shared" si="802"/>
        <v>9200.0000000000018</v>
      </c>
      <c r="AP308">
        <f t="shared" si="803"/>
        <v>53.476748481611899</v>
      </c>
      <c r="AR308" s="5">
        <f t="shared" si="774"/>
        <v>18.699715827783589</v>
      </c>
      <c r="AS308" s="5">
        <f t="shared" si="897"/>
        <v>2.9525155173576261</v>
      </c>
      <c r="AT308" s="5">
        <f t="shared" si="898"/>
        <v>15.747200310425963</v>
      </c>
      <c r="AU308" s="173">
        <f t="shared" si="899"/>
        <v>0.15789092970978999</v>
      </c>
      <c r="BA308" s="173">
        <f t="shared" si="849"/>
        <v>4.7636580040107779</v>
      </c>
      <c r="BB308" s="173">
        <f t="shared" si="850"/>
        <v>11.001354424019521</v>
      </c>
      <c r="BC308" s="173">
        <f t="shared" si="851"/>
        <v>0.27093531679546112</v>
      </c>
      <c r="BD308" s="173"/>
      <c r="BE308" s="528">
        <f t="shared" si="852"/>
        <v>0.45384875158351895</v>
      </c>
      <c r="BF308" s="528">
        <f t="shared" si="804"/>
        <v>2.0908044125843457</v>
      </c>
      <c r="BG308" s="528">
        <f t="shared" si="805"/>
        <v>0.1128279429457104</v>
      </c>
      <c r="BH308" s="528">
        <f t="shared" si="853"/>
        <v>5.3927968000906969E-2</v>
      </c>
      <c r="BI308">
        <f t="shared" si="854"/>
        <v>3.7977308469326961E-2</v>
      </c>
      <c r="BJ308" s="460">
        <f t="shared" si="855"/>
        <v>150.80525141503736</v>
      </c>
      <c r="BK308">
        <f t="shared" si="806"/>
        <v>3.0500172707790578</v>
      </c>
      <c r="BL308" s="460">
        <f t="shared" si="856"/>
        <v>2749.3863835838088</v>
      </c>
      <c r="BM308" s="173">
        <f t="shared" si="807"/>
        <v>5.7155000000000005</v>
      </c>
      <c r="BN308" s="173">
        <f t="shared" si="808"/>
        <v>0.1020625</v>
      </c>
      <c r="BQ308" s="460">
        <f t="shared" si="857"/>
        <v>5817.5625</v>
      </c>
      <c r="BR308" s="528">
        <f t="shared" si="858"/>
        <v>0.6807731273752784</v>
      </c>
      <c r="BS308" s="528">
        <f t="shared" si="859"/>
        <v>3.6308939748868161</v>
      </c>
      <c r="BT308" s="528">
        <f t="shared" si="860"/>
        <v>3.6702972943528436E-4</v>
      </c>
      <c r="BU308" s="528">
        <f t="shared" si="861"/>
        <v>2.0544189631862828</v>
      </c>
      <c r="BV308" s="528"/>
      <c r="BW308" s="625">
        <f t="shared" si="862"/>
        <v>2.3057393716411051E-2</v>
      </c>
      <c r="BX308" s="460">
        <f t="shared" si="863"/>
        <v>6389.5104888942242</v>
      </c>
      <c r="BY308" s="173">
        <f t="shared" si="864"/>
        <v>14.956459372478033</v>
      </c>
      <c r="BZ308" s="5">
        <f t="shared" si="865"/>
        <v>139.84000000000003</v>
      </c>
      <c r="CA308" s="173">
        <f t="shared" si="866"/>
        <v>0.90337983547485967</v>
      </c>
      <c r="CB308" s="5">
        <f t="shared" si="867"/>
        <v>90.337983547485962</v>
      </c>
      <c r="CC308">
        <f t="shared" si="868"/>
        <v>92.000000000000014</v>
      </c>
      <c r="CE308" s="562">
        <f t="shared" si="809"/>
        <v>-50</v>
      </c>
      <c r="CG308" s="173">
        <f t="shared" si="810"/>
        <v>0.84409136047666333</v>
      </c>
      <c r="CH308" s="173">
        <f t="shared" si="811"/>
        <v>0.1020398968288061</v>
      </c>
      <c r="CI308" s="170">
        <v>92</v>
      </c>
      <c r="CJ308" s="217">
        <f t="shared" si="869"/>
        <v>9.2000000000000011</v>
      </c>
      <c r="CK308" s="217">
        <f t="shared" si="812"/>
        <v>0.23</v>
      </c>
      <c r="CL308" s="217">
        <f t="shared" si="813"/>
        <v>138.00000000000003</v>
      </c>
      <c r="CM308" s="217">
        <f t="shared" si="814"/>
        <v>1.84</v>
      </c>
      <c r="CN308" s="541">
        <f t="shared" si="815"/>
        <v>85</v>
      </c>
      <c r="CO308" s="443">
        <f t="shared" si="816"/>
        <v>15.7</v>
      </c>
      <c r="CP308" s="443">
        <f t="shared" si="817"/>
        <v>100.7</v>
      </c>
      <c r="CQ308" s="443"/>
      <c r="CR308" s="217">
        <f t="shared" si="818"/>
        <v>0.15338645418326693</v>
      </c>
      <c r="CS308" s="172">
        <f t="shared" si="819"/>
        <v>321.65744915076539</v>
      </c>
      <c r="CT308" s="172">
        <f t="shared" si="820"/>
        <v>4.3459495351925632</v>
      </c>
      <c r="CU308" s="217">
        <f t="shared" si="821"/>
        <v>21.443829943384358</v>
      </c>
      <c r="CV308" s="217">
        <f t="shared" si="822"/>
        <v>40.207181143845673</v>
      </c>
      <c r="CW308" s="217">
        <f t="shared" si="823"/>
        <v>15</v>
      </c>
      <c r="CX308" s="217">
        <f t="shared" si="824"/>
        <v>21.451391902215438</v>
      </c>
      <c r="CY308" s="217">
        <f t="shared" si="825"/>
        <v>3.0284317979598261</v>
      </c>
      <c r="CZ308" s="217">
        <f t="shared" si="826"/>
        <v>16.395968332903518</v>
      </c>
      <c r="DA308" s="197">
        <f t="shared" si="827"/>
        <v>110.43528632903013</v>
      </c>
      <c r="DB308" s="443">
        <f t="shared" si="828"/>
        <v>51.481641299753932</v>
      </c>
      <c r="DD308" s="217">
        <f t="shared" si="829"/>
        <v>9.9999999999999982</v>
      </c>
      <c r="DE308" s="173">
        <f t="shared" si="830"/>
        <v>7.6433121019108263</v>
      </c>
      <c r="DF308" s="173">
        <f t="shared" si="831"/>
        <v>4.1649244760361679</v>
      </c>
      <c r="DG308" s="173"/>
      <c r="DH308" s="173">
        <f t="shared" si="832"/>
        <v>7.6433121019108281</v>
      </c>
      <c r="DI308" s="545">
        <f t="shared" si="833"/>
        <v>240.73333333333338</v>
      </c>
      <c r="DJ308" s="528">
        <f t="shared" si="834"/>
        <v>4.2204568023833167</v>
      </c>
      <c r="DL308" s="173">
        <f t="shared" si="835"/>
        <v>8.1602987807111695</v>
      </c>
      <c r="DM308" s="173">
        <f t="shared" si="836"/>
        <v>21.451391902215438</v>
      </c>
      <c r="DN308" s="173">
        <f t="shared" si="837"/>
        <v>9.6825125201595821</v>
      </c>
      <c r="DP308" s="545">
        <f t="shared" si="838"/>
        <v>9200.0000000000018</v>
      </c>
      <c r="DQ308" s="460">
        <f t="shared" si="839"/>
        <v>51.481641299753932</v>
      </c>
      <c r="DS308">
        <f t="shared" si="840"/>
        <v>9200.0000000000018</v>
      </c>
      <c r="DT308">
        <f t="shared" si="841"/>
        <v>51.481641299753932</v>
      </c>
      <c r="DV308" s="5">
        <f t="shared" si="870"/>
        <v>19.424400130863344</v>
      </c>
      <c r="DW308" s="5">
        <f t="shared" si="842"/>
        <v>3.0284317979598261</v>
      </c>
      <c r="DX308" s="5">
        <f t="shared" si="843"/>
        <v>16.395968332903518</v>
      </c>
      <c r="DY308" s="173">
        <f t="shared" si="844"/>
        <v>0.15590863952333664</v>
      </c>
      <c r="EA308" s="5">
        <f t="shared" si="871"/>
        <v>185.74381694153601</v>
      </c>
      <c r="EB308" s="5">
        <f t="shared" si="872"/>
        <v>8.7067414191345005</v>
      </c>
      <c r="EC308" s="5">
        <f t="shared" si="873"/>
        <v>9.1790816630453786</v>
      </c>
      <c r="ED308" s="5"/>
      <c r="EE308" s="173">
        <f t="shared" si="874"/>
        <v>4.8902373776520864</v>
      </c>
      <c r="EF308" s="173">
        <f t="shared" si="875"/>
        <v>11.378619566436539</v>
      </c>
      <c r="EG308" s="173">
        <f t="shared" si="876"/>
        <v>0.28022639559694695</v>
      </c>
      <c r="EH308" s="173"/>
      <c r="EI308" s="528">
        <f t="shared" si="877"/>
        <v>0.47828843219571116</v>
      </c>
      <c r="EJ308" s="528">
        <f t="shared" si="878"/>
        <v>2.2241666666666671</v>
      </c>
      <c r="EK308" s="528">
        <f t="shared" si="879"/>
        <v>6.4352051624692415E-3</v>
      </c>
      <c r="EL308" s="528">
        <f t="shared" si="880"/>
        <v>5.2204906878374181E-2</v>
      </c>
      <c r="EM308">
        <f t="shared" si="881"/>
        <v>3.8249999999999999E-2</v>
      </c>
      <c r="EN308" s="460">
        <f t="shared" si="882"/>
        <v>44.685205162469238</v>
      </c>
      <c r="EP308" s="460">
        <f t="shared" si="883"/>
        <v>2799.3452109032223</v>
      </c>
      <c r="EQ308" s="173">
        <f t="shared" si="884"/>
        <v>6.44</v>
      </c>
      <c r="ER308" s="173">
        <f t="shared" si="845"/>
        <v>0.1020625</v>
      </c>
      <c r="ES308" s="528"/>
      <c r="EU308" s="460">
        <f t="shared" si="885"/>
        <v>6542.0625</v>
      </c>
      <c r="EV308" s="528">
        <f t="shared" si="886"/>
        <v>0.71743264829356668</v>
      </c>
      <c r="EW308" s="528">
        <f t="shared" si="887"/>
        <v>3.8841894971307735</v>
      </c>
      <c r="EX308" s="528">
        <f t="shared" si="888"/>
        <v>3.9263416394628303E-4</v>
      </c>
      <c r="EY308" s="528">
        <f t="shared" si="889"/>
        <v>2.0264675705467909</v>
      </c>
      <c r="EZ308" s="528"/>
      <c r="FA308" s="625">
        <f t="shared" si="890"/>
        <v>2.3689906068774004E-2</v>
      </c>
      <c r="FB308" s="460">
        <f t="shared" si="891"/>
        <v>6652.1722562038503</v>
      </c>
      <c r="FC308" s="173">
        <f t="shared" si="892"/>
        <v>15.993579967107074</v>
      </c>
      <c r="FD308" s="5">
        <f t="shared" si="893"/>
        <v>139.84000000000003</v>
      </c>
      <c r="FE308" s="173">
        <f t="shared" si="894"/>
        <v>0.89736756371455395</v>
      </c>
      <c r="FF308" s="5">
        <f t="shared" si="895"/>
        <v>89.7367563714554</v>
      </c>
      <c r="FG308">
        <f t="shared" si="896"/>
        <v>92.000000000000014</v>
      </c>
      <c r="FI308" s="562">
        <f t="shared" si="846"/>
        <v>-50</v>
      </c>
    </row>
    <row r="309" spans="5:169">
      <c r="E309" s="170">
        <v>93</v>
      </c>
      <c r="F309" s="217">
        <f t="shared" si="847"/>
        <v>9.3000000000000007</v>
      </c>
      <c r="G309" s="217">
        <f t="shared" si="775"/>
        <v>0.23250000000000001</v>
      </c>
      <c r="H309" s="217">
        <f t="shared" si="776"/>
        <v>139.5</v>
      </c>
      <c r="I309" s="217">
        <f t="shared" si="777"/>
        <v>1.86</v>
      </c>
      <c r="J309" s="541">
        <f t="shared" si="778"/>
        <v>84.387432068777954</v>
      </c>
      <c r="K309" s="443">
        <f t="shared" si="779"/>
        <v>16.030532941176471</v>
      </c>
      <c r="L309" s="172">
        <f t="shared" si="780"/>
        <v>100.41796500995443</v>
      </c>
      <c r="M309" s="443"/>
      <c r="N309" s="217">
        <f t="shared" si="781"/>
        <v>0.1596380980194865</v>
      </c>
      <c r="O309" s="172">
        <f t="shared" si="782"/>
        <v>332.35483105777138</v>
      </c>
      <c r="P309" s="172">
        <f t="shared" si="783"/>
        <v>4.4904830507361115</v>
      </c>
      <c r="Q309" s="217">
        <f t="shared" si="784"/>
        <v>22.156988737184758</v>
      </c>
      <c r="R309" s="217">
        <f t="shared" si="785"/>
        <v>41.544353882221422</v>
      </c>
      <c r="S309" s="217">
        <f t="shared" si="786"/>
        <v>15</v>
      </c>
      <c r="T309" s="217">
        <f t="shared" si="787"/>
        <v>20.986606326139352</v>
      </c>
      <c r="U309" s="217">
        <f t="shared" si="788"/>
        <v>2.9843220695282762</v>
      </c>
      <c r="V309" s="217">
        <f t="shared" si="789"/>
        <v>15.70997526019805</v>
      </c>
      <c r="W309" s="197">
        <f t="shared" si="790"/>
        <v>112.26207626840278</v>
      </c>
      <c r="X309" s="443">
        <f t="shared" si="848"/>
        <v>52.92602220389027</v>
      </c>
      <c r="Z309" s="217">
        <f t="shared" si="791"/>
        <v>10</v>
      </c>
      <c r="AA309" s="173">
        <f t="shared" si="792"/>
        <v>7.4857149441217068</v>
      </c>
      <c r="AB309" s="173">
        <f t="shared" si="793"/>
        <v>4.1465225426670074</v>
      </c>
      <c r="AC309" s="173"/>
      <c r="AD309" s="173">
        <f t="shared" si="794"/>
        <v>7.4857149441217068</v>
      </c>
      <c r="AE309" s="545">
        <f t="shared" si="795"/>
        <v>248.47326058823532</v>
      </c>
      <c r="AF309" s="528">
        <f t="shared" si="796"/>
        <v>4.2018095099025681</v>
      </c>
      <c r="AH309" s="173">
        <f t="shared" si="797"/>
        <v>8.204528366352676</v>
      </c>
      <c r="AI309" s="173">
        <f t="shared" si="798"/>
        <v>20.986606326139352</v>
      </c>
      <c r="AJ309" s="173">
        <f t="shared" si="799"/>
        <v>9.3382269082513716</v>
      </c>
      <c r="AL309" s="545">
        <f t="shared" si="800"/>
        <v>9300</v>
      </c>
      <c r="AM309" s="460">
        <f t="shared" si="801"/>
        <v>52.92602220389027</v>
      </c>
      <c r="AO309">
        <f t="shared" si="802"/>
        <v>9300</v>
      </c>
      <c r="AP309">
        <f t="shared" si="803"/>
        <v>52.92602220389027</v>
      </c>
      <c r="AR309" s="5">
        <f t="shared" si="774"/>
        <v>18.894297329726324</v>
      </c>
      <c r="AS309" s="5">
        <f t="shared" si="897"/>
        <v>2.9843220695282762</v>
      </c>
      <c r="AT309" s="5">
        <f t="shared" si="898"/>
        <v>15.909975260198049</v>
      </c>
      <c r="AU309" s="173">
        <f t="shared" si="899"/>
        <v>0.15794829611541331</v>
      </c>
      <c r="BA309" s="173">
        <f t="shared" si="849"/>
        <v>4.815474209490012</v>
      </c>
      <c r="BB309" s="173">
        <f t="shared" si="850"/>
        <v>11.118622059433473</v>
      </c>
      <c r="BC309" s="173">
        <f t="shared" si="851"/>
        <v>0.27382331973820478</v>
      </c>
      <c r="BD309" s="173"/>
      <c r="BE309" s="528">
        <f t="shared" si="852"/>
        <v>0.46377583724526916</v>
      </c>
      <c r="BF309" s="528">
        <f t="shared" si="804"/>
        <v>2.0913376629191323</v>
      </c>
      <c r="BG309" s="528">
        <f t="shared" si="805"/>
        <v>0.11165727758503559</v>
      </c>
      <c r="BH309" s="528">
        <f t="shared" si="853"/>
        <v>5.3369371301655553E-2</v>
      </c>
      <c r="BI309">
        <f t="shared" si="854"/>
        <v>3.7974344430950081E-2</v>
      </c>
      <c r="BJ309" s="460">
        <f t="shared" si="855"/>
        <v>149.63162201598567</v>
      </c>
      <c r="BK309">
        <f t="shared" si="806"/>
        <v>3.0722423787937192</v>
      </c>
      <c r="BL309" s="460">
        <f t="shared" si="856"/>
        <v>2758.1144934820427</v>
      </c>
      <c r="BM309" s="173">
        <f t="shared" si="807"/>
        <v>5.7776249999999996</v>
      </c>
      <c r="BN309" s="173">
        <f t="shared" si="808"/>
        <v>0.103171875</v>
      </c>
      <c r="BQ309" s="460">
        <f t="shared" si="857"/>
        <v>5880.796875</v>
      </c>
      <c r="BR309" s="528">
        <f t="shared" si="858"/>
        <v>0.69566375586790374</v>
      </c>
      <c r="BS309" s="528">
        <f t="shared" si="859"/>
        <v>3.7087126950156195</v>
      </c>
      <c r="BT309" s="528">
        <f t="shared" si="860"/>
        <v>3.7489605216225569E-4</v>
      </c>
      <c r="BU309" s="528">
        <f t="shared" si="861"/>
        <v>2.055884351403078</v>
      </c>
      <c r="BV309" s="528"/>
      <c r="BW309" s="625">
        <f t="shared" si="862"/>
        <v>2.3310612583375277E-2</v>
      </c>
      <c r="BX309" s="460">
        <f t="shared" si="863"/>
        <v>6483.9463109221388</v>
      </c>
      <c r="BY309" s="173">
        <f t="shared" si="864"/>
        <v>15.122857679404179</v>
      </c>
      <c r="BZ309" s="5">
        <f t="shared" si="865"/>
        <v>141.36000000000001</v>
      </c>
      <c r="CA309" s="173">
        <f t="shared" si="866"/>
        <v>0.90335773576945222</v>
      </c>
      <c r="CB309" s="5">
        <f t="shared" si="867"/>
        <v>90.335773576945229</v>
      </c>
      <c r="CC309">
        <f t="shared" si="868"/>
        <v>93</v>
      </c>
      <c r="CE309" s="562">
        <f t="shared" si="809"/>
        <v>-50</v>
      </c>
      <c r="CG309" s="173">
        <f t="shared" si="810"/>
        <v>0.84409136047666333</v>
      </c>
      <c r="CH309" s="173">
        <f t="shared" si="811"/>
        <v>0.1020398968288061</v>
      </c>
      <c r="CI309" s="170">
        <v>93</v>
      </c>
      <c r="CJ309" s="217">
        <f t="shared" si="869"/>
        <v>9.3000000000000007</v>
      </c>
      <c r="CK309" s="217">
        <f t="shared" si="812"/>
        <v>0.23250000000000001</v>
      </c>
      <c r="CL309" s="217">
        <f t="shared" si="813"/>
        <v>139.5</v>
      </c>
      <c r="CM309" s="217">
        <f t="shared" si="814"/>
        <v>1.86</v>
      </c>
      <c r="CN309" s="541">
        <f t="shared" si="815"/>
        <v>85</v>
      </c>
      <c r="CO309" s="443">
        <f t="shared" si="816"/>
        <v>15.7</v>
      </c>
      <c r="CP309" s="443">
        <f t="shared" si="817"/>
        <v>100.7</v>
      </c>
      <c r="CQ309" s="443"/>
      <c r="CR309" s="217">
        <f t="shared" si="818"/>
        <v>0.15338645418326693</v>
      </c>
      <c r="CS309" s="172">
        <f t="shared" si="819"/>
        <v>321.65744915076539</v>
      </c>
      <c r="CT309" s="172">
        <f t="shared" si="820"/>
        <v>4.3459495351925632</v>
      </c>
      <c r="CU309" s="217">
        <f t="shared" si="821"/>
        <v>21.443829943384358</v>
      </c>
      <c r="CV309" s="217">
        <f t="shared" si="822"/>
        <v>40.207181143845673</v>
      </c>
      <c r="CW309" s="217">
        <f t="shared" si="823"/>
        <v>15</v>
      </c>
      <c r="CX309" s="217">
        <f t="shared" si="824"/>
        <v>21.684559205500385</v>
      </c>
      <c r="CY309" s="217">
        <f t="shared" si="825"/>
        <v>3.0613495348941719</v>
      </c>
      <c r="CZ309" s="217">
        <f t="shared" si="826"/>
        <v>16.574185380000294</v>
      </c>
      <c r="DA309" s="197">
        <f t="shared" si="827"/>
        <v>110.43528632903013</v>
      </c>
      <c r="DB309" s="443">
        <f t="shared" si="828"/>
        <v>50.928075264272707</v>
      </c>
      <c r="DD309" s="217">
        <f t="shared" si="829"/>
        <v>9.9999999999999982</v>
      </c>
      <c r="DE309" s="173">
        <f t="shared" si="830"/>
        <v>7.6433121019108263</v>
      </c>
      <c r="DF309" s="173">
        <f t="shared" si="831"/>
        <v>4.1649244760361679</v>
      </c>
      <c r="DG309" s="173"/>
      <c r="DH309" s="173">
        <f t="shared" si="832"/>
        <v>7.6433121019108281</v>
      </c>
      <c r="DI309" s="545">
        <f t="shared" si="833"/>
        <v>243.35</v>
      </c>
      <c r="DJ309" s="528">
        <f t="shared" si="834"/>
        <v>4.2204568023833167</v>
      </c>
      <c r="DL309" s="173">
        <f t="shared" si="835"/>
        <v>8.204528366352676</v>
      </c>
      <c r="DM309" s="173">
        <f t="shared" si="836"/>
        <v>21.684559205500385</v>
      </c>
      <c r="DN309" s="173">
        <f t="shared" si="837"/>
        <v>9.8552290411113947</v>
      </c>
      <c r="DP309" s="545">
        <f t="shared" si="838"/>
        <v>9300</v>
      </c>
      <c r="DQ309" s="460">
        <f t="shared" si="839"/>
        <v>50.928075264272707</v>
      </c>
      <c r="DS309">
        <f t="shared" si="840"/>
        <v>9300</v>
      </c>
      <c r="DT309">
        <f t="shared" si="841"/>
        <v>50.928075264272707</v>
      </c>
      <c r="DV309" s="5">
        <f t="shared" si="870"/>
        <v>19.635534914894468</v>
      </c>
      <c r="DW309" s="5">
        <f t="shared" si="842"/>
        <v>3.0613495348941719</v>
      </c>
      <c r="DX309" s="5">
        <f t="shared" si="843"/>
        <v>16.574185380000294</v>
      </c>
      <c r="DY309" s="173">
        <f t="shared" si="844"/>
        <v>0.15590863952333664</v>
      </c>
      <c r="EA309" s="5">
        <f t="shared" si="871"/>
        <v>189.80367116343868</v>
      </c>
      <c r="EB309" s="5">
        <f t="shared" si="872"/>
        <v>8.8970470857861876</v>
      </c>
      <c r="EC309" s="5">
        <f t="shared" si="873"/>
        <v>9.3797114016634513</v>
      </c>
      <c r="ED309" s="5"/>
      <c r="EE309" s="173">
        <f t="shared" si="874"/>
        <v>4.9433921317569993</v>
      </c>
      <c r="EF309" s="173">
        <f t="shared" si="875"/>
        <v>11.502300213897804</v>
      </c>
      <c r="EG309" s="173">
        <f t="shared" si="876"/>
        <v>0.2832723346795224</v>
      </c>
      <c r="EH309" s="173"/>
      <c r="EI309" s="528">
        <f t="shared" si="877"/>
        <v>0.48874251536634022</v>
      </c>
      <c r="EJ309" s="528">
        <f t="shared" si="878"/>
        <v>2.2241666666666671</v>
      </c>
      <c r="EK309" s="528">
        <f t="shared" si="879"/>
        <v>6.366009408034088E-3</v>
      </c>
      <c r="EL309" s="528">
        <f t="shared" si="880"/>
        <v>5.1643563793660474E-2</v>
      </c>
      <c r="EM309">
        <f t="shared" si="881"/>
        <v>3.8249999999999999E-2</v>
      </c>
      <c r="EN309" s="460">
        <f t="shared" si="882"/>
        <v>44.616009408034088</v>
      </c>
      <c r="EP309" s="460">
        <f t="shared" si="883"/>
        <v>2809.1687552347021</v>
      </c>
      <c r="EQ309" s="173">
        <f t="shared" si="884"/>
        <v>6.51</v>
      </c>
      <c r="ER309" s="173">
        <f t="shared" si="845"/>
        <v>0.103171875</v>
      </c>
      <c r="ES309" s="528"/>
      <c r="EU309" s="460">
        <f t="shared" si="885"/>
        <v>6613.171875</v>
      </c>
      <c r="EV309" s="528">
        <f t="shared" si="886"/>
        <v>0.73311377304951031</v>
      </c>
      <c r="EW309" s="528">
        <f t="shared" si="887"/>
        <v>3.9690873063190044</v>
      </c>
      <c r="EX309" s="528">
        <f t="shared" si="888"/>
        <v>4.0121607797393674E-4</v>
      </c>
      <c r="EY309" s="528">
        <f t="shared" si="889"/>
        <v>2.0264675705467927</v>
      </c>
      <c r="EZ309" s="528"/>
      <c r="FA309" s="625">
        <f t="shared" si="890"/>
        <v>2.3947405047782411E-2</v>
      </c>
      <c r="FB309" s="460">
        <f t="shared" si="891"/>
        <v>6753.0172710410643</v>
      </c>
      <c r="FC309" s="173">
        <f t="shared" si="892"/>
        <v>16.175357901275763</v>
      </c>
      <c r="FD309" s="5">
        <f t="shared" si="893"/>
        <v>141.36000000000001</v>
      </c>
      <c r="FE309" s="173">
        <f t="shared" si="894"/>
        <v>0.89732236548818123</v>
      </c>
      <c r="FF309" s="5">
        <f t="shared" si="895"/>
        <v>89.732236548818122</v>
      </c>
      <c r="FG309">
        <f t="shared" si="896"/>
        <v>93</v>
      </c>
      <c r="FI309" s="562">
        <f t="shared" si="846"/>
        <v>-50</v>
      </c>
    </row>
    <row r="310" spans="5:169">
      <c r="E310" s="170">
        <v>94</v>
      </c>
      <c r="F310" s="217">
        <f t="shared" si="847"/>
        <v>9.3999999999999986</v>
      </c>
      <c r="G310" s="217">
        <f t="shared" si="775"/>
        <v>0.23499999999999999</v>
      </c>
      <c r="H310" s="217">
        <f t="shared" si="776"/>
        <v>140.99999999999997</v>
      </c>
      <c r="I310" s="217">
        <f t="shared" si="777"/>
        <v>1.88</v>
      </c>
      <c r="J310" s="541">
        <f t="shared" si="778"/>
        <v>84.380845316829337</v>
      </c>
      <c r="K310" s="443">
        <f t="shared" si="779"/>
        <v>16.03408705882353</v>
      </c>
      <c r="L310" s="172">
        <f t="shared" si="780"/>
        <v>100.41493237565287</v>
      </c>
      <c r="M310" s="443"/>
      <c r="N310" s="217">
        <f t="shared" si="781"/>
        <v>0.15967831356834369</v>
      </c>
      <c r="O310" s="172">
        <f t="shared" si="782"/>
        <v>332.41260882391236</v>
      </c>
      <c r="P310" s="172">
        <f t="shared" si="783"/>
        <v>4.4912636925541944</v>
      </c>
      <c r="Q310" s="217">
        <f t="shared" si="784"/>
        <v>22.160840588260825</v>
      </c>
      <c r="R310" s="217">
        <f t="shared" si="785"/>
        <v>41.551576102989046</v>
      </c>
      <c r="S310" s="217">
        <f t="shared" si="786"/>
        <v>15</v>
      </c>
      <c r="T310" s="217">
        <f t="shared" si="787"/>
        <v>21.208581783173475</v>
      </c>
      <c r="U310" s="217">
        <f t="shared" si="788"/>
        <v>3.016122680953071</v>
      </c>
      <c r="V310" s="217">
        <f t="shared" si="789"/>
        <v>15.872620652762961</v>
      </c>
      <c r="W310" s="197">
        <f t="shared" si="790"/>
        <v>112.28159231385487</v>
      </c>
      <c r="X310" s="443">
        <f t="shared" si="848"/>
        <v>52.386895382145028</v>
      </c>
      <c r="Z310" s="217">
        <f t="shared" si="791"/>
        <v>10</v>
      </c>
      <c r="AA310" s="173">
        <f t="shared" si="792"/>
        <v>7.4840556596556711</v>
      </c>
      <c r="AB310" s="173">
        <f t="shared" si="793"/>
        <v>4.1463241106825137</v>
      </c>
      <c r="AC310" s="173"/>
      <c r="AD310" s="173">
        <f t="shared" si="794"/>
        <v>7.4840556596556711</v>
      </c>
      <c r="AE310" s="545">
        <f t="shared" si="795"/>
        <v>251.20069725490191</v>
      </c>
      <c r="AF310" s="528">
        <f t="shared" si="796"/>
        <v>4.2016084321582818</v>
      </c>
      <c r="AH310" s="173">
        <f t="shared" si="797"/>
        <v>8.2485207909112539</v>
      </c>
      <c r="AI310" s="173">
        <f t="shared" si="798"/>
        <v>21.208581783173475</v>
      </c>
      <c r="AJ310" s="173">
        <f t="shared" si="799"/>
        <v>9.5026531727210912</v>
      </c>
      <c r="AL310" s="545">
        <f t="shared" si="800"/>
        <v>9399.9999999999982</v>
      </c>
      <c r="AM310" s="460">
        <f t="shared" si="801"/>
        <v>52.386895382145028</v>
      </c>
      <c r="AO310">
        <f t="shared" si="802"/>
        <v>9399.9999999999982</v>
      </c>
      <c r="AP310">
        <f t="shared" si="803"/>
        <v>52.386895382145028</v>
      </c>
      <c r="AR310" s="5">
        <f t="shared" si="774"/>
        <v>19.088743333716032</v>
      </c>
      <c r="AS310" s="5">
        <f t="shared" si="897"/>
        <v>3.016122680953071</v>
      </c>
      <c r="AT310" s="5">
        <f t="shared" si="898"/>
        <v>16.072620652762961</v>
      </c>
      <c r="AU310" s="173">
        <f t="shared" si="899"/>
        <v>0.15800530334680329</v>
      </c>
      <c r="BA310" s="173">
        <f t="shared" si="849"/>
        <v>4.8672856290529491</v>
      </c>
      <c r="BB310" s="173">
        <f t="shared" si="850"/>
        <v>11.235843434728604</v>
      </c>
      <c r="BC310" s="173">
        <f t="shared" si="851"/>
        <v>0.27671018341213977</v>
      </c>
      <c r="BD310" s="173"/>
      <c r="BE310" s="528">
        <f t="shared" si="852"/>
        <v>0.47380938789570726</v>
      </c>
      <c r="BF310" s="528">
        <f t="shared" si="804"/>
        <v>2.0918660034766066</v>
      </c>
      <c r="BG310" s="528">
        <f t="shared" si="805"/>
        <v>0.1105112628967425</v>
      </c>
      <c r="BH310" s="528">
        <f t="shared" si="853"/>
        <v>5.2822537700516287E-2</v>
      </c>
      <c r="BI310">
        <f t="shared" si="854"/>
        <v>3.7971380392573202E-2</v>
      </c>
      <c r="BJ310" s="460">
        <f t="shared" si="855"/>
        <v>148.48264328931572</v>
      </c>
      <c r="BK310">
        <f t="shared" si="806"/>
        <v>3.0948339247258088</v>
      </c>
      <c r="BL310" s="460">
        <f t="shared" si="856"/>
        <v>2766.9805723621457</v>
      </c>
      <c r="BM310" s="173">
        <f t="shared" si="807"/>
        <v>5.8397499999999978</v>
      </c>
      <c r="BN310" s="173">
        <f t="shared" si="808"/>
        <v>0.10428124999999999</v>
      </c>
      <c r="BQ310" s="460">
        <f t="shared" si="857"/>
        <v>5944.0312499999973</v>
      </c>
      <c r="BR310" s="528">
        <f t="shared" si="858"/>
        <v>0.71071408184356089</v>
      </c>
      <c r="BS310" s="528">
        <f t="shared" si="859"/>
        <v>3.787325330692016</v>
      </c>
      <c r="BT310" s="528">
        <f t="shared" si="860"/>
        <v>3.8284262801990018E-4</v>
      </c>
      <c r="BU310" s="528">
        <f t="shared" si="861"/>
        <v>2.0573383832879908</v>
      </c>
      <c r="BV310" s="528"/>
      <c r="BW310" s="625">
        <f t="shared" si="862"/>
        <v>2.3563832012926642E-2</v>
      </c>
      <c r="BX310" s="460">
        <f t="shared" si="863"/>
        <v>6579.324470464514</v>
      </c>
      <c r="BY310" s="173">
        <f t="shared" si="864"/>
        <v>15.290336292826659</v>
      </c>
      <c r="BZ310" s="5">
        <f t="shared" si="865"/>
        <v>142.87999999999997</v>
      </c>
      <c r="CA310" s="173">
        <f t="shared" si="866"/>
        <v>0.90332993751420565</v>
      </c>
      <c r="CB310" s="5">
        <f t="shared" si="867"/>
        <v>90.33299375142056</v>
      </c>
      <c r="CC310">
        <f t="shared" si="868"/>
        <v>93.999999999999986</v>
      </c>
      <c r="CE310" s="562">
        <f t="shared" si="809"/>
        <v>-50</v>
      </c>
      <c r="CG310" s="173">
        <f t="shared" si="810"/>
        <v>0.84409136047666333</v>
      </c>
      <c r="CH310" s="173">
        <f t="shared" si="811"/>
        <v>0.10203989682880613</v>
      </c>
      <c r="CI310" s="170">
        <v>94</v>
      </c>
      <c r="CJ310" s="217">
        <f t="shared" si="869"/>
        <v>9.3999999999999986</v>
      </c>
      <c r="CK310" s="217">
        <f t="shared" si="812"/>
        <v>0.23499999999999999</v>
      </c>
      <c r="CL310" s="217">
        <f t="shared" si="813"/>
        <v>140.99999999999997</v>
      </c>
      <c r="CM310" s="217">
        <f t="shared" si="814"/>
        <v>1.88</v>
      </c>
      <c r="CN310" s="541">
        <f t="shared" si="815"/>
        <v>85</v>
      </c>
      <c r="CO310" s="443">
        <f t="shared" si="816"/>
        <v>15.7</v>
      </c>
      <c r="CP310" s="443">
        <f t="shared" si="817"/>
        <v>100.7</v>
      </c>
      <c r="CQ310" s="443"/>
      <c r="CR310" s="217">
        <f t="shared" si="818"/>
        <v>0.15338645418326693</v>
      </c>
      <c r="CS310" s="172">
        <f t="shared" si="819"/>
        <v>321.65744915076539</v>
      </c>
      <c r="CT310" s="172">
        <f t="shared" si="820"/>
        <v>4.3459495351925632</v>
      </c>
      <c r="CU310" s="217">
        <f t="shared" si="821"/>
        <v>21.443829943384358</v>
      </c>
      <c r="CV310" s="217">
        <f t="shared" si="822"/>
        <v>40.207181143845673</v>
      </c>
      <c r="CW310" s="217">
        <f t="shared" si="823"/>
        <v>15</v>
      </c>
      <c r="CX310" s="217">
        <f t="shared" si="824"/>
        <v>21.917726508785325</v>
      </c>
      <c r="CY310" s="217">
        <f t="shared" si="825"/>
        <v>3.0942672718285165</v>
      </c>
      <c r="CZ310" s="217">
        <f t="shared" si="826"/>
        <v>16.752402427097064</v>
      </c>
      <c r="DA310" s="197">
        <f t="shared" si="827"/>
        <v>110.43528632903013</v>
      </c>
      <c r="DB310" s="443">
        <f t="shared" si="828"/>
        <v>50.386287229546426</v>
      </c>
      <c r="DD310" s="217">
        <f t="shared" si="829"/>
        <v>9.9999999999999982</v>
      </c>
      <c r="DE310" s="173">
        <f t="shared" si="830"/>
        <v>7.6433121019108263</v>
      </c>
      <c r="DF310" s="173">
        <f t="shared" si="831"/>
        <v>4.1649244760361679</v>
      </c>
      <c r="DG310" s="173"/>
      <c r="DH310" s="173">
        <f t="shared" si="832"/>
        <v>7.6433121019108281</v>
      </c>
      <c r="DI310" s="545">
        <f t="shared" si="833"/>
        <v>245.96666666666667</v>
      </c>
      <c r="DJ310" s="528">
        <f t="shared" si="834"/>
        <v>4.2204568023833167</v>
      </c>
      <c r="DL310" s="173">
        <f t="shared" si="835"/>
        <v>8.2485207909112539</v>
      </c>
      <c r="DM310" s="173">
        <f t="shared" si="836"/>
        <v>21.917726508785325</v>
      </c>
      <c r="DN310" s="173">
        <f t="shared" si="837"/>
        <v>10.027945562063204</v>
      </c>
      <c r="DP310" s="545">
        <f t="shared" si="838"/>
        <v>9399.9999999999982</v>
      </c>
      <c r="DQ310" s="460">
        <f t="shared" si="839"/>
        <v>50.386287229546426</v>
      </c>
      <c r="DS310">
        <f t="shared" si="840"/>
        <v>9399.9999999999982</v>
      </c>
      <c r="DT310">
        <f t="shared" si="841"/>
        <v>50.386287229546426</v>
      </c>
      <c r="DV310" s="5">
        <f t="shared" si="870"/>
        <v>19.846669698925581</v>
      </c>
      <c r="DW310" s="5">
        <f t="shared" si="842"/>
        <v>3.0942672718285165</v>
      </c>
      <c r="DX310" s="5">
        <f t="shared" si="843"/>
        <v>16.752402427097064</v>
      </c>
      <c r="DY310" s="173">
        <f t="shared" si="844"/>
        <v>0.15590863952333664</v>
      </c>
      <c r="EA310" s="5">
        <f t="shared" si="871"/>
        <v>193.90741570125365</v>
      </c>
      <c r="EB310" s="5">
        <f t="shared" si="872"/>
        <v>9.0894101109962673</v>
      </c>
      <c r="EC310" s="5">
        <f t="shared" si="873"/>
        <v>9.5825101104287427</v>
      </c>
      <c r="ED310" s="5"/>
      <c r="EE310" s="173">
        <f t="shared" si="874"/>
        <v>4.9965468858619113</v>
      </c>
      <c r="EF310" s="173">
        <f t="shared" si="875"/>
        <v>11.625980861359066</v>
      </c>
      <c r="EG310" s="173">
        <f t="shared" si="876"/>
        <v>0.28631827376209784</v>
      </c>
      <c r="EH310" s="173"/>
      <c r="EI310" s="528">
        <f t="shared" si="877"/>
        <v>0.49930961565232729</v>
      </c>
      <c r="EJ310" s="528">
        <f t="shared" si="878"/>
        <v>2.2241666666666666</v>
      </c>
      <c r="EK310" s="528">
        <f t="shared" si="879"/>
        <v>6.2982859036933032E-3</v>
      </c>
      <c r="EL310" s="528">
        <f t="shared" si="880"/>
        <v>5.1094164178834327E-2</v>
      </c>
      <c r="EM310">
        <f t="shared" si="881"/>
        <v>3.8249999999999999E-2</v>
      </c>
      <c r="EN310" s="460">
        <f t="shared" si="882"/>
        <v>44.548285903693298</v>
      </c>
      <c r="EP310" s="460">
        <f t="shared" si="883"/>
        <v>2819.1187324015218</v>
      </c>
      <c r="EQ310" s="173">
        <f t="shared" si="884"/>
        <v>6.5799999999999983</v>
      </c>
      <c r="ER310" s="173">
        <f t="shared" si="845"/>
        <v>0.10428124999999999</v>
      </c>
      <c r="ES310" s="528"/>
      <c r="EU310" s="460">
        <f t="shared" si="885"/>
        <v>6684.2812499999982</v>
      </c>
      <c r="EV310" s="528">
        <f t="shared" si="886"/>
        <v>0.7489644234784909</v>
      </c>
      <c r="EW310" s="528">
        <f t="shared" si="887"/>
        <v>4.054902929660618</v>
      </c>
      <c r="EX310" s="528">
        <f t="shared" si="888"/>
        <v>4.0989076945053806E-4</v>
      </c>
      <c r="EY310" s="528">
        <f t="shared" si="889"/>
        <v>2.0264675705467927</v>
      </c>
      <c r="EZ310" s="528"/>
      <c r="FA310" s="625">
        <f t="shared" si="890"/>
        <v>2.4204904026790812E-2</v>
      </c>
      <c r="FB310" s="460">
        <f t="shared" si="891"/>
        <v>6854.949718482143</v>
      </c>
      <c r="FC310" s="173">
        <f t="shared" si="892"/>
        <v>16.358349700883664</v>
      </c>
      <c r="FD310" s="5">
        <f t="shared" si="893"/>
        <v>142.87999999999997</v>
      </c>
      <c r="FE310" s="173">
        <f t="shared" si="894"/>
        <v>0.89727129343144085</v>
      </c>
      <c r="FF310" s="5">
        <f t="shared" si="895"/>
        <v>89.727129343144085</v>
      </c>
      <c r="FG310">
        <f t="shared" si="896"/>
        <v>93.999999999999986</v>
      </c>
      <c r="FI310" s="562">
        <f t="shared" si="846"/>
        <v>-50</v>
      </c>
    </row>
    <row r="311" spans="5:169">
      <c r="E311" s="170">
        <v>95</v>
      </c>
      <c r="F311" s="217">
        <f t="shared" si="847"/>
        <v>9.5</v>
      </c>
      <c r="G311" s="217">
        <f t="shared" si="775"/>
        <v>0.23749999999999999</v>
      </c>
      <c r="H311" s="217">
        <f t="shared" si="776"/>
        <v>142.5</v>
      </c>
      <c r="I311" s="217">
        <f t="shared" si="777"/>
        <v>1.9</v>
      </c>
      <c r="J311" s="541">
        <f t="shared" si="778"/>
        <v>84.374258564880719</v>
      </c>
      <c r="K311" s="443">
        <f t="shared" si="779"/>
        <v>16.037641176470586</v>
      </c>
      <c r="L311" s="172">
        <f t="shared" si="780"/>
        <v>100.41189974135131</v>
      </c>
      <c r="M311" s="443"/>
      <c r="N311" s="217">
        <f t="shared" si="781"/>
        <v>0.15971853154637625</v>
      </c>
      <c r="O311" s="172">
        <f t="shared" si="782"/>
        <v>332.47037857640646</v>
      </c>
      <c r="P311" s="172">
        <f t="shared" si="783"/>
        <v>4.4920442260990034</v>
      </c>
      <c r="Q311" s="217">
        <f t="shared" si="784"/>
        <v>22.164691905093765</v>
      </c>
      <c r="R311" s="217">
        <f t="shared" si="785"/>
        <v>41.558797322050808</v>
      </c>
      <c r="S311" s="217">
        <f t="shared" si="786"/>
        <v>15</v>
      </c>
      <c r="T311" s="217">
        <f t="shared" si="787"/>
        <v>21.430480605545355</v>
      </c>
      <c r="U311" s="217">
        <f t="shared" si="788"/>
        <v>3.0479173582164658</v>
      </c>
      <c r="V311" s="217">
        <f t="shared" si="789"/>
        <v>16.035136616215208</v>
      </c>
      <c r="W311" s="197">
        <f t="shared" si="790"/>
        <v>112.30110565247504</v>
      </c>
      <c r="X311" s="443">
        <f t="shared" si="848"/>
        <v>51.859005390222315</v>
      </c>
      <c r="Z311" s="217">
        <f t="shared" si="791"/>
        <v>10</v>
      </c>
      <c r="AA311" s="173">
        <f t="shared" si="792"/>
        <v>7.4823971106210072</v>
      </c>
      <c r="AB311" s="173">
        <f t="shared" si="793"/>
        <v>4.146125666711959</v>
      </c>
      <c r="AC311" s="173"/>
      <c r="AD311" s="173">
        <f t="shared" si="794"/>
        <v>7.4823971106210072</v>
      </c>
      <c r="AE311" s="545">
        <f t="shared" si="795"/>
        <v>253.92931862745095</v>
      </c>
      <c r="AF311" s="528">
        <f t="shared" si="796"/>
        <v>4.2014073422681184</v>
      </c>
      <c r="AH311" s="173">
        <f t="shared" si="797"/>
        <v>8.2922798289677111</v>
      </c>
      <c r="AI311" s="173">
        <f t="shared" si="798"/>
        <v>21.430480605545355</v>
      </c>
      <c r="AJ311" s="173">
        <f t="shared" si="799"/>
        <v>9.6670226707743367</v>
      </c>
      <c r="AL311" s="545">
        <f t="shared" si="800"/>
        <v>9500</v>
      </c>
      <c r="AM311" s="460">
        <f t="shared" si="801"/>
        <v>51.859005390222315</v>
      </c>
      <c r="AO311">
        <f t="shared" si="802"/>
        <v>9500</v>
      </c>
      <c r="AP311">
        <f t="shared" si="803"/>
        <v>51.859005390222315</v>
      </c>
      <c r="AR311" s="5">
        <f t="shared" si="774"/>
        <v>19.283053974431674</v>
      </c>
      <c r="AS311" s="5">
        <f t="shared" si="897"/>
        <v>3.0479173582164658</v>
      </c>
      <c r="AT311" s="5">
        <f t="shared" si="898"/>
        <v>16.235136616215208</v>
      </c>
      <c r="AU311" s="173">
        <f t="shared" si="899"/>
        <v>0.15806196270869985</v>
      </c>
      <c r="BA311" s="173">
        <f t="shared" si="849"/>
        <v>4.9190922663266869</v>
      </c>
      <c r="BB311" s="173">
        <f t="shared" si="850"/>
        <v>11.353018582602463</v>
      </c>
      <c r="BC311" s="173">
        <f t="shared" si="851"/>
        <v>0.27959590862252343</v>
      </c>
      <c r="BD311" s="173"/>
      <c r="BE311" s="528">
        <f t="shared" si="852"/>
        <v>0.48394937449270048</v>
      </c>
      <c r="BF311" s="528">
        <f t="shared" si="804"/>
        <v>2.0923895854615426</v>
      </c>
      <c r="BG311" s="528">
        <f t="shared" si="805"/>
        <v>0.109389128242804</v>
      </c>
      <c r="BH311" s="528">
        <f t="shared" si="853"/>
        <v>5.2287099455491461E-2</v>
      </c>
      <c r="BI311">
        <f t="shared" si="854"/>
        <v>3.7968416354196323E-2</v>
      </c>
      <c r="BJ311" s="460">
        <f t="shared" si="855"/>
        <v>147.35754459700033</v>
      </c>
      <c r="BK311">
        <f t="shared" si="806"/>
        <v>3.1177964963360587</v>
      </c>
      <c r="BL311" s="460">
        <f t="shared" si="856"/>
        <v>2775.9836040067348</v>
      </c>
      <c r="BM311" s="173">
        <f t="shared" si="807"/>
        <v>5.9018749999999995</v>
      </c>
      <c r="BN311" s="173">
        <f t="shared" si="808"/>
        <v>0.10539062499999999</v>
      </c>
      <c r="BQ311" s="460">
        <f t="shared" si="857"/>
        <v>6007.265625</v>
      </c>
      <c r="BR311" s="528">
        <f t="shared" si="858"/>
        <v>0.72592406173905066</v>
      </c>
      <c r="BS311" s="528">
        <f t="shared" si="859"/>
        <v>3.8667309281075046</v>
      </c>
      <c r="BT311" s="528">
        <f t="shared" si="860"/>
        <v>3.9086936059227236E-4</v>
      </c>
      <c r="BU311" s="528">
        <f t="shared" si="861"/>
        <v>2.0587814145355248</v>
      </c>
      <c r="BV311" s="528"/>
      <c r="BW311" s="625">
        <f t="shared" si="862"/>
        <v>2.3817051987388396E-2</v>
      </c>
      <c r="BX311" s="460">
        <f t="shared" si="863"/>
        <v>6675.6443257300607</v>
      </c>
      <c r="BY311" s="173">
        <f t="shared" si="864"/>
        <v>15.458893554736795</v>
      </c>
      <c r="BZ311" s="5">
        <f t="shared" si="865"/>
        <v>144.4</v>
      </c>
      <c r="CA311" s="173">
        <f t="shared" si="866"/>
        <v>0.90329663110395819</v>
      </c>
      <c r="CB311" s="5">
        <f t="shared" si="867"/>
        <v>90.329663110395813</v>
      </c>
      <c r="CC311">
        <f t="shared" si="868"/>
        <v>95</v>
      </c>
      <c r="CE311" s="562">
        <f t="shared" si="809"/>
        <v>-50</v>
      </c>
      <c r="CG311" s="173">
        <f t="shared" si="810"/>
        <v>0.84409136047666344</v>
      </c>
      <c r="CH311" s="173">
        <f t="shared" si="811"/>
        <v>0.1020398968288061</v>
      </c>
      <c r="CI311" s="170">
        <v>95</v>
      </c>
      <c r="CJ311" s="217">
        <f t="shared" si="869"/>
        <v>9.5</v>
      </c>
      <c r="CK311" s="217">
        <f t="shared" si="812"/>
        <v>0.23749999999999999</v>
      </c>
      <c r="CL311" s="217">
        <f t="shared" si="813"/>
        <v>142.5</v>
      </c>
      <c r="CM311" s="217">
        <f t="shared" si="814"/>
        <v>1.9</v>
      </c>
      <c r="CN311" s="541">
        <f t="shared" si="815"/>
        <v>85</v>
      </c>
      <c r="CO311" s="443">
        <f t="shared" si="816"/>
        <v>15.7</v>
      </c>
      <c r="CP311" s="443">
        <f t="shared" si="817"/>
        <v>100.7</v>
      </c>
      <c r="CQ311" s="443"/>
      <c r="CR311" s="217">
        <f t="shared" si="818"/>
        <v>0.15338645418326693</v>
      </c>
      <c r="CS311" s="172">
        <f t="shared" si="819"/>
        <v>321.65744915076539</v>
      </c>
      <c r="CT311" s="172">
        <f t="shared" si="820"/>
        <v>4.3459495351925632</v>
      </c>
      <c r="CU311" s="217">
        <f t="shared" si="821"/>
        <v>21.443829943384358</v>
      </c>
      <c r="CV311" s="217">
        <f t="shared" si="822"/>
        <v>40.207181143845673</v>
      </c>
      <c r="CW311" s="217">
        <f t="shared" si="823"/>
        <v>15</v>
      </c>
      <c r="CX311" s="217">
        <f t="shared" si="824"/>
        <v>22.150893812070283</v>
      </c>
      <c r="CY311" s="217">
        <f t="shared" si="825"/>
        <v>3.1271850087628632</v>
      </c>
      <c r="CZ311" s="217">
        <f t="shared" si="826"/>
        <v>16.930619474193847</v>
      </c>
      <c r="DA311" s="197">
        <f t="shared" si="827"/>
        <v>110.43528632903013</v>
      </c>
      <c r="DB311" s="443">
        <f t="shared" si="828"/>
        <v>49.855905258709072</v>
      </c>
      <c r="DD311" s="217">
        <f t="shared" si="829"/>
        <v>9.9999999999999982</v>
      </c>
      <c r="DE311" s="173">
        <f t="shared" si="830"/>
        <v>7.6433121019108263</v>
      </c>
      <c r="DF311" s="173">
        <f t="shared" si="831"/>
        <v>4.1649244760361679</v>
      </c>
      <c r="DG311" s="173"/>
      <c r="DH311" s="173">
        <f t="shared" si="832"/>
        <v>7.6433121019108281</v>
      </c>
      <c r="DI311" s="545">
        <f t="shared" si="833"/>
        <v>248.58333333333334</v>
      </c>
      <c r="DJ311" s="528">
        <f t="shared" si="834"/>
        <v>4.2204568023833167</v>
      </c>
      <c r="DL311" s="173">
        <f t="shared" si="835"/>
        <v>8.2922798289677111</v>
      </c>
      <c r="DM311" s="173">
        <f t="shared" si="836"/>
        <v>22.150893812070283</v>
      </c>
      <c r="DN311" s="173">
        <f t="shared" si="837"/>
        <v>10.200662083015024</v>
      </c>
      <c r="DP311" s="545">
        <f t="shared" si="838"/>
        <v>9500</v>
      </c>
      <c r="DQ311" s="460">
        <f t="shared" si="839"/>
        <v>49.855905258709072</v>
      </c>
      <c r="DS311">
        <f t="shared" si="840"/>
        <v>9500</v>
      </c>
      <c r="DT311">
        <f t="shared" si="841"/>
        <v>49.855905258709072</v>
      </c>
      <c r="DV311" s="5">
        <f t="shared" si="870"/>
        <v>20.057804482956715</v>
      </c>
      <c r="DW311" s="5">
        <f t="shared" si="842"/>
        <v>3.1271850087628632</v>
      </c>
      <c r="DX311" s="5">
        <f t="shared" si="843"/>
        <v>16.930619474193854</v>
      </c>
      <c r="DY311" s="173">
        <f t="shared" si="844"/>
        <v>0.15590863952333658</v>
      </c>
      <c r="EA311" s="5">
        <f t="shared" si="871"/>
        <v>198.05505055498134</v>
      </c>
      <c r="EB311" s="5">
        <f t="shared" si="872"/>
        <v>9.2838304947647501</v>
      </c>
      <c r="EC311" s="5">
        <f t="shared" si="873"/>
        <v>9.7874777893412741</v>
      </c>
      <c r="ED311" s="5"/>
      <c r="EE311" s="173">
        <f t="shared" si="874"/>
        <v>5.0497016399668251</v>
      </c>
      <c r="EF311" s="173">
        <f t="shared" si="875"/>
        <v>11.749661508820337</v>
      </c>
      <c r="EG311" s="173">
        <f t="shared" si="876"/>
        <v>0.28936421284467345</v>
      </c>
      <c r="EH311" s="173"/>
      <c r="EI311" s="528">
        <f t="shared" si="877"/>
        <v>0.5099897330536729</v>
      </c>
      <c r="EJ311" s="528">
        <f t="shared" si="878"/>
        <v>2.2241666666666662</v>
      </c>
      <c r="EK311" s="528">
        <f t="shared" si="879"/>
        <v>6.2319881573386334E-3</v>
      </c>
      <c r="EL311" s="528">
        <f t="shared" si="880"/>
        <v>5.0556330871688676E-2</v>
      </c>
      <c r="EM311">
        <f t="shared" si="881"/>
        <v>3.8249999999999999E-2</v>
      </c>
      <c r="EN311" s="460">
        <f t="shared" si="882"/>
        <v>44.481988157338634</v>
      </c>
      <c r="EP311" s="460">
        <f t="shared" si="883"/>
        <v>2829.1947187493665</v>
      </c>
      <c r="EQ311" s="173">
        <f t="shared" si="884"/>
        <v>6.6499999999999995</v>
      </c>
      <c r="ER311" s="173">
        <f t="shared" si="845"/>
        <v>0.10539062499999999</v>
      </c>
      <c r="ES311" s="528"/>
      <c r="EU311" s="460">
        <f t="shared" si="885"/>
        <v>6755.3906249999991</v>
      </c>
      <c r="EV311" s="528">
        <f t="shared" si="886"/>
        <v>0.76498459958050924</v>
      </c>
      <c r="EW311" s="528">
        <f t="shared" si="887"/>
        <v>4.141636367155626</v>
      </c>
      <c r="EX311" s="528">
        <f t="shared" si="888"/>
        <v>4.1865823837608745E-4</v>
      </c>
      <c r="EY311" s="528">
        <f t="shared" si="889"/>
        <v>2.0264675705467927</v>
      </c>
      <c r="EZ311" s="528"/>
      <c r="FA311" s="625">
        <f t="shared" si="890"/>
        <v>2.446240300579923E-2</v>
      </c>
      <c r="FB311" s="460">
        <f t="shared" si="891"/>
        <v>6957.9695985271037</v>
      </c>
      <c r="FC311" s="173">
        <f t="shared" si="892"/>
        <v>16.542554942276471</v>
      </c>
      <c r="FD311" s="5">
        <f t="shared" si="893"/>
        <v>144.4</v>
      </c>
      <c r="FE311" s="173">
        <f t="shared" si="894"/>
        <v>0.89721453752110736</v>
      </c>
      <c r="FF311" s="5">
        <f t="shared" si="895"/>
        <v>89.721453752110733</v>
      </c>
      <c r="FG311">
        <f t="shared" si="896"/>
        <v>95</v>
      </c>
      <c r="FI311" s="562">
        <f t="shared" si="846"/>
        <v>-50</v>
      </c>
    </row>
    <row r="312" spans="5:169">
      <c r="E312" s="170">
        <v>96</v>
      </c>
      <c r="F312" s="217">
        <f t="shared" si="847"/>
        <v>9.6</v>
      </c>
      <c r="G312" s="217">
        <f t="shared" si="775"/>
        <v>0.24</v>
      </c>
      <c r="H312" s="217">
        <f t="shared" si="776"/>
        <v>144</v>
      </c>
      <c r="I312" s="217">
        <f t="shared" si="777"/>
        <v>1.92</v>
      </c>
      <c r="J312" s="541">
        <f t="shared" si="778"/>
        <v>84.367671812932088</v>
      </c>
      <c r="K312" s="443">
        <f t="shared" si="779"/>
        <v>16.041195294117646</v>
      </c>
      <c r="L312" s="172">
        <f t="shared" si="780"/>
        <v>100.40886710704973</v>
      </c>
      <c r="M312" s="443"/>
      <c r="N312" s="217">
        <f t="shared" si="781"/>
        <v>0.15975875195380418</v>
      </c>
      <c r="O312" s="172">
        <f>N312*J312*Isw_max*0.5*Efficiency*Pout/(Pout+Pout2)</f>
        <v>332.52814031452732</v>
      </c>
      <c r="P312" s="172">
        <f t="shared" si="783"/>
        <v>4.4928246513607251</v>
      </c>
      <c r="Q312" s="217">
        <f t="shared" si="784"/>
        <v>22.168542687635156</v>
      </c>
      <c r="R312" s="217">
        <f t="shared" si="785"/>
        <v>41.566017539315915</v>
      </c>
      <c r="S312" s="217">
        <f t="shared" si="786"/>
        <v>15</v>
      </c>
      <c r="T312" s="217">
        <f t="shared" si="787"/>
        <v>21.652302849285952</v>
      </c>
      <c r="U312" s="217">
        <f t="shared" si="788"/>
        <v>3.0797061078981249</v>
      </c>
      <c r="V312" s="217">
        <f t="shared" si="789"/>
        <v>16.197523278499762</v>
      </c>
      <c r="W312" s="197">
        <f t="shared" si="790"/>
        <v>112.32061628401812</v>
      </c>
      <c r="X312" s="443">
        <f t="shared" si="848"/>
        <v>51.342004561406448</v>
      </c>
      <c r="Z312" s="217">
        <f t="shared" si="791"/>
        <v>10</v>
      </c>
      <c r="AA312" s="173">
        <f t="shared" si="792"/>
        <v>7.4807392965288795</v>
      </c>
      <c r="AB312" s="173">
        <f>0.5*AA312*Z312*Nps*W312/1000*(Pout/(Pout+Pout2))</f>
        <v>4.1459272107542553</v>
      </c>
      <c r="AC312" s="173"/>
      <c r="AD312" s="173">
        <f t="shared" si="794"/>
        <v>7.4807392965288795</v>
      </c>
      <c r="AE312" s="545">
        <f>MAX(10, F312/(0.5*AD312/1000000*Isw_min*Nps)/1000*Pout_total/Pout)</f>
        <v>256.65912470588228</v>
      </c>
      <c r="AF312" s="528">
        <f t="shared" si="796"/>
        <v>4.20120624023098</v>
      </c>
      <c r="AH312" s="173">
        <f t="shared" si="797"/>
        <v>8.3358091560276435</v>
      </c>
      <c r="AI312" s="173">
        <f>MAX(IF(F312&gt;AB312,T312,AH312),Isw_min)</f>
        <v>21.652302849285952</v>
      </c>
      <c r="AJ312" s="173">
        <f>IF(F312&gt;AF312, (AI312-Isw_min)/1.08*0.8+1.2, AE312*0.2/350+1)</f>
        <v>9.8313354439155187</v>
      </c>
      <c r="AL312" s="545">
        <f t="shared" si="800"/>
        <v>9600</v>
      </c>
      <c r="AM312" s="460">
        <f t="shared" si="801"/>
        <v>51.342004561406448</v>
      </c>
      <c r="AO312">
        <f t="shared" si="802"/>
        <v>9600</v>
      </c>
      <c r="AP312">
        <f t="shared" si="803"/>
        <v>51.342004561406448</v>
      </c>
      <c r="AR312" s="5">
        <f t="shared" si="774"/>
        <v>19.477229386397887</v>
      </c>
      <c r="AS312" s="5">
        <f t="shared" si="897"/>
        <v>3.0797061078981249</v>
      </c>
      <c r="AT312" s="5">
        <f t="shared" si="898"/>
        <v>16.397523278499762</v>
      </c>
      <c r="AU312" s="173">
        <f t="shared" si="899"/>
        <v>0.15811828503949682</v>
      </c>
      <c r="BA312" s="173">
        <f t="shared" si="849"/>
        <v>4.9708941249923466</v>
      </c>
      <c r="BB312" s="173">
        <f t="shared" si="850"/>
        <v>11.470147535690874</v>
      </c>
      <c r="BC312" s="173">
        <f t="shared" si="851"/>
        <v>0.28248049617309295</v>
      </c>
      <c r="BD312" s="173"/>
      <c r="BE312" s="528">
        <f t="shared" si="852"/>
        <v>0.49419576803766851</v>
      </c>
      <c r="BF312" s="528">
        <f t="shared" si="804"/>
        <v>2.0929085538410557</v>
      </c>
      <c r="BG312" s="528">
        <f t="shared" si="805"/>
        <v>0.10829013477637002</v>
      </c>
      <c r="BH312" s="528">
        <f t="shared" si="853"/>
        <v>5.1762703995066141E-2</v>
      </c>
      <c r="BI312">
        <f t="shared" si="854"/>
        <v>3.7965452315819437E-2</v>
      </c>
      <c r="BJ312" s="460">
        <f t="shared" si="855"/>
        <v>146.25558709218944</v>
      </c>
      <c r="BK312">
        <f t="shared" si="806"/>
        <v>3.1411348045128809</v>
      </c>
      <c r="BL312" s="460">
        <f t="shared" si="856"/>
        <v>2785.1226129659794</v>
      </c>
      <c r="BM312" s="173">
        <f t="shared" si="807"/>
        <v>5.9639999999999995</v>
      </c>
      <c r="BN312" s="173">
        <f t="shared" si="808"/>
        <v>0.1065</v>
      </c>
      <c r="BQ312" s="460">
        <f t="shared" si="857"/>
        <v>6070.4999999999991</v>
      </c>
      <c r="BR312" s="528">
        <f t="shared" si="858"/>
        <v>0.74129365205650277</v>
      </c>
      <c r="BS312" s="528">
        <f t="shared" si="859"/>
        <v>3.9469285347154628</v>
      </c>
      <c r="BT312" s="528">
        <f t="shared" si="860"/>
        <v>3.9897615359098395E-4</v>
      </c>
      <c r="BU312" s="528">
        <f t="shared" si="861"/>
        <v>2.0602137862747307</v>
      </c>
      <c r="BV312" s="528"/>
      <c r="BW312" s="625">
        <f t="shared" si="862"/>
        <v>2.4070272489813322E-2</v>
      </c>
      <c r="BX312" s="460">
        <f t="shared" si="863"/>
        <v>6772.9052216901009</v>
      </c>
      <c r="BY312" s="173">
        <f t="shared" si="864"/>
        <v>15.628527834656081</v>
      </c>
      <c r="BZ312" s="5">
        <f t="shared" si="865"/>
        <v>145.91999999999999</v>
      </c>
      <c r="CA312" s="173">
        <f t="shared" si="866"/>
        <v>0.90325799904130499</v>
      </c>
      <c r="CB312" s="5">
        <f t="shared" si="867"/>
        <v>90.325799904130506</v>
      </c>
      <c r="CC312">
        <f t="shared" si="868"/>
        <v>96</v>
      </c>
      <c r="CE312" s="562">
        <f t="shared" si="809"/>
        <v>-50</v>
      </c>
      <c r="CG312" s="173">
        <f t="shared" si="810"/>
        <v>0.84409136047666333</v>
      </c>
      <c r="CH312" s="173">
        <f t="shared" si="811"/>
        <v>0.10203989682880611</v>
      </c>
      <c r="CI312" s="170">
        <v>96</v>
      </c>
      <c r="CJ312" s="217">
        <f t="shared" si="869"/>
        <v>9.6</v>
      </c>
      <c r="CK312" s="217">
        <f t="shared" si="812"/>
        <v>0.24</v>
      </c>
      <c r="CL312" s="217">
        <f t="shared" si="813"/>
        <v>144</v>
      </c>
      <c r="CM312" s="217">
        <f t="shared" si="814"/>
        <v>1.92</v>
      </c>
      <c r="CN312" s="541">
        <f t="shared" si="815"/>
        <v>85</v>
      </c>
      <c r="CO312" s="443">
        <f t="shared" si="816"/>
        <v>15.7</v>
      </c>
      <c r="CP312" s="443">
        <f t="shared" si="817"/>
        <v>100.7</v>
      </c>
      <c r="CQ312" s="443"/>
      <c r="CR312" s="217">
        <f t="shared" si="818"/>
        <v>0.15338645418326693</v>
      </c>
      <c r="CS312" s="172">
        <f t="shared" si="819"/>
        <v>321.65744915076539</v>
      </c>
      <c r="CT312" s="172">
        <f t="shared" si="820"/>
        <v>4.3459495351925632</v>
      </c>
      <c r="CU312" s="217">
        <f t="shared" si="821"/>
        <v>21.443829943384358</v>
      </c>
      <c r="CV312" s="217">
        <f t="shared" si="822"/>
        <v>40.207181143845673</v>
      </c>
      <c r="CW312" s="217">
        <f t="shared" si="823"/>
        <v>15</v>
      </c>
      <c r="CX312" s="217">
        <f t="shared" si="824"/>
        <v>22.38406111535523</v>
      </c>
      <c r="CY312" s="217">
        <f t="shared" si="825"/>
        <v>3.1601027456972091</v>
      </c>
      <c r="CZ312" s="217">
        <f t="shared" si="826"/>
        <v>17.10883652129062</v>
      </c>
      <c r="DA312" s="197">
        <f t="shared" si="827"/>
        <v>110.43528632903013</v>
      </c>
      <c r="DB312" s="443">
        <f t="shared" si="828"/>
        <v>49.336572912264202</v>
      </c>
      <c r="DD312" s="217">
        <f t="shared" si="829"/>
        <v>9.9999999999999982</v>
      </c>
      <c r="DE312" s="173">
        <f t="shared" si="830"/>
        <v>7.6433121019108263</v>
      </c>
      <c r="DF312" s="173">
        <f t="shared" si="831"/>
        <v>4.1649244760361679</v>
      </c>
      <c r="DG312" s="173"/>
      <c r="DH312" s="173">
        <f t="shared" si="832"/>
        <v>7.6433121019108281</v>
      </c>
      <c r="DI312" s="545">
        <f t="shared" si="833"/>
        <v>251.2</v>
      </c>
      <c r="DJ312" s="528">
        <f t="shared" si="834"/>
        <v>4.2204568023833167</v>
      </c>
      <c r="DL312" s="173">
        <f t="shared" si="835"/>
        <v>8.3358091560276435</v>
      </c>
      <c r="DM312" s="173">
        <f t="shared" si="836"/>
        <v>22.38406111535523</v>
      </c>
      <c r="DN312" s="173">
        <f t="shared" si="837"/>
        <v>10.373378603966836</v>
      </c>
      <c r="DP312" s="545">
        <f t="shared" si="838"/>
        <v>9600</v>
      </c>
      <c r="DQ312" s="460">
        <f t="shared" si="839"/>
        <v>49.336572912264202</v>
      </c>
      <c r="DS312">
        <f t="shared" si="840"/>
        <v>9600</v>
      </c>
      <c r="DT312">
        <f t="shared" si="841"/>
        <v>49.336572912264202</v>
      </c>
      <c r="DV312" s="5">
        <f t="shared" si="870"/>
        <v>20.268939266987832</v>
      </c>
      <c r="DW312" s="5">
        <f t="shared" si="842"/>
        <v>3.1601027456972091</v>
      </c>
      <c r="DX312" s="5">
        <f t="shared" si="843"/>
        <v>17.108836521290623</v>
      </c>
      <c r="DY312" s="173">
        <f t="shared" si="844"/>
        <v>0.15590863952333664</v>
      </c>
      <c r="EA312" s="5">
        <f t="shared" si="871"/>
        <v>202.24657572462138</v>
      </c>
      <c r="EB312" s="5">
        <f t="shared" si="872"/>
        <v>9.4803082370916272</v>
      </c>
      <c r="EC312" s="5">
        <f t="shared" si="873"/>
        <v>9.9946144384010118</v>
      </c>
      <c r="ED312" s="5"/>
      <c r="EE312" s="173">
        <f t="shared" si="874"/>
        <v>5.1028563940717397</v>
      </c>
      <c r="EF312" s="173">
        <f t="shared" si="875"/>
        <v>11.873342156281602</v>
      </c>
      <c r="EG312" s="173">
        <f t="shared" si="876"/>
        <v>0.2924101519272489</v>
      </c>
      <c r="EH312" s="173"/>
      <c r="EI312" s="528">
        <f t="shared" si="877"/>
        <v>0.52078286757037673</v>
      </c>
      <c r="EJ312" s="528">
        <f t="shared" si="878"/>
        <v>2.2241666666666671</v>
      </c>
      <c r="EK312" s="528">
        <f t="shared" si="879"/>
        <v>6.1670716140330255E-3</v>
      </c>
      <c r="EL312" s="528">
        <f t="shared" si="880"/>
        <v>5.0029702425108603E-2</v>
      </c>
      <c r="EM312">
        <f t="shared" si="881"/>
        <v>3.8249999999999999E-2</v>
      </c>
      <c r="EN312" s="460">
        <f t="shared" si="882"/>
        <v>44.41707161403302</v>
      </c>
      <c r="EP312" s="460">
        <f t="shared" si="883"/>
        <v>2839.3963082761857</v>
      </c>
      <c r="EQ312" s="173">
        <f t="shared" si="884"/>
        <v>6.72</v>
      </c>
      <c r="ER312" s="173">
        <f t="shared" si="845"/>
        <v>0.1065</v>
      </c>
      <c r="ES312" s="528"/>
      <c r="EU312" s="460">
        <f t="shared" si="885"/>
        <v>6826.4999999999991</v>
      </c>
      <c r="EV312" s="528">
        <f t="shared" si="886"/>
        <v>0.78117430135556509</v>
      </c>
      <c r="EW312" s="528">
        <f t="shared" si="887"/>
        <v>4.2292876188040154</v>
      </c>
      <c r="EX312" s="528">
        <f t="shared" si="888"/>
        <v>4.2751848475058391E-4</v>
      </c>
      <c r="EY312" s="528">
        <f t="shared" si="889"/>
        <v>2.0264675705467892</v>
      </c>
      <c r="EZ312" s="528"/>
      <c r="FA312" s="625">
        <f t="shared" si="890"/>
        <v>2.4719901984807644E-2</v>
      </c>
      <c r="FB312" s="460">
        <f t="shared" si="891"/>
        <v>7062.0769111759291</v>
      </c>
      <c r="FC312" s="173">
        <f t="shared" si="892"/>
        <v>16.72797321945211</v>
      </c>
      <c r="FD312" s="5">
        <f t="shared" si="893"/>
        <v>145.91999999999999</v>
      </c>
      <c r="FE312" s="173">
        <f t="shared" si="894"/>
        <v>0.89715227993107571</v>
      </c>
      <c r="FF312" s="5">
        <f t="shared" si="895"/>
        <v>89.715227993107575</v>
      </c>
      <c r="FG312">
        <f t="shared" si="896"/>
        <v>96</v>
      </c>
      <c r="FI312" s="562">
        <f t="shared" si="846"/>
        <v>-50</v>
      </c>
    </row>
    <row r="313" spans="5:169">
      <c r="E313" s="170">
        <v>97</v>
      </c>
      <c r="F313" s="217">
        <f>IF(PLOT_TYPE=1, E313/100*Iout_max, min_I*EXP(O313*rr/100))</f>
        <v>9.6999999999999993</v>
      </c>
      <c r="G313" s="217">
        <f t="shared" si="775"/>
        <v>0.24249999999999999</v>
      </c>
      <c r="H313" s="217">
        <f t="shared" si="776"/>
        <v>145.5</v>
      </c>
      <c r="I313" s="217">
        <f t="shared" si="777"/>
        <v>1.94</v>
      </c>
      <c r="J313" s="541">
        <f t="shared" si="778"/>
        <v>84.36108506098347</v>
      </c>
      <c r="K313" s="443">
        <f t="shared" si="779"/>
        <v>16.044749411764705</v>
      </c>
      <c r="L313" s="172">
        <f t="shared" si="780"/>
        <v>100.40583447274818</v>
      </c>
      <c r="M313" s="443"/>
      <c r="N313" s="217">
        <f t="shared" si="781"/>
        <v>0.15979897479084762</v>
      </c>
      <c r="O313" s="172">
        <f>N313*J313*Isw_max*0.5*Efficiency*Pout/(Pout+Pout2)</f>
        <v>332.58589403754888</v>
      </c>
      <c r="P313" s="172">
        <f t="shared" si="783"/>
        <v>4.4936049683295503</v>
      </c>
      <c r="Q313" s="217">
        <f t="shared" si="784"/>
        <v>22.172392935836591</v>
      </c>
      <c r="R313" s="217">
        <f t="shared" si="785"/>
        <v>41.57323675469361</v>
      </c>
      <c r="S313" s="217">
        <f t="shared" si="786"/>
        <v>15</v>
      </c>
      <c r="T313" s="217">
        <f t="shared" si="787"/>
        <v>21.874048570378193</v>
      </c>
      <c r="U313" s="217">
        <f t="shared" si="788"/>
        <v>3.1114889365729348</v>
      </c>
      <c r="V313" s="217">
        <f t="shared" si="789"/>
        <v>16.359780767412317</v>
      </c>
      <c r="W313" s="197">
        <f t="shared" si="790"/>
        <v>112.34012420823875</v>
      </c>
      <c r="X313" s="443">
        <f t="shared" si="848"/>
        <v>50.835559424890988</v>
      </c>
      <c r="Z313" s="217">
        <f t="shared" si="791"/>
        <v>10</v>
      </c>
      <c r="AA313" s="173">
        <f t="shared" si="792"/>
        <v>7.479082216890891</v>
      </c>
      <c r="AB313" s="173">
        <f>0.5*AA313*Z313*Nps*W313/1000*(Pout/(Pout+Pout2))</f>
        <v>4.1457287428083163</v>
      </c>
      <c r="AC313" s="173"/>
      <c r="AD313" s="173">
        <f t="shared" si="794"/>
        <v>7.479082216890891</v>
      </c>
      <c r="AE313" s="545">
        <f>MAX(10, F313/(0.5*AD313/1000000*Isw_min*Nps)/1000*Pout_total/Pout)</f>
        <v>259.39011549019602</v>
      </c>
      <c r="AF313" s="528">
        <f t="shared" si="796"/>
        <v>4.2010051260457626</v>
      </c>
      <c r="AH313" s="173">
        <f t="shared" si="797"/>
        <v>8.3791123521244071</v>
      </c>
      <c r="AI313" s="173">
        <f>MAX(IF(F313&gt;AB313,T313,AH313),Isw_min)</f>
        <v>21.874048570378193</v>
      </c>
      <c r="AJ313" s="173">
        <f>IF(F313&gt;AF313, (AI313-Isw_min)/1.08*0.8+1.2, AE313*0.2/350+1)</f>
        <v>9.9955915336134744</v>
      </c>
      <c r="AL313" s="545">
        <f t="shared" si="800"/>
        <v>9700</v>
      </c>
      <c r="AM313" s="460">
        <f t="shared" si="801"/>
        <v>50.835559424890988</v>
      </c>
      <c r="AO313">
        <f t="shared" si="802"/>
        <v>9700</v>
      </c>
      <c r="AP313">
        <f t="shared" si="803"/>
        <v>50.835559424890988</v>
      </c>
      <c r="AR313" s="5">
        <f t="shared" si="774"/>
        <v>19.671269703985249</v>
      </c>
      <c r="AS313" s="5">
        <f t="shared" si="897"/>
        <v>3.1114889365729348</v>
      </c>
      <c r="AT313" s="5">
        <f t="shared" si="898"/>
        <v>16.559780767412313</v>
      </c>
      <c r="AU313" s="173">
        <f t="shared" si="899"/>
        <v>0.1581742807350443</v>
      </c>
      <c r="BA313" s="173">
        <f t="shared" si="849"/>
        <v>5.0226912087821702</v>
      </c>
      <c r="BB313" s="173">
        <f t="shared" si="850"/>
        <v>11.587230326569721</v>
      </c>
      <c r="BC313" s="173">
        <f t="shared" si="851"/>
        <v>0.28536394686610927</v>
      </c>
      <c r="BD313" s="173"/>
      <c r="BE313" s="528">
        <f t="shared" si="852"/>
        <v>0.50454853957555401</v>
      </c>
      <c r="BF313" s="528">
        <f t="shared" si="804"/>
        <v>2.0934230476629736</v>
      </c>
      <c r="BG313" s="528">
        <f t="shared" si="805"/>
        <v>0.1072135738191477</v>
      </c>
      <c r="BH313" s="528">
        <f t="shared" si="853"/>
        <v>5.1249013143907562E-2</v>
      </c>
      <c r="BI313">
        <f t="shared" si="854"/>
        <v>3.7962488277442558E-2</v>
      </c>
      <c r="BJ313" s="460">
        <f t="shared" si="855"/>
        <v>145.17606209659027</v>
      </c>
      <c r="BK313">
        <f t="shared" si="806"/>
        <v>3.1648536857650789</v>
      </c>
      <c r="BL313" s="460">
        <f t="shared" si="856"/>
        <v>2794.3966624790255</v>
      </c>
      <c r="BM313" s="173">
        <f t="shared" si="807"/>
        <v>6.0261249999999986</v>
      </c>
      <c r="BN313" s="173">
        <f t="shared" si="808"/>
        <v>0.10760937499999999</v>
      </c>
      <c r="BQ313" s="460">
        <f t="shared" si="857"/>
        <v>6133.7343749999982</v>
      </c>
      <c r="BR313" s="528">
        <f t="shared" si="858"/>
        <v>0.75682280936333102</v>
      </c>
      <c r="BS313" s="528">
        <f t="shared" si="859"/>
        <v>4.0279171992293108</v>
      </c>
      <c r="BT313" s="528">
        <f t="shared" si="860"/>
        <v>4.0716291085501818E-4</v>
      </c>
      <c r="BU313" s="528">
        <f t="shared" si="861"/>
        <v>2.0616358258069942</v>
      </c>
      <c r="BV313" s="528"/>
      <c r="BW313" s="625">
        <f t="shared" si="862"/>
        <v>2.4323493503946473E-2</v>
      </c>
      <c r="BX313" s="460">
        <f t="shared" si="863"/>
        <v>6871.1064908144372</v>
      </c>
      <c r="BY313" s="173">
        <f t="shared" si="864"/>
        <v>15.79923752829346</v>
      </c>
      <c r="BZ313" s="5">
        <f t="shared" si="865"/>
        <v>147.44</v>
      </c>
      <c r="CA313" s="173">
        <f t="shared" si="866"/>
        <v>0.9032142163396526</v>
      </c>
      <c r="CB313" s="5">
        <f t="shared" si="867"/>
        <v>90.321421633965258</v>
      </c>
      <c r="CC313">
        <f t="shared" si="868"/>
        <v>97</v>
      </c>
      <c r="CE313" s="562">
        <f t="shared" si="809"/>
        <v>-50</v>
      </c>
      <c r="CG313" s="173">
        <f t="shared" si="810"/>
        <v>0.84409136047666333</v>
      </c>
      <c r="CH313" s="173">
        <f t="shared" si="811"/>
        <v>0.10203989682880611</v>
      </c>
      <c r="CI313" s="170">
        <v>97</v>
      </c>
      <c r="CJ313" s="217">
        <f t="shared" si="869"/>
        <v>9.6999999999999993</v>
      </c>
      <c r="CK313" s="217">
        <f t="shared" si="812"/>
        <v>0.24249999999999999</v>
      </c>
      <c r="CL313" s="217">
        <f t="shared" si="813"/>
        <v>145.5</v>
      </c>
      <c r="CM313" s="217">
        <f t="shared" si="814"/>
        <v>1.94</v>
      </c>
      <c r="CN313" s="541">
        <f t="shared" si="815"/>
        <v>85</v>
      </c>
      <c r="CO313" s="443">
        <f t="shared" si="816"/>
        <v>15.7</v>
      </c>
      <c r="CP313" s="443">
        <f t="shared" si="817"/>
        <v>100.7</v>
      </c>
      <c r="CQ313" s="443"/>
      <c r="CR313" s="217">
        <f t="shared" si="818"/>
        <v>0.15338645418326693</v>
      </c>
      <c r="CS313" s="172">
        <f t="shared" si="819"/>
        <v>321.65744915076539</v>
      </c>
      <c r="CT313" s="172">
        <f t="shared" si="820"/>
        <v>4.3459495351925632</v>
      </c>
      <c r="CU313" s="217">
        <f t="shared" si="821"/>
        <v>21.443829943384358</v>
      </c>
      <c r="CV313" s="217">
        <f t="shared" si="822"/>
        <v>40.207181143845673</v>
      </c>
      <c r="CW313" s="217">
        <f t="shared" si="823"/>
        <v>15</v>
      </c>
      <c r="CX313" s="217">
        <f t="shared" si="824"/>
        <v>22.617228418640181</v>
      </c>
      <c r="CY313" s="217">
        <f t="shared" si="825"/>
        <v>3.1930204826315545</v>
      </c>
      <c r="CZ313" s="217">
        <f t="shared" si="826"/>
        <v>17.2870535683874</v>
      </c>
      <c r="DA313" s="197">
        <f t="shared" si="827"/>
        <v>110.43528632903013</v>
      </c>
      <c r="DB313" s="443">
        <f t="shared" si="828"/>
        <v>48.827948449251167</v>
      </c>
      <c r="DD313" s="217">
        <f t="shared" si="829"/>
        <v>9.9999999999999982</v>
      </c>
      <c r="DE313" s="173">
        <f t="shared" si="830"/>
        <v>7.6433121019108263</v>
      </c>
      <c r="DF313" s="173">
        <f t="shared" si="831"/>
        <v>4.1649244760361679</v>
      </c>
      <c r="DG313" s="173"/>
      <c r="DH313" s="173">
        <f t="shared" si="832"/>
        <v>7.6433121019108281</v>
      </c>
      <c r="DI313" s="545">
        <f t="shared" si="833"/>
        <v>253.81666666666672</v>
      </c>
      <c r="DJ313" s="528">
        <f t="shared" si="834"/>
        <v>4.2204568023833167</v>
      </c>
      <c r="DL313" s="173">
        <f t="shared" si="835"/>
        <v>8.3791123521244071</v>
      </c>
      <c r="DM313" s="173">
        <f t="shared" si="836"/>
        <v>22.617228418640181</v>
      </c>
      <c r="DN313" s="173">
        <f t="shared" si="837"/>
        <v>10.546095124918653</v>
      </c>
      <c r="DP313" s="545">
        <f t="shared" si="838"/>
        <v>9700</v>
      </c>
      <c r="DQ313" s="460">
        <f t="shared" si="839"/>
        <v>48.827948449251167</v>
      </c>
      <c r="DS313">
        <f t="shared" si="840"/>
        <v>9700</v>
      </c>
      <c r="DT313">
        <f t="shared" si="841"/>
        <v>48.827948449251167</v>
      </c>
      <c r="DV313" s="5">
        <f t="shared" si="870"/>
        <v>20.480074051018953</v>
      </c>
      <c r="DW313" s="5">
        <f t="shared" si="842"/>
        <v>3.1930204826315545</v>
      </c>
      <c r="DX313" s="5">
        <f t="shared" si="843"/>
        <v>17.2870535683874</v>
      </c>
      <c r="DY313" s="173">
        <f t="shared" si="844"/>
        <v>0.15590863952333664</v>
      </c>
      <c r="EA313" s="5">
        <f t="shared" si="871"/>
        <v>206.48199121017385</v>
      </c>
      <c r="EB313" s="5">
        <f t="shared" si="872"/>
        <v>9.6788433379768986</v>
      </c>
      <c r="EC313" s="5">
        <f t="shared" si="873"/>
        <v>10.203920057607975</v>
      </c>
      <c r="ED313" s="5"/>
      <c r="EE313" s="173">
        <f t="shared" si="874"/>
        <v>5.1560111481766544</v>
      </c>
      <c r="EF313" s="173">
        <f t="shared" si="875"/>
        <v>11.997022803742869</v>
      </c>
      <c r="EG313" s="173">
        <f t="shared" si="876"/>
        <v>0.29545609100982445</v>
      </c>
      <c r="EH313" s="173"/>
      <c r="EI313" s="528">
        <f t="shared" si="877"/>
        <v>0.53168901920243883</v>
      </c>
      <c r="EJ313" s="528">
        <f t="shared" si="878"/>
        <v>2.2241666666666666</v>
      </c>
      <c r="EK313" s="528">
        <f t="shared" si="879"/>
        <v>6.103493556156395E-3</v>
      </c>
      <c r="EL313" s="528">
        <f t="shared" si="880"/>
        <v>4.9513932297014701E-2</v>
      </c>
      <c r="EM313">
        <f t="shared" si="881"/>
        <v>3.8249999999999999E-2</v>
      </c>
      <c r="EN313" s="460">
        <f t="shared" si="882"/>
        <v>44.353493556156394</v>
      </c>
      <c r="EP313" s="460">
        <f t="shared" si="883"/>
        <v>2849.7231117222768</v>
      </c>
      <c r="EQ313" s="173">
        <f t="shared" si="884"/>
        <v>6.7899999999999991</v>
      </c>
      <c r="ER313" s="173">
        <f t="shared" si="845"/>
        <v>0.10760937499999999</v>
      </c>
      <c r="ES313" s="528"/>
      <c r="EU313" s="460">
        <f t="shared" si="885"/>
        <v>6897.6093749999991</v>
      </c>
      <c r="EV313" s="528">
        <f t="shared" si="886"/>
        <v>0.79753352880365824</v>
      </c>
      <c r="EW313" s="528">
        <f t="shared" si="887"/>
        <v>4.3178566846057924</v>
      </c>
      <c r="EX313" s="528">
        <f t="shared" si="888"/>
        <v>4.3647150857402834E-4</v>
      </c>
      <c r="EY313" s="528">
        <f t="shared" si="889"/>
        <v>2.0264675705467927</v>
      </c>
      <c r="EZ313" s="528"/>
      <c r="FA313" s="625">
        <f t="shared" si="890"/>
        <v>2.4977400963816055E-2</v>
      </c>
      <c r="FB313" s="460">
        <f t="shared" si="891"/>
        <v>7167.2716564286329</v>
      </c>
      <c r="FC313" s="173">
        <f t="shared" si="892"/>
        <v>16.91460414315091</v>
      </c>
      <c r="FD313" s="5">
        <f t="shared" si="893"/>
        <v>147.44</v>
      </c>
      <c r="FE313" s="173">
        <f t="shared" si="894"/>
        <v>0.89708469542831615</v>
      </c>
      <c r="FF313" s="5">
        <f t="shared" si="895"/>
        <v>89.708469542831608</v>
      </c>
      <c r="FG313">
        <f t="shared" si="896"/>
        <v>97</v>
      </c>
      <c r="FI313" s="562">
        <f t="shared" si="846"/>
        <v>-50</v>
      </c>
    </row>
    <row r="314" spans="5:169">
      <c r="E314" s="170">
        <v>98</v>
      </c>
      <c r="F314" s="217">
        <f>IF(PLOT_TYPE=1, E314/100*Iout_max, min_I*EXP(O314*rr/100))</f>
        <v>9.8000000000000007</v>
      </c>
      <c r="G314" s="217">
        <f t="shared" si="775"/>
        <v>0.245</v>
      </c>
      <c r="H314" s="217">
        <f t="shared" si="776"/>
        <v>147</v>
      </c>
      <c r="I314" s="217">
        <f t="shared" si="777"/>
        <v>1.96</v>
      </c>
      <c r="J314" s="541">
        <f t="shared" si="778"/>
        <v>84.354498309034838</v>
      </c>
      <c r="K314" s="443">
        <f t="shared" si="779"/>
        <v>16.048303529411765</v>
      </c>
      <c r="L314" s="172">
        <f t="shared" si="780"/>
        <v>100.40280183844661</v>
      </c>
      <c r="M314" s="443"/>
      <c r="N314" s="217">
        <f t="shared" si="781"/>
        <v>0.15983920005772678</v>
      </c>
      <c r="O314" s="172">
        <f>N314*J314*Isw_max*0.5*Efficiency*Pout/(Pout+Pout2)</f>
        <v>332.64363974474492</v>
      </c>
      <c r="P314" s="172">
        <f t="shared" si="783"/>
        <v>4.4943851769956646</v>
      </c>
      <c r="Q314" s="217">
        <f t="shared" si="784"/>
        <v>22.176242649649662</v>
      </c>
      <c r="R314" s="217">
        <f t="shared" si="785"/>
        <v>41.580454968093115</v>
      </c>
      <c r="S314" s="217">
        <f t="shared" si="786"/>
        <v>15</v>
      </c>
      <c r="T314" s="217">
        <f t="shared" si="787"/>
        <v>22.095717824756981</v>
      </c>
      <c r="U314" s="217">
        <f t="shared" si="788"/>
        <v>3.1432658508110034</v>
      </c>
      <c r="V314" s="217">
        <f t="shared" si="789"/>
        <v>16.521909210599443</v>
      </c>
      <c r="W314" s="197">
        <f t="shared" si="790"/>
        <v>112.35962942489164</v>
      </c>
      <c r="X314" s="443">
        <f t="shared" si="848"/>
        <v>50.339349988542168</v>
      </c>
      <c r="Z314" s="217">
        <f t="shared" si="791"/>
        <v>10</v>
      </c>
      <c r="AA314" s="173">
        <f t="shared" si="792"/>
        <v>7.4774258712190802</v>
      </c>
      <c r="AB314" s="173">
        <f>0.5*AA314*Z314*Nps*W314/1000*(Pout/(Pout+Pout2))</f>
        <v>4.1455302628730593</v>
      </c>
      <c r="AC314" s="173"/>
      <c r="AD314" s="173">
        <f t="shared" si="794"/>
        <v>7.4774258712190802</v>
      </c>
      <c r="AE314" s="545">
        <f>MAX(10, F314/(0.5*AD314/1000000*Isw_min*Nps)/1000*Pout_total/Pout)</f>
        <v>262.12229098039217</v>
      </c>
      <c r="AF314" s="528">
        <f t="shared" si="796"/>
        <v>4.2008039997113666</v>
      </c>
      <c r="AH314" s="173">
        <f t="shared" si="797"/>
        <v>8.4221929052553364</v>
      </c>
      <c r="AI314" s="173">
        <f>MAX(IF(F314&gt;AB314,T314,AH314),Isw_min)</f>
        <v>22.095717824756981</v>
      </c>
      <c r="AJ314" s="173">
        <f>IF(F314&gt;AF314, (AI314-Isw_min)/1.08*0.8+1.2, AE314*0.2/350+1)</f>
        <v>10.159790981301466</v>
      </c>
      <c r="AL314" s="545">
        <f t="shared" si="800"/>
        <v>9800</v>
      </c>
      <c r="AM314" s="460">
        <f t="shared" si="801"/>
        <v>50.339349988542168</v>
      </c>
      <c r="AO314">
        <f t="shared" si="802"/>
        <v>9800</v>
      </c>
      <c r="AP314">
        <f t="shared" si="803"/>
        <v>50.339349988542168</v>
      </c>
      <c r="AR314" s="5">
        <f t="shared" si="774"/>
        <v>19.865175061410444</v>
      </c>
      <c r="AS314" s="5">
        <f t="shared" si="897"/>
        <v>3.1432658508110034</v>
      </c>
      <c r="AT314" s="5">
        <f t="shared" si="898"/>
        <v>16.721909210599442</v>
      </c>
      <c r="AU314" s="173">
        <f t="shared" si="899"/>
        <v>0.15822995977100787</v>
      </c>
      <c r="BA314" s="173">
        <f t="shared" si="849"/>
        <v>5.0744835214767825</v>
      </c>
      <c r="BB314" s="173">
        <f t="shared" si="850"/>
        <v>11.704266987756576</v>
      </c>
      <c r="BC314" s="173">
        <f t="shared" si="851"/>
        <v>0.28824626150239724</v>
      </c>
      <c r="BD314" s="173"/>
      <c r="BE314" s="528">
        <f t="shared" si="852"/>
        <v>0.51500766019478816</v>
      </c>
      <c r="BF314" s="528">
        <f t="shared" si="804"/>
        <v>2.0939332003549</v>
      </c>
      <c r="BG314" s="528">
        <f t="shared" si="805"/>
        <v>0.10615876533715982</v>
      </c>
      <c r="BH314" s="528">
        <f t="shared" si="853"/>
        <v>5.0745702395509809E-2</v>
      </c>
      <c r="BI314">
        <f t="shared" si="854"/>
        <v>3.7959524239065678E-2</v>
      </c>
      <c r="BJ314" s="460">
        <f t="shared" si="855"/>
        <v>144.11828957622549</v>
      </c>
      <c r="BK314">
        <f t="shared" si="806"/>
        <v>3.1889581048409084</v>
      </c>
      <c r="BL314" s="460">
        <f t="shared" si="856"/>
        <v>2803.8048525214231</v>
      </c>
      <c r="BM314" s="173">
        <f t="shared" si="807"/>
        <v>6.0882500000000004</v>
      </c>
      <c r="BN314" s="173">
        <f t="shared" si="808"/>
        <v>0.10871874999999999</v>
      </c>
      <c r="BQ314" s="460">
        <f t="shared" si="857"/>
        <v>6196.9687500000009</v>
      </c>
      <c r="BR314" s="528">
        <f t="shared" si="858"/>
        <v>0.77251149029218225</v>
      </c>
      <c r="BS314" s="528">
        <f t="shared" si="859"/>
        <v>4.1096959716206518</v>
      </c>
      <c r="BT314" s="528">
        <f t="shared" si="860"/>
        <v>4.1542953635054182E-4</v>
      </c>
      <c r="BU314" s="528">
        <f t="shared" si="861"/>
        <v>2.0630478472994187</v>
      </c>
      <c r="BV314" s="528"/>
      <c r="BW314" s="625">
        <f t="shared" si="862"/>
        <v>2.4576715014190235E-2</v>
      </c>
      <c r="BX314" s="460">
        <f t="shared" si="863"/>
        <v>6970.2474537627941</v>
      </c>
      <c r="BY314" s="173">
        <f t="shared" si="864"/>
        <v>15.971021056284217</v>
      </c>
      <c r="BZ314" s="5">
        <f t="shared" si="865"/>
        <v>148.96</v>
      </c>
      <c r="CA314" s="173">
        <f t="shared" si="866"/>
        <v>0.90316545090184108</v>
      </c>
      <c r="CB314" s="5">
        <f t="shared" si="867"/>
        <v>90.316545090184107</v>
      </c>
      <c r="CC314">
        <f t="shared" si="868"/>
        <v>98.000000000000014</v>
      </c>
      <c r="CE314" s="562">
        <f t="shared" si="809"/>
        <v>-50</v>
      </c>
      <c r="CG314" s="173">
        <f t="shared" si="810"/>
        <v>0.84409136047666333</v>
      </c>
      <c r="CH314" s="173">
        <f t="shared" si="811"/>
        <v>0.1020398968288061</v>
      </c>
      <c r="CI314" s="170">
        <v>98</v>
      </c>
      <c r="CJ314" s="217">
        <f t="shared" si="869"/>
        <v>9.8000000000000007</v>
      </c>
      <c r="CK314" s="217">
        <f t="shared" si="812"/>
        <v>0.245</v>
      </c>
      <c r="CL314" s="217">
        <f t="shared" si="813"/>
        <v>147</v>
      </c>
      <c r="CM314" s="217">
        <f t="shared" si="814"/>
        <v>1.96</v>
      </c>
      <c r="CN314" s="541">
        <f t="shared" si="815"/>
        <v>85</v>
      </c>
      <c r="CO314" s="443">
        <f t="shared" si="816"/>
        <v>15.7</v>
      </c>
      <c r="CP314" s="443">
        <f t="shared" si="817"/>
        <v>100.7</v>
      </c>
      <c r="CQ314" s="443"/>
      <c r="CR314" s="217">
        <f t="shared" si="818"/>
        <v>0.15338645418326693</v>
      </c>
      <c r="CS314" s="172">
        <f t="shared" si="819"/>
        <v>321.65744915076539</v>
      </c>
      <c r="CT314" s="172">
        <f t="shared" si="820"/>
        <v>4.3459495351925632</v>
      </c>
      <c r="CU314" s="217">
        <f t="shared" si="821"/>
        <v>21.443829943384358</v>
      </c>
      <c r="CV314" s="217">
        <f t="shared" si="822"/>
        <v>40.207181143845673</v>
      </c>
      <c r="CW314" s="217">
        <f t="shared" si="823"/>
        <v>15</v>
      </c>
      <c r="CX314" s="217">
        <f t="shared" si="824"/>
        <v>22.850395721925135</v>
      </c>
      <c r="CY314" s="217">
        <f t="shared" si="825"/>
        <v>3.2259382195659017</v>
      </c>
      <c r="CZ314" s="217">
        <f t="shared" si="826"/>
        <v>17.465270615484179</v>
      </c>
      <c r="DA314" s="197">
        <f t="shared" si="827"/>
        <v>110.43528632903013</v>
      </c>
      <c r="DB314" s="443">
        <f t="shared" si="828"/>
        <v>48.329704077320024</v>
      </c>
      <c r="DD314" s="217">
        <f t="shared" si="829"/>
        <v>9.9999999999999982</v>
      </c>
      <c r="DE314" s="173">
        <f t="shared" si="830"/>
        <v>7.6433121019108263</v>
      </c>
      <c r="DF314" s="173">
        <f t="shared" si="831"/>
        <v>4.1649244760361679</v>
      </c>
      <c r="DG314" s="173"/>
      <c r="DH314" s="173">
        <f t="shared" si="832"/>
        <v>7.6433121019108281</v>
      </c>
      <c r="DI314" s="545">
        <f t="shared" si="833"/>
        <v>256.43333333333339</v>
      </c>
      <c r="DJ314" s="528">
        <f t="shared" si="834"/>
        <v>4.2204568023833167</v>
      </c>
      <c r="DL314" s="173">
        <f t="shared" si="835"/>
        <v>8.4221929052553364</v>
      </c>
      <c r="DM314" s="173">
        <f t="shared" si="836"/>
        <v>22.850395721925135</v>
      </c>
      <c r="DN314" s="173">
        <f t="shared" si="837"/>
        <v>10.718811645870469</v>
      </c>
      <c r="DP314" s="545">
        <f t="shared" si="838"/>
        <v>9800</v>
      </c>
      <c r="DQ314" s="460">
        <f t="shared" si="839"/>
        <v>48.329704077320024</v>
      </c>
      <c r="DS314">
        <f t="shared" si="840"/>
        <v>9800</v>
      </c>
      <c r="DT314">
        <f t="shared" si="841"/>
        <v>48.329704077320024</v>
      </c>
      <c r="DV314" s="5">
        <f t="shared" si="870"/>
        <v>20.69120883505008</v>
      </c>
      <c r="DW314" s="5">
        <f t="shared" si="842"/>
        <v>3.2259382195659017</v>
      </c>
      <c r="DX314" s="5">
        <f t="shared" si="843"/>
        <v>17.465270615484179</v>
      </c>
      <c r="DY314" s="173">
        <f t="shared" si="844"/>
        <v>0.15590863952333667</v>
      </c>
      <c r="EA314" s="5">
        <f t="shared" si="871"/>
        <v>210.76129701163893</v>
      </c>
      <c r="EB314" s="5">
        <f t="shared" si="872"/>
        <v>9.8794357974205749</v>
      </c>
      <c r="EC314" s="5">
        <f t="shared" si="873"/>
        <v>10.415394646962167</v>
      </c>
      <c r="ED314" s="5"/>
      <c r="EE314" s="173">
        <f t="shared" si="874"/>
        <v>5.2091659022815691</v>
      </c>
      <c r="EF314" s="173">
        <f t="shared" si="875"/>
        <v>12.120703451204138</v>
      </c>
      <c r="EG314" s="173">
        <f t="shared" si="876"/>
        <v>0.29850203009239995</v>
      </c>
      <c r="EH314" s="173"/>
      <c r="EI314" s="528">
        <f t="shared" si="877"/>
        <v>0.54270818794985909</v>
      </c>
      <c r="EJ314" s="528">
        <f t="shared" si="878"/>
        <v>2.2241666666666671</v>
      </c>
      <c r="EK314" s="528">
        <f t="shared" si="879"/>
        <v>6.0412130096650033E-3</v>
      </c>
      <c r="EL314" s="528">
        <f t="shared" si="880"/>
        <v>4.9008688089902296E-2</v>
      </c>
      <c r="EM314">
        <f t="shared" si="881"/>
        <v>3.8249999999999999E-2</v>
      </c>
      <c r="EN314" s="460">
        <f t="shared" si="882"/>
        <v>44.291213009665</v>
      </c>
      <c r="EP314" s="460">
        <f t="shared" si="883"/>
        <v>2860.1747557160934</v>
      </c>
      <c r="EQ314" s="173">
        <f t="shared" si="884"/>
        <v>6.86</v>
      </c>
      <c r="ER314" s="173">
        <f t="shared" si="845"/>
        <v>0.10871874999999999</v>
      </c>
      <c r="ES314" s="528"/>
      <c r="EU314" s="460">
        <f t="shared" si="885"/>
        <v>6968.7187500000009</v>
      </c>
      <c r="EV314" s="528">
        <f t="shared" si="886"/>
        <v>0.81406228192478858</v>
      </c>
      <c r="EW314" s="528">
        <f t="shared" si="887"/>
        <v>4.4073435645609571</v>
      </c>
      <c r="EX314" s="528">
        <f t="shared" si="888"/>
        <v>4.4551730984642026E-4</v>
      </c>
      <c r="EY314" s="528">
        <f t="shared" si="889"/>
        <v>2.0264675705467892</v>
      </c>
      <c r="EZ314" s="528"/>
      <c r="FA314" s="625">
        <f t="shared" si="890"/>
        <v>2.5234899942824476E-2</v>
      </c>
      <c r="FB314" s="460">
        <f t="shared" si="891"/>
        <v>7273.5538342852051</v>
      </c>
      <c r="FC314" s="173">
        <f t="shared" si="892"/>
        <v>17.102447340001298</v>
      </c>
      <c r="FD314" s="5">
        <f t="shared" si="893"/>
        <v>148.96</v>
      </c>
      <c r="FE314" s="173">
        <f t="shared" si="894"/>
        <v>0.89701195174496473</v>
      </c>
      <c r="FF314" s="5">
        <f t="shared" si="895"/>
        <v>89.701195174496476</v>
      </c>
      <c r="FG314">
        <f t="shared" si="896"/>
        <v>98.000000000000014</v>
      </c>
      <c r="FI314" s="562">
        <f t="shared" si="846"/>
        <v>-50</v>
      </c>
    </row>
    <row r="315" spans="5:169">
      <c r="E315" s="170">
        <v>99</v>
      </c>
      <c r="F315" s="217">
        <f>IF(PLOT_TYPE=1, E315/100*Iout_max, min_I*EXP(O315*rr/100))</f>
        <v>9.9</v>
      </c>
      <c r="G315" s="217">
        <f t="shared" si="775"/>
        <v>0.2475</v>
      </c>
      <c r="H315" s="217">
        <f t="shared" si="776"/>
        <v>148.5</v>
      </c>
      <c r="I315" s="217">
        <f t="shared" si="777"/>
        <v>1.98</v>
      </c>
      <c r="J315" s="541">
        <f t="shared" si="778"/>
        <v>84.347911557086221</v>
      </c>
      <c r="K315" s="443">
        <f t="shared" si="779"/>
        <v>16.051857647058824</v>
      </c>
      <c r="L315" s="172">
        <f t="shared" si="780"/>
        <v>100.39976920414504</v>
      </c>
      <c r="M315" s="443"/>
      <c r="N315" s="217">
        <f t="shared" si="781"/>
        <v>0.15987942775466177</v>
      </c>
      <c r="O315" s="172">
        <f>N315*J315*Isw_max*0.5*Efficiency*Pout/(Pout+Pout2)</f>
        <v>332.70137743538896</v>
      </c>
      <c r="P315" s="172">
        <f t="shared" si="783"/>
        <v>4.4951652773492556</v>
      </c>
      <c r="Q315" s="217">
        <f t="shared" si="784"/>
        <v>22.18009182902593</v>
      </c>
      <c r="R315" s="217">
        <f t="shared" si="785"/>
        <v>41.58767217942362</v>
      </c>
      <c r="S315" s="217">
        <f t="shared" si="786"/>
        <v>15</v>
      </c>
      <c r="T315" s="217">
        <f t="shared" si="787"/>
        <v>22.317310668309283</v>
      </c>
      <c r="U315" s="217">
        <f t="shared" si="788"/>
        <v>3.1750368571776737</v>
      </c>
      <c r="V315" s="217">
        <f t="shared" si="789"/>
        <v>16.683908735558823</v>
      </c>
      <c r="W315" s="197">
        <f t="shared" si="790"/>
        <v>112.3791319337314</v>
      </c>
      <c r="X315" s="443">
        <f t="shared" si="848"/>
        <v>49.853069064712351</v>
      </c>
      <c r="Z315" s="217">
        <f t="shared" si="791"/>
        <v>10</v>
      </c>
      <c r="AA315" s="173">
        <f t="shared" si="792"/>
        <v>7.4757702590259107</v>
      </c>
      <c r="AB315" s="173">
        <f>0.5*AA315*Z315*Nps*W315/1000*(Pout/(Pout+Pout2))</f>
        <v>4.1453317709473918</v>
      </c>
      <c r="AC315" s="173"/>
      <c r="AD315" s="173">
        <f t="shared" si="794"/>
        <v>7.4757702590259107</v>
      </c>
      <c r="AE315" s="545">
        <f>MAX(10, F315/(0.5*AD315/1000000*Isw_min*Nps)/1000*Pout_total/Pout)</f>
        <v>264.85565117647064</v>
      </c>
      <c r="AF315" s="528">
        <f t="shared" si="796"/>
        <v>4.2006028612266908</v>
      </c>
      <c r="AH315" s="173">
        <f t="shared" si="797"/>
        <v>8.4650542146605794</v>
      </c>
      <c r="AI315" s="173">
        <f>MAX(IF(F315&gt;AB315,T315,AH315),Isw_min)</f>
        <v>22.317310668309283</v>
      </c>
      <c r="AJ315" s="173">
        <f>IF(F315&gt;AF315, (AI315-Isw_min)/1.08*0.8+1.2, AE315*0.2/350+1)</f>
        <v>10.323933828377244</v>
      </c>
      <c r="AL315" s="545">
        <f t="shared" si="800"/>
        <v>9900</v>
      </c>
      <c r="AM315" s="460">
        <f t="shared" si="801"/>
        <v>49.853069064712351</v>
      </c>
      <c r="AO315">
        <f t="shared" si="802"/>
        <v>9900</v>
      </c>
      <c r="AP315">
        <f t="shared" si="803"/>
        <v>49.853069064712351</v>
      </c>
      <c r="AR315" s="5">
        <f t="shared" si="774"/>
        <v>20.058945592736496</v>
      </c>
      <c r="AS315" s="5">
        <f t="shared" si="897"/>
        <v>3.1750368571776737</v>
      </c>
      <c r="AT315" s="5">
        <f t="shared" si="898"/>
        <v>16.883908735558823</v>
      </c>
      <c r="AU315" s="173">
        <f t="shared" si="899"/>
        <v>0.15828533172388581</v>
      </c>
      <c r="BA315" s="173">
        <f t="shared" si="849"/>
        <v>5.1262710669026283</v>
      </c>
      <c r="BB315" s="173">
        <f t="shared" si="850"/>
        <v>11.821257551712259</v>
      </c>
      <c r="BC315" s="173">
        <f t="shared" si="851"/>
        <v>0.29112744088138431</v>
      </c>
      <c r="BD315" s="173"/>
      <c r="BE315" s="528">
        <f t="shared" si="852"/>
        <v>0.52557310102726018</v>
      </c>
      <c r="BF315" s="528">
        <f t="shared" si="804"/>
        <v>2.0944391400053335</v>
      </c>
      <c r="BG315" s="528">
        <f t="shared" si="805"/>
        <v>0.10512505650799171</v>
      </c>
      <c r="BH315" s="528">
        <f t="shared" si="853"/>
        <v>5.0252460228496165E-2</v>
      </c>
      <c r="BI315">
        <f t="shared" si="854"/>
        <v>3.7956560200688799E-2</v>
      </c>
      <c r="BJ315" s="460">
        <f t="shared" si="855"/>
        <v>143.08161670868051</v>
      </c>
      <c r="BK315">
        <f t="shared" si="806"/>
        <v>3.213453157475334</v>
      </c>
      <c r="BL315" s="460">
        <f t="shared" si="856"/>
        <v>2813.3463179697706</v>
      </c>
      <c r="BM315" s="173">
        <f t="shared" si="807"/>
        <v>6.1503749999999995</v>
      </c>
      <c r="BN315" s="173">
        <f t="shared" si="808"/>
        <v>0.109828125</v>
      </c>
      <c r="BQ315" s="460">
        <f t="shared" si="857"/>
        <v>6260.2031249999991</v>
      </c>
      <c r="BR315" s="528">
        <f t="shared" si="858"/>
        <v>0.78835965154089027</v>
      </c>
      <c r="BS315" s="528">
        <f t="shared" si="859"/>
        <v>4.1922639031174231</v>
      </c>
      <c r="BT315" s="528">
        <f t="shared" si="860"/>
        <v>4.2377593417071961E-4</v>
      </c>
      <c r="BU315" s="528">
        <f t="shared" si="861"/>
        <v>2.0644501524369105</v>
      </c>
      <c r="BV315" s="528"/>
      <c r="BW315" s="625">
        <f t="shared" si="862"/>
        <v>2.4829937005571401E-2</v>
      </c>
      <c r="BX315" s="460">
        <f t="shared" si="863"/>
        <v>7070.327420034967</v>
      </c>
      <c r="BY315" s="173">
        <f t="shared" si="864"/>
        <v>16.143876863004735</v>
      </c>
      <c r="BZ315" s="5">
        <f t="shared" si="865"/>
        <v>150.47999999999999</v>
      </c>
      <c r="CA315" s="173">
        <f t="shared" si="866"/>
        <v>0.90311186387604003</v>
      </c>
      <c r="CB315" s="5">
        <f t="shared" si="867"/>
        <v>90.31118638760401</v>
      </c>
      <c r="CC315">
        <f t="shared" si="868"/>
        <v>99</v>
      </c>
      <c r="CE315" s="562">
        <f t="shared" si="809"/>
        <v>-50</v>
      </c>
      <c r="CG315" s="173">
        <f t="shared" si="810"/>
        <v>0.84409136047666333</v>
      </c>
      <c r="CH315" s="173">
        <f t="shared" si="811"/>
        <v>0.10203989682880611</v>
      </c>
      <c r="CI315" s="170">
        <v>99</v>
      </c>
      <c r="CJ315" s="217">
        <f t="shared" si="869"/>
        <v>9.9</v>
      </c>
      <c r="CK315" s="217">
        <f t="shared" si="812"/>
        <v>0.2475</v>
      </c>
      <c r="CL315" s="217">
        <f t="shared" si="813"/>
        <v>148.5</v>
      </c>
      <c r="CM315" s="217">
        <f t="shared" si="814"/>
        <v>1.98</v>
      </c>
      <c r="CN315" s="541">
        <f t="shared" si="815"/>
        <v>85</v>
      </c>
      <c r="CO315" s="443">
        <f t="shared" si="816"/>
        <v>15.7</v>
      </c>
      <c r="CP315" s="443">
        <f t="shared" si="817"/>
        <v>100.7</v>
      </c>
      <c r="CQ315" s="443"/>
      <c r="CR315" s="217">
        <f t="shared" si="818"/>
        <v>0.15338645418326693</v>
      </c>
      <c r="CS315" s="172">
        <f t="shared" si="819"/>
        <v>321.65744915076539</v>
      </c>
      <c r="CT315" s="172">
        <f t="shared" si="820"/>
        <v>4.3459495351925632</v>
      </c>
      <c r="CU315" s="217">
        <f t="shared" si="821"/>
        <v>21.443829943384358</v>
      </c>
      <c r="CV315" s="217">
        <f t="shared" si="822"/>
        <v>40.207181143845673</v>
      </c>
      <c r="CW315" s="217">
        <f t="shared" si="823"/>
        <v>15</v>
      </c>
      <c r="CX315" s="217">
        <f t="shared" si="824"/>
        <v>23.083563025210083</v>
      </c>
      <c r="CY315" s="217">
        <f t="shared" si="825"/>
        <v>3.2588559565002466</v>
      </c>
      <c r="CZ315" s="217">
        <f t="shared" si="826"/>
        <v>17.643487662580956</v>
      </c>
      <c r="DA315" s="197">
        <f t="shared" si="827"/>
        <v>110.43528632903013</v>
      </c>
      <c r="DB315" s="443">
        <f t="shared" si="828"/>
        <v>47.841525248256197</v>
      </c>
      <c r="DD315" s="217">
        <f t="shared" si="829"/>
        <v>9.9999999999999982</v>
      </c>
      <c r="DE315" s="173">
        <f t="shared" si="830"/>
        <v>7.6433121019108263</v>
      </c>
      <c r="DF315" s="173">
        <f t="shared" si="831"/>
        <v>4.1649244760361679</v>
      </c>
      <c r="DG315" s="173"/>
      <c r="DH315" s="173">
        <f t="shared" si="832"/>
        <v>7.6433121019108281</v>
      </c>
      <c r="DI315" s="545">
        <f t="shared" si="833"/>
        <v>259.05</v>
      </c>
      <c r="DJ315" s="528">
        <f t="shared" si="834"/>
        <v>4.2204568023833167</v>
      </c>
      <c r="DL315" s="173">
        <f t="shared" si="835"/>
        <v>8.4650542146605794</v>
      </c>
      <c r="DM315" s="173">
        <f t="shared" si="836"/>
        <v>23.083563025210083</v>
      </c>
      <c r="DN315" s="173">
        <f t="shared" si="837"/>
        <v>10.891528166822283</v>
      </c>
      <c r="DP315" s="545">
        <f t="shared" si="838"/>
        <v>9900</v>
      </c>
      <c r="DQ315" s="460">
        <f t="shared" si="839"/>
        <v>47.841525248256197</v>
      </c>
      <c r="DS315">
        <f t="shared" si="840"/>
        <v>9900</v>
      </c>
      <c r="DT315">
        <f t="shared" si="841"/>
        <v>47.841525248256197</v>
      </c>
      <c r="DV315" s="5">
        <f t="shared" si="870"/>
        <v>20.902343619081201</v>
      </c>
      <c r="DW315" s="5">
        <f t="shared" si="842"/>
        <v>3.2588559565002466</v>
      </c>
      <c r="DX315" s="5">
        <f t="shared" si="843"/>
        <v>17.643487662580952</v>
      </c>
      <c r="DY315" s="173">
        <f t="shared" si="844"/>
        <v>0.15590863952333664</v>
      </c>
      <c r="EA315" s="5">
        <f t="shared" si="871"/>
        <v>215.08449312901629</v>
      </c>
      <c r="EB315" s="5">
        <f t="shared" si="872"/>
        <v>10.082085615422638</v>
      </c>
      <c r="EC315" s="5">
        <f t="shared" si="873"/>
        <v>10.629038206463575</v>
      </c>
      <c r="ED315" s="5"/>
      <c r="EE315" s="173">
        <f t="shared" si="874"/>
        <v>5.2623206563864819</v>
      </c>
      <c r="EF315" s="173">
        <f t="shared" si="875"/>
        <v>12.244384098665403</v>
      </c>
      <c r="EG315" s="173">
        <f t="shared" si="876"/>
        <v>0.30154796917497539</v>
      </c>
      <c r="EH315" s="173"/>
      <c r="EI315" s="528">
        <f t="shared" si="877"/>
        <v>0.55384037381263707</v>
      </c>
      <c r="EJ315" s="528">
        <f t="shared" si="878"/>
        <v>2.2241666666666671</v>
      </c>
      <c r="EK315" s="528">
        <f t="shared" si="879"/>
        <v>5.9801906560320245E-3</v>
      </c>
      <c r="EL315" s="528">
        <f t="shared" si="880"/>
        <v>4.8513650836468948E-2</v>
      </c>
      <c r="EM315">
        <f t="shared" si="881"/>
        <v>3.8249999999999999E-2</v>
      </c>
      <c r="EN315" s="460">
        <f t="shared" si="882"/>
        <v>44.230190656032022</v>
      </c>
      <c r="EP315" s="460">
        <f t="shared" si="883"/>
        <v>2870.750881971805</v>
      </c>
      <c r="EQ315" s="173">
        <f t="shared" si="884"/>
        <v>6.93</v>
      </c>
      <c r="ER315" s="173">
        <f t="shared" si="845"/>
        <v>0.109828125</v>
      </c>
      <c r="ES315" s="528"/>
      <c r="EU315" s="460">
        <f t="shared" si="885"/>
        <v>7039.828125</v>
      </c>
      <c r="EV315" s="528">
        <f t="shared" si="886"/>
        <v>0.83076056071895565</v>
      </c>
      <c r="EW315" s="528">
        <f t="shared" si="887"/>
        <v>4.497748258669505</v>
      </c>
      <c r="EX315" s="528">
        <f t="shared" si="888"/>
        <v>4.5465588856775956E-4</v>
      </c>
      <c r="EY315" s="528">
        <f t="shared" si="889"/>
        <v>2.0264675705467927</v>
      </c>
      <c r="EZ315" s="528"/>
      <c r="FA315" s="625">
        <f t="shared" si="890"/>
        <v>2.5492398921832891E-2</v>
      </c>
      <c r="FB315" s="460">
        <f t="shared" si="891"/>
        <v>7380.9234447456538</v>
      </c>
      <c r="FC315" s="173">
        <f t="shared" si="892"/>
        <v>17.291502451717459</v>
      </c>
      <c r="FD315" s="5">
        <f t="shared" si="893"/>
        <v>150.47999999999999</v>
      </c>
      <c r="FE315" s="173">
        <f t="shared" si="894"/>
        <v>0.89693420992821027</v>
      </c>
      <c r="FF315" s="5">
        <f t="shared" si="895"/>
        <v>89.693420992821032</v>
      </c>
      <c r="FG315">
        <f t="shared" si="896"/>
        <v>99</v>
      </c>
      <c r="FI315" s="562">
        <f t="shared" si="846"/>
        <v>-50</v>
      </c>
    </row>
    <row r="316" spans="5:169">
      <c r="E316" s="170">
        <v>100</v>
      </c>
      <c r="F316" s="217">
        <f>IF(PLOT_TYPE=1, E316/100*Iout_max, min_I*EXP(O316*rr/100))</f>
        <v>10</v>
      </c>
      <c r="G316" s="217">
        <f t="shared" si="775"/>
        <v>0.25</v>
      </c>
      <c r="H316" s="217">
        <f t="shared" si="776"/>
        <v>150</v>
      </c>
      <c r="I316" s="217">
        <f t="shared" si="777"/>
        <v>2</v>
      </c>
      <c r="J316" s="541">
        <f t="shared" si="778"/>
        <v>84.341324805137589</v>
      </c>
      <c r="K316" s="443">
        <f t="shared" si="779"/>
        <v>16.05541176470588</v>
      </c>
      <c r="L316" s="172">
        <f t="shared" si="780"/>
        <v>100.39673656984347</v>
      </c>
      <c r="M316" s="443"/>
      <c r="N316" s="217">
        <f t="shared" si="781"/>
        <v>0.15991965788187285</v>
      </c>
      <c r="O316" s="172">
        <f>N316*J316*Isw_max*0.5*Efficiency*Pout/(Pout+Pout2)</f>
        <v>332.75910710875462</v>
      </c>
      <c r="P316" s="172">
        <f t="shared" si="783"/>
        <v>4.4959452693805071</v>
      </c>
      <c r="Q316" s="217">
        <f t="shared" si="784"/>
        <v>22.183940473916973</v>
      </c>
      <c r="R316" s="217">
        <f t="shared" si="785"/>
        <v>41.594888388594327</v>
      </c>
      <c r="S316" s="217">
        <f t="shared" si="786"/>
        <v>15</v>
      </c>
      <c r="T316" s="217">
        <f t="shared" si="787"/>
        <v>22.538827156874177</v>
      </c>
      <c r="U316" s="217">
        <f t="shared" si="788"/>
        <v>3.2068019622335231</v>
      </c>
      <c r="V316" s="217">
        <f t="shared" si="789"/>
        <v>16.845779469639456</v>
      </c>
      <c r="W316" s="197">
        <f t="shared" si="790"/>
        <v>112.39863173451265</v>
      </c>
      <c r="X316" s="443">
        <f t="shared" si="848"/>
        <v>49.376421636119254</v>
      </c>
      <c r="Z316" s="217">
        <f t="shared" si="791"/>
        <v>10</v>
      </c>
      <c r="AA316" s="173">
        <f t="shared" si="792"/>
        <v>7.4741153798242861</v>
      </c>
      <c r="AB316" s="173">
        <f>0.5*AA316*Z316*Nps*W316/1000*(Pout/(Pout+Pout2))</f>
        <v>4.1451332670302312</v>
      </c>
      <c r="AC316" s="173"/>
      <c r="AD316" s="173">
        <f t="shared" si="794"/>
        <v>7.4741153798242861</v>
      </c>
      <c r="AE316" s="545">
        <f>MAX(10, F316/(0.5*AD316/1000000*Isw_min*Nps)/1000*Pout_total/Pout)</f>
        <v>267.5901960784314</v>
      </c>
      <c r="AF316" s="528">
        <f t="shared" si="796"/>
        <v>4.2004017105906355</v>
      </c>
      <c r="AH316" s="173">
        <f>SQRT((H316+I316)/(0.5*L*Fsw_DCM))</f>
        <v>8.5076995939532551</v>
      </c>
      <c r="AI316" s="173">
        <f>MAX(IF(F316&gt;AB316,T316,AH316),Isw_min)</f>
        <v>22.538827156874177</v>
      </c>
      <c r="AJ316" s="173">
        <f>IF(F316&gt;AF316, (AI316-Isw_min)/1.08*0.8+1.2, AE316*0.2/350+1)</f>
        <v>10.488020116203092</v>
      </c>
      <c r="AL316" s="545">
        <f t="shared" si="800"/>
        <v>10000</v>
      </c>
      <c r="AM316" s="460">
        <f t="shared" si="801"/>
        <v>49.376421636119254</v>
      </c>
      <c r="AO316">
        <f t="shared" si="802"/>
        <v>10000</v>
      </c>
      <c r="AP316">
        <f t="shared" si="803"/>
        <v>49.376421636119254</v>
      </c>
      <c r="AR316" s="5">
        <f t="shared" si="774"/>
        <v>20.252581431872976</v>
      </c>
      <c r="AS316" s="5">
        <f t="shared" si="897"/>
        <v>3.2068019622335231</v>
      </c>
      <c r="AT316" s="5">
        <f t="shared" si="898"/>
        <v>17.045779469639452</v>
      </c>
      <c r="AU316" s="173">
        <f t="shared" si="899"/>
        <v>0.15834040579077702</v>
      </c>
      <c r="BA316" s="173">
        <f t="shared" si="849"/>
        <v>5.1780538489295598</v>
      </c>
      <c r="BB316" s="173">
        <f t="shared" si="850"/>
        <v>11.938202050842305</v>
      </c>
      <c r="BC316" s="173">
        <f t="shared" si="851"/>
        <v>0.29400748580113595</v>
      </c>
      <c r="BD316" s="173"/>
      <c r="BE316" s="528">
        <f>Rdson*BA316^2</f>
        <v>0.53624483324828454</v>
      </c>
      <c r="BF316" s="528">
        <f t="shared" si="804"/>
        <v>2.0949409896280775</v>
      </c>
      <c r="BG316" s="528">
        <f t="shared" si="805"/>
        <v>0.10411182037318392</v>
      </c>
      <c r="BH316" s="528">
        <f t="shared" si="853"/>
        <v>4.9768987463552121E-2</v>
      </c>
      <c r="BI316">
        <f t="shared" si="854"/>
        <v>3.7953596162311913E-2</v>
      </c>
      <c r="BJ316" s="460">
        <f t="shared" si="855"/>
        <v>142.06541653549584</v>
      </c>
      <c r="BK316">
        <f t="shared" si="806"/>
        <v>3.2383440732675681</v>
      </c>
      <c r="BL316" s="460">
        <f t="shared" si="856"/>
        <v>2823.0202268754101</v>
      </c>
      <c r="BM316" s="173">
        <f t="shared" si="807"/>
        <v>6.2124999999999995</v>
      </c>
      <c r="BN316" s="173">
        <f t="shared" si="808"/>
        <v>0.11093749999999999</v>
      </c>
      <c r="BQ316" s="460">
        <f t="shared" si="857"/>
        <v>6323.4375</v>
      </c>
      <c r="BR316" s="528">
        <f t="shared" si="858"/>
        <v>0.8043672498724268</v>
      </c>
      <c r="BS316" s="528">
        <f t="shared" si="859"/>
        <v>4.2756200462020626</v>
      </c>
      <c r="BT316" s="528">
        <f t="shared" si="860"/>
        <v>4.3220200853552577E-4</v>
      </c>
      <c r="BU316" s="528">
        <f t="shared" si="861"/>
        <v>2.0658430310357918</v>
      </c>
      <c r="BV316" s="528"/>
      <c r="BW316" s="625">
        <f t="shared" si="862"/>
        <v>2.5083159463710338E-2</v>
      </c>
      <c r="BX316" s="460">
        <f t="shared" si="863"/>
        <v>7171.3456885825262</v>
      </c>
      <c r="BY316" s="173">
        <f>SUM(BE316:BI316,BM316:BP316,BR316:BW316)</f>
        <v>16.317803415457938</v>
      </c>
      <c r="BZ316" s="5">
        <f t="shared" si="865"/>
        <v>152</v>
      </c>
      <c r="CA316" s="173">
        <f t="shared" si="866"/>
        <v>0.90305360999049644</v>
      </c>
      <c r="CB316" s="5">
        <f t="shared" si="867"/>
        <v>90.30536099904964</v>
      </c>
      <c r="CC316">
        <f t="shared" si="868"/>
        <v>100</v>
      </c>
      <c r="CE316" s="562">
        <f t="shared" si="809"/>
        <v>-50</v>
      </c>
      <c r="CG316" s="173">
        <f t="shared" si="810"/>
        <v>0.84409136047666333</v>
      </c>
      <c r="CH316" s="173">
        <f t="shared" si="811"/>
        <v>0.10203989682880611</v>
      </c>
      <c r="CI316" s="170">
        <v>100</v>
      </c>
      <c r="CJ316" s="217">
        <f t="shared" si="869"/>
        <v>10</v>
      </c>
      <c r="CK316" s="217">
        <f t="shared" si="812"/>
        <v>0.25</v>
      </c>
      <c r="CL316" s="217">
        <f t="shared" si="813"/>
        <v>150</v>
      </c>
      <c r="CM316" s="217">
        <f t="shared" si="814"/>
        <v>2</v>
      </c>
      <c r="CN316" s="541">
        <f t="shared" si="815"/>
        <v>85</v>
      </c>
      <c r="CO316" s="443">
        <f t="shared" si="816"/>
        <v>15.7</v>
      </c>
      <c r="CP316" s="443">
        <f t="shared" si="817"/>
        <v>100.7</v>
      </c>
      <c r="CQ316" s="443"/>
      <c r="CR316" s="217">
        <f t="shared" si="818"/>
        <v>0.15338645418326693</v>
      </c>
      <c r="CS316" s="172">
        <f t="shared" si="819"/>
        <v>321.65744915076539</v>
      </c>
      <c r="CT316" s="172">
        <f t="shared" si="820"/>
        <v>4.3459495351925632</v>
      </c>
      <c r="CU316" s="217">
        <f t="shared" si="821"/>
        <v>21.443829943384358</v>
      </c>
      <c r="CV316" s="217">
        <f t="shared" si="822"/>
        <v>40.207181143845673</v>
      </c>
      <c r="CW316" s="217">
        <f t="shared" si="823"/>
        <v>15</v>
      </c>
      <c r="CX316" s="217">
        <f t="shared" si="824"/>
        <v>23.316730328495034</v>
      </c>
      <c r="CY316" s="217">
        <f t="shared" si="825"/>
        <v>3.2917736934345929</v>
      </c>
      <c r="CZ316" s="217">
        <f t="shared" si="826"/>
        <v>17.821704709677732</v>
      </c>
      <c r="DA316" s="197">
        <f t="shared" si="827"/>
        <v>110.43528632903013</v>
      </c>
      <c r="DB316" s="443">
        <f t="shared" si="828"/>
        <v>47.363109995773634</v>
      </c>
      <c r="DD316" s="217">
        <f t="shared" si="829"/>
        <v>9.9999999999999982</v>
      </c>
      <c r="DE316" s="173">
        <f t="shared" si="830"/>
        <v>7.6433121019108263</v>
      </c>
      <c r="DF316" s="173">
        <f t="shared" si="831"/>
        <v>4.1649244760361679</v>
      </c>
      <c r="DG316" s="173"/>
      <c r="DH316" s="173">
        <f t="shared" si="832"/>
        <v>7.6433121019108281</v>
      </c>
      <c r="DI316" s="545">
        <f t="shared" si="833"/>
        <v>261.66666666666669</v>
      </c>
      <c r="DJ316" s="528">
        <f t="shared" si="834"/>
        <v>4.2204568023833167</v>
      </c>
      <c r="DL316" s="173">
        <f t="shared" si="835"/>
        <v>8.5076995939532551</v>
      </c>
      <c r="DM316" s="173">
        <f t="shared" si="836"/>
        <v>23.316730328495034</v>
      </c>
      <c r="DN316" s="173">
        <f t="shared" si="837"/>
        <v>11.064244687774098</v>
      </c>
      <c r="DP316" s="545">
        <f t="shared" si="838"/>
        <v>10000</v>
      </c>
      <c r="DQ316" s="460">
        <f t="shared" si="839"/>
        <v>47.363109995773634</v>
      </c>
      <c r="DS316">
        <f t="shared" si="840"/>
        <v>10000</v>
      </c>
      <c r="DT316">
        <f t="shared" si="841"/>
        <v>47.363109995773634</v>
      </c>
      <c r="DV316" s="5">
        <f t="shared" si="870"/>
        <v>21.113478403112321</v>
      </c>
      <c r="DW316" s="5">
        <f t="shared" si="842"/>
        <v>3.2917736934345929</v>
      </c>
      <c r="DX316" s="5">
        <f t="shared" si="843"/>
        <v>17.821704709677729</v>
      </c>
      <c r="DY316" s="173">
        <f t="shared" si="844"/>
        <v>0.15590863952333667</v>
      </c>
      <c r="EA316" s="5">
        <f t="shared" si="871"/>
        <v>219.45157956230622</v>
      </c>
      <c r="EB316" s="5">
        <f t="shared" si="872"/>
        <v>10.286792791983103</v>
      </c>
      <c r="EC316" s="5">
        <f t="shared" si="873"/>
        <v>10.844850736112207</v>
      </c>
      <c r="ED316" s="5"/>
      <c r="EE316" s="173">
        <f t="shared" si="874"/>
        <v>5.3154754104913966</v>
      </c>
      <c r="EF316" s="173">
        <f t="shared" si="875"/>
        <v>12.36806474612667</v>
      </c>
      <c r="EG316" s="173">
        <f t="shared" si="876"/>
        <v>0.30459390825755095</v>
      </c>
      <c r="EH316" s="173"/>
      <c r="EI316" s="528">
        <f t="shared" si="877"/>
        <v>0.56508557679077365</v>
      </c>
      <c r="EJ316" s="528">
        <f t="shared" si="878"/>
        <v>2.2241666666666671</v>
      </c>
      <c r="EK316" s="528">
        <f t="shared" si="879"/>
        <v>5.9203887494717038E-3</v>
      </c>
      <c r="EL316" s="528">
        <f t="shared" si="880"/>
        <v>4.802851432810426E-2</v>
      </c>
      <c r="EM316">
        <f t="shared" si="881"/>
        <v>3.8249999999999999E-2</v>
      </c>
      <c r="EN316" s="460">
        <f t="shared" si="882"/>
        <v>44.170388749471705</v>
      </c>
      <c r="EP316" s="460">
        <f t="shared" si="883"/>
        <v>2881.451146535017</v>
      </c>
      <c r="EQ316" s="173">
        <f t="shared" si="884"/>
        <v>7</v>
      </c>
      <c r="ER316" s="173">
        <f t="shared" si="845"/>
        <v>0.11093749999999999</v>
      </c>
      <c r="ES316" s="528"/>
      <c r="EU316" s="460">
        <f t="shared" si="885"/>
        <v>7110.9375</v>
      </c>
      <c r="EV316" s="528">
        <f t="shared" si="886"/>
        <v>0.84762836518616036</v>
      </c>
      <c r="EW316" s="528">
        <f t="shared" si="887"/>
        <v>4.5890707669314414</v>
      </c>
      <c r="EX316" s="528">
        <f t="shared" si="888"/>
        <v>4.6388724473804684E-4</v>
      </c>
      <c r="EY316" s="528">
        <f t="shared" si="889"/>
        <v>2.0264675705467909</v>
      </c>
      <c r="EZ316" s="528"/>
      <c r="FA316" s="625">
        <f t="shared" si="890"/>
        <v>2.5749897900841302E-2</v>
      </c>
      <c r="FB316" s="460">
        <f t="shared" si="891"/>
        <v>7489.3804878099727</v>
      </c>
      <c r="FC316" s="173">
        <f t="shared" si="892"/>
        <v>17.48176913434499</v>
      </c>
      <c r="FD316" s="5">
        <f t="shared" si="893"/>
        <v>152</v>
      </c>
      <c r="FE316" s="173">
        <f t="shared" si="894"/>
        <v>0.8968516246695093</v>
      </c>
      <c r="FF316" s="5">
        <f t="shared" si="895"/>
        <v>89.685162466950928</v>
      </c>
      <c r="FG316">
        <f t="shared" si="896"/>
        <v>100</v>
      </c>
      <c r="FI316" s="562">
        <f t="shared" si="846"/>
        <v>-50</v>
      </c>
    </row>
    <row r="317" spans="5:169">
      <c r="E317" s="170"/>
      <c r="F317" s="217"/>
      <c r="G317" s="217"/>
      <c r="CI317" s="170"/>
      <c r="CJ317" s="217"/>
      <c r="CK317" s="217"/>
    </row>
    <row r="318" spans="5:169" ht="45" customHeight="1" thickBot="1">
      <c r="E318" s="241" t="s">
        <v>25</v>
      </c>
      <c r="F318" s="602" t="s">
        <v>580</v>
      </c>
      <c r="G318" s="444" t="s">
        <v>579</v>
      </c>
      <c r="H318" s="603" t="s">
        <v>581</v>
      </c>
      <c r="I318" s="604" t="s">
        <v>582</v>
      </c>
      <c r="J318" s="242" t="s">
        <v>412</v>
      </c>
      <c r="K318" s="243" t="s">
        <v>586</v>
      </c>
      <c r="L318" s="605" t="s">
        <v>413</v>
      </c>
      <c r="M318" s="606"/>
      <c r="N318" s="244" t="s">
        <v>48</v>
      </c>
      <c r="O318" s="606" t="s">
        <v>590</v>
      </c>
      <c r="P318" s="606" t="s">
        <v>606</v>
      </c>
      <c r="Q318" s="606" t="s">
        <v>583</v>
      </c>
      <c r="R318" s="606" t="s">
        <v>584</v>
      </c>
      <c r="S318" s="606" t="s">
        <v>585</v>
      </c>
      <c r="T318" s="606" t="s">
        <v>414</v>
      </c>
      <c r="U318" s="606" t="s">
        <v>466</v>
      </c>
      <c r="V318" s="606" t="s">
        <v>465</v>
      </c>
      <c r="W318" s="607" t="s">
        <v>420</v>
      </c>
      <c r="X318" s="608" t="s">
        <v>425</v>
      </c>
      <c r="Z318" s="245" t="s">
        <v>417</v>
      </c>
      <c r="AA318" s="245" t="s">
        <v>464</v>
      </c>
      <c r="AB318" s="245" t="s">
        <v>587</v>
      </c>
      <c r="AC318" s="544"/>
      <c r="AD318" s="245" t="s">
        <v>463</v>
      </c>
      <c r="AE318" s="607" t="s">
        <v>426</v>
      </c>
      <c r="AF318" s="245" t="s">
        <v>588</v>
      </c>
      <c r="AG318" s="544"/>
      <c r="AH318" s="245" t="s">
        <v>429</v>
      </c>
      <c r="AI318" s="547" t="s">
        <v>430</v>
      </c>
      <c r="AJ318" s="547" t="s">
        <v>431</v>
      </c>
      <c r="AL318" s="543" t="s">
        <v>275</v>
      </c>
      <c r="AM318" s="543" t="s">
        <v>432</v>
      </c>
      <c r="AO318" s="245" t="s">
        <v>275</v>
      </c>
      <c r="AP318" s="245" t="s">
        <v>432</v>
      </c>
      <c r="AQ318" s="548"/>
      <c r="AR318" s="245" t="s">
        <v>467</v>
      </c>
      <c r="AS318" s="245" t="s">
        <v>461</v>
      </c>
      <c r="AT318" s="245" t="s">
        <v>462</v>
      </c>
      <c r="AU318" s="245" t="s">
        <v>48</v>
      </c>
      <c r="AV318" s="544"/>
      <c r="AW318" s="245" t="s">
        <v>591</v>
      </c>
      <c r="AX318" s="245" t="s">
        <v>592</v>
      </c>
      <c r="AY318" s="245" t="s">
        <v>514</v>
      </c>
      <c r="AZ318" s="544"/>
      <c r="BA318" s="557" t="s">
        <v>456</v>
      </c>
      <c r="BB318" s="245" t="s">
        <v>599</v>
      </c>
      <c r="BC318" s="245" t="s">
        <v>598</v>
      </c>
      <c r="BD318" s="544"/>
      <c r="BE318" s="557" t="s">
        <v>474</v>
      </c>
      <c r="BF318" s="245" t="s">
        <v>475</v>
      </c>
      <c r="BG318" s="245" t="s">
        <v>473</v>
      </c>
      <c r="BH318" s="245" t="s">
        <v>469</v>
      </c>
      <c r="BI318" s="245" t="s">
        <v>478</v>
      </c>
      <c r="BJ318" s="245" t="s">
        <v>491</v>
      </c>
      <c r="BK318" s="245" t="s">
        <v>776</v>
      </c>
      <c r="BL318" s="245" t="s">
        <v>778</v>
      </c>
      <c r="BM318" s="557" t="s">
        <v>601</v>
      </c>
      <c r="BN318" s="245" t="s">
        <v>600</v>
      </c>
      <c r="BO318" s="245" t="s">
        <v>477</v>
      </c>
      <c r="BP318" s="245" t="s">
        <v>483</v>
      </c>
      <c r="BQ318" s="245" t="s">
        <v>487</v>
      </c>
      <c r="BR318" s="557" t="s">
        <v>458</v>
      </c>
      <c r="BS318" s="245" t="s">
        <v>603</v>
      </c>
      <c r="BT318" s="245" t="s">
        <v>602</v>
      </c>
      <c r="BU318" s="245" t="s">
        <v>468</v>
      </c>
      <c r="BV318" s="245" t="s">
        <v>673</v>
      </c>
      <c r="BW318" s="245" t="s">
        <v>484</v>
      </c>
      <c r="BX318" s="245" t="s">
        <v>486</v>
      </c>
      <c r="BY318" s="557" t="s">
        <v>482</v>
      </c>
      <c r="BZ318" s="245" t="s">
        <v>223</v>
      </c>
      <c r="CA318" s="245" t="s">
        <v>47</v>
      </c>
      <c r="CB318" s="245" t="s">
        <v>485</v>
      </c>
      <c r="CC318" s="245" t="s">
        <v>604</v>
      </c>
      <c r="CE318" s="569" t="s">
        <v>497</v>
      </c>
      <c r="CG318" s="782" t="s">
        <v>829</v>
      </c>
      <c r="CH318" s="783" t="s">
        <v>830</v>
      </c>
      <c r="CI318" s="241" t="s">
        <v>25</v>
      </c>
      <c r="CJ318" s="602" t="s">
        <v>580</v>
      </c>
      <c r="CK318" s="444" t="s">
        <v>579</v>
      </c>
      <c r="CL318" s="603" t="s">
        <v>581</v>
      </c>
      <c r="CM318" s="604" t="s">
        <v>582</v>
      </c>
      <c r="CN318" s="242" t="s">
        <v>412</v>
      </c>
      <c r="CO318" s="243" t="s">
        <v>586</v>
      </c>
      <c r="CP318" s="605" t="s">
        <v>413</v>
      </c>
      <c r="CQ318" s="606"/>
      <c r="CR318" s="244" t="s">
        <v>48</v>
      </c>
      <c r="CS318" s="606" t="s">
        <v>590</v>
      </c>
      <c r="CT318" s="606" t="s">
        <v>606</v>
      </c>
      <c r="CU318" s="606" t="s">
        <v>583</v>
      </c>
      <c r="CV318" s="606" t="s">
        <v>584</v>
      </c>
      <c r="CW318" s="606" t="s">
        <v>585</v>
      </c>
      <c r="CX318" s="606" t="s">
        <v>414</v>
      </c>
      <c r="CY318" s="606" t="s">
        <v>466</v>
      </c>
      <c r="CZ318" s="606" t="s">
        <v>465</v>
      </c>
      <c r="DA318" s="607" t="s">
        <v>420</v>
      </c>
      <c r="DB318" s="608" t="s">
        <v>425</v>
      </c>
      <c r="DD318" s="245" t="s">
        <v>417</v>
      </c>
      <c r="DE318" s="245" t="s">
        <v>464</v>
      </c>
      <c r="DF318" s="245" t="s">
        <v>587</v>
      </c>
      <c r="DG318" s="544"/>
      <c r="DH318" s="245" t="s">
        <v>463</v>
      </c>
      <c r="DI318" s="607" t="s">
        <v>426</v>
      </c>
      <c r="DJ318" s="245" t="s">
        <v>588</v>
      </c>
      <c r="DK318" s="544"/>
      <c r="DL318" s="245" t="s">
        <v>429</v>
      </c>
      <c r="DM318" s="547" t="s">
        <v>430</v>
      </c>
      <c r="DN318" s="547" t="s">
        <v>431</v>
      </c>
      <c r="DP318" s="543" t="s">
        <v>275</v>
      </c>
      <c r="DQ318" s="543" t="s">
        <v>432</v>
      </c>
      <c r="DS318" s="245" t="s">
        <v>275</v>
      </c>
      <c r="DT318" s="245" t="s">
        <v>432</v>
      </c>
      <c r="DU318" s="548"/>
      <c r="DV318" s="245" t="s">
        <v>467</v>
      </c>
      <c r="DW318" s="245" t="s">
        <v>461</v>
      </c>
      <c r="DX318" s="245" t="s">
        <v>462</v>
      </c>
      <c r="DY318" s="245" t="s">
        <v>48</v>
      </c>
      <c r="DZ318" s="544"/>
      <c r="EA318" s="245" t="s">
        <v>591</v>
      </c>
      <c r="EB318" s="245" t="s">
        <v>592</v>
      </c>
      <c r="EC318" s="245" t="s">
        <v>514</v>
      </c>
      <c r="ED318" s="544"/>
      <c r="EE318" s="557" t="s">
        <v>456</v>
      </c>
      <c r="EF318" s="245" t="s">
        <v>599</v>
      </c>
      <c r="EG318" s="245" t="s">
        <v>598</v>
      </c>
      <c r="EH318" s="544"/>
      <c r="EI318" s="557" t="s">
        <v>474</v>
      </c>
      <c r="EJ318" s="245" t="s">
        <v>475</v>
      </c>
      <c r="EK318" s="245" t="s">
        <v>473</v>
      </c>
      <c r="EL318" s="245" t="s">
        <v>469</v>
      </c>
      <c r="EM318" s="245" t="s">
        <v>478</v>
      </c>
      <c r="EN318" s="245" t="s">
        <v>491</v>
      </c>
      <c r="EO318" s="245" t="s">
        <v>776</v>
      </c>
      <c r="EP318" s="245" t="s">
        <v>778</v>
      </c>
      <c r="EQ318" s="557" t="s">
        <v>601</v>
      </c>
      <c r="ER318" s="245" t="s">
        <v>600</v>
      </c>
      <c r="ES318" s="245" t="s">
        <v>477</v>
      </c>
      <c r="ET318" s="245" t="s">
        <v>483</v>
      </c>
      <c r="EU318" s="245" t="s">
        <v>487</v>
      </c>
      <c r="EV318" s="557" t="s">
        <v>458</v>
      </c>
      <c r="EW318" s="245" t="s">
        <v>603</v>
      </c>
      <c r="EX318" s="245" t="s">
        <v>602</v>
      </c>
      <c r="EY318" s="245" t="s">
        <v>468</v>
      </c>
      <c r="EZ318" s="245" t="s">
        <v>673</v>
      </c>
      <c r="FA318" s="245" t="s">
        <v>484</v>
      </c>
      <c r="FB318" s="245" t="s">
        <v>486</v>
      </c>
      <c r="FC318" s="557" t="s">
        <v>482</v>
      </c>
      <c r="FD318" s="245" t="s">
        <v>223</v>
      </c>
      <c r="FE318" s="245" t="s">
        <v>47</v>
      </c>
      <c r="FF318" s="245" t="s">
        <v>485</v>
      </c>
      <c r="FG318" s="245" t="s">
        <v>604</v>
      </c>
      <c r="FI318" s="569" t="s">
        <v>497</v>
      </c>
      <c r="FL318" s="782" t="s">
        <v>876</v>
      </c>
      <c r="FM318" s="782" t="s">
        <v>875</v>
      </c>
    </row>
    <row r="320" spans="5:169">
      <c r="E320" s="76" t="s">
        <v>913</v>
      </c>
      <c r="K320" s="76"/>
      <c r="L320" s="76" t="s">
        <v>914</v>
      </c>
    </row>
    <row r="321" spans="5:20">
      <c r="F321" s="76" t="s">
        <v>915</v>
      </c>
      <c r="G321" s="76" t="s">
        <v>916</v>
      </c>
      <c r="M321" s="76" t="s">
        <v>917</v>
      </c>
      <c r="N321" s="76" t="s">
        <v>918</v>
      </c>
    </row>
    <row r="322" spans="5:20">
      <c r="F322">
        <f>'Design Converter'!E73</f>
        <v>5.0000000000000001E-4</v>
      </c>
      <c r="G322" s="884">
        <f>F322*Vout</f>
        <v>7.4999999999999997E-3</v>
      </c>
      <c r="M322">
        <f>'Design Converter'!L73</f>
        <v>5.0000000000000001E-4</v>
      </c>
      <c r="N322" s="884">
        <f>M322*Vout2</f>
        <v>4.0000000000000001E-3</v>
      </c>
      <c r="T322">
        <f>Vout*F316+Vout2*G316</f>
        <v>152</v>
      </c>
    </row>
    <row r="323" spans="5:20">
      <c r="E323" t="s">
        <v>907</v>
      </c>
      <c r="L323" t="s">
        <v>907</v>
      </c>
    </row>
    <row r="324" spans="5:20">
      <c r="F324" t="s">
        <v>908</v>
      </c>
      <c r="G324" t="s">
        <v>909</v>
      </c>
      <c r="H324" t="s">
        <v>910</v>
      </c>
      <c r="I324" s="76" t="s">
        <v>660</v>
      </c>
      <c r="M324" t="s">
        <v>908</v>
      </c>
      <c r="N324" t="s">
        <v>909</v>
      </c>
      <c r="O324" t="s">
        <v>910</v>
      </c>
      <c r="P324" s="76" t="s">
        <v>660</v>
      </c>
    </row>
    <row r="325" spans="5:20">
      <c r="F325" s="885">
        <v>1.9999999999999999E-7</v>
      </c>
      <c r="G325">
        <f>VIN_max</f>
        <v>85</v>
      </c>
      <c r="H325">
        <f>15000</f>
        <v>15000</v>
      </c>
      <c r="I325">
        <f>L*0.9</f>
        <v>1.08E-5</v>
      </c>
      <c r="M325" s="885">
        <v>1.9999999999999999E-7</v>
      </c>
      <c r="N325">
        <f>VIN_max</f>
        <v>85</v>
      </c>
      <c r="O325">
        <f>15000</f>
        <v>15000</v>
      </c>
      <c r="P325">
        <f>L*0.9</f>
        <v>1.08E-5</v>
      </c>
    </row>
    <row r="326" spans="5:20">
      <c r="G326" s="76" t="s">
        <v>911</v>
      </c>
      <c r="N326" s="76" t="s">
        <v>911</v>
      </c>
    </row>
    <row r="327" spans="5:20">
      <c r="G327" s="884">
        <f>0.5*(G325/I325*F325)^2*H325*I325</f>
        <v>0.2006944444444444</v>
      </c>
      <c r="N327" s="884">
        <f>0.5*(N325/P325*M325)^2*O325*P325</f>
        <v>0.2006944444444444</v>
      </c>
    </row>
    <row r="328" spans="5:20">
      <c r="E328" s="76" t="s">
        <v>919</v>
      </c>
      <c r="K328" s="76"/>
      <c r="L328" s="76" t="s">
        <v>920</v>
      </c>
    </row>
    <row r="329" spans="5:20">
      <c r="G329" t="str">
        <f>IF(G322+N322&lt;G327, "Yes", IF(G322&lt;G327, "Yes", "No"))</f>
        <v>Yes</v>
      </c>
      <c r="H329">
        <f>(Vout*1.05)^2/(G327-G322)</f>
        <v>1284.0043134435662</v>
      </c>
      <c r="N329" t="str">
        <f>IF(G322+N322&lt;N327, "Yes", IF(N322&lt;N327, "Yes", "No"))</f>
        <v>Yes</v>
      </c>
      <c r="O329">
        <f>(Vout2*1.05)^2/(N327-N322)</f>
        <v>358.72899308007356</v>
      </c>
    </row>
  </sheetData>
  <sheetProtection algorithmName="SHA-512" hashValue="UtFeTGMjuV5UCpnZm+pfUsg6mgbxGknJ7UlwZbVIwvh5M3ivI7AM0VyBK+6HHZzOE63EnWpi4CqIIbodLKpn8w==" saltValue="GY0CJtGDyMdTsyujrreLCg==" spinCount="100000" sheet="1" selectLockedCells="1" selectUnlockedCells="1"/>
  <mergeCells count="2">
    <mergeCell ref="N3:Z3"/>
    <mergeCell ref="CR3:DD3"/>
  </mergeCells>
  <phoneticPr fontId="83"/>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C3:S106"/>
  <sheetViews>
    <sheetView workbookViewId="0">
      <selection activeCell="V6" sqref="V6"/>
    </sheetView>
  </sheetViews>
  <sheetFormatPr defaultRowHeight="12.5"/>
  <cols>
    <col min="3" max="3" width="7.7265625" customWidth="1"/>
    <col min="5" max="5" width="10.26953125" customWidth="1"/>
    <col min="7" max="7" width="10.7265625" customWidth="1"/>
    <col min="8" max="8" width="9.7265625" customWidth="1"/>
    <col min="9" max="9" width="9.54296875" customWidth="1"/>
    <col min="10" max="10" width="8.7265625" customWidth="1"/>
    <col min="11" max="11" width="9.81640625" customWidth="1"/>
    <col min="12" max="12" width="10.7265625" customWidth="1"/>
    <col min="13" max="13" width="15" customWidth="1"/>
    <col min="14" max="14" width="11.453125" customWidth="1"/>
    <col min="15" max="16" width="11" customWidth="1"/>
    <col min="17" max="17" width="11.1796875" customWidth="1"/>
    <col min="18" max="18" width="11.26953125" customWidth="1"/>
    <col min="19" max="19" width="5.1796875" customWidth="1"/>
  </cols>
  <sheetData>
    <row r="3" spans="3:19" ht="13" thickBot="1"/>
    <row r="4" spans="3:19" ht="13">
      <c r="C4" s="220" t="s">
        <v>421</v>
      </c>
      <c r="D4" s="221"/>
      <c r="E4" s="222"/>
      <c r="F4" s="947" t="s">
        <v>189</v>
      </c>
      <c r="G4" s="948"/>
      <c r="H4" s="947"/>
      <c r="I4" s="947"/>
      <c r="J4" s="947"/>
      <c r="K4" s="948"/>
      <c r="L4" s="948"/>
      <c r="M4" s="948"/>
      <c r="N4" s="947"/>
      <c r="O4" s="949"/>
      <c r="P4" s="533"/>
      <c r="Q4" s="533"/>
      <c r="R4" s="533"/>
      <c r="S4" s="533"/>
    </row>
    <row r="5" spans="3:19" ht="45" customHeight="1" thickBot="1">
      <c r="C5" s="241" t="s">
        <v>25</v>
      </c>
      <c r="D5" s="242" t="s">
        <v>412</v>
      </c>
      <c r="E5" s="243" t="s">
        <v>418</v>
      </c>
      <c r="F5" s="244" t="s">
        <v>48</v>
      </c>
      <c r="G5" s="527" t="s">
        <v>402</v>
      </c>
      <c r="H5" s="527" t="s">
        <v>403</v>
      </c>
      <c r="I5" s="527" t="s">
        <v>413</v>
      </c>
      <c r="J5" s="527" t="s">
        <v>414</v>
      </c>
      <c r="K5" s="527" t="s">
        <v>415</v>
      </c>
      <c r="L5" s="527" t="s">
        <v>416</v>
      </c>
      <c r="M5" s="246" t="s">
        <v>419</v>
      </c>
      <c r="N5" s="245" t="s">
        <v>420</v>
      </c>
      <c r="O5" s="245" t="s">
        <v>417</v>
      </c>
      <c r="P5" s="245" t="s">
        <v>422</v>
      </c>
      <c r="Q5" s="245" t="s">
        <v>423</v>
      </c>
      <c r="R5" s="245" t="s">
        <v>424</v>
      </c>
      <c r="S5" s="245"/>
    </row>
    <row r="6" spans="3:19">
      <c r="C6" s="170">
        <v>0.1</v>
      </c>
      <c r="D6" s="529">
        <f>VIN_min</f>
        <v>19</v>
      </c>
      <c r="E6" s="443">
        <f t="shared" ref="E6:E37" si="0">(Vout+Vfwd1)*Nps</f>
        <v>15.4</v>
      </c>
      <c r="F6" s="217">
        <f t="shared" ref="F6:F37" si="1">(Vout+Vfwd1)*Nps/((Vout+Vfwd1)*Nps+D6)</f>
        <v>0.44767441860465118</v>
      </c>
      <c r="G6" s="172">
        <f t="shared" ref="G6:G37" si="2">F6*D6*Isw_max*0.5*Efficiency</f>
        <v>212.64534883720933</v>
      </c>
      <c r="H6" s="217">
        <f t="shared" ref="H6:H37" si="3">G6/Vout</f>
        <v>14.176356589147288</v>
      </c>
      <c r="I6" s="443">
        <f t="shared" ref="I6:I37" si="4">(Vout+Vfwd1)*Nps+D6</f>
        <v>34.4</v>
      </c>
      <c r="J6" s="172">
        <f t="shared" ref="J6:J37" si="5">MIN(2*Vout*Iout/(Efficiency*D6*F6), 1.35)</f>
        <v>1.35</v>
      </c>
      <c r="K6" s="172">
        <f t="shared" ref="K6:K37" si="6">L*J6/D6*1000000</f>
        <v>0.85263157894736841</v>
      </c>
      <c r="L6" s="172">
        <f t="shared" ref="L6:L37" si="7">L*J6/((Vout+Vfwd1)*Nps)*1000000</f>
        <v>1.051948051948052</v>
      </c>
      <c r="M6" s="443">
        <f>MIN(1/(K6+L6)*1000, 350)</f>
        <v>350</v>
      </c>
      <c r="N6" s="197">
        <f t="shared" ref="N6:N37" si="8">IF(1/((350000*L)*(1/D6+1/E6))&gt;Isw_min, 350, 0.001/((Isw_min*L)*(1/D6+1/E6)))</f>
        <v>70.881782945736433</v>
      </c>
      <c r="O6" s="217">
        <f t="shared" ref="O6:O37" si="9">1/((N6*1000*L)*(1/D6+1/E6))</f>
        <v>10.000000000000002</v>
      </c>
      <c r="P6" s="173">
        <f t="shared" ref="P6:P37" si="10">L*O6/E6*1000000</f>
        <v>7.792207792207793</v>
      </c>
      <c r="Q6" s="173">
        <f t="shared" ref="Q6:Q37" si="11">0.5*P6*O6*Nps*N6/1000</f>
        <v>2.7616279069767451</v>
      </c>
      <c r="R6" s="173">
        <f t="shared" ref="R6:R37" si="12">L*Isw_min/E6*1000000</f>
        <v>7.7922077922077913</v>
      </c>
    </row>
    <row r="7" spans="3:19">
      <c r="C7" s="170">
        <v>1</v>
      </c>
      <c r="D7" s="5">
        <f t="shared" ref="D7:D38" si="13">C7/100*(VIN_max-VIN_min)+VIN_min</f>
        <v>19.66</v>
      </c>
      <c r="E7" s="443">
        <f t="shared" si="0"/>
        <v>15.4</v>
      </c>
      <c r="F7" s="217">
        <f t="shared" si="1"/>
        <v>0.4392470051340559</v>
      </c>
      <c r="G7" s="172">
        <f t="shared" si="2"/>
        <v>215.88990302338846</v>
      </c>
      <c r="H7" s="217">
        <f t="shared" si="3"/>
        <v>14.392660201559231</v>
      </c>
      <c r="I7" s="443">
        <f t="shared" si="4"/>
        <v>35.06</v>
      </c>
      <c r="J7" s="172">
        <f t="shared" si="5"/>
        <v>1.35</v>
      </c>
      <c r="K7" s="172">
        <f t="shared" si="6"/>
        <v>0.82400813835198372</v>
      </c>
      <c r="L7" s="172">
        <f t="shared" si="7"/>
        <v>1.051948051948052</v>
      </c>
      <c r="M7" s="443">
        <f t="shared" ref="M7:M70" si="14">MIN(1/(K7+L7)*1000, 350)</f>
        <v>350</v>
      </c>
      <c r="N7" s="197">
        <f t="shared" si="8"/>
        <v>71.963301007796161</v>
      </c>
      <c r="O7" s="217">
        <f t="shared" si="9"/>
        <v>9.9999999999999982</v>
      </c>
      <c r="P7" s="173">
        <f t="shared" si="10"/>
        <v>7.7922077922077895</v>
      </c>
      <c r="Q7" s="173">
        <f t="shared" si="11"/>
        <v>2.8037649743297188</v>
      </c>
      <c r="R7" s="173">
        <f t="shared" si="12"/>
        <v>7.7922077922077913</v>
      </c>
    </row>
    <row r="8" spans="3:19">
      <c r="C8" s="170">
        <v>2</v>
      </c>
      <c r="D8" s="5">
        <f t="shared" si="13"/>
        <v>20.32</v>
      </c>
      <c r="E8" s="443">
        <f t="shared" si="0"/>
        <v>15.4</v>
      </c>
      <c r="F8" s="217">
        <f t="shared" si="1"/>
        <v>0.43113101903695411</v>
      </c>
      <c r="G8" s="172">
        <f t="shared" si="2"/>
        <v>219.01455767077266</v>
      </c>
      <c r="H8" s="217">
        <f t="shared" si="3"/>
        <v>14.600970511384844</v>
      </c>
      <c r="I8" s="443">
        <f t="shared" si="4"/>
        <v>35.72</v>
      </c>
      <c r="J8" s="172">
        <f t="shared" si="5"/>
        <v>1.35</v>
      </c>
      <c r="K8" s="172">
        <f t="shared" si="6"/>
        <v>0.797244094488189</v>
      </c>
      <c r="L8" s="172">
        <f t="shared" si="7"/>
        <v>1.051948051948052</v>
      </c>
      <c r="M8" s="443">
        <f t="shared" si="14"/>
        <v>350</v>
      </c>
      <c r="N8" s="197">
        <f t="shared" si="8"/>
        <v>73.004852556924234</v>
      </c>
      <c r="O8" s="217">
        <f t="shared" si="9"/>
        <v>10</v>
      </c>
      <c r="P8" s="173">
        <f t="shared" si="10"/>
        <v>7.7922077922077913</v>
      </c>
      <c r="Q8" s="173">
        <f t="shared" si="11"/>
        <v>2.8443449048152298</v>
      </c>
      <c r="R8" s="173">
        <f t="shared" si="12"/>
        <v>7.7922077922077913</v>
      </c>
    </row>
    <row r="9" spans="3:19">
      <c r="C9" s="170">
        <v>3</v>
      </c>
      <c r="D9" s="5">
        <f t="shared" si="13"/>
        <v>20.98</v>
      </c>
      <c r="E9" s="443">
        <f t="shared" si="0"/>
        <v>15.4</v>
      </c>
      <c r="F9" s="217">
        <f t="shared" si="1"/>
        <v>0.42330951072017592</v>
      </c>
      <c r="G9" s="172">
        <f t="shared" si="2"/>
        <v>222.02583837273227</v>
      </c>
      <c r="H9" s="217">
        <f t="shared" si="3"/>
        <v>14.801722558182151</v>
      </c>
      <c r="I9" s="443">
        <f t="shared" si="4"/>
        <v>36.380000000000003</v>
      </c>
      <c r="J9" s="172">
        <f t="shared" si="5"/>
        <v>1.35</v>
      </c>
      <c r="K9" s="172">
        <f t="shared" si="6"/>
        <v>0.77216396568160151</v>
      </c>
      <c r="L9" s="172">
        <f t="shared" si="7"/>
        <v>1.051948051948052</v>
      </c>
      <c r="M9" s="443">
        <f t="shared" si="14"/>
        <v>350</v>
      </c>
      <c r="N9" s="197">
        <f t="shared" si="8"/>
        <v>74.00861279091076</v>
      </c>
      <c r="O9" s="217">
        <f t="shared" si="9"/>
        <v>10</v>
      </c>
      <c r="P9" s="173">
        <f t="shared" si="10"/>
        <v>7.7922077922077913</v>
      </c>
      <c r="Q9" s="173">
        <f t="shared" si="11"/>
        <v>2.88345244639912</v>
      </c>
      <c r="R9" s="173">
        <f t="shared" si="12"/>
        <v>7.7922077922077913</v>
      </c>
    </row>
    <row r="10" spans="3:19">
      <c r="C10" s="170">
        <v>4</v>
      </c>
      <c r="D10" s="5">
        <f t="shared" si="13"/>
        <v>21.64</v>
      </c>
      <c r="E10" s="443">
        <f t="shared" si="0"/>
        <v>15.4</v>
      </c>
      <c r="F10" s="217">
        <f t="shared" si="1"/>
        <v>0.41576673866090713</v>
      </c>
      <c r="G10" s="172">
        <f t="shared" si="2"/>
        <v>224.92980561555078</v>
      </c>
      <c r="H10" s="217">
        <f t="shared" si="3"/>
        <v>14.995320374370051</v>
      </c>
      <c r="I10" s="443">
        <f t="shared" si="4"/>
        <v>37.04</v>
      </c>
      <c r="J10" s="172">
        <f t="shared" si="5"/>
        <v>1.35</v>
      </c>
      <c r="K10" s="172">
        <f t="shared" si="6"/>
        <v>0.74861367837338266</v>
      </c>
      <c r="L10" s="172">
        <f t="shared" si="7"/>
        <v>1.051948051948052</v>
      </c>
      <c r="M10" s="443">
        <f t="shared" si="14"/>
        <v>350</v>
      </c>
      <c r="N10" s="197">
        <f t="shared" si="8"/>
        <v>74.976601871850249</v>
      </c>
      <c r="O10" s="217">
        <f t="shared" si="9"/>
        <v>10</v>
      </c>
      <c r="P10" s="173">
        <f t="shared" si="10"/>
        <v>7.7922077922077913</v>
      </c>
      <c r="Q10" s="173">
        <f t="shared" si="11"/>
        <v>2.9211663066954645</v>
      </c>
      <c r="R10" s="173">
        <f t="shared" si="12"/>
        <v>7.7922077922077913</v>
      </c>
    </row>
    <row r="11" spans="3:19">
      <c r="C11" s="170">
        <v>5</v>
      </c>
      <c r="D11" s="5">
        <f t="shared" si="13"/>
        <v>22.3</v>
      </c>
      <c r="E11" s="443">
        <f t="shared" si="0"/>
        <v>15.4</v>
      </c>
      <c r="F11" s="217">
        <f t="shared" si="1"/>
        <v>0.40848806366047741</v>
      </c>
      <c r="G11" s="172">
        <f t="shared" si="2"/>
        <v>227.73209549071618</v>
      </c>
      <c r="H11" s="217">
        <f t="shared" si="3"/>
        <v>15.182139699381079</v>
      </c>
      <c r="I11" s="443">
        <f t="shared" si="4"/>
        <v>37.700000000000003</v>
      </c>
      <c r="J11" s="172">
        <f t="shared" si="5"/>
        <v>1.35</v>
      </c>
      <c r="K11" s="172">
        <f t="shared" si="6"/>
        <v>0.72645739910313911</v>
      </c>
      <c r="L11" s="172">
        <f t="shared" si="7"/>
        <v>1.051948051948052</v>
      </c>
      <c r="M11" s="443">
        <f t="shared" si="14"/>
        <v>350</v>
      </c>
      <c r="N11" s="197">
        <f t="shared" si="8"/>
        <v>75.910698496905397</v>
      </c>
      <c r="O11" s="217">
        <f t="shared" si="9"/>
        <v>10</v>
      </c>
      <c r="P11" s="173">
        <f t="shared" si="10"/>
        <v>7.7922077922077913</v>
      </c>
      <c r="Q11" s="173">
        <f t="shared" si="11"/>
        <v>2.9575596816976129</v>
      </c>
      <c r="R11" s="173">
        <f t="shared" si="12"/>
        <v>7.7922077922077913</v>
      </c>
    </row>
    <row r="12" spans="3:19">
      <c r="C12" s="170">
        <v>6</v>
      </c>
      <c r="D12" s="5">
        <f t="shared" si="13"/>
        <v>22.96</v>
      </c>
      <c r="E12" s="443">
        <f t="shared" si="0"/>
        <v>15.4</v>
      </c>
      <c r="F12" s="217">
        <f t="shared" si="1"/>
        <v>0.40145985401459855</v>
      </c>
      <c r="G12" s="172">
        <f t="shared" si="2"/>
        <v>230.43795620437959</v>
      </c>
      <c r="H12" s="217">
        <f t="shared" si="3"/>
        <v>15.362530413625306</v>
      </c>
      <c r="I12" s="443">
        <f t="shared" si="4"/>
        <v>38.36</v>
      </c>
      <c r="J12" s="172">
        <f t="shared" si="5"/>
        <v>1.35</v>
      </c>
      <c r="K12" s="172">
        <f t="shared" si="6"/>
        <v>0.70557491289198604</v>
      </c>
      <c r="L12" s="172">
        <f t="shared" si="7"/>
        <v>1.051948051948052</v>
      </c>
      <c r="M12" s="443">
        <f t="shared" si="14"/>
        <v>350</v>
      </c>
      <c r="N12" s="197">
        <f t="shared" si="8"/>
        <v>76.812652068126525</v>
      </c>
      <c r="O12" s="217">
        <f t="shared" si="9"/>
        <v>10</v>
      </c>
      <c r="P12" s="173">
        <f t="shared" si="10"/>
        <v>7.7922077922077913</v>
      </c>
      <c r="Q12" s="173">
        <f t="shared" si="11"/>
        <v>2.992700729927007</v>
      </c>
      <c r="R12" s="173">
        <f t="shared" si="12"/>
        <v>7.7922077922077913</v>
      </c>
    </row>
    <row r="13" spans="3:19">
      <c r="C13" s="170">
        <v>7</v>
      </c>
      <c r="D13" s="5">
        <f t="shared" si="13"/>
        <v>23.62</v>
      </c>
      <c r="E13" s="443">
        <f t="shared" si="0"/>
        <v>15.4</v>
      </c>
      <c r="F13" s="217">
        <f t="shared" si="1"/>
        <v>0.39466940030753456</v>
      </c>
      <c r="G13" s="172">
        <f t="shared" si="2"/>
        <v>233.05228088159916</v>
      </c>
      <c r="H13" s="217">
        <f t="shared" si="3"/>
        <v>15.536818725439945</v>
      </c>
      <c r="I13" s="443">
        <f t="shared" si="4"/>
        <v>39.020000000000003</v>
      </c>
      <c r="J13" s="172">
        <f t="shared" si="5"/>
        <v>1.35</v>
      </c>
      <c r="K13" s="172">
        <f t="shared" si="6"/>
        <v>0.6858594411515665</v>
      </c>
      <c r="L13" s="172">
        <f t="shared" si="7"/>
        <v>1.051948051948052</v>
      </c>
      <c r="M13" s="443">
        <f t="shared" si="14"/>
        <v>350</v>
      </c>
      <c r="N13" s="197">
        <f t="shared" si="8"/>
        <v>77.684093627199729</v>
      </c>
      <c r="O13" s="217">
        <f t="shared" si="9"/>
        <v>9.9999999999999982</v>
      </c>
      <c r="P13" s="173">
        <f t="shared" si="10"/>
        <v>7.7922077922077895</v>
      </c>
      <c r="Q13" s="173">
        <f t="shared" si="11"/>
        <v>3.0266529984623252</v>
      </c>
      <c r="R13" s="173">
        <f t="shared" si="12"/>
        <v>7.7922077922077913</v>
      </c>
    </row>
    <row r="14" spans="3:19" s="76" customFormat="1">
      <c r="C14" s="189">
        <v>8</v>
      </c>
      <c r="D14" s="534">
        <f t="shared" si="13"/>
        <v>24.28</v>
      </c>
      <c r="E14" s="535">
        <f t="shared" si="0"/>
        <v>15.4</v>
      </c>
      <c r="F14" s="329">
        <f t="shared" si="1"/>
        <v>0.38810483870967744</v>
      </c>
      <c r="G14" s="536">
        <f t="shared" si="2"/>
        <v>235.57963709677421</v>
      </c>
      <c r="H14" s="329">
        <f t="shared" si="3"/>
        <v>15.705309139784948</v>
      </c>
      <c r="I14" s="535">
        <f t="shared" si="4"/>
        <v>39.68</v>
      </c>
      <c r="J14" s="172">
        <f t="shared" si="5"/>
        <v>1.35</v>
      </c>
      <c r="K14" s="536">
        <f t="shared" si="6"/>
        <v>0.66721581548599673</v>
      </c>
      <c r="L14" s="536">
        <f t="shared" si="7"/>
        <v>1.051948051948052</v>
      </c>
      <c r="M14" s="535">
        <f t="shared" si="14"/>
        <v>350</v>
      </c>
      <c r="N14" s="537">
        <f t="shared" si="8"/>
        <v>78.526545698924735</v>
      </c>
      <c r="O14" s="329">
        <f t="shared" si="9"/>
        <v>10</v>
      </c>
      <c r="P14" s="173">
        <f t="shared" si="10"/>
        <v>7.7922077922077913</v>
      </c>
      <c r="Q14" s="538">
        <f t="shared" si="11"/>
        <v>3.0594758064516125</v>
      </c>
      <c r="R14" s="173">
        <f t="shared" si="12"/>
        <v>7.7922077922077913</v>
      </c>
    </row>
    <row r="15" spans="3:19">
      <c r="C15" s="170">
        <v>9</v>
      </c>
      <c r="D15" s="5">
        <f t="shared" si="13"/>
        <v>24.939999999999998</v>
      </c>
      <c r="E15" s="443">
        <f t="shared" si="0"/>
        <v>15.4</v>
      </c>
      <c r="F15" s="217">
        <f t="shared" si="1"/>
        <v>0.38175508180466045</v>
      </c>
      <c r="G15" s="172">
        <f t="shared" si="2"/>
        <v>238.02429350520575</v>
      </c>
      <c r="H15" s="217">
        <f t="shared" si="3"/>
        <v>15.868286233680383</v>
      </c>
      <c r="I15" s="443">
        <f t="shared" si="4"/>
        <v>40.339999999999996</v>
      </c>
      <c r="J15" s="172">
        <f t="shared" si="5"/>
        <v>1.35</v>
      </c>
      <c r="K15" s="172">
        <f t="shared" si="6"/>
        <v>0.64955894145950288</v>
      </c>
      <c r="L15" s="172">
        <f t="shared" si="7"/>
        <v>1.051948051948052</v>
      </c>
      <c r="M15" s="443">
        <f t="shared" si="14"/>
        <v>350</v>
      </c>
      <c r="N15" s="197">
        <f t="shared" si="8"/>
        <v>79.341431168401925</v>
      </c>
      <c r="O15" s="217">
        <f t="shared" si="9"/>
        <v>10</v>
      </c>
      <c r="P15" s="173">
        <f t="shared" si="10"/>
        <v>7.7922077922077913</v>
      </c>
      <c r="Q15" s="173">
        <f t="shared" si="11"/>
        <v>3.0912245909766982</v>
      </c>
      <c r="R15" s="173">
        <f t="shared" si="12"/>
        <v>7.7922077922077913</v>
      </c>
    </row>
    <row r="16" spans="3:19">
      <c r="C16" s="170">
        <v>10</v>
      </c>
      <c r="D16" s="5">
        <f t="shared" si="13"/>
        <v>25.6</v>
      </c>
      <c r="E16" s="443">
        <f t="shared" si="0"/>
        <v>15.4</v>
      </c>
      <c r="F16" s="217">
        <f t="shared" si="1"/>
        <v>0.37560975609756098</v>
      </c>
      <c r="G16" s="172">
        <f t="shared" si="2"/>
        <v>240.39024390243907</v>
      </c>
      <c r="H16" s="217">
        <f t="shared" si="3"/>
        <v>16.026016260162603</v>
      </c>
      <c r="I16" s="443">
        <f t="shared" si="4"/>
        <v>41</v>
      </c>
      <c r="J16" s="172">
        <f t="shared" si="5"/>
        <v>1.35</v>
      </c>
      <c r="K16" s="172">
        <f t="shared" si="6"/>
        <v>0.6328125</v>
      </c>
      <c r="L16" s="172">
        <f t="shared" si="7"/>
        <v>1.051948051948052</v>
      </c>
      <c r="M16" s="443">
        <f t="shared" si="14"/>
        <v>350</v>
      </c>
      <c r="N16" s="197">
        <f t="shared" si="8"/>
        <v>80.130081300813018</v>
      </c>
      <c r="O16" s="217">
        <f t="shared" si="9"/>
        <v>9.9999999999999982</v>
      </c>
      <c r="P16" s="173">
        <f t="shared" si="10"/>
        <v>7.7922077922077895</v>
      </c>
      <c r="Q16" s="173">
        <f t="shared" si="11"/>
        <v>3.1219512195121939</v>
      </c>
      <c r="R16" s="173">
        <f t="shared" si="12"/>
        <v>7.7922077922077913</v>
      </c>
    </row>
    <row r="17" spans="3:18">
      <c r="C17" s="170">
        <v>11</v>
      </c>
      <c r="D17" s="5">
        <f t="shared" si="13"/>
        <v>26.259999999999998</v>
      </c>
      <c r="E17" s="443">
        <f t="shared" si="0"/>
        <v>15.4</v>
      </c>
      <c r="F17" s="217">
        <f t="shared" si="1"/>
        <v>0.36965914546327416</v>
      </c>
      <c r="G17" s="172">
        <f t="shared" si="2"/>
        <v>242.68122899663948</v>
      </c>
      <c r="H17" s="217">
        <f t="shared" si="3"/>
        <v>16.178748599775965</v>
      </c>
      <c r="I17" s="443">
        <f t="shared" si="4"/>
        <v>41.66</v>
      </c>
      <c r="J17" s="172">
        <f t="shared" si="5"/>
        <v>1.35</v>
      </c>
      <c r="K17" s="172">
        <f t="shared" si="6"/>
        <v>0.61690784463061699</v>
      </c>
      <c r="L17" s="172">
        <f t="shared" si="7"/>
        <v>1.051948051948052</v>
      </c>
      <c r="M17" s="443">
        <f t="shared" si="14"/>
        <v>350</v>
      </c>
      <c r="N17" s="197">
        <f t="shared" si="8"/>
        <v>80.893742998879816</v>
      </c>
      <c r="O17" s="217">
        <f t="shared" si="9"/>
        <v>10</v>
      </c>
      <c r="P17" s="173">
        <f t="shared" si="10"/>
        <v>7.7922077922077913</v>
      </c>
      <c r="Q17" s="173">
        <f t="shared" si="11"/>
        <v>3.1517042726836291</v>
      </c>
      <c r="R17" s="173">
        <f t="shared" si="12"/>
        <v>7.7922077922077913</v>
      </c>
    </row>
    <row r="18" spans="3:18">
      <c r="C18" s="170">
        <v>12</v>
      </c>
      <c r="D18" s="5">
        <f t="shared" si="13"/>
        <v>26.92</v>
      </c>
      <c r="E18" s="443">
        <f t="shared" si="0"/>
        <v>15.4</v>
      </c>
      <c r="F18" s="217">
        <f t="shared" si="1"/>
        <v>0.36389413988657848</v>
      </c>
      <c r="G18" s="172">
        <f t="shared" si="2"/>
        <v>244.90075614366737</v>
      </c>
      <c r="H18" s="217">
        <f t="shared" si="3"/>
        <v>16.326717076244492</v>
      </c>
      <c r="I18" s="443">
        <f t="shared" si="4"/>
        <v>42.32</v>
      </c>
      <c r="J18" s="172">
        <f t="shared" si="5"/>
        <v>1.35</v>
      </c>
      <c r="K18" s="172">
        <f t="shared" si="6"/>
        <v>0.60178306092124811</v>
      </c>
      <c r="L18" s="172">
        <f t="shared" si="7"/>
        <v>1.051948051948052</v>
      </c>
      <c r="M18" s="443">
        <f t="shared" si="14"/>
        <v>350</v>
      </c>
      <c r="N18" s="197">
        <f t="shared" si="8"/>
        <v>81.633585381222431</v>
      </c>
      <c r="O18" s="217">
        <f t="shared" si="9"/>
        <v>10</v>
      </c>
      <c r="P18" s="173">
        <f t="shared" si="10"/>
        <v>7.7922077922077913</v>
      </c>
      <c r="Q18" s="173">
        <f t="shared" si="11"/>
        <v>3.1805293005671076</v>
      </c>
      <c r="R18" s="173">
        <f t="shared" si="12"/>
        <v>7.7922077922077913</v>
      </c>
    </row>
    <row r="19" spans="3:18">
      <c r="C19" s="170">
        <v>13</v>
      </c>
      <c r="D19" s="5">
        <f t="shared" si="13"/>
        <v>27.58</v>
      </c>
      <c r="E19" s="443">
        <f t="shared" si="0"/>
        <v>15.4</v>
      </c>
      <c r="F19" s="217">
        <f t="shared" si="1"/>
        <v>0.35830618892508148</v>
      </c>
      <c r="G19" s="172">
        <f t="shared" si="2"/>
        <v>247.05211726384366</v>
      </c>
      <c r="H19" s="217">
        <f t="shared" si="3"/>
        <v>16.47014115092291</v>
      </c>
      <c r="I19" s="443">
        <f t="shared" si="4"/>
        <v>42.98</v>
      </c>
      <c r="J19" s="172">
        <f t="shared" si="5"/>
        <v>1.35</v>
      </c>
      <c r="K19" s="172">
        <f t="shared" si="6"/>
        <v>0.58738216098622187</v>
      </c>
      <c r="L19" s="172">
        <f t="shared" si="7"/>
        <v>1.051948051948052</v>
      </c>
      <c r="M19" s="443">
        <f t="shared" si="14"/>
        <v>350</v>
      </c>
      <c r="N19" s="197">
        <f t="shared" si="8"/>
        <v>82.350705754614552</v>
      </c>
      <c r="O19" s="217">
        <f t="shared" si="9"/>
        <v>10</v>
      </c>
      <c r="P19" s="173">
        <f t="shared" si="10"/>
        <v>7.7922077922077913</v>
      </c>
      <c r="Q19" s="173">
        <f t="shared" si="11"/>
        <v>3.2084690553745925</v>
      </c>
      <c r="R19" s="173">
        <f t="shared" si="12"/>
        <v>7.7922077922077913</v>
      </c>
    </row>
    <row r="20" spans="3:18">
      <c r="C20" s="170">
        <v>14</v>
      </c>
      <c r="D20" s="5">
        <f t="shared" si="13"/>
        <v>28.240000000000002</v>
      </c>
      <c r="E20" s="443">
        <f t="shared" si="0"/>
        <v>15.4</v>
      </c>
      <c r="F20" s="217">
        <f t="shared" si="1"/>
        <v>0.35288725939505039</v>
      </c>
      <c r="G20" s="172">
        <f t="shared" si="2"/>
        <v>249.13840513290558</v>
      </c>
      <c r="H20" s="217">
        <f t="shared" si="3"/>
        <v>16.609227008860373</v>
      </c>
      <c r="I20" s="443">
        <f t="shared" si="4"/>
        <v>43.64</v>
      </c>
      <c r="J20" s="172">
        <f t="shared" si="5"/>
        <v>1.35</v>
      </c>
      <c r="K20" s="172">
        <f t="shared" si="6"/>
        <v>0.57365439093484416</v>
      </c>
      <c r="L20" s="172">
        <f t="shared" si="7"/>
        <v>1.051948051948052</v>
      </c>
      <c r="M20" s="443">
        <f t="shared" si="14"/>
        <v>350</v>
      </c>
      <c r="N20" s="197">
        <f t="shared" si="8"/>
        <v>83.046135044301877</v>
      </c>
      <c r="O20" s="217">
        <f t="shared" si="9"/>
        <v>9.9999999999999982</v>
      </c>
      <c r="P20" s="173">
        <f t="shared" si="10"/>
        <v>7.7922077922077895</v>
      </c>
      <c r="Q20" s="173">
        <f t="shared" si="11"/>
        <v>3.2355637030247468</v>
      </c>
      <c r="R20" s="173">
        <f t="shared" si="12"/>
        <v>7.7922077922077913</v>
      </c>
    </row>
    <row r="21" spans="3:18">
      <c r="C21" s="170">
        <v>15</v>
      </c>
      <c r="D21" s="5">
        <f t="shared" si="13"/>
        <v>28.9</v>
      </c>
      <c r="E21" s="443">
        <f t="shared" si="0"/>
        <v>15.4</v>
      </c>
      <c r="F21" s="217">
        <f t="shared" si="1"/>
        <v>0.34762979683972917</v>
      </c>
      <c r="G21" s="172">
        <f t="shared" si="2"/>
        <v>251.16252821670432</v>
      </c>
      <c r="H21" s="217">
        <f t="shared" si="3"/>
        <v>16.744168547780287</v>
      </c>
      <c r="I21" s="443">
        <f t="shared" si="4"/>
        <v>44.3</v>
      </c>
      <c r="J21" s="172">
        <f t="shared" si="5"/>
        <v>1.35</v>
      </c>
      <c r="K21" s="172">
        <f t="shared" si="6"/>
        <v>0.56055363321799312</v>
      </c>
      <c r="L21" s="172">
        <f t="shared" si="7"/>
        <v>1.051948051948052</v>
      </c>
      <c r="M21" s="443">
        <f t="shared" si="14"/>
        <v>350</v>
      </c>
      <c r="N21" s="197">
        <f t="shared" si="8"/>
        <v>83.720842738901425</v>
      </c>
      <c r="O21" s="217">
        <f t="shared" si="9"/>
        <v>10</v>
      </c>
      <c r="P21" s="173">
        <f t="shared" si="10"/>
        <v>7.7922077922077913</v>
      </c>
      <c r="Q21" s="173">
        <f t="shared" si="11"/>
        <v>3.2618510158013541</v>
      </c>
      <c r="R21" s="173">
        <f t="shared" si="12"/>
        <v>7.7922077922077913</v>
      </c>
    </row>
    <row r="22" spans="3:18" s="3" customFormat="1" ht="13">
      <c r="C22" s="333">
        <v>16</v>
      </c>
      <c r="D22" s="530">
        <f t="shared" si="13"/>
        <v>29.560000000000002</v>
      </c>
      <c r="E22" s="531">
        <f t="shared" si="0"/>
        <v>15.4</v>
      </c>
      <c r="F22" s="532">
        <f t="shared" si="1"/>
        <v>0.34252669039145905</v>
      </c>
      <c r="G22" s="332">
        <f t="shared" si="2"/>
        <v>253.12722419928826</v>
      </c>
      <c r="H22" s="532">
        <f t="shared" si="3"/>
        <v>16.875148279952551</v>
      </c>
      <c r="I22" s="531">
        <f t="shared" si="4"/>
        <v>44.96</v>
      </c>
      <c r="J22" s="172">
        <f t="shared" si="5"/>
        <v>1.35</v>
      </c>
      <c r="K22" s="332">
        <f t="shared" si="6"/>
        <v>0.54803788903924222</v>
      </c>
      <c r="L22" s="332">
        <f t="shared" si="7"/>
        <v>1.051948051948052</v>
      </c>
      <c r="M22" s="531">
        <f t="shared" si="14"/>
        <v>350</v>
      </c>
      <c r="N22" s="335">
        <f t="shared" si="8"/>
        <v>84.375741399762774</v>
      </c>
      <c r="O22" s="532">
        <f t="shared" si="9"/>
        <v>9.9999999999999982</v>
      </c>
      <c r="P22" s="173">
        <f t="shared" si="10"/>
        <v>7.7922077922077895</v>
      </c>
      <c r="Q22" s="539">
        <f t="shared" si="11"/>
        <v>3.2873665480427037</v>
      </c>
      <c r="R22" s="173">
        <f t="shared" si="12"/>
        <v>7.7922077922077913</v>
      </c>
    </row>
    <row r="23" spans="3:18">
      <c r="C23" s="170">
        <v>17</v>
      </c>
      <c r="D23" s="5">
        <f t="shared" si="13"/>
        <v>30.22</v>
      </c>
      <c r="E23" s="443">
        <f t="shared" si="0"/>
        <v>15.4</v>
      </c>
      <c r="F23" s="217">
        <f t="shared" si="1"/>
        <v>0.33757124068391059</v>
      </c>
      <c r="G23" s="172">
        <f t="shared" si="2"/>
        <v>255.03507233669444</v>
      </c>
      <c r="H23" s="217">
        <f t="shared" si="3"/>
        <v>17.002338155779629</v>
      </c>
      <c r="I23" s="443">
        <f t="shared" si="4"/>
        <v>45.62</v>
      </c>
      <c r="J23" s="172">
        <f t="shared" si="5"/>
        <v>1.35</v>
      </c>
      <c r="K23" s="172">
        <f t="shared" si="6"/>
        <v>0.53606882859033755</v>
      </c>
      <c r="L23" s="172">
        <f t="shared" si="7"/>
        <v>1.051948051948052</v>
      </c>
      <c r="M23" s="443">
        <f t="shared" si="14"/>
        <v>350</v>
      </c>
      <c r="N23" s="197">
        <f t="shared" si="8"/>
        <v>85.011690778898142</v>
      </c>
      <c r="O23" s="217">
        <f t="shared" si="9"/>
        <v>10</v>
      </c>
      <c r="P23" s="173">
        <f t="shared" si="10"/>
        <v>7.7922077922077913</v>
      </c>
      <c r="Q23" s="173">
        <f t="shared" si="11"/>
        <v>3.3121437965804472</v>
      </c>
      <c r="R23" s="173">
        <f t="shared" si="12"/>
        <v>7.7922077922077913</v>
      </c>
    </row>
    <row r="24" spans="3:18">
      <c r="C24" s="170">
        <v>18</v>
      </c>
      <c r="D24" s="5">
        <f t="shared" si="13"/>
        <v>30.88</v>
      </c>
      <c r="E24" s="443">
        <f t="shared" si="0"/>
        <v>15.4</v>
      </c>
      <c r="F24" s="217">
        <f t="shared" si="1"/>
        <v>0.33275713050993949</v>
      </c>
      <c r="G24" s="172">
        <f t="shared" si="2"/>
        <v>256.88850475367326</v>
      </c>
      <c r="H24" s="217">
        <f t="shared" si="3"/>
        <v>17.125900316911551</v>
      </c>
      <c r="I24" s="443">
        <f t="shared" si="4"/>
        <v>46.28</v>
      </c>
      <c r="J24" s="172">
        <f t="shared" si="5"/>
        <v>1.35</v>
      </c>
      <c r="K24" s="172">
        <f t="shared" si="6"/>
        <v>0.52461139896373066</v>
      </c>
      <c r="L24" s="172">
        <f t="shared" si="7"/>
        <v>1.051948051948052</v>
      </c>
      <c r="M24" s="443">
        <f t="shared" si="14"/>
        <v>350</v>
      </c>
      <c r="N24" s="197">
        <f t="shared" si="8"/>
        <v>85.629501584557772</v>
      </c>
      <c r="O24" s="217">
        <f t="shared" si="9"/>
        <v>10</v>
      </c>
      <c r="P24" s="173">
        <f t="shared" si="10"/>
        <v>7.7922077922077913</v>
      </c>
      <c r="Q24" s="173">
        <f t="shared" si="11"/>
        <v>3.3362143474503028</v>
      </c>
      <c r="R24" s="173">
        <f t="shared" si="12"/>
        <v>7.7922077922077913</v>
      </c>
    </row>
    <row r="25" spans="3:18">
      <c r="C25" s="170">
        <v>19</v>
      </c>
      <c r="D25" s="5">
        <f t="shared" si="13"/>
        <v>31.54</v>
      </c>
      <c r="E25" s="443">
        <f t="shared" si="0"/>
        <v>15.4</v>
      </c>
      <c r="F25" s="217">
        <f t="shared" si="1"/>
        <v>0.32807839795483601</v>
      </c>
      <c r="G25" s="172">
        <f t="shared" si="2"/>
        <v>258.68981678738822</v>
      </c>
      <c r="H25" s="217">
        <f t="shared" si="3"/>
        <v>17.245987785825882</v>
      </c>
      <c r="I25" s="443">
        <f t="shared" si="4"/>
        <v>46.94</v>
      </c>
      <c r="J25" s="172">
        <f t="shared" si="5"/>
        <v>1.35</v>
      </c>
      <c r="K25" s="172">
        <f t="shared" si="6"/>
        <v>0.51363348129359543</v>
      </c>
      <c r="L25" s="172">
        <f t="shared" si="7"/>
        <v>1.051948051948052</v>
      </c>
      <c r="M25" s="443">
        <f t="shared" si="14"/>
        <v>350</v>
      </c>
      <c r="N25" s="197">
        <f t="shared" si="8"/>
        <v>86.229938929129389</v>
      </c>
      <c r="O25" s="217">
        <f t="shared" si="9"/>
        <v>10</v>
      </c>
      <c r="P25" s="173">
        <f t="shared" si="10"/>
        <v>7.7922077922077913</v>
      </c>
      <c r="Q25" s="173">
        <f t="shared" si="11"/>
        <v>3.3596080102258203</v>
      </c>
      <c r="R25" s="173">
        <f t="shared" si="12"/>
        <v>7.7922077922077913</v>
      </c>
    </row>
    <row r="26" spans="3:18">
      <c r="C26" s="170">
        <v>20</v>
      </c>
      <c r="D26" s="5">
        <f t="shared" si="13"/>
        <v>32.200000000000003</v>
      </c>
      <c r="E26" s="443">
        <f t="shared" si="0"/>
        <v>15.4</v>
      </c>
      <c r="F26" s="217">
        <f t="shared" si="1"/>
        <v>0.3235294117647059</v>
      </c>
      <c r="G26" s="172">
        <f t="shared" si="2"/>
        <v>260.44117647058829</v>
      </c>
      <c r="H26" s="217">
        <f t="shared" si="3"/>
        <v>17.36274509803922</v>
      </c>
      <c r="I26" s="443">
        <f t="shared" si="4"/>
        <v>47.6</v>
      </c>
      <c r="J26" s="172">
        <f t="shared" si="5"/>
        <v>1.35</v>
      </c>
      <c r="K26" s="172">
        <f t="shared" si="6"/>
        <v>0.50310559006211186</v>
      </c>
      <c r="L26" s="172">
        <f t="shared" si="7"/>
        <v>1.051948051948052</v>
      </c>
      <c r="M26" s="443">
        <f t="shared" si="14"/>
        <v>350</v>
      </c>
      <c r="N26" s="197">
        <f t="shared" si="8"/>
        <v>86.813725490196077</v>
      </c>
      <c r="O26" s="217">
        <f t="shared" si="9"/>
        <v>10</v>
      </c>
      <c r="P26" s="173">
        <f t="shared" si="10"/>
        <v>7.7922077922077913</v>
      </c>
      <c r="Q26" s="173">
        <f t="shared" si="11"/>
        <v>3.3823529411764701</v>
      </c>
      <c r="R26" s="173">
        <f t="shared" si="12"/>
        <v>7.7922077922077913</v>
      </c>
    </row>
    <row r="27" spans="3:18">
      <c r="C27" s="170">
        <v>21</v>
      </c>
      <c r="D27" s="5">
        <f t="shared" si="13"/>
        <v>32.86</v>
      </c>
      <c r="E27" s="443">
        <f t="shared" si="0"/>
        <v>15.4</v>
      </c>
      <c r="F27" s="217">
        <f t="shared" si="1"/>
        <v>0.3191048487360133</v>
      </c>
      <c r="G27" s="172">
        <f t="shared" si="2"/>
        <v>262.14463323663495</v>
      </c>
      <c r="H27" s="217">
        <f t="shared" si="3"/>
        <v>17.476308882442328</v>
      </c>
      <c r="I27" s="443">
        <f t="shared" si="4"/>
        <v>48.26</v>
      </c>
      <c r="J27" s="172">
        <f t="shared" si="5"/>
        <v>1.35</v>
      </c>
      <c r="K27" s="172">
        <f t="shared" si="6"/>
        <v>0.49300060864272677</v>
      </c>
      <c r="L27" s="172">
        <f t="shared" si="7"/>
        <v>1.051948051948052</v>
      </c>
      <c r="M27" s="443">
        <f t="shared" si="14"/>
        <v>350</v>
      </c>
      <c r="N27" s="197">
        <f t="shared" si="8"/>
        <v>87.381544412211639</v>
      </c>
      <c r="O27" s="217">
        <f t="shared" si="9"/>
        <v>10</v>
      </c>
      <c r="P27" s="173">
        <f t="shared" si="10"/>
        <v>7.7922077922077913</v>
      </c>
      <c r="Q27" s="173">
        <f t="shared" si="11"/>
        <v>3.4044757563199335</v>
      </c>
      <c r="R27" s="173">
        <f t="shared" si="12"/>
        <v>7.7922077922077913</v>
      </c>
    </row>
    <row r="28" spans="3:18">
      <c r="C28" s="170">
        <v>22</v>
      </c>
      <c r="D28" s="5">
        <f t="shared" si="13"/>
        <v>33.519999999999996</v>
      </c>
      <c r="E28" s="443">
        <f t="shared" si="0"/>
        <v>15.4</v>
      </c>
      <c r="F28" s="217">
        <f t="shared" si="1"/>
        <v>0.31479967293540478</v>
      </c>
      <c r="G28" s="172">
        <f t="shared" si="2"/>
        <v>263.80212591986918</v>
      </c>
      <c r="H28" s="217">
        <f t="shared" si="3"/>
        <v>17.586808394657947</v>
      </c>
      <c r="I28" s="443">
        <f t="shared" si="4"/>
        <v>48.919999999999995</v>
      </c>
      <c r="J28" s="172">
        <f t="shared" si="5"/>
        <v>1.35</v>
      </c>
      <c r="K28" s="172">
        <f t="shared" si="6"/>
        <v>0.4832935560859189</v>
      </c>
      <c r="L28" s="172">
        <f t="shared" si="7"/>
        <v>1.051948051948052</v>
      </c>
      <c r="M28" s="443">
        <f t="shared" si="14"/>
        <v>350</v>
      </c>
      <c r="N28" s="197">
        <f t="shared" si="8"/>
        <v>87.934041973289723</v>
      </c>
      <c r="O28" s="217">
        <f t="shared" si="9"/>
        <v>10</v>
      </c>
      <c r="P28" s="173">
        <f t="shared" si="10"/>
        <v>7.7922077922077913</v>
      </c>
      <c r="Q28" s="173">
        <f t="shared" si="11"/>
        <v>3.4260016353229763</v>
      </c>
      <c r="R28" s="173">
        <f t="shared" si="12"/>
        <v>7.7922077922077913</v>
      </c>
    </row>
    <row r="29" spans="3:18">
      <c r="C29" s="170">
        <v>23</v>
      </c>
      <c r="D29" s="5">
        <f t="shared" si="13"/>
        <v>34.18</v>
      </c>
      <c r="E29" s="443">
        <f t="shared" si="0"/>
        <v>15.4</v>
      </c>
      <c r="F29" s="217">
        <f t="shared" si="1"/>
        <v>0.31060911657926588</v>
      </c>
      <c r="G29" s="172">
        <f t="shared" si="2"/>
        <v>265.41549011698271</v>
      </c>
      <c r="H29" s="217">
        <f t="shared" si="3"/>
        <v>17.694366007798848</v>
      </c>
      <c r="I29" s="443">
        <f t="shared" si="4"/>
        <v>49.58</v>
      </c>
      <c r="J29" s="172">
        <f t="shared" si="5"/>
        <v>1.35</v>
      </c>
      <c r="K29" s="172">
        <f t="shared" si="6"/>
        <v>0.47396138092451728</v>
      </c>
      <c r="L29" s="172">
        <f t="shared" si="7"/>
        <v>1.051948051948052</v>
      </c>
      <c r="M29" s="443">
        <f t="shared" si="14"/>
        <v>350</v>
      </c>
      <c r="N29" s="197">
        <f t="shared" si="8"/>
        <v>88.471830038994213</v>
      </c>
      <c r="O29" s="217">
        <f t="shared" si="9"/>
        <v>10</v>
      </c>
      <c r="P29" s="173">
        <f t="shared" si="10"/>
        <v>7.7922077922077913</v>
      </c>
      <c r="Q29" s="173">
        <f t="shared" si="11"/>
        <v>3.4469544171036706</v>
      </c>
      <c r="R29" s="173">
        <f t="shared" si="12"/>
        <v>7.7922077922077913</v>
      </c>
    </row>
    <row r="30" spans="3:18">
      <c r="C30" s="170">
        <v>24</v>
      </c>
      <c r="D30" s="5">
        <f t="shared" si="13"/>
        <v>34.840000000000003</v>
      </c>
      <c r="E30" s="443">
        <f t="shared" si="0"/>
        <v>15.4</v>
      </c>
      <c r="F30" s="217">
        <f t="shared" si="1"/>
        <v>0.30652866242038218</v>
      </c>
      <c r="G30" s="172">
        <f t="shared" si="2"/>
        <v>266.98646496815292</v>
      </c>
      <c r="H30" s="217">
        <f t="shared" si="3"/>
        <v>17.799097664543527</v>
      </c>
      <c r="I30" s="443">
        <f t="shared" si="4"/>
        <v>50.24</v>
      </c>
      <c r="J30" s="172">
        <f t="shared" si="5"/>
        <v>1.35</v>
      </c>
      <c r="K30" s="172">
        <f t="shared" si="6"/>
        <v>0.46498277841561425</v>
      </c>
      <c r="L30" s="172">
        <f t="shared" si="7"/>
        <v>1.051948051948052</v>
      </c>
      <c r="M30" s="443">
        <f t="shared" si="14"/>
        <v>350</v>
      </c>
      <c r="N30" s="197">
        <f t="shared" si="8"/>
        <v>88.995488322717634</v>
      </c>
      <c r="O30" s="217">
        <f t="shared" si="9"/>
        <v>9.9999999999999982</v>
      </c>
      <c r="P30" s="173">
        <f t="shared" si="10"/>
        <v>7.7922077922077895</v>
      </c>
      <c r="Q30" s="173">
        <f t="shared" si="11"/>
        <v>3.4673566878980875</v>
      </c>
      <c r="R30" s="173">
        <f t="shared" si="12"/>
        <v>7.7922077922077913</v>
      </c>
    </row>
    <row r="31" spans="3:18">
      <c r="C31" s="170">
        <v>25</v>
      </c>
      <c r="D31" s="5">
        <f t="shared" si="13"/>
        <v>35.5</v>
      </c>
      <c r="E31" s="443">
        <f t="shared" si="0"/>
        <v>15.4</v>
      </c>
      <c r="F31" s="217">
        <f t="shared" si="1"/>
        <v>0.30255402750491162</v>
      </c>
      <c r="G31" s="172">
        <f t="shared" si="2"/>
        <v>268.51669941060902</v>
      </c>
      <c r="H31" s="217">
        <f t="shared" si="3"/>
        <v>17.901113294040602</v>
      </c>
      <c r="I31" s="443">
        <f t="shared" si="4"/>
        <v>50.9</v>
      </c>
      <c r="J31" s="172">
        <f t="shared" si="5"/>
        <v>1.35</v>
      </c>
      <c r="K31" s="172">
        <f t="shared" si="6"/>
        <v>0.45633802816901409</v>
      </c>
      <c r="L31" s="172">
        <f t="shared" si="7"/>
        <v>1.051948051948052</v>
      </c>
      <c r="M31" s="443">
        <f t="shared" si="14"/>
        <v>350</v>
      </c>
      <c r="N31" s="197">
        <f t="shared" si="8"/>
        <v>89.505566470203007</v>
      </c>
      <c r="O31" s="217">
        <f t="shared" si="9"/>
        <v>10</v>
      </c>
      <c r="P31" s="173">
        <f t="shared" si="10"/>
        <v>7.7922077922077913</v>
      </c>
      <c r="Q31" s="173">
        <f t="shared" si="11"/>
        <v>3.4872298624754419</v>
      </c>
      <c r="R31" s="173">
        <f t="shared" si="12"/>
        <v>7.7922077922077913</v>
      </c>
    </row>
    <row r="32" spans="3:18">
      <c r="C32" s="170">
        <v>26</v>
      </c>
      <c r="D32" s="5">
        <f t="shared" si="13"/>
        <v>36.159999999999997</v>
      </c>
      <c r="E32" s="443">
        <f t="shared" si="0"/>
        <v>15.4</v>
      </c>
      <c r="F32" s="217">
        <f t="shared" si="1"/>
        <v>0.29868114817688135</v>
      </c>
      <c r="G32" s="172">
        <f t="shared" si="2"/>
        <v>270.00775795190071</v>
      </c>
      <c r="H32" s="217">
        <f t="shared" si="3"/>
        <v>18.000517196793382</v>
      </c>
      <c r="I32" s="443">
        <f t="shared" si="4"/>
        <v>51.559999999999995</v>
      </c>
      <c r="J32" s="172">
        <f t="shared" si="5"/>
        <v>1.35</v>
      </c>
      <c r="K32" s="172">
        <f t="shared" si="6"/>
        <v>0.44800884955752218</v>
      </c>
      <c r="L32" s="172">
        <f t="shared" si="7"/>
        <v>1.051948051948052</v>
      </c>
      <c r="M32" s="443">
        <f t="shared" si="14"/>
        <v>350</v>
      </c>
      <c r="N32" s="197">
        <f t="shared" si="8"/>
        <v>90.002585983966895</v>
      </c>
      <c r="O32" s="217">
        <f t="shared" si="9"/>
        <v>10</v>
      </c>
      <c r="P32" s="173">
        <f t="shared" si="10"/>
        <v>7.7922077922077913</v>
      </c>
      <c r="Q32" s="173">
        <f t="shared" si="11"/>
        <v>3.5065942591155932</v>
      </c>
      <c r="R32" s="173">
        <f t="shared" si="12"/>
        <v>7.7922077922077913</v>
      </c>
    </row>
    <row r="33" spans="3:18">
      <c r="C33" s="170">
        <v>27</v>
      </c>
      <c r="D33" s="5">
        <f t="shared" si="13"/>
        <v>36.82</v>
      </c>
      <c r="E33" s="443">
        <f t="shared" si="0"/>
        <v>15.4</v>
      </c>
      <c r="F33" s="217">
        <f t="shared" si="1"/>
        <v>0.29490616621983917</v>
      </c>
      <c r="G33" s="172">
        <f t="shared" si="2"/>
        <v>271.46112600536196</v>
      </c>
      <c r="H33" s="217">
        <f t="shared" si="3"/>
        <v>18.097408400357462</v>
      </c>
      <c r="I33" s="443">
        <f t="shared" si="4"/>
        <v>52.22</v>
      </c>
      <c r="J33" s="172">
        <f t="shared" si="5"/>
        <v>1.35</v>
      </c>
      <c r="K33" s="172">
        <f t="shared" si="6"/>
        <v>0.43997827267789247</v>
      </c>
      <c r="L33" s="172">
        <f t="shared" si="7"/>
        <v>1.051948051948052</v>
      </c>
      <c r="M33" s="443">
        <f t="shared" si="14"/>
        <v>350</v>
      </c>
      <c r="N33" s="197">
        <f t="shared" si="8"/>
        <v>90.48704200178733</v>
      </c>
      <c r="O33" s="217">
        <f t="shared" si="9"/>
        <v>10</v>
      </c>
      <c r="P33" s="173">
        <f t="shared" si="10"/>
        <v>7.7922077922077913</v>
      </c>
      <c r="Q33" s="173">
        <f t="shared" si="11"/>
        <v>3.5254691689008051</v>
      </c>
      <c r="R33" s="173">
        <f t="shared" si="12"/>
        <v>7.7922077922077913</v>
      </c>
    </row>
    <row r="34" spans="3:18">
      <c r="C34" s="170">
        <v>28</v>
      </c>
      <c r="D34" s="5">
        <f t="shared" si="13"/>
        <v>37.480000000000004</v>
      </c>
      <c r="E34" s="443">
        <f t="shared" si="0"/>
        <v>15.4</v>
      </c>
      <c r="F34" s="217">
        <f t="shared" si="1"/>
        <v>0.29122541603630864</v>
      </c>
      <c r="G34" s="172">
        <f t="shared" si="2"/>
        <v>272.87821482602124</v>
      </c>
      <c r="H34" s="217">
        <f t="shared" si="3"/>
        <v>18.191880988401415</v>
      </c>
      <c r="I34" s="443">
        <f t="shared" si="4"/>
        <v>52.88</v>
      </c>
      <c r="J34" s="172">
        <f t="shared" si="5"/>
        <v>1.35</v>
      </c>
      <c r="K34" s="172">
        <f t="shared" si="6"/>
        <v>0.43223052294557091</v>
      </c>
      <c r="L34" s="172">
        <f t="shared" si="7"/>
        <v>1.051948051948052</v>
      </c>
      <c r="M34" s="443">
        <f t="shared" si="14"/>
        <v>350</v>
      </c>
      <c r="N34" s="197">
        <f t="shared" si="8"/>
        <v>90.959404942007069</v>
      </c>
      <c r="O34" s="217">
        <f t="shared" si="9"/>
        <v>10</v>
      </c>
      <c r="P34" s="173">
        <f t="shared" si="10"/>
        <v>7.7922077922077913</v>
      </c>
      <c r="Q34" s="173">
        <f t="shared" si="11"/>
        <v>3.5438729198184569</v>
      </c>
      <c r="R34" s="173">
        <f t="shared" si="12"/>
        <v>7.7922077922077913</v>
      </c>
    </row>
    <row r="35" spans="3:18">
      <c r="C35" s="170">
        <v>29</v>
      </c>
      <c r="D35" s="5">
        <f t="shared" si="13"/>
        <v>38.14</v>
      </c>
      <c r="E35" s="443">
        <f t="shared" si="0"/>
        <v>15.4</v>
      </c>
      <c r="F35" s="217">
        <f t="shared" si="1"/>
        <v>0.28763541277549498</v>
      </c>
      <c r="G35" s="172">
        <f t="shared" si="2"/>
        <v>274.26036608143443</v>
      </c>
      <c r="H35" s="217">
        <f t="shared" si="3"/>
        <v>18.284024405428962</v>
      </c>
      <c r="I35" s="443">
        <f t="shared" si="4"/>
        <v>53.54</v>
      </c>
      <c r="J35" s="172">
        <f t="shared" si="5"/>
        <v>1.35</v>
      </c>
      <c r="K35" s="172">
        <f t="shared" si="6"/>
        <v>0.42475091767173567</v>
      </c>
      <c r="L35" s="172">
        <f t="shared" si="7"/>
        <v>1.051948051948052</v>
      </c>
      <c r="M35" s="443">
        <f t="shared" si="14"/>
        <v>350</v>
      </c>
      <c r="N35" s="197">
        <f t="shared" si="8"/>
        <v>91.420122027144814</v>
      </c>
      <c r="O35" s="217">
        <f t="shared" si="9"/>
        <v>10</v>
      </c>
      <c r="P35" s="173">
        <f t="shared" si="10"/>
        <v>7.7922077922077913</v>
      </c>
      <c r="Q35" s="173">
        <f t="shared" si="11"/>
        <v>3.5618229361225251</v>
      </c>
      <c r="R35" s="173">
        <f t="shared" si="12"/>
        <v>7.7922077922077913</v>
      </c>
    </row>
    <row r="36" spans="3:18">
      <c r="C36" s="170">
        <v>30</v>
      </c>
      <c r="D36" s="5">
        <f t="shared" si="13"/>
        <v>38.799999999999997</v>
      </c>
      <c r="E36" s="443">
        <f t="shared" si="0"/>
        <v>15.4</v>
      </c>
      <c r="F36" s="217">
        <f t="shared" si="1"/>
        <v>0.28413284132841332</v>
      </c>
      <c r="G36" s="172">
        <f t="shared" si="2"/>
        <v>275.60885608856091</v>
      </c>
      <c r="H36" s="217">
        <f t="shared" si="3"/>
        <v>18.373923739237394</v>
      </c>
      <c r="I36" s="443">
        <f t="shared" si="4"/>
        <v>54.199999999999996</v>
      </c>
      <c r="J36" s="172">
        <f t="shared" si="5"/>
        <v>1.35</v>
      </c>
      <c r="K36" s="172">
        <f t="shared" si="6"/>
        <v>0.41752577319587636</v>
      </c>
      <c r="L36" s="172">
        <f t="shared" si="7"/>
        <v>1.051948051948052</v>
      </c>
      <c r="M36" s="443">
        <f t="shared" si="14"/>
        <v>350</v>
      </c>
      <c r="N36" s="197">
        <f t="shared" si="8"/>
        <v>91.869618696186961</v>
      </c>
      <c r="O36" s="217">
        <f t="shared" si="9"/>
        <v>10</v>
      </c>
      <c r="P36" s="173">
        <f t="shared" si="10"/>
        <v>7.7922077922077913</v>
      </c>
      <c r="Q36" s="173">
        <f t="shared" si="11"/>
        <v>3.5793357933579331</v>
      </c>
      <c r="R36" s="173">
        <f t="shared" si="12"/>
        <v>7.7922077922077913</v>
      </c>
    </row>
    <row r="37" spans="3:18">
      <c r="C37" s="170">
        <v>31</v>
      </c>
      <c r="D37" s="5">
        <f t="shared" si="13"/>
        <v>39.46</v>
      </c>
      <c r="E37" s="443">
        <f t="shared" si="0"/>
        <v>15.4</v>
      </c>
      <c r="F37" s="217">
        <f t="shared" si="1"/>
        <v>0.28071454611738972</v>
      </c>
      <c r="G37" s="172">
        <f t="shared" si="2"/>
        <v>276.92489974480497</v>
      </c>
      <c r="H37" s="217">
        <f t="shared" si="3"/>
        <v>18.461659982986998</v>
      </c>
      <c r="I37" s="443">
        <f t="shared" si="4"/>
        <v>54.86</v>
      </c>
      <c r="J37" s="172">
        <f t="shared" si="5"/>
        <v>1.35</v>
      </c>
      <c r="K37" s="172">
        <f t="shared" si="6"/>
        <v>0.4105423213380639</v>
      </c>
      <c r="L37" s="172">
        <f t="shared" si="7"/>
        <v>1.051948051948052</v>
      </c>
      <c r="M37" s="443">
        <f t="shared" si="14"/>
        <v>350</v>
      </c>
      <c r="N37" s="197">
        <f t="shared" si="8"/>
        <v>92.308299914934992</v>
      </c>
      <c r="O37" s="217">
        <f t="shared" si="9"/>
        <v>10</v>
      </c>
      <c r="P37" s="173">
        <f t="shared" si="10"/>
        <v>7.7922077922077913</v>
      </c>
      <c r="Q37" s="173">
        <f t="shared" si="11"/>
        <v>3.5964272694130512</v>
      </c>
      <c r="R37" s="173">
        <f t="shared" si="12"/>
        <v>7.7922077922077913</v>
      </c>
    </row>
    <row r="38" spans="3:18">
      <c r="C38" s="170">
        <v>32</v>
      </c>
      <c r="D38" s="5">
        <f t="shared" si="13"/>
        <v>40.120000000000005</v>
      </c>
      <c r="E38" s="443">
        <f t="shared" ref="E38:E69" si="15">(Vout+Vfwd1)*Nps</f>
        <v>15.4</v>
      </c>
      <c r="F38" s="217">
        <f t="shared" ref="F38:F69" si="16">(Vout+Vfwd1)*Nps/((Vout+Vfwd1)*Nps+D38)</f>
        <v>0.27737752161383283</v>
      </c>
      <c r="G38" s="172">
        <f t="shared" ref="G38:G69" si="17">F38*D38*Isw_max*0.5*Efficiency</f>
        <v>278.20965417867438</v>
      </c>
      <c r="H38" s="217">
        <f t="shared" ref="H38:H69" si="18">G38/Vout</f>
        <v>18.547310278578291</v>
      </c>
      <c r="I38" s="443">
        <f t="shared" ref="I38:I69" si="19">(Vout+Vfwd1)*Nps+D38</f>
        <v>55.52</v>
      </c>
      <c r="J38" s="172">
        <f t="shared" ref="J38:J69" si="20">MIN(2*Vout*Iout/(Efficiency*D38*F38), 1.35)</f>
        <v>1.35</v>
      </c>
      <c r="K38" s="172">
        <f t="shared" ref="K38:K69" si="21">L*J38/D38*1000000</f>
        <v>0.40378863409770688</v>
      </c>
      <c r="L38" s="172">
        <f t="shared" ref="L38:L69" si="22">L*J38/((Vout+Vfwd1)*Nps)*1000000</f>
        <v>1.051948051948052</v>
      </c>
      <c r="M38" s="443">
        <f t="shared" si="14"/>
        <v>350</v>
      </c>
      <c r="N38" s="197">
        <f t="shared" ref="N38:N69" si="23">IF(1/((350000*L)*(1/D38+1/E38))&gt;Isw_min, 350, 0.001/((Isw_min*L)*(1/D38+1/E38)))</f>
        <v>92.736551392891471</v>
      </c>
      <c r="O38" s="217">
        <f t="shared" ref="O38:O69" si="24">1/((N38*1000*L)*(1/D38+1/E38))</f>
        <v>9.9999999999999982</v>
      </c>
      <c r="P38" s="173">
        <f t="shared" ref="P38:P69" si="25">L*O38/E38*1000000</f>
        <v>7.7922077922077895</v>
      </c>
      <c r="Q38" s="173">
        <f t="shared" ref="Q38:Q69" si="26">0.5*P38*O38*Nps*N38/1000</f>
        <v>3.6131123919308341</v>
      </c>
      <c r="R38" s="173">
        <f t="shared" ref="R38:R69" si="27">L*Isw_min/E38*1000000</f>
        <v>7.7922077922077913</v>
      </c>
    </row>
    <row r="39" spans="3:18">
      <c r="C39" s="170">
        <v>33</v>
      </c>
      <c r="D39" s="5">
        <f t="shared" ref="D39:D70" si="28">C39/100*(VIN_max-VIN_min)+VIN_min</f>
        <v>40.78</v>
      </c>
      <c r="E39" s="443">
        <f t="shared" si="15"/>
        <v>15.4</v>
      </c>
      <c r="F39" s="217">
        <f t="shared" si="16"/>
        <v>0.27411890352438589</v>
      </c>
      <c r="G39" s="172">
        <f t="shared" si="17"/>
        <v>279.46422214311144</v>
      </c>
      <c r="H39" s="217">
        <f t="shared" si="18"/>
        <v>18.630948142874097</v>
      </c>
      <c r="I39" s="443">
        <f t="shared" si="19"/>
        <v>56.18</v>
      </c>
      <c r="J39" s="172">
        <f t="shared" si="20"/>
        <v>1.35</v>
      </c>
      <c r="K39" s="172">
        <f t="shared" si="21"/>
        <v>0.39725355566454146</v>
      </c>
      <c r="L39" s="172">
        <f t="shared" si="22"/>
        <v>1.051948051948052</v>
      </c>
      <c r="M39" s="443">
        <f t="shared" si="14"/>
        <v>350</v>
      </c>
      <c r="N39" s="197">
        <f t="shared" si="23"/>
        <v>93.154740714370476</v>
      </c>
      <c r="O39" s="217">
        <f t="shared" si="24"/>
        <v>10</v>
      </c>
      <c r="P39" s="173">
        <f t="shared" si="25"/>
        <v>7.7922077922077913</v>
      </c>
      <c r="Q39" s="173">
        <f t="shared" si="26"/>
        <v>3.6294054823780701</v>
      </c>
      <c r="R39" s="173">
        <f t="shared" si="27"/>
        <v>7.7922077922077913</v>
      </c>
    </row>
    <row r="40" spans="3:18">
      <c r="C40" s="170">
        <v>34</v>
      </c>
      <c r="D40" s="5">
        <f t="shared" si="28"/>
        <v>41.44</v>
      </c>
      <c r="E40" s="443">
        <f t="shared" si="15"/>
        <v>15.4</v>
      </c>
      <c r="F40" s="217">
        <f t="shared" si="16"/>
        <v>0.27093596059113301</v>
      </c>
      <c r="G40" s="172">
        <f t="shared" si="17"/>
        <v>280.68965517241378</v>
      </c>
      <c r="H40" s="217">
        <f t="shared" si="18"/>
        <v>18.712643678160919</v>
      </c>
      <c r="I40" s="443">
        <f t="shared" si="19"/>
        <v>56.839999999999996</v>
      </c>
      <c r="J40" s="172">
        <f t="shared" si="20"/>
        <v>1.35</v>
      </c>
      <c r="K40" s="172">
        <f t="shared" si="21"/>
        <v>0.39092664092664098</v>
      </c>
      <c r="L40" s="172">
        <f t="shared" si="22"/>
        <v>1.051948051948052</v>
      </c>
      <c r="M40" s="443">
        <f t="shared" si="14"/>
        <v>350</v>
      </c>
      <c r="N40" s="197">
        <f t="shared" si="23"/>
        <v>93.563218390804593</v>
      </c>
      <c r="O40" s="217">
        <f t="shared" si="24"/>
        <v>10</v>
      </c>
      <c r="P40" s="173">
        <f t="shared" si="25"/>
        <v>7.7922077922077913</v>
      </c>
      <c r="Q40" s="173">
        <f t="shared" si="26"/>
        <v>3.6453201970443345</v>
      </c>
      <c r="R40" s="173">
        <f t="shared" si="27"/>
        <v>7.7922077922077913</v>
      </c>
    </row>
    <row r="41" spans="3:18">
      <c r="C41" s="170">
        <v>35</v>
      </c>
      <c r="D41" s="5">
        <f t="shared" si="28"/>
        <v>42.099999999999994</v>
      </c>
      <c r="E41" s="443">
        <f t="shared" si="15"/>
        <v>15.4</v>
      </c>
      <c r="F41" s="217">
        <f t="shared" si="16"/>
        <v>0.26782608695652177</v>
      </c>
      <c r="G41" s="172">
        <f t="shared" si="17"/>
        <v>281.88695652173914</v>
      </c>
      <c r="H41" s="217">
        <f t="shared" si="18"/>
        <v>18.792463768115944</v>
      </c>
      <c r="I41" s="443">
        <f t="shared" si="19"/>
        <v>57.499999999999993</v>
      </c>
      <c r="J41" s="172">
        <f t="shared" si="20"/>
        <v>1.35</v>
      </c>
      <c r="K41" s="172">
        <f t="shared" si="21"/>
        <v>0.38479809976247037</v>
      </c>
      <c r="L41" s="172">
        <f t="shared" si="22"/>
        <v>1.051948051948052</v>
      </c>
      <c r="M41" s="443">
        <f t="shared" si="14"/>
        <v>350</v>
      </c>
      <c r="N41" s="197">
        <f t="shared" si="23"/>
        <v>93.962318840579712</v>
      </c>
      <c r="O41" s="217">
        <f t="shared" si="24"/>
        <v>10.000000000000002</v>
      </c>
      <c r="P41" s="173">
        <f t="shared" si="25"/>
        <v>7.792207792207793</v>
      </c>
      <c r="Q41" s="173">
        <f t="shared" si="26"/>
        <v>3.6608695652173924</v>
      </c>
      <c r="R41" s="173">
        <f t="shared" si="27"/>
        <v>7.7922077922077913</v>
      </c>
    </row>
    <row r="42" spans="3:18">
      <c r="C42" s="170">
        <v>36</v>
      </c>
      <c r="D42" s="5">
        <f t="shared" si="28"/>
        <v>42.76</v>
      </c>
      <c r="E42" s="443">
        <f t="shared" si="15"/>
        <v>15.4</v>
      </c>
      <c r="F42" s="217">
        <f t="shared" si="16"/>
        <v>0.26478679504814306</v>
      </c>
      <c r="G42" s="172">
        <f t="shared" si="17"/>
        <v>283.05708390646492</v>
      </c>
      <c r="H42" s="217">
        <f t="shared" si="18"/>
        <v>18.870472260430994</v>
      </c>
      <c r="I42" s="443">
        <f t="shared" si="19"/>
        <v>58.16</v>
      </c>
      <c r="J42" s="172">
        <f t="shared" si="20"/>
        <v>1.35</v>
      </c>
      <c r="K42" s="172">
        <f t="shared" si="21"/>
        <v>0.3788587464920487</v>
      </c>
      <c r="L42" s="172">
        <f t="shared" si="22"/>
        <v>1.051948051948052</v>
      </c>
      <c r="M42" s="443">
        <f t="shared" si="14"/>
        <v>350</v>
      </c>
      <c r="N42" s="197">
        <f t="shared" si="23"/>
        <v>94.352361302154975</v>
      </c>
      <c r="O42" s="217">
        <f t="shared" si="24"/>
        <v>10.000000000000002</v>
      </c>
      <c r="P42" s="173">
        <f t="shared" si="25"/>
        <v>7.792207792207793</v>
      </c>
      <c r="Q42" s="173">
        <f t="shared" si="26"/>
        <v>3.6760660247592858</v>
      </c>
      <c r="R42" s="173">
        <f t="shared" si="27"/>
        <v>7.7922077922077913</v>
      </c>
    </row>
    <row r="43" spans="3:18">
      <c r="C43" s="170">
        <v>37</v>
      </c>
      <c r="D43" s="5">
        <f t="shared" si="28"/>
        <v>43.42</v>
      </c>
      <c r="E43" s="443">
        <f t="shared" si="15"/>
        <v>15.4</v>
      </c>
      <c r="F43" s="217">
        <f t="shared" si="16"/>
        <v>0.26181570894253658</v>
      </c>
      <c r="G43" s="172">
        <f t="shared" si="17"/>
        <v>284.20095205712346</v>
      </c>
      <c r="H43" s="217">
        <f t="shared" si="18"/>
        <v>18.946730137141564</v>
      </c>
      <c r="I43" s="443">
        <f t="shared" si="19"/>
        <v>58.82</v>
      </c>
      <c r="J43" s="172">
        <f t="shared" si="20"/>
        <v>1.35</v>
      </c>
      <c r="K43" s="172">
        <f t="shared" si="21"/>
        <v>0.37309995393827733</v>
      </c>
      <c r="L43" s="172">
        <f t="shared" si="22"/>
        <v>1.051948051948052</v>
      </c>
      <c r="M43" s="443">
        <f t="shared" si="14"/>
        <v>350</v>
      </c>
      <c r="N43" s="197">
        <f t="shared" si="23"/>
        <v>94.733650685707815</v>
      </c>
      <c r="O43" s="217">
        <f t="shared" si="24"/>
        <v>10</v>
      </c>
      <c r="P43" s="173">
        <f t="shared" si="25"/>
        <v>7.7922077922077913</v>
      </c>
      <c r="Q43" s="173">
        <f t="shared" si="26"/>
        <v>3.6909214552873171</v>
      </c>
      <c r="R43" s="173">
        <f t="shared" si="27"/>
        <v>7.7922077922077913</v>
      </c>
    </row>
    <row r="44" spans="3:18">
      <c r="C44" s="170">
        <v>38</v>
      </c>
      <c r="D44" s="5">
        <f t="shared" si="28"/>
        <v>44.08</v>
      </c>
      <c r="E44" s="443">
        <f t="shared" si="15"/>
        <v>15.4</v>
      </c>
      <c r="F44" s="217">
        <f t="shared" si="16"/>
        <v>0.25891055817081376</v>
      </c>
      <c r="G44" s="172">
        <f t="shared" si="17"/>
        <v>285.31943510423673</v>
      </c>
      <c r="H44" s="217">
        <f t="shared" si="18"/>
        <v>19.021295673615782</v>
      </c>
      <c r="I44" s="443">
        <f t="shared" si="19"/>
        <v>59.48</v>
      </c>
      <c r="J44" s="172">
        <f t="shared" si="20"/>
        <v>1.35</v>
      </c>
      <c r="K44" s="172">
        <f t="shared" si="21"/>
        <v>0.36751361161524504</v>
      </c>
      <c r="L44" s="172">
        <f t="shared" si="22"/>
        <v>1.051948051948052</v>
      </c>
      <c r="M44" s="443">
        <f t="shared" si="14"/>
        <v>350</v>
      </c>
      <c r="N44" s="197">
        <f t="shared" si="23"/>
        <v>95.106478368078911</v>
      </c>
      <c r="O44" s="217">
        <f t="shared" si="24"/>
        <v>10</v>
      </c>
      <c r="P44" s="173">
        <f t="shared" si="25"/>
        <v>7.7922077922077913</v>
      </c>
      <c r="Q44" s="173">
        <f t="shared" si="26"/>
        <v>3.7054472091459316</v>
      </c>
      <c r="R44" s="173">
        <f t="shared" si="27"/>
        <v>7.7922077922077913</v>
      </c>
    </row>
    <row r="45" spans="3:18">
      <c r="C45" s="170">
        <v>39</v>
      </c>
      <c r="D45" s="5">
        <f t="shared" si="28"/>
        <v>44.74</v>
      </c>
      <c r="E45" s="443">
        <f t="shared" si="15"/>
        <v>15.4</v>
      </c>
      <c r="F45" s="217">
        <f t="shared" si="16"/>
        <v>0.25606917193215828</v>
      </c>
      <c r="G45" s="172">
        <f t="shared" si="17"/>
        <v>286.41336880611902</v>
      </c>
      <c r="H45" s="217">
        <f t="shared" si="18"/>
        <v>19.094224587074603</v>
      </c>
      <c r="I45" s="443">
        <f t="shared" si="19"/>
        <v>60.14</v>
      </c>
      <c r="J45" s="172">
        <f t="shared" si="20"/>
        <v>1.35</v>
      </c>
      <c r="K45" s="172">
        <f t="shared" si="21"/>
        <v>0.36209208761734463</v>
      </c>
      <c r="L45" s="172">
        <f t="shared" si="22"/>
        <v>1.051948051948052</v>
      </c>
      <c r="M45" s="443">
        <f t="shared" si="14"/>
        <v>350</v>
      </c>
      <c r="N45" s="197">
        <f t="shared" si="23"/>
        <v>95.471122935373018</v>
      </c>
      <c r="O45" s="217">
        <f t="shared" si="24"/>
        <v>10</v>
      </c>
      <c r="P45" s="173">
        <f t="shared" si="25"/>
        <v>7.7922077922077913</v>
      </c>
      <c r="Q45" s="173">
        <f t="shared" si="26"/>
        <v>3.7196541403392085</v>
      </c>
      <c r="R45" s="173">
        <f t="shared" si="27"/>
        <v>7.7922077922077913</v>
      </c>
    </row>
    <row r="46" spans="3:18">
      <c r="C46" s="170">
        <v>40</v>
      </c>
      <c r="D46" s="5">
        <f t="shared" si="28"/>
        <v>45.400000000000006</v>
      </c>
      <c r="E46" s="443">
        <f t="shared" si="15"/>
        <v>15.4</v>
      </c>
      <c r="F46" s="217">
        <f t="shared" si="16"/>
        <v>0.25328947368421051</v>
      </c>
      <c r="G46" s="172">
        <f t="shared" si="17"/>
        <v>287.48355263157896</v>
      </c>
      <c r="H46" s="217">
        <f t="shared" si="18"/>
        <v>19.165570175438596</v>
      </c>
      <c r="I46" s="443">
        <f t="shared" si="19"/>
        <v>60.800000000000004</v>
      </c>
      <c r="J46" s="172">
        <f t="shared" si="20"/>
        <v>1.35</v>
      </c>
      <c r="K46" s="172">
        <f t="shared" si="21"/>
        <v>0.35682819383259912</v>
      </c>
      <c r="L46" s="172">
        <f t="shared" si="22"/>
        <v>1.051948051948052</v>
      </c>
      <c r="M46" s="443">
        <f t="shared" si="14"/>
        <v>350</v>
      </c>
      <c r="N46" s="197">
        <f t="shared" si="23"/>
        <v>95.827850877192986</v>
      </c>
      <c r="O46" s="217">
        <f t="shared" si="24"/>
        <v>10</v>
      </c>
      <c r="P46" s="173">
        <f t="shared" si="25"/>
        <v>7.7922077922077913</v>
      </c>
      <c r="Q46" s="173">
        <f t="shared" si="26"/>
        <v>3.7335526315789473</v>
      </c>
      <c r="R46" s="173">
        <f t="shared" si="27"/>
        <v>7.7922077922077913</v>
      </c>
    </row>
    <row r="47" spans="3:18">
      <c r="C47" s="170">
        <v>41</v>
      </c>
      <c r="D47" s="5">
        <f t="shared" si="28"/>
        <v>46.06</v>
      </c>
      <c r="E47" s="443">
        <f t="shared" si="15"/>
        <v>15.4</v>
      </c>
      <c r="F47" s="217">
        <f t="shared" si="16"/>
        <v>0.25056947608200458</v>
      </c>
      <c r="G47" s="172">
        <f t="shared" si="17"/>
        <v>288.53075170842828</v>
      </c>
      <c r="H47" s="217">
        <f t="shared" si="18"/>
        <v>19.235383447228553</v>
      </c>
      <c r="I47" s="443">
        <f t="shared" si="19"/>
        <v>61.46</v>
      </c>
      <c r="J47" s="172">
        <f t="shared" si="20"/>
        <v>1.35</v>
      </c>
      <c r="K47" s="172">
        <f t="shared" si="21"/>
        <v>0.35171515414676513</v>
      </c>
      <c r="L47" s="172">
        <f t="shared" si="22"/>
        <v>1.051948051948052</v>
      </c>
      <c r="M47" s="443">
        <f t="shared" si="14"/>
        <v>350</v>
      </c>
      <c r="N47" s="197">
        <f t="shared" si="23"/>
        <v>96.176917236142742</v>
      </c>
      <c r="O47" s="217">
        <f t="shared" si="24"/>
        <v>10</v>
      </c>
      <c r="P47" s="173">
        <f t="shared" si="25"/>
        <v>7.7922077922077913</v>
      </c>
      <c r="Q47" s="173">
        <f t="shared" si="26"/>
        <v>3.7471526195899769</v>
      </c>
      <c r="R47" s="173">
        <f t="shared" si="27"/>
        <v>7.7922077922077913</v>
      </c>
    </row>
    <row r="48" spans="3:18">
      <c r="C48" s="170">
        <v>42</v>
      </c>
      <c r="D48" s="5">
        <f t="shared" si="28"/>
        <v>46.72</v>
      </c>
      <c r="E48" s="443">
        <f t="shared" si="15"/>
        <v>15.4</v>
      </c>
      <c r="F48" s="217">
        <f t="shared" si="16"/>
        <v>0.2479072762395364</v>
      </c>
      <c r="G48" s="172">
        <f t="shared" si="17"/>
        <v>289.55569864777851</v>
      </c>
      <c r="H48" s="217">
        <f t="shared" si="18"/>
        <v>19.303713243185236</v>
      </c>
      <c r="I48" s="443">
        <f t="shared" si="19"/>
        <v>62.12</v>
      </c>
      <c r="J48" s="172">
        <f t="shared" si="20"/>
        <v>1.35</v>
      </c>
      <c r="K48" s="172">
        <f t="shared" si="21"/>
        <v>0.34674657534246578</v>
      </c>
      <c r="L48" s="172">
        <f t="shared" si="22"/>
        <v>1.051948051948052</v>
      </c>
      <c r="M48" s="443">
        <f t="shared" si="14"/>
        <v>350</v>
      </c>
      <c r="N48" s="197">
        <f t="shared" si="23"/>
        <v>96.518566215926171</v>
      </c>
      <c r="O48" s="217">
        <f t="shared" si="24"/>
        <v>10</v>
      </c>
      <c r="P48" s="173">
        <f t="shared" si="25"/>
        <v>7.7922077922077913</v>
      </c>
      <c r="Q48" s="173">
        <f t="shared" si="26"/>
        <v>3.7604636188023184</v>
      </c>
      <c r="R48" s="173">
        <f t="shared" si="27"/>
        <v>7.7922077922077913</v>
      </c>
    </row>
    <row r="49" spans="3:18">
      <c r="C49" s="170">
        <v>43</v>
      </c>
      <c r="D49" s="5">
        <f t="shared" si="28"/>
        <v>47.379999999999995</v>
      </c>
      <c r="E49" s="443">
        <f t="shared" si="15"/>
        <v>15.4</v>
      </c>
      <c r="F49" s="217">
        <f t="shared" si="16"/>
        <v>0.24530105129021984</v>
      </c>
      <c r="G49" s="172">
        <f t="shared" si="17"/>
        <v>290.55909525326535</v>
      </c>
      <c r="H49" s="217">
        <f t="shared" si="18"/>
        <v>19.370606350217692</v>
      </c>
      <c r="I49" s="443">
        <f t="shared" si="19"/>
        <v>62.779999999999994</v>
      </c>
      <c r="J49" s="172">
        <f t="shared" si="20"/>
        <v>1.35</v>
      </c>
      <c r="K49" s="172">
        <f t="shared" si="21"/>
        <v>0.34191642043056147</v>
      </c>
      <c r="L49" s="172">
        <f t="shared" si="22"/>
        <v>1.051948051948052</v>
      </c>
      <c r="M49" s="443">
        <f t="shared" si="14"/>
        <v>350</v>
      </c>
      <c r="N49" s="197">
        <f t="shared" si="23"/>
        <v>96.853031751088466</v>
      </c>
      <c r="O49" s="217">
        <f t="shared" si="24"/>
        <v>10</v>
      </c>
      <c r="P49" s="173">
        <f t="shared" si="25"/>
        <v>7.7922077922077913</v>
      </c>
      <c r="Q49" s="173">
        <f t="shared" si="26"/>
        <v>3.773494743548901</v>
      </c>
      <c r="R49" s="173">
        <f t="shared" si="27"/>
        <v>7.7922077922077913</v>
      </c>
    </row>
    <row r="50" spans="3:18">
      <c r="C50" s="170">
        <v>44</v>
      </c>
      <c r="D50" s="5">
        <f t="shared" si="28"/>
        <v>48.04</v>
      </c>
      <c r="E50" s="443">
        <f t="shared" si="15"/>
        <v>15.4</v>
      </c>
      <c r="F50" s="217">
        <f t="shared" si="16"/>
        <v>0.24274905422446408</v>
      </c>
      <c r="G50" s="172">
        <f t="shared" si="17"/>
        <v>291.54161412358138</v>
      </c>
      <c r="H50" s="217">
        <f t="shared" si="18"/>
        <v>19.43610760823876</v>
      </c>
      <c r="I50" s="443">
        <f t="shared" si="19"/>
        <v>63.44</v>
      </c>
      <c r="J50" s="172">
        <f t="shared" si="20"/>
        <v>1.35</v>
      </c>
      <c r="K50" s="172">
        <f t="shared" si="21"/>
        <v>0.33721898417985013</v>
      </c>
      <c r="L50" s="172">
        <f t="shared" si="22"/>
        <v>1.051948051948052</v>
      </c>
      <c r="M50" s="443">
        <f t="shared" si="14"/>
        <v>350</v>
      </c>
      <c r="N50" s="197">
        <f t="shared" si="23"/>
        <v>97.18053804119377</v>
      </c>
      <c r="O50" s="217">
        <f t="shared" si="24"/>
        <v>10</v>
      </c>
      <c r="P50" s="173">
        <f t="shared" si="25"/>
        <v>7.7922077922077913</v>
      </c>
      <c r="Q50" s="173">
        <f t="shared" si="26"/>
        <v>3.7862547288776791</v>
      </c>
      <c r="R50" s="173">
        <f t="shared" si="27"/>
        <v>7.7922077922077913</v>
      </c>
    </row>
    <row r="51" spans="3:18">
      <c r="C51" s="170">
        <v>45</v>
      </c>
      <c r="D51" s="5">
        <f t="shared" si="28"/>
        <v>48.7</v>
      </c>
      <c r="E51" s="443">
        <f t="shared" si="15"/>
        <v>15.4</v>
      </c>
      <c r="F51" s="217">
        <f t="shared" si="16"/>
        <v>0.24024960998439934</v>
      </c>
      <c r="G51" s="172">
        <f t="shared" si="17"/>
        <v>292.50390015600624</v>
      </c>
      <c r="H51" s="217">
        <f t="shared" si="18"/>
        <v>19.500260010400417</v>
      </c>
      <c r="I51" s="443">
        <f t="shared" si="19"/>
        <v>64.100000000000009</v>
      </c>
      <c r="J51" s="172">
        <f t="shared" si="20"/>
        <v>1.35</v>
      </c>
      <c r="K51" s="172">
        <f t="shared" si="21"/>
        <v>0.3326488706365503</v>
      </c>
      <c r="L51" s="172">
        <f t="shared" si="22"/>
        <v>1.051948051948052</v>
      </c>
      <c r="M51" s="443">
        <f t="shared" si="14"/>
        <v>350</v>
      </c>
      <c r="N51" s="197">
        <f t="shared" si="23"/>
        <v>97.501300052002094</v>
      </c>
      <c r="O51" s="217">
        <f t="shared" si="24"/>
        <v>10</v>
      </c>
      <c r="P51" s="173">
        <f t="shared" si="25"/>
        <v>7.7922077922077913</v>
      </c>
      <c r="Q51" s="173">
        <f t="shared" si="26"/>
        <v>3.7987519500780036</v>
      </c>
      <c r="R51" s="173">
        <f t="shared" si="27"/>
        <v>7.7922077922077913</v>
      </c>
    </row>
    <row r="52" spans="3:18">
      <c r="C52" s="170">
        <v>46</v>
      </c>
      <c r="D52" s="5">
        <f t="shared" si="28"/>
        <v>49.36</v>
      </c>
      <c r="E52" s="443">
        <f t="shared" si="15"/>
        <v>15.4</v>
      </c>
      <c r="F52" s="217">
        <f t="shared" si="16"/>
        <v>0.23780111179740579</v>
      </c>
      <c r="G52" s="172">
        <f t="shared" si="17"/>
        <v>293.44657195799874</v>
      </c>
      <c r="H52" s="217">
        <f t="shared" si="18"/>
        <v>19.563104797199916</v>
      </c>
      <c r="I52" s="443">
        <f t="shared" si="19"/>
        <v>64.760000000000005</v>
      </c>
      <c r="J52" s="172">
        <f t="shared" si="20"/>
        <v>1.35</v>
      </c>
      <c r="K52" s="172">
        <f t="shared" si="21"/>
        <v>0.32820097244732582</v>
      </c>
      <c r="L52" s="172">
        <f t="shared" si="22"/>
        <v>1.051948051948052</v>
      </c>
      <c r="M52" s="443">
        <f t="shared" si="14"/>
        <v>350</v>
      </c>
      <c r="N52" s="197">
        <f t="shared" si="23"/>
        <v>97.81552398599959</v>
      </c>
      <c r="O52" s="217">
        <f t="shared" si="24"/>
        <v>10</v>
      </c>
      <c r="P52" s="173">
        <f t="shared" si="25"/>
        <v>7.7922077922077913</v>
      </c>
      <c r="Q52" s="173">
        <f t="shared" si="26"/>
        <v>3.810994441012971</v>
      </c>
      <c r="R52" s="173">
        <f t="shared" si="27"/>
        <v>7.7922077922077913</v>
      </c>
    </row>
    <row r="53" spans="3:18">
      <c r="C53" s="170">
        <v>47</v>
      </c>
      <c r="D53" s="5">
        <f t="shared" si="28"/>
        <v>50.019999999999996</v>
      </c>
      <c r="E53" s="443">
        <f t="shared" si="15"/>
        <v>15.4</v>
      </c>
      <c r="F53" s="217">
        <f t="shared" si="16"/>
        <v>0.23540201773158057</v>
      </c>
      <c r="G53" s="172">
        <f t="shared" si="17"/>
        <v>294.37022317334146</v>
      </c>
      <c r="H53" s="217">
        <f t="shared" si="18"/>
        <v>19.62468154488943</v>
      </c>
      <c r="I53" s="443">
        <f t="shared" si="19"/>
        <v>65.42</v>
      </c>
      <c r="J53" s="172">
        <f t="shared" si="20"/>
        <v>1.35</v>
      </c>
      <c r="K53" s="172">
        <f t="shared" si="21"/>
        <v>0.32387045181927232</v>
      </c>
      <c r="L53" s="172">
        <f t="shared" si="22"/>
        <v>1.051948051948052</v>
      </c>
      <c r="M53" s="443">
        <f t="shared" si="14"/>
        <v>350</v>
      </c>
      <c r="N53" s="197">
        <f t="shared" si="23"/>
        <v>98.123407724447162</v>
      </c>
      <c r="O53" s="217">
        <f t="shared" si="24"/>
        <v>10</v>
      </c>
      <c r="P53" s="173">
        <f t="shared" si="25"/>
        <v>7.7922077922077913</v>
      </c>
      <c r="Q53" s="173">
        <f t="shared" si="26"/>
        <v>3.8229899113420971</v>
      </c>
      <c r="R53" s="173">
        <f t="shared" si="27"/>
        <v>7.7922077922077913</v>
      </c>
    </row>
    <row r="54" spans="3:18">
      <c r="C54" s="170">
        <v>48</v>
      </c>
      <c r="D54" s="5">
        <f t="shared" si="28"/>
        <v>50.68</v>
      </c>
      <c r="E54" s="443">
        <f t="shared" si="15"/>
        <v>15.4</v>
      </c>
      <c r="F54" s="217">
        <f t="shared" si="16"/>
        <v>0.23305084745762714</v>
      </c>
      <c r="G54" s="172">
        <f t="shared" si="17"/>
        <v>295.27542372881356</v>
      </c>
      <c r="H54" s="217">
        <f t="shared" si="18"/>
        <v>19.685028248587571</v>
      </c>
      <c r="I54" s="443">
        <f t="shared" si="19"/>
        <v>66.08</v>
      </c>
      <c r="J54" s="172">
        <f t="shared" si="20"/>
        <v>1.35</v>
      </c>
      <c r="K54" s="172">
        <f t="shared" si="21"/>
        <v>0.31965272296764013</v>
      </c>
      <c r="L54" s="172">
        <f t="shared" si="22"/>
        <v>1.051948051948052</v>
      </c>
      <c r="M54" s="443">
        <f t="shared" si="14"/>
        <v>350</v>
      </c>
      <c r="N54" s="197">
        <f t="shared" si="23"/>
        <v>98.425141242937855</v>
      </c>
      <c r="O54" s="217">
        <f t="shared" si="24"/>
        <v>10.000000000000002</v>
      </c>
      <c r="P54" s="173">
        <f t="shared" si="25"/>
        <v>7.792207792207793</v>
      </c>
      <c r="Q54" s="173">
        <f t="shared" si="26"/>
        <v>3.8347457627118655</v>
      </c>
      <c r="R54" s="173">
        <f t="shared" si="27"/>
        <v>7.7922077922077913</v>
      </c>
    </row>
    <row r="55" spans="3:18">
      <c r="C55" s="170">
        <v>49</v>
      </c>
      <c r="D55" s="5">
        <f t="shared" si="28"/>
        <v>51.339999999999996</v>
      </c>
      <c r="E55" s="443">
        <f t="shared" si="15"/>
        <v>15.4</v>
      </c>
      <c r="F55" s="217">
        <f t="shared" si="16"/>
        <v>0.23074617920287685</v>
      </c>
      <c r="G55" s="172">
        <f t="shared" si="17"/>
        <v>296.16272100689241</v>
      </c>
      <c r="H55" s="217">
        <f t="shared" si="18"/>
        <v>19.744181400459492</v>
      </c>
      <c r="I55" s="443">
        <f t="shared" si="19"/>
        <v>66.739999999999995</v>
      </c>
      <c r="J55" s="172">
        <f t="shared" si="20"/>
        <v>1.35</v>
      </c>
      <c r="K55" s="172">
        <f t="shared" si="21"/>
        <v>0.31554343591741335</v>
      </c>
      <c r="L55" s="172">
        <f t="shared" si="22"/>
        <v>1.051948051948052</v>
      </c>
      <c r="M55" s="443">
        <f t="shared" si="14"/>
        <v>350</v>
      </c>
      <c r="N55" s="197">
        <f t="shared" si="23"/>
        <v>98.72090700229748</v>
      </c>
      <c r="O55" s="217">
        <f t="shared" si="24"/>
        <v>10</v>
      </c>
      <c r="P55" s="173">
        <f t="shared" si="25"/>
        <v>7.7922077922077913</v>
      </c>
      <c r="Q55" s="173">
        <f t="shared" si="26"/>
        <v>3.8462691039856161</v>
      </c>
      <c r="R55" s="173">
        <f t="shared" si="27"/>
        <v>7.7922077922077913</v>
      </c>
    </row>
    <row r="56" spans="3:18">
      <c r="C56" s="170">
        <v>50</v>
      </c>
      <c r="D56" s="5">
        <f t="shared" si="28"/>
        <v>52</v>
      </c>
      <c r="E56" s="443">
        <f t="shared" si="15"/>
        <v>15.4</v>
      </c>
      <c r="F56" s="217">
        <f t="shared" si="16"/>
        <v>0.22848664688427298</v>
      </c>
      <c r="G56" s="172">
        <f t="shared" si="17"/>
        <v>297.03264094955489</v>
      </c>
      <c r="H56" s="217">
        <f t="shared" si="18"/>
        <v>19.802176063303659</v>
      </c>
      <c r="I56" s="443">
        <f t="shared" si="19"/>
        <v>67.400000000000006</v>
      </c>
      <c r="J56" s="172">
        <f t="shared" si="20"/>
        <v>1.35</v>
      </c>
      <c r="K56" s="172">
        <f t="shared" si="21"/>
        <v>0.31153846153846154</v>
      </c>
      <c r="L56" s="172">
        <f t="shared" si="22"/>
        <v>1.051948051948052</v>
      </c>
      <c r="M56" s="443">
        <f t="shared" si="14"/>
        <v>350</v>
      </c>
      <c r="N56" s="197">
        <f t="shared" si="23"/>
        <v>99.01088031651831</v>
      </c>
      <c r="O56" s="217">
        <f t="shared" si="24"/>
        <v>10</v>
      </c>
      <c r="P56" s="173">
        <f t="shared" si="25"/>
        <v>7.7922077922077913</v>
      </c>
      <c r="Q56" s="173">
        <f t="shared" si="26"/>
        <v>3.857566765578635</v>
      </c>
      <c r="R56" s="173">
        <f t="shared" si="27"/>
        <v>7.7922077922077913</v>
      </c>
    </row>
    <row r="57" spans="3:18">
      <c r="C57" s="170">
        <v>51</v>
      </c>
      <c r="D57" s="5">
        <f t="shared" si="28"/>
        <v>52.660000000000004</v>
      </c>
      <c r="E57" s="443">
        <f t="shared" si="15"/>
        <v>15.4</v>
      </c>
      <c r="F57" s="217">
        <f t="shared" si="16"/>
        <v>0.22627093740816925</v>
      </c>
      <c r="G57" s="172">
        <f t="shared" si="17"/>
        <v>297.88568909785482</v>
      </c>
      <c r="H57" s="217">
        <f t="shared" si="18"/>
        <v>19.859045939856987</v>
      </c>
      <c r="I57" s="443">
        <f t="shared" si="19"/>
        <v>68.06</v>
      </c>
      <c r="J57" s="172">
        <f t="shared" si="20"/>
        <v>1.35</v>
      </c>
      <c r="K57" s="172">
        <f t="shared" si="21"/>
        <v>0.30763387770603873</v>
      </c>
      <c r="L57" s="172">
        <f t="shared" si="22"/>
        <v>1.051948051948052</v>
      </c>
      <c r="M57" s="443">
        <f t="shared" si="14"/>
        <v>350</v>
      </c>
      <c r="N57" s="197">
        <f t="shared" si="23"/>
        <v>99.295229699284945</v>
      </c>
      <c r="O57" s="217">
        <f t="shared" si="24"/>
        <v>10</v>
      </c>
      <c r="P57" s="173">
        <f t="shared" si="25"/>
        <v>7.7922077922077913</v>
      </c>
      <c r="Q57" s="173">
        <f t="shared" si="26"/>
        <v>3.8686453129591536</v>
      </c>
      <c r="R57" s="173">
        <f t="shared" si="27"/>
        <v>7.7922077922077913</v>
      </c>
    </row>
    <row r="58" spans="3:18">
      <c r="C58" s="170">
        <v>52</v>
      </c>
      <c r="D58" s="5">
        <f t="shared" si="28"/>
        <v>53.32</v>
      </c>
      <c r="E58" s="443">
        <f t="shared" si="15"/>
        <v>15.4</v>
      </c>
      <c r="F58" s="217">
        <f t="shared" si="16"/>
        <v>0.22409778812572759</v>
      </c>
      <c r="G58" s="172">
        <f t="shared" si="17"/>
        <v>298.72235157159486</v>
      </c>
      <c r="H58" s="217">
        <f t="shared" si="18"/>
        <v>19.914823438106325</v>
      </c>
      <c r="I58" s="443">
        <f t="shared" si="19"/>
        <v>68.72</v>
      </c>
      <c r="J58" s="172">
        <f t="shared" si="20"/>
        <v>1.35</v>
      </c>
      <c r="K58" s="172">
        <f t="shared" si="21"/>
        <v>0.30382595648912231</v>
      </c>
      <c r="L58" s="172">
        <f t="shared" si="22"/>
        <v>1.051948051948052</v>
      </c>
      <c r="M58" s="443">
        <f t="shared" si="14"/>
        <v>350</v>
      </c>
      <c r="N58" s="197">
        <f t="shared" si="23"/>
        <v>99.574117190531638</v>
      </c>
      <c r="O58" s="217">
        <f t="shared" si="24"/>
        <v>10</v>
      </c>
      <c r="P58" s="173">
        <f t="shared" si="25"/>
        <v>7.7922077922077913</v>
      </c>
      <c r="Q58" s="173">
        <f t="shared" si="26"/>
        <v>3.879511059371362</v>
      </c>
      <c r="R58" s="173">
        <f t="shared" si="27"/>
        <v>7.7922077922077913</v>
      </c>
    </row>
    <row r="59" spans="3:18">
      <c r="C59" s="170">
        <v>53</v>
      </c>
      <c r="D59" s="5">
        <f t="shared" si="28"/>
        <v>53.980000000000004</v>
      </c>
      <c r="E59" s="443">
        <f t="shared" si="15"/>
        <v>15.4</v>
      </c>
      <c r="F59" s="217">
        <f t="shared" si="16"/>
        <v>0.22196598443355431</v>
      </c>
      <c r="G59" s="172">
        <f t="shared" si="17"/>
        <v>299.54309599308158</v>
      </c>
      <c r="H59" s="217">
        <f t="shared" si="18"/>
        <v>19.969539732872104</v>
      </c>
      <c r="I59" s="443">
        <f t="shared" si="19"/>
        <v>69.38000000000001</v>
      </c>
      <c r="J59" s="172">
        <f t="shared" si="20"/>
        <v>1.35</v>
      </c>
      <c r="K59" s="172">
        <f t="shared" si="21"/>
        <v>0.30011115227862167</v>
      </c>
      <c r="L59" s="172">
        <f t="shared" si="22"/>
        <v>1.051948051948052</v>
      </c>
      <c r="M59" s="443">
        <f t="shared" si="14"/>
        <v>350</v>
      </c>
      <c r="N59" s="197">
        <f t="shared" si="23"/>
        <v>99.847698664360536</v>
      </c>
      <c r="O59" s="217">
        <f t="shared" si="24"/>
        <v>10</v>
      </c>
      <c r="P59" s="173">
        <f t="shared" si="25"/>
        <v>7.7922077922077913</v>
      </c>
      <c r="Q59" s="173">
        <f t="shared" si="26"/>
        <v>3.8901700778322281</v>
      </c>
      <c r="R59" s="173">
        <f t="shared" si="27"/>
        <v>7.7922077922077913</v>
      </c>
    </row>
    <row r="60" spans="3:18">
      <c r="C60" s="170">
        <v>54</v>
      </c>
      <c r="D60" s="5">
        <f t="shared" si="28"/>
        <v>54.64</v>
      </c>
      <c r="E60" s="443">
        <f t="shared" si="15"/>
        <v>15.4</v>
      </c>
      <c r="F60" s="217">
        <f t="shared" si="16"/>
        <v>0.21987435750999426</v>
      </c>
      <c r="G60" s="172">
        <f t="shared" si="17"/>
        <v>300.34837235865217</v>
      </c>
      <c r="H60" s="217">
        <f t="shared" si="18"/>
        <v>20.023224823910144</v>
      </c>
      <c r="I60" s="443">
        <f t="shared" si="19"/>
        <v>70.040000000000006</v>
      </c>
      <c r="J60" s="172">
        <f t="shared" si="20"/>
        <v>1.35</v>
      </c>
      <c r="K60" s="172">
        <f t="shared" si="21"/>
        <v>0.29648609077598831</v>
      </c>
      <c r="L60" s="172">
        <f t="shared" si="22"/>
        <v>1.051948051948052</v>
      </c>
      <c r="M60" s="443">
        <f t="shared" si="14"/>
        <v>350</v>
      </c>
      <c r="N60" s="197">
        <f t="shared" si="23"/>
        <v>100.11612411955073</v>
      </c>
      <c r="O60" s="217">
        <f t="shared" si="24"/>
        <v>10</v>
      </c>
      <c r="P60" s="173">
        <f t="shared" si="25"/>
        <v>7.7922077922077913</v>
      </c>
      <c r="Q60" s="173">
        <f t="shared" si="26"/>
        <v>3.9006282124500284</v>
      </c>
      <c r="R60" s="173">
        <f t="shared" si="27"/>
        <v>7.7922077922077913</v>
      </c>
    </row>
    <row r="61" spans="3:18">
      <c r="C61" s="170">
        <v>55</v>
      </c>
      <c r="D61" s="5">
        <f t="shared" si="28"/>
        <v>55.300000000000004</v>
      </c>
      <c r="E61" s="443">
        <f t="shared" si="15"/>
        <v>15.4</v>
      </c>
      <c r="F61" s="217">
        <f t="shared" si="16"/>
        <v>0.21782178217821782</v>
      </c>
      <c r="G61" s="172">
        <f t="shared" si="17"/>
        <v>301.13861386138615</v>
      </c>
      <c r="H61" s="217">
        <f t="shared" si="18"/>
        <v>20.075907590759076</v>
      </c>
      <c r="I61" s="443">
        <f t="shared" si="19"/>
        <v>70.7</v>
      </c>
      <c r="J61" s="172">
        <f t="shared" si="20"/>
        <v>1.35</v>
      </c>
      <c r="K61" s="172">
        <f t="shared" si="21"/>
        <v>0.29294755877034356</v>
      </c>
      <c r="L61" s="172">
        <f t="shared" si="22"/>
        <v>1.051948051948052</v>
      </c>
      <c r="M61" s="443">
        <f t="shared" si="14"/>
        <v>350</v>
      </c>
      <c r="N61" s="197">
        <f t="shared" si="23"/>
        <v>100.37953795379539</v>
      </c>
      <c r="O61" s="217">
        <f t="shared" si="24"/>
        <v>10</v>
      </c>
      <c r="P61" s="173">
        <f t="shared" si="25"/>
        <v>7.7922077922077913</v>
      </c>
      <c r="Q61" s="173">
        <f t="shared" si="26"/>
        <v>3.9108910891089113</v>
      </c>
      <c r="R61" s="173">
        <f t="shared" si="27"/>
        <v>7.7922077922077913</v>
      </c>
    </row>
    <row r="62" spans="3:18">
      <c r="C62" s="170">
        <v>56</v>
      </c>
      <c r="D62" s="5">
        <f t="shared" si="28"/>
        <v>55.96</v>
      </c>
      <c r="E62" s="443">
        <f t="shared" si="15"/>
        <v>15.4</v>
      </c>
      <c r="F62" s="217">
        <f t="shared" si="16"/>
        <v>0.21580717488789239</v>
      </c>
      <c r="G62" s="172">
        <f t="shared" si="17"/>
        <v>301.91423766816149</v>
      </c>
      <c r="H62" s="217">
        <f t="shared" si="18"/>
        <v>20.127615844544099</v>
      </c>
      <c r="I62" s="443">
        <f t="shared" si="19"/>
        <v>71.36</v>
      </c>
      <c r="J62" s="172">
        <f t="shared" si="20"/>
        <v>1.35</v>
      </c>
      <c r="K62" s="172">
        <f t="shared" si="21"/>
        <v>0.28949249463902788</v>
      </c>
      <c r="L62" s="172">
        <f t="shared" si="22"/>
        <v>1.051948051948052</v>
      </c>
      <c r="M62" s="443">
        <f t="shared" si="14"/>
        <v>350</v>
      </c>
      <c r="N62" s="197">
        <f t="shared" si="23"/>
        <v>100.63807922272049</v>
      </c>
      <c r="O62" s="217">
        <f t="shared" si="24"/>
        <v>10</v>
      </c>
      <c r="P62" s="173">
        <f t="shared" si="25"/>
        <v>7.7922077922077913</v>
      </c>
      <c r="Q62" s="173">
        <f t="shared" si="26"/>
        <v>3.9209641255605385</v>
      </c>
      <c r="R62" s="173">
        <f t="shared" si="27"/>
        <v>7.7922077922077913</v>
      </c>
    </row>
    <row r="63" spans="3:18">
      <c r="C63" s="170">
        <v>57</v>
      </c>
      <c r="D63" s="5">
        <f t="shared" si="28"/>
        <v>56.62</v>
      </c>
      <c r="E63" s="443">
        <f t="shared" si="15"/>
        <v>15.4</v>
      </c>
      <c r="F63" s="217">
        <f t="shared" si="16"/>
        <v>0.21382949180783117</v>
      </c>
      <c r="G63" s="172">
        <f t="shared" si="17"/>
        <v>302.67564565398504</v>
      </c>
      <c r="H63" s="217">
        <f t="shared" si="18"/>
        <v>20.178376376932338</v>
      </c>
      <c r="I63" s="443">
        <f t="shared" si="19"/>
        <v>72.02</v>
      </c>
      <c r="J63" s="172">
        <f t="shared" si="20"/>
        <v>1.35</v>
      </c>
      <c r="K63" s="172">
        <f t="shared" si="21"/>
        <v>0.28611797951253976</v>
      </c>
      <c r="L63" s="172">
        <f t="shared" si="22"/>
        <v>1.051948051948052</v>
      </c>
      <c r="M63" s="443">
        <f t="shared" si="14"/>
        <v>350</v>
      </c>
      <c r="N63" s="197">
        <f t="shared" si="23"/>
        <v>100.89188188466167</v>
      </c>
      <c r="O63" s="217">
        <f t="shared" si="24"/>
        <v>10</v>
      </c>
      <c r="P63" s="173">
        <f t="shared" si="25"/>
        <v>7.7922077922077913</v>
      </c>
      <c r="Q63" s="173">
        <f t="shared" si="26"/>
        <v>3.9308525409608444</v>
      </c>
      <c r="R63" s="173">
        <f t="shared" si="27"/>
        <v>7.7922077922077913</v>
      </c>
    </row>
    <row r="64" spans="3:18">
      <c r="C64" s="170">
        <v>58</v>
      </c>
      <c r="D64" s="5">
        <f t="shared" si="28"/>
        <v>57.279999999999994</v>
      </c>
      <c r="E64" s="443">
        <f t="shared" si="15"/>
        <v>15.4</v>
      </c>
      <c r="F64" s="217">
        <f t="shared" si="16"/>
        <v>0.2118877270225647</v>
      </c>
      <c r="G64" s="172">
        <f t="shared" si="17"/>
        <v>303.42322509631259</v>
      </c>
      <c r="H64" s="217">
        <f t="shared" si="18"/>
        <v>20.228215006420839</v>
      </c>
      <c r="I64" s="443">
        <f t="shared" si="19"/>
        <v>72.679999999999993</v>
      </c>
      <c r="J64" s="172">
        <f t="shared" si="20"/>
        <v>1.35</v>
      </c>
      <c r="K64" s="172">
        <f t="shared" si="21"/>
        <v>0.2828212290502794</v>
      </c>
      <c r="L64" s="172">
        <f t="shared" si="22"/>
        <v>1.051948051948052</v>
      </c>
      <c r="M64" s="443">
        <f t="shared" si="14"/>
        <v>350</v>
      </c>
      <c r="N64" s="197">
        <f t="shared" si="23"/>
        <v>101.14107503210421</v>
      </c>
      <c r="O64" s="217">
        <f t="shared" si="24"/>
        <v>10</v>
      </c>
      <c r="P64" s="173">
        <f t="shared" si="25"/>
        <v>7.7922077922077913</v>
      </c>
      <c r="Q64" s="173">
        <f t="shared" si="26"/>
        <v>3.9405613648871767</v>
      </c>
      <c r="R64" s="173">
        <f t="shared" si="27"/>
        <v>7.7922077922077913</v>
      </c>
    </row>
    <row r="65" spans="3:18">
      <c r="C65" s="170">
        <v>59</v>
      </c>
      <c r="D65" s="5">
        <f t="shared" si="28"/>
        <v>57.94</v>
      </c>
      <c r="E65" s="443">
        <f t="shared" si="15"/>
        <v>15.4</v>
      </c>
      <c r="F65" s="217">
        <f t="shared" si="16"/>
        <v>0.2099809108262885</v>
      </c>
      <c r="G65" s="172">
        <f t="shared" si="17"/>
        <v>304.15734933187889</v>
      </c>
      <c r="H65" s="217">
        <f t="shared" si="18"/>
        <v>20.277156622125258</v>
      </c>
      <c r="I65" s="443">
        <f t="shared" si="19"/>
        <v>73.34</v>
      </c>
      <c r="J65" s="172">
        <f t="shared" si="20"/>
        <v>1.35</v>
      </c>
      <c r="K65" s="172">
        <f t="shared" si="21"/>
        <v>0.2795995857783915</v>
      </c>
      <c r="L65" s="172">
        <f t="shared" si="22"/>
        <v>1.051948051948052</v>
      </c>
      <c r="M65" s="443">
        <f t="shared" si="14"/>
        <v>350</v>
      </c>
      <c r="N65" s="197">
        <f t="shared" si="23"/>
        <v>101.38578311062632</v>
      </c>
      <c r="O65" s="217">
        <f t="shared" si="24"/>
        <v>9.9999999999999982</v>
      </c>
      <c r="P65" s="173">
        <f t="shared" si="25"/>
        <v>7.7922077922077895</v>
      </c>
      <c r="Q65" s="173">
        <f t="shared" si="26"/>
        <v>3.9500954458685555</v>
      </c>
      <c r="R65" s="173">
        <f t="shared" si="27"/>
        <v>7.7922077922077913</v>
      </c>
    </row>
    <row r="66" spans="3:18">
      <c r="C66" s="170">
        <v>60</v>
      </c>
      <c r="D66" s="5">
        <f t="shared" si="28"/>
        <v>58.6</v>
      </c>
      <c r="E66" s="443">
        <f t="shared" si="15"/>
        <v>15.4</v>
      </c>
      <c r="F66" s="217">
        <f t="shared" si="16"/>
        <v>0.20810810810810812</v>
      </c>
      <c r="G66" s="172">
        <f t="shared" si="17"/>
        <v>304.87837837837839</v>
      </c>
      <c r="H66" s="217">
        <f t="shared" si="18"/>
        <v>20.325225225225225</v>
      </c>
      <c r="I66" s="443">
        <f t="shared" si="19"/>
        <v>74</v>
      </c>
      <c r="J66" s="172">
        <f t="shared" si="20"/>
        <v>1.35</v>
      </c>
      <c r="K66" s="172">
        <f t="shared" si="21"/>
        <v>0.2764505119453925</v>
      </c>
      <c r="L66" s="172">
        <f t="shared" si="22"/>
        <v>1.051948051948052</v>
      </c>
      <c r="M66" s="443">
        <f t="shared" si="14"/>
        <v>350</v>
      </c>
      <c r="N66" s="197">
        <f t="shared" si="23"/>
        <v>101.62612612612614</v>
      </c>
      <c r="O66" s="217">
        <f t="shared" si="24"/>
        <v>9.9999999999999982</v>
      </c>
      <c r="P66" s="173">
        <f t="shared" si="25"/>
        <v>7.7922077922077895</v>
      </c>
      <c r="Q66" s="173">
        <f t="shared" si="26"/>
        <v>3.9594594594594574</v>
      </c>
      <c r="R66" s="173">
        <f t="shared" si="27"/>
        <v>7.7922077922077913</v>
      </c>
    </row>
    <row r="67" spans="3:18">
      <c r="C67" s="170">
        <v>61</v>
      </c>
      <c r="D67" s="5">
        <f t="shared" si="28"/>
        <v>59.26</v>
      </c>
      <c r="E67" s="443">
        <f t="shared" si="15"/>
        <v>15.4</v>
      </c>
      <c r="F67" s="217">
        <f t="shared" si="16"/>
        <v>0.20626841682293062</v>
      </c>
      <c r="G67" s="172">
        <f t="shared" si="17"/>
        <v>305.5866595231717</v>
      </c>
      <c r="H67" s="217">
        <f t="shared" si="18"/>
        <v>20.372443968211446</v>
      </c>
      <c r="I67" s="443">
        <f t="shared" si="19"/>
        <v>74.66</v>
      </c>
      <c r="J67" s="172">
        <f t="shared" si="20"/>
        <v>1.35</v>
      </c>
      <c r="K67" s="172">
        <f t="shared" si="21"/>
        <v>0.27337158285521435</v>
      </c>
      <c r="L67" s="172">
        <f t="shared" si="22"/>
        <v>1.051948051948052</v>
      </c>
      <c r="M67" s="443">
        <f t="shared" si="14"/>
        <v>350</v>
      </c>
      <c r="N67" s="197">
        <f t="shared" si="23"/>
        <v>101.86221984105725</v>
      </c>
      <c r="O67" s="217">
        <f t="shared" si="24"/>
        <v>9.9999999999999982</v>
      </c>
      <c r="P67" s="173">
        <f t="shared" si="25"/>
        <v>7.7922077922077895</v>
      </c>
      <c r="Q67" s="173">
        <f t="shared" si="26"/>
        <v>3.9686579158853452</v>
      </c>
      <c r="R67" s="173">
        <f t="shared" si="27"/>
        <v>7.7922077922077913</v>
      </c>
    </row>
    <row r="68" spans="3:18">
      <c r="C68" s="170">
        <v>62</v>
      </c>
      <c r="D68" s="5">
        <f t="shared" si="28"/>
        <v>59.92</v>
      </c>
      <c r="E68" s="443">
        <f t="shared" si="15"/>
        <v>15.4</v>
      </c>
      <c r="F68" s="217">
        <f t="shared" si="16"/>
        <v>0.20446096654275092</v>
      </c>
      <c r="G68" s="172">
        <f t="shared" si="17"/>
        <v>306.28252788104089</v>
      </c>
      <c r="H68" s="217">
        <f t="shared" si="18"/>
        <v>20.418835192069391</v>
      </c>
      <c r="I68" s="443">
        <f t="shared" si="19"/>
        <v>75.320000000000007</v>
      </c>
      <c r="J68" s="172">
        <f t="shared" si="20"/>
        <v>1.35</v>
      </c>
      <c r="K68" s="172">
        <f t="shared" si="21"/>
        <v>0.27036048064085449</v>
      </c>
      <c r="L68" s="172">
        <f t="shared" si="22"/>
        <v>1.051948051948052</v>
      </c>
      <c r="M68" s="443">
        <f t="shared" si="14"/>
        <v>350</v>
      </c>
      <c r="N68" s="197">
        <f t="shared" si="23"/>
        <v>102.09417596034696</v>
      </c>
      <c r="O68" s="217">
        <f t="shared" si="24"/>
        <v>10</v>
      </c>
      <c r="P68" s="173">
        <f t="shared" si="25"/>
        <v>7.7922077922077913</v>
      </c>
      <c r="Q68" s="173">
        <f t="shared" si="26"/>
        <v>3.9776951672862451</v>
      </c>
      <c r="R68" s="173">
        <f t="shared" si="27"/>
        <v>7.7922077922077913</v>
      </c>
    </row>
    <row r="69" spans="3:18">
      <c r="C69" s="170">
        <v>63</v>
      </c>
      <c r="D69" s="5">
        <f t="shared" si="28"/>
        <v>60.58</v>
      </c>
      <c r="E69" s="443">
        <f t="shared" si="15"/>
        <v>15.4</v>
      </c>
      <c r="F69" s="217">
        <f t="shared" si="16"/>
        <v>0.20268491708344299</v>
      </c>
      <c r="G69" s="172">
        <f t="shared" si="17"/>
        <v>306.96630692287437</v>
      </c>
      <c r="H69" s="217">
        <f t="shared" si="18"/>
        <v>20.464420461524959</v>
      </c>
      <c r="I69" s="443">
        <f t="shared" si="19"/>
        <v>75.98</v>
      </c>
      <c r="J69" s="172">
        <f t="shared" si="20"/>
        <v>1.35</v>
      </c>
      <c r="K69" s="172">
        <f t="shared" si="21"/>
        <v>0.26741498844503142</v>
      </c>
      <c r="L69" s="172">
        <f t="shared" si="22"/>
        <v>1.051948051948052</v>
      </c>
      <c r="M69" s="443">
        <f t="shared" si="14"/>
        <v>350</v>
      </c>
      <c r="N69" s="197">
        <f t="shared" si="23"/>
        <v>102.3221023076248</v>
      </c>
      <c r="O69" s="217">
        <f t="shared" si="24"/>
        <v>10</v>
      </c>
      <c r="P69" s="173">
        <f t="shared" si="25"/>
        <v>7.7922077922077913</v>
      </c>
      <c r="Q69" s="173">
        <f t="shared" si="26"/>
        <v>3.9865754145827843</v>
      </c>
      <c r="R69" s="173">
        <f t="shared" si="27"/>
        <v>7.7922077922077913</v>
      </c>
    </row>
    <row r="70" spans="3:18">
      <c r="C70" s="170">
        <v>64</v>
      </c>
      <c r="D70" s="5">
        <f t="shared" si="28"/>
        <v>61.24</v>
      </c>
      <c r="E70" s="443">
        <f t="shared" ref="E70:E106" si="29">(Vout+Vfwd1)*Nps</f>
        <v>15.4</v>
      </c>
      <c r="F70" s="217">
        <f t="shared" ref="F70:F106" si="30">(Vout+Vfwd1)*Nps/((Vout+Vfwd1)*Nps+D70)</f>
        <v>0.20093945720250522</v>
      </c>
      <c r="G70" s="172">
        <f t="shared" ref="G70:G101" si="31">F70*D70*Isw_max*0.5*Efficiency</f>
        <v>307.63830897703548</v>
      </c>
      <c r="H70" s="217">
        <f t="shared" ref="H70:H101" si="32">G70/Vout</f>
        <v>20.509220598469032</v>
      </c>
      <c r="I70" s="443">
        <f t="shared" ref="I70:I106" si="33">(Vout+Vfwd1)*Nps+D70</f>
        <v>76.64</v>
      </c>
      <c r="J70" s="172">
        <f t="shared" ref="J70:J106" si="34">MIN(2*Vout*Iout/(Efficiency*D70*F70), 1.35)</f>
        <v>1.35</v>
      </c>
      <c r="K70" s="172">
        <f t="shared" ref="K70:K101" si="35">L*J70/D70*1000000</f>
        <v>0.26453298497713912</v>
      </c>
      <c r="L70" s="172">
        <f t="shared" ref="L70:L106" si="36">L*J70/((Vout+Vfwd1)*Nps)*1000000</f>
        <v>1.051948051948052</v>
      </c>
      <c r="M70" s="443">
        <f t="shared" si="14"/>
        <v>350</v>
      </c>
      <c r="N70" s="197">
        <f t="shared" ref="N70:N106" si="37">IF(1/((350000*L)*(1/D70+1/E70))&gt;Isw_min, 350, 0.001/((Isw_min*L)*(1/D70+1/E70)))</f>
        <v>102.54610299234517</v>
      </c>
      <c r="O70" s="217">
        <f t="shared" ref="O70:O101" si="38">1/((N70*1000*L)*(1/D70+1/E70))</f>
        <v>10</v>
      </c>
      <c r="P70" s="173">
        <f t="shared" ref="P70:P101" si="39">L*O70/E70*1000000</f>
        <v>7.7922077922077913</v>
      </c>
      <c r="Q70" s="173">
        <f t="shared" ref="Q70:Q101" si="40">0.5*P70*O70*Nps*N70/1000</f>
        <v>3.9953027139874737</v>
      </c>
      <c r="R70" s="173">
        <f t="shared" ref="R70:R106" si="41">L*Isw_min/E70*1000000</f>
        <v>7.7922077922077913</v>
      </c>
    </row>
    <row r="71" spans="3:18">
      <c r="C71" s="170">
        <v>65</v>
      </c>
      <c r="D71" s="5">
        <f t="shared" ref="D71:D102" si="42">C71/100*(VIN_max-VIN_min)+VIN_min</f>
        <v>61.9</v>
      </c>
      <c r="E71" s="443">
        <f t="shared" si="29"/>
        <v>15.4</v>
      </c>
      <c r="F71" s="217">
        <f t="shared" si="30"/>
        <v>0.19922380336351878</v>
      </c>
      <c r="G71" s="172">
        <f t="shared" si="31"/>
        <v>308.29883570504529</v>
      </c>
      <c r="H71" s="217">
        <f t="shared" si="32"/>
        <v>20.553255713669685</v>
      </c>
      <c r="I71" s="443">
        <f t="shared" si="33"/>
        <v>77.3</v>
      </c>
      <c r="J71" s="172">
        <f t="shared" si="34"/>
        <v>1.35</v>
      </c>
      <c r="K71" s="172">
        <f t="shared" si="35"/>
        <v>0.26171243941841682</v>
      </c>
      <c r="L71" s="172">
        <f t="shared" si="36"/>
        <v>1.051948051948052</v>
      </c>
      <c r="M71" s="443">
        <f t="shared" ref="M71:M106" si="43">MIN(1/(K71+L71)*1000, 350)</f>
        <v>350</v>
      </c>
      <c r="N71" s="197">
        <f t="shared" si="37"/>
        <v>102.76627856834844</v>
      </c>
      <c r="O71" s="217">
        <f t="shared" si="38"/>
        <v>9.9999999999999982</v>
      </c>
      <c r="P71" s="173">
        <f t="shared" si="39"/>
        <v>7.7922077922077895</v>
      </c>
      <c r="Q71" s="173">
        <f t="shared" si="40"/>
        <v>4.0038809831824045</v>
      </c>
      <c r="R71" s="173">
        <f t="shared" si="41"/>
        <v>7.7922077922077913</v>
      </c>
    </row>
    <row r="72" spans="3:18">
      <c r="C72" s="170">
        <v>66</v>
      </c>
      <c r="D72" s="5">
        <f t="shared" si="42"/>
        <v>62.56</v>
      </c>
      <c r="E72" s="443">
        <f t="shared" si="29"/>
        <v>15.4</v>
      </c>
      <c r="F72" s="217">
        <f t="shared" si="30"/>
        <v>0.19753719856336582</v>
      </c>
      <c r="G72" s="172">
        <f t="shared" si="31"/>
        <v>308.94817855310419</v>
      </c>
      <c r="H72" s="217">
        <f t="shared" si="32"/>
        <v>20.596545236873613</v>
      </c>
      <c r="I72" s="443">
        <f t="shared" si="33"/>
        <v>77.960000000000008</v>
      </c>
      <c r="J72" s="172">
        <f t="shared" si="34"/>
        <v>1.35</v>
      </c>
      <c r="K72" s="172">
        <f t="shared" si="35"/>
        <v>0.25895140664961636</v>
      </c>
      <c r="L72" s="172">
        <f t="shared" si="36"/>
        <v>1.051948051948052</v>
      </c>
      <c r="M72" s="443">
        <f t="shared" si="43"/>
        <v>350</v>
      </c>
      <c r="N72" s="197">
        <f t="shared" si="37"/>
        <v>102.98272618436806</v>
      </c>
      <c r="O72" s="217">
        <f t="shared" si="38"/>
        <v>10</v>
      </c>
      <c r="P72" s="173">
        <f t="shared" si="39"/>
        <v>7.7922077922077913</v>
      </c>
      <c r="Q72" s="173">
        <f t="shared" si="40"/>
        <v>4.0123140071831704</v>
      </c>
      <c r="R72" s="173">
        <f t="shared" si="41"/>
        <v>7.7922077922077913</v>
      </c>
    </row>
    <row r="73" spans="3:18">
      <c r="C73" s="170">
        <v>67</v>
      </c>
      <c r="D73" s="5">
        <f t="shared" si="42"/>
        <v>63.220000000000006</v>
      </c>
      <c r="E73" s="443">
        <f t="shared" si="29"/>
        <v>15.4</v>
      </c>
      <c r="F73" s="217">
        <f t="shared" si="30"/>
        <v>0.19587891121851944</v>
      </c>
      <c r="G73" s="172">
        <f t="shared" si="31"/>
        <v>309.58661918087</v>
      </c>
      <c r="H73" s="217">
        <f t="shared" si="32"/>
        <v>20.639107945391334</v>
      </c>
      <c r="I73" s="443">
        <f t="shared" si="33"/>
        <v>78.62</v>
      </c>
      <c r="J73" s="172">
        <f t="shared" si="34"/>
        <v>1.35</v>
      </c>
      <c r="K73" s="172">
        <f t="shared" si="35"/>
        <v>0.25624802277760206</v>
      </c>
      <c r="L73" s="172">
        <f t="shared" si="36"/>
        <v>1.051948051948052</v>
      </c>
      <c r="M73" s="443">
        <f t="shared" si="43"/>
        <v>350</v>
      </c>
      <c r="N73" s="197">
        <f t="shared" si="37"/>
        <v>103.19553972695668</v>
      </c>
      <c r="O73" s="217">
        <f t="shared" si="38"/>
        <v>10</v>
      </c>
      <c r="P73" s="173">
        <f t="shared" si="39"/>
        <v>7.7922077922077913</v>
      </c>
      <c r="Q73" s="173">
        <f t="shared" si="40"/>
        <v>4.020605443907403</v>
      </c>
      <c r="R73" s="173">
        <f t="shared" si="41"/>
        <v>7.7922077922077913</v>
      </c>
    </row>
    <row r="74" spans="3:18">
      <c r="C74" s="170">
        <v>68</v>
      </c>
      <c r="D74" s="5">
        <f t="shared" si="42"/>
        <v>63.88</v>
      </c>
      <c r="E74" s="443">
        <f t="shared" si="29"/>
        <v>15.4</v>
      </c>
      <c r="F74" s="217">
        <f t="shared" si="30"/>
        <v>0.19424823410696265</v>
      </c>
      <c r="G74" s="172">
        <f t="shared" si="31"/>
        <v>310.21442986881937</v>
      </c>
      <c r="H74" s="217">
        <f t="shared" si="32"/>
        <v>20.680961991254623</v>
      </c>
      <c r="I74" s="443">
        <f t="shared" si="33"/>
        <v>79.28</v>
      </c>
      <c r="J74" s="172">
        <f t="shared" si="34"/>
        <v>1.35</v>
      </c>
      <c r="K74" s="172">
        <f t="shared" si="35"/>
        <v>0.25360050093926112</v>
      </c>
      <c r="L74" s="172">
        <f t="shared" si="36"/>
        <v>1.051948051948052</v>
      </c>
      <c r="M74" s="443">
        <f t="shared" si="43"/>
        <v>350</v>
      </c>
      <c r="N74" s="197">
        <f t="shared" si="37"/>
        <v>103.40480995627314</v>
      </c>
      <c r="O74" s="217">
        <f t="shared" si="38"/>
        <v>10</v>
      </c>
      <c r="P74" s="173">
        <f t="shared" si="39"/>
        <v>7.7922077922077913</v>
      </c>
      <c r="Q74" s="173">
        <f t="shared" si="40"/>
        <v>4.028758829465187</v>
      </c>
      <c r="R74" s="173">
        <f t="shared" si="41"/>
        <v>7.7922077922077913</v>
      </c>
    </row>
    <row r="75" spans="3:18">
      <c r="C75" s="170">
        <v>69</v>
      </c>
      <c r="D75" s="5">
        <f t="shared" si="42"/>
        <v>64.539999999999992</v>
      </c>
      <c r="E75" s="443">
        <f t="shared" si="29"/>
        <v>15.4</v>
      </c>
      <c r="F75" s="217">
        <f t="shared" si="30"/>
        <v>0.19264448336252191</v>
      </c>
      <c r="G75" s="172">
        <f t="shared" si="31"/>
        <v>310.83187390542906</v>
      </c>
      <c r="H75" s="217">
        <f t="shared" si="32"/>
        <v>20.722124927028606</v>
      </c>
      <c r="I75" s="443">
        <f t="shared" si="33"/>
        <v>79.94</v>
      </c>
      <c r="J75" s="172">
        <f t="shared" si="34"/>
        <v>1.35</v>
      </c>
      <c r="K75" s="172">
        <f t="shared" si="35"/>
        <v>0.25100712736287578</v>
      </c>
      <c r="L75" s="172">
        <f t="shared" si="36"/>
        <v>1.051948051948052</v>
      </c>
      <c r="M75" s="443">
        <f t="shared" si="43"/>
        <v>350</v>
      </c>
      <c r="N75" s="197">
        <f t="shared" si="37"/>
        <v>103.61062463514304</v>
      </c>
      <c r="O75" s="217">
        <f t="shared" si="38"/>
        <v>9.9999999999999982</v>
      </c>
      <c r="P75" s="173">
        <f t="shared" si="39"/>
        <v>7.7922077922077895</v>
      </c>
      <c r="Q75" s="173">
        <f t="shared" si="40"/>
        <v>4.0367775831873889</v>
      </c>
      <c r="R75" s="173">
        <f t="shared" si="41"/>
        <v>7.7922077922077913</v>
      </c>
    </row>
    <row r="76" spans="3:18">
      <c r="C76" s="170">
        <v>70</v>
      </c>
      <c r="D76" s="5">
        <f t="shared" si="42"/>
        <v>65.199999999999989</v>
      </c>
      <c r="E76" s="443">
        <f t="shared" si="29"/>
        <v>15.4</v>
      </c>
      <c r="F76" s="217">
        <f t="shared" si="30"/>
        <v>0.19106699751861045</v>
      </c>
      <c r="G76" s="172">
        <f t="shared" si="31"/>
        <v>311.43920595533501</v>
      </c>
      <c r="H76" s="217">
        <f t="shared" si="32"/>
        <v>20.762613730355667</v>
      </c>
      <c r="I76" s="443">
        <f t="shared" si="33"/>
        <v>80.599999999999994</v>
      </c>
      <c r="J76" s="172">
        <f t="shared" si="34"/>
        <v>1.35</v>
      </c>
      <c r="K76" s="172">
        <f t="shared" si="35"/>
        <v>0.24846625766871175</v>
      </c>
      <c r="L76" s="172">
        <f t="shared" si="36"/>
        <v>1.051948051948052</v>
      </c>
      <c r="M76" s="443">
        <f t="shared" si="43"/>
        <v>350</v>
      </c>
      <c r="N76" s="197">
        <f t="shared" si="37"/>
        <v>103.81306865177834</v>
      </c>
      <c r="O76" s="217">
        <f t="shared" si="38"/>
        <v>9.9999999999999982</v>
      </c>
      <c r="P76" s="173">
        <f t="shared" si="39"/>
        <v>7.7922077922077895</v>
      </c>
      <c r="Q76" s="173">
        <f t="shared" si="40"/>
        <v>4.0446650124069459</v>
      </c>
      <c r="R76" s="173">
        <f t="shared" si="41"/>
        <v>7.7922077922077913</v>
      </c>
    </row>
    <row r="77" spans="3:18">
      <c r="C77" s="170">
        <v>71</v>
      </c>
      <c r="D77" s="5">
        <f t="shared" si="42"/>
        <v>65.86</v>
      </c>
      <c r="E77" s="443">
        <f t="shared" si="29"/>
        <v>15.4</v>
      </c>
      <c r="F77" s="217">
        <f t="shared" si="30"/>
        <v>0.18951513659857247</v>
      </c>
      <c r="G77" s="172">
        <f t="shared" si="31"/>
        <v>312.03667240954957</v>
      </c>
      <c r="H77" s="217">
        <f t="shared" si="32"/>
        <v>20.802444827303304</v>
      </c>
      <c r="I77" s="443">
        <f t="shared" si="33"/>
        <v>81.260000000000005</v>
      </c>
      <c r="J77" s="172">
        <f t="shared" si="34"/>
        <v>1.35</v>
      </c>
      <c r="K77" s="172">
        <f t="shared" si="35"/>
        <v>0.24597631339204376</v>
      </c>
      <c r="L77" s="172">
        <f t="shared" si="36"/>
        <v>1.051948051948052</v>
      </c>
      <c r="M77" s="443">
        <f t="shared" si="43"/>
        <v>350</v>
      </c>
      <c r="N77" s="197">
        <f t="shared" si="37"/>
        <v>104.01222413651652</v>
      </c>
      <c r="O77" s="217">
        <f t="shared" si="38"/>
        <v>10</v>
      </c>
      <c r="P77" s="173">
        <f t="shared" si="39"/>
        <v>7.7922077922077913</v>
      </c>
      <c r="Q77" s="173">
        <f t="shared" si="40"/>
        <v>4.0524243170071372</v>
      </c>
      <c r="R77" s="173">
        <f t="shared" si="41"/>
        <v>7.7922077922077913</v>
      </c>
    </row>
    <row r="78" spans="3:18">
      <c r="C78" s="170">
        <v>72</v>
      </c>
      <c r="D78" s="5">
        <f t="shared" si="42"/>
        <v>66.52</v>
      </c>
      <c r="E78" s="443">
        <f t="shared" si="29"/>
        <v>15.4</v>
      </c>
      <c r="F78" s="217">
        <f t="shared" si="30"/>
        <v>0.18798828125</v>
      </c>
      <c r="G78" s="172">
        <f t="shared" si="31"/>
        <v>312.62451171874994</v>
      </c>
      <c r="H78" s="217">
        <f t="shared" si="32"/>
        <v>20.841634114583329</v>
      </c>
      <c r="I78" s="443">
        <f t="shared" si="33"/>
        <v>81.92</v>
      </c>
      <c r="J78" s="172">
        <f t="shared" si="34"/>
        <v>1.35</v>
      </c>
      <c r="K78" s="172">
        <f t="shared" si="35"/>
        <v>0.24353577871316898</v>
      </c>
      <c r="L78" s="172">
        <f t="shared" si="36"/>
        <v>1.051948051948052</v>
      </c>
      <c r="M78" s="443">
        <f t="shared" si="43"/>
        <v>350</v>
      </c>
      <c r="N78" s="197">
        <f t="shared" si="37"/>
        <v>104.20817057291669</v>
      </c>
      <c r="O78" s="217">
        <f t="shared" si="38"/>
        <v>10</v>
      </c>
      <c r="P78" s="173">
        <f t="shared" si="39"/>
        <v>7.7922077922077913</v>
      </c>
      <c r="Q78" s="173">
        <f t="shared" si="40"/>
        <v>4.0600585937500009</v>
      </c>
      <c r="R78" s="173">
        <f t="shared" si="41"/>
        <v>7.7922077922077913</v>
      </c>
    </row>
    <row r="79" spans="3:18">
      <c r="C79" s="170">
        <v>73</v>
      </c>
      <c r="D79" s="5">
        <f t="shared" si="42"/>
        <v>67.180000000000007</v>
      </c>
      <c r="E79" s="443">
        <f t="shared" si="29"/>
        <v>15.4</v>
      </c>
      <c r="F79" s="217">
        <f t="shared" si="30"/>
        <v>0.18648583192056187</v>
      </c>
      <c r="G79" s="172">
        <f t="shared" si="31"/>
        <v>313.2029547105837</v>
      </c>
      <c r="H79" s="217">
        <f t="shared" si="32"/>
        <v>20.880196980705581</v>
      </c>
      <c r="I79" s="443">
        <f t="shared" si="33"/>
        <v>82.580000000000013</v>
      </c>
      <c r="J79" s="172">
        <f t="shared" si="34"/>
        <v>1.35</v>
      </c>
      <c r="K79" s="172">
        <f t="shared" si="35"/>
        <v>0.24114319738017265</v>
      </c>
      <c r="L79" s="172">
        <f t="shared" si="36"/>
        <v>1.051948051948052</v>
      </c>
      <c r="M79" s="443">
        <f t="shared" si="43"/>
        <v>350</v>
      </c>
      <c r="N79" s="197">
        <f t="shared" si="37"/>
        <v>104.40098490352791</v>
      </c>
      <c r="O79" s="217">
        <f t="shared" si="38"/>
        <v>10</v>
      </c>
      <c r="P79" s="173">
        <f t="shared" si="39"/>
        <v>7.7922077922077913</v>
      </c>
      <c r="Q79" s="173">
        <f t="shared" si="40"/>
        <v>4.0675708403971909</v>
      </c>
      <c r="R79" s="173">
        <f t="shared" si="41"/>
        <v>7.7922077922077913</v>
      </c>
    </row>
    <row r="80" spans="3:18">
      <c r="C80" s="170">
        <v>74</v>
      </c>
      <c r="D80" s="5">
        <f t="shared" si="42"/>
        <v>67.84</v>
      </c>
      <c r="E80" s="443">
        <f t="shared" si="29"/>
        <v>15.4</v>
      </c>
      <c r="F80" s="217">
        <f t="shared" si="30"/>
        <v>0.1850072080730418</v>
      </c>
      <c r="G80" s="172">
        <f t="shared" si="31"/>
        <v>313.77222489187892</v>
      </c>
      <c r="H80" s="217">
        <f t="shared" si="32"/>
        <v>20.918148326125262</v>
      </c>
      <c r="I80" s="443">
        <f t="shared" si="33"/>
        <v>83.240000000000009</v>
      </c>
      <c r="J80" s="172">
        <f t="shared" si="34"/>
        <v>1.35</v>
      </c>
      <c r="K80" s="172">
        <f t="shared" si="35"/>
        <v>0.23879716981132076</v>
      </c>
      <c r="L80" s="172">
        <f t="shared" si="36"/>
        <v>1.051948051948052</v>
      </c>
      <c r="M80" s="443">
        <f t="shared" si="43"/>
        <v>350</v>
      </c>
      <c r="N80" s="197">
        <f t="shared" si="37"/>
        <v>104.59074163062631</v>
      </c>
      <c r="O80" s="217">
        <f t="shared" si="38"/>
        <v>10</v>
      </c>
      <c r="P80" s="173">
        <f t="shared" si="39"/>
        <v>7.7922077922077913</v>
      </c>
      <c r="Q80" s="173">
        <f t="shared" si="40"/>
        <v>4.0749639596347915</v>
      </c>
      <c r="R80" s="173">
        <f t="shared" si="41"/>
        <v>7.7922077922077913</v>
      </c>
    </row>
    <row r="81" spans="3:18">
      <c r="C81" s="170">
        <v>75</v>
      </c>
      <c r="D81" s="5">
        <f t="shared" si="42"/>
        <v>68.5</v>
      </c>
      <c r="E81" s="443">
        <f t="shared" si="29"/>
        <v>15.4</v>
      </c>
      <c r="F81" s="217">
        <f t="shared" si="30"/>
        <v>0.1835518474374255</v>
      </c>
      <c r="G81" s="172">
        <f t="shared" si="31"/>
        <v>314.33253873659118</v>
      </c>
      <c r="H81" s="217">
        <f t="shared" si="32"/>
        <v>20.955502582439411</v>
      </c>
      <c r="I81" s="443">
        <f t="shared" si="33"/>
        <v>83.9</v>
      </c>
      <c r="J81" s="172">
        <f t="shared" si="34"/>
        <v>1.35</v>
      </c>
      <c r="K81" s="172">
        <f t="shared" si="35"/>
        <v>0.23649635036496353</v>
      </c>
      <c r="L81" s="172">
        <f t="shared" si="36"/>
        <v>1.051948051948052</v>
      </c>
      <c r="M81" s="443">
        <f t="shared" si="43"/>
        <v>350</v>
      </c>
      <c r="N81" s="197">
        <f t="shared" si="37"/>
        <v>104.77751291219707</v>
      </c>
      <c r="O81" s="217">
        <f t="shared" si="38"/>
        <v>10</v>
      </c>
      <c r="P81" s="173">
        <f t="shared" si="39"/>
        <v>7.7922077922077913</v>
      </c>
      <c r="Q81" s="173">
        <f t="shared" si="40"/>
        <v>4.082240762812873</v>
      </c>
      <c r="R81" s="173">
        <f t="shared" si="41"/>
        <v>7.7922077922077913</v>
      </c>
    </row>
    <row r="82" spans="3:18">
      <c r="C82" s="170">
        <v>76</v>
      </c>
      <c r="D82" s="5">
        <f t="shared" si="42"/>
        <v>69.16</v>
      </c>
      <c r="E82" s="443">
        <f t="shared" si="29"/>
        <v>15.4</v>
      </c>
      <c r="F82" s="217">
        <f t="shared" si="30"/>
        <v>0.18211920529801323</v>
      </c>
      <c r="G82" s="172">
        <f t="shared" si="31"/>
        <v>314.88410596026483</v>
      </c>
      <c r="H82" s="217">
        <f t="shared" si="32"/>
        <v>20.992273730684321</v>
      </c>
      <c r="I82" s="443">
        <f t="shared" si="33"/>
        <v>84.56</v>
      </c>
      <c r="J82" s="172">
        <f t="shared" si="34"/>
        <v>1.35</v>
      </c>
      <c r="K82" s="172">
        <f t="shared" si="35"/>
        <v>0.23423944476576056</v>
      </c>
      <c r="L82" s="172">
        <f t="shared" si="36"/>
        <v>1.051948051948052</v>
      </c>
      <c r="M82" s="443">
        <f t="shared" si="43"/>
        <v>350</v>
      </c>
      <c r="N82" s="197">
        <f t="shared" si="37"/>
        <v>104.96136865342163</v>
      </c>
      <c r="O82" s="217">
        <f t="shared" si="38"/>
        <v>10</v>
      </c>
      <c r="P82" s="173">
        <f t="shared" si="39"/>
        <v>7.7922077922077913</v>
      </c>
      <c r="Q82" s="173">
        <f t="shared" si="40"/>
        <v>4.0894039735099339</v>
      </c>
      <c r="R82" s="173">
        <f t="shared" si="41"/>
        <v>7.7922077922077913</v>
      </c>
    </row>
    <row r="83" spans="3:18">
      <c r="C83" s="170">
        <v>77</v>
      </c>
      <c r="D83" s="5">
        <f t="shared" si="42"/>
        <v>69.819999999999993</v>
      </c>
      <c r="E83" s="443">
        <f t="shared" si="29"/>
        <v>15.4</v>
      </c>
      <c r="F83" s="217">
        <f t="shared" si="30"/>
        <v>0.18070875381365878</v>
      </c>
      <c r="G83" s="172">
        <f t="shared" si="31"/>
        <v>315.42712978174137</v>
      </c>
      <c r="H83" s="217">
        <f t="shared" si="32"/>
        <v>21.028475318782757</v>
      </c>
      <c r="I83" s="443">
        <f t="shared" si="33"/>
        <v>85.22</v>
      </c>
      <c r="J83" s="172">
        <f t="shared" si="34"/>
        <v>1.35</v>
      </c>
      <c r="K83" s="172">
        <f t="shared" si="35"/>
        <v>0.23202520767688345</v>
      </c>
      <c r="L83" s="172">
        <f t="shared" si="36"/>
        <v>1.051948051948052</v>
      </c>
      <c r="M83" s="443">
        <f t="shared" si="43"/>
        <v>350</v>
      </c>
      <c r="N83" s="197">
        <f t="shared" si="37"/>
        <v>105.1423765939138</v>
      </c>
      <c r="O83" s="217">
        <f t="shared" si="38"/>
        <v>10</v>
      </c>
      <c r="P83" s="173">
        <f t="shared" si="39"/>
        <v>7.7922077922077913</v>
      </c>
      <c r="Q83" s="173">
        <f t="shared" si="40"/>
        <v>4.0964562309317065</v>
      </c>
      <c r="R83" s="173">
        <f t="shared" si="41"/>
        <v>7.7922077922077913</v>
      </c>
    </row>
    <row r="84" spans="3:18">
      <c r="C84" s="170">
        <v>78</v>
      </c>
      <c r="D84" s="5">
        <f t="shared" si="42"/>
        <v>70.48</v>
      </c>
      <c r="E84" s="443">
        <f t="shared" si="29"/>
        <v>15.4</v>
      </c>
      <c r="F84" s="217">
        <f t="shared" si="30"/>
        <v>0.17931998136935257</v>
      </c>
      <c r="G84" s="172">
        <f t="shared" si="31"/>
        <v>315.96180717279924</v>
      </c>
      <c r="H84" s="217">
        <f t="shared" si="32"/>
        <v>21.064120478186616</v>
      </c>
      <c r="I84" s="443">
        <f t="shared" si="33"/>
        <v>85.88000000000001</v>
      </c>
      <c r="J84" s="172">
        <f t="shared" si="34"/>
        <v>1.35</v>
      </c>
      <c r="K84" s="172">
        <f t="shared" si="35"/>
        <v>0.22985244040862657</v>
      </c>
      <c r="L84" s="172">
        <f t="shared" si="36"/>
        <v>1.051948051948052</v>
      </c>
      <c r="M84" s="443">
        <f t="shared" si="43"/>
        <v>350</v>
      </c>
      <c r="N84" s="197">
        <f t="shared" si="37"/>
        <v>105.32060239093309</v>
      </c>
      <c r="O84" s="217">
        <f t="shared" si="38"/>
        <v>10</v>
      </c>
      <c r="P84" s="173">
        <f t="shared" si="39"/>
        <v>7.7922077922077913</v>
      </c>
      <c r="Q84" s="173">
        <f t="shared" si="40"/>
        <v>4.1034000931532377</v>
      </c>
      <c r="R84" s="173">
        <f t="shared" si="41"/>
        <v>7.7922077922077913</v>
      </c>
    </row>
    <row r="85" spans="3:18">
      <c r="C85" s="170">
        <v>79</v>
      </c>
      <c r="D85" s="5">
        <f t="shared" si="42"/>
        <v>71.14</v>
      </c>
      <c r="E85" s="443">
        <f t="shared" si="29"/>
        <v>15.4</v>
      </c>
      <c r="F85" s="217">
        <f t="shared" si="30"/>
        <v>0.17795239195747631</v>
      </c>
      <c r="G85" s="172">
        <f t="shared" si="31"/>
        <v>316.48832909637161</v>
      </c>
      <c r="H85" s="217">
        <f t="shared" si="32"/>
        <v>21.099221939758106</v>
      </c>
      <c r="I85" s="443">
        <f t="shared" si="33"/>
        <v>86.54</v>
      </c>
      <c r="J85" s="172">
        <f t="shared" si="34"/>
        <v>1.35</v>
      </c>
      <c r="K85" s="172">
        <f t="shared" si="35"/>
        <v>0.22771998875456845</v>
      </c>
      <c r="L85" s="172">
        <f t="shared" si="36"/>
        <v>1.051948051948052</v>
      </c>
      <c r="M85" s="443">
        <f t="shared" si="43"/>
        <v>350</v>
      </c>
      <c r="N85" s="197">
        <f t="shared" si="37"/>
        <v>105.49610969879053</v>
      </c>
      <c r="O85" s="217">
        <f t="shared" si="38"/>
        <v>10.000000000000002</v>
      </c>
      <c r="P85" s="173">
        <f t="shared" si="39"/>
        <v>7.792207792207793</v>
      </c>
      <c r="Q85" s="173">
        <f t="shared" si="40"/>
        <v>4.1102380402126188</v>
      </c>
      <c r="R85" s="173">
        <f t="shared" si="41"/>
        <v>7.7922077922077913</v>
      </c>
    </row>
    <row r="86" spans="3:18">
      <c r="C86" s="170">
        <v>80</v>
      </c>
      <c r="D86" s="5">
        <f t="shared" si="42"/>
        <v>71.800000000000011</v>
      </c>
      <c r="E86" s="443">
        <f t="shared" si="29"/>
        <v>15.4</v>
      </c>
      <c r="F86" s="217">
        <f t="shared" si="30"/>
        <v>0.17660550458715593</v>
      </c>
      <c r="G86" s="172">
        <f t="shared" si="31"/>
        <v>317.00688073394497</v>
      </c>
      <c r="H86" s="217">
        <f t="shared" si="32"/>
        <v>21.133792048929664</v>
      </c>
      <c r="I86" s="443">
        <f t="shared" si="33"/>
        <v>87.200000000000017</v>
      </c>
      <c r="J86" s="172">
        <f t="shared" si="34"/>
        <v>1.35</v>
      </c>
      <c r="K86" s="172">
        <f t="shared" si="35"/>
        <v>0.22562674094707519</v>
      </c>
      <c r="L86" s="172">
        <f t="shared" si="36"/>
        <v>1.051948051948052</v>
      </c>
      <c r="M86" s="443">
        <f t="shared" si="43"/>
        <v>350</v>
      </c>
      <c r="N86" s="197">
        <f t="shared" si="37"/>
        <v>105.66896024464832</v>
      </c>
      <c r="O86" s="217">
        <f t="shared" si="38"/>
        <v>10</v>
      </c>
      <c r="P86" s="173">
        <f t="shared" si="39"/>
        <v>7.7922077922077913</v>
      </c>
      <c r="Q86" s="173">
        <f t="shared" si="40"/>
        <v>4.1169724770642198</v>
      </c>
      <c r="R86" s="173">
        <f t="shared" si="41"/>
        <v>7.7922077922077913</v>
      </c>
    </row>
    <row r="87" spans="3:18">
      <c r="C87" s="170">
        <v>81</v>
      </c>
      <c r="D87" s="5">
        <f t="shared" si="42"/>
        <v>72.460000000000008</v>
      </c>
      <c r="E87" s="443">
        <f t="shared" si="29"/>
        <v>15.4</v>
      </c>
      <c r="F87" s="217">
        <f t="shared" si="30"/>
        <v>0.17527885272023672</v>
      </c>
      <c r="G87" s="172">
        <f t="shared" si="31"/>
        <v>317.51764170270883</v>
      </c>
      <c r="H87" s="217">
        <f t="shared" si="32"/>
        <v>21.167842780180589</v>
      </c>
      <c r="I87" s="443">
        <f t="shared" si="33"/>
        <v>87.860000000000014</v>
      </c>
      <c r="J87" s="172">
        <f t="shared" si="34"/>
        <v>1.35</v>
      </c>
      <c r="K87" s="172">
        <f t="shared" si="35"/>
        <v>0.22357162572453768</v>
      </c>
      <c r="L87" s="172">
        <f t="shared" si="36"/>
        <v>1.051948051948052</v>
      </c>
      <c r="M87" s="443">
        <f t="shared" si="43"/>
        <v>350</v>
      </c>
      <c r="N87" s="197">
        <f t="shared" si="37"/>
        <v>105.83921390090296</v>
      </c>
      <c r="O87" s="217">
        <f t="shared" si="38"/>
        <v>10</v>
      </c>
      <c r="P87" s="173">
        <f t="shared" si="39"/>
        <v>7.7922077922077913</v>
      </c>
      <c r="Q87" s="173">
        <f t="shared" si="40"/>
        <v>4.123605736398817</v>
      </c>
      <c r="R87" s="173">
        <f t="shared" si="41"/>
        <v>7.7922077922077913</v>
      </c>
    </row>
    <row r="88" spans="3:18">
      <c r="C88" s="170">
        <v>82</v>
      </c>
      <c r="D88" s="5">
        <f t="shared" si="42"/>
        <v>73.12</v>
      </c>
      <c r="E88" s="443">
        <f t="shared" si="29"/>
        <v>15.4</v>
      </c>
      <c r="F88" s="217">
        <f t="shared" si="30"/>
        <v>0.17397198373248982</v>
      </c>
      <c r="G88" s="172">
        <f t="shared" si="31"/>
        <v>318.02078626299141</v>
      </c>
      <c r="H88" s="217">
        <f t="shared" si="32"/>
        <v>21.201385750866095</v>
      </c>
      <c r="I88" s="443">
        <f t="shared" si="33"/>
        <v>88.52000000000001</v>
      </c>
      <c r="J88" s="172">
        <f t="shared" si="34"/>
        <v>1.35</v>
      </c>
      <c r="K88" s="172">
        <f t="shared" si="35"/>
        <v>0.22155361050328226</v>
      </c>
      <c r="L88" s="172">
        <f t="shared" si="36"/>
        <v>1.051948051948052</v>
      </c>
      <c r="M88" s="443">
        <f t="shared" si="43"/>
        <v>350</v>
      </c>
      <c r="N88" s="197">
        <f t="shared" si="37"/>
        <v>106.00692875433049</v>
      </c>
      <c r="O88" s="217">
        <f t="shared" si="38"/>
        <v>10</v>
      </c>
      <c r="P88" s="173">
        <f t="shared" si="39"/>
        <v>7.7922077922077913</v>
      </c>
      <c r="Q88" s="173">
        <f t="shared" si="40"/>
        <v>4.1301400813375508</v>
      </c>
      <c r="R88" s="173">
        <f t="shared" si="41"/>
        <v>7.7922077922077913</v>
      </c>
    </row>
    <row r="89" spans="3:18">
      <c r="C89" s="170">
        <v>83</v>
      </c>
      <c r="D89" s="5">
        <f t="shared" si="42"/>
        <v>73.78</v>
      </c>
      <c r="E89" s="443">
        <f t="shared" si="29"/>
        <v>15.4</v>
      </c>
      <c r="F89" s="217">
        <f t="shared" si="30"/>
        <v>0.17268445839874411</v>
      </c>
      <c r="G89" s="172">
        <f t="shared" si="31"/>
        <v>318.5164835164835</v>
      </c>
      <c r="H89" s="217">
        <f t="shared" si="32"/>
        <v>21.234432234432234</v>
      </c>
      <c r="I89" s="443">
        <f t="shared" si="33"/>
        <v>89.18</v>
      </c>
      <c r="J89" s="172">
        <f t="shared" si="34"/>
        <v>1.35</v>
      </c>
      <c r="K89" s="172">
        <f t="shared" si="35"/>
        <v>0.21957169964760098</v>
      </c>
      <c r="L89" s="172">
        <f t="shared" si="36"/>
        <v>1.051948051948052</v>
      </c>
      <c r="M89" s="443">
        <f t="shared" si="43"/>
        <v>350</v>
      </c>
      <c r="N89" s="197">
        <f t="shared" si="37"/>
        <v>106.1721611721612</v>
      </c>
      <c r="O89" s="217">
        <f t="shared" si="38"/>
        <v>10</v>
      </c>
      <c r="P89" s="173">
        <f t="shared" si="39"/>
        <v>7.7922077922077913</v>
      </c>
      <c r="Q89" s="173">
        <f t="shared" si="40"/>
        <v>4.1365777080062802</v>
      </c>
      <c r="R89" s="173">
        <f t="shared" si="41"/>
        <v>7.7922077922077913</v>
      </c>
    </row>
    <row r="90" spans="3:18">
      <c r="C90" s="170">
        <v>84</v>
      </c>
      <c r="D90" s="5">
        <f t="shared" si="42"/>
        <v>74.44</v>
      </c>
      <c r="E90" s="443">
        <f t="shared" si="29"/>
        <v>15.4</v>
      </c>
      <c r="F90" s="217">
        <f t="shared" si="30"/>
        <v>0.17141585040071239</v>
      </c>
      <c r="G90" s="172">
        <f t="shared" si="31"/>
        <v>319.00489759572577</v>
      </c>
      <c r="H90" s="217">
        <f t="shared" si="32"/>
        <v>21.266993173048384</v>
      </c>
      <c r="I90" s="443">
        <f t="shared" si="33"/>
        <v>89.84</v>
      </c>
      <c r="J90" s="172">
        <f t="shared" si="34"/>
        <v>1.35</v>
      </c>
      <c r="K90" s="172">
        <f t="shared" si="35"/>
        <v>0.21762493283181086</v>
      </c>
      <c r="L90" s="172">
        <f t="shared" si="36"/>
        <v>1.051948051948052</v>
      </c>
      <c r="M90" s="443">
        <f t="shared" si="43"/>
        <v>350</v>
      </c>
      <c r="N90" s="197">
        <f t="shared" si="37"/>
        <v>106.33496586524191</v>
      </c>
      <c r="O90" s="217">
        <f t="shared" si="38"/>
        <v>10</v>
      </c>
      <c r="P90" s="173">
        <f t="shared" si="39"/>
        <v>7.7922077922077913</v>
      </c>
      <c r="Q90" s="173">
        <f t="shared" si="40"/>
        <v>4.1429207479964383</v>
      </c>
      <c r="R90" s="173">
        <f t="shared" si="41"/>
        <v>7.7922077922077913</v>
      </c>
    </row>
    <row r="91" spans="3:18">
      <c r="C91" s="170">
        <v>85</v>
      </c>
      <c r="D91" s="5">
        <f t="shared" si="42"/>
        <v>75.099999999999994</v>
      </c>
      <c r="E91" s="443">
        <f t="shared" si="29"/>
        <v>15.4</v>
      </c>
      <c r="F91" s="217">
        <f t="shared" si="30"/>
        <v>0.17016574585635361</v>
      </c>
      <c r="G91" s="172">
        <f t="shared" si="31"/>
        <v>319.48618784530385</v>
      </c>
      <c r="H91" s="217">
        <f t="shared" si="32"/>
        <v>21.299079189686925</v>
      </c>
      <c r="I91" s="443">
        <f t="shared" si="33"/>
        <v>90.5</v>
      </c>
      <c r="J91" s="172">
        <f t="shared" si="34"/>
        <v>1.35</v>
      </c>
      <c r="K91" s="172">
        <f t="shared" si="35"/>
        <v>0.2157123834886818</v>
      </c>
      <c r="L91" s="172">
        <f t="shared" si="36"/>
        <v>1.051948051948052</v>
      </c>
      <c r="M91" s="443">
        <f t="shared" si="43"/>
        <v>350</v>
      </c>
      <c r="N91" s="197">
        <f t="shared" si="37"/>
        <v>106.49539594843462</v>
      </c>
      <c r="O91" s="217">
        <f t="shared" si="38"/>
        <v>9.9999999999999982</v>
      </c>
      <c r="P91" s="173">
        <f t="shared" si="39"/>
        <v>7.7922077922077895</v>
      </c>
      <c r="Q91" s="173">
        <f t="shared" si="40"/>
        <v>4.14917127071823</v>
      </c>
      <c r="R91" s="173">
        <f t="shared" si="41"/>
        <v>7.7922077922077913</v>
      </c>
    </row>
    <row r="92" spans="3:18">
      <c r="C92" s="170">
        <v>86</v>
      </c>
      <c r="D92" s="5">
        <f t="shared" si="42"/>
        <v>75.759999999999991</v>
      </c>
      <c r="E92" s="443">
        <f t="shared" si="29"/>
        <v>15.4</v>
      </c>
      <c r="F92" s="217">
        <f t="shared" si="30"/>
        <v>0.16893374286967969</v>
      </c>
      <c r="G92" s="172">
        <f t="shared" si="31"/>
        <v>319.96050899517326</v>
      </c>
      <c r="H92" s="217">
        <f t="shared" si="32"/>
        <v>21.330700599678217</v>
      </c>
      <c r="I92" s="443">
        <f t="shared" si="33"/>
        <v>91.16</v>
      </c>
      <c r="J92" s="172">
        <f t="shared" si="34"/>
        <v>1.35</v>
      </c>
      <c r="K92" s="172">
        <f t="shared" si="35"/>
        <v>0.21383315733896519</v>
      </c>
      <c r="L92" s="172">
        <f t="shared" si="36"/>
        <v>1.051948051948052</v>
      </c>
      <c r="M92" s="443">
        <f t="shared" si="43"/>
        <v>350</v>
      </c>
      <c r="N92" s="197">
        <f t="shared" si="37"/>
        <v>106.65350299839112</v>
      </c>
      <c r="O92" s="217">
        <f t="shared" si="38"/>
        <v>10</v>
      </c>
      <c r="P92" s="173">
        <f t="shared" si="39"/>
        <v>7.7922077922077913</v>
      </c>
      <c r="Q92" s="173">
        <f t="shared" si="40"/>
        <v>4.1553312856516023</v>
      </c>
      <c r="R92" s="173">
        <f t="shared" si="41"/>
        <v>7.7922077922077913</v>
      </c>
    </row>
    <row r="93" spans="3:18">
      <c r="C93" s="170">
        <v>87</v>
      </c>
      <c r="D93" s="5">
        <f t="shared" si="42"/>
        <v>76.42</v>
      </c>
      <c r="E93" s="443">
        <f t="shared" si="29"/>
        <v>15.4</v>
      </c>
      <c r="F93" s="217">
        <f t="shared" si="30"/>
        <v>0.16771945109997821</v>
      </c>
      <c r="G93" s="172">
        <f t="shared" si="31"/>
        <v>320.4280113265084</v>
      </c>
      <c r="H93" s="217">
        <f t="shared" si="32"/>
        <v>21.361867421767226</v>
      </c>
      <c r="I93" s="443">
        <f t="shared" si="33"/>
        <v>91.820000000000007</v>
      </c>
      <c r="J93" s="172">
        <f t="shared" si="34"/>
        <v>1.35</v>
      </c>
      <c r="K93" s="172">
        <f t="shared" si="35"/>
        <v>0.21198639099712116</v>
      </c>
      <c r="L93" s="172">
        <f t="shared" si="36"/>
        <v>1.051948051948052</v>
      </c>
      <c r="M93" s="443">
        <f t="shared" si="43"/>
        <v>350</v>
      </c>
      <c r="N93" s="197">
        <f t="shared" si="37"/>
        <v>106.80933710883613</v>
      </c>
      <c r="O93" s="217">
        <f t="shared" si="38"/>
        <v>10</v>
      </c>
      <c r="P93" s="173">
        <f t="shared" si="39"/>
        <v>7.7922077922077913</v>
      </c>
      <c r="Q93" s="173">
        <f t="shared" si="40"/>
        <v>4.1614027445001085</v>
      </c>
      <c r="R93" s="173">
        <f t="shared" si="41"/>
        <v>7.7922077922077913</v>
      </c>
    </row>
    <row r="94" spans="3:18">
      <c r="C94" s="170">
        <v>88</v>
      </c>
      <c r="D94" s="5">
        <f t="shared" si="42"/>
        <v>77.08</v>
      </c>
      <c r="E94" s="443">
        <f t="shared" si="29"/>
        <v>15.4</v>
      </c>
      <c r="F94" s="217">
        <f t="shared" si="30"/>
        <v>0.16652249134948097</v>
      </c>
      <c r="G94" s="172">
        <f t="shared" si="31"/>
        <v>320.88884083044979</v>
      </c>
      <c r="H94" s="217">
        <f t="shared" si="32"/>
        <v>21.392589388696653</v>
      </c>
      <c r="I94" s="443">
        <f t="shared" si="33"/>
        <v>92.48</v>
      </c>
      <c r="J94" s="172">
        <f t="shared" si="34"/>
        <v>1.35</v>
      </c>
      <c r="K94" s="172">
        <f t="shared" si="35"/>
        <v>0.21017125064867673</v>
      </c>
      <c r="L94" s="172">
        <f t="shared" si="36"/>
        <v>1.051948051948052</v>
      </c>
      <c r="M94" s="443">
        <f t="shared" si="43"/>
        <v>350</v>
      </c>
      <c r="N94" s="197">
        <f t="shared" si="37"/>
        <v>106.96294694348329</v>
      </c>
      <c r="O94" s="217">
        <f t="shared" si="38"/>
        <v>10</v>
      </c>
      <c r="P94" s="173">
        <f t="shared" si="39"/>
        <v>7.7922077922077913</v>
      </c>
      <c r="Q94" s="173">
        <f t="shared" si="40"/>
        <v>4.1673875432525955</v>
      </c>
      <c r="R94" s="173">
        <f t="shared" si="41"/>
        <v>7.7922077922077913</v>
      </c>
    </row>
    <row r="95" spans="3:18">
      <c r="C95" s="170">
        <v>89</v>
      </c>
      <c r="D95" s="5">
        <f t="shared" si="42"/>
        <v>77.740000000000009</v>
      </c>
      <c r="E95" s="443">
        <f t="shared" si="29"/>
        <v>15.4</v>
      </c>
      <c r="F95" s="217">
        <f t="shared" si="30"/>
        <v>0.16534249516856342</v>
      </c>
      <c r="G95" s="172">
        <f t="shared" si="31"/>
        <v>321.34313936010301</v>
      </c>
      <c r="H95" s="217">
        <f t="shared" si="32"/>
        <v>21.422875957340199</v>
      </c>
      <c r="I95" s="443">
        <f t="shared" si="33"/>
        <v>93.140000000000015</v>
      </c>
      <c r="J95" s="172">
        <f t="shared" si="34"/>
        <v>1.35</v>
      </c>
      <c r="K95" s="172">
        <f t="shared" si="35"/>
        <v>0.20838693079495754</v>
      </c>
      <c r="L95" s="172">
        <f t="shared" si="36"/>
        <v>1.051948051948052</v>
      </c>
      <c r="M95" s="443">
        <f t="shared" si="43"/>
        <v>350</v>
      </c>
      <c r="N95" s="197">
        <f t="shared" si="37"/>
        <v>107.11437978670104</v>
      </c>
      <c r="O95" s="217">
        <f t="shared" si="38"/>
        <v>10</v>
      </c>
      <c r="P95" s="173">
        <f t="shared" si="39"/>
        <v>7.7922077922077913</v>
      </c>
      <c r="Q95" s="173">
        <f t="shared" si="40"/>
        <v>4.1732875241571827</v>
      </c>
      <c r="R95" s="173">
        <f t="shared" si="41"/>
        <v>7.7922077922077913</v>
      </c>
    </row>
    <row r="96" spans="3:18">
      <c r="C96" s="170">
        <v>90</v>
      </c>
      <c r="D96" s="5">
        <f t="shared" si="42"/>
        <v>78.400000000000006</v>
      </c>
      <c r="E96" s="443">
        <f t="shared" si="29"/>
        <v>15.4</v>
      </c>
      <c r="F96" s="217">
        <f t="shared" si="30"/>
        <v>0.16417910447761191</v>
      </c>
      <c r="G96" s="172">
        <f t="shared" si="31"/>
        <v>321.79104477611935</v>
      </c>
      <c r="H96" s="217">
        <f t="shared" si="32"/>
        <v>21.452736318407958</v>
      </c>
      <c r="I96" s="443">
        <f t="shared" si="33"/>
        <v>93.800000000000011</v>
      </c>
      <c r="J96" s="172">
        <f t="shared" si="34"/>
        <v>1.35</v>
      </c>
      <c r="K96" s="172">
        <f t="shared" si="35"/>
        <v>0.20663265306122447</v>
      </c>
      <c r="L96" s="172">
        <f t="shared" si="36"/>
        <v>1.051948051948052</v>
      </c>
      <c r="M96" s="443">
        <f t="shared" si="43"/>
        <v>350</v>
      </c>
      <c r="N96" s="197">
        <f t="shared" si="37"/>
        <v>107.2636815920398</v>
      </c>
      <c r="O96" s="217">
        <f t="shared" si="38"/>
        <v>10</v>
      </c>
      <c r="P96" s="173">
        <f t="shared" si="39"/>
        <v>7.7922077922077913</v>
      </c>
      <c r="Q96" s="173">
        <f t="shared" si="40"/>
        <v>4.1791044776119399</v>
      </c>
      <c r="R96" s="173">
        <f t="shared" si="41"/>
        <v>7.7922077922077913</v>
      </c>
    </row>
    <row r="97" spans="3:18">
      <c r="C97" s="170">
        <v>91</v>
      </c>
      <c r="D97" s="5">
        <f t="shared" si="42"/>
        <v>79.06</v>
      </c>
      <c r="E97" s="443">
        <f t="shared" si="29"/>
        <v>15.4</v>
      </c>
      <c r="F97" s="217">
        <f t="shared" si="30"/>
        <v>0.16303197120474275</v>
      </c>
      <c r="G97" s="172">
        <f t="shared" si="31"/>
        <v>322.23269108617404</v>
      </c>
      <c r="H97" s="217">
        <f t="shared" si="32"/>
        <v>21.482179405744937</v>
      </c>
      <c r="I97" s="443">
        <f t="shared" si="33"/>
        <v>94.460000000000008</v>
      </c>
      <c r="J97" s="172">
        <f t="shared" si="34"/>
        <v>1.35</v>
      </c>
      <c r="K97" s="172">
        <f t="shared" si="35"/>
        <v>0.20490766506450797</v>
      </c>
      <c r="L97" s="172">
        <f t="shared" si="36"/>
        <v>1.051948051948052</v>
      </c>
      <c r="M97" s="443">
        <f t="shared" si="43"/>
        <v>350</v>
      </c>
      <c r="N97" s="197">
        <f t="shared" si="37"/>
        <v>107.41089702872468</v>
      </c>
      <c r="O97" s="217">
        <f t="shared" si="38"/>
        <v>10</v>
      </c>
      <c r="P97" s="173">
        <f t="shared" si="39"/>
        <v>7.7922077922077913</v>
      </c>
      <c r="Q97" s="173">
        <f t="shared" si="40"/>
        <v>4.1848401439762855</v>
      </c>
      <c r="R97" s="173">
        <f t="shared" si="41"/>
        <v>7.7922077922077913</v>
      </c>
    </row>
    <row r="98" spans="3:18">
      <c r="C98" s="170">
        <v>92</v>
      </c>
      <c r="D98" s="5">
        <f t="shared" si="42"/>
        <v>79.72</v>
      </c>
      <c r="E98" s="443">
        <f t="shared" si="29"/>
        <v>15.4</v>
      </c>
      <c r="F98" s="217">
        <f t="shared" si="30"/>
        <v>0.16190075693860387</v>
      </c>
      <c r="G98" s="172">
        <f t="shared" si="31"/>
        <v>322.66820857863752</v>
      </c>
      <c r="H98" s="217">
        <f t="shared" si="32"/>
        <v>21.511213905242503</v>
      </c>
      <c r="I98" s="443">
        <f t="shared" si="33"/>
        <v>95.12</v>
      </c>
      <c r="J98" s="172">
        <f t="shared" si="34"/>
        <v>1.35</v>
      </c>
      <c r="K98" s="172">
        <f t="shared" si="35"/>
        <v>0.2032112393376819</v>
      </c>
      <c r="L98" s="172">
        <f t="shared" si="36"/>
        <v>1.051948051948052</v>
      </c>
      <c r="M98" s="443">
        <f t="shared" si="43"/>
        <v>350</v>
      </c>
      <c r="N98" s="197">
        <f t="shared" si="37"/>
        <v>107.5560695262125</v>
      </c>
      <c r="O98" s="217">
        <f t="shared" si="38"/>
        <v>10</v>
      </c>
      <c r="P98" s="173">
        <f t="shared" si="39"/>
        <v>7.7922077922077913</v>
      </c>
      <c r="Q98" s="173">
        <f t="shared" si="40"/>
        <v>4.1904962153069798</v>
      </c>
      <c r="R98" s="173">
        <f t="shared" si="41"/>
        <v>7.7922077922077913</v>
      </c>
    </row>
    <row r="99" spans="3:18">
      <c r="C99" s="170">
        <v>93</v>
      </c>
      <c r="D99" s="5">
        <f t="shared" si="42"/>
        <v>80.38</v>
      </c>
      <c r="E99" s="443">
        <f t="shared" si="29"/>
        <v>15.4</v>
      </c>
      <c r="F99" s="217">
        <f t="shared" si="30"/>
        <v>0.16078513259553143</v>
      </c>
      <c r="G99" s="172">
        <f t="shared" si="31"/>
        <v>323.09772395072042</v>
      </c>
      <c r="H99" s="217">
        <f t="shared" si="32"/>
        <v>21.539848263381362</v>
      </c>
      <c r="I99" s="443">
        <f t="shared" si="33"/>
        <v>95.78</v>
      </c>
      <c r="J99" s="172">
        <f t="shared" si="34"/>
        <v>1.35</v>
      </c>
      <c r="K99" s="172">
        <f t="shared" si="35"/>
        <v>0.20154267230654394</v>
      </c>
      <c r="L99" s="172">
        <f t="shared" si="36"/>
        <v>1.051948051948052</v>
      </c>
      <c r="M99" s="443">
        <f t="shared" si="43"/>
        <v>350</v>
      </c>
      <c r="N99" s="197">
        <f t="shared" si="37"/>
        <v>107.69924131690681</v>
      </c>
      <c r="O99" s="217">
        <f t="shared" si="38"/>
        <v>10</v>
      </c>
      <c r="P99" s="173">
        <f t="shared" si="39"/>
        <v>7.7922077922077913</v>
      </c>
      <c r="Q99" s="173">
        <f t="shared" si="40"/>
        <v>4.1960743370223428</v>
      </c>
      <c r="R99" s="173">
        <f t="shared" si="41"/>
        <v>7.7922077922077913</v>
      </c>
    </row>
    <row r="100" spans="3:18">
      <c r="C100" s="170">
        <v>94</v>
      </c>
      <c r="D100" s="5">
        <f t="shared" si="42"/>
        <v>81.039999999999992</v>
      </c>
      <c r="E100" s="443">
        <f t="shared" si="29"/>
        <v>15.4</v>
      </c>
      <c r="F100" s="217">
        <f t="shared" si="30"/>
        <v>0.15968477810037329</v>
      </c>
      <c r="G100" s="172">
        <f t="shared" si="31"/>
        <v>323.52136043135624</v>
      </c>
      <c r="H100" s="217">
        <f t="shared" si="32"/>
        <v>21.568090695423749</v>
      </c>
      <c r="I100" s="443">
        <f t="shared" si="33"/>
        <v>96.44</v>
      </c>
      <c r="J100" s="172">
        <f t="shared" si="34"/>
        <v>1.35</v>
      </c>
      <c r="K100" s="172">
        <f t="shared" si="35"/>
        <v>0.19990128331688059</v>
      </c>
      <c r="L100" s="172">
        <f t="shared" si="36"/>
        <v>1.051948051948052</v>
      </c>
      <c r="M100" s="443">
        <f t="shared" si="43"/>
        <v>350</v>
      </c>
      <c r="N100" s="197">
        <f t="shared" si="37"/>
        <v>107.84045347711876</v>
      </c>
      <c r="O100" s="217">
        <f t="shared" si="38"/>
        <v>10</v>
      </c>
      <c r="P100" s="173">
        <f t="shared" si="39"/>
        <v>7.7922077922077913</v>
      </c>
      <c r="Q100" s="173">
        <f t="shared" si="40"/>
        <v>4.2015761094981334</v>
      </c>
      <c r="R100" s="173">
        <f t="shared" si="41"/>
        <v>7.7922077922077913</v>
      </c>
    </row>
    <row r="101" spans="3:18">
      <c r="C101" s="170">
        <v>95</v>
      </c>
      <c r="D101" s="5">
        <f t="shared" si="42"/>
        <v>81.699999999999989</v>
      </c>
      <c r="E101" s="443">
        <f t="shared" si="29"/>
        <v>15.4</v>
      </c>
      <c r="F101" s="217">
        <f t="shared" si="30"/>
        <v>0.15859938208032956</v>
      </c>
      <c r="G101" s="172">
        <f t="shared" si="31"/>
        <v>323.93923789907308</v>
      </c>
      <c r="H101" s="217">
        <f t="shared" si="32"/>
        <v>21.59594919327154</v>
      </c>
      <c r="I101" s="443">
        <f t="shared" si="33"/>
        <v>97.1</v>
      </c>
      <c r="J101" s="172">
        <f t="shared" si="34"/>
        <v>1.35</v>
      </c>
      <c r="K101" s="172">
        <f t="shared" si="35"/>
        <v>0.19828641370869035</v>
      </c>
      <c r="L101" s="172">
        <f t="shared" si="36"/>
        <v>1.051948051948052</v>
      </c>
      <c r="M101" s="443">
        <f t="shared" si="43"/>
        <v>350</v>
      </c>
      <c r="N101" s="197">
        <f t="shared" si="37"/>
        <v>107.97974596635771</v>
      </c>
      <c r="O101" s="217">
        <f t="shared" si="38"/>
        <v>10</v>
      </c>
      <c r="P101" s="173">
        <f t="shared" si="39"/>
        <v>7.7922077922077913</v>
      </c>
      <c r="Q101" s="173">
        <f t="shared" si="40"/>
        <v>4.2070030895983521</v>
      </c>
      <c r="R101" s="173">
        <f t="shared" si="41"/>
        <v>7.7922077922077913</v>
      </c>
    </row>
    <row r="102" spans="3:18">
      <c r="C102" s="170">
        <v>96</v>
      </c>
      <c r="D102" s="5">
        <f t="shared" si="42"/>
        <v>82.36</v>
      </c>
      <c r="E102" s="443">
        <f t="shared" si="29"/>
        <v>15.4</v>
      </c>
      <c r="F102" s="217">
        <f t="shared" si="30"/>
        <v>0.15752864157119476</v>
      </c>
      <c r="G102" s="172">
        <f>F102*D102*Isw_max*0.5*Efficiency</f>
        <v>324.35147299508998</v>
      </c>
      <c r="H102" s="217">
        <f>G102/Vout</f>
        <v>21.623431533005999</v>
      </c>
      <c r="I102" s="443">
        <f t="shared" si="33"/>
        <v>97.76</v>
      </c>
      <c r="J102" s="172">
        <f t="shared" si="34"/>
        <v>1.35</v>
      </c>
      <c r="K102" s="172">
        <f>L*J102/D102*1000000</f>
        <v>0.19669742593491987</v>
      </c>
      <c r="L102" s="172">
        <f t="shared" si="36"/>
        <v>1.051948051948052</v>
      </c>
      <c r="M102" s="443">
        <f t="shared" si="43"/>
        <v>350</v>
      </c>
      <c r="N102" s="197">
        <f t="shared" si="37"/>
        <v>108.11715766503002</v>
      </c>
      <c r="O102" s="217">
        <f>1/((N102*1000*L)*(1/D102+1/E102))</f>
        <v>9.9999999999999982</v>
      </c>
      <c r="P102" s="173">
        <f>L*O102/E102*1000000</f>
        <v>7.7922077922077895</v>
      </c>
      <c r="Q102" s="173">
        <f>0.5*P102*O102*Nps*N102/1000</f>
        <v>4.2123567921440248</v>
      </c>
      <c r="R102" s="173">
        <f t="shared" si="41"/>
        <v>7.7922077922077913</v>
      </c>
    </row>
    <row r="103" spans="3:18">
      <c r="C103" s="170">
        <v>97</v>
      </c>
      <c r="D103" s="5">
        <f>C103/100*(VIN_max-VIN_min)+VIN_min</f>
        <v>83.02</v>
      </c>
      <c r="E103" s="443">
        <f t="shared" si="29"/>
        <v>15.4</v>
      </c>
      <c r="F103" s="217">
        <f t="shared" si="30"/>
        <v>0.15647226173541964</v>
      </c>
      <c r="G103" s="172">
        <f>F103*D103*Isw_max*0.5*Efficiency</f>
        <v>324.75817923186344</v>
      </c>
      <c r="H103" s="217">
        <f>G103/Vout</f>
        <v>21.650545282124231</v>
      </c>
      <c r="I103" s="443">
        <f t="shared" si="33"/>
        <v>98.42</v>
      </c>
      <c r="J103" s="172">
        <f t="shared" si="34"/>
        <v>1.35</v>
      </c>
      <c r="K103" s="172">
        <f>L*J103/D103*1000000</f>
        <v>0.19513370272223562</v>
      </c>
      <c r="L103" s="172">
        <f t="shared" si="36"/>
        <v>1.051948051948052</v>
      </c>
      <c r="M103" s="443">
        <f t="shared" si="43"/>
        <v>350</v>
      </c>
      <c r="N103" s="197">
        <f t="shared" si="37"/>
        <v>108.25272641062116</v>
      </c>
      <c r="O103" s="217">
        <f>1/((N103*1000*L)*(1/D103+1/E103))</f>
        <v>10</v>
      </c>
      <c r="P103" s="173">
        <f>L*O103/E103*1000000</f>
        <v>7.7922077922077913</v>
      </c>
      <c r="Q103" s="173">
        <f>0.5*P103*O103*Nps*N103/1000</f>
        <v>4.2176386913229029</v>
      </c>
      <c r="R103" s="173">
        <f t="shared" si="41"/>
        <v>7.7922077922077913</v>
      </c>
    </row>
    <row r="104" spans="3:18">
      <c r="C104" s="170">
        <v>98</v>
      </c>
      <c r="D104" s="5">
        <f>C104/100*(VIN_max-VIN_min)+VIN_min</f>
        <v>83.679999999999993</v>
      </c>
      <c r="E104" s="443">
        <f t="shared" si="29"/>
        <v>15.4</v>
      </c>
      <c r="F104" s="217">
        <f t="shared" si="30"/>
        <v>0.15542995559144127</v>
      </c>
      <c r="G104" s="172">
        <f>F104*D104*Isw_max*0.5*Efficiency</f>
        <v>325.15946709729508</v>
      </c>
      <c r="H104" s="217">
        <f>G104/Vout</f>
        <v>21.67729780648634</v>
      </c>
      <c r="I104" s="443">
        <f t="shared" si="33"/>
        <v>99.08</v>
      </c>
      <c r="J104" s="172">
        <f t="shared" si="34"/>
        <v>1.35</v>
      </c>
      <c r="K104" s="172">
        <f>L*J104/D104*1000000</f>
        <v>0.19359464627151055</v>
      </c>
      <c r="L104" s="172">
        <f t="shared" si="36"/>
        <v>1.051948051948052</v>
      </c>
      <c r="M104" s="443">
        <f t="shared" si="43"/>
        <v>350</v>
      </c>
      <c r="N104" s="197">
        <f t="shared" si="37"/>
        <v>108.38648903243171</v>
      </c>
      <c r="O104" s="217">
        <f>1/((N104*1000*L)*(1/D104+1/E104))</f>
        <v>10</v>
      </c>
      <c r="P104" s="173">
        <f>L*O104/E104*1000000</f>
        <v>7.7922077922077913</v>
      </c>
      <c r="Q104" s="173">
        <f>0.5*P104*O104*Nps*N104/1000</f>
        <v>4.2228502220427933</v>
      </c>
      <c r="R104" s="173">
        <f t="shared" si="41"/>
        <v>7.7922077922077913</v>
      </c>
    </row>
    <row r="105" spans="3:18">
      <c r="C105" s="170">
        <v>99</v>
      </c>
      <c r="D105" s="5">
        <f>C105/100*(VIN_max-VIN_min)+VIN_min</f>
        <v>84.34</v>
      </c>
      <c r="E105" s="443">
        <f t="shared" si="29"/>
        <v>15.4</v>
      </c>
      <c r="F105" s="217">
        <f t="shared" si="30"/>
        <v>0.15440144375375978</v>
      </c>
      <c r="G105" s="172">
        <f>F105*D105*Isw_max*0.5*Efficiency</f>
        <v>325.5554441548025</v>
      </c>
      <c r="H105" s="217">
        <f>G105/Vout</f>
        <v>21.703696276986832</v>
      </c>
      <c r="I105" s="443">
        <f t="shared" si="33"/>
        <v>99.740000000000009</v>
      </c>
      <c r="J105" s="172">
        <f t="shared" si="34"/>
        <v>1.35</v>
      </c>
      <c r="K105" s="172">
        <f>L*J105/D105*1000000</f>
        <v>0.19207967749585012</v>
      </c>
      <c r="L105" s="172">
        <f t="shared" si="36"/>
        <v>1.051948051948052</v>
      </c>
      <c r="M105" s="443">
        <f t="shared" si="43"/>
        <v>350</v>
      </c>
      <c r="N105" s="197">
        <f t="shared" si="37"/>
        <v>108.51848138493416</v>
      </c>
      <c r="O105" s="217">
        <f>1/((N105*1000*L)*(1/D105+1/E105))</f>
        <v>10</v>
      </c>
      <c r="P105" s="173">
        <f>L*O105/E105*1000000</f>
        <v>7.7922077922077913</v>
      </c>
      <c r="Q105" s="173">
        <f>0.5*P105*O105*Nps*N105/1000</f>
        <v>4.227992781231201</v>
      </c>
      <c r="R105" s="173">
        <f t="shared" si="41"/>
        <v>7.7922077922077913</v>
      </c>
    </row>
    <row r="106" spans="3:18">
      <c r="C106" s="170">
        <v>100</v>
      </c>
      <c r="D106" s="5">
        <f>C106/100*(VIN_max-VIN_min)+VIN_min</f>
        <v>85</v>
      </c>
      <c r="E106" s="443">
        <f t="shared" si="29"/>
        <v>15.4</v>
      </c>
      <c r="F106" s="217">
        <f t="shared" si="30"/>
        <v>0.15338645418326693</v>
      </c>
      <c r="G106" s="172">
        <f>F106*D106*Isw_max*0.5*Efficiency</f>
        <v>325.94621513944224</v>
      </c>
      <c r="H106" s="217">
        <f>G106/Vout</f>
        <v>21.729747675962816</v>
      </c>
      <c r="I106" s="443">
        <f t="shared" si="33"/>
        <v>100.4</v>
      </c>
      <c r="J106" s="172">
        <f t="shared" si="34"/>
        <v>1.35</v>
      </c>
      <c r="K106" s="172">
        <f>L*J106/D106*1000000</f>
        <v>0.19058823529411764</v>
      </c>
      <c r="L106" s="172">
        <f t="shared" si="36"/>
        <v>1.051948051948052</v>
      </c>
      <c r="M106" s="443">
        <f t="shared" si="43"/>
        <v>350</v>
      </c>
      <c r="N106" s="197">
        <f t="shared" si="37"/>
        <v>108.64873837981409</v>
      </c>
      <c r="O106" s="217">
        <f>1/((N106*1000*L)*(1/D106+1/E106))</f>
        <v>10</v>
      </c>
      <c r="P106" s="173">
        <f>L*O106/E106*1000000</f>
        <v>7.7922077922077913</v>
      </c>
      <c r="Q106" s="173">
        <f>0.5*P106*O106*Nps*N106/1000</f>
        <v>4.2330677290836656</v>
      </c>
      <c r="R106" s="173">
        <f t="shared" si="41"/>
        <v>7.7922077922077913</v>
      </c>
    </row>
  </sheetData>
  <sheetProtection sheet="1" objects="1" scenarios="1"/>
  <mergeCells count="1">
    <mergeCell ref="F4:O4"/>
  </mergeCells>
  <phoneticPr fontId="8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Q64"/>
  <sheetViews>
    <sheetView zoomScale="70" zoomScaleNormal="70" workbookViewId="0">
      <selection activeCell="Q36" sqref="Q36"/>
    </sheetView>
  </sheetViews>
  <sheetFormatPr defaultRowHeight="12.5"/>
  <cols>
    <col min="1" max="1" width="9.54296875" style="114" customWidth="1"/>
    <col min="2" max="2" width="11.453125" style="114" customWidth="1"/>
    <col min="3" max="3" width="13.453125" style="114" customWidth="1"/>
    <col min="4" max="4" width="20.1796875" style="114" customWidth="1"/>
    <col min="5" max="5" width="17.26953125" style="114" customWidth="1"/>
    <col min="6" max="6" width="13.54296875" style="114" customWidth="1"/>
    <col min="7" max="7" width="16.1796875" style="114" customWidth="1"/>
    <col min="8" max="8" width="18.1796875" style="114" customWidth="1"/>
    <col min="9" max="9" width="10.81640625" style="114" customWidth="1"/>
    <col min="10" max="10" width="15.81640625" style="114" customWidth="1"/>
    <col min="11" max="11" width="11.81640625" style="462" customWidth="1"/>
    <col min="12" max="12" width="7.81640625" style="461" customWidth="1"/>
    <col min="13" max="13" width="11.7265625" style="114" customWidth="1"/>
    <col min="14" max="254" width="9.1796875" style="114"/>
    <col min="255" max="255" width="8.7265625" style="114" bestFit="1" customWidth="1"/>
    <col min="256" max="256" width="13.26953125" style="114" customWidth="1"/>
    <col min="257" max="257" width="16.1796875" style="114" bestFit="1" customWidth="1"/>
    <col min="258" max="258" width="23.54296875" style="114" customWidth="1"/>
    <col min="259" max="259" width="17.26953125" style="114" customWidth="1"/>
    <col min="260" max="260" width="20.54296875" style="114" bestFit="1" customWidth="1"/>
    <col min="261" max="261" width="17.1796875" style="114" customWidth="1"/>
    <col min="262" max="262" width="21.81640625" style="114" bestFit="1" customWidth="1"/>
    <col min="263" max="263" width="17.1796875" style="114" bestFit="1" customWidth="1"/>
    <col min="264" max="264" width="18.1796875" style="114" bestFit="1" customWidth="1"/>
    <col min="265" max="265" width="26.453125" style="114" customWidth="1"/>
    <col min="266" max="510" width="9.1796875" style="114"/>
    <col min="511" max="511" width="8.7265625" style="114" bestFit="1" customWidth="1"/>
    <col min="512" max="512" width="13.26953125" style="114" customWidth="1"/>
    <col min="513" max="513" width="16.1796875" style="114" bestFit="1" customWidth="1"/>
    <col min="514" max="514" width="23.54296875" style="114" customWidth="1"/>
    <col min="515" max="515" width="17.26953125" style="114" customWidth="1"/>
    <col min="516" max="516" width="20.54296875" style="114" bestFit="1" customWidth="1"/>
    <col min="517" max="517" width="17.1796875" style="114" customWidth="1"/>
    <col min="518" max="518" width="21.81640625" style="114" bestFit="1" customWidth="1"/>
    <col min="519" max="519" width="17.1796875" style="114" bestFit="1" customWidth="1"/>
    <col min="520" max="520" width="18.1796875" style="114" bestFit="1" customWidth="1"/>
    <col min="521" max="521" width="26.453125" style="114" customWidth="1"/>
    <col min="522" max="766" width="9.1796875" style="114"/>
    <col min="767" max="767" width="8.7265625" style="114" bestFit="1" customWidth="1"/>
    <col min="768" max="768" width="13.26953125" style="114" customWidth="1"/>
    <col min="769" max="769" width="16.1796875" style="114" bestFit="1" customWidth="1"/>
    <col min="770" max="770" width="23.54296875" style="114" customWidth="1"/>
    <col min="771" max="771" width="17.26953125" style="114" customWidth="1"/>
    <col min="772" max="772" width="20.54296875" style="114" bestFit="1" customWidth="1"/>
    <col min="773" max="773" width="17.1796875" style="114" customWidth="1"/>
    <col min="774" max="774" width="21.81640625" style="114" bestFit="1" customWidth="1"/>
    <col min="775" max="775" width="17.1796875" style="114" bestFit="1" customWidth="1"/>
    <col min="776" max="776" width="18.1796875" style="114" bestFit="1" customWidth="1"/>
    <col min="777" max="777" width="26.453125" style="114" customWidth="1"/>
    <col min="778" max="1022" width="9.1796875" style="114"/>
    <col min="1023" max="1023" width="8.7265625" style="114" bestFit="1" customWidth="1"/>
    <col min="1024" max="1024" width="13.26953125" style="114" customWidth="1"/>
    <col min="1025" max="1025" width="16.1796875" style="114" bestFit="1" customWidth="1"/>
    <col min="1026" max="1026" width="23.54296875" style="114" customWidth="1"/>
    <col min="1027" max="1027" width="17.26953125" style="114" customWidth="1"/>
    <col min="1028" max="1028" width="20.54296875" style="114" bestFit="1" customWidth="1"/>
    <col min="1029" max="1029" width="17.1796875" style="114" customWidth="1"/>
    <col min="1030" max="1030" width="21.81640625" style="114" bestFit="1" customWidth="1"/>
    <col min="1031" max="1031" width="17.1796875" style="114" bestFit="1" customWidth="1"/>
    <col min="1032" max="1032" width="18.1796875" style="114" bestFit="1" customWidth="1"/>
    <col min="1033" max="1033" width="26.453125" style="114" customWidth="1"/>
    <col min="1034" max="1278" width="9.1796875" style="114"/>
    <col min="1279" max="1279" width="8.7265625" style="114" bestFit="1" customWidth="1"/>
    <col min="1280" max="1280" width="13.26953125" style="114" customWidth="1"/>
    <col min="1281" max="1281" width="16.1796875" style="114" bestFit="1" customWidth="1"/>
    <col min="1282" max="1282" width="23.54296875" style="114" customWidth="1"/>
    <col min="1283" max="1283" width="17.26953125" style="114" customWidth="1"/>
    <col min="1284" max="1284" width="20.54296875" style="114" bestFit="1" customWidth="1"/>
    <col min="1285" max="1285" width="17.1796875" style="114" customWidth="1"/>
    <col min="1286" max="1286" width="21.81640625" style="114" bestFit="1" customWidth="1"/>
    <col min="1287" max="1287" width="17.1796875" style="114" bestFit="1" customWidth="1"/>
    <col min="1288" max="1288" width="18.1796875" style="114" bestFit="1" customWidth="1"/>
    <col min="1289" max="1289" width="26.453125" style="114" customWidth="1"/>
    <col min="1290" max="1534" width="9.1796875" style="114"/>
    <col min="1535" max="1535" width="8.7265625" style="114" bestFit="1" customWidth="1"/>
    <col min="1536" max="1536" width="13.26953125" style="114" customWidth="1"/>
    <col min="1537" max="1537" width="16.1796875" style="114" bestFit="1" customWidth="1"/>
    <col min="1538" max="1538" width="23.54296875" style="114" customWidth="1"/>
    <col min="1539" max="1539" width="17.26953125" style="114" customWidth="1"/>
    <col min="1540" max="1540" width="20.54296875" style="114" bestFit="1" customWidth="1"/>
    <col min="1541" max="1541" width="17.1796875" style="114" customWidth="1"/>
    <col min="1542" max="1542" width="21.81640625" style="114" bestFit="1" customWidth="1"/>
    <col min="1543" max="1543" width="17.1796875" style="114" bestFit="1" customWidth="1"/>
    <col min="1544" max="1544" width="18.1796875" style="114" bestFit="1" customWidth="1"/>
    <col min="1545" max="1545" width="26.453125" style="114" customWidth="1"/>
    <col min="1546" max="1790" width="9.1796875" style="114"/>
    <col min="1791" max="1791" width="8.7265625" style="114" bestFit="1" customWidth="1"/>
    <col min="1792" max="1792" width="13.26953125" style="114" customWidth="1"/>
    <col min="1793" max="1793" width="16.1796875" style="114" bestFit="1" customWidth="1"/>
    <col min="1794" max="1794" width="23.54296875" style="114" customWidth="1"/>
    <col min="1795" max="1795" width="17.26953125" style="114" customWidth="1"/>
    <col min="1796" max="1796" width="20.54296875" style="114" bestFit="1" customWidth="1"/>
    <col min="1797" max="1797" width="17.1796875" style="114" customWidth="1"/>
    <col min="1798" max="1798" width="21.81640625" style="114" bestFit="1" customWidth="1"/>
    <col min="1799" max="1799" width="17.1796875" style="114" bestFit="1" customWidth="1"/>
    <col min="1800" max="1800" width="18.1796875" style="114" bestFit="1" customWidth="1"/>
    <col min="1801" max="1801" width="26.453125" style="114" customWidth="1"/>
    <col min="1802" max="2046" width="9.1796875" style="114"/>
    <col min="2047" max="2047" width="8.7265625" style="114" bestFit="1" customWidth="1"/>
    <col min="2048" max="2048" width="13.26953125" style="114" customWidth="1"/>
    <col min="2049" max="2049" width="16.1796875" style="114" bestFit="1" customWidth="1"/>
    <col min="2050" max="2050" width="23.54296875" style="114" customWidth="1"/>
    <col min="2051" max="2051" width="17.26953125" style="114" customWidth="1"/>
    <col min="2052" max="2052" width="20.54296875" style="114" bestFit="1" customWidth="1"/>
    <col min="2053" max="2053" width="17.1796875" style="114" customWidth="1"/>
    <col min="2054" max="2054" width="21.81640625" style="114" bestFit="1" customWidth="1"/>
    <col min="2055" max="2055" width="17.1796875" style="114" bestFit="1" customWidth="1"/>
    <col min="2056" max="2056" width="18.1796875" style="114" bestFit="1" customWidth="1"/>
    <col min="2057" max="2057" width="26.453125" style="114" customWidth="1"/>
    <col min="2058" max="2302" width="9.1796875" style="114"/>
    <col min="2303" max="2303" width="8.7265625" style="114" bestFit="1" customWidth="1"/>
    <col min="2304" max="2304" width="13.26953125" style="114" customWidth="1"/>
    <col min="2305" max="2305" width="16.1796875" style="114" bestFit="1" customWidth="1"/>
    <col min="2306" max="2306" width="23.54296875" style="114" customWidth="1"/>
    <col min="2307" max="2307" width="17.26953125" style="114" customWidth="1"/>
    <col min="2308" max="2308" width="20.54296875" style="114" bestFit="1" customWidth="1"/>
    <col min="2309" max="2309" width="17.1796875" style="114" customWidth="1"/>
    <col min="2310" max="2310" width="21.81640625" style="114" bestFit="1" customWidth="1"/>
    <col min="2311" max="2311" width="17.1796875" style="114" bestFit="1" customWidth="1"/>
    <col min="2312" max="2312" width="18.1796875" style="114" bestFit="1" customWidth="1"/>
    <col min="2313" max="2313" width="26.453125" style="114" customWidth="1"/>
    <col min="2314" max="2558" width="9.1796875" style="114"/>
    <col min="2559" max="2559" width="8.7265625" style="114" bestFit="1" customWidth="1"/>
    <col min="2560" max="2560" width="13.26953125" style="114" customWidth="1"/>
    <col min="2561" max="2561" width="16.1796875" style="114" bestFit="1" customWidth="1"/>
    <col min="2562" max="2562" width="23.54296875" style="114" customWidth="1"/>
    <col min="2563" max="2563" width="17.26953125" style="114" customWidth="1"/>
    <col min="2564" max="2564" width="20.54296875" style="114" bestFit="1" customWidth="1"/>
    <col min="2565" max="2565" width="17.1796875" style="114" customWidth="1"/>
    <col min="2566" max="2566" width="21.81640625" style="114" bestFit="1" customWidth="1"/>
    <col min="2567" max="2567" width="17.1796875" style="114" bestFit="1" customWidth="1"/>
    <col min="2568" max="2568" width="18.1796875" style="114" bestFit="1" customWidth="1"/>
    <col min="2569" max="2569" width="26.453125" style="114" customWidth="1"/>
    <col min="2570" max="2814" width="9.1796875" style="114"/>
    <col min="2815" max="2815" width="8.7265625" style="114" bestFit="1" customWidth="1"/>
    <col min="2816" max="2816" width="13.26953125" style="114" customWidth="1"/>
    <col min="2817" max="2817" width="16.1796875" style="114" bestFit="1" customWidth="1"/>
    <col min="2818" max="2818" width="23.54296875" style="114" customWidth="1"/>
    <col min="2819" max="2819" width="17.26953125" style="114" customWidth="1"/>
    <col min="2820" max="2820" width="20.54296875" style="114" bestFit="1" customWidth="1"/>
    <col min="2821" max="2821" width="17.1796875" style="114" customWidth="1"/>
    <col min="2822" max="2822" width="21.81640625" style="114" bestFit="1" customWidth="1"/>
    <col min="2823" max="2823" width="17.1796875" style="114" bestFit="1" customWidth="1"/>
    <col min="2824" max="2824" width="18.1796875" style="114" bestFit="1" customWidth="1"/>
    <col min="2825" max="2825" width="26.453125" style="114" customWidth="1"/>
    <col min="2826" max="3070" width="9.1796875" style="114"/>
    <col min="3071" max="3071" width="8.7265625" style="114" bestFit="1" customWidth="1"/>
    <col min="3072" max="3072" width="13.26953125" style="114" customWidth="1"/>
    <col min="3073" max="3073" width="16.1796875" style="114" bestFit="1" customWidth="1"/>
    <col min="3074" max="3074" width="23.54296875" style="114" customWidth="1"/>
    <col min="3075" max="3075" width="17.26953125" style="114" customWidth="1"/>
    <col min="3076" max="3076" width="20.54296875" style="114" bestFit="1" customWidth="1"/>
    <col min="3077" max="3077" width="17.1796875" style="114" customWidth="1"/>
    <col min="3078" max="3078" width="21.81640625" style="114" bestFit="1" customWidth="1"/>
    <col min="3079" max="3079" width="17.1796875" style="114" bestFit="1" customWidth="1"/>
    <col min="3080" max="3080" width="18.1796875" style="114" bestFit="1" customWidth="1"/>
    <col min="3081" max="3081" width="26.453125" style="114" customWidth="1"/>
    <col min="3082" max="3326" width="9.1796875" style="114"/>
    <col min="3327" max="3327" width="8.7265625" style="114" bestFit="1" customWidth="1"/>
    <col min="3328" max="3328" width="13.26953125" style="114" customWidth="1"/>
    <col min="3329" max="3329" width="16.1796875" style="114" bestFit="1" customWidth="1"/>
    <col min="3330" max="3330" width="23.54296875" style="114" customWidth="1"/>
    <col min="3331" max="3331" width="17.26953125" style="114" customWidth="1"/>
    <col min="3332" max="3332" width="20.54296875" style="114" bestFit="1" customWidth="1"/>
    <col min="3333" max="3333" width="17.1796875" style="114" customWidth="1"/>
    <col min="3334" max="3334" width="21.81640625" style="114" bestFit="1" customWidth="1"/>
    <col min="3335" max="3335" width="17.1796875" style="114" bestFit="1" customWidth="1"/>
    <col min="3336" max="3336" width="18.1796875" style="114" bestFit="1" customWidth="1"/>
    <col min="3337" max="3337" width="26.453125" style="114" customWidth="1"/>
    <col min="3338" max="3582" width="9.1796875" style="114"/>
    <col min="3583" max="3583" width="8.7265625" style="114" bestFit="1" customWidth="1"/>
    <col min="3584" max="3584" width="13.26953125" style="114" customWidth="1"/>
    <col min="3585" max="3585" width="16.1796875" style="114" bestFit="1" customWidth="1"/>
    <col min="3586" max="3586" width="23.54296875" style="114" customWidth="1"/>
    <col min="3587" max="3587" width="17.26953125" style="114" customWidth="1"/>
    <col min="3588" max="3588" width="20.54296875" style="114" bestFit="1" customWidth="1"/>
    <col min="3589" max="3589" width="17.1796875" style="114" customWidth="1"/>
    <col min="3590" max="3590" width="21.81640625" style="114" bestFit="1" customWidth="1"/>
    <col min="3591" max="3591" width="17.1796875" style="114" bestFit="1" customWidth="1"/>
    <col min="3592" max="3592" width="18.1796875" style="114" bestFit="1" customWidth="1"/>
    <col min="3593" max="3593" width="26.453125" style="114" customWidth="1"/>
    <col min="3594" max="3838" width="9.1796875" style="114"/>
    <col min="3839" max="3839" width="8.7265625" style="114" bestFit="1" customWidth="1"/>
    <col min="3840" max="3840" width="13.26953125" style="114" customWidth="1"/>
    <col min="3841" max="3841" width="16.1796875" style="114" bestFit="1" customWidth="1"/>
    <col min="3842" max="3842" width="23.54296875" style="114" customWidth="1"/>
    <col min="3843" max="3843" width="17.26953125" style="114" customWidth="1"/>
    <col min="3844" max="3844" width="20.54296875" style="114" bestFit="1" customWidth="1"/>
    <col min="3845" max="3845" width="17.1796875" style="114" customWidth="1"/>
    <col min="3846" max="3846" width="21.81640625" style="114" bestFit="1" customWidth="1"/>
    <col min="3847" max="3847" width="17.1796875" style="114" bestFit="1" customWidth="1"/>
    <col min="3848" max="3848" width="18.1796875" style="114" bestFit="1" customWidth="1"/>
    <col min="3849" max="3849" width="26.453125" style="114" customWidth="1"/>
    <col min="3850" max="4094" width="9.1796875" style="114"/>
    <col min="4095" max="4095" width="8.7265625" style="114" bestFit="1" customWidth="1"/>
    <col min="4096" max="4096" width="13.26953125" style="114" customWidth="1"/>
    <col min="4097" max="4097" width="16.1796875" style="114" bestFit="1" customWidth="1"/>
    <col min="4098" max="4098" width="23.54296875" style="114" customWidth="1"/>
    <col min="4099" max="4099" width="17.26953125" style="114" customWidth="1"/>
    <col min="4100" max="4100" width="20.54296875" style="114" bestFit="1" customWidth="1"/>
    <col min="4101" max="4101" width="17.1796875" style="114" customWidth="1"/>
    <col min="4102" max="4102" width="21.81640625" style="114" bestFit="1" customWidth="1"/>
    <col min="4103" max="4103" width="17.1796875" style="114" bestFit="1" customWidth="1"/>
    <col min="4104" max="4104" width="18.1796875" style="114" bestFit="1" customWidth="1"/>
    <col min="4105" max="4105" width="26.453125" style="114" customWidth="1"/>
    <col min="4106" max="4350" width="9.1796875" style="114"/>
    <col min="4351" max="4351" width="8.7265625" style="114" bestFit="1" customWidth="1"/>
    <col min="4352" max="4352" width="13.26953125" style="114" customWidth="1"/>
    <col min="4353" max="4353" width="16.1796875" style="114" bestFit="1" customWidth="1"/>
    <col min="4354" max="4354" width="23.54296875" style="114" customWidth="1"/>
    <col min="4355" max="4355" width="17.26953125" style="114" customWidth="1"/>
    <col min="4356" max="4356" width="20.54296875" style="114" bestFit="1" customWidth="1"/>
    <col min="4357" max="4357" width="17.1796875" style="114" customWidth="1"/>
    <col min="4358" max="4358" width="21.81640625" style="114" bestFit="1" customWidth="1"/>
    <col min="4359" max="4359" width="17.1796875" style="114" bestFit="1" customWidth="1"/>
    <col min="4360" max="4360" width="18.1796875" style="114" bestFit="1" customWidth="1"/>
    <col min="4361" max="4361" width="26.453125" style="114" customWidth="1"/>
    <col min="4362" max="4606" width="9.1796875" style="114"/>
    <col min="4607" max="4607" width="8.7265625" style="114" bestFit="1" customWidth="1"/>
    <col min="4608" max="4608" width="13.26953125" style="114" customWidth="1"/>
    <col min="4609" max="4609" width="16.1796875" style="114" bestFit="1" customWidth="1"/>
    <col min="4610" max="4610" width="23.54296875" style="114" customWidth="1"/>
    <col min="4611" max="4611" width="17.26953125" style="114" customWidth="1"/>
    <col min="4612" max="4612" width="20.54296875" style="114" bestFit="1" customWidth="1"/>
    <col min="4613" max="4613" width="17.1796875" style="114" customWidth="1"/>
    <col min="4614" max="4614" width="21.81640625" style="114" bestFit="1" customWidth="1"/>
    <col min="4615" max="4615" width="17.1796875" style="114" bestFit="1" customWidth="1"/>
    <col min="4616" max="4616" width="18.1796875" style="114" bestFit="1" customWidth="1"/>
    <col min="4617" max="4617" width="26.453125" style="114" customWidth="1"/>
    <col min="4618" max="4862" width="9.1796875" style="114"/>
    <col min="4863" max="4863" width="8.7265625" style="114" bestFit="1" customWidth="1"/>
    <col min="4864" max="4864" width="13.26953125" style="114" customWidth="1"/>
    <col min="4865" max="4865" width="16.1796875" style="114" bestFit="1" customWidth="1"/>
    <col min="4866" max="4866" width="23.54296875" style="114" customWidth="1"/>
    <col min="4867" max="4867" width="17.26953125" style="114" customWidth="1"/>
    <col min="4868" max="4868" width="20.54296875" style="114" bestFit="1" customWidth="1"/>
    <col min="4869" max="4869" width="17.1796875" style="114" customWidth="1"/>
    <col min="4870" max="4870" width="21.81640625" style="114" bestFit="1" customWidth="1"/>
    <col min="4871" max="4871" width="17.1796875" style="114" bestFit="1" customWidth="1"/>
    <col min="4872" max="4872" width="18.1796875" style="114" bestFit="1" customWidth="1"/>
    <col min="4873" max="4873" width="26.453125" style="114" customWidth="1"/>
    <col min="4874" max="5118" width="9.1796875" style="114"/>
    <col min="5119" max="5119" width="8.7265625" style="114" bestFit="1" customWidth="1"/>
    <col min="5120" max="5120" width="13.26953125" style="114" customWidth="1"/>
    <col min="5121" max="5121" width="16.1796875" style="114" bestFit="1" customWidth="1"/>
    <col min="5122" max="5122" width="23.54296875" style="114" customWidth="1"/>
    <col min="5123" max="5123" width="17.26953125" style="114" customWidth="1"/>
    <col min="5124" max="5124" width="20.54296875" style="114" bestFit="1" customWidth="1"/>
    <col min="5125" max="5125" width="17.1796875" style="114" customWidth="1"/>
    <col min="5126" max="5126" width="21.81640625" style="114" bestFit="1" customWidth="1"/>
    <col min="5127" max="5127" width="17.1796875" style="114" bestFit="1" customWidth="1"/>
    <col min="5128" max="5128" width="18.1796875" style="114" bestFit="1" customWidth="1"/>
    <col min="5129" max="5129" width="26.453125" style="114" customWidth="1"/>
    <col min="5130" max="5374" width="9.1796875" style="114"/>
    <col min="5375" max="5375" width="8.7265625" style="114" bestFit="1" customWidth="1"/>
    <col min="5376" max="5376" width="13.26953125" style="114" customWidth="1"/>
    <col min="5377" max="5377" width="16.1796875" style="114" bestFit="1" customWidth="1"/>
    <col min="5378" max="5378" width="23.54296875" style="114" customWidth="1"/>
    <col min="5379" max="5379" width="17.26953125" style="114" customWidth="1"/>
    <col min="5380" max="5380" width="20.54296875" style="114" bestFit="1" customWidth="1"/>
    <col min="5381" max="5381" width="17.1796875" style="114" customWidth="1"/>
    <col min="5382" max="5382" width="21.81640625" style="114" bestFit="1" customWidth="1"/>
    <col min="5383" max="5383" width="17.1796875" style="114" bestFit="1" customWidth="1"/>
    <col min="5384" max="5384" width="18.1796875" style="114" bestFit="1" customWidth="1"/>
    <col min="5385" max="5385" width="26.453125" style="114" customWidth="1"/>
    <col min="5386" max="5630" width="9.1796875" style="114"/>
    <col min="5631" max="5631" width="8.7265625" style="114" bestFit="1" customWidth="1"/>
    <col min="5632" max="5632" width="13.26953125" style="114" customWidth="1"/>
    <col min="5633" max="5633" width="16.1796875" style="114" bestFit="1" customWidth="1"/>
    <col min="5634" max="5634" width="23.54296875" style="114" customWidth="1"/>
    <col min="5635" max="5635" width="17.26953125" style="114" customWidth="1"/>
    <col min="5636" max="5636" width="20.54296875" style="114" bestFit="1" customWidth="1"/>
    <col min="5637" max="5637" width="17.1796875" style="114" customWidth="1"/>
    <col min="5638" max="5638" width="21.81640625" style="114" bestFit="1" customWidth="1"/>
    <col min="5639" max="5639" width="17.1796875" style="114" bestFit="1" customWidth="1"/>
    <col min="5640" max="5640" width="18.1796875" style="114" bestFit="1" customWidth="1"/>
    <col min="5641" max="5641" width="26.453125" style="114" customWidth="1"/>
    <col min="5642" max="5886" width="9.1796875" style="114"/>
    <col min="5887" max="5887" width="8.7265625" style="114" bestFit="1" customWidth="1"/>
    <col min="5888" max="5888" width="13.26953125" style="114" customWidth="1"/>
    <col min="5889" max="5889" width="16.1796875" style="114" bestFit="1" customWidth="1"/>
    <col min="5890" max="5890" width="23.54296875" style="114" customWidth="1"/>
    <col min="5891" max="5891" width="17.26953125" style="114" customWidth="1"/>
    <col min="5892" max="5892" width="20.54296875" style="114" bestFit="1" customWidth="1"/>
    <col min="5893" max="5893" width="17.1796875" style="114" customWidth="1"/>
    <col min="5894" max="5894" width="21.81640625" style="114" bestFit="1" customWidth="1"/>
    <col min="5895" max="5895" width="17.1796875" style="114" bestFit="1" customWidth="1"/>
    <col min="5896" max="5896" width="18.1796875" style="114" bestFit="1" customWidth="1"/>
    <col min="5897" max="5897" width="26.453125" style="114" customWidth="1"/>
    <col min="5898" max="6142" width="9.1796875" style="114"/>
    <col min="6143" max="6143" width="8.7265625" style="114" bestFit="1" customWidth="1"/>
    <col min="6144" max="6144" width="13.26953125" style="114" customWidth="1"/>
    <col min="6145" max="6145" width="16.1796875" style="114" bestFit="1" customWidth="1"/>
    <col min="6146" max="6146" width="23.54296875" style="114" customWidth="1"/>
    <col min="6147" max="6147" width="17.26953125" style="114" customWidth="1"/>
    <col min="6148" max="6148" width="20.54296875" style="114" bestFit="1" customWidth="1"/>
    <col min="6149" max="6149" width="17.1796875" style="114" customWidth="1"/>
    <col min="6150" max="6150" width="21.81640625" style="114" bestFit="1" customWidth="1"/>
    <col min="6151" max="6151" width="17.1796875" style="114" bestFit="1" customWidth="1"/>
    <col min="6152" max="6152" width="18.1796875" style="114" bestFit="1" customWidth="1"/>
    <col min="6153" max="6153" width="26.453125" style="114" customWidth="1"/>
    <col min="6154" max="6398" width="9.1796875" style="114"/>
    <col min="6399" max="6399" width="8.7265625" style="114" bestFit="1" customWidth="1"/>
    <col min="6400" max="6400" width="13.26953125" style="114" customWidth="1"/>
    <col min="6401" max="6401" width="16.1796875" style="114" bestFit="1" customWidth="1"/>
    <col min="6402" max="6402" width="23.54296875" style="114" customWidth="1"/>
    <col min="6403" max="6403" width="17.26953125" style="114" customWidth="1"/>
    <col min="6404" max="6404" width="20.54296875" style="114" bestFit="1" customWidth="1"/>
    <col min="6405" max="6405" width="17.1796875" style="114" customWidth="1"/>
    <col min="6406" max="6406" width="21.81640625" style="114" bestFit="1" customWidth="1"/>
    <col min="6407" max="6407" width="17.1796875" style="114" bestFit="1" customWidth="1"/>
    <col min="6408" max="6408" width="18.1796875" style="114" bestFit="1" customWidth="1"/>
    <col min="6409" max="6409" width="26.453125" style="114" customWidth="1"/>
    <col min="6410" max="6654" width="9.1796875" style="114"/>
    <col min="6655" max="6655" width="8.7265625" style="114" bestFit="1" customWidth="1"/>
    <col min="6656" max="6656" width="13.26953125" style="114" customWidth="1"/>
    <col min="6657" max="6657" width="16.1796875" style="114" bestFit="1" customWidth="1"/>
    <col min="6658" max="6658" width="23.54296875" style="114" customWidth="1"/>
    <col min="6659" max="6659" width="17.26953125" style="114" customWidth="1"/>
    <col min="6660" max="6660" width="20.54296875" style="114" bestFit="1" customWidth="1"/>
    <col min="6661" max="6661" width="17.1796875" style="114" customWidth="1"/>
    <col min="6662" max="6662" width="21.81640625" style="114" bestFit="1" customWidth="1"/>
    <col min="6663" max="6663" width="17.1796875" style="114" bestFit="1" customWidth="1"/>
    <col min="6664" max="6664" width="18.1796875" style="114" bestFit="1" customWidth="1"/>
    <col min="6665" max="6665" width="26.453125" style="114" customWidth="1"/>
    <col min="6666" max="6910" width="9.1796875" style="114"/>
    <col min="6911" max="6911" width="8.7265625" style="114" bestFit="1" customWidth="1"/>
    <col min="6912" max="6912" width="13.26953125" style="114" customWidth="1"/>
    <col min="6913" max="6913" width="16.1796875" style="114" bestFit="1" customWidth="1"/>
    <col min="6914" max="6914" width="23.54296875" style="114" customWidth="1"/>
    <col min="6915" max="6915" width="17.26953125" style="114" customWidth="1"/>
    <col min="6916" max="6916" width="20.54296875" style="114" bestFit="1" customWidth="1"/>
    <col min="6917" max="6917" width="17.1796875" style="114" customWidth="1"/>
    <col min="6918" max="6918" width="21.81640625" style="114" bestFit="1" customWidth="1"/>
    <col min="6919" max="6919" width="17.1796875" style="114" bestFit="1" customWidth="1"/>
    <col min="6920" max="6920" width="18.1796875" style="114" bestFit="1" customWidth="1"/>
    <col min="6921" max="6921" width="26.453125" style="114" customWidth="1"/>
    <col min="6922" max="7166" width="9.1796875" style="114"/>
    <col min="7167" max="7167" width="8.7265625" style="114" bestFit="1" customWidth="1"/>
    <col min="7168" max="7168" width="13.26953125" style="114" customWidth="1"/>
    <col min="7169" max="7169" width="16.1796875" style="114" bestFit="1" customWidth="1"/>
    <col min="7170" max="7170" width="23.54296875" style="114" customWidth="1"/>
    <col min="7171" max="7171" width="17.26953125" style="114" customWidth="1"/>
    <col min="7172" max="7172" width="20.54296875" style="114" bestFit="1" customWidth="1"/>
    <col min="7173" max="7173" width="17.1796875" style="114" customWidth="1"/>
    <col min="7174" max="7174" width="21.81640625" style="114" bestFit="1" customWidth="1"/>
    <col min="7175" max="7175" width="17.1796875" style="114" bestFit="1" customWidth="1"/>
    <col min="7176" max="7176" width="18.1796875" style="114" bestFit="1" customWidth="1"/>
    <col min="7177" max="7177" width="26.453125" style="114" customWidth="1"/>
    <col min="7178" max="7422" width="9.1796875" style="114"/>
    <col min="7423" max="7423" width="8.7265625" style="114" bestFit="1" customWidth="1"/>
    <col min="7424" max="7424" width="13.26953125" style="114" customWidth="1"/>
    <col min="7425" max="7425" width="16.1796875" style="114" bestFit="1" customWidth="1"/>
    <col min="7426" max="7426" width="23.54296875" style="114" customWidth="1"/>
    <col min="7427" max="7427" width="17.26953125" style="114" customWidth="1"/>
    <col min="7428" max="7428" width="20.54296875" style="114" bestFit="1" customWidth="1"/>
    <col min="7429" max="7429" width="17.1796875" style="114" customWidth="1"/>
    <col min="7430" max="7430" width="21.81640625" style="114" bestFit="1" customWidth="1"/>
    <col min="7431" max="7431" width="17.1796875" style="114" bestFit="1" customWidth="1"/>
    <col min="7432" max="7432" width="18.1796875" style="114" bestFit="1" customWidth="1"/>
    <col min="7433" max="7433" width="26.453125" style="114" customWidth="1"/>
    <col min="7434" max="7678" width="9.1796875" style="114"/>
    <col min="7679" max="7679" width="8.7265625" style="114" bestFit="1" customWidth="1"/>
    <col min="7680" max="7680" width="13.26953125" style="114" customWidth="1"/>
    <col min="7681" max="7681" width="16.1796875" style="114" bestFit="1" customWidth="1"/>
    <col min="7682" max="7682" width="23.54296875" style="114" customWidth="1"/>
    <col min="7683" max="7683" width="17.26953125" style="114" customWidth="1"/>
    <col min="7684" max="7684" width="20.54296875" style="114" bestFit="1" customWidth="1"/>
    <col min="7685" max="7685" width="17.1796875" style="114" customWidth="1"/>
    <col min="7686" max="7686" width="21.81640625" style="114" bestFit="1" customWidth="1"/>
    <col min="7687" max="7687" width="17.1796875" style="114" bestFit="1" customWidth="1"/>
    <col min="7688" max="7688" width="18.1796875" style="114" bestFit="1" customWidth="1"/>
    <col min="7689" max="7689" width="26.453125" style="114" customWidth="1"/>
    <col min="7690" max="7934" width="9.1796875" style="114"/>
    <col min="7935" max="7935" width="8.7265625" style="114" bestFit="1" customWidth="1"/>
    <col min="7936" max="7936" width="13.26953125" style="114" customWidth="1"/>
    <col min="7937" max="7937" width="16.1796875" style="114" bestFit="1" customWidth="1"/>
    <col min="7938" max="7938" width="23.54296875" style="114" customWidth="1"/>
    <col min="7939" max="7939" width="17.26953125" style="114" customWidth="1"/>
    <col min="7940" max="7940" width="20.54296875" style="114" bestFit="1" customWidth="1"/>
    <col min="7941" max="7941" width="17.1796875" style="114" customWidth="1"/>
    <col min="7942" max="7942" width="21.81640625" style="114" bestFit="1" customWidth="1"/>
    <col min="7943" max="7943" width="17.1796875" style="114" bestFit="1" customWidth="1"/>
    <col min="7944" max="7944" width="18.1796875" style="114" bestFit="1" customWidth="1"/>
    <col min="7945" max="7945" width="26.453125" style="114" customWidth="1"/>
    <col min="7946" max="8190" width="9.1796875" style="114"/>
    <col min="8191" max="8191" width="8.7265625" style="114" bestFit="1" customWidth="1"/>
    <col min="8192" max="8192" width="13.26953125" style="114" customWidth="1"/>
    <col min="8193" max="8193" width="16.1796875" style="114" bestFit="1" customWidth="1"/>
    <col min="8194" max="8194" width="23.54296875" style="114" customWidth="1"/>
    <col min="8195" max="8195" width="17.26953125" style="114" customWidth="1"/>
    <col min="8196" max="8196" width="20.54296875" style="114" bestFit="1" customWidth="1"/>
    <col min="8197" max="8197" width="17.1796875" style="114" customWidth="1"/>
    <col min="8198" max="8198" width="21.81640625" style="114" bestFit="1" customWidth="1"/>
    <col min="8199" max="8199" width="17.1796875" style="114" bestFit="1" customWidth="1"/>
    <col min="8200" max="8200" width="18.1796875" style="114" bestFit="1" customWidth="1"/>
    <col min="8201" max="8201" width="26.453125" style="114" customWidth="1"/>
    <col min="8202" max="8446" width="9.1796875" style="114"/>
    <col min="8447" max="8447" width="8.7265625" style="114" bestFit="1" customWidth="1"/>
    <col min="8448" max="8448" width="13.26953125" style="114" customWidth="1"/>
    <col min="8449" max="8449" width="16.1796875" style="114" bestFit="1" customWidth="1"/>
    <col min="8450" max="8450" width="23.54296875" style="114" customWidth="1"/>
    <col min="8451" max="8451" width="17.26953125" style="114" customWidth="1"/>
    <col min="8452" max="8452" width="20.54296875" style="114" bestFit="1" customWidth="1"/>
    <col min="8453" max="8453" width="17.1796875" style="114" customWidth="1"/>
    <col min="8454" max="8454" width="21.81640625" style="114" bestFit="1" customWidth="1"/>
    <col min="8455" max="8455" width="17.1796875" style="114" bestFit="1" customWidth="1"/>
    <col min="8456" max="8456" width="18.1796875" style="114" bestFit="1" customWidth="1"/>
    <col min="8457" max="8457" width="26.453125" style="114" customWidth="1"/>
    <col min="8458" max="8702" width="9.1796875" style="114"/>
    <col min="8703" max="8703" width="8.7265625" style="114" bestFit="1" customWidth="1"/>
    <col min="8704" max="8704" width="13.26953125" style="114" customWidth="1"/>
    <col min="8705" max="8705" width="16.1796875" style="114" bestFit="1" customWidth="1"/>
    <col min="8706" max="8706" width="23.54296875" style="114" customWidth="1"/>
    <col min="8707" max="8707" width="17.26953125" style="114" customWidth="1"/>
    <col min="8708" max="8708" width="20.54296875" style="114" bestFit="1" customWidth="1"/>
    <col min="8709" max="8709" width="17.1796875" style="114" customWidth="1"/>
    <col min="8710" max="8710" width="21.81640625" style="114" bestFit="1" customWidth="1"/>
    <col min="8711" max="8711" width="17.1796875" style="114" bestFit="1" customWidth="1"/>
    <col min="8712" max="8712" width="18.1796875" style="114" bestFit="1" customWidth="1"/>
    <col min="8713" max="8713" width="26.453125" style="114" customWidth="1"/>
    <col min="8714" max="8958" width="9.1796875" style="114"/>
    <col min="8959" max="8959" width="8.7265625" style="114" bestFit="1" customWidth="1"/>
    <col min="8960" max="8960" width="13.26953125" style="114" customWidth="1"/>
    <col min="8961" max="8961" width="16.1796875" style="114" bestFit="1" customWidth="1"/>
    <col min="8962" max="8962" width="23.54296875" style="114" customWidth="1"/>
    <col min="8963" max="8963" width="17.26953125" style="114" customWidth="1"/>
    <col min="8964" max="8964" width="20.54296875" style="114" bestFit="1" customWidth="1"/>
    <col min="8965" max="8965" width="17.1796875" style="114" customWidth="1"/>
    <col min="8966" max="8966" width="21.81640625" style="114" bestFit="1" customWidth="1"/>
    <col min="8967" max="8967" width="17.1796875" style="114" bestFit="1" customWidth="1"/>
    <col min="8968" max="8968" width="18.1796875" style="114" bestFit="1" customWidth="1"/>
    <col min="8969" max="8969" width="26.453125" style="114" customWidth="1"/>
    <col min="8970" max="9214" width="9.1796875" style="114"/>
    <col min="9215" max="9215" width="8.7265625" style="114" bestFit="1" customWidth="1"/>
    <col min="9216" max="9216" width="13.26953125" style="114" customWidth="1"/>
    <col min="9217" max="9217" width="16.1796875" style="114" bestFit="1" customWidth="1"/>
    <col min="9218" max="9218" width="23.54296875" style="114" customWidth="1"/>
    <col min="9219" max="9219" width="17.26953125" style="114" customWidth="1"/>
    <col min="9220" max="9220" width="20.54296875" style="114" bestFit="1" customWidth="1"/>
    <col min="9221" max="9221" width="17.1796875" style="114" customWidth="1"/>
    <col min="9222" max="9222" width="21.81640625" style="114" bestFit="1" customWidth="1"/>
    <col min="9223" max="9223" width="17.1796875" style="114" bestFit="1" customWidth="1"/>
    <col min="9224" max="9224" width="18.1796875" style="114" bestFit="1" customWidth="1"/>
    <col min="9225" max="9225" width="26.453125" style="114" customWidth="1"/>
    <col min="9226" max="9470" width="9.1796875" style="114"/>
    <col min="9471" max="9471" width="8.7265625" style="114" bestFit="1" customWidth="1"/>
    <col min="9472" max="9472" width="13.26953125" style="114" customWidth="1"/>
    <col min="9473" max="9473" width="16.1796875" style="114" bestFit="1" customWidth="1"/>
    <col min="9474" max="9474" width="23.54296875" style="114" customWidth="1"/>
    <col min="9475" max="9475" width="17.26953125" style="114" customWidth="1"/>
    <col min="9476" max="9476" width="20.54296875" style="114" bestFit="1" customWidth="1"/>
    <col min="9477" max="9477" width="17.1796875" style="114" customWidth="1"/>
    <col min="9478" max="9478" width="21.81640625" style="114" bestFit="1" customWidth="1"/>
    <col min="9479" max="9479" width="17.1796875" style="114" bestFit="1" customWidth="1"/>
    <col min="9480" max="9480" width="18.1796875" style="114" bestFit="1" customWidth="1"/>
    <col min="9481" max="9481" width="26.453125" style="114" customWidth="1"/>
    <col min="9482" max="9726" width="9.1796875" style="114"/>
    <col min="9727" max="9727" width="8.7265625" style="114" bestFit="1" customWidth="1"/>
    <col min="9728" max="9728" width="13.26953125" style="114" customWidth="1"/>
    <col min="9729" max="9729" width="16.1796875" style="114" bestFit="1" customWidth="1"/>
    <col min="9730" max="9730" width="23.54296875" style="114" customWidth="1"/>
    <col min="9731" max="9731" width="17.26953125" style="114" customWidth="1"/>
    <col min="9732" max="9732" width="20.54296875" style="114" bestFit="1" customWidth="1"/>
    <col min="9733" max="9733" width="17.1796875" style="114" customWidth="1"/>
    <col min="9734" max="9734" width="21.81640625" style="114" bestFit="1" customWidth="1"/>
    <col min="9735" max="9735" width="17.1796875" style="114" bestFit="1" customWidth="1"/>
    <col min="9736" max="9736" width="18.1796875" style="114" bestFit="1" customWidth="1"/>
    <col min="9737" max="9737" width="26.453125" style="114" customWidth="1"/>
    <col min="9738" max="9982" width="9.1796875" style="114"/>
    <col min="9983" max="9983" width="8.7265625" style="114" bestFit="1" customWidth="1"/>
    <col min="9984" max="9984" width="13.26953125" style="114" customWidth="1"/>
    <col min="9985" max="9985" width="16.1796875" style="114" bestFit="1" customWidth="1"/>
    <col min="9986" max="9986" width="23.54296875" style="114" customWidth="1"/>
    <col min="9987" max="9987" width="17.26953125" style="114" customWidth="1"/>
    <col min="9988" max="9988" width="20.54296875" style="114" bestFit="1" customWidth="1"/>
    <col min="9989" max="9989" width="17.1796875" style="114" customWidth="1"/>
    <col min="9990" max="9990" width="21.81640625" style="114" bestFit="1" customWidth="1"/>
    <col min="9991" max="9991" width="17.1796875" style="114" bestFit="1" customWidth="1"/>
    <col min="9992" max="9992" width="18.1796875" style="114" bestFit="1" customWidth="1"/>
    <col min="9993" max="9993" width="26.453125" style="114" customWidth="1"/>
    <col min="9994" max="10238" width="9.1796875" style="114"/>
    <col min="10239" max="10239" width="8.7265625" style="114" bestFit="1" customWidth="1"/>
    <col min="10240" max="10240" width="13.26953125" style="114" customWidth="1"/>
    <col min="10241" max="10241" width="16.1796875" style="114" bestFit="1" customWidth="1"/>
    <col min="10242" max="10242" width="23.54296875" style="114" customWidth="1"/>
    <col min="10243" max="10243" width="17.26953125" style="114" customWidth="1"/>
    <col min="10244" max="10244" width="20.54296875" style="114" bestFit="1" customWidth="1"/>
    <col min="10245" max="10245" width="17.1796875" style="114" customWidth="1"/>
    <col min="10246" max="10246" width="21.81640625" style="114" bestFit="1" customWidth="1"/>
    <col min="10247" max="10247" width="17.1796875" style="114" bestFit="1" customWidth="1"/>
    <col min="10248" max="10248" width="18.1796875" style="114" bestFit="1" customWidth="1"/>
    <col min="10249" max="10249" width="26.453125" style="114" customWidth="1"/>
    <col min="10250" max="10494" width="9.1796875" style="114"/>
    <col min="10495" max="10495" width="8.7265625" style="114" bestFit="1" customWidth="1"/>
    <col min="10496" max="10496" width="13.26953125" style="114" customWidth="1"/>
    <col min="10497" max="10497" width="16.1796875" style="114" bestFit="1" customWidth="1"/>
    <col min="10498" max="10498" width="23.54296875" style="114" customWidth="1"/>
    <col min="10499" max="10499" width="17.26953125" style="114" customWidth="1"/>
    <col min="10500" max="10500" width="20.54296875" style="114" bestFit="1" customWidth="1"/>
    <col min="10501" max="10501" width="17.1796875" style="114" customWidth="1"/>
    <col min="10502" max="10502" width="21.81640625" style="114" bestFit="1" customWidth="1"/>
    <col min="10503" max="10503" width="17.1796875" style="114" bestFit="1" customWidth="1"/>
    <col min="10504" max="10504" width="18.1796875" style="114" bestFit="1" customWidth="1"/>
    <col min="10505" max="10505" width="26.453125" style="114" customWidth="1"/>
    <col min="10506" max="10750" width="9.1796875" style="114"/>
    <col min="10751" max="10751" width="8.7265625" style="114" bestFit="1" customWidth="1"/>
    <col min="10752" max="10752" width="13.26953125" style="114" customWidth="1"/>
    <col min="10753" max="10753" width="16.1796875" style="114" bestFit="1" customWidth="1"/>
    <col min="10754" max="10754" width="23.54296875" style="114" customWidth="1"/>
    <col min="10755" max="10755" width="17.26953125" style="114" customWidth="1"/>
    <col min="10756" max="10756" width="20.54296875" style="114" bestFit="1" customWidth="1"/>
    <col min="10757" max="10757" width="17.1796875" style="114" customWidth="1"/>
    <col min="10758" max="10758" width="21.81640625" style="114" bestFit="1" customWidth="1"/>
    <col min="10759" max="10759" width="17.1796875" style="114" bestFit="1" customWidth="1"/>
    <col min="10760" max="10760" width="18.1796875" style="114" bestFit="1" customWidth="1"/>
    <col min="10761" max="10761" width="26.453125" style="114" customWidth="1"/>
    <col min="10762" max="11006" width="9.1796875" style="114"/>
    <col min="11007" max="11007" width="8.7265625" style="114" bestFit="1" customWidth="1"/>
    <col min="11008" max="11008" width="13.26953125" style="114" customWidth="1"/>
    <col min="11009" max="11009" width="16.1796875" style="114" bestFit="1" customWidth="1"/>
    <col min="11010" max="11010" width="23.54296875" style="114" customWidth="1"/>
    <col min="11011" max="11011" width="17.26953125" style="114" customWidth="1"/>
    <col min="11012" max="11012" width="20.54296875" style="114" bestFit="1" customWidth="1"/>
    <col min="11013" max="11013" width="17.1796875" style="114" customWidth="1"/>
    <col min="11014" max="11014" width="21.81640625" style="114" bestFit="1" customWidth="1"/>
    <col min="11015" max="11015" width="17.1796875" style="114" bestFit="1" customWidth="1"/>
    <col min="11016" max="11016" width="18.1796875" style="114" bestFit="1" customWidth="1"/>
    <col min="11017" max="11017" width="26.453125" style="114" customWidth="1"/>
    <col min="11018" max="11262" width="9.1796875" style="114"/>
    <col min="11263" max="11263" width="8.7265625" style="114" bestFit="1" customWidth="1"/>
    <col min="11264" max="11264" width="13.26953125" style="114" customWidth="1"/>
    <col min="11265" max="11265" width="16.1796875" style="114" bestFit="1" customWidth="1"/>
    <col min="11266" max="11266" width="23.54296875" style="114" customWidth="1"/>
    <col min="11267" max="11267" width="17.26953125" style="114" customWidth="1"/>
    <col min="11268" max="11268" width="20.54296875" style="114" bestFit="1" customWidth="1"/>
    <col min="11269" max="11269" width="17.1796875" style="114" customWidth="1"/>
    <col min="11270" max="11270" width="21.81640625" style="114" bestFit="1" customWidth="1"/>
    <col min="11271" max="11271" width="17.1796875" style="114" bestFit="1" customWidth="1"/>
    <col min="11272" max="11272" width="18.1796875" style="114" bestFit="1" customWidth="1"/>
    <col min="11273" max="11273" width="26.453125" style="114" customWidth="1"/>
    <col min="11274" max="11518" width="9.1796875" style="114"/>
    <col min="11519" max="11519" width="8.7265625" style="114" bestFit="1" customWidth="1"/>
    <col min="11520" max="11520" width="13.26953125" style="114" customWidth="1"/>
    <col min="11521" max="11521" width="16.1796875" style="114" bestFit="1" customWidth="1"/>
    <col min="11522" max="11522" width="23.54296875" style="114" customWidth="1"/>
    <col min="11523" max="11523" width="17.26953125" style="114" customWidth="1"/>
    <col min="11524" max="11524" width="20.54296875" style="114" bestFit="1" customWidth="1"/>
    <col min="11525" max="11525" width="17.1796875" style="114" customWidth="1"/>
    <col min="11526" max="11526" width="21.81640625" style="114" bestFit="1" customWidth="1"/>
    <col min="11527" max="11527" width="17.1796875" style="114" bestFit="1" customWidth="1"/>
    <col min="11528" max="11528" width="18.1796875" style="114" bestFit="1" customWidth="1"/>
    <col min="11529" max="11529" width="26.453125" style="114" customWidth="1"/>
    <col min="11530" max="11774" width="9.1796875" style="114"/>
    <col min="11775" max="11775" width="8.7265625" style="114" bestFit="1" customWidth="1"/>
    <col min="11776" max="11776" width="13.26953125" style="114" customWidth="1"/>
    <col min="11777" max="11777" width="16.1796875" style="114" bestFit="1" customWidth="1"/>
    <col min="11778" max="11778" width="23.54296875" style="114" customWidth="1"/>
    <col min="11779" max="11779" width="17.26953125" style="114" customWidth="1"/>
    <col min="11780" max="11780" width="20.54296875" style="114" bestFit="1" customWidth="1"/>
    <col min="11781" max="11781" width="17.1796875" style="114" customWidth="1"/>
    <col min="11782" max="11782" width="21.81640625" style="114" bestFit="1" customWidth="1"/>
    <col min="11783" max="11783" width="17.1796875" style="114" bestFit="1" customWidth="1"/>
    <col min="11784" max="11784" width="18.1796875" style="114" bestFit="1" customWidth="1"/>
    <col min="11785" max="11785" width="26.453125" style="114" customWidth="1"/>
    <col min="11786" max="12030" width="9.1796875" style="114"/>
    <col min="12031" max="12031" width="8.7265625" style="114" bestFit="1" customWidth="1"/>
    <col min="12032" max="12032" width="13.26953125" style="114" customWidth="1"/>
    <col min="12033" max="12033" width="16.1796875" style="114" bestFit="1" customWidth="1"/>
    <col min="12034" max="12034" width="23.54296875" style="114" customWidth="1"/>
    <col min="12035" max="12035" width="17.26953125" style="114" customWidth="1"/>
    <col min="12036" max="12036" width="20.54296875" style="114" bestFit="1" customWidth="1"/>
    <col min="12037" max="12037" width="17.1796875" style="114" customWidth="1"/>
    <col min="12038" max="12038" width="21.81640625" style="114" bestFit="1" customWidth="1"/>
    <col min="12039" max="12039" width="17.1796875" style="114" bestFit="1" customWidth="1"/>
    <col min="12040" max="12040" width="18.1796875" style="114" bestFit="1" customWidth="1"/>
    <col min="12041" max="12041" width="26.453125" style="114" customWidth="1"/>
    <col min="12042" max="12286" width="9.1796875" style="114"/>
    <col min="12287" max="12287" width="8.7265625" style="114" bestFit="1" customWidth="1"/>
    <col min="12288" max="12288" width="13.26953125" style="114" customWidth="1"/>
    <col min="12289" max="12289" width="16.1796875" style="114" bestFit="1" customWidth="1"/>
    <col min="12290" max="12290" width="23.54296875" style="114" customWidth="1"/>
    <col min="12291" max="12291" width="17.26953125" style="114" customWidth="1"/>
    <col min="12292" max="12292" width="20.54296875" style="114" bestFit="1" customWidth="1"/>
    <col min="12293" max="12293" width="17.1796875" style="114" customWidth="1"/>
    <col min="12294" max="12294" width="21.81640625" style="114" bestFit="1" customWidth="1"/>
    <col min="12295" max="12295" width="17.1796875" style="114" bestFit="1" customWidth="1"/>
    <col min="12296" max="12296" width="18.1796875" style="114" bestFit="1" customWidth="1"/>
    <col min="12297" max="12297" width="26.453125" style="114" customWidth="1"/>
    <col min="12298" max="12542" width="9.1796875" style="114"/>
    <col min="12543" max="12543" width="8.7265625" style="114" bestFit="1" customWidth="1"/>
    <col min="12544" max="12544" width="13.26953125" style="114" customWidth="1"/>
    <col min="12545" max="12545" width="16.1796875" style="114" bestFit="1" customWidth="1"/>
    <col min="12546" max="12546" width="23.54296875" style="114" customWidth="1"/>
    <col min="12547" max="12547" width="17.26953125" style="114" customWidth="1"/>
    <col min="12548" max="12548" width="20.54296875" style="114" bestFit="1" customWidth="1"/>
    <col min="12549" max="12549" width="17.1796875" style="114" customWidth="1"/>
    <col min="12550" max="12550" width="21.81640625" style="114" bestFit="1" customWidth="1"/>
    <col min="12551" max="12551" width="17.1796875" style="114" bestFit="1" customWidth="1"/>
    <col min="12552" max="12552" width="18.1796875" style="114" bestFit="1" customWidth="1"/>
    <col min="12553" max="12553" width="26.453125" style="114" customWidth="1"/>
    <col min="12554" max="12798" width="9.1796875" style="114"/>
    <col min="12799" max="12799" width="8.7265625" style="114" bestFit="1" customWidth="1"/>
    <col min="12800" max="12800" width="13.26953125" style="114" customWidth="1"/>
    <col min="12801" max="12801" width="16.1796875" style="114" bestFit="1" customWidth="1"/>
    <col min="12802" max="12802" width="23.54296875" style="114" customWidth="1"/>
    <col min="12803" max="12803" width="17.26953125" style="114" customWidth="1"/>
    <col min="12804" max="12804" width="20.54296875" style="114" bestFit="1" customWidth="1"/>
    <col min="12805" max="12805" width="17.1796875" style="114" customWidth="1"/>
    <col min="12806" max="12806" width="21.81640625" style="114" bestFit="1" customWidth="1"/>
    <col min="12807" max="12807" width="17.1796875" style="114" bestFit="1" customWidth="1"/>
    <col min="12808" max="12808" width="18.1796875" style="114" bestFit="1" customWidth="1"/>
    <col min="12809" max="12809" width="26.453125" style="114" customWidth="1"/>
    <col min="12810" max="13054" width="9.1796875" style="114"/>
    <col min="13055" max="13055" width="8.7265625" style="114" bestFit="1" customWidth="1"/>
    <col min="13056" max="13056" width="13.26953125" style="114" customWidth="1"/>
    <col min="13057" max="13057" width="16.1796875" style="114" bestFit="1" customWidth="1"/>
    <col min="13058" max="13058" width="23.54296875" style="114" customWidth="1"/>
    <col min="13059" max="13059" width="17.26953125" style="114" customWidth="1"/>
    <col min="13060" max="13060" width="20.54296875" style="114" bestFit="1" customWidth="1"/>
    <col min="13061" max="13061" width="17.1796875" style="114" customWidth="1"/>
    <col min="13062" max="13062" width="21.81640625" style="114" bestFit="1" customWidth="1"/>
    <col min="13063" max="13063" width="17.1796875" style="114" bestFit="1" customWidth="1"/>
    <col min="13064" max="13064" width="18.1796875" style="114" bestFit="1" customWidth="1"/>
    <col min="13065" max="13065" width="26.453125" style="114" customWidth="1"/>
    <col min="13066" max="13310" width="9.1796875" style="114"/>
    <col min="13311" max="13311" width="8.7265625" style="114" bestFit="1" customWidth="1"/>
    <col min="13312" max="13312" width="13.26953125" style="114" customWidth="1"/>
    <col min="13313" max="13313" width="16.1796875" style="114" bestFit="1" customWidth="1"/>
    <col min="13314" max="13314" width="23.54296875" style="114" customWidth="1"/>
    <col min="13315" max="13315" width="17.26953125" style="114" customWidth="1"/>
    <col min="13316" max="13316" width="20.54296875" style="114" bestFit="1" customWidth="1"/>
    <col min="13317" max="13317" width="17.1796875" style="114" customWidth="1"/>
    <col min="13318" max="13318" width="21.81640625" style="114" bestFit="1" customWidth="1"/>
    <col min="13319" max="13319" width="17.1796875" style="114" bestFit="1" customWidth="1"/>
    <col min="13320" max="13320" width="18.1796875" style="114" bestFit="1" customWidth="1"/>
    <col min="13321" max="13321" width="26.453125" style="114" customWidth="1"/>
    <col min="13322" max="13566" width="9.1796875" style="114"/>
    <col min="13567" max="13567" width="8.7265625" style="114" bestFit="1" customWidth="1"/>
    <col min="13568" max="13568" width="13.26953125" style="114" customWidth="1"/>
    <col min="13569" max="13569" width="16.1796875" style="114" bestFit="1" customWidth="1"/>
    <col min="13570" max="13570" width="23.54296875" style="114" customWidth="1"/>
    <col min="13571" max="13571" width="17.26953125" style="114" customWidth="1"/>
    <col min="13572" max="13572" width="20.54296875" style="114" bestFit="1" customWidth="1"/>
    <col min="13573" max="13573" width="17.1796875" style="114" customWidth="1"/>
    <col min="13574" max="13574" width="21.81640625" style="114" bestFit="1" customWidth="1"/>
    <col min="13575" max="13575" width="17.1796875" style="114" bestFit="1" customWidth="1"/>
    <col min="13576" max="13576" width="18.1796875" style="114" bestFit="1" customWidth="1"/>
    <col min="13577" max="13577" width="26.453125" style="114" customWidth="1"/>
    <col min="13578" max="13822" width="9.1796875" style="114"/>
    <col min="13823" max="13823" width="8.7265625" style="114" bestFit="1" customWidth="1"/>
    <col min="13824" max="13824" width="13.26953125" style="114" customWidth="1"/>
    <col min="13825" max="13825" width="16.1796875" style="114" bestFit="1" customWidth="1"/>
    <col min="13826" max="13826" width="23.54296875" style="114" customWidth="1"/>
    <col min="13827" max="13827" width="17.26953125" style="114" customWidth="1"/>
    <col min="13828" max="13828" width="20.54296875" style="114" bestFit="1" customWidth="1"/>
    <col min="13829" max="13829" width="17.1796875" style="114" customWidth="1"/>
    <col min="13830" max="13830" width="21.81640625" style="114" bestFit="1" customWidth="1"/>
    <col min="13831" max="13831" width="17.1796875" style="114" bestFit="1" customWidth="1"/>
    <col min="13832" max="13832" width="18.1796875" style="114" bestFit="1" customWidth="1"/>
    <col min="13833" max="13833" width="26.453125" style="114" customWidth="1"/>
    <col min="13834" max="14078" width="9.1796875" style="114"/>
    <col min="14079" max="14079" width="8.7265625" style="114" bestFit="1" customWidth="1"/>
    <col min="14080" max="14080" width="13.26953125" style="114" customWidth="1"/>
    <col min="14081" max="14081" width="16.1796875" style="114" bestFit="1" customWidth="1"/>
    <col min="14082" max="14082" width="23.54296875" style="114" customWidth="1"/>
    <col min="14083" max="14083" width="17.26953125" style="114" customWidth="1"/>
    <col min="14084" max="14084" width="20.54296875" style="114" bestFit="1" customWidth="1"/>
    <col min="14085" max="14085" width="17.1796875" style="114" customWidth="1"/>
    <col min="14086" max="14086" width="21.81640625" style="114" bestFit="1" customWidth="1"/>
    <col min="14087" max="14087" width="17.1796875" style="114" bestFit="1" customWidth="1"/>
    <col min="14088" max="14088" width="18.1796875" style="114" bestFit="1" customWidth="1"/>
    <col min="14089" max="14089" width="26.453125" style="114" customWidth="1"/>
    <col min="14090" max="14334" width="9.1796875" style="114"/>
    <col min="14335" max="14335" width="8.7265625" style="114" bestFit="1" customWidth="1"/>
    <col min="14336" max="14336" width="13.26953125" style="114" customWidth="1"/>
    <col min="14337" max="14337" width="16.1796875" style="114" bestFit="1" customWidth="1"/>
    <col min="14338" max="14338" width="23.54296875" style="114" customWidth="1"/>
    <col min="14339" max="14339" width="17.26953125" style="114" customWidth="1"/>
    <col min="14340" max="14340" width="20.54296875" style="114" bestFit="1" customWidth="1"/>
    <col min="14341" max="14341" width="17.1796875" style="114" customWidth="1"/>
    <col min="14342" max="14342" width="21.81640625" style="114" bestFit="1" customWidth="1"/>
    <col min="14343" max="14343" width="17.1796875" style="114" bestFit="1" customWidth="1"/>
    <col min="14344" max="14344" width="18.1796875" style="114" bestFit="1" customWidth="1"/>
    <col min="14345" max="14345" width="26.453125" style="114" customWidth="1"/>
    <col min="14346" max="14590" width="9.1796875" style="114"/>
    <col min="14591" max="14591" width="8.7265625" style="114" bestFit="1" customWidth="1"/>
    <col min="14592" max="14592" width="13.26953125" style="114" customWidth="1"/>
    <col min="14593" max="14593" width="16.1796875" style="114" bestFit="1" customWidth="1"/>
    <col min="14594" max="14594" width="23.54296875" style="114" customWidth="1"/>
    <col min="14595" max="14595" width="17.26953125" style="114" customWidth="1"/>
    <col min="14596" max="14596" width="20.54296875" style="114" bestFit="1" customWidth="1"/>
    <col min="14597" max="14597" width="17.1796875" style="114" customWidth="1"/>
    <col min="14598" max="14598" width="21.81640625" style="114" bestFit="1" customWidth="1"/>
    <col min="14599" max="14599" width="17.1796875" style="114" bestFit="1" customWidth="1"/>
    <col min="14600" max="14600" width="18.1796875" style="114" bestFit="1" customWidth="1"/>
    <col min="14601" max="14601" width="26.453125" style="114" customWidth="1"/>
    <col min="14602" max="14846" width="9.1796875" style="114"/>
    <col min="14847" max="14847" width="8.7265625" style="114" bestFit="1" customWidth="1"/>
    <col min="14848" max="14848" width="13.26953125" style="114" customWidth="1"/>
    <col min="14849" max="14849" width="16.1796875" style="114" bestFit="1" customWidth="1"/>
    <col min="14850" max="14850" width="23.54296875" style="114" customWidth="1"/>
    <col min="14851" max="14851" width="17.26953125" style="114" customWidth="1"/>
    <col min="14852" max="14852" width="20.54296875" style="114" bestFit="1" customWidth="1"/>
    <col min="14853" max="14853" width="17.1796875" style="114" customWidth="1"/>
    <col min="14854" max="14854" width="21.81640625" style="114" bestFit="1" customWidth="1"/>
    <col min="14855" max="14855" width="17.1796875" style="114" bestFit="1" customWidth="1"/>
    <col min="14856" max="14856" width="18.1796875" style="114" bestFit="1" customWidth="1"/>
    <col min="14857" max="14857" width="26.453125" style="114" customWidth="1"/>
    <col min="14858" max="15102" width="9.1796875" style="114"/>
    <col min="15103" max="15103" width="8.7265625" style="114" bestFit="1" customWidth="1"/>
    <col min="15104" max="15104" width="13.26953125" style="114" customWidth="1"/>
    <col min="15105" max="15105" width="16.1796875" style="114" bestFit="1" customWidth="1"/>
    <col min="15106" max="15106" width="23.54296875" style="114" customWidth="1"/>
    <col min="15107" max="15107" width="17.26953125" style="114" customWidth="1"/>
    <col min="15108" max="15108" width="20.54296875" style="114" bestFit="1" customWidth="1"/>
    <col min="15109" max="15109" width="17.1796875" style="114" customWidth="1"/>
    <col min="15110" max="15110" width="21.81640625" style="114" bestFit="1" customWidth="1"/>
    <col min="15111" max="15111" width="17.1796875" style="114" bestFit="1" customWidth="1"/>
    <col min="15112" max="15112" width="18.1796875" style="114" bestFit="1" customWidth="1"/>
    <col min="15113" max="15113" width="26.453125" style="114" customWidth="1"/>
    <col min="15114" max="15358" width="9.1796875" style="114"/>
    <col min="15359" max="15359" width="8.7265625" style="114" bestFit="1" customWidth="1"/>
    <col min="15360" max="15360" width="13.26953125" style="114" customWidth="1"/>
    <col min="15361" max="15361" width="16.1796875" style="114" bestFit="1" customWidth="1"/>
    <col min="15362" max="15362" width="23.54296875" style="114" customWidth="1"/>
    <col min="15363" max="15363" width="17.26953125" style="114" customWidth="1"/>
    <col min="15364" max="15364" width="20.54296875" style="114" bestFit="1" customWidth="1"/>
    <col min="15365" max="15365" width="17.1796875" style="114" customWidth="1"/>
    <col min="15366" max="15366" width="21.81640625" style="114" bestFit="1" customWidth="1"/>
    <col min="15367" max="15367" width="17.1796875" style="114" bestFit="1" customWidth="1"/>
    <col min="15368" max="15368" width="18.1796875" style="114" bestFit="1" customWidth="1"/>
    <col min="15369" max="15369" width="26.453125" style="114" customWidth="1"/>
    <col min="15370" max="15614" width="9.1796875" style="114"/>
    <col min="15615" max="15615" width="8.7265625" style="114" bestFit="1" customWidth="1"/>
    <col min="15616" max="15616" width="13.26953125" style="114" customWidth="1"/>
    <col min="15617" max="15617" width="16.1796875" style="114" bestFit="1" customWidth="1"/>
    <col min="15618" max="15618" width="23.54296875" style="114" customWidth="1"/>
    <col min="15619" max="15619" width="17.26953125" style="114" customWidth="1"/>
    <col min="15620" max="15620" width="20.54296875" style="114" bestFit="1" customWidth="1"/>
    <col min="15621" max="15621" width="17.1796875" style="114" customWidth="1"/>
    <col min="15622" max="15622" width="21.81640625" style="114" bestFit="1" customWidth="1"/>
    <col min="15623" max="15623" width="17.1796875" style="114" bestFit="1" customWidth="1"/>
    <col min="15624" max="15624" width="18.1796875" style="114" bestFit="1" customWidth="1"/>
    <col min="15625" max="15625" width="26.453125" style="114" customWidth="1"/>
    <col min="15626" max="15870" width="9.1796875" style="114"/>
    <col min="15871" max="15871" width="8.7265625" style="114" bestFit="1" customWidth="1"/>
    <col min="15872" max="15872" width="13.26953125" style="114" customWidth="1"/>
    <col min="15873" max="15873" width="16.1796875" style="114" bestFit="1" customWidth="1"/>
    <col min="15874" max="15874" width="23.54296875" style="114" customWidth="1"/>
    <col min="15875" max="15875" width="17.26953125" style="114" customWidth="1"/>
    <col min="15876" max="15876" width="20.54296875" style="114" bestFit="1" customWidth="1"/>
    <col min="15877" max="15877" width="17.1796875" style="114" customWidth="1"/>
    <col min="15878" max="15878" width="21.81640625" style="114" bestFit="1" customWidth="1"/>
    <col min="15879" max="15879" width="17.1796875" style="114" bestFit="1" customWidth="1"/>
    <col min="15880" max="15880" width="18.1796875" style="114" bestFit="1" customWidth="1"/>
    <col min="15881" max="15881" width="26.453125" style="114" customWidth="1"/>
    <col min="15882" max="16126" width="9.1796875" style="114"/>
    <col min="16127" max="16127" width="8.7265625" style="114" bestFit="1" customWidth="1"/>
    <col min="16128" max="16128" width="13.26953125" style="114" customWidth="1"/>
    <col min="16129" max="16129" width="16.1796875" style="114" bestFit="1" customWidth="1"/>
    <col min="16130" max="16130" width="23.54296875" style="114" customWidth="1"/>
    <col min="16131" max="16131" width="17.26953125" style="114" customWidth="1"/>
    <col min="16132" max="16132" width="20.54296875" style="114" bestFit="1" customWidth="1"/>
    <col min="16133" max="16133" width="17.1796875" style="114" customWidth="1"/>
    <col min="16134" max="16134" width="21.81640625" style="114" bestFit="1" customWidth="1"/>
    <col min="16135" max="16135" width="17.1796875" style="114" bestFit="1" customWidth="1"/>
    <col min="16136" max="16136" width="18.1796875" style="114" bestFit="1" customWidth="1"/>
    <col min="16137" max="16137" width="26.453125" style="114" customWidth="1"/>
    <col min="16138" max="16384" width="9.1796875" style="114"/>
  </cols>
  <sheetData>
    <row r="1" spans="11:12" s="131" customFormat="1">
      <c r="K1" s="470"/>
      <c r="L1" s="469"/>
    </row>
    <row r="2" spans="11:12" s="131" customFormat="1">
      <c r="K2" s="470"/>
      <c r="L2" s="469"/>
    </row>
    <row r="3" spans="11:12" s="131" customFormat="1">
      <c r="K3" s="470"/>
      <c r="L3" s="469"/>
    </row>
    <row r="4" spans="11:12" s="131" customFormat="1">
      <c r="K4" s="470"/>
      <c r="L4" s="469"/>
    </row>
    <row r="5" spans="11:12" s="131" customFormat="1">
      <c r="K5" s="470"/>
      <c r="L5" s="469"/>
    </row>
    <row r="6" spans="11:12" s="131" customFormat="1">
      <c r="K6" s="470"/>
      <c r="L6" s="469"/>
    </row>
    <row r="7" spans="11:12" s="131" customFormat="1">
      <c r="K7" s="470"/>
      <c r="L7" s="469"/>
    </row>
    <row r="8" spans="11:12" s="131" customFormat="1">
      <c r="K8" s="470"/>
      <c r="L8" s="469"/>
    </row>
    <row r="9" spans="11:12" s="131" customFormat="1">
      <c r="K9" s="470"/>
      <c r="L9" s="469"/>
    </row>
    <row r="10" spans="11:12" s="131" customFormat="1">
      <c r="K10" s="470"/>
      <c r="L10" s="469"/>
    </row>
    <row r="11" spans="11:12" s="131" customFormat="1">
      <c r="K11" s="470"/>
      <c r="L11" s="469"/>
    </row>
    <row r="12" spans="11:12" s="131" customFormat="1">
      <c r="K12" s="470"/>
      <c r="L12" s="469"/>
    </row>
    <row r="13" spans="11:12" s="131" customFormat="1">
      <c r="K13" s="470"/>
      <c r="L13" s="469"/>
    </row>
    <row r="14" spans="11:12" s="131" customFormat="1">
      <c r="K14" s="470"/>
      <c r="L14" s="469"/>
    </row>
    <row r="15" spans="11:12" s="131" customFormat="1">
      <c r="K15" s="470"/>
      <c r="L15" s="469"/>
    </row>
    <row r="16" spans="11:12" s="131" customFormat="1">
      <c r="K16" s="470"/>
      <c r="L16" s="469"/>
    </row>
    <row r="17" spans="1:17" s="131" customFormat="1">
      <c r="K17" s="470"/>
      <c r="L17" s="469"/>
    </row>
    <row r="18" spans="1:17" s="131" customFormat="1">
      <c r="K18" s="470"/>
      <c r="L18" s="469"/>
    </row>
    <row r="19" spans="1:17" s="131" customFormat="1">
      <c r="K19" s="470"/>
      <c r="L19" s="469"/>
    </row>
    <row r="20" spans="1:17" s="131" customFormat="1">
      <c r="K20" s="470"/>
      <c r="L20" s="469"/>
    </row>
    <row r="21" spans="1:17" s="131" customFormat="1">
      <c r="K21" s="470"/>
      <c r="L21" s="469"/>
    </row>
    <row r="22" spans="1:17" s="131" customFormat="1">
      <c r="K22" s="470"/>
      <c r="L22" s="469"/>
    </row>
    <row r="23" spans="1:17" s="131" customFormat="1">
      <c r="K23" s="470"/>
      <c r="L23" s="469"/>
    </row>
    <row r="24" spans="1:17" s="131" customFormat="1">
      <c r="K24" s="470"/>
      <c r="L24" s="469"/>
    </row>
    <row r="25" spans="1:17" s="131" customFormat="1">
      <c r="K25" s="470"/>
      <c r="L25" s="469"/>
    </row>
    <row r="26" spans="1:17" s="131" customFormat="1">
      <c r="K26" s="470"/>
      <c r="L26" s="469"/>
    </row>
    <row r="27" spans="1:17" s="131" customFormat="1">
      <c r="K27" s="470"/>
      <c r="L27" s="469"/>
    </row>
    <row r="28" spans="1:17" s="131" customFormat="1" ht="24.75" customHeight="1">
      <c r="A28" s="496" t="str">
        <f>CHOOSE(MODE, 'Variable Mgmt'!K11,'Variable Mgmt'!K12)</f>
        <v>SINGLE Output PSR Flyback Converter, VIN = 58 V, VOUT = 15 V, IOUT = 10 A</v>
      </c>
      <c r="K28" s="469"/>
      <c r="L28" s="469"/>
    </row>
    <row r="29" spans="1:17" ht="24.75" customHeight="1" thickBot="1">
      <c r="A29" s="115" t="s">
        <v>937</v>
      </c>
    </row>
    <row r="30" spans="1:17" ht="18" customHeight="1">
      <c r="A30" s="202" t="s">
        <v>123</v>
      </c>
      <c r="B30" s="203" t="s">
        <v>122</v>
      </c>
      <c r="C30" s="203" t="s">
        <v>6</v>
      </c>
      <c r="D30" s="962" t="s">
        <v>41</v>
      </c>
      <c r="E30" s="963"/>
      <c r="F30" s="964"/>
      <c r="G30" s="203" t="s">
        <v>116</v>
      </c>
      <c r="H30" s="203" t="s">
        <v>67</v>
      </c>
      <c r="I30" s="488" t="s">
        <v>117</v>
      </c>
      <c r="J30" s="489" t="s">
        <v>346</v>
      </c>
      <c r="K30" s="490" t="s">
        <v>354</v>
      </c>
      <c r="L30" s="463"/>
      <c r="N30" s="117"/>
      <c r="Q30" s="495"/>
    </row>
    <row r="31" spans="1:17" s="117" customFormat="1" ht="17.149999999999999" customHeight="1">
      <c r="A31" s="116">
        <f>ROUNDUP('Design Converter'!E30/10,0)</f>
        <v>3</v>
      </c>
      <c r="B31" s="127" t="s">
        <v>120</v>
      </c>
      <c r="C31" s="130">
        <f>Cin</f>
        <v>22</v>
      </c>
      <c r="D31" s="954" t="str">
        <f>IF(VIN_max&gt;35, "Capacitor, Ceramic, "&amp;'Variable Mgmt'!B250&amp;", 100V, X7R, 10%", "Capacitor, Ceramic, "&amp;'Variable Mgmt'!B250&amp;", 50V, X7R, 10%")</f>
        <v>Capacitor, Ceramic, 22µF, 100V, X7R, 10%</v>
      </c>
      <c r="E31" s="955"/>
      <c r="F31" s="955"/>
      <c r="G31" s="128"/>
      <c r="H31" s="129" t="s">
        <v>118</v>
      </c>
      <c r="I31" s="475" t="s">
        <v>118</v>
      </c>
      <c r="J31" s="484" t="str">
        <f>CHOOSE(Q31,'Variable Mgmt'!T78,'Variable Mgmt'!T79,'Variable Mgmt'!T80,'Variable Mgmt'!T81,'Variable Mgmt'!T82)</f>
        <v>1.0 x 0.5</v>
      </c>
      <c r="K31" s="482">
        <f>CHOOSE(Q31,'Variable Mgmt'!U78,'Variable Mgmt'!U79,'Variable Mgmt'!U80,'Variable Mgmt'!U81,'Variable Mgmt'!U82)</f>
        <v>0.5</v>
      </c>
      <c r="L31" s="487"/>
      <c r="Q31" s="493">
        <v>1</v>
      </c>
    </row>
    <row r="32" spans="1:17" s="117" customFormat="1" ht="17.149999999999999" customHeight="1">
      <c r="A32" s="116">
        <v>1</v>
      </c>
      <c r="B32" s="127" t="s">
        <v>121</v>
      </c>
      <c r="C32" s="130">
        <f>Cout</f>
        <v>110</v>
      </c>
      <c r="D32" s="967" t="str">
        <f>CHOOSE(Cout_Voltage_Rating, "Capacitor, Ceramic, "&amp;'Variable Mgmt'!B245&amp;", 6.3V, X7R, 10%", "Capacitor, Ceramic, "&amp;'Variable Mgmt'!B245&amp;", 10V, X7R, 10%", "Capacitor, Ceramic, "&amp;'Variable Mgmt'!B245&amp;", 16V, X7R, 10%", "Capacitor, Ceramic, "&amp;'Variable Mgmt'!B245&amp;", 25V, X7R, 10%",  "Capacitor, Ceramic, "&amp;'Variable Mgmt'!B245&amp;", 50V, X7R, 10%")</f>
        <v>Capacitor, Ceramic, 110µF, 25V, X7R, 10%</v>
      </c>
      <c r="E32" s="968"/>
      <c r="F32" s="968"/>
      <c r="G32" s="128"/>
      <c r="H32" s="129" t="s">
        <v>118</v>
      </c>
      <c r="I32" s="475" t="s">
        <v>118</v>
      </c>
      <c r="J32" s="484" t="str">
        <f>CHOOSE(Q32,'Variable Mgmt'!T78,'Variable Mgmt'!T79,'Variable Mgmt'!T80,'Variable Mgmt'!T81,'Variable Mgmt'!T82)</f>
        <v>3.2 x 2.5</v>
      </c>
      <c r="K32" s="482">
        <f>CHOOSE(Q32,'Variable Mgmt'!U78,'Variable Mgmt'!U79,'Variable Mgmt'!U80,'Variable Mgmt'!U81,'Variable Mgmt'!U82)</f>
        <v>8</v>
      </c>
      <c r="L32" s="487"/>
      <c r="Q32" s="493">
        <v>5</v>
      </c>
    </row>
    <row r="33" spans="1:17" s="117" customFormat="1" ht="17.149999999999999" customHeight="1">
      <c r="A33" s="116" t="str">
        <f>CHOOSE(MODE, "-", "1")</f>
        <v>-</v>
      </c>
      <c r="B33" s="127" t="s">
        <v>625</v>
      </c>
      <c r="C33" s="130" t="str">
        <f>CHOOSE(MODE, "-", Cout2)</f>
        <v>-</v>
      </c>
      <c r="D33" s="598" t="str">
        <f>CHOOSE(MODE, "-", CHOOSE(Cout_Voltage_Rating, "Capacitor, Ceramic, "&amp;'Variable Mgmt'!F245&amp;", 6.3V, X7R, 10%", "Capacitor, Ceramic, "&amp;'Variable Mgmt'!F245&amp;", 10V, X7R, 10%", "Capacitor, Ceramic, "&amp;'Variable Mgmt'!F245&amp;", 16V, X7R, 10%", "Capacitor, Ceramic, "&amp;'Variable Mgmt'!F245&amp;", 25V, X7R, 10%",  "Capacitor, Ceramic, "&amp;'Variable Mgmt'!F245&amp;", 50V, X7R, 10%"))</f>
        <v>-</v>
      </c>
      <c r="E33" s="599"/>
      <c r="F33" s="599"/>
      <c r="G33" s="128"/>
      <c r="H33" s="129" t="str">
        <f>CHOOSE(MODE, "-", "Std")</f>
        <v>-</v>
      </c>
      <c r="I33" s="475" t="str">
        <f>CHOOSE(MODE, "-", "Std")</f>
        <v>-</v>
      </c>
      <c r="J33" s="484" t="str">
        <f>CHOOSE(MODE, "-", CHOOSE(Q33,'Variable Mgmt'!T78,'Variable Mgmt'!T79,'Variable Mgmt'!T80,'Variable Mgmt'!T81,'Variable Mgmt'!T82))</f>
        <v>-</v>
      </c>
      <c r="K33" s="482" t="str">
        <f>CHOOSE(MODE, "-", CHOOSE(Q33,'Variable Mgmt'!U78,'Variable Mgmt'!U79,'Variable Mgmt'!U80,'Variable Mgmt'!U81,'Variable Mgmt'!U82))</f>
        <v>-</v>
      </c>
      <c r="L33" s="487"/>
      <c r="Q33" s="493">
        <v>5</v>
      </c>
    </row>
    <row r="34" spans="1:17" s="117" customFormat="1" ht="17.149999999999999" customHeight="1">
      <c r="A34" s="118" t="str">
        <f>CHOOSE(MODE_SS, "1", "-", "1")</f>
        <v>-</v>
      </c>
      <c r="B34" s="119" t="str">
        <f>CHOOSE(MODE_SS, "Css", "-")</f>
        <v>-</v>
      </c>
      <c r="C34" s="620" t="str">
        <f>CHOOSE(MODE_SS, 'Standard Value Calculator'!B4*1000000000&amp;"nF", "-", "100k")</f>
        <v>-</v>
      </c>
      <c r="D34" s="969" t="str">
        <f>CHOOSE(MODE_SS, "Capacitor, Ceramic, "&amp;'Standard Value Calculator'!B4*1000000000&amp;"nF"&amp;", 16V, X7R, 10%", "-")</f>
        <v>-</v>
      </c>
      <c r="E34" s="970"/>
      <c r="F34" s="970"/>
      <c r="G34" s="120"/>
      <c r="H34" s="121" t="str">
        <f>CHOOSE(MODE_SS, "Std", "-")</f>
        <v>-</v>
      </c>
      <c r="I34" s="476" t="str">
        <f>CHOOSE(MODE_SS, "Std", "-")</f>
        <v>-</v>
      </c>
      <c r="J34" s="484" t="str">
        <f>CHOOSE(MODE_SS,CHOOSE(Q34,'Variable Mgmt'!T78,'Variable Mgmt'!T79,'Variable Mgmt'!T80),"-",CHOOSE(Q34,'Variable Mgmt'!T78,'Variable Mgmt'!T79,'Variable Mgmt'!T80))</f>
        <v>-</v>
      </c>
      <c r="K34" s="482" t="str">
        <f>CHOOSE(MODE_SS, CHOOSE(Q34,'Variable Mgmt'!U78,'Variable Mgmt'!U79,'Variable Mgmt'!U80), "-", CHOOSE(Q34,'Variable Mgmt'!U78,'Variable Mgmt'!U79,'Variable Mgmt'!U80))</f>
        <v>-</v>
      </c>
      <c r="L34" s="487"/>
      <c r="Q34" s="493">
        <v>5</v>
      </c>
    </row>
    <row r="35" spans="1:17" s="117" customFormat="1" ht="17.149999999999999" customHeight="1">
      <c r="A35" s="118">
        <v>1</v>
      </c>
      <c r="B35" s="119" t="s">
        <v>929</v>
      </c>
      <c r="C35" s="620" t="str">
        <f>'Design Converter'!E62&amp;"nF"</f>
        <v>47.4nF</v>
      </c>
      <c r="D35" s="900" t="str">
        <f>"Capacitor, Ceramic, "&amp;C35&amp;", 16V, X7R, 10%"</f>
        <v>Capacitor, Ceramic, 47.4nF, 16V, X7R, 10%</v>
      </c>
      <c r="E35" s="901"/>
      <c r="F35" s="901"/>
      <c r="G35" s="128"/>
      <c r="H35" s="129" t="str">
        <f>CHOOSE(MODE, "-", "Std")</f>
        <v>-</v>
      </c>
      <c r="I35" s="475" t="str">
        <f>CHOOSE(MODE, "-", "Std")</f>
        <v>-</v>
      </c>
      <c r="J35" s="484" t="str">
        <f>CHOOSE(Q35,'Variable Mgmt'!T78,'Variable Mgmt'!T79,'Variable Mgmt'!T80,'Variable Mgmt'!T81,'Variable Mgmt'!T82)</f>
        <v>2.0 x 1.25</v>
      </c>
      <c r="K35" s="482">
        <f>CHOOSE(Q35,'Variable Mgmt'!U78,'Variable Mgmt'!U79,'Variable Mgmt'!U80,'Variable Mgmt'!U81,'Variable Mgmt'!U82)</f>
        <v>2.5</v>
      </c>
      <c r="L35" s="487"/>
      <c r="Q35" s="493">
        <v>3</v>
      </c>
    </row>
    <row r="36" spans="1:17" s="117" customFormat="1" ht="17.149999999999999" customHeight="1">
      <c r="A36" s="118">
        <v>1</v>
      </c>
      <c r="B36" s="119" t="s">
        <v>930</v>
      </c>
      <c r="C36" s="620" t="str">
        <f>'Design Converter'!E64&amp;"pF"</f>
        <v>316pF</v>
      </c>
      <c r="D36" s="900" t="str">
        <f>"Capacitor, Ceramic, "&amp;C36&amp;", 50V, X7R, 10%"</f>
        <v>Capacitor, Ceramic, 316pF, 50V, X7R, 10%</v>
      </c>
      <c r="E36" s="901"/>
      <c r="F36" s="901"/>
      <c r="G36" s="128"/>
      <c r="H36" s="129" t="str">
        <f>CHOOSE(MODE, "-", "Std")</f>
        <v>-</v>
      </c>
      <c r="I36" s="475" t="str">
        <f>CHOOSE(MODE, "-", "Std")</f>
        <v>-</v>
      </c>
      <c r="J36" s="484" t="str">
        <f>CHOOSE(Q36,'Variable Mgmt'!T78,'Variable Mgmt'!T79,'Variable Mgmt'!T80,'Variable Mgmt'!T81,'Variable Mgmt'!T82)</f>
        <v>3.2 x 1.6</v>
      </c>
      <c r="K36" s="482">
        <f>CHOOSE(Q36,'Variable Mgmt'!U78,'Variable Mgmt'!U79,'Variable Mgmt'!U80,'Variable Mgmt'!U81,'Variable Mgmt'!U82)</f>
        <v>5.0999999999999996</v>
      </c>
      <c r="L36" s="487"/>
      <c r="Q36" s="493">
        <v>4</v>
      </c>
    </row>
    <row r="37" spans="1:17" s="117" customFormat="1" ht="17.149999999999999" customHeight="1">
      <c r="A37" s="118">
        <v>1</v>
      </c>
      <c r="B37" s="119" t="s">
        <v>927</v>
      </c>
      <c r="C37" s="130">
        <v>1</v>
      </c>
      <c r="D37" s="967" t="s">
        <v>928</v>
      </c>
      <c r="E37" s="968"/>
      <c r="F37" s="968"/>
      <c r="G37" s="128"/>
      <c r="H37" s="129" t="s">
        <v>118</v>
      </c>
      <c r="I37" s="475" t="s">
        <v>118</v>
      </c>
      <c r="J37" s="484" t="str">
        <f>CHOOSE(Q37,'Variable Mgmt'!T78,'Variable Mgmt'!T79,'Variable Mgmt'!T80,'Variable Mgmt'!T81,'Variable Mgmt'!T82)</f>
        <v>1.6 x 0.8</v>
      </c>
      <c r="K37" s="482">
        <f>CHOOSE(Q37,'Variable Mgmt'!U78,'Variable Mgmt'!U79,'Variable Mgmt'!U80,'Variable Mgmt'!U81,'Variable Mgmt'!U82)</f>
        <v>1.3</v>
      </c>
      <c r="L37" s="487"/>
      <c r="Q37" s="493">
        <v>2</v>
      </c>
    </row>
    <row r="38" spans="1:17" s="117" customFormat="1" ht="17.149999999999999" customHeight="1">
      <c r="A38" s="118">
        <v>1</v>
      </c>
      <c r="B38" s="119" t="s">
        <v>934</v>
      </c>
      <c r="C38" s="130" t="s">
        <v>869</v>
      </c>
      <c r="D38" s="967" t="s">
        <v>935</v>
      </c>
      <c r="E38" s="968"/>
      <c r="F38" s="968"/>
      <c r="G38" s="128"/>
      <c r="H38" s="129" t="str">
        <f>CHOOSE(MODE, "-", "Std")</f>
        <v>-</v>
      </c>
      <c r="I38" s="475" t="str">
        <f>CHOOSE(MODE, "-", "Std")</f>
        <v>-</v>
      </c>
      <c r="J38" s="484" t="str">
        <f>CHOOSE(Q38,'Variable Mgmt'!T78,'Variable Mgmt'!T79,'Variable Mgmt'!T80,'Variable Mgmt'!T81,'Variable Mgmt'!T82)</f>
        <v>1.0 x 0.5</v>
      </c>
      <c r="K38" s="482">
        <f>CHOOSE(Q38,'Variable Mgmt'!U78,'Variable Mgmt'!U79,'Variable Mgmt'!U80,'Variable Mgmt'!U81,'Variable Mgmt'!U82)</f>
        <v>0.5</v>
      </c>
      <c r="L38" s="487"/>
      <c r="Q38" s="493">
        <v>1</v>
      </c>
    </row>
    <row r="39" spans="1:17" s="117" customFormat="1" ht="17.149999999999999" customHeight="1">
      <c r="A39" s="122">
        <v>1</v>
      </c>
      <c r="B39" s="123" t="s">
        <v>627</v>
      </c>
      <c r="C39" s="124" t="s">
        <v>193</v>
      </c>
      <c r="D39" s="965" t="str">
        <f>"Rectifying Diode, Schottky"</f>
        <v>Rectifying Diode, Schottky</v>
      </c>
      <c r="E39" s="966"/>
      <c r="F39" s="966"/>
      <c r="G39" s="125"/>
      <c r="H39" s="126" t="s">
        <v>118</v>
      </c>
      <c r="I39" s="477" t="s">
        <v>118</v>
      </c>
      <c r="J39" s="613" t="str">
        <f>CHOOSE(Q39,'Variable Mgmt'!Y88,'Variable Mgmt'!Y89,'Variable Mgmt'!Y90,'Variable Mgmt'!Y91)</f>
        <v>3.6 x 1.8</v>
      </c>
      <c r="K39" s="614">
        <f>CHOOSE(Q39,'Variable Mgmt'!Z88,'Variable Mgmt'!Z89,'Variable Mgmt'!Z90,'Variable Mgmt'!Z91)</f>
        <v>6.5</v>
      </c>
      <c r="L39" s="487"/>
      <c r="Q39" s="494">
        <v>3</v>
      </c>
    </row>
    <row r="40" spans="1:17" s="117" customFormat="1" ht="17.149999999999999" customHeight="1">
      <c r="A40" s="122" t="str">
        <f>CHOOSE(MODE, "-", "1")</f>
        <v>-</v>
      </c>
      <c r="B40" s="123" t="s">
        <v>626</v>
      </c>
      <c r="C40" s="124" t="str">
        <f>CHOOSE(MODE, "-", "Diode")</f>
        <v>-</v>
      </c>
      <c r="D40" s="959" t="str">
        <f>CHOOSE(MODE, "-", "Rectifying Diode, Schottky")</f>
        <v>-</v>
      </c>
      <c r="E40" s="960"/>
      <c r="F40" s="960"/>
      <c r="G40" s="125" t="s">
        <v>119</v>
      </c>
      <c r="H40" s="126" t="str">
        <f>CHOOSE(MODE, "-", "Std")</f>
        <v>-</v>
      </c>
      <c r="I40" s="477" t="str">
        <f>CHOOSE(MODE, "-", "Std")</f>
        <v>-</v>
      </c>
      <c r="J40" s="613" t="str">
        <f>CHOOSE(MODE, "-", CHOOSE(Q40,'Variable Mgmt'!Y88,'Variable Mgmt'!Y89,'Variable Mgmt'!Y90,'Variable Mgmt'!Y91))</f>
        <v>-</v>
      </c>
      <c r="K40" s="614" t="str">
        <f>CHOOSE(MODE, "-", CHOOSE(Q40,'Variable Mgmt'!Z88,'Variable Mgmt'!Z89,'Variable Mgmt'!Z90,'Variable Mgmt'!Z91))</f>
        <v>-</v>
      </c>
      <c r="L40" s="487"/>
      <c r="Q40" s="494">
        <v>3</v>
      </c>
    </row>
    <row r="41" spans="1:17" s="117" customFormat="1" ht="17.149999999999999" customHeight="1">
      <c r="A41" s="122">
        <v>1</v>
      </c>
      <c r="B41" s="123" t="s">
        <v>628</v>
      </c>
      <c r="C41" s="124" t="str">
        <f>"Diode"</f>
        <v>Diode</v>
      </c>
      <c r="D41" s="618" t="str">
        <f>"Clamp Circuit Diode, Fast Recovery"</f>
        <v>Clamp Circuit Diode, Fast Recovery</v>
      </c>
      <c r="E41" s="619"/>
      <c r="F41" s="619"/>
      <c r="G41" s="125"/>
      <c r="H41" s="126" t="s">
        <v>118</v>
      </c>
      <c r="I41" s="477" t="s">
        <v>118</v>
      </c>
      <c r="J41" s="613" t="str">
        <f>CHOOSE(Q41,'Variable Mgmt'!Y88,'Variable Mgmt'!Y89,'Variable Mgmt'!Y90,'Variable Mgmt'!Y91)</f>
        <v>1.6 x 0.8</v>
      </c>
      <c r="K41" s="614">
        <f>CHOOSE(Q41,'Variable Mgmt'!Z88,'Variable Mgmt'!Z89,'Variable Mgmt'!Z90,'Variable Mgmt'!Z91)</f>
        <v>1.3</v>
      </c>
      <c r="L41" s="487"/>
      <c r="Q41" s="494">
        <v>1</v>
      </c>
    </row>
    <row r="42" spans="1:17" s="117" customFormat="1" ht="17.149999999999999" customHeight="1">
      <c r="A42" s="122">
        <v>1</v>
      </c>
      <c r="B42" s="123" t="s">
        <v>623</v>
      </c>
      <c r="C42" s="124" t="s">
        <v>624</v>
      </c>
      <c r="D42" s="959" t="str">
        <f>"Clamp Circuit Diode, Zener, 24V"</f>
        <v>Clamp Circuit Diode, Zener, 24V</v>
      </c>
      <c r="E42" s="960"/>
      <c r="F42" s="960"/>
      <c r="G42" s="125" t="s">
        <v>119</v>
      </c>
      <c r="H42" s="126" t="s">
        <v>118</v>
      </c>
      <c r="I42" s="477" t="s">
        <v>118</v>
      </c>
      <c r="J42" s="613" t="str">
        <f>CHOOSE(Q42,'Variable Mgmt'!Y88,'Variable Mgmt'!Y89,'Variable Mgmt'!Y90,'Variable Mgmt'!Y91)</f>
        <v>5.0 x 2.5</v>
      </c>
      <c r="K42" s="614">
        <f>CHOOSE(Q42,'Variable Mgmt'!Z88,'Variable Mgmt'!Z89,'Variable Mgmt'!Z90,'Variable Mgmt'!Z91)</f>
        <v>12.5</v>
      </c>
      <c r="L42" s="487"/>
      <c r="Q42" s="494">
        <v>4</v>
      </c>
    </row>
    <row r="43" spans="1:17" s="117" customFormat="1" ht="17.149999999999999" customHeight="1">
      <c r="A43" s="122">
        <v>1</v>
      </c>
      <c r="B43" s="123" t="s">
        <v>941</v>
      </c>
      <c r="C43" s="124" t="str">
        <f>Vout*1.1&amp;"V"</f>
        <v>16.5V</v>
      </c>
      <c r="D43" s="618" t="str">
        <f>"Output Clamp Diode, Zener, "&amp;ROUND(Vout*1.125,0)&amp;"V"</f>
        <v>Output Clamp Diode, Zener, 17V</v>
      </c>
      <c r="E43" s="619"/>
      <c r="F43" s="619"/>
      <c r="G43" s="125"/>
      <c r="H43" s="126" t="s">
        <v>118</v>
      </c>
      <c r="I43" s="477" t="s">
        <v>118</v>
      </c>
      <c r="J43" s="613" t="str">
        <f>CHOOSE(Q43,'Variable Mgmt'!Y88,'Variable Mgmt'!Y89,'Variable Mgmt'!Y90,'Variable Mgmt'!Y91)</f>
        <v>3.6 x 1.8</v>
      </c>
      <c r="K43" s="614">
        <f>CHOOSE(Q43,'Variable Mgmt'!Z88,'Variable Mgmt'!Z89,'Variable Mgmt'!Z90,'Variable Mgmt'!Z91)</f>
        <v>6.5</v>
      </c>
      <c r="L43" s="487"/>
      <c r="Q43" s="494">
        <v>3</v>
      </c>
    </row>
    <row r="44" spans="1:17" s="117" customFormat="1" ht="17.149999999999999" customHeight="1">
      <c r="A44" s="122" t="str">
        <f>CHOOSE(MODE, "-", "1")</f>
        <v>-</v>
      </c>
      <c r="B44" s="123" t="s">
        <v>942</v>
      </c>
      <c r="C44" s="124" t="str">
        <f>Vout2*1.1&amp;"V"</f>
        <v>8.8V</v>
      </c>
      <c r="D44" s="959" t="str">
        <f>CHOOSE(MODE, "-", "Output Clamp Diode, Zener, "&amp;ROUND(Vout2*1.125,0)&amp;"V")</f>
        <v>-</v>
      </c>
      <c r="E44" s="960"/>
      <c r="F44" s="960"/>
      <c r="G44" s="125"/>
      <c r="H44" s="126" t="str">
        <f>CHOOSE(MODE, "-", "Std")</f>
        <v>-</v>
      </c>
      <c r="I44" s="477" t="str">
        <f>CHOOSE(MODE, "-", "Std")</f>
        <v>-</v>
      </c>
      <c r="J44" s="613" t="str">
        <f>CHOOSE(MODE, "-", CHOOSE(Q44,'Variable Mgmt'!Y88,'Variable Mgmt'!Y89,'Variable Mgmt'!Y90,'Variable Mgmt'!Y91))</f>
        <v>-</v>
      </c>
      <c r="K44" s="614" t="str">
        <f>CHOOSE(MODE, "-", CHOOSE(Q44,'Variable Mgmt'!Z88,'Variable Mgmt'!Z89,'Variable Mgmt'!Z90,'Variable Mgmt'!Z91))</f>
        <v>-</v>
      </c>
      <c r="L44" s="487"/>
      <c r="Q44" s="494">
        <v>3</v>
      </c>
    </row>
    <row r="45" spans="1:17" s="117" customFormat="1" ht="17.149999999999999" customHeight="1">
      <c r="A45" s="118">
        <v>1</v>
      </c>
      <c r="B45" s="119" t="s">
        <v>949</v>
      </c>
      <c r="C45" s="907" t="str">
        <f>IF(Vds_req&lt;30,30,IF(Vds_req&lt;40,40,IF(Vds_req&lt;50,50,IF(Vds_req&lt;60,60,IF(Vds_req&lt;80,80,IF(Vds_req&lt;100,100,IF(Vds_req&lt;120,120,IF(Vds_req&lt;150,150,IF(Vds_req&lt;200,200,IF(Vds_req&lt;250,250,IF(Vds_req&lt;300,300,500)))))))))))&amp;"V"</f>
        <v>120V</v>
      </c>
      <c r="D45" s="905" t="s">
        <v>950</v>
      </c>
      <c r="E45" s="906"/>
      <c r="F45" s="906"/>
      <c r="G45" s="120" t="s">
        <v>951</v>
      </c>
      <c r="H45" s="121" t="s">
        <v>118</v>
      </c>
      <c r="I45" s="476" t="s">
        <v>118</v>
      </c>
      <c r="J45" s="484" t="s">
        <v>952</v>
      </c>
      <c r="K45" s="482">
        <v>30</v>
      </c>
      <c r="L45" s="487"/>
      <c r="Q45" s="494"/>
    </row>
    <row r="46" spans="1:17" s="117" customFormat="1" ht="17.149999999999999" customHeight="1">
      <c r="A46" s="122">
        <v>1</v>
      </c>
      <c r="B46" s="123" t="s">
        <v>629</v>
      </c>
      <c r="C46" s="124">
        <v>12.1</v>
      </c>
      <c r="D46" s="951">
        <f>C46</f>
        <v>12.1</v>
      </c>
      <c r="E46" s="952"/>
      <c r="F46" s="952"/>
      <c r="G46" s="125" t="s">
        <v>119</v>
      </c>
      <c r="H46" s="126" t="s">
        <v>118</v>
      </c>
      <c r="I46" s="477" t="s">
        <v>118</v>
      </c>
      <c r="J46" s="613" t="str">
        <f>CHOOSE(Q46,'Variable Mgmt'!T78,'Variable Mgmt'!T79,'Variable Mgmt'!T80)</f>
        <v>1.6 x 0.8</v>
      </c>
      <c r="K46" s="614">
        <f>CHOOSE(Q46,'Variable Mgmt'!U78,'Variable Mgmt'!U79,'Variable Mgmt'!U80,'Variable Mgmt'!U81,'Variable Mgmt'!U82)</f>
        <v>1.3</v>
      </c>
      <c r="L46" s="487"/>
      <c r="Q46" s="494">
        <v>2</v>
      </c>
    </row>
    <row r="47" spans="1:17" s="117" customFormat="1" ht="17.149999999999999" customHeight="1">
      <c r="A47" s="122">
        <v>1</v>
      </c>
      <c r="B47" s="123" t="s">
        <v>524</v>
      </c>
      <c r="C47" s="124">
        <f>Rfb/1000</f>
        <v>168</v>
      </c>
      <c r="D47" s="951">
        <f>C47</f>
        <v>168</v>
      </c>
      <c r="E47" s="952"/>
      <c r="F47" s="952"/>
      <c r="G47" s="125" t="s">
        <v>119</v>
      </c>
      <c r="H47" s="126" t="s">
        <v>118</v>
      </c>
      <c r="I47" s="477" t="s">
        <v>118</v>
      </c>
      <c r="J47" s="613" t="str">
        <f>CHOOSE(Q47,'Variable Mgmt'!T78,'Variable Mgmt'!T79,'Variable Mgmt'!T80)</f>
        <v>2.0 x 1.25</v>
      </c>
      <c r="K47" s="614">
        <f>CHOOSE(Q47,'Variable Mgmt'!U78,'Variable Mgmt'!U79,'Variable Mgmt'!U80,'Variable Mgmt'!U81,'Variable Mgmt'!U82)</f>
        <v>2.5</v>
      </c>
      <c r="L47" s="487"/>
      <c r="Q47" s="494">
        <v>3</v>
      </c>
    </row>
    <row r="48" spans="1:17" s="117" customFormat="1" ht="17.149999999999999" customHeight="1">
      <c r="A48" s="122" t="str">
        <f>CHOOSE(MODE_UVLO, "1", "-")</f>
        <v>1</v>
      </c>
      <c r="B48" s="123" t="s">
        <v>126</v>
      </c>
      <c r="C48" s="908" t="str">
        <f>CHOOSE(MODE_UVLO, 'Variable Mgmt'!H269, "-")</f>
        <v>196k</v>
      </c>
      <c r="D48" s="959" t="str">
        <f>CHOOSE(MODE_UVLO, "Resistor, Chip, "&amp;'Variable Mgmt'!C269&amp;", 1/16W, 1%", "-")</f>
        <v>Resistor, Chip, 196kΩ, 1/16W, 1%</v>
      </c>
      <c r="E48" s="960"/>
      <c r="F48" s="960"/>
      <c r="G48" s="125" t="s">
        <v>119</v>
      </c>
      <c r="H48" s="126" t="str">
        <f>CHOOSE(MODE_UVLO, "Std", "-")</f>
        <v>Std</v>
      </c>
      <c r="I48" s="477" t="str">
        <f>CHOOSE(MODE_UVLO, "Std", "-")</f>
        <v>Std</v>
      </c>
      <c r="J48" s="613" t="str">
        <f>CHOOSE(MODE_UVLO, CHOOSE(Q48,'Variable Mgmt'!T78,'Variable Mgmt'!T79,'Variable Mgmt'!T80), "-")</f>
        <v>1.0 x 0.5</v>
      </c>
      <c r="K48" s="614">
        <f>CHOOSE(MODE_UVLO, CHOOSE(Q48,'Variable Mgmt'!U78,'Variable Mgmt'!U79,'Variable Mgmt'!U80,'Variable Mgmt'!U81,'Variable Mgmt'!U82),"-")</f>
        <v>0.5</v>
      </c>
      <c r="L48" s="487"/>
      <c r="Q48" s="494">
        <v>1</v>
      </c>
    </row>
    <row r="49" spans="1:17" s="117" customFormat="1" ht="17.149999999999999" customHeight="1">
      <c r="A49" s="122" t="str">
        <f>CHOOSE(MODE_UVLO, "1", "-")</f>
        <v>1</v>
      </c>
      <c r="B49" s="123" t="s">
        <v>127</v>
      </c>
      <c r="C49" s="908" t="str">
        <f>CHOOSE(MODE_UVLO, 'Variable Mgmt'!H270, "-")</f>
        <v>16.9k</v>
      </c>
      <c r="D49" s="959" t="str">
        <f>CHOOSE(MODE_UVLO, "Resistor, Chip, "&amp;'Variable Mgmt'!C270&amp;", 1/16W, 1%", "-")</f>
        <v>Resistor, Chip, 16.9kΩ, 1/16W, 1%</v>
      </c>
      <c r="E49" s="960"/>
      <c r="F49" s="960"/>
      <c r="G49" s="125" t="s">
        <v>119</v>
      </c>
      <c r="H49" s="126" t="str">
        <f>CHOOSE(MODE_UVLO, "Std", "-")</f>
        <v>Std</v>
      </c>
      <c r="I49" s="477" t="str">
        <f>CHOOSE(MODE_UVLO, "Std", "-")</f>
        <v>Std</v>
      </c>
      <c r="J49" s="613" t="str">
        <f>CHOOSE(MODE_UVLO, CHOOSE(Q49,'Variable Mgmt'!T78,'Variable Mgmt'!T79,'Variable Mgmt'!T80), "-")</f>
        <v>1.0 x 0.5</v>
      </c>
      <c r="K49" s="614">
        <f>CHOOSE(MODE_UVLO, CHOOSE(Q49,'Variable Mgmt'!U78,'Variable Mgmt'!U79,'Variable Mgmt'!U80,'Variable Mgmt'!U81,'Variable Mgmt'!U82),"-")</f>
        <v>0.5</v>
      </c>
      <c r="L49" s="487"/>
      <c r="Q49" s="494">
        <v>1</v>
      </c>
    </row>
    <row r="50" spans="1:17" s="117" customFormat="1" ht="17.149999999999999" customHeight="1">
      <c r="A50" s="122" t="str">
        <f>CHOOSE(MODE_TC, "1", "-")</f>
        <v>-</v>
      </c>
      <c r="B50" s="123" t="s">
        <v>516</v>
      </c>
      <c r="C50" s="124" t="str">
        <f>CHOOSE(MODE_TC, RTC, "-")</f>
        <v>-</v>
      </c>
      <c r="D50" s="951" t="str">
        <f>CHOOSE(MODE_TC, "Resistor, Chip, "&amp;'Variable Mgmt'!B265&amp;", 1/16W, 1%", "-")</f>
        <v>-</v>
      </c>
      <c r="E50" s="952"/>
      <c r="F50" s="952"/>
      <c r="G50" s="125" t="s">
        <v>119</v>
      </c>
      <c r="H50" s="126" t="str">
        <f>CHOOSE(MODE_TC, "Std", "-")</f>
        <v>-</v>
      </c>
      <c r="I50" s="477" t="str">
        <f>CHOOSE(MODE_TC, "Std", "-")</f>
        <v>-</v>
      </c>
      <c r="J50" s="613" t="str">
        <f>CHOOSE(MODE_TC, CHOOSE(Q50,'Variable Mgmt'!T78,'Variable Mgmt'!T409,'Variable Mgmt'!T80), "-")</f>
        <v>-</v>
      </c>
      <c r="K50" s="614" t="str">
        <f>CHOOSE(MODE_TC, CHOOSE(Q50,'Variable Mgmt'!U78,'Variable Mgmt'!U79,'Variable Mgmt'!U80,'Variable Mgmt'!U81,'Variable Mgmt'!U82),"-")</f>
        <v>-</v>
      </c>
      <c r="L50" s="487"/>
      <c r="Q50" s="494">
        <v>1</v>
      </c>
    </row>
    <row r="51" spans="1:17" s="117" customFormat="1" ht="17.149999999999999" customHeight="1">
      <c r="A51" s="122">
        <v>1</v>
      </c>
      <c r="B51" s="123" t="s">
        <v>932</v>
      </c>
      <c r="C51" s="124" t="str">
        <f>'Variable Mgmt'!D313</f>
        <v>2mΩ</v>
      </c>
      <c r="D51" s="961" t="s">
        <v>933</v>
      </c>
      <c r="E51" s="952"/>
      <c r="F51" s="952"/>
      <c r="G51" s="125" t="s">
        <v>119</v>
      </c>
      <c r="H51" s="126" t="s">
        <v>118</v>
      </c>
      <c r="I51" s="477" t="s">
        <v>118</v>
      </c>
      <c r="J51" s="613" t="str">
        <f>CHOOSE(Q51,'Variable Mgmt'!T79,'Variable Mgmt'!T80,'Variable Mgmt'!T81,'Variable Mgmt'!T82,'Variable Mgmt'!T83,'Variable Mgmt'!T84)</f>
        <v>9.3 x 2.7</v>
      </c>
      <c r="K51" s="614">
        <f>CHOOSE(Q51,'Variable Mgmt'!U79,'Variable Mgmt'!U80,'Variable Mgmt'!U81,'Variable Mgmt'!U82,'Variable Mgmt'!U83,'Variable Mgmt'!U84)</f>
        <v>25.1</v>
      </c>
      <c r="L51" s="487"/>
      <c r="Q51" s="494">
        <v>6</v>
      </c>
    </row>
    <row r="52" spans="1:17" s="117" customFormat="1" ht="17.149999999999999" customHeight="1">
      <c r="A52" s="122">
        <v>1</v>
      </c>
      <c r="B52" s="123" t="s">
        <v>931</v>
      </c>
      <c r="C52" s="124">
        <f>'Design Converter'!E60</f>
        <v>1.5</v>
      </c>
      <c r="D52" s="904" t="str">
        <f>"Resistor, Chip, "&amp;C52&amp;"kΩ, 1/16W, 1%"</f>
        <v>Resistor, Chip, 1.5kΩ, 1/16W, 1%</v>
      </c>
      <c r="E52" s="909"/>
      <c r="F52" s="909"/>
      <c r="G52" s="125" t="s">
        <v>119</v>
      </c>
      <c r="H52" s="126" t="s">
        <v>118</v>
      </c>
      <c r="I52" s="477" t="s">
        <v>118</v>
      </c>
      <c r="J52" s="613" t="str">
        <f>CHOOSE(Q52,'Variable Mgmt'!T78,'Variable Mgmt'!T79,'Variable Mgmt'!T80)</f>
        <v>1.6 x 0.8</v>
      </c>
      <c r="K52" s="614">
        <f>CHOOSE(Q52,'Variable Mgmt'!U78,'Variable Mgmt'!U79,'Variable Mgmt'!U80,'Variable Mgmt'!U81,'Variable Mgmt'!U82)</f>
        <v>1.3</v>
      </c>
      <c r="L52" s="487"/>
      <c r="Q52" s="494">
        <v>2</v>
      </c>
    </row>
    <row r="53" spans="1:17" s="117" customFormat="1" ht="17.149999999999999" customHeight="1">
      <c r="A53" s="122">
        <v>1</v>
      </c>
      <c r="B53" s="123" t="s">
        <v>936</v>
      </c>
      <c r="C53" s="124" t="str">
        <f>'Variable Mgmt'!D315</f>
        <v>100Ω</v>
      </c>
      <c r="D53" s="951" t="str">
        <f>"Resistor, Chip, "&amp;C53&amp;", 1/16W, 1%"</f>
        <v>Resistor, Chip, 100Ω, 1/16W, 1%</v>
      </c>
      <c r="E53" s="952"/>
      <c r="F53" s="952"/>
      <c r="G53" s="125" t="s">
        <v>119</v>
      </c>
      <c r="H53" s="126" t="s">
        <v>118</v>
      </c>
      <c r="I53" s="477" t="s">
        <v>118</v>
      </c>
      <c r="J53" s="613" t="str">
        <f>CHOOSE(Q53,'Variable Mgmt'!T78,'Variable Mgmt'!T79,'Variable Mgmt'!T80)</f>
        <v>1.0 x 0.5</v>
      </c>
      <c r="K53" s="614">
        <f>CHOOSE(Q53,'Variable Mgmt'!U78,'Variable Mgmt'!U79,'Variable Mgmt'!U80,'Variable Mgmt'!U81,'Variable Mgmt'!U82)</f>
        <v>0.5</v>
      </c>
      <c r="L53" s="487"/>
      <c r="Q53" s="494">
        <v>1</v>
      </c>
    </row>
    <row r="54" spans="1:17" s="616" customFormat="1" ht="16.5" customHeight="1">
      <c r="A54" s="118">
        <v>1</v>
      </c>
      <c r="B54" s="119" t="s">
        <v>523</v>
      </c>
      <c r="C54" s="910" t="str">
        <f>'Design Converter'!L7&amp;"k"</f>
        <v>12k</v>
      </c>
      <c r="D54" s="956" t="str">
        <f>"Transformer, "&amp;L*1000000&amp;"µH, "&amp;'Variable Mgmt'!W66&amp;", "&amp;Rdcr_pri*1000&amp;"mΩ Pri DCR"</f>
        <v>Transformer, 12µH, 1 : 1, 30mΩ Pri DCR</v>
      </c>
      <c r="E54" s="957"/>
      <c r="F54" s="958"/>
      <c r="G54" s="121" t="s">
        <v>125</v>
      </c>
      <c r="H54" s="121" t="s">
        <v>124</v>
      </c>
      <c r="I54" s="476" t="s">
        <v>124</v>
      </c>
      <c r="J54" s="484" t="str">
        <f>CHOOSE(Q54,'Variable Mgmt'!T89,'Variable Mgmt'!T90,'Variable Mgmt'!T91,'Variable Mgmt'!T92,'Variable Mgmt'!T93,'Variable Mgmt'!T94, 'Variable Mgmt'!T95, 'Variable Mgmt'!T96)</f>
        <v>23 x 17</v>
      </c>
      <c r="K54" s="907">
        <f>CHOOSE(Q54,'Variable Mgmt'!U89,'Variable Mgmt'!U90,'Variable Mgmt'!U91,'Variable Mgmt'!U92,'Variable Mgmt'!U93,'Variable Mgmt'!U94, 'Variable Mgmt'!U95,'Variable Mgmt'!U96)</f>
        <v>391</v>
      </c>
      <c r="L54" s="615"/>
      <c r="Q54" s="617">
        <v>8</v>
      </c>
    </row>
    <row r="55" spans="1:17" ht="17.149999999999999" customHeight="1">
      <c r="A55" s="459">
        <v>1</v>
      </c>
      <c r="B55" s="465" t="s">
        <v>128</v>
      </c>
      <c r="C55" s="486" t="s">
        <v>938</v>
      </c>
      <c r="D55" s="466" t="s">
        <v>939</v>
      </c>
      <c r="E55" s="467"/>
      <c r="F55" s="468"/>
      <c r="G55" s="464" t="s">
        <v>940</v>
      </c>
      <c r="H55" s="464" t="s">
        <v>938</v>
      </c>
      <c r="I55" s="466" t="s">
        <v>355</v>
      </c>
      <c r="J55" s="485" t="s">
        <v>953</v>
      </c>
      <c r="K55" s="483">
        <f>32</f>
        <v>32</v>
      </c>
      <c r="L55" s="463"/>
      <c r="M55" s="463"/>
      <c r="N55" s="117"/>
      <c r="Q55" s="497"/>
    </row>
    <row r="56" spans="1:17" ht="17.149999999999999" customHeight="1">
      <c r="J56" s="117"/>
      <c r="K56" s="473"/>
      <c r="L56" s="463"/>
      <c r="M56" s="463"/>
      <c r="N56" s="117"/>
    </row>
    <row r="57" spans="1:17" ht="17.25" hidden="1" customHeight="1">
      <c r="H57" s="953" t="s">
        <v>357</v>
      </c>
      <c r="I57" s="953"/>
      <c r="J57" s="953"/>
      <c r="K57" s="491">
        <f>SUM(K31:K55)*1.25</f>
        <v>661.75</v>
      </c>
      <c r="L57" s="498" t="s">
        <v>358</v>
      </c>
      <c r="M57" s="492">
        <f>K57/25.4/25.4</f>
        <v>1.0257145514291031</v>
      </c>
      <c r="N57" s="498" t="s">
        <v>356</v>
      </c>
    </row>
    <row r="58" spans="1:17" ht="17.149999999999999" customHeight="1">
      <c r="J58" s="478"/>
      <c r="K58" s="479"/>
      <c r="L58" s="480"/>
      <c r="M58" s="481"/>
      <c r="N58" s="480"/>
    </row>
    <row r="59" spans="1:17" ht="20.25" customHeight="1">
      <c r="A59" s="472" t="s">
        <v>137</v>
      </c>
    </row>
    <row r="60" spans="1:17">
      <c r="A60" s="114" t="s">
        <v>947</v>
      </c>
    </row>
    <row r="61" spans="1:17">
      <c r="A61" s="114" t="s">
        <v>677</v>
      </c>
      <c r="K61" s="471"/>
    </row>
    <row r="62" spans="1:17">
      <c r="A62" s="114" t="s">
        <v>676</v>
      </c>
    </row>
    <row r="63" spans="1:17">
      <c r="A63" s="114" t="s">
        <v>674</v>
      </c>
    </row>
    <row r="64" spans="1:17">
      <c r="A64" s="114" t="s">
        <v>675</v>
      </c>
    </row>
  </sheetData>
  <sheetProtection algorithmName="SHA-512" hashValue="LDB4IK7WyDQAJv8vPYNHmpeIcJchZtvJGk7AGokZ+o84M8XParPHLMtS2RIXTD1m393K8OHh8N2HD1gBIJAsWw==" saltValue="oU8kR652ub4qmJSrMqH4Kg==" spinCount="100000" sheet="1" objects="1" scenarios="1" selectLockedCells="1" selectUnlockedCells="1"/>
  <mergeCells count="19">
    <mergeCell ref="D30:F30"/>
    <mergeCell ref="D46:F46"/>
    <mergeCell ref="D47:F47"/>
    <mergeCell ref="D42:F42"/>
    <mergeCell ref="D40:F40"/>
    <mergeCell ref="D39:F39"/>
    <mergeCell ref="D32:F32"/>
    <mergeCell ref="D34:F34"/>
    <mergeCell ref="D37:F37"/>
    <mergeCell ref="D44:F44"/>
    <mergeCell ref="D38:F38"/>
    <mergeCell ref="D53:F53"/>
    <mergeCell ref="H57:J57"/>
    <mergeCell ref="D31:F31"/>
    <mergeCell ref="D54:F54"/>
    <mergeCell ref="D48:F48"/>
    <mergeCell ref="D49:F49"/>
    <mergeCell ref="D50:F50"/>
    <mergeCell ref="D51:F51"/>
  </mergeCells>
  <phoneticPr fontId="83"/>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40 G42 G48:G49 G46" numberStoredAsText="1"/>
    <ignoredError sqref="J40:K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12700</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12700</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39</xdr:row>
                    <xdr:rowOff>12700</xdr:rowOff>
                  </from>
                  <to>
                    <xdr:col>6</xdr:col>
                    <xdr:colOff>876300</xdr:colOff>
                    <xdr:row>40</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46</xdr:row>
                    <xdr:rowOff>12700</xdr:rowOff>
                  </from>
                  <to>
                    <xdr:col>6</xdr:col>
                    <xdr:colOff>876300</xdr:colOff>
                    <xdr:row>47</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41</xdr:row>
                    <xdr:rowOff>12700</xdr:rowOff>
                  </from>
                  <to>
                    <xdr:col>6</xdr:col>
                    <xdr:colOff>876300</xdr:colOff>
                    <xdr:row>42</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40</xdr:row>
                    <xdr:rowOff>12700</xdr:rowOff>
                  </from>
                  <to>
                    <xdr:col>6</xdr:col>
                    <xdr:colOff>876300</xdr:colOff>
                    <xdr:row>41</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45</xdr:row>
                    <xdr:rowOff>12700</xdr:rowOff>
                  </from>
                  <to>
                    <xdr:col>6</xdr:col>
                    <xdr:colOff>876300</xdr:colOff>
                    <xdr:row>46</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47</xdr:row>
                    <xdr:rowOff>12700</xdr:rowOff>
                  </from>
                  <to>
                    <xdr:col>6</xdr:col>
                    <xdr:colOff>876300</xdr:colOff>
                    <xdr:row>48</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48</xdr:row>
                    <xdr:rowOff>12700</xdr:rowOff>
                  </from>
                  <to>
                    <xdr:col>6</xdr:col>
                    <xdr:colOff>876300</xdr:colOff>
                    <xdr:row>49</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49</xdr:row>
                    <xdr:rowOff>12700</xdr:rowOff>
                  </from>
                  <to>
                    <xdr:col>6</xdr:col>
                    <xdr:colOff>876300</xdr:colOff>
                    <xdr:row>50</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38</xdr:row>
                    <xdr:rowOff>12700</xdr:rowOff>
                  </from>
                  <to>
                    <xdr:col>6</xdr:col>
                    <xdr:colOff>876300</xdr:colOff>
                    <xdr:row>39</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53</xdr:row>
                    <xdr:rowOff>12700</xdr:rowOff>
                  </from>
                  <to>
                    <xdr:col>6</xdr:col>
                    <xdr:colOff>876300</xdr:colOff>
                    <xdr:row>54</xdr:row>
                    <xdr:rowOff>0</xdr:rowOff>
                  </to>
                </anchor>
              </controlPr>
            </control>
          </mc:Choice>
        </mc:AlternateContent>
        <mc:AlternateContent xmlns:mc="http://schemas.openxmlformats.org/markup-compatibility/2006">
          <mc:Choice Requires="x14">
            <control shapeId="706019" r:id="rId16" name="Drop Down 1507">
              <controlPr defaultSize="0" autoLine="0" autoPict="0">
                <anchor moveWithCells="1">
                  <from>
                    <xdr:col>5</xdr:col>
                    <xdr:colOff>895350</xdr:colOff>
                    <xdr:row>32</xdr:row>
                    <xdr:rowOff>12700</xdr:rowOff>
                  </from>
                  <to>
                    <xdr:col>6</xdr:col>
                    <xdr:colOff>869950</xdr:colOff>
                    <xdr:row>33</xdr:row>
                    <xdr:rowOff>0</xdr:rowOff>
                  </to>
                </anchor>
              </controlPr>
            </control>
          </mc:Choice>
        </mc:AlternateContent>
        <mc:AlternateContent xmlns:mc="http://schemas.openxmlformats.org/markup-compatibility/2006">
          <mc:Choice Requires="x14">
            <control shapeId="706028" r:id="rId17" name="Drop Down 1516">
              <controlPr defaultSize="0" autoLine="0" autoPict="0">
                <anchor moveWithCells="1">
                  <from>
                    <xdr:col>6</xdr:col>
                    <xdr:colOff>0</xdr:colOff>
                    <xdr:row>42</xdr:row>
                    <xdr:rowOff>12700</xdr:rowOff>
                  </from>
                  <to>
                    <xdr:col>6</xdr:col>
                    <xdr:colOff>882650</xdr:colOff>
                    <xdr:row>43</xdr:row>
                    <xdr:rowOff>0</xdr:rowOff>
                  </to>
                </anchor>
              </controlPr>
            </control>
          </mc:Choice>
        </mc:AlternateContent>
        <mc:AlternateContent xmlns:mc="http://schemas.openxmlformats.org/markup-compatibility/2006">
          <mc:Choice Requires="x14">
            <control shapeId="764426" r:id="rId18" name="Drop Down 2570">
              <controlPr defaultSize="0" autoLine="0" autoPict="0">
                <anchor moveWithCells="1">
                  <from>
                    <xdr:col>6</xdr:col>
                    <xdr:colOff>0</xdr:colOff>
                    <xdr:row>51</xdr:row>
                    <xdr:rowOff>12700</xdr:rowOff>
                  </from>
                  <to>
                    <xdr:col>6</xdr:col>
                    <xdr:colOff>876300</xdr:colOff>
                    <xdr:row>51</xdr:row>
                    <xdr:rowOff>215900</xdr:rowOff>
                  </to>
                </anchor>
              </controlPr>
            </control>
          </mc:Choice>
        </mc:AlternateContent>
        <mc:AlternateContent xmlns:mc="http://schemas.openxmlformats.org/markup-compatibility/2006">
          <mc:Choice Requires="x14">
            <control shapeId="764430" r:id="rId19" name="Drop Down 2574">
              <controlPr defaultSize="0" autoLine="0" autoPict="0">
                <anchor moveWithCells="1">
                  <from>
                    <xdr:col>6</xdr:col>
                    <xdr:colOff>0</xdr:colOff>
                    <xdr:row>52</xdr:row>
                    <xdr:rowOff>12700</xdr:rowOff>
                  </from>
                  <to>
                    <xdr:col>6</xdr:col>
                    <xdr:colOff>876300</xdr:colOff>
                    <xdr:row>52</xdr:row>
                    <xdr:rowOff>215900</xdr:rowOff>
                  </to>
                </anchor>
              </controlPr>
            </control>
          </mc:Choice>
        </mc:AlternateContent>
        <mc:AlternateContent xmlns:mc="http://schemas.openxmlformats.org/markup-compatibility/2006">
          <mc:Choice Requires="x14">
            <control shapeId="764447" r:id="rId20" name="Drop Down 2591">
              <controlPr defaultSize="0" autoLine="0" autoPict="0">
                <anchor moveWithCells="1">
                  <from>
                    <xdr:col>6</xdr:col>
                    <xdr:colOff>0</xdr:colOff>
                    <xdr:row>34</xdr:row>
                    <xdr:rowOff>12700</xdr:rowOff>
                  </from>
                  <to>
                    <xdr:col>6</xdr:col>
                    <xdr:colOff>882650</xdr:colOff>
                    <xdr:row>35</xdr:row>
                    <xdr:rowOff>0</xdr:rowOff>
                  </to>
                </anchor>
              </controlPr>
            </control>
          </mc:Choice>
        </mc:AlternateContent>
        <mc:AlternateContent xmlns:mc="http://schemas.openxmlformats.org/markup-compatibility/2006">
          <mc:Choice Requires="x14">
            <control shapeId="764451" r:id="rId21" name="Drop Down 2595">
              <controlPr defaultSize="0" autoLine="0" autoPict="0">
                <anchor moveWithCells="1">
                  <from>
                    <xdr:col>6</xdr:col>
                    <xdr:colOff>0</xdr:colOff>
                    <xdr:row>43</xdr:row>
                    <xdr:rowOff>12700</xdr:rowOff>
                  </from>
                  <to>
                    <xdr:col>6</xdr:col>
                    <xdr:colOff>876300</xdr:colOff>
                    <xdr:row>44</xdr:row>
                    <xdr:rowOff>0</xdr:rowOff>
                  </to>
                </anchor>
              </controlPr>
            </control>
          </mc:Choice>
        </mc:AlternateContent>
        <mc:AlternateContent xmlns:mc="http://schemas.openxmlformats.org/markup-compatibility/2006">
          <mc:Choice Requires="x14">
            <control shapeId="764454" r:id="rId22" name="Drop Down 2598">
              <controlPr defaultSize="0" autoLine="0" autoPict="0">
                <anchor moveWithCells="1">
                  <from>
                    <xdr:col>6</xdr:col>
                    <xdr:colOff>0</xdr:colOff>
                    <xdr:row>35</xdr:row>
                    <xdr:rowOff>12700</xdr:rowOff>
                  </from>
                  <to>
                    <xdr:col>6</xdr:col>
                    <xdr:colOff>876300</xdr:colOff>
                    <xdr:row>36</xdr:row>
                    <xdr:rowOff>0</xdr:rowOff>
                  </to>
                </anchor>
              </controlPr>
            </control>
          </mc:Choice>
        </mc:AlternateContent>
        <mc:AlternateContent xmlns:mc="http://schemas.openxmlformats.org/markup-compatibility/2006">
          <mc:Choice Requires="x14">
            <control shapeId="764455" r:id="rId23" name="Drop Down 2599">
              <controlPr defaultSize="0" autoLine="0" autoPict="0">
                <anchor moveWithCells="1">
                  <from>
                    <xdr:col>6</xdr:col>
                    <xdr:colOff>0</xdr:colOff>
                    <xdr:row>36</xdr:row>
                    <xdr:rowOff>12700</xdr:rowOff>
                  </from>
                  <to>
                    <xdr:col>6</xdr:col>
                    <xdr:colOff>876300</xdr:colOff>
                    <xdr:row>37</xdr:row>
                    <xdr:rowOff>0</xdr:rowOff>
                  </to>
                </anchor>
              </controlPr>
            </control>
          </mc:Choice>
        </mc:AlternateContent>
        <mc:AlternateContent xmlns:mc="http://schemas.openxmlformats.org/markup-compatibility/2006">
          <mc:Choice Requires="x14">
            <control shapeId="764456" r:id="rId24" name="Drop Down 2600">
              <controlPr defaultSize="0" autoLine="0" autoPict="0">
                <anchor moveWithCells="1">
                  <from>
                    <xdr:col>6</xdr:col>
                    <xdr:colOff>0</xdr:colOff>
                    <xdr:row>37</xdr:row>
                    <xdr:rowOff>12700</xdr:rowOff>
                  </from>
                  <to>
                    <xdr:col>6</xdr:col>
                    <xdr:colOff>876300</xdr:colOff>
                    <xdr:row>38</xdr:row>
                    <xdr:rowOff>0</xdr:rowOff>
                  </to>
                </anchor>
              </controlPr>
            </control>
          </mc:Choice>
        </mc:AlternateContent>
        <mc:AlternateContent xmlns:mc="http://schemas.openxmlformats.org/markup-compatibility/2006">
          <mc:Choice Requires="x14">
            <control shapeId="764458" r:id="rId25" name="Drop Down 2602">
              <controlPr defaultSize="0" autoLine="0" autoPict="0">
                <anchor moveWithCells="1">
                  <from>
                    <xdr:col>6</xdr:col>
                    <xdr:colOff>0</xdr:colOff>
                    <xdr:row>50</xdr:row>
                    <xdr:rowOff>12700</xdr:rowOff>
                  </from>
                  <to>
                    <xdr:col>6</xdr:col>
                    <xdr:colOff>876300</xdr:colOff>
                    <xdr:row>51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B8E3D35-A815-4471-905F-8419AAA9FC23}">
            <xm:f>'Variable Mgmt'!$B$74=TRUE</xm:f>
            <x14:dxf>
              <font>
                <color theme="0"/>
              </font>
            </x14:dxf>
          </x14:cfRule>
          <xm:sqref>B40</xm:sqref>
        </x14:conditionalFormatting>
        <x14:conditionalFormatting xmlns:xm="http://schemas.microsoft.com/office/excel/2006/main">
          <x14:cfRule type="expression" priority="1" id="{8521D621-BE3D-4AAE-900E-18DA0D0FAC8E}">
            <xm:f>'Variable Mgmt'!$B$74=TRUE</xm:f>
            <x14:dxf>
              <font>
                <color rgb="FFFFFF99"/>
              </font>
            </x14:dxf>
          </x14:cfRule>
          <xm:sqref>B33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7030A0"/>
    <pageSetUpPr fitToPage="1"/>
  </sheetPr>
  <dimension ref="A1:R6"/>
  <sheetViews>
    <sheetView zoomScaleNormal="100" workbookViewId="0">
      <selection activeCell="M15" sqref="M15"/>
    </sheetView>
  </sheetViews>
  <sheetFormatPr defaultColWidth="9.1796875" defaultRowHeight="12.5"/>
  <cols>
    <col min="1" max="13" width="9.1796875" style="84"/>
    <col min="14" max="14" width="11.81640625" style="84" customWidth="1"/>
    <col min="15" max="16" width="9.1796875" style="84"/>
    <col min="17" max="17" width="15.7265625" style="84" customWidth="1"/>
    <col min="18" max="16384" width="9.1796875" style="84"/>
  </cols>
  <sheetData>
    <row r="1" spans="1:18" s="75" customFormat="1" ht="47.25" customHeight="1">
      <c r="A1" s="971" t="s">
        <v>948</v>
      </c>
      <c r="B1" s="972"/>
      <c r="C1" s="972"/>
      <c r="D1" s="972"/>
      <c r="E1" s="972"/>
      <c r="F1" s="972"/>
      <c r="G1" s="972"/>
      <c r="H1" s="972"/>
      <c r="I1" s="972"/>
      <c r="J1" s="972"/>
      <c r="K1" s="972"/>
      <c r="L1" s="972"/>
      <c r="M1" s="972"/>
      <c r="N1" s="972"/>
      <c r="O1" s="972"/>
      <c r="P1" s="972"/>
      <c r="Q1" s="972"/>
      <c r="R1" s="82"/>
    </row>
    <row r="6" spans="1:18" ht="20">
      <c r="B6" s="85" t="s">
        <v>921</v>
      </c>
      <c r="N6" s="85" t="s">
        <v>946</v>
      </c>
    </row>
  </sheetData>
  <sheetProtection algorithmName="SHA-512" hashValue="tPvl2fh3glKsM+U9wmutkl9ZVBAqXCTdyJPzqtmwYjcUBHnYNN/9332VpUYstDE7h8BljUFt0E7mrD0NWOKCXQ==" saltValue="syN6z4runAzyyZkZejHLoQ==" spinCount="100000" sheet="1" objects="1" scenarios="1" selectLockedCells="1" selectUnlockedCells="1"/>
  <mergeCells count="1">
    <mergeCell ref="A1:Q1"/>
  </mergeCells>
  <phoneticPr fontId="83"/>
  <pageMargins left="0.19" right="0.2" top="0.75" bottom="0.75" header="0.3" footer="0.3"/>
  <pageSetup scale="5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zoomScaleNormal="100" workbookViewId="0">
      <selection activeCell="D5" sqref="D5"/>
    </sheetView>
  </sheetViews>
  <sheetFormatPr defaultRowHeight="12.5"/>
  <cols>
    <col min="2" max="2" width="126.453125" customWidth="1"/>
  </cols>
  <sheetData>
    <row r="2" spans="1:2" ht="17.25" customHeight="1">
      <c r="A2" s="76" t="str">
        <f>CHOOSE(MODE, "EFF_SINGLE", "EFF_DUAL")</f>
        <v>EFF_SINGLE</v>
      </c>
    </row>
    <row r="5" spans="1:2" ht="409.5" customHeight="1">
      <c r="B5" s="360"/>
    </row>
    <row r="6" spans="1:2" ht="17.149999999999999" customHeight="1"/>
    <row r="7" spans="1:2" ht="409.5" customHeight="1">
      <c r="B7" s="360"/>
    </row>
  </sheetData>
  <phoneticPr fontId="83"/>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B12" sqref="B12"/>
    </sheetView>
  </sheetViews>
  <sheetFormatPr defaultRowHeight="12.5"/>
  <cols>
    <col min="2" max="2" width="126.453125" customWidth="1"/>
  </cols>
  <sheetData>
    <row r="2" spans="1:2" ht="17.25" customHeight="1">
      <c r="A2" s="76" t="str">
        <f>CHOOSE(MODE, "Fsw_SINGLE", "Fsw_DUAL")</f>
        <v>Fsw_SINGLE</v>
      </c>
    </row>
    <row r="5" spans="1:2" ht="409.5" customHeight="1">
      <c r="B5" s="360"/>
    </row>
    <row r="6" spans="1:2" ht="17.149999999999999" customHeight="1"/>
    <row r="7" spans="1:2" ht="409.5" customHeight="1">
      <c r="B7" s="360"/>
    </row>
  </sheetData>
  <phoneticPr fontId="83"/>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7"/>
  <sheetViews>
    <sheetView topLeftCell="A8" zoomScale="40" zoomScaleNormal="40" zoomScaleSheetLayoutView="145" workbookViewId="0">
      <selection activeCell="N13" sqref="N13"/>
    </sheetView>
  </sheetViews>
  <sheetFormatPr defaultRowHeight="12.5"/>
  <cols>
    <col min="1" max="1" width="12.7265625" style="360" customWidth="1"/>
    <col min="2" max="2" width="124.7265625" style="11" customWidth="1"/>
    <col min="3" max="4" width="9.1796875" style="360"/>
    <col min="5" max="5" width="124.7265625" style="7" customWidth="1"/>
    <col min="8" max="8" width="124.7265625" style="361" customWidth="1"/>
  </cols>
  <sheetData>
    <row r="2" spans="1:15">
      <c r="A2" s="360" t="str">
        <f>'Variable Mgmt'!K66</f>
        <v>SCH_SINGLE_UVLOadj_SSint_TCno</v>
      </c>
    </row>
    <row r="5" spans="1:15" s="360" customFormat="1" ht="13.5" customHeight="1">
      <c r="E5" s="361"/>
      <c r="H5" s="361"/>
    </row>
    <row r="6" spans="1:15" s="360" customFormat="1" ht="16.5" customHeight="1">
      <c r="E6" s="361"/>
      <c r="H6" s="361"/>
    </row>
    <row r="7" spans="1:15" ht="357" customHeight="1">
      <c r="B7" s="12"/>
      <c r="E7" s="387"/>
      <c r="F7" s="11"/>
      <c r="G7" s="11"/>
      <c r="I7" s="11"/>
      <c r="J7" s="11"/>
      <c r="K7" s="11"/>
      <c r="L7" s="11"/>
      <c r="M7" s="11"/>
      <c r="N7" s="11"/>
    </row>
    <row r="8" spans="1:15" s="360" customFormat="1" ht="17.25" customHeight="1">
      <c r="B8" s="361"/>
      <c r="E8" s="361"/>
      <c r="H8" s="361"/>
      <c r="O8" s="362"/>
    </row>
    <row r="9" spans="1:15" ht="357" customHeight="1">
      <c r="B9" s="111"/>
      <c r="D9" s="361"/>
      <c r="E9" s="387"/>
      <c r="F9" s="360"/>
      <c r="G9" s="11"/>
      <c r="I9" s="11"/>
      <c r="J9" s="11"/>
      <c r="K9" s="11"/>
      <c r="L9" s="11"/>
      <c r="M9" s="11"/>
      <c r="N9" s="11"/>
      <c r="O9" s="363"/>
    </row>
    <row r="10" spans="1:15" s="360" customFormat="1">
      <c r="E10" s="361"/>
      <c r="H10" s="361"/>
    </row>
    <row r="11" spans="1:15" ht="357" customHeight="1">
      <c r="B11" s="387"/>
      <c r="D11" s="361"/>
      <c r="E11" s="361"/>
      <c r="F11" s="360"/>
      <c r="G11" s="11"/>
      <c r="I11" s="11"/>
      <c r="J11" s="11"/>
      <c r="K11" s="11"/>
      <c r="L11" s="11"/>
      <c r="M11" s="11"/>
      <c r="N11" s="11"/>
      <c r="O11" s="363"/>
    </row>
    <row r="12" spans="1:15">
      <c r="B12" s="360"/>
      <c r="E12" s="361"/>
      <c r="F12" s="360"/>
      <c r="G12" s="11"/>
      <c r="I12" s="11"/>
      <c r="J12" s="11"/>
      <c r="K12" s="11"/>
      <c r="L12" s="11"/>
      <c r="M12" s="11"/>
      <c r="N12" s="11"/>
    </row>
    <row r="13" spans="1:15" ht="357" customHeight="1">
      <c r="B13" s="387"/>
      <c r="E13" s="361"/>
      <c r="F13" s="360"/>
      <c r="G13" s="11"/>
      <c r="I13" s="11"/>
      <c r="J13" s="11"/>
      <c r="K13" s="11"/>
      <c r="L13" s="11"/>
      <c r="M13" s="11"/>
      <c r="N13" s="11"/>
      <c r="O13" s="363"/>
    </row>
    <row r="14" spans="1:15">
      <c r="B14" s="360"/>
      <c r="E14" s="361"/>
      <c r="F14" s="360"/>
      <c r="G14" s="11"/>
      <c r="I14" s="11"/>
      <c r="J14" s="11"/>
      <c r="K14" s="11"/>
      <c r="L14" s="11"/>
      <c r="M14" s="11"/>
      <c r="N14" s="11"/>
    </row>
    <row r="15" spans="1:15" ht="357" customHeight="1">
      <c r="E15" s="361"/>
      <c r="F15" s="360"/>
      <c r="G15" s="11"/>
      <c r="I15" s="11"/>
      <c r="J15" s="11"/>
      <c r="K15" s="11"/>
      <c r="L15" s="11"/>
      <c r="M15" s="11"/>
      <c r="N15" s="11"/>
      <c r="O15" s="363"/>
    </row>
    <row r="16" spans="1:15">
      <c r="B16" s="360"/>
      <c r="E16" s="361"/>
      <c r="F16" s="11"/>
      <c r="G16" s="11"/>
      <c r="I16" s="11"/>
      <c r="J16" s="11"/>
      <c r="K16" s="11"/>
      <c r="L16" s="11"/>
      <c r="M16" s="11"/>
      <c r="N16" s="11"/>
    </row>
    <row r="17" spans="2:15" ht="357" customHeight="1">
      <c r="B17" s="387"/>
      <c r="E17" s="361"/>
      <c r="F17" s="360"/>
      <c r="G17" s="11"/>
      <c r="I17" s="11"/>
      <c r="J17" s="11"/>
      <c r="K17" s="11"/>
      <c r="L17" s="11"/>
      <c r="M17" s="11"/>
      <c r="N17" s="11"/>
      <c r="O17" s="363"/>
    </row>
    <row r="18" spans="2:15" ht="12" customHeight="1">
      <c r="B18" s="360"/>
      <c r="E18" s="361"/>
      <c r="F18" s="11"/>
      <c r="G18" s="11"/>
      <c r="I18" s="11"/>
      <c r="J18" s="11"/>
      <c r="K18" s="11"/>
      <c r="L18" s="11"/>
      <c r="M18" s="11"/>
      <c r="N18" s="11"/>
    </row>
    <row r="19" spans="2:15" ht="357" customHeight="1">
      <c r="B19" s="360"/>
      <c r="E19" s="361"/>
      <c r="F19" s="11"/>
      <c r="G19" s="11"/>
      <c r="I19" s="11"/>
      <c r="J19" s="11"/>
      <c r="K19" s="11"/>
      <c r="L19" s="11"/>
      <c r="M19" s="11"/>
      <c r="N19" s="11"/>
    </row>
    <row r="20" spans="2:15" ht="13.5" customHeight="1">
      <c r="B20" s="360"/>
      <c r="E20" s="361"/>
      <c r="F20" s="11"/>
      <c r="G20" s="11"/>
      <c r="I20" s="11"/>
      <c r="J20" s="11"/>
      <c r="K20" s="11"/>
      <c r="L20" s="11"/>
      <c r="M20" s="11"/>
      <c r="N20" s="11"/>
    </row>
    <row r="21" spans="2:15" ht="357" customHeight="1">
      <c r="B21" s="360"/>
      <c r="E21" s="361"/>
      <c r="F21" s="11"/>
      <c r="G21" s="11"/>
      <c r="I21" s="11"/>
      <c r="J21" s="11"/>
      <c r="K21" s="11"/>
      <c r="L21" s="11"/>
      <c r="M21" s="11"/>
      <c r="N21" s="11"/>
    </row>
    <row r="22" spans="2:15">
      <c r="B22" s="360"/>
      <c r="E22" s="361"/>
      <c r="F22" s="11"/>
      <c r="G22" s="11"/>
      <c r="I22" s="11"/>
      <c r="J22" s="11"/>
      <c r="K22" s="11"/>
      <c r="L22" s="11"/>
      <c r="M22" s="11"/>
      <c r="N22" s="11"/>
    </row>
    <row r="23" spans="2:15" ht="357" customHeight="1">
      <c r="B23" s="360"/>
      <c r="E23" s="361"/>
      <c r="F23" s="11"/>
      <c r="G23" s="11"/>
      <c r="I23" s="11"/>
      <c r="J23" s="11"/>
      <c r="K23" s="11"/>
      <c r="L23" s="11"/>
      <c r="M23" s="11"/>
      <c r="N23" s="11"/>
    </row>
    <row r="24" spans="2:15">
      <c r="B24" s="360"/>
      <c r="E24" s="361"/>
      <c r="F24" s="11"/>
      <c r="G24" s="11"/>
      <c r="I24" s="11"/>
      <c r="J24" s="11"/>
      <c r="K24" s="11"/>
      <c r="L24" s="11"/>
      <c r="M24" s="11"/>
      <c r="N24" s="11"/>
    </row>
    <row r="25" spans="2:15" ht="327.75" customHeight="1">
      <c r="B25" s="360"/>
      <c r="E25" s="361"/>
      <c r="F25" s="11"/>
      <c r="G25" s="11"/>
      <c r="I25" s="11"/>
      <c r="J25" s="11"/>
      <c r="K25" s="11"/>
      <c r="L25" s="11"/>
      <c r="M25" s="11"/>
      <c r="N25" s="11"/>
    </row>
    <row r="26" spans="2:15">
      <c r="E26" s="361"/>
      <c r="F26" s="11"/>
      <c r="G26" s="11"/>
      <c r="I26" s="11"/>
      <c r="J26" s="11"/>
      <c r="K26" s="11"/>
      <c r="L26" s="11"/>
      <c r="M26" s="11"/>
      <c r="N26" s="11"/>
    </row>
    <row r="27" spans="2:15" ht="327.64999999999998" customHeight="1">
      <c r="B27" s="360"/>
      <c r="E27" s="361"/>
      <c r="F27" s="11"/>
      <c r="G27" s="11"/>
      <c r="I27" s="11"/>
      <c r="J27" s="11"/>
      <c r="K27" s="11"/>
      <c r="L27" s="11"/>
      <c r="M27" s="11"/>
      <c r="N27" s="11"/>
    </row>
    <row r="28" spans="2:15">
      <c r="B28" s="360"/>
      <c r="E28" s="361"/>
      <c r="F28" s="11"/>
      <c r="G28" s="11"/>
      <c r="I28" s="11"/>
      <c r="J28" s="11"/>
      <c r="K28" s="11"/>
      <c r="L28" s="11"/>
      <c r="M28" s="11"/>
      <c r="N28" s="11"/>
    </row>
    <row r="29" spans="2:15" ht="327.75" customHeight="1">
      <c r="B29" s="360"/>
      <c r="E29" s="361"/>
      <c r="F29" s="11"/>
      <c r="G29" s="11"/>
      <c r="I29" s="11"/>
      <c r="J29" s="11"/>
      <c r="K29" s="11"/>
      <c r="L29" s="11"/>
      <c r="M29" s="11"/>
      <c r="N29" s="11"/>
    </row>
    <row r="30" spans="2:15" ht="13.5" customHeight="1">
      <c r="B30" s="360"/>
      <c r="E30" s="361"/>
      <c r="F30" s="11"/>
      <c r="G30" s="11"/>
      <c r="I30" s="11"/>
      <c r="J30" s="11"/>
      <c r="K30" s="11"/>
      <c r="L30" s="11"/>
      <c r="M30" s="11"/>
      <c r="N30" s="11"/>
    </row>
    <row r="31" spans="2:15" ht="327.75" customHeight="1">
      <c r="B31" s="360"/>
      <c r="E31" s="361"/>
      <c r="F31" s="11"/>
      <c r="G31" s="11"/>
      <c r="I31" s="11"/>
      <c r="J31" s="11"/>
      <c r="K31" s="11"/>
      <c r="L31" s="11"/>
      <c r="M31" s="11"/>
      <c r="N31" s="11"/>
    </row>
    <row r="32" spans="2:15" ht="13.5" customHeight="1">
      <c r="B32" s="360"/>
      <c r="E32" s="361"/>
      <c r="F32" s="11"/>
      <c r="G32" s="11"/>
      <c r="I32" s="11"/>
      <c r="J32" s="11"/>
      <c r="K32" s="11"/>
      <c r="L32" s="11"/>
      <c r="M32" s="11"/>
      <c r="N32" s="11"/>
    </row>
    <row r="33" spans="2:20" ht="327.75" customHeight="1">
      <c r="B33" s="360"/>
      <c r="E33" s="361"/>
      <c r="F33" s="11"/>
      <c r="G33" s="11"/>
      <c r="I33" s="11"/>
      <c r="J33" s="11"/>
      <c r="K33" s="11"/>
      <c r="L33" s="11"/>
      <c r="M33" s="11"/>
      <c r="N33" s="11"/>
    </row>
    <row r="34" spans="2:20" ht="13.5" customHeight="1">
      <c r="B34" s="360"/>
      <c r="E34" s="361"/>
      <c r="F34" s="11"/>
      <c r="G34" s="11"/>
      <c r="I34" s="11"/>
      <c r="J34" s="11"/>
      <c r="K34" s="11"/>
      <c r="L34" s="11"/>
      <c r="M34" s="11"/>
      <c r="N34" s="11"/>
    </row>
    <row r="35" spans="2:20" ht="327.64999999999998" customHeight="1">
      <c r="B35" s="360"/>
      <c r="E35" s="361"/>
      <c r="F35" s="11"/>
      <c r="G35" s="11"/>
      <c r="I35" s="11"/>
      <c r="J35" s="11"/>
      <c r="K35" s="11"/>
      <c r="L35" s="11"/>
      <c r="M35" s="11"/>
      <c r="N35" s="11"/>
    </row>
    <row r="36" spans="2:20" ht="13.5" customHeight="1">
      <c r="B36" s="360"/>
      <c r="E36" s="361"/>
      <c r="F36" s="11"/>
      <c r="G36" s="11"/>
      <c r="I36" s="11"/>
      <c r="J36" s="11"/>
      <c r="K36" s="11"/>
      <c r="L36" s="11"/>
      <c r="M36" s="11"/>
      <c r="N36" s="11"/>
    </row>
    <row r="37" spans="2:20" ht="327.75" customHeight="1">
      <c r="B37" s="360"/>
      <c r="E37" s="361"/>
      <c r="F37" s="11"/>
      <c r="G37" s="11"/>
      <c r="I37" s="11"/>
      <c r="J37" s="11"/>
      <c r="K37" s="11"/>
      <c r="L37" s="11"/>
      <c r="M37" s="11"/>
      <c r="N37" s="11"/>
    </row>
    <row r="38" spans="2:20" ht="13.5" customHeight="1">
      <c r="B38" s="360"/>
      <c r="E38" s="361"/>
      <c r="F38" s="11"/>
      <c r="G38" s="364"/>
      <c r="I38" s="365"/>
      <c r="J38" s="11"/>
      <c r="K38" s="11"/>
      <c r="L38" s="11"/>
      <c r="M38" s="11"/>
      <c r="N38" s="11"/>
    </row>
    <row r="39" spans="2:20" ht="327.75" customHeight="1">
      <c r="B39" s="360"/>
      <c r="E39" s="361"/>
      <c r="F39" s="11"/>
      <c r="G39" s="11"/>
      <c r="I39" s="365"/>
      <c r="J39" s="11"/>
      <c r="K39" s="11"/>
      <c r="L39" s="11"/>
      <c r="M39" s="11"/>
      <c r="N39" s="11"/>
    </row>
    <row r="40" spans="2:20">
      <c r="B40" s="360"/>
      <c r="E40" s="361"/>
      <c r="F40" s="11"/>
      <c r="G40" s="11"/>
      <c r="I40" s="11"/>
      <c r="J40" s="11"/>
      <c r="K40" s="11"/>
      <c r="L40" s="11"/>
      <c r="M40" s="11"/>
      <c r="N40" s="11"/>
      <c r="O40" s="11"/>
      <c r="P40" s="11"/>
      <c r="Q40" s="13"/>
      <c r="S40" s="366"/>
      <c r="T40" s="366"/>
    </row>
    <row r="41" spans="2:20" ht="327.75" customHeight="1">
      <c r="B41" s="360"/>
      <c r="E41" s="361"/>
      <c r="F41" s="11"/>
      <c r="G41" s="11"/>
      <c r="I41" s="11"/>
      <c r="J41" s="11"/>
      <c r="K41" s="11"/>
      <c r="L41" s="11"/>
      <c r="M41" s="11"/>
      <c r="N41" s="11"/>
      <c r="O41" s="11"/>
      <c r="P41" s="11"/>
      <c r="Q41" s="13"/>
      <c r="S41" s="366"/>
    </row>
    <row r="42" spans="2:20">
      <c r="B42" s="360"/>
      <c r="E42" s="361"/>
      <c r="F42" s="11"/>
      <c r="G42" s="11"/>
      <c r="I42" s="11"/>
      <c r="J42" s="11"/>
      <c r="K42" s="11"/>
      <c r="L42" s="11"/>
      <c r="M42" s="11"/>
      <c r="N42" s="11"/>
      <c r="O42" s="11"/>
      <c r="P42" s="11"/>
      <c r="Q42" s="13"/>
      <c r="S42" s="366"/>
    </row>
    <row r="43" spans="2:20" ht="327.75" customHeight="1">
      <c r="B43" s="360"/>
      <c r="E43" s="361"/>
      <c r="F43" s="11"/>
      <c r="G43" s="11"/>
      <c r="I43" s="11"/>
      <c r="J43" s="11"/>
      <c r="K43" s="11"/>
      <c r="L43" s="11"/>
      <c r="M43" s="11"/>
      <c r="N43" s="11"/>
      <c r="O43" s="11"/>
      <c r="P43" s="11"/>
      <c r="Q43" s="13"/>
      <c r="S43" s="366"/>
    </row>
    <row r="44" spans="2:20">
      <c r="B44" s="360"/>
      <c r="E44" s="361"/>
      <c r="F44" s="11"/>
      <c r="G44" s="11"/>
      <c r="I44" s="11"/>
      <c r="J44" s="11"/>
      <c r="K44" s="11"/>
      <c r="L44" s="11"/>
      <c r="M44" s="11"/>
      <c r="N44" s="11"/>
      <c r="O44" s="11"/>
      <c r="P44" s="11"/>
      <c r="Q44" s="13"/>
      <c r="S44" s="366"/>
    </row>
    <row r="45" spans="2:20" ht="327.75" customHeight="1">
      <c r="B45" s="360"/>
      <c r="E45" s="361"/>
      <c r="F45" s="11"/>
      <c r="G45" s="11"/>
      <c r="I45" s="11"/>
      <c r="J45" s="11"/>
      <c r="K45" s="11"/>
      <c r="L45" s="11"/>
      <c r="M45" s="11"/>
      <c r="N45" s="11"/>
      <c r="O45" s="11"/>
      <c r="P45" s="11"/>
      <c r="Q45" s="13"/>
      <c r="S45" s="366"/>
    </row>
    <row r="46" spans="2:20">
      <c r="B46" s="360"/>
      <c r="E46" s="361"/>
      <c r="F46" s="11"/>
      <c r="G46" s="11"/>
      <c r="I46" s="11"/>
      <c r="J46" s="11"/>
      <c r="K46" s="11"/>
      <c r="L46" s="11"/>
      <c r="M46" s="11"/>
      <c r="N46" s="11"/>
      <c r="O46" s="11"/>
      <c r="P46" s="11"/>
      <c r="Q46" s="13"/>
      <c r="S46" s="366"/>
    </row>
    <row r="47" spans="2:20" ht="327.75" customHeight="1">
      <c r="B47" s="360"/>
      <c r="E47" s="361"/>
      <c r="F47" s="11"/>
      <c r="G47" s="11"/>
      <c r="I47" s="11"/>
      <c r="J47" s="11"/>
      <c r="K47" s="11"/>
      <c r="L47" s="11"/>
      <c r="M47" s="11"/>
      <c r="N47" s="11"/>
      <c r="O47" s="11"/>
      <c r="P47" s="11"/>
      <c r="Q47" s="13"/>
      <c r="S47" s="367"/>
    </row>
    <row r="48" spans="2:20">
      <c r="B48" s="360"/>
      <c r="E48" s="361"/>
      <c r="F48" s="11"/>
      <c r="G48" s="11"/>
      <c r="I48" s="11"/>
      <c r="J48" s="11"/>
      <c r="K48" s="11"/>
      <c r="L48" s="11"/>
      <c r="M48" s="11"/>
      <c r="N48" s="11"/>
      <c r="O48" s="11"/>
      <c r="P48" s="11"/>
      <c r="Q48" s="13"/>
      <c r="S48" s="366"/>
    </row>
    <row r="49" spans="2:19" ht="327.75" customHeight="1">
      <c r="B49" s="360"/>
      <c r="E49" s="361"/>
      <c r="F49" s="11"/>
      <c r="G49" s="11"/>
      <c r="I49" s="11"/>
      <c r="J49" s="11"/>
      <c r="K49" s="11"/>
      <c r="L49" s="11"/>
      <c r="M49" s="11"/>
      <c r="N49" s="11"/>
      <c r="O49" s="11"/>
      <c r="P49" s="11"/>
      <c r="Q49" s="13"/>
      <c r="S49" s="366"/>
    </row>
    <row r="50" spans="2:19">
      <c r="B50" s="360"/>
      <c r="E50" s="361"/>
      <c r="F50" s="11"/>
      <c r="G50" s="11"/>
      <c r="I50" s="11"/>
      <c r="J50" s="11"/>
      <c r="K50" s="11"/>
      <c r="L50" s="11"/>
      <c r="M50" s="11"/>
      <c r="N50" s="11"/>
      <c r="O50" s="11"/>
      <c r="P50" s="11"/>
      <c r="Q50" s="13"/>
      <c r="S50" s="366"/>
    </row>
    <row r="51" spans="2:19">
      <c r="B51" s="360"/>
      <c r="E51" s="361"/>
      <c r="F51" s="11"/>
      <c r="G51" s="11"/>
      <c r="I51" s="11"/>
      <c r="J51" s="11"/>
      <c r="K51" s="11"/>
      <c r="L51" s="11"/>
      <c r="M51" s="11"/>
      <c r="N51" s="11"/>
      <c r="O51" s="11"/>
      <c r="P51" s="11"/>
      <c r="Q51" s="13"/>
      <c r="S51" s="366"/>
    </row>
    <row r="52" spans="2:19">
      <c r="B52" s="360"/>
      <c r="E52" s="361"/>
      <c r="F52" s="11"/>
      <c r="G52" s="11"/>
      <c r="I52" s="11"/>
      <c r="J52" s="11"/>
      <c r="K52" s="11"/>
      <c r="L52" s="11"/>
      <c r="M52" s="11"/>
      <c r="N52" s="11"/>
      <c r="O52" s="11"/>
      <c r="P52" s="11"/>
      <c r="Q52" s="13"/>
      <c r="S52" s="366"/>
    </row>
    <row r="53" spans="2:19">
      <c r="B53" s="360"/>
      <c r="E53" s="361"/>
      <c r="F53" s="11"/>
      <c r="G53" s="11"/>
      <c r="I53" s="11"/>
      <c r="J53" s="11"/>
      <c r="K53" s="11"/>
      <c r="L53" s="11"/>
      <c r="M53" s="11"/>
      <c r="N53" s="11"/>
    </row>
    <row r="54" spans="2:19">
      <c r="B54" s="360"/>
      <c r="E54" s="361"/>
      <c r="F54" s="11"/>
      <c r="G54" s="11"/>
      <c r="I54" s="11"/>
      <c r="J54" s="11"/>
      <c r="K54" s="11"/>
      <c r="L54" s="11"/>
      <c r="M54" s="11"/>
      <c r="N54" s="11"/>
    </row>
    <row r="55" spans="2:19" ht="13">
      <c r="B55" s="360"/>
      <c r="E55" s="361"/>
      <c r="F55" s="11"/>
      <c r="G55" s="11"/>
      <c r="I55" s="11"/>
      <c r="J55" s="11"/>
      <c r="K55" s="11"/>
      <c r="L55" s="11"/>
      <c r="M55" s="11"/>
      <c r="N55" s="11"/>
      <c r="R55" s="14"/>
    </row>
    <row r="56" spans="2:19">
      <c r="B56" s="360"/>
      <c r="E56" s="361"/>
      <c r="F56" s="11"/>
      <c r="G56" s="11"/>
      <c r="I56" s="11"/>
      <c r="J56" s="11"/>
      <c r="K56" s="11"/>
      <c r="L56" s="11"/>
      <c r="M56" s="11"/>
      <c r="N56" s="11"/>
    </row>
    <row r="57" spans="2:19">
      <c r="B57" s="360"/>
      <c r="E57" s="361"/>
      <c r="F57" s="11"/>
      <c r="G57" s="11"/>
      <c r="I57" s="11"/>
      <c r="J57" s="11"/>
      <c r="K57" s="11"/>
      <c r="L57" s="11"/>
      <c r="M57" s="11"/>
      <c r="N57" s="11"/>
    </row>
    <row r="58" spans="2:19">
      <c r="E58" s="12"/>
      <c r="F58" s="11"/>
      <c r="G58" s="11"/>
      <c r="I58" s="11"/>
      <c r="J58" s="11"/>
      <c r="K58" s="11"/>
      <c r="L58" s="11"/>
      <c r="M58" s="11"/>
      <c r="N58" s="11"/>
    </row>
    <row r="59" spans="2:19">
      <c r="E59" s="12"/>
      <c r="F59" s="11"/>
      <c r="G59" s="11"/>
      <c r="I59" s="11"/>
      <c r="J59" s="11"/>
      <c r="K59" s="11"/>
      <c r="L59" s="11"/>
      <c r="M59" s="11"/>
      <c r="N59" s="11"/>
    </row>
    <row r="60" spans="2:19">
      <c r="E60" s="12"/>
      <c r="F60" s="11"/>
      <c r="G60" s="11"/>
      <c r="I60" s="11"/>
      <c r="J60" s="11"/>
      <c r="K60" s="11"/>
      <c r="L60" s="11"/>
      <c r="M60" s="11"/>
      <c r="N60" s="11"/>
    </row>
    <row r="61" spans="2:19">
      <c r="E61" s="12"/>
      <c r="F61" s="11"/>
      <c r="G61" s="11"/>
      <c r="I61" s="11"/>
      <c r="J61" s="11"/>
      <c r="K61" s="11"/>
      <c r="L61" s="11"/>
      <c r="M61" s="11"/>
      <c r="N61" s="11"/>
    </row>
    <row r="62" spans="2:19">
      <c r="E62" s="12"/>
      <c r="F62" s="11"/>
      <c r="G62" s="11"/>
      <c r="I62" s="11"/>
      <c r="J62" s="11"/>
      <c r="K62" s="11"/>
      <c r="L62" s="11"/>
      <c r="M62" s="11"/>
      <c r="N62" s="11"/>
    </row>
    <row r="63" spans="2:19">
      <c r="E63" s="12"/>
      <c r="F63" s="11"/>
      <c r="G63" s="11"/>
      <c r="I63" s="11"/>
      <c r="J63" s="11"/>
      <c r="K63" s="11"/>
      <c r="L63" s="11"/>
      <c r="M63" s="11"/>
      <c r="N63" s="11"/>
    </row>
    <row r="64" spans="2:19">
      <c r="E64" s="12"/>
      <c r="F64" s="11"/>
      <c r="G64" s="11"/>
      <c r="I64" s="11"/>
      <c r="J64" s="11"/>
      <c r="K64" s="11"/>
      <c r="L64" s="11"/>
      <c r="M64" s="11"/>
      <c r="N64" s="11"/>
    </row>
    <row r="65" spans="5:18">
      <c r="E65" s="12"/>
      <c r="F65" s="11"/>
      <c r="G65" s="11"/>
      <c r="I65" s="11"/>
      <c r="J65" s="11"/>
      <c r="K65" s="11"/>
      <c r="L65" s="11"/>
      <c r="M65" s="11"/>
      <c r="N65" s="11"/>
    </row>
    <row r="66" spans="5:18" ht="13">
      <c r="E66" s="12"/>
      <c r="F66" s="11"/>
      <c r="G66" s="11"/>
      <c r="I66" s="11"/>
      <c r="J66" s="11"/>
      <c r="K66" s="11"/>
      <c r="L66" s="11"/>
      <c r="M66" s="11"/>
      <c r="N66" s="11"/>
      <c r="R66" s="14"/>
    </row>
    <row r="67" spans="5:18">
      <c r="E67" s="12"/>
      <c r="F67" s="11"/>
      <c r="G67" s="11"/>
      <c r="I67" s="11"/>
      <c r="J67" s="11"/>
      <c r="K67" s="11"/>
      <c r="L67" s="11"/>
      <c r="M67" s="11"/>
      <c r="N67" s="11"/>
    </row>
  </sheetData>
  <sheetProtection sheet="1" objects="1" scenarios="1"/>
  <phoneticPr fontId="83"/>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O25" sqref="O25"/>
    </sheetView>
  </sheetViews>
  <sheetFormatPr defaultRowHeight="12.5"/>
  <cols>
    <col min="1" max="1" width="17.26953125" customWidth="1"/>
    <col min="2" max="2" width="12" bestFit="1" customWidth="1"/>
    <col min="8" max="8" width="12.1796875" customWidth="1"/>
    <col min="9" max="9" width="12.453125" bestFit="1" customWidth="1"/>
    <col min="10" max="10" width="15.453125" customWidth="1"/>
  </cols>
  <sheetData>
    <row r="2" spans="1:11">
      <c r="A2" t="s">
        <v>68</v>
      </c>
      <c r="B2" t="s">
        <v>66</v>
      </c>
      <c r="C2" t="s">
        <v>14</v>
      </c>
      <c r="D2" t="s">
        <v>28</v>
      </c>
      <c r="E2" t="s">
        <v>75</v>
      </c>
    </row>
    <row r="3" spans="1:11" ht="13">
      <c r="A3" t="s">
        <v>71</v>
      </c>
      <c r="B3">
        <f>Css</f>
        <v>5.0000000000000004E-8</v>
      </c>
      <c r="C3">
        <f>Cout</f>
        <v>110</v>
      </c>
      <c r="D3">
        <f>Cin</f>
        <v>22</v>
      </c>
      <c r="E3">
        <f>Cb</f>
        <v>0</v>
      </c>
      <c r="H3" t="s">
        <v>73</v>
      </c>
      <c r="I3" t="s">
        <v>74</v>
      </c>
      <c r="J3" s="3" t="s">
        <v>70</v>
      </c>
    </row>
    <row r="4" spans="1:11" ht="13">
      <c r="A4" s="6" t="s">
        <v>70</v>
      </c>
      <c r="B4" s="6">
        <f>SUM(B6:B158)/1000000000000</f>
        <v>4.6999999999999997E-8</v>
      </c>
      <c r="C4" s="6">
        <f>SUM(C6:C158)/1000000000000</f>
        <v>0</v>
      </c>
      <c r="D4" s="6">
        <f>SUM(D6:D158)/1000000000000</f>
        <v>0</v>
      </c>
      <c r="E4" s="6">
        <f>IF(E3="OPEN","OPEN",SUM(E6:E158)/1000000000000)</f>
        <v>0</v>
      </c>
      <c r="H4" s="76" t="s">
        <v>139</v>
      </c>
      <c r="I4" t="e">
        <f>Rt</f>
        <v>#NAME?</v>
      </c>
      <c r="J4" s="3" t="e">
        <f t="shared" ref="J4:J9" si="0">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7" t="s">
        <v>136</v>
      </c>
    </row>
    <row r="5" spans="1:11" ht="13">
      <c r="A5" t="s">
        <v>69</v>
      </c>
      <c r="J5" s="3"/>
      <c r="K5" s="17"/>
    </row>
    <row r="6" spans="1:11" ht="13">
      <c r="A6">
        <v>0.47</v>
      </c>
      <c r="B6">
        <f>IF(IF((B$3*10^12-$A7)*(B$3*10^12-$A6)*-1&lt;0,0,1)*IF(ABS(B$3*10^12-$A7)&gt;(B$3*10^12-$A6),$A6,$A7)=B7,0,IF((B$3*10^12-$A7)*(B$3*10^12-$A6)*-1&lt;0,0,1)*IF(ABS(B$3*10^12-$A7)&gt;(B$3*10^12-$A6),$A6,$A7))</f>
        <v>0</v>
      </c>
      <c r="C6">
        <f>IF(IF((C$3*10^12-$A7)*(C$3*10^12-$A6)*-1&lt;0,0,1)*IF(ABS(C$3*10^12-$A7)&gt;(C$3*10^12-$A6),$A6,$A7)=C7,0,IF((C$3*10^12-$A7)*(C$3*10^12-$A6)*-1&lt;0,0,1)*IF(ABS(C$3*10^12-$A7)&gt;(C$3*10^12-$A6),$A6,$A7))</f>
        <v>0</v>
      </c>
      <c r="D6">
        <f>IF(IF((D$3*10^12-$A7)*(D$3*10^12-$A6)*-1&lt;0,0,1)*IF(ABS(D$3*10^12-$A7)&gt;(D$3*10^12-$A6),$A6,$A7)=D7,0,IF((D$3*10^12-$A7)*(D$3*10^12-$A6)*-1&lt;0,0,1)*IF(ABS(D$3*10^12-$A7)&gt;(D$3*10^12-$A6),$A6,$A7))</f>
        <v>0</v>
      </c>
      <c r="E6">
        <f>IF(IF((E$3*10^12-$A7)*(E$3*10^12-$A6)*-1&lt;0,0,1)*IF(ABS(E$3*10^12-$A7)&gt;(E$3*10^12-$A6),$A6,$A7)=E7,0,IF((E$3*10^12-$A7)*(E$3*10^12-$A6)*-1&lt;0,0,1)*IF(ABS(E$3*10^12-$A7)&gt;(E$3*10^12-$A6),$A6,$A7))</f>
        <v>0</v>
      </c>
      <c r="H6" s="76" t="s">
        <v>162</v>
      </c>
      <c r="I6" t="e">
        <f>Rshunt</f>
        <v>#NAME?</v>
      </c>
      <c r="J6" s="3" t="e">
        <f t="shared" si="0"/>
        <v>#NAME?</v>
      </c>
      <c r="K6" s="17" t="s">
        <v>136</v>
      </c>
    </row>
    <row r="7" spans="1:11" ht="13">
      <c r="A7">
        <v>0.56000000000000005</v>
      </c>
      <c r="B7">
        <f t="shared" ref="B7:B70" si="1">IF(IF((B$3*10^12-$A8)*(B$3*10^12-$A7)*-1&lt;0,0,1)*IF(ABS(B$3*10^12-$A8)&gt;(B$3*10^12-$A7),$A7,$A8)=B8,0,IF((B$3*10^12-$A8)*(B$3*10^12-$A7)*-1&lt;0,0,1)*IF(ABS(B$3*10^12-$A8)&gt;(B$3*10^12-$A7),$A7,$A8))</f>
        <v>0</v>
      </c>
      <c r="C7">
        <f t="shared" ref="C7:C69" si="2">IF(IF((C$3*10^12-$A8)*(C$3*10^12-$A7)*-1&lt;0,0,1)*IF(ABS(C$3*10^12-$A8)&gt;(C$3*10^12-$A7),$A7,$A8)=C8,0,IF((C$3*10^12-$A8)*(C$3*10^12-$A7)*-1&lt;0,0,1)*IF(ABS(C$3*10^12-$A8)&gt;(C$3*10^12-$A7),$A7,$A8))</f>
        <v>0</v>
      </c>
      <c r="D7">
        <f t="shared" ref="D7:D69" si="3">IF(IF((D$3*10^12-$A8)*(D$3*10^12-$A7)*-1&lt;0,0,1)*IF(ABS(D$3*10^12-$A8)&gt;(D$3*10^12-$A7),$A7,$A8)=D8,0,IF((D$3*10^12-$A8)*(D$3*10^12-$A7)*-1&lt;0,0,1)*IF(ABS(D$3*10^12-$A8)&gt;(D$3*10^12-$A7),$A7,$A8))</f>
        <v>0</v>
      </c>
      <c r="E7">
        <f t="shared" ref="E7:E37" si="4">IF(IF((E$3*10^12-$A8)*(E$3*10^12-$A7)*-1&lt;0,0,1)*IF(ABS(E$3*10^12-$A8)&gt;(E$3*10^12-$A7),$A7,$A8)=E8,0,IF((E$3*10^12-$A8)*(E$3*10^12-$A7)*-1&lt;0,0,1)*IF(ABS(E$3*10^12-$A8)&gt;(E$3*10^12-$A7),$A7,$A8))</f>
        <v>0</v>
      </c>
      <c r="H7" t="s">
        <v>79</v>
      </c>
      <c r="I7">
        <v>6220.3534470000013</v>
      </c>
      <c r="J7" s="3">
        <f t="shared" si="0"/>
        <v>6190</v>
      </c>
      <c r="K7" s="17" t="s">
        <v>136</v>
      </c>
    </row>
    <row r="8" spans="1:11" ht="13">
      <c r="A8">
        <v>0.68</v>
      </c>
      <c r="B8">
        <f t="shared" si="1"/>
        <v>0</v>
      </c>
      <c r="C8">
        <f t="shared" si="2"/>
        <v>0</v>
      </c>
      <c r="D8">
        <f t="shared" si="3"/>
        <v>0</v>
      </c>
      <c r="E8">
        <f t="shared" si="4"/>
        <v>0</v>
      </c>
      <c r="J8" s="3"/>
      <c r="K8" s="17"/>
    </row>
    <row r="9" spans="1:11" ht="13">
      <c r="A9">
        <v>0.82</v>
      </c>
      <c r="B9">
        <f t="shared" si="1"/>
        <v>0</v>
      </c>
      <c r="C9">
        <f t="shared" si="2"/>
        <v>0</v>
      </c>
      <c r="D9">
        <f t="shared" si="3"/>
        <v>0</v>
      </c>
      <c r="E9">
        <f t="shared" si="4"/>
        <v>0</v>
      </c>
      <c r="H9" t="s">
        <v>377</v>
      </c>
      <c r="I9">
        <f>RTC_1</f>
        <v>358400</v>
      </c>
      <c r="J9" s="3">
        <f t="shared" si="0"/>
        <v>357000</v>
      </c>
      <c r="K9" s="17" t="s">
        <v>136</v>
      </c>
    </row>
    <row r="10" spans="1:11" ht="13">
      <c r="A10">
        <v>1</v>
      </c>
      <c r="B10">
        <f t="shared" si="1"/>
        <v>0</v>
      </c>
      <c r="C10">
        <f t="shared" si="2"/>
        <v>0</v>
      </c>
      <c r="D10">
        <f t="shared" si="3"/>
        <v>0</v>
      </c>
      <c r="E10">
        <f t="shared" si="4"/>
        <v>0</v>
      </c>
      <c r="H10" t="s">
        <v>17</v>
      </c>
      <c r="I10">
        <f>Rfb</f>
        <v>168000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169000</v>
      </c>
      <c r="K10" s="17" t="s">
        <v>136</v>
      </c>
    </row>
    <row r="11" spans="1:11" ht="13">
      <c r="A11">
        <v>1.2</v>
      </c>
      <c r="B11">
        <f t="shared" si="1"/>
        <v>0</v>
      </c>
      <c r="C11">
        <f t="shared" si="2"/>
        <v>0</v>
      </c>
      <c r="D11">
        <f t="shared" si="3"/>
        <v>0</v>
      </c>
      <c r="E11">
        <f t="shared" si="4"/>
        <v>0</v>
      </c>
      <c r="J11" s="3"/>
    </row>
    <row r="12" spans="1:11" ht="13">
      <c r="A12">
        <v>1.5</v>
      </c>
      <c r="B12">
        <f t="shared" si="1"/>
        <v>0</v>
      </c>
      <c r="C12">
        <f t="shared" si="2"/>
        <v>0</v>
      </c>
      <c r="D12">
        <f t="shared" si="3"/>
        <v>0</v>
      </c>
      <c r="E12">
        <f t="shared" si="4"/>
        <v>0</v>
      </c>
      <c r="J12" s="3"/>
    </row>
    <row r="13" spans="1:11" ht="13">
      <c r="A13">
        <v>1.8</v>
      </c>
      <c r="B13">
        <f t="shared" si="1"/>
        <v>0</v>
      </c>
      <c r="C13">
        <f t="shared" si="2"/>
        <v>0</v>
      </c>
      <c r="D13">
        <f t="shared" si="3"/>
        <v>0</v>
      </c>
      <c r="E13">
        <f t="shared" si="4"/>
        <v>0</v>
      </c>
      <c r="H13" s="76"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7" t="s">
        <v>161</v>
      </c>
    </row>
    <row r="14" spans="1:11">
      <c r="A14">
        <v>2.2000000000000002</v>
      </c>
      <c r="B14">
        <f>IF(IF((B$3*10^12-$A15)*(B$3*10^12-$A14)*-1&lt;0,0,1)*IF(ABS(B$3*10^12-$A15)&gt;(B$3*10^12-$A14),$A14,$A15)=B15,0,IF((B$3*10^12-$A15)*(B$3*10^12-$A14)*-1&lt;0,0,1)*IF(ABS(B$3*10^12-$A15)&gt;(B$3*10^12-$A14),$A14,$A15))</f>
        <v>0</v>
      </c>
      <c r="C14">
        <f>IF(IF((C$3*10^12-$A15)*(C$3*10^12-$A14)*-1&lt;0,0,1)*IF(ABS(C$3*10^12-$A15)&gt;(C$3*10^12-$A14),$A14,$A15)=C15,0,IF((C$3*10^12-$A15)*(C$3*10^12-$A14)*-1&lt;0,0,1)*IF(ABS(C$3*10^12-$A15)&gt;(C$3*10^12-$A14),$A14,$A15))</f>
        <v>0</v>
      </c>
      <c r="D14">
        <f>IF(IF((D$3*10^12-$A15)*(D$3*10^12-$A14)*-1&lt;0,0,1)*IF(ABS(D$3*10^12-$A15)&gt;(D$3*10^12-$A14),$A14,$A15)=D15,0,IF((D$3*10^12-$A15)*(D$3*10^12-$A14)*-1&lt;0,0,1)*IF(ABS(D$3*10^12-$A15)&gt;(D$3*10^12-$A14),$A14,$A15))</f>
        <v>0</v>
      </c>
      <c r="E14">
        <f>IF(IF((E$3*10^12-$A15)*(E$3*10^12-$A14)*-1&lt;0,0,1)*IF(ABS(E$3*10^12-$A15)&gt;(E$3*10^12-$A14),$A14,$A15)=E15,0,IF((E$3*10^12-$A15)*(E$3*10^12-$A14)*-1&lt;0,0,1)*IF(ABS(E$3*10^12-$A15)&gt;(E$3*10^12-$A14),$A14,$A15))</f>
        <v>0</v>
      </c>
      <c r="H14" s="76" t="s">
        <v>160</v>
      </c>
      <c r="I14" t="e">
        <f>Cslope_ideal</f>
        <v>#NAME?</v>
      </c>
      <c r="J14" t="e">
        <f>#REF!*1000000000000</f>
        <v>#REF!</v>
      </c>
      <c r="K14" s="76" t="s">
        <v>15</v>
      </c>
    </row>
    <row r="15" spans="1:11">
      <c r="A15">
        <v>2.7</v>
      </c>
      <c r="B15">
        <f t="shared" si="1"/>
        <v>0</v>
      </c>
      <c r="C15">
        <f t="shared" si="2"/>
        <v>0</v>
      </c>
      <c r="D15">
        <f t="shared" si="3"/>
        <v>0</v>
      </c>
      <c r="E15">
        <f t="shared" si="4"/>
        <v>0</v>
      </c>
    </row>
    <row r="16" spans="1:11" ht="13">
      <c r="A16">
        <v>3.3</v>
      </c>
      <c r="B16">
        <f t="shared" si="1"/>
        <v>0</v>
      </c>
      <c r="C16">
        <f t="shared" si="2"/>
        <v>0</v>
      </c>
      <c r="D16">
        <f t="shared" si="3"/>
        <v>0</v>
      </c>
      <c r="E16">
        <f t="shared" si="4"/>
        <v>0</v>
      </c>
      <c r="H16" s="76" t="s">
        <v>130</v>
      </c>
      <c r="I16">
        <f>Ruvlo1</f>
        <v>194.66666666666725</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196</v>
      </c>
      <c r="K16" s="17" t="s">
        <v>113</v>
      </c>
    </row>
    <row r="17" spans="1:11" ht="13">
      <c r="A17">
        <v>3.9</v>
      </c>
      <c r="B17">
        <f t="shared" si="1"/>
        <v>0</v>
      </c>
      <c r="C17">
        <f t="shared" si="2"/>
        <v>0</v>
      </c>
      <c r="D17">
        <f t="shared" si="3"/>
        <v>0</v>
      </c>
      <c r="E17">
        <f t="shared" si="4"/>
        <v>0</v>
      </c>
      <c r="H17" s="76" t="s">
        <v>131</v>
      </c>
      <c r="I17" s="173">
        <f>Ruvlo2</f>
        <v>16.99421965317919</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16.900000000000002</v>
      </c>
      <c r="K17" s="17" t="s">
        <v>113</v>
      </c>
    </row>
    <row r="18" spans="1:11" ht="13">
      <c r="A18">
        <v>4.7</v>
      </c>
      <c r="B18">
        <f t="shared" si="1"/>
        <v>0</v>
      </c>
      <c r="C18">
        <f t="shared" si="2"/>
        <v>0</v>
      </c>
      <c r="D18">
        <f t="shared" si="3"/>
        <v>0</v>
      </c>
      <c r="E18">
        <f t="shared" si="4"/>
        <v>0</v>
      </c>
      <c r="H18" s="76" t="s">
        <v>295</v>
      </c>
      <c r="I18" s="173"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7" t="s">
        <v>113</v>
      </c>
    </row>
    <row r="19" spans="1:11">
      <c r="A19">
        <v>5.6</v>
      </c>
      <c r="B19">
        <f t="shared" si="1"/>
        <v>0</v>
      </c>
      <c r="C19">
        <f t="shared" si="2"/>
        <v>0</v>
      </c>
      <c r="D19">
        <f t="shared" si="3"/>
        <v>0</v>
      </c>
      <c r="E19">
        <f t="shared" si="4"/>
        <v>0</v>
      </c>
    </row>
    <row r="20" spans="1:11" ht="13">
      <c r="A20">
        <v>6.8</v>
      </c>
      <c r="B20">
        <f t="shared" si="1"/>
        <v>0</v>
      </c>
      <c r="C20">
        <f t="shared" si="2"/>
        <v>0</v>
      </c>
      <c r="D20">
        <f t="shared" si="3"/>
        <v>0</v>
      </c>
      <c r="E20">
        <f t="shared" si="4"/>
        <v>0</v>
      </c>
      <c r="H20" s="76"/>
      <c r="J20" s="3"/>
    </row>
    <row r="21" spans="1:11" ht="13">
      <c r="A21">
        <v>8.1999999999999993</v>
      </c>
      <c r="B21">
        <f t="shared" si="1"/>
        <v>0</v>
      </c>
      <c r="C21">
        <f t="shared" si="2"/>
        <v>0</v>
      </c>
      <c r="D21">
        <f t="shared" si="3"/>
        <v>0</v>
      </c>
      <c r="E21">
        <f t="shared" si="4"/>
        <v>0</v>
      </c>
      <c r="J21" s="3"/>
    </row>
    <row r="22" spans="1:11" ht="13">
      <c r="A22">
        <v>10</v>
      </c>
      <c r="B22">
        <f t="shared" si="1"/>
        <v>0</v>
      </c>
      <c r="C22">
        <f t="shared" si="2"/>
        <v>0</v>
      </c>
      <c r="D22">
        <f t="shared" si="3"/>
        <v>0</v>
      </c>
      <c r="E22">
        <f t="shared" si="4"/>
        <v>0</v>
      </c>
      <c r="H22" s="76"/>
      <c r="J22" s="3"/>
      <c r="K22" s="17"/>
    </row>
    <row r="23" spans="1:11" ht="13">
      <c r="A23">
        <v>12</v>
      </c>
      <c r="B23">
        <f t="shared" si="1"/>
        <v>0</v>
      </c>
      <c r="C23">
        <f t="shared" si="2"/>
        <v>0</v>
      </c>
      <c r="D23">
        <f t="shared" si="3"/>
        <v>0</v>
      </c>
      <c r="E23">
        <f t="shared" si="4"/>
        <v>0</v>
      </c>
      <c r="H23" t="s">
        <v>898</v>
      </c>
      <c r="I23">
        <f>'Calculations - Single'!H329</f>
        <v>1284.0043134435662</v>
      </c>
      <c r="J23" s="3">
        <f>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1270</v>
      </c>
      <c r="K23" s="17" t="s">
        <v>136</v>
      </c>
    </row>
    <row r="24" spans="1:11" ht="13">
      <c r="A24">
        <v>15</v>
      </c>
      <c r="B24">
        <f t="shared" si="1"/>
        <v>0</v>
      </c>
      <c r="C24">
        <f t="shared" si="2"/>
        <v>0</v>
      </c>
      <c r="D24">
        <f t="shared" si="3"/>
        <v>0</v>
      </c>
      <c r="E24">
        <f t="shared" si="4"/>
        <v>0</v>
      </c>
      <c r="H24" t="s">
        <v>899</v>
      </c>
      <c r="I24">
        <f>'Calculations - Dual'!H329</f>
        <v>1284.0043134435662</v>
      </c>
      <c r="J24" s="3">
        <f>IF(I24&gt;(INT(0.5+100*POWER(10,IF(96*(LOG(I24)-INT(LOG(I24)))-ROUND(96*(LOG(I24)-INT(LOG(I24))),0)&lt;0,ROUND(96*(LOG(I24)-INT(LOG(I24))),0)-1,ROUND(96*(LOG(I24)-INT(LOG(I24))),0))/96))*POWER(10,INT(LOG(I24))-2)+INT(0.5+100*POWER(10,(IF(96*(LOG(I24)-INT(LOG(I24)))-ROUND(96*(LOG(I24)-INT(LOG(I24))),0)&lt;0,ROUND(96*(LOG(I24)-INT(LOG(I24))),0)-1,ROUND(96*(LOG(I24)-INT(LOG(I24))),0))+1)/96))*POWER(10,INT(LOG(I24))-2))/2,INT(0.5+100*POWER(10,(IF(96*(LOG(I24)-INT(LOG(I24)))-ROUND(96*(LOG(I24)-INT(LOG(I24))),0)&lt;0,ROUND(96*(LOG(I24)-INT(LOG(I24))),0)-1,ROUND(96*(LOG(I24)-INT(LOG(I24))),0))+1)/96))*POWER(10,INT(LOG(I24))-2),INT(0.5+100*POWER(10,IF(96*(LOG(I24)-INT(LOG(I24)))-ROUND(96*(LOG(I24)-INT(LOG(I24))),0)&lt;0,ROUND(96*(LOG(I24)-INT(LOG(I24))),0)-1,ROUND(96*(LOG(I24)-INT(LOG(I24))),0))/96))*POWER(10,INT(LOG(I24))-2))</f>
        <v>1270</v>
      </c>
    </row>
    <row r="25" spans="1:11" ht="13">
      <c r="A25">
        <v>18</v>
      </c>
      <c r="B25">
        <f t="shared" si="1"/>
        <v>0</v>
      </c>
      <c r="C25">
        <f t="shared" si="2"/>
        <v>0</v>
      </c>
      <c r="D25">
        <f t="shared" si="3"/>
        <v>0</v>
      </c>
      <c r="E25">
        <f t="shared" si="4"/>
        <v>0</v>
      </c>
      <c r="H25" s="76" t="s">
        <v>900</v>
      </c>
      <c r="I25">
        <f>'Calculations - Dual'!O329</f>
        <v>358.72899308007356</v>
      </c>
      <c r="J25" s="3">
        <f>IF(I25&gt;(INT(0.5+100*POWER(10,IF(96*(LOG(I25)-INT(LOG(I25)))-ROUND(96*(LOG(I25)-INT(LOG(I25))),0)&lt;0,ROUND(96*(LOG(I25)-INT(LOG(I25))),0)-1,ROUND(96*(LOG(I25)-INT(LOG(I25))),0))/96))*POWER(10,INT(LOG(I25))-2)+INT(0.5+100*POWER(10,(IF(96*(LOG(I25)-INT(LOG(I25)))-ROUND(96*(LOG(I25)-INT(LOG(I25))),0)&lt;0,ROUND(96*(LOG(I25)-INT(LOG(I25))),0)-1,ROUND(96*(LOG(I25)-INT(LOG(I25))),0))+1)/96))*POWER(10,INT(LOG(I25))-2))/2,INT(0.5+100*POWER(10,(IF(96*(LOG(I25)-INT(LOG(I25)))-ROUND(96*(LOG(I25)-INT(LOG(I25))),0)&lt;0,ROUND(96*(LOG(I25)-INT(LOG(I25))),0)-1,ROUND(96*(LOG(I25)-INT(LOG(I25))),0))+1)/96))*POWER(10,INT(LOG(I25))-2),INT(0.5+100*POWER(10,IF(96*(LOG(I25)-INT(LOG(I25)))-ROUND(96*(LOG(I25)-INT(LOG(I25))),0)&lt;0,ROUND(96*(LOG(I25)-INT(LOG(I25))),0)-1,ROUND(96*(LOG(I25)-INT(LOG(I25))),0))/96))*POWER(10,INT(LOG(I25))-2))</f>
        <v>357</v>
      </c>
      <c r="K25" s="17"/>
    </row>
    <row r="26" spans="1:11">
      <c r="A26">
        <v>22</v>
      </c>
      <c r="B26">
        <f t="shared" si="1"/>
        <v>0</v>
      </c>
      <c r="C26">
        <f t="shared" si="2"/>
        <v>0</v>
      </c>
      <c r="D26">
        <f t="shared" si="3"/>
        <v>0</v>
      </c>
      <c r="E26">
        <f t="shared" si="4"/>
        <v>0</v>
      </c>
    </row>
    <row r="27" spans="1:11">
      <c r="A27">
        <v>27</v>
      </c>
      <c r="B27">
        <f t="shared" si="1"/>
        <v>0</v>
      </c>
      <c r="C27">
        <f t="shared" si="2"/>
        <v>0</v>
      </c>
      <c r="D27">
        <f t="shared" si="3"/>
        <v>0</v>
      </c>
      <c r="E27">
        <f t="shared" si="4"/>
        <v>0</v>
      </c>
      <c r="H27" t="s">
        <v>901</v>
      </c>
      <c r="I27">
        <f>'Calculations - Single'!G327</f>
        <v>0.2006944444444444</v>
      </c>
    </row>
    <row r="28" spans="1:11" ht="13">
      <c r="A28">
        <v>33</v>
      </c>
      <c r="B28">
        <f t="shared" si="1"/>
        <v>0</v>
      </c>
      <c r="C28">
        <f t="shared" si="2"/>
        <v>0</v>
      </c>
      <c r="D28">
        <f t="shared" si="3"/>
        <v>0</v>
      </c>
      <c r="E28">
        <f t="shared" si="4"/>
        <v>0</v>
      </c>
      <c r="H28" s="76" t="s">
        <v>902</v>
      </c>
      <c r="I28">
        <f>'Calculations - Dual'!G327</f>
        <v>0.2006944444444444</v>
      </c>
      <c r="K28" s="17"/>
    </row>
    <row r="29" spans="1:11">
      <c r="A29">
        <v>39</v>
      </c>
      <c r="B29">
        <f t="shared" si="1"/>
        <v>0</v>
      </c>
      <c r="C29">
        <f t="shared" si="2"/>
        <v>0</v>
      </c>
      <c r="D29">
        <f t="shared" si="3"/>
        <v>0</v>
      </c>
      <c r="E29">
        <f t="shared" si="4"/>
        <v>0</v>
      </c>
      <c r="H29" s="76" t="s">
        <v>903</v>
      </c>
      <c r="I29">
        <f>'Calculations - Dual'!N327</f>
        <v>0.2006944444444444</v>
      </c>
      <c r="K29" s="76"/>
    </row>
    <row r="30" spans="1:11">
      <c r="A30">
        <v>47</v>
      </c>
      <c r="B30">
        <f t="shared" si="1"/>
        <v>0</v>
      </c>
      <c r="C30">
        <f t="shared" si="2"/>
        <v>0</v>
      </c>
      <c r="D30">
        <f t="shared" si="3"/>
        <v>0</v>
      </c>
      <c r="E30">
        <f t="shared" si="4"/>
        <v>0</v>
      </c>
      <c r="H30" s="4"/>
      <c r="K30" s="76"/>
    </row>
    <row r="31" spans="1:11" ht="13">
      <c r="A31">
        <v>56</v>
      </c>
      <c r="B31">
        <f t="shared" si="1"/>
        <v>0</v>
      </c>
      <c r="C31">
        <f t="shared" si="2"/>
        <v>0</v>
      </c>
      <c r="D31">
        <f t="shared" si="3"/>
        <v>0</v>
      </c>
      <c r="E31">
        <f t="shared" si="4"/>
        <v>0</v>
      </c>
      <c r="H31" s="4"/>
      <c r="K31" s="17"/>
    </row>
    <row r="32" spans="1:11">
      <c r="A32">
        <v>68</v>
      </c>
      <c r="B32">
        <f t="shared" si="1"/>
        <v>0</v>
      </c>
      <c r="C32">
        <f t="shared" si="2"/>
        <v>0</v>
      </c>
      <c r="D32">
        <f t="shared" si="3"/>
        <v>0</v>
      </c>
      <c r="E32">
        <f t="shared" si="4"/>
        <v>0</v>
      </c>
      <c r="H32" s="4"/>
      <c r="K32" s="76"/>
    </row>
    <row r="33" spans="1:8">
      <c r="A33">
        <v>82</v>
      </c>
      <c r="B33">
        <f t="shared" si="1"/>
        <v>0</v>
      </c>
      <c r="C33">
        <f t="shared" si="2"/>
        <v>0</v>
      </c>
      <c r="D33">
        <f t="shared" si="3"/>
        <v>0</v>
      </c>
      <c r="E33">
        <f t="shared" si="4"/>
        <v>0</v>
      </c>
    </row>
    <row r="34" spans="1:8">
      <c r="A34">
        <f>A22*10</f>
        <v>100</v>
      </c>
      <c r="B34">
        <f t="shared" si="1"/>
        <v>0</v>
      </c>
      <c r="C34">
        <f t="shared" si="2"/>
        <v>0</v>
      </c>
      <c r="D34">
        <f t="shared" si="3"/>
        <v>0</v>
      </c>
      <c r="E34">
        <f t="shared" si="4"/>
        <v>0</v>
      </c>
      <c r="H34" s="76"/>
    </row>
    <row r="35" spans="1:8">
      <c r="A35">
        <f t="shared" ref="A35:A98" si="5">A23*10</f>
        <v>120</v>
      </c>
      <c r="B35">
        <f t="shared" si="1"/>
        <v>0</v>
      </c>
      <c r="C35">
        <f t="shared" si="2"/>
        <v>0</v>
      </c>
      <c r="D35">
        <f t="shared" si="3"/>
        <v>0</v>
      </c>
      <c r="E35">
        <f t="shared" si="4"/>
        <v>0</v>
      </c>
      <c r="H35" s="76"/>
    </row>
    <row r="36" spans="1:8">
      <c r="A36">
        <f t="shared" si="5"/>
        <v>150</v>
      </c>
      <c r="B36">
        <f t="shared" si="1"/>
        <v>0</v>
      </c>
      <c r="C36">
        <f t="shared" si="2"/>
        <v>0</v>
      </c>
      <c r="D36">
        <f t="shared" si="3"/>
        <v>0</v>
      </c>
      <c r="E36">
        <f t="shared" si="4"/>
        <v>0</v>
      </c>
    </row>
    <row r="37" spans="1:8">
      <c r="A37">
        <f t="shared" si="5"/>
        <v>180</v>
      </c>
      <c r="B37">
        <f t="shared" si="1"/>
        <v>0</v>
      </c>
      <c r="C37">
        <f t="shared" si="2"/>
        <v>0</v>
      </c>
      <c r="D37">
        <f t="shared" si="3"/>
        <v>0</v>
      </c>
      <c r="E37">
        <f t="shared" si="4"/>
        <v>0</v>
      </c>
    </row>
    <row r="38" spans="1:8">
      <c r="A38">
        <f t="shared" si="5"/>
        <v>220</v>
      </c>
      <c r="B38">
        <f t="shared" si="1"/>
        <v>0</v>
      </c>
      <c r="C38">
        <f t="shared" si="2"/>
        <v>0</v>
      </c>
      <c r="D38">
        <f t="shared" si="3"/>
        <v>0</v>
      </c>
      <c r="E38">
        <f t="shared" ref="E38:E69" si="6">IF(IF((E$3*10^12-$A39)*(E$3*10^12-$A38)*-1&lt;0,0,1)*IF(ABS(E$3*10^12-$A39)&gt;(E$3*10^12-$A38),$A38,$A39)=E39,0,IF((E$3*10^12-$A39)*(E$3*10^12-$A38)*-1&lt;0,0,1)*IF(ABS(E$3*10^12-$A39)&gt;(E$3*10^12-$A38),$A38,$A39))</f>
        <v>0</v>
      </c>
    </row>
    <row r="39" spans="1:8">
      <c r="A39">
        <f t="shared" si="5"/>
        <v>270</v>
      </c>
      <c r="B39">
        <f t="shared" si="1"/>
        <v>0</v>
      </c>
      <c r="C39">
        <f t="shared" si="2"/>
        <v>0</v>
      </c>
      <c r="D39">
        <f t="shared" si="3"/>
        <v>0</v>
      </c>
      <c r="E39">
        <f t="shared" si="6"/>
        <v>0</v>
      </c>
    </row>
    <row r="40" spans="1:8">
      <c r="A40">
        <f t="shared" si="5"/>
        <v>330</v>
      </c>
      <c r="B40">
        <f t="shared" si="1"/>
        <v>0</v>
      </c>
      <c r="C40">
        <f t="shared" si="2"/>
        <v>0</v>
      </c>
      <c r="D40">
        <f t="shared" si="3"/>
        <v>0</v>
      </c>
      <c r="E40">
        <f t="shared" si="6"/>
        <v>0</v>
      </c>
    </row>
    <row r="41" spans="1:8">
      <c r="A41">
        <f t="shared" si="5"/>
        <v>390</v>
      </c>
      <c r="B41">
        <f t="shared" si="1"/>
        <v>0</v>
      </c>
      <c r="C41">
        <f t="shared" si="2"/>
        <v>0</v>
      </c>
      <c r="D41">
        <f t="shared" si="3"/>
        <v>0</v>
      </c>
      <c r="E41">
        <f t="shared" si="6"/>
        <v>0</v>
      </c>
    </row>
    <row r="42" spans="1:8">
      <c r="A42">
        <f t="shared" si="5"/>
        <v>470</v>
      </c>
      <c r="B42">
        <f t="shared" si="1"/>
        <v>0</v>
      </c>
      <c r="C42">
        <f t="shared" si="2"/>
        <v>0</v>
      </c>
      <c r="D42">
        <f t="shared" si="3"/>
        <v>0</v>
      </c>
      <c r="E42">
        <f t="shared" si="6"/>
        <v>0</v>
      </c>
    </row>
    <row r="43" spans="1:8">
      <c r="A43">
        <f t="shared" si="5"/>
        <v>560</v>
      </c>
      <c r="B43">
        <f t="shared" si="1"/>
        <v>0</v>
      </c>
      <c r="C43">
        <f t="shared" si="2"/>
        <v>0</v>
      </c>
      <c r="D43">
        <f t="shared" si="3"/>
        <v>0</v>
      </c>
      <c r="E43">
        <f t="shared" si="6"/>
        <v>0</v>
      </c>
    </row>
    <row r="44" spans="1:8">
      <c r="A44">
        <f t="shared" si="5"/>
        <v>680</v>
      </c>
      <c r="B44">
        <f t="shared" si="1"/>
        <v>0</v>
      </c>
      <c r="C44">
        <f t="shared" si="2"/>
        <v>0</v>
      </c>
      <c r="D44">
        <f t="shared" si="3"/>
        <v>0</v>
      </c>
      <c r="E44">
        <f t="shared" si="6"/>
        <v>0</v>
      </c>
    </row>
    <row r="45" spans="1:8">
      <c r="A45">
        <f>A33*10</f>
        <v>820</v>
      </c>
      <c r="B45">
        <f t="shared" si="1"/>
        <v>0</v>
      </c>
      <c r="C45">
        <f t="shared" si="2"/>
        <v>0</v>
      </c>
      <c r="D45">
        <f t="shared" si="3"/>
        <v>0</v>
      </c>
      <c r="E45">
        <f t="shared" si="6"/>
        <v>0</v>
      </c>
    </row>
    <row r="46" spans="1:8">
      <c r="A46">
        <f t="shared" si="5"/>
        <v>1000</v>
      </c>
      <c r="B46">
        <f t="shared" si="1"/>
        <v>0</v>
      </c>
      <c r="C46">
        <f t="shared" si="2"/>
        <v>0</v>
      </c>
      <c r="D46">
        <f t="shared" si="3"/>
        <v>0</v>
      </c>
      <c r="E46">
        <f t="shared" si="6"/>
        <v>0</v>
      </c>
    </row>
    <row r="47" spans="1:8">
      <c r="A47">
        <f t="shared" si="5"/>
        <v>1200</v>
      </c>
      <c r="B47">
        <f t="shared" si="1"/>
        <v>0</v>
      </c>
      <c r="C47">
        <f t="shared" si="2"/>
        <v>0</v>
      </c>
      <c r="D47">
        <f t="shared" si="3"/>
        <v>0</v>
      </c>
      <c r="E47">
        <f t="shared" si="6"/>
        <v>0</v>
      </c>
    </row>
    <row r="48" spans="1:8">
      <c r="A48">
        <f t="shared" si="5"/>
        <v>1500</v>
      </c>
      <c r="B48">
        <f t="shared" si="1"/>
        <v>0</v>
      </c>
      <c r="C48">
        <f t="shared" si="2"/>
        <v>0</v>
      </c>
      <c r="D48">
        <f t="shared" si="3"/>
        <v>0</v>
      </c>
      <c r="E48">
        <f t="shared" si="6"/>
        <v>0</v>
      </c>
    </row>
    <row r="49" spans="1:5">
      <c r="A49">
        <f t="shared" si="5"/>
        <v>1800</v>
      </c>
      <c r="B49">
        <f t="shared" si="1"/>
        <v>0</v>
      </c>
      <c r="C49">
        <f t="shared" si="2"/>
        <v>0</v>
      </c>
      <c r="D49">
        <f t="shared" si="3"/>
        <v>0</v>
      </c>
      <c r="E49">
        <f t="shared" si="6"/>
        <v>0</v>
      </c>
    </row>
    <row r="50" spans="1:5">
      <c r="A50">
        <f t="shared" si="5"/>
        <v>2200</v>
      </c>
      <c r="B50">
        <f t="shared" si="1"/>
        <v>0</v>
      </c>
      <c r="C50">
        <f t="shared" si="2"/>
        <v>0</v>
      </c>
      <c r="D50">
        <f t="shared" si="3"/>
        <v>0</v>
      </c>
      <c r="E50">
        <f t="shared" si="6"/>
        <v>0</v>
      </c>
    </row>
    <row r="51" spans="1:5">
      <c r="A51">
        <f t="shared" si="5"/>
        <v>2700</v>
      </c>
      <c r="B51">
        <f t="shared" si="1"/>
        <v>0</v>
      </c>
      <c r="C51">
        <f t="shared" si="2"/>
        <v>0</v>
      </c>
      <c r="D51">
        <f t="shared" si="3"/>
        <v>0</v>
      </c>
      <c r="E51">
        <f t="shared" si="6"/>
        <v>0</v>
      </c>
    </row>
    <row r="52" spans="1:5">
      <c r="A52">
        <f t="shared" si="5"/>
        <v>3300</v>
      </c>
      <c r="B52">
        <f t="shared" si="1"/>
        <v>0</v>
      </c>
      <c r="C52">
        <f t="shared" si="2"/>
        <v>0</v>
      </c>
      <c r="D52">
        <f t="shared" si="3"/>
        <v>0</v>
      </c>
      <c r="E52">
        <f t="shared" si="6"/>
        <v>0</v>
      </c>
    </row>
    <row r="53" spans="1:5">
      <c r="A53">
        <f t="shared" si="5"/>
        <v>3900</v>
      </c>
      <c r="B53">
        <f t="shared" si="1"/>
        <v>0</v>
      </c>
      <c r="C53">
        <f t="shared" si="2"/>
        <v>0</v>
      </c>
      <c r="D53">
        <f t="shared" si="3"/>
        <v>0</v>
      </c>
      <c r="E53">
        <f t="shared" si="6"/>
        <v>0</v>
      </c>
    </row>
    <row r="54" spans="1:5">
      <c r="A54">
        <f t="shared" si="5"/>
        <v>4700</v>
      </c>
      <c r="B54">
        <f t="shared" si="1"/>
        <v>0</v>
      </c>
      <c r="C54">
        <f t="shared" si="2"/>
        <v>0</v>
      </c>
      <c r="D54">
        <f t="shared" si="3"/>
        <v>0</v>
      </c>
      <c r="E54">
        <f t="shared" si="6"/>
        <v>0</v>
      </c>
    </row>
    <row r="55" spans="1:5">
      <c r="A55">
        <f t="shared" si="5"/>
        <v>5600</v>
      </c>
      <c r="B55">
        <f t="shared" si="1"/>
        <v>0</v>
      </c>
      <c r="C55">
        <f t="shared" si="2"/>
        <v>0</v>
      </c>
      <c r="D55">
        <f t="shared" si="3"/>
        <v>0</v>
      </c>
      <c r="E55">
        <f t="shared" si="6"/>
        <v>0</v>
      </c>
    </row>
    <row r="56" spans="1:5">
      <c r="A56">
        <f t="shared" si="5"/>
        <v>6800</v>
      </c>
      <c r="B56">
        <f t="shared" si="1"/>
        <v>0</v>
      </c>
      <c r="C56">
        <f t="shared" si="2"/>
        <v>0</v>
      </c>
      <c r="D56">
        <f t="shared" si="3"/>
        <v>0</v>
      </c>
      <c r="E56">
        <f t="shared" si="6"/>
        <v>0</v>
      </c>
    </row>
    <row r="57" spans="1:5">
      <c r="A57">
        <f t="shared" si="5"/>
        <v>8200</v>
      </c>
      <c r="B57">
        <f t="shared" si="1"/>
        <v>0</v>
      </c>
      <c r="C57">
        <f t="shared" si="2"/>
        <v>0</v>
      </c>
      <c r="D57">
        <f t="shared" si="3"/>
        <v>0</v>
      </c>
      <c r="E57">
        <f t="shared" si="6"/>
        <v>0</v>
      </c>
    </row>
    <row r="58" spans="1:5">
      <c r="A58">
        <f t="shared" si="5"/>
        <v>10000</v>
      </c>
      <c r="B58">
        <f t="shared" si="1"/>
        <v>0</v>
      </c>
      <c r="C58">
        <f t="shared" si="2"/>
        <v>0</v>
      </c>
      <c r="D58">
        <f t="shared" si="3"/>
        <v>0</v>
      </c>
      <c r="E58">
        <f t="shared" si="6"/>
        <v>0</v>
      </c>
    </row>
    <row r="59" spans="1:5">
      <c r="A59">
        <f t="shared" si="5"/>
        <v>12000</v>
      </c>
      <c r="B59">
        <f t="shared" si="1"/>
        <v>0</v>
      </c>
      <c r="C59">
        <f t="shared" si="2"/>
        <v>0</v>
      </c>
      <c r="D59">
        <f t="shared" si="3"/>
        <v>0</v>
      </c>
      <c r="E59">
        <f t="shared" si="6"/>
        <v>0</v>
      </c>
    </row>
    <row r="60" spans="1:5">
      <c r="A60">
        <f t="shared" si="5"/>
        <v>15000</v>
      </c>
      <c r="B60">
        <f t="shared" si="1"/>
        <v>0</v>
      </c>
      <c r="C60">
        <f t="shared" si="2"/>
        <v>0</v>
      </c>
      <c r="D60">
        <f t="shared" si="3"/>
        <v>0</v>
      </c>
      <c r="E60">
        <f t="shared" si="6"/>
        <v>0</v>
      </c>
    </row>
    <row r="61" spans="1:5">
      <c r="A61">
        <f t="shared" si="5"/>
        <v>18000</v>
      </c>
      <c r="B61">
        <f t="shared" si="1"/>
        <v>0</v>
      </c>
      <c r="C61">
        <f t="shared" si="2"/>
        <v>0</v>
      </c>
      <c r="D61">
        <f t="shared" si="3"/>
        <v>0</v>
      </c>
      <c r="E61">
        <f t="shared" si="6"/>
        <v>0</v>
      </c>
    </row>
    <row r="62" spans="1:5">
      <c r="A62">
        <f t="shared" si="5"/>
        <v>22000</v>
      </c>
      <c r="B62">
        <f t="shared" si="1"/>
        <v>0</v>
      </c>
      <c r="C62">
        <f t="shared" si="2"/>
        <v>0</v>
      </c>
      <c r="D62">
        <f t="shared" si="3"/>
        <v>0</v>
      </c>
      <c r="E62">
        <f t="shared" si="6"/>
        <v>0</v>
      </c>
    </row>
    <row r="63" spans="1:5">
      <c r="A63">
        <f t="shared" si="5"/>
        <v>27000</v>
      </c>
      <c r="B63">
        <f t="shared" si="1"/>
        <v>0</v>
      </c>
      <c r="C63">
        <f t="shared" si="2"/>
        <v>0</v>
      </c>
      <c r="D63">
        <f t="shared" si="3"/>
        <v>0</v>
      </c>
      <c r="E63">
        <f t="shared" si="6"/>
        <v>0</v>
      </c>
    </row>
    <row r="64" spans="1:5">
      <c r="A64">
        <f t="shared" si="5"/>
        <v>33000</v>
      </c>
      <c r="B64">
        <f t="shared" si="1"/>
        <v>0</v>
      </c>
      <c r="C64">
        <f t="shared" si="2"/>
        <v>0</v>
      </c>
      <c r="D64">
        <f t="shared" si="3"/>
        <v>0</v>
      </c>
      <c r="E64">
        <f t="shared" si="6"/>
        <v>0</v>
      </c>
    </row>
    <row r="65" spans="1:5">
      <c r="A65">
        <f t="shared" si="5"/>
        <v>39000</v>
      </c>
      <c r="B65">
        <f t="shared" si="1"/>
        <v>0</v>
      </c>
      <c r="C65">
        <f t="shared" si="2"/>
        <v>0</v>
      </c>
      <c r="D65">
        <f t="shared" si="3"/>
        <v>0</v>
      </c>
      <c r="E65">
        <f t="shared" si="6"/>
        <v>0</v>
      </c>
    </row>
    <row r="66" spans="1:5">
      <c r="A66">
        <f t="shared" si="5"/>
        <v>47000</v>
      </c>
      <c r="B66">
        <f t="shared" si="1"/>
        <v>47000</v>
      </c>
      <c r="C66">
        <f t="shared" si="2"/>
        <v>0</v>
      </c>
      <c r="D66">
        <f t="shared" si="3"/>
        <v>0</v>
      </c>
      <c r="E66">
        <f t="shared" si="6"/>
        <v>0</v>
      </c>
    </row>
    <row r="67" spans="1:5">
      <c r="A67">
        <f t="shared" si="5"/>
        <v>56000</v>
      </c>
      <c r="B67">
        <f t="shared" si="1"/>
        <v>0</v>
      </c>
      <c r="C67">
        <f t="shared" si="2"/>
        <v>0</v>
      </c>
      <c r="D67">
        <f t="shared" si="3"/>
        <v>0</v>
      </c>
      <c r="E67">
        <f t="shared" si="6"/>
        <v>0</v>
      </c>
    </row>
    <row r="68" spans="1:5">
      <c r="A68">
        <f t="shared" si="5"/>
        <v>68000</v>
      </c>
      <c r="B68">
        <f t="shared" si="1"/>
        <v>0</v>
      </c>
      <c r="C68">
        <f t="shared" si="2"/>
        <v>0</v>
      </c>
      <c r="D68">
        <f t="shared" si="3"/>
        <v>0</v>
      </c>
      <c r="E68">
        <f t="shared" si="6"/>
        <v>0</v>
      </c>
    </row>
    <row r="69" spans="1:5">
      <c r="A69">
        <f t="shared" si="5"/>
        <v>82000</v>
      </c>
      <c r="B69">
        <f t="shared" si="1"/>
        <v>0</v>
      </c>
      <c r="C69">
        <f t="shared" si="2"/>
        <v>0</v>
      </c>
      <c r="D69">
        <f t="shared" si="3"/>
        <v>0</v>
      </c>
      <c r="E69">
        <f t="shared" si="6"/>
        <v>0</v>
      </c>
    </row>
    <row r="70" spans="1:5">
      <c r="A70">
        <f t="shared" si="5"/>
        <v>100000</v>
      </c>
      <c r="B70">
        <f t="shared" si="1"/>
        <v>0</v>
      </c>
      <c r="C70">
        <f>IF(IF((C$3*10^12-$A71)*(C$3*10^12-$A70)*-1&lt;0,0,1)*IF(ABS(C$3*10^12-$A71)&gt;(C$3*10^12-$A70),$A70,$A71)=C71,0,IF((C$3*10^12-$A71)*(C$3*10^12-$A70)*-1&lt;0,0,1)*IF(ABS(C$3*10^12-$A71)&gt;(C$3*10^12-$A70),$A70,$A71))</f>
        <v>0</v>
      </c>
      <c r="D70">
        <f>IF(IF((D$3*10^12-$A71)*(D$3*10^12-$A70)*-1&lt;0,0,1)*IF(ABS(D$3*10^12-$A71)&gt;(D$3*10^12-$A70),$A70,$A71)=D71,0,IF((D$3*10^12-$A71)*(D$3*10^12-$A70)*-1&lt;0,0,1)*IF(ABS(D$3*10^12-$A71)&gt;(D$3*10^12-$A70),$A70,$A71))</f>
        <v>0</v>
      </c>
      <c r="E70">
        <f t="shared" ref="E70:E101" si="7">IF(IF((E$3*10^12-$A71)*(E$3*10^12-$A70)*-1&lt;0,0,1)*IF(ABS(E$3*10^12-$A71)&gt;(E$3*10^12-$A70),$A70,$A71)=E71,0,IF((E$3*10^12-$A71)*(E$3*10^12-$A70)*-1&lt;0,0,1)*IF(ABS(E$3*10^12-$A71)&gt;(E$3*10^12-$A70),$A70,$A71))</f>
        <v>0</v>
      </c>
    </row>
    <row r="71" spans="1:5">
      <c r="A71">
        <f t="shared" si="5"/>
        <v>120000</v>
      </c>
      <c r="B71">
        <f t="shared" ref="B71:B134" si="8">IF(IF((B$3*10^12-$A72)*(B$3*10^12-$A71)*-1&lt;0,0,1)*IF(ABS(B$3*10^12-$A72)&gt;(B$3*10^12-$A71),$A71,$A72)=B72,0,IF((B$3*10^12-$A72)*(B$3*10^12-$A71)*-1&lt;0,0,1)*IF(ABS(B$3*10^12-$A72)&gt;(B$3*10^12-$A71),$A71,$A72))</f>
        <v>0</v>
      </c>
      <c r="C71">
        <f t="shared" ref="C71:C133" si="9">IF(IF((C$3*10^12-$A72)*(C$3*10^12-$A71)*-1&lt;0,0,1)*IF(ABS(C$3*10^12-$A72)&gt;(C$3*10^12-$A71),$A71,$A72)=C72,0,IF((C$3*10^12-$A72)*(C$3*10^12-$A71)*-1&lt;0,0,1)*IF(ABS(C$3*10^12-$A72)&gt;(C$3*10^12-$A71),$A71,$A72))</f>
        <v>0</v>
      </c>
      <c r="D71">
        <f t="shared" ref="D71:D102" si="10">IF(IF((D$3*10^12-$A72)*(D$3*10^12-$A71)*-1&lt;0,0,1)*IF(ABS(D$3*10^12-$A72)&gt;(D$3*10^12-$A71),$A71,$A72)=D72,0,IF((D$3*10^12-$A72)*(D$3*10^12-$A71)*-1&lt;0,0,1)*IF(ABS(D$3*10^12-$A72)&gt;(D$3*10^12-$A71),$A71,$A72))</f>
        <v>0</v>
      </c>
      <c r="E71">
        <f t="shared" si="7"/>
        <v>0</v>
      </c>
    </row>
    <row r="72" spans="1:5">
      <c r="A72">
        <f t="shared" si="5"/>
        <v>150000</v>
      </c>
      <c r="B72">
        <f t="shared" si="8"/>
        <v>0</v>
      </c>
      <c r="C72">
        <f t="shared" si="9"/>
        <v>0</v>
      </c>
      <c r="D72">
        <f t="shared" si="10"/>
        <v>0</v>
      </c>
      <c r="E72">
        <f t="shared" si="7"/>
        <v>0</v>
      </c>
    </row>
    <row r="73" spans="1:5">
      <c r="A73">
        <f t="shared" si="5"/>
        <v>180000</v>
      </c>
      <c r="B73">
        <f t="shared" si="8"/>
        <v>0</v>
      </c>
      <c r="C73">
        <f t="shared" si="9"/>
        <v>0</v>
      </c>
      <c r="D73">
        <f t="shared" si="10"/>
        <v>0</v>
      </c>
      <c r="E73">
        <f t="shared" si="7"/>
        <v>0</v>
      </c>
    </row>
    <row r="74" spans="1:5">
      <c r="A74">
        <f t="shared" si="5"/>
        <v>220000</v>
      </c>
      <c r="B74">
        <f t="shared" si="8"/>
        <v>0</v>
      </c>
      <c r="C74">
        <f t="shared" si="9"/>
        <v>0</v>
      </c>
      <c r="D74">
        <f t="shared" si="10"/>
        <v>0</v>
      </c>
      <c r="E74">
        <f t="shared" si="7"/>
        <v>0</v>
      </c>
    </row>
    <row r="75" spans="1:5">
      <c r="A75">
        <f t="shared" si="5"/>
        <v>270000</v>
      </c>
      <c r="B75">
        <f t="shared" si="8"/>
        <v>0</v>
      </c>
      <c r="C75">
        <f t="shared" si="9"/>
        <v>0</v>
      </c>
      <c r="D75">
        <f t="shared" si="10"/>
        <v>0</v>
      </c>
      <c r="E75">
        <f t="shared" si="7"/>
        <v>0</v>
      </c>
    </row>
    <row r="76" spans="1:5">
      <c r="A76">
        <f t="shared" si="5"/>
        <v>330000</v>
      </c>
      <c r="B76">
        <f t="shared" si="8"/>
        <v>0</v>
      </c>
      <c r="C76">
        <f t="shared" si="9"/>
        <v>0</v>
      </c>
      <c r="D76">
        <f t="shared" si="10"/>
        <v>0</v>
      </c>
      <c r="E76">
        <f t="shared" si="7"/>
        <v>0</v>
      </c>
    </row>
    <row r="77" spans="1:5">
      <c r="A77">
        <f t="shared" si="5"/>
        <v>390000</v>
      </c>
      <c r="B77">
        <f t="shared" si="8"/>
        <v>0</v>
      </c>
      <c r="C77">
        <f t="shared" si="9"/>
        <v>0</v>
      </c>
      <c r="D77">
        <f t="shared" si="10"/>
        <v>0</v>
      </c>
      <c r="E77">
        <f t="shared" si="7"/>
        <v>0</v>
      </c>
    </row>
    <row r="78" spans="1:5">
      <c r="A78">
        <f t="shared" si="5"/>
        <v>470000</v>
      </c>
      <c r="B78">
        <f t="shared" si="8"/>
        <v>0</v>
      </c>
      <c r="C78">
        <f t="shared" si="9"/>
        <v>0</v>
      </c>
      <c r="D78">
        <f t="shared" si="10"/>
        <v>0</v>
      </c>
      <c r="E78">
        <f t="shared" si="7"/>
        <v>0</v>
      </c>
    </row>
    <row r="79" spans="1:5">
      <c r="A79">
        <f t="shared" si="5"/>
        <v>560000</v>
      </c>
      <c r="B79">
        <f t="shared" si="8"/>
        <v>0</v>
      </c>
      <c r="C79">
        <f t="shared" si="9"/>
        <v>0</v>
      </c>
      <c r="D79">
        <f t="shared" si="10"/>
        <v>0</v>
      </c>
      <c r="E79">
        <f t="shared" si="7"/>
        <v>0</v>
      </c>
    </row>
    <row r="80" spans="1:5">
      <c r="A80">
        <f t="shared" si="5"/>
        <v>680000</v>
      </c>
      <c r="B80">
        <f t="shared" si="8"/>
        <v>0</v>
      </c>
      <c r="C80">
        <f t="shared" si="9"/>
        <v>0</v>
      </c>
      <c r="D80">
        <f t="shared" si="10"/>
        <v>0</v>
      </c>
      <c r="E80">
        <f t="shared" si="7"/>
        <v>0</v>
      </c>
    </row>
    <row r="81" spans="1:5">
      <c r="A81">
        <f t="shared" si="5"/>
        <v>820000</v>
      </c>
      <c r="B81">
        <f t="shared" si="8"/>
        <v>0</v>
      </c>
      <c r="C81">
        <f t="shared" si="9"/>
        <v>0</v>
      </c>
      <c r="D81">
        <f t="shared" si="10"/>
        <v>0</v>
      </c>
      <c r="E81">
        <f t="shared" si="7"/>
        <v>0</v>
      </c>
    </row>
    <row r="82" spans="1:5">
      <c r="A82">
        <f t="shared" si="5"/>
        <v>1000000</v>
      </c>
      <c r="B82">
        <f t="shared" si="8"/>
        <v>0</v>
      </c>
      <c r="C82">
        <f t="shared" si="9"/>
        <v>0</v>
      </c>
      <c r="D82">
        <f t="shared" si="10"/>
        <v>0</v>
      </c>
      <c r="E82">
        <f t="shared" si="7"/>
        <v>0</v>
      </c>
    </row>
    <row r="83" spans="1:5">
      <c r="A83">
        <f t="shared" si="5"/>
        <v>1200000</v>
      </c>
      <c r="B83">
        <f t="shared" si="8"/>
        <v>0</v>
      </c>
      <c r="C83">
        <f t="shared" si="9"/>
        <v>0</v>
      </c>
      <c r="D83">
        <f t="shared" si="10"/>
        <v>0</v>
      </c>
      <c r="E83">
        <f t="shared" si="7"/>
        <v>0</v>
      </c>
    </row>
    <row r="84" spans="1:5">
      <c r="A84">
        <f t="shared" si="5"/>
        <v>1500000</v>
      </c>
      <c r="B84">
        <f t="shared" si="8"/>
        <v>0</v>
      </c>
      <c r="C84">
        <f t="shared" si="9"/>
        <v>0</v>
      </c>
      <c r="D84">
        <f t="shared" si="10"/>
        <v>0</v>
      </c>
      <c r="E84">
        <f t="shared" si="7"/>
        <v>0</v>
      </c>
    </row>
    <row r="85" spans="1:5">
      <c r="A85">
        <f t="shared" si="5"/>
        <v>1800000</v>
      </c>
      <c r="B85">
        <f t="shared" si="8"/>
        <v>0</v>
      </c>
      <c r="C85">
        <f t="shared" si="9"/>
        <v>0</v>
      </c>
      <c r="D85">
        <f t="shared" si="10"/>
        <v>0</v>
      </c>
      <c r="E85">
        <f t="shared" si="7"/>
        <v>0</v>
      </c>
    </row>
    <row r="86" spans="1:5">
      <c r="A86">
        <f t="shared" si="5"/>
        <v>2200000</v>
      </c>
      <c r="B86">
        <f t="shared" si="8"/>
        <v>0</v>
      </c>
      <c r="C86">
        <f t="shared" si="9"/>
        <v>0</v>
      </c>
      <c r="D86">
        <f t="shared" si="10"/>
        <v>0</v>
      </c>
      <c r="E86">
        <f t="shared" si="7"/>
        <v>0</v>
      </c>
    </row>
    <row r="87" spans="1:5">
      <c r="A87">
        <f t="shared" si="5"/>
        <v>2700000</v>
      </c>
      <c r="B87">
        <f t="shared" si="8"/>
        <v>0</v>
      </c>
      <c r="C87">
        <f t="shared" si="9"/>
        <v>0</v>
      </c>
      <c r="D87">
        <f t="shared" si="10"/>
        <v>0</v>
      </c>
      <c r="E87">
        <f t="shared" si="7"/>
        <v>0</v>
      </c>
    </row>
    <row r="88" spans="1:5">
      <c r="A88">
        <f t="shared" si="5"/>
        <v>3300000</v>
      </c>
      <c r="B88">
        <f t="shared" si="8"/>
        <v>0</v>
      </c>
      <c r="C88">
        <f t="shared" si="9"/>
        <v>0</v>
      </c>
      <c r="D88">
        <f t="shared" si="10"/>
        <v>0</v>
      </c>
      <c r="E88">
        <f t="shared" si="7"/>
        <v>0</v>
      </c>
    </row>
    <row r="89" spans="1:5">
      <c r="A89">
        <f t="shared" si="5"/>
        <v>3900000</v>
      </c>
      <c r="B89">
        <f t="shared" si="8"/>
        <v>0</v>
      </c>
      <c r="C89">
        <f t="shared" si="9"/>
        <v>0</v>
      </c>
      <c r="D89">
        <f t="shared" si="10"/>
        <v>0</v>
      </c>
      <c r="E89">
        <f t="shared" si="7"/>
        <v>0</v>
      </c>
    </row>
    <row r="90" spans="1:5">
      <c r="A90">
        <f t="shared" si="5"/>
        <v>4700000</v>
      </c>
      <c r="B90">
        <f t="shared" si="8"/>
        <v>0</v>
      </c>
      <c r="C90">
        <f t="shared" si="9"/>
        <v>0</v>
      </c>
      <c r="D90">
        <f t="shared" si="10"/>
        <v>0</v>
      </c>
      <c r="E90">
        <f t="shared" si="7"/>
        <v>0</v>
      </c>
    </row>
    <row r="91" spans="1:5">
      <c r="A91">
        <f t="shared" si="5"/>
        <v>5600000</v>
      </c>
      <c r="B91">
        <f t="shared" si="8"/>
        <v>0</v>
      </c>
      <c r="C91">
        <f t="shared" si="9"/>
        <v>0</v>
      </c>
      <c r="D91">
        <f t="shared" si="10"/>
        <v>0</v>
      </c>
      <c r="E91">
        <f t="shared" si="7"/>
        <v>0</v>
      </c>
    </row>
    <row r="92" spans="1:5">
      <c r="A92">
        <f t="shared" si="5"/>
        <v>6800000</v>
      </c>
      <c r="B92">
        <f t="shared" si="8"/>
        <v>0</v>
      </c>
      <c r="C92">
        <f t="shared" si="9"/>
        <v>0</v>
      </c>
      <c r="D92">
        <f t="shared" si="10"/>
        <v>0</v>
      </c>
      <c r="E92">
        <f t="shared" si="7"/>
        <v>0</v>
      </c>
    </row>
    <row r="93" spans="1:5">
      <c r="A93">
        <f t="shared" si="5"/>
        <v>8200000</v>
      </c>
      <c r="B93">
        <f t="shared" si="8"/>
        <v>0</v>
      </c>
      <c r="C93">
        <f t="shared" si="9"/>
        <v>0</v>
      </c>
      <c r="D93">
        <f t="shared" si="10"/>
        <v>0</v>
      </c>
      <c r="E93">
        <f t="shared" si="7"/>
        <v>0</v>
      </c>
    </row>
    <row r="94" spans="1:5">
      <c r="A94">
        <f t="shared" si="5"/>
        <v>10000000</v>
      </c>
      <c r="B94">
        <f t="shared" si="8"/>
        <v>0</v>
      </c>
      <c r="C94">
        <f t="shared" si="9"/>
        <v>0</v>
      </c>
      <c r="D94">
        <f t="shared" si="10"/>
        <v>0</v>
      </c>
      <c r="E94">
        <f t="shared" si="7"/>
        <v>0</v>
      </c>
    </row>
    <row r="95" spans="1:5">
      <c r="A95">
        <f t="shared" si="5"/>
        <v>12000000</v>
      </c>
      <c r="B95">
        <f t="shared" si="8"/>
        <v>0</v>
      </c>
      <c r="C95">
        <f t="shared" si="9"/>
        <v>0</v>
      </c>
      <c r="D95">
        <f t="shared" si="10"/>
        <v>0</v>
      </c>
      <c r="E95">
        <f t="shared" si="7"/>
        <v>0</v>
      </c>
    </row>
    <row r="96" spans="1:5">
      <c r="A96">
        <f t="shared" si="5"/>
        <v>15000000</v>
      </c>
      <c r="B96">
        <f t="shared" si="8"/>
        <v>0</v>
      </c>
      <c r="C96">
        <f t="shared" si="9"/>
        <v>0</v>
      </c>
      <c r="D96">
        <f t="shared" si="10"/>
        <v>0</v>
      </c>
      <c r="E96">
        <f t="shared" si="7"/>
        <v>0</v>
      </c>
    </row>
    <row r="97" spans="1:5">
      <c r="A97">
        <f t="shared" si="5"/>
        <v>18000000</v>
      </c>
      <c r="B97">
        <f t="shared" si="8"/>
        <v>0</v>
      </c>
      <c r="C97">
        <f t="shared" si="9"/>
        <v>0</v>
      </c>
      <c r="D97">
        <f t="shared" si="10"/>
        <v>0</v>
      </c>
      <c r="E97">
        <f t="shared" si="7"/>
        <v>0</v>
      </c>
    </row>
    <row r="98" spans="1:5">
      <c r="A98">
        <f t="shared" si="5"/>
        <v>22000000</v>
      </c>
      <c r="B98">
        <f t="shared" si="8"/>
        <v>0</v>
      </c>
      <c r="C98">
        <f t="shared" si="9"/>
        <v>0</v>
      </c>
      <c r="D98">
        <f t="shared" si="10"/>
        <v>0</v>
      </c>
      <c r="E98">
        <f t="shared" si="7"/>
        <v>0</v>
      </c>
    </row>
    <row r="99" spans="1:5">
      <c r="A99">
        <f t="shared" ref="A99:A159" si="11">A87*10</f>
        <v>27000000</v>
      </c>
      <c r="B99">
        <f t="shared" si="8"/>
        <v>0</v>
      </c>
      <c r="C99">
        <f t="shared" si="9"/>
        <v>0</v>
      </c>
      <c r="D99">
        <f t="shared" si="10"/>
        <v>0</v>
      </c>
      <c r="E99">
        <f t="shared" si="7"/>
        <v>0</v>
      </c>
    </row>
    <row r="100" spans="1:5">
      <c r="A100">
        <f t="shared" si="11"/>
        <v>33000000</v>
      </c>
      <c r="B100">
        <f t="shared" si="8"/>
        <v>0</v>
      </c>
      <c r="C100">
        <f t="shared" si="9"/>
        <v>0</v>
      </c>
      <c r="D100">
        <f t="shared" si="10"/>
        <v>0</v>
      </c>
      <c r="E100">
        <f t="shared" si="7"/>
        <v>0</v>
      </c>
    </row>
    <row r="101" spans="1:5">
      <c r="A101">
        <f t="shared" si="11"/>
        <v>39000000</v>
      </c>
      <c r="B101">
        <f t="shared" si="8"/>
        <v>0</v>
      </c>
      <c r="C101">
        <f t="shared" si="9"/>
        <v>0</v>
      </c>
      <c r="D101">
        <f t="shared" si="10"/>
        <v>0</v>
      </c>
      <c r="E101">
        <f t="shared" si="7"/>
        <v>0</v>
      </c>
    </row>
    <row r="102" spans="1:5">
      <c r="A102">
        <f t="shared" si="11"/>
        <v>47000000</v>
      </c>
      <c r="B102">
        <f t="shared" si="8"/>
        <v>0</v>
      </c>
      <c r="C102">
        <f t="shared" si="9"/>
        <v>0</v>
      </c>
      <c r="D102">
        <f t="shared" si="10"/>
        <v>0</v>
      </c>
      <c r="E102">
        <f t="shared" ref="E102:E133" si="12">IF(IF((E$3*10^12-$A103)*(E$3*10^12-$A102)*-1&lt;0,0,1)*IF(ABS(E$3*10^12-$A103)&gt;(E$3*10^12-$A102),$A102,$A103)=E103,0,IF((E$3*10^12-$A103)*(E$3*10^12-$A102)*-1&lt;0,0,1)*IF(ABS(E$3*10^12-$A103)&gt;(E$3*10^12-$A102),$A102,$A103))</f>
        <v>0</v>
      </c>
    </row>
    <row r="103" spans="1:5">
      <c r="A103">
        <f t="shared" si="11"/>
        <v>56000000</v>
      </c>
      <c r="B103">
        <f t="shared" si="8"/>
        <v>0</v>
      </c>
      <c r="C103">
        <f t="shared" si="9"/>
        <v>0</v>
      </c>
      <c r="D103">
        <f t="shared" ref="D103:D134" si="13">IF(IF((D$3*10^12-$A104)*(D$3*10^12-$A103)*-1&lt;0,0,1)*IF(ABS(D$3*10^12-$A104)&gt;(D$3*10^12-$A103),$A103,$A104)=D104,0,IF((D$3*10^12-$A104)*(D$3*10^12-$A103)*-1&lt;0,0,1)*IF(ABS(D$3*10^12-$A104)&gt;(D$3*10^12-$A103),$A103,$A104))</f>
        <v>0</v>
      </c>
      <c r="E103">
        <f t="shared" si="12"/>
        <v>0</v>
      </c>
    </row>
    <row r="104" spans="1:5">
      <c r="A104">
        <f t="shared" si="11"/>
        <v>68000000</v>
      </c>
      <c r="B104">
        <f t="shared" si="8"/>
        <v>0</v>
      </c>
      <c r="C104">
        <f t="shared" si="9"/>
        <v>0</v>
      </c>
      <c r="D104">
        <f t="shared" si="13"/>
        <v>0</v>
      </c>
      <c r="E104">
        <f t="shared" si="12"/>
        <v>0</v>
      </c>
    </row>
    <row r="105" spans="1:5">
      <c r="A105">
        <f t="shared" si="11"/>
        <v>82000000</v>
      </c>
      <c r="B105">
        <f t="shared" si="8"/>
        <v>0</v>
      </c>
      <c r="C105">
        <f t="shared" si="9"/>
        <v>0</v>
      </c>
      <c r="D105">
        <f t="shared" si="13"/>
        <v>0</v>
      </c>
      <c r="E105">
        <f t="shared" si="12"/>
        <v>0</v>
      </c>
    </row>
    <row r="106" spans="1:5">
      <c r="A106">
        <f t="shared" si="11"/>
        <v>100000000</v>
      </c>
      <c r="B106">
        <f t="shared" si="8"/>
        <v>0</v>
      </c>
      <c r="C106">
        <f t="shared" si="9"/>
        <v>0</v>
      </c>
      <c r="D106">
        <f t="shared" si="13"/>
        <v>0</v>
      </c>
      <c r="E106">
        <f t="shared" si="12"/>
        <v>0</v>
      </c>
    </row>
    <row r="107" spans="1:5">
      <c r="A107">
        <f t="shared" si="11"/>
        <v>120000000</v>
      </c>
      <c r="B107">
        <f t="shared" si="8"/>
        <v>0</v>
      </c>
      <c r="C107">
        <f t="shared" si="9"/>
        <v>0</v>
      </c>
      <c r="D107">
        <f t="shared" si="13"/>
        <v>0</v>
      </c>
      <c r="E107">
        <f t="shared" si="12"/>
        <v>0</v>
      </c>
    </row>
    <row r="108" spans="1:5">
      <c r="A108">
        <f t="shared" si="11"/>
        <v>150000000</v>
      </c>
      <c r="B108">
        <f t="shared" si="8"/>
        <v>0</v>
      </c>
      <c r="C108">
        <f t="shared" si="9"/>
        <v>0</v>
      </c>
      <c r="D108">
        <f t="shared" si="13"/>
        <v>0</v>
      </c>
      <c r="E108">
        <f t="shared" si="12"/>
        <v>0</v>
      </c>
    </row>
    <row r="109" spans="1:5">
      <c r="A109">
        <f t="shared" si="11"/>
        <v>180000000</v>
      </c>
      <c r="B109">
        <f t="shared" si="8"/>
        <v>0</v>
      </c>
      <c r="C109">
        <f t="shared" si="9"/>
        <v>0</v>
      </c>
      <c r="D109">
        <f t="shared" si="13"/>
        <v>0</v>
      </c>
      <c r="E109">
        <f t="shared" si="12"/>
        <v>0</v>
      </c>
    </row>
    <row r="110" spans="1:5">
      <c r="A110">
        <f t="shared" si="11"/>
        <v>220000000</v>
      </c>
      <c r="B110">
        <f t="shared" si="8"/>
        <v>0</v>
      </c>
      <c r="C110">
        <f t="shared" si="9"/>
        <v>0</v>
      </c>
      <c r="D110">
        <f t="shared" si="13"/>
        <v>0</v>
      </c>
      <c r="E110">
        <f t="shared" si="12"/>
        <v>0</v>
      </c>
    </row>
    <row r="111" spans="1:5">
      <c r="A111">
        <f t="shared" si="11"/>
        <v>270000000</v>
      </c>
      <c r="B111">
        <f t="shared" si="8"/>
        <v>0</v>
      </c>
      <c r="C111">
        <f t="shared" si="9"/>
        <v>0</v>
      </c>
      <c r="D111">
        <f t="shared" si="13"/>
        <v>0</v>
      </c>
      <c r="E111">
        <f t="shared" si="12"/>
        <v>0</v>
      </c>
    </row>
    <row r="112" spans="1:5">
      <c r="A112">
        <f t="shared" si="11"/>
        <v>330000000</v>
      </c>
      <c r="B112">
        <f t="shared" si="8"/>
        <v>0</v>
      </c>
      <c r="C112">
        <f t="shared" si="9"/>
        <v>0</v>
      </c>
      <c r="D112">
        <f t="shared" si="13"/>
        <v>0</v>
      </c>
      <c r="E112">
        <f t="shared" si="12"/>
        <v>0</v>
      </c>
    </row>
    <row r="113" spans="1:5">
      <c r="A113">
        <f t="shared" si="11"/>
        <v>390000000</v>
      </c>
      <c r="B113">
        <f t="shared" si="8"/>
        <v>0</v>
      </c>
      <c r="C113">
        <f t="shared" si="9"/>
        <v>0</v>
      </c>
      <c r="D113">
        <f t="shared" si="13"/>
        <v>0</v>
      </c>
      <c r="E113">
        <f t="shared" si="12"/>
        <v>0</v>
      </c>
    </row>
    <row r="114" spans="1:5">
      <c r="A114">
        <f t="shared" si="11"/>
        <v>470000000</v>
      </c>
      <c r="B114">
        <f t="shared" si="8"/>
        <v>0</v>
      </c>
      <c r="C114">
        <f t="shared" si="9"/>
        <v>0</v>
      </c>
      <c r="D114">
        <f t="shared" si="13"/>
        <v>0</v>
      </c>
      <c r="E114">
        <f t="shared" si="12"/>
        <v>0</v>
      </c>
    </row>
    <row r="115" spans="1:5">
      <c r="A115">
        <f t="shared" si="11"/>
        <v>560000000</v>
      </c>
      <c r="B115">
        <f t="shared" si="8"/>
        <v>0</v>
      </c>
      <c r="C115">
        <f t="shared" si="9"/>
        <v>0</v>
      </c>
      <c r="D115">
        <f t="shared" si="13"/>
        <v>0</v>
      </c>
      <c r="E115">
        <f t="shared" si="12"/>
        <v>0</v>
      </c>
    </row>
    <row r="116" spans="1:5">
      <c r="A116">
        <f t="shared" si="11"/>
        <v>680000000</v>
      </c>
      <c r="B116">
        <f t="shared" si="8"/>
        <v>0</v>
      </c>
      <c r="C116">
        <f t="shared" si="9"/>
        <v>0</v>
      </c>
      <c r="D116">
        <f t="shared" si="13"/>
        <v>0</v>
      </c>
      <c r="E116">
        <f t="shared" si="12"/>
        <v>0</v>
      </c>
    </row>
    <row r="117" spans="1:5">
      <c r="A117">
        <f t="shared" si="11"/>
        <v>820000000</v>
      </c>
      <c r="B117">
        <f t="shared" si="8"/>
        <v>0</v>
      </c>
      <c r="C117">
        <f t="shared" si="9"/>
        <v>0</v>
      </c>
      <c r="D117">
        <f t="shared" si="13"/>
        <v>0</v>
      </c>
      <c r="E117">
        <f t="shared" si="12"/>
        <v>0</v>
      </c>
    </row>
    <row r="118" spans="1:5">
      <c r="A118">
        <f t="shared" si="11"/>
        <v>1000000000</v>
      </c>
      <c r="B118">
        <f t="shared" si="8"/>
        <v>0</v>
      </c>
      <c r="C118">
        <f t="shared" si="9"/>
        <v>0</v>
      </c>
      <c r="D118">
        <f t="shared" si="13"/>
        <v>0</v>
      </c>
      <c r="E118">
        <f t="shared" si="12"/>
        <v>0</v>
      </c>
    </row>
    <row r="119" spans="1:5">
      <c r="A119">
        <f t="shared" si="11"/>
        <v>1200000000</v>
      </c>
      <c r="B119">
        <f t="shared" si="8"/>
        <v>0</v>
      </c>
      <c r="C119">
        <f t="shared" si="9"/>
        <v>0</v>
      </c>
      <c r="D119">
        <f t="shared" si="13"/>
        <v>0</v>
      </c>
      <c r="E119">
        <f t="shared" si="12"/>
        <v>0</v>
      </c>
    </row>
    <row r="120" spans="1:5">
      <c r="A120">
        <f t="shared" si="11"/>
        <v>1500000000</v>
      </c>
      <c r="B120">
        <f t="shared" si="8"/>
        <v>0</v>
      </c>
      <c r="C120">
        <f t="shared" si="9"/>
        <v>0</v>
      </c>
      <c r="D120">
        <f t="shared" si="13"/>
        <v>0</v>
      </c>
      <c r="E120">
        <f t="shared" si="12"/>
        <v>0</v>
      </c>
    </row>
    <row r="121" spans="1:5">
      <c r="A121">
        <f t="shared" si="11"/>
        <v>1800000000</v>
      </c>
      <c r="B121">
        <f t="shared" si="8"/>
        <v>0</v>
      </c>
      <c r="C121">
        <f t="shared" si="9"/>
        <v>0</v>
      </c>
      <c r="D121">
        <f t="shared" si="13"/>
        <v>0</v>
      </c>
      <c r="E121">
        <f t="shared" si="12"/>
        <v>0</v>
      </c>
    </row>
    <row r="122" spans="1:5">
      <c r="A122">
        <f t="shared" si="11"/>
        <v>2200000000</v>
      </c>
      <c r="B122">
        <f t="shared" si="8"/>
        <v>0</v>
      </c>
      <c r="C122">
        <f t="shared" si="9"/>
        <v>0</v>
      </c>
      <c r="D122">
        <f t="shared" si="13"/>
        <v>0</v>
      </c>
      <c r="E122">
        <f t="shared" si="12"/>
        <v>0</v>
      </c>
    </row>
    <row r="123" spans="1:5">
      <c r="A123">
        <f t="shared" si="11"/>
        <v>2700000000</v>
      </c>
      <c r="B123">
        <f t="shared" si="8"/>
        <v>0</v>
      </c>
      <c r="C123">
        <f t="shared" si="9"/>
        <v>0</v>
      </c>
      <c r="D123">
        <f t="shared" si="13"/>
        <v>0</v>
      </c>
      <c r="E123">
        <f t="shared" si="12"/>
        <v>0</v>
      </c>
    </row>
    <row r="124" spans="1:5">
      <c r="A124">
        <f t="shared" si="11"/>
        <v>3300000000</v>
      </c>
      <c r="B124">
        <f t="shared" si="8"/>
        <v>0</v>
      </c>
      <c r="C124">
        <f t="shared" si="9"/>
        <v>0</v>
      </c>
      <c r="D124">
        <f t="shared" si="13"/>
        <v>0</v>
      </c>
      <c r="E124">
        <f t="shared" si="12"/>
        <v>0</v>
      </c>
    </row>
    <row r="125" spans="1:5">
      <c r="A125">
        <f t="shared" si="11"/>
        <v>3900000000</v>
      </c>
      <c r="B125">
        <f t="shared" si="8"/>
        <v>0</v>
      </c>
      <c r="C125">
        <f t="shared" si="9"/>
        <v>0</v>
      </c>
      <c r="D125">
        <f t="shared" si="13"/>
        <v>0</v>
      </c>
      <c r="E125">
        <f t="shared" si="12"/>
        <v>0</v>
      </c>
    </row>
    <row r="126" spans="1:5">
      <c r="A126">
        <f t="shared" si="11"/>
        <v>4700000000</v>
      </c>
      <c r="B126">
        <f t="shared" si="8"/>
        <v>0</v>
      </c>
      <c r="C126">
        <f t="shared" si="9"/>
        <v>0</v>
      </c>
      <c r="D126">
        <f t="shared" si="13"/>
        <v>0</v>
      </c>
      <c r="E126">
        <f t="shared" si="12"/>
        <v>0</v>
      </c>
    </row>
    <row r="127" spans="1:5">
      <c r="A127">
        <f t="shared" si="11"/>
        <v>5600000000</v>
      </c>
      <c r="B127">
        <f t="shared" si="8"/>
        <v>0</v>
      </c>
      <c r="C127">
        <f t="shared" si="9"/>
        <v>0</v>
      </c>
      <c r="D127">
        <f t="shared" si="13"/>
        <v>0</v>
      </c>
      <c r="E127">
        <f t="shared" si="12"/>
        <v>0</v>
      </c>
    </row>
    <row r="128" spans="1:5">
      <c r="A128">
        <f t="shared" si="11"/>
        <v>6800000000</v>
      </c>
      <c r="B128">
        <f t="shared" si="8"/>
        <v>0</v>
      </c>
      <c r="C128">
        <f t="shared" si="9"/>
        <v>0</v>
      </c>
      <c r="D128">
        <f t="shared" si="13"/>
        <v>0</v>
      </c>
      <c r="E128">
        <f t="shared" si="12"/>
        <v>0</v>
      </c>
    </row>
    <row r="129" spans="1:5">
      <c r="A129">
        <f t="shared" si="11"/>
        <v>8200000000</v>
      </c>
      <c r="B129">
        <f t="shared" si="8"/>
        <v>0</v>
      </c>
      <c r="C129">
        <f t="shared" si="9"/>
        <v>0</v>
      </c>
      <c r="D129">
        <f t="shared" si="13"/>
        <v>0</v>
      </c>
      <c r="E129">
        <f t="shared" si="12"/>
        <v>0</v>
      </c>
    </row>
    <row r="130" spans="1:5">
      <c r="A130">
        <f t="shared" si="11"/>
        <v>10000000000</v>
      </c>
      <c r="B130">
        <f t="shared" si="8"/>
        <v>0</v>
      </c>
      <c r="C130">
        <f t="shared" si="9"/>
        <v>0</v>
      </c>
      <c r="D130">
        <f t="shared" si="13"/>
        <v>0</v>
      </c>
      <c r="E130">
        <f t="shared" si="12"/>
        <v>0</v>
      </c>
    </row>
    <row r="131" spans="1:5">
      <c r="A131">
        <f t="shared" si="11"/>
        <v>12000000000</v>
      </c>
      <c r="B131">
        <f t="shared" si="8"/>
        <v>0</v>
      </c>
      <c r="C131">
        <f t="shared" si="9"/>
        <v>0</v>
      </c>
      <c r="D131">
        <f t="shared" si="13"/>
        <v>0</v>
      </c>
      <c r="E131">
        <f t="shared" si="12"/>
        <v>0</v>
      </c>
    </row>
    <row r="132" spans="1:5">
      <c r="A132">
        <f t="shared" si="11"/>
        <v>15000000000</v>
      </c>
      <c r="B132">
        <f t="shared" si="8"/>
        <v>0</v>
      </c>
      <c r="C132">
        <f t="shared" si="9"/>
        <v>0</v>
      </c>
      <c r="D132">
        <f t="shared" si="13"/>
        <v>0</v>
      </c>
      <c r="E132">
        <f t="shared" si="12"/>
        <v>0</v>
      </c>
    </row>
    <row r="133" spans="1:5">
      <c r="A133">
        <f t="shared" si="11"/>
        <v>18000000000</v>
      </c>
      <c r="B133">
        <f t="shared" si="8"/>
        <v>0</v>
      </c>
      <c r="C133">
        <f t="shared" si="9"/>
        <v>0</v>
      </c>
      <c r="D133">
        <f t="shared" si="13"/>
        <v>0</v>
      </c>
      <c r="E133">
        <f t="shared" si="12"/>
        <v>0</v>
      </c>
    </row>
    <row r="134" spans="1:5">
      <c r="A134">
        <f t="shared" si="11"/>
        <v>22000000000</v>
      </c>
      <c r="B134">
        <f t="shared" si="8"/>
        <v>0</v>
      </c>
      <c r="C134">
        <f t="shared" ref="C134:D159" si="14">IF(IF((C$3*10^12-$A135)*(C$3*10^12-$A134)*-1&lt;0,0,1)*IF(ABS(C$3*10^12-$A135)&gt;(C$3*10^12-$A134),$A134,$A135)=C135,0,IF((C$3*10^12-$A135)*(C$3*10^12-$A134)*-1&lt;0,0,1)*IF(ABS(C$3*10^12-$A135)&gt;(C$3*10^12-$A134),$A134,$A135))</f>
        <v>0</v>
      </c>
      <c r="D134">
        <f t="shared" si="13"/>
        <v>0</v>
      </c>
      <c r="E134">
        <f t="shared" ref="E134:E159" si="15">IF(IF((E$3*10^12-$A135)*(E$3*10^12-$A134)*-1&lt;0,0,1)*IF(ABS(E$3*10^12-$A135)&gt;(E$3*10^12-$A134),$A134,$A135)=E135,0,IF((E$3*10^12-$A135)*(E$3*10^12-$A134)*-1&lt;0,0,1)*IF(ABS(E$3*10^12-$A135)&gt;(E$3*10^12-$A134),$A134,$A135))</f>
        <v>0</v>
      </c>
    </row>
    <row r="135" spans="1:5">
      <c r="A135">
        <f t="shared" si="11"/>
        <v>27000000000</v>
      </c>
      <c r="B135">
        <f t="shared" ref="B135:B159" si="16">IF(IF((B$3*10^12-$A136)*(B$3*10^12-$A135)*-1&lt;0,0,1)*IF(ABS(B$3*10^12-$A136)&gt;(B$3*10^12-$A135),$A135,$A136)=B136,0,IF((B$3*10^12-$A136)*(B$3*10^12-$A135)*-1&lt;0,0,1)*IF(ABS(B$3*10^12-$A136)&gt;(B$3*10^12-$A135),$A135,$A136))</f>
        <v>0</v>
      </c>
      <c r="C135">
        <f t="shared" si="14"/>
        <v>0</v>
      </c>
      <c r="D135">
        <f t="shared" si="14"/>
        <v>0</v>
      </c>
      <c r="E135">
        <f t="shared" si="15"/>
        <v>0</v>
      </c>
    </row>
    <row r="136" spans="1:5">
      <c r="A136">
        <f t="shared" si="11"/>
        <v>33000000000</v>
      </c>
      <c r="B136">
        <f t="shared" si="16"/>
        <v>0</v>
      </c>
      <c r="C136">
        <f t="shared" si="14"/>
        <v>0</v>
      </c>
      <c r="D136">
        <f t="shared" si="14"/>
        <v>0</v>
      </c>
      <c r="E136">
        <f t="shared" si="15"/>
        <v>0</v>
      </c>
    </row>
    <row r="137" spans="1:5">
      <c r="A137">
        <f t="shared" si="11"/>
        <v>39000000000</v>
      </c>
      <c r="B137">
        <f t="shared" si="16"/>
        <v>0</v>
      </c>
      <c r="C137">
        <f t="shared" si="14"/>
        <v>0</v>
      </c>
      <c r="D137">
        <f t="shared" si="14"/>
        <v>0</v>
      </c>
      <c r="E137">
        <f t="shared" si="15"/>
        <v>0</v>
      </c>
    </row>
    <row r="138" spans="1:5">
      <c r="A138">
        <f t="shared" si="11"/>
        <v>47000000000</v>
      </c>
      <c r="B138">
        <f t="shared" si="16"/>
        <v>0</v>
      </c>
      <c r="C138">
        <f t="shared" si="14"/>
        <v>0</v>
      </c>
      <c r="D138">
        <f t="shared" si="14"/>
        <v>0</v>
      </c>
      <c r="E138">
        <f t="shared" si="15"/>
        <v>0</v>
      </c>
    </row>
    <row r="139" spans="1:5">
      <c r="A139">
        <f t="shared" si="11"/>
        <v>56000000000</v>
      </c>
      <c r="B139">
        <f t="shared" si="16"/>
        <v>0</v>
      </c>
      <c r="C139">
        <f t="shared" si="14"/>
        <v>0</v>
      </c>
      <c r="D139">
        <f t="shared" si="14"/>
        <v>0</v>
      </c>
      <c r="E139">
        <f t="shared" si="15"/>
        <v>0</v>
      </c>
    </row>
    <row r="140" spans="1:5">
      <c r="A140">
        <f t="shared" si="11"/>
        <v>68000000000</v>
      </c>
      <c r="B140">
        <f t="shared" si="16"/>
        <v>0</v>
      </c>
      <c r="C140">
        <f t="shared" si="14"/>
        <v>0</v>
      </c>
      <c r="D140">
        <f t="shared" si="14"/>
        <v>0</v>
      </c>
      <c r="E140">
        <f t="shared" si="15"/>
        <v>0</v>
      </c>
    </row>
    <row r="141" spans="1:5">
      <c r="A141">
        <f t="shared" si="11"/>
        <v>82000000000</v>
      </c>
      <c r="B141">
        <f t="shared" si="16"/>
        <v>0</v>
      </c>
      <c r="C141">
        <f t="shared" si="14"/>
        <v>0</v>
      </c>
      <c r="D141">
        <f t="shared" si="14"/>
        <v>0</v>
      </c>
      <c r="E141">
        <f t="shared" si="15"/>
        <v>0</v>
      </c>
    </row>
    <row r="142" spans="1:5">
      <c r="A142">
        <f t="shared" si="11"/>
        <v>100000000000</v>
      </c>
      <c r="B142">
        <f t="shared" si="16"/>
        <v>0</v>
      </c>
      <c r="C142">
        <f t="shared" si="14"/>
        <v>0</v>
      </c>
      <c r="D142">
        <f t="shared" si="14"/>
        <v>0</v>
      </c>
      <c r="E142">
        <f t="shared" si="15"/>
        <v>0</v>
      </c>
    </row>
    <row r="143" spans="1:5">
      <c r="A143">
        <f t="shared" si="11"/>
        <v>120000000000</v>
      </c>
      <c r="B143">
        <f t="shared" si="16"/>
        <v>0</v>
      </c>
      <c r="C143">
        <f t="shared" si="14"/>
        <v>0</v>
      </c>
      <c r="D143">
        <f t="shared" si="14"/>
        <v>0</v>
      </c>
      <c r="E143">
        <f t="shared" si="15"/>
        <v>0</v>
      </c>
    </row>
    <row r="144" spans="1:5">
      <c r="A144">
        <f t="shared" si="11"/>
        <v>150000000000</v>
      </c>
      <c r="B144">
        <f t="shared" si="16"/>
        <v>0</v>
      </c>
      <c r="C144">
        <f t="shared" si="14"/>
        <v>0</v>
      </c>
      <c r="D144">
        <f t="shared" si="14"/>
        <v>0</v>
      </c>
      <c r="E144">
        <f t="shared" si="15"/>
        <v>0</v>
      </c>
    </row>
    <row r="145" spans="1:5">
      <c r="A145">
        <f t="shared" si="11"/>
        <v>180000000000</v>
      </c>
      <c r="B145">
        <f t="shared" si="16"/>
        <v>0</v>
      </c>
      <c r="C145">
        <f t="shared" si="14"/>
        <v>0</v>
      </c>
      <c r="D145">
        <f t="shared" si="14"/>
        <v>0</v>
      </c>
      <c r="E145">
        <f t="shared" si="15"/>
        <v>0</v>
      </c>
    </row>
    <row r="146" spans="1:5">
      <c r="A146">
        <f t="shared" si="11"/>
        <v>220000000000</v>
      </c>
      <c r="B146">
        <f t="shared" si="16"/>
        <v>0</v>
      </c>
      <c r="C146">
        <f t="shared" si="14"/>
        <v>0</v>
      </c>
      <c r="D146">
        <f t="shared" si="14"/>
        <v>0</v>
      </c>
      <c r="E146">
        <f t="shared" si="15"/>
        <v>0</v>
      </c>
    </row>
    <row r="147" spans="1:5">
      <c r="A147">
        <f t="shared" si="11"/>
        <v>270000000000</v>
      </c>
      <c r="B147">
        <f t="shared" si="16"/>
        <v>0</v>
      </c>
      <c r="C147">
        <f t="shared" si="14"/>
        <v>0</v>
      </c>
      <c r="D147">
        <f t="shared" si="14"/>
        <v>0</v>
      </c>
      <c r="E147">
        <f t="shared" si="15"/>
        <v>0</v>
      </c>
    </row>
    <row r="148" spans="1:5">
      <c r="A148">
        <f t="shared" si="11"/>
        <v>330000000000</v>
      </c>
      <c r="B148">
        <f t="shared" si="16"/>
        <v>0</v>
      </c>
      <c r="C148">
        <f t="shared" si="14"/>
        <v>0</v>
      </c>
      <c r="D148">
        <f t="shared" si="14"/>
        <v>0</v>
      </c>
      <c r="E148">
        <f t="shared" si="15"/>
        <v>0</v>
      </c>
    </row>
    <row r="149" spans="1:5">
      <c r="A149">
        <f t="shared" si="11"/>
        <v>390000000000</v>
      </c>
      <c r="B149">
        <f t="shared" si="16"/>
        <v>0</v>
      </c>
      <c r="C149">
        <f t="shared" si="14"/>
        <v>0</v>
      </c>
      <c r="D149">
        <f t="shared" si="14"/>
        <v>0</v>
      </c>
      <c r="E149">
        <f t="shared" si="15"/>
        <v>0</v>
      </c>
    </row>
    <row r="150" spans="1:5">
      <c r="A150">
        <f t="shared" si="11"/>
        <v>470000000000</v>
      </c>
      <c r="B150">
        <f t="shared" si="16"/>
        <v>0</v>
      </c>
      <c r="C150">
        <f t="shared" si="14"/>
        <v>0</v>
      </c>
      <c r="D150">
        <f t="shared" si="14"/>
        <v>0</v>
      </c>
      <c r="E150">
        <f t="shared" si="15"/>
        <v>0</v>
      </c>
    </row>
    <row r="151" spans="1:5">
      <c r="A151">
        <f t="shared" si="11"/>
        <v>560000000000</v>
      </c>
      <c r="B151">
        <f t="shared" si="16"/>
        <v>0</v>
      </c>
      <c r="C151">
        <f t="shared" si="14"/>
        <v>0</v>
      </c>
      <c r="D151">
        <f t="shared" si="14"/>
        <v>0</v>
      </c>
      <c r="E151">
        <f t="shared" si="15"/>
        <v>0</v>
      </c>
    </row>
    <row r="152" spans="1:5">
      <c r="A152">
        <f t="shared" si="11"/>
        <v>680000000000</v>
      </c>
      <c r="B152">
        <f t="shared" si="16"/>
        <v>0</v>
      </c>
      <c r="C152">
        <f t="shared" si="14"/>
        <v>0</v>
      </c>
      <c r="D152">
        <f t="shared" si="14"/>
        <v>0</v>
      </c>
      <c r="E152">
        <f t="shared" si="15"/>
        <v>0</v>
      </c>
    </row>
    <row r="153" spans="1:5">
      <c r="A153">
        <f t="shared" si="11"/>
        <v>820000000000</v>
      </c>
      <c r="B153">
        <f t="shared" si="16"/>
        <v>0</v>
      </c>
      <c r="C153">
        <f t="shared" si="14"/>
        <v>0</v>
      </c>
      <c r="D153">
        <f t="shared" si="14"/>
        <v>0</v>
      </c>
      <c r="E153">
        <f t="shared" si="15"/>
        <v>0</v>
      </c>
    </row>
    <row r="154" spans="1:5">
      <c r="A154">
        <f t="shared" si="11"/>
        <v>1000000000000</v>
      </c>
      <c r="B154">
        <f t="shared" si="16"/>
        <v>0</v>
      </c>
      <c r="C154">
        <f t="shared" si="14"/>
        <v>0</v>
      </c>
      <c r="D154">
        <f t="shared" si="14"/>
        <v>0</v>
      </c>
      <c r="E154">
        <f t="shared" si="15"/>
        <v>0</v>
      </c>
    </row>
    <row r="155" spans="1:5">
      <c r="A155">
        <f t="shared" si="11"/>
        <v>1200000000000</v>
      </c>
      <c r="B155">
        <f t="shared" si="16"/>
        <v>0</v>
      </c>
      <c r="C155">
        <f t="shared" si="14"/>
        <v>0</v>
      </c>
      <c r="D155">
        <f t="shared" si="14"/>
        <v>0</v>
      </c>
      <c r="E155">
        <f t="shared" si="15"/>
        <v>0</v>
      </c>
    </row>
    <row r="156" spans="1:5">
      <c r="A156">
        <f t="shared" si="11"/>
        <v>1500000000000</v>
      </c>
      <c r="B156">
        <f t="shared" si="16"/>
        <v>0</v>
      </c>
      <c r="C156">
        <f t="shared" si="14"/>
        <v>0</v>
      </c>
      <c r="D156">
        <f t="shared" si="14"/>
        <v>0</v>
      </c>
      <c r="E156">
        <f t="shared" si="15"/>
        <v>0</v>
      </c>
    </row>
    <row r="157" spans="1:5">
      <c r="A157">
        <f t="shared" si="11"/>
        <v>1800000000000</v>
      </c>
      <c r="B157">
        <f t="shared" si="16"/>
        <v>0</v>
      </c>
      <c r="C157">
        <f t="shared" si="14"/>
        <v>0</v>
      </c>
      <c r="D157">
        <f t="shared" si="14"/>
        <v>0</v>
      </c>
      <c r="E157">
        <f t="shared" si="15"/>
        <v>0</v>
      </c>
    </row>
    <row r="158" spans="1:5">
      <c r="A158">
        <f t="shared" si="11"/>
        <v>2200000000000</v>
      </c>
      <c r="B158">
        <f t="shared" si="16"/>
        <v>0</v>
      </c>
      <c r="C158">
        <f t="shared" si="14"/>
        <v>0</v>
      </c>
      <c r="D158">
        <f t="shared" si="14"/>
        <v>0</v>
      </c>
      <c r="E158">
        <f t="shared" si="15"/>
        <v>0</v>
      </c>
    </row>
    <row r="159" spans="1:5">
      <c r="A159" s="15">
        <f t="shared" si="11"/>
        <v>2700000000000</v>
      </c>
      <c r="B159">
        <f t="shared" si="16"/>
        <v>2700000000000</v>
      </c>
      <c r="C159">
        <f t="shared" si="14"/>
        <v>0</v>
      </c>
      <c r="D159">
        <f t="shared" si="14"/>
        <v>0</v>
      </c>
      <c r="E159">
        <f t="shared" si="15"/>
        <v>2700000000000</v>
      </c>
    </row>
  </sheetData>
  <sheetProtection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209</vt:i4>
      </vt:variant>
    </vt:vector>
  </HeadingPairs>
  <TitlesOfParts>
    <vt:vector size="222" baseType="lpstr">
      <vt:lpstr>Design Converter</vt:lpstr>
      <vt:lpstr>Stability Calculations</vt:lpstr>
      <vt:lpstr>Variable Mgmt</vt:lpstr>
      <vt:lpstr>Parameters</vt:lpstr>
      <vt:lpstr>Calculations - Single</vt:lpstr>
      <vt:lpstr>Calculations - Dual</vt:lpstr>
      <vt:lpstr>Fsw vs VIN</vt:lpstr>
      <vt:lpstr>BOM &amp; Schematic</vt:lpstr>
      <vt:lpstr>EVMs</vt:lpstr>
      <vt:lpstr>Efficiency Plots</vt:lpstr>
      <vt:lpstr>Fsw Plots</vt:lpstr>
      <vt:lpstr>Schematic Mgmt</vt:lpstr>
      <vt:lpstr>Standard Value Calculator</vt:lpstr>
      <vt:lpstr>_Don1</vt:lpstr>
      <vt:lpstr>Acs</vt:lpstr>
      <vt:lpstr>Adc</vt:lpstr>
      <vt:lpstr>Aea</vt:lpstr>
      <vt:lpstr>Afb</vt:lpstr>
      <vt:lpstr>Am</vt:lpstr>
      <vt:lpstr>BDserR</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Fco_desire</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IpkCAL</vt:lpstr>
      <vt:lpstr>IQ</vt:lpstr>
      <vt:lpstr>Iripple</vt:lpstr>
      <vt:lpstr>Iss</vt:lpstr>
      <vt:lpstr>Isw_max</vt:lpstr>
      <vt:lpstr>Isw_min</vt:lpstr>
      <vt:lpstr>Iuvlo_hys</vt:lpstr>
      <vt:lpstr>Iuvlo1</vt:lpstr>
      <vt:lpstr>Iuvlo2</vt:lpstr>
      <vt:lpstr>k_core</vt:lpstr>
      <vt:lpstr>ktr_rcmd</vt:lpstr>
      <vt:lpstr>L</vt:lpstr>
      <vt:lpstr>Lleak</vt:lpstr>
      <vt:lpstr>Lmag</vt:lpstr>
      <vt:lpstr>Lmin</vt:lpstr>
      <vt:lpstr>Lmin_abs</vt:lpstr>
      <vt:lpstr>Ls1_</vt:lpstr>
      <vt:lpstr>Ls2_</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Pomax_allowed</vt:lpstr>
      <vt:lpstr>Pout</vt:lpstr>
      <vt:lpstr>Pout_total</vt:lpstr>
      <vt:lpstr>Pout2</vt:lpstr>
      <vt:lpstr>'BOM &amp; Schematic'!Print_Area</vt:lpstr>
      <vt:lpstr>'Design Converter'!Print_Area</vt:lpstr>
      <vt:lpstr>pterm1</vt:lpstr>
      <vt:lpstr>pterm2</vt:lpstr>
      <vt:lpstr>Qg</vt:lpstr>
      <vt:lpstr>radconv</vt:lpstr>
      <vt:lpstr>Parameters!RCinEsr</vt:lpstr>
      <vt:lpstr>RCinEsr</vt:lpstr>
      <vt:lpstr>Rcomp</vt:lpstr>
      <vt:lpstr>Parameters!RCoutEsr</vt:lpstr>
      <vt:lpstr>RCoutEsr</vt:lpstr>
      <vt:lpstr>RCS</vt:lpstr>
      <vt:lpstr>Rcs_gain</vt:lpstr>
      <vt:lpstr>RCSmin</vt:lpstr>
      <vt:lpstr>Rdcr_pri</vt:lpstr>
      <vt:lpstr>Rdcr_sec</vt:lpstr>
      <vt:lpstr>Rdcr_sec2</vt:lpstr>
      <vt:lpstr>Rdson</vt:lpstr>
      <vt:lpstr>RdsonTC</vt:lpstr>
      <vt:lpstr>REAout</vt:lpstr>
      <vt:lpstr>Rfb</vt:lpstr>
      <vt:lpstr>Rfb_recommend</vt:lpstr>
      <vt:lpstr>Rfb2_u</vt:lpstr>
      <vt:lpstr>Rload_pri</vt:lpstr>
      <vt:lpstr>Rload_sec</vt:lpstr>
      <vt:lpstr>RON</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Vdd</vt:lpstr>
      <vt:lpstr>Vds_req</vt:lpstr>
      <vt:lpstr>Vfwd1</vt:lpstr>
      <vt:lpstr>Vfwd2</vt:lpstr>
      <vt:lpstr>Vfwd22</vt:lpstr>
      <vt:lpstr>Vin</vt:lpstr>
      <vt:lpstr>Vin_eff</vt:lpstr>
      <vt:lpstr>VIN_max</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Mappus, Steven</cp:lastModifiedBy>
  <cp:lastPrinted>2016-03-02T21:18:53Z</cp:lastPrinted>
  <dcterms:created xsi:type="dcterms:W3CDTF">1996-10-14T23:33:28Z</dcterms:created>
  <dcterms:modified xsi:type="dcterms:W3CDTF">2025-05-13T17:54:17Z</dcterms:modified>
</cp:coreProperties>
</file>